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0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OpenServer\domains\FarmManager\fermer\backend\web\"/>
    </mc:Choice>
  </mc:AlternateContent>
  <bookViews>
    <workbookView xWindow="0" yWindow="0" windowWidth="28800" windowHeight="12210" tabRatio="755" firstSheet="12"/>
  </bookViews>
  <sheets>
    <sheet name="worksheet" sheetId="1" r:id="rId1"/>
    <sheet name="МОЛОКО" sheetId="13" r:id="rId2"/>
    <sheet name="ВЫБЫТИЕ" sheetId="3" r:id="rId3"/>
    <sheet name="ПРОДАЖА БЫЧ" sheetId="17" r:id="rId4"/>
    <sheet name="ВЫБЫТИЕ МОЛ" sheetId="4" r:id="rId5"/>
    <sheet name="КОНТРОЛЬ ОХОТЫ_№2" sheetId="5" r:id="rId6"/>
    <sheet name="ФСС" sheetId="9" r:id="rId7"/>
    <sheet name="СВОДКА ВС_2" sheetId="10" r:id="rId8"/>
    <sheet name="СВОДКА ПО ВОСПРОИЗВОДСТВУ" sheetId="6" r:id="rId9"/>
    <sheet name="АРТпИО" sheetId="11" r:id="rId10"/>
    <sheet name="СВОДКА ПО ИО_осемененные" sheetId="7" r:id="rId11"/>
    <sheet name="СВОДКА ПО ИО_стельные" sheetId="8" r:id="rId12"/>
    <sheet name="СВОДКА РАЗМЕЩЕНИЯ КРС" sheetId="12" r:id="rId13"/>
    <sheet name="СВОДКА_№1_ПЛАН ОТЕЛОВ" sheetId="14" r:id="rId14"/>
    <sheet name="СВОДКА_№2_ФСС" sheetId="15" r:id="rId15"/>
    <sheet name="СВОДКА_№3_ВОСПРОИЗВОДСТВО" sheetId="16" r:id="rId16"/>
  </sheets>
  <definedNames>
    <definedName name="_xlnm._FilterDatabase" localSheetId="0" hidden="1">worksheet!$A$2:$DC$1135</definedName>
    <definedName name="_xlnm._FilterDatabase" localSheetId="2" hidden="1">ВЫБЫТИЕ!$A$2:$BD$276</definedName>
    <definedName name="_xlnm._FilterDatabase" localSheetId="5" hidden="1">'КОНТРОЛЬ ОХОТЫ_№2'!$A$2:$P$441</definedName>
    <definedName name="_xlnm._FilterDatabase" localSheetId="1" hidden="1">МОЛОКО!$A$7:$BH$851</definedName>
    <definedName name="ВЫДЕЛИТЬ_7">worksheet!$B$3:$DC$1178</definedName>
  </definedNames>
  <calcPr calcId="162913"/>
  <fileRecoveryPr autoRecover="0"/>
</workbook>
</file>

<file path=xl/calcChain.xml><?xml version="1.0" encoding="utf-8"?>
<calcChain xmlns="http://schemas.openxmlformats.org/spreadsheetml/2006/main">
  <c r="AM8" i="17" l="1"/>
  <c r="AJ8" i="17"/>
  <c r="AI8" i="17"/>
  <c r="AG8" i="17"/>
  <c r="AF8" i="17"/>
  <c r="X8" i="17"/>
  <c r="U8" i="17"/>
  <c r="B8" i="17"/>
  <c r="J8" i="17" l="1"/>
  <c r="V8" i="17"/>
  <c r="L8" i="17"/>
  <c r="K8" i="17"/>
  <c r="O8" i="17"/>
  <c r="B306" i="3"/>
  <c r="K306" i="3" s="1"/>
  <c r="U306" i="3"/>
  <c r="X306" i="3"/>
  <c r="AF306" i="3"/>
  <c r="AI306" i="3"/>
  <c r="AJ306" i="3"/>
  <c r="AL306" i="3"/>
  <c r="AM306" i="3"/>
  <c r="AR306" i="3"/>
  <c r="AT306" i="3"/>
  <c r="AY306" i="3"/>
  <c r="AZ306" i="3" s="1"/>
  <c r="BA306" i="3"/>
  <c r="BE306" i="3"/>
  <c r="BK306" i="3"/>
  <c r="BO306" i="3"/>
  <c r="BS306" i="3"/>
  <c r="BW306" i="3"/>
  <c r="BX306" i="3"/>
  <c r="CD306" i="3"/>
  <c r="CH306" i="3"/>
  <c r="CI306" i="3"/>
  <c r="CM306" i="3"/>
  <c r="CN306" i="3" s="1"/>
  <c r="CR306" i="3"/>
  <c r="CU306" i="3"/>
  <c r="CX306" i="3" s="1"/>
  <c r="CY306" i="3" s="1"/>
  <c r="CZ306" i="3"/>
  <c r="AE8" i="17" l="1"/>
  <c r="AA8" i="17"/>
  <c r="Z8" i="17" s="1"/>
  <c r="AC8" i="17" s="1"/>
  <c r="J306" i="3"/>
  <c r="CS306" i="3"/>
  <c r="CT306" i="3" s="1"/>
  <c r="CG306" i="3"/>
  <c r="CJ306" i="3" s="1"/>
  <c r="AN306" i="3"/>
  <c r="DA306" i="3" s="1"/>
  <c r="L306" i="3"/>
  <c r="BT306" i="3" s="1"/>
  <c r="CB306" i="3"/>
  <c r="CC306" i="3" s="1"/>
  <c r="BR306" i="3"/>
  <c r="BN306" i="3"/>
  <c r="AG306" i="3"/>
  <c r="V306" i="3"/>
  <c r="O306" i="3"/>
  <c r="AA306" i="3" s="1"/>
  <c r="Z306" i="3" s="1"/>
  <c r="AC306" i="3" s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6" i="1"/>
  <c r="G727" i="1"/>
  <c r="G725" i="1"/>
  <c r="B3" i="1"/>
  <c r="B305" i="3"/>
  <c r="K305" i="3" s="1"/>
  <c r="U305" i="3"/>
  <c r="X305" i="3"/>
  <c r="AF305" i="3"/>
  <c r="AG305" i="3"/>
  <c r="AI305" i="3"/>
  <c r="AJ305" i="3"/>
  <c r="AL305" i="3"/>
  <c r="AM305" i="3"/>
  <c r="AR305" i="3"/>
  <c r="AT305" i="3"/>
  <c r="AY305" i="3"/>
  <c r="AZ305" i="3" s="1"/>
  <c r="BA305" i="3"/>
  <c r="BE305" i="3"/>
  <c r="BK305" i="3"/>
  <c r="BO305" i="3"/>
  <c r="BR305" i="3"/>
  <c r="BS305" i="3"/>
  <c r="BW305" i="3"/>
  <c r="BX305" i="3"/>
  <c r="CD305" i="3"/>
  <c r="CH305" i="3" s="1"/>
  <c r="CI305" i="3" s="1"/>
  <c r="CM305" i="3"/>
  <c r="CN305" i="3" s="1"/>
  <c r="CR305" i="3"/>
  <c r="CS305" i="3"/>
  <c r="CT305" i="3" s="1"/>
  <c r="CU305" i="3"/>
  <c r="CX305" i="3" s="1"/>
  <c r="CY305" i="3" s="1"/>
  <c r="CZ305" i="3"/>
  <c r="B304" i="3"/>
  <c r="K304" i="3" s="1"/>
  <c r="U304" i="3"/>
  <c r="X304" i="3"/>
  <c r="AF304" i="3"/>
  <c r="AI304" i="3"/>
  <c r="AJ304" i="3"/>
  <c r="AL304" i="3"/>
  <c r="AM304" i="3"/>
  <c r="AR304" i="3"/>
  <c r="AT304" i="3"/>
  <c r="AY304" i="3"/>
  <c r="AZ304" i="3"/>
  <c r="BA304" i="3"/>
  <c r="BE304" i="3"/>
  <c r="BK304" i="3"/>
  <c r="BO304" i="3"/>
  <c r="BS304" i="3"/>
  <c r="BW304" i="3"/>
  <c r="BX304" i="3"/>
  <c r="CD304" i="3"/>
  <c r="CH304" i="3" s="1"/>
  <c r="CI304" i="3" s="1"/>
  <c r="CM304" i="3"/>
  <c r="CN304" i="3" s="1"/>
  <c r="CR304" i="3"/>
  <c r="CS304" i="3"/>
  <c r="CT304" i="3" s="1"/>
  <c r="CU304" i="3"/>
  <c r="CX304" i="3" s="1"/>
  <c r="CY304" i="3" s="1"/>
  <c r="CZ304" i="3"/>
  <c r="CZ303" i="3"/>
  <c r="CU303" i="3"/>
  <c r="CX303" i="3" s="1"/>
  <c r="CY303" i="3" s="1"/>
  <c r="CR303" i="3"/>
  <c r="CM303" i="3"/>
  <c r="CN303" i="3" s="1"/>
  <c r="CD303" i="3"/>
  <c r="CH303" i="3" s="1"/>
  <c r="CI303" i="3" s="1"/>
  <c r="BX303" i="3"/>
  <c r="BW303" i="3"/>
  <c r="BS303" i="3"/>
  <c r="BR303" i="3"/>
  <c r="BO303" i="3"/>
  <c r="BK303" i="3"/>
  <c r="BE303" i="3"/>
  <c r="BA303" i="3"/>
  <c r="AY303" i="3"/>
  <c r="AZ303" i="3" s="1"/>
  <c r="AT303" i="3"/>
  <c r="AR303" i="3"/>
  <c r="AM303" i="3"/>
  <c r="AL303" i="3"/>
  <c r="AJ303" i="3"/>
  <c r="AI303" i="3"/>
  <c r="AG303" i="3"/>
  <c r="AF303" i="3"/>
  <c r="X303" i="3"/>
  <c r="U303" i="3"/>
  <c r="B303" i="3"/>
  <c r="CS303" i="3" s="1"/>
  <c r="CT303" i="3" s="1"/>
  <c r="CU439" i="4"/>
  <c r="CX439" i="4" s="1"/>
  <c r="CY439" i="4" s="1"/>
  <c r="CS439" i="4"/>
  <c r="CT439" i="4" s="1"/>
  <c r="CR439" i="4"/>
  <c r="CM439" i="4"/>
  <c r="CN439" i="4" s="1"/>
  <c r="CJ439" i="4"/>
  <c r="CG439" i="4"/>
  <c r="CD439" i="4"/>
  <c r="CH439" i="4" s="1"/>
  <c r="CI439" i="4" s="1"/>
  <c r="BW439" i="4"/>
  <c r="BS439" i="4"/>
  <c r="BR439" i="4"/>
  <c r="BO439" i="4"/>
  <c r="BN439" i="4"/>
  <c r="BK439" i="4"/>
  <c r="BE439" i="4"/>
  <c r="BA439" i="4"/>
  <c r="AY439" i="4"/>
  <c r="AZ439" i="4" s="1"/>
  <c r="AT439" i="4"/>
  <c r="AR439" i="4"/>
  <c r="AM439" i="4"/>
  <c r="AJ439" i="4"/>
  <c r="AI439" i="4"/>
  <c r="AG439" i="4"/>
  <c r="AF439" i="4"/>
  <c r="X439" i="4"/>
  <c r="U439" i="4"/>
  <c r="B439" i="4"/>
  <c r="CB439" i="4" s="1"/>
  <c r="CC439" i="4" s="1"/>
  <c r="B787" i="1"/>
  <c r="B797" i="1"/>
  <c r="B786" i="1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1" i="5"/>
  <c r="BY306" i="3" l="1"/>
  <c r="J305" i="3"/>
  <c r="CO306" i="3"/>
  <c r="J304" i="3"/>
  <c r="AE306" i="3"/>
  <c r="AP306" i="3" s="1"/>
  <c r="BN305" i="3"/>
  <c r="CB304" i="3"/>
  <c r="CC304" i="3" s="1"/>
  <c r="V304" i="3"/>
  <c r="CG305" i="3"/>
  <c r="CJ305" i="3" s="1"/>
  <c r="CB305" i="3"/>
  <c r="CC305" i="3" s="1"/>
  <c r="L305" i="3"/>
  <c r="AN305" i="3"/>
  <c r="V305" i="3"/>
  <c r="O305" i="3"/>
  <c r="AA305" i="3" s="1"/>
  <c r="Z305" i="3" s="1"/>
  <c r="AC305" i="3" s="1"/>
  <c r="BR304" i="3"/>
  <c r="BN304" i="3"/>
  <c r="AG304" i="3"/>
  <c r="L304" i="3"/>
  <c r="CG304" i="3"/>
  <c r="CJ304" i="3" s="1"/>
  <c r="AN304" i="3"/>
  <c r="O304" i="3"/>
  <c r="V303" i="3"/>
  <c r="J303" i="3"/>
  <c r="L303" i="3"/>
  <c r="BN303" i="3"/>
  <c r="CB303" i="3"/>
  <c r="CC303" i="3" s="1"/>
  <c r="K303" i="3"/>
  <c r="O303" i="3"/>
  <c r="AN303" i="3"/>
  <c r="CG303" i="3"/>
  <c r="CJ303" i="3" s="1"/>
  <c r="K439" i="4"/>
  <c r="O439" i="4"/>
  <c r="V439" i="4"/>
  <c r="AN439" i="4"/>
  <c r="J439" i="4"/>
  <c r="L439" i="4"/>
  <c r="BX439" i="4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1" i="1"/>
  <c r="CZ22" i="1"/>
  <c r="CZ257" i="1"/>
  <c r="CZ23" i="1"/>
  <c r="CZ24" i="1"/>
  <c r="CZ25" i="1"/>
  <c r="CZ26" i="1"/>
  <c r="CZ27" i="1"/>
  <c r="CZ28" i="1"/>
  <c r="CZ29" i="1"/>
  <c r="CZ30" i="1"/>
  <c r="CZ161" i="1"/>
  <c r="CZ33" i="1"/>
  <c r="CZ34" i="1"/>
  <c r="CZ35" i="1"/>
  <c r="CZ36" i="1"/>
  <c r="CZ37" i="1"/>
  <c r="CZ363" i="1"/>
  <c r="CZ38" i="1"/>
  <c r="CZ39" i="1"/>
  <c r="CZ40" i="1"/>
  <c r="CZ219" i="1"/>
  <c r="CZ319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4" i="1"/>
  <c r="CZ95" i="1"/>
  <c r="CZ96" i="1"/>
  <c r="CZ97" i="1"/>
  <c r="CZ98" i="1"/>
  <c r="CZ240" i="1"/>
  <c r="CZ99" i="1"/>
  <c r="CZ100" i="1"/>
  <c r="CZ101" i="1"/>
  <c r="CZ102" i="1"/>
  <c r="CZ103" i="1"/>
  <c r="CZ104" i="1"/>
  <c r="CZ341" i="1"/>
  <c r="CZ105" i="1"/>
  <c r="CZ106" i="1"/>
  <c r="CZ107" i="1"/>
  <c r="CZ108" i="1"/>
  <c r="CZ109" i="1"/>
  <c r="CZ110" i="1"/>
  <c r="CZ111" i="1"/>
  <c r="CZ68" i="1"/>
  <c r="CZ69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237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675" i="1"/>
  <c r="CZ178" i="1"/>
  <c r="CZ179" i="1"/>
  <c r="CZ180" i="1"/>
  <c r="CZ181" i="1"/>
  <c r="CZ182" i="1"/>
  <c r="CZ183" i="1"/>
  <c r="CZ184" i="1"/>
  <c r="CZ185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691" i="1"/>
  <c r="CZ203" i="1"/>
  <c r="CZ204" i="1"/>
  <c r="CZ206" i="1"/>
  <c r="CZ207" i="1"/>
  <c r="CZ208" i="1"/>
  <c r="CZ209" i="1"/>
  <c r="CZ210" i="1"/>
  <c r="CZ211" i="1"/>
  <c r="CZ485" i="1"/>
  <c r="CZ213" i="1"/>
  <c r="CZ214" i="1"/>
  <c r="CZ215" i="1"/>
  <c r="CZ216" i="1"/>
  <c r="CZ217" i="1"/>
  <c r="CZ218" i="1"/>
  <c r="CZ220" i="1"/>
  <c r="CZ221" i="1"/>
  <c r="CZ222" i="1"/>
  <c r="CZ672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8" i="1"/>
  <c r="CZ239" i="1"/>
  <c r="CZ241" i="1"/>
  <c r="CZ242" i="1"/>
  <c r="CZ289" i="1"/>
  <c r="CZ243" i="1"/>
  <c r="CZ244" i="1"/>
  <c r="CZ245" i="1"/>
  <c r="CZ246" i="1"/>
  <c r="CZ247" i="1"/>
  <c r="CZ248" i="1"/>
  <c r="CZ249" i="1"/>
  <c r="CZ481" i="1"/>
  <c r="CZ250" i="1"/>
  <c r="CZ205" i="1"/>
  <c r="CZ251" i="1"/>
  <c r="CZ252" i="1"/>
  <c r="CZ253" i="1"/>
  <c r="CZ254" i="1"/>
  <c r="CZ255" i="1"/>
  <c r="CZ256" i="1"/>
  <c r="CZ258" i="1"/>
  <c r="CZ709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23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689" i="1"/>
  <c r="CZ338" i="1"/>
  <c r="CZ339" i="1"/>
  <c r="CZ340" i="1"/>
  <c r="CZ342" i="1"/>
  <c r="CZ343" i="1"/>
  <c r="CZ344" i="1"/>
  <c r="CZ345" i="1"/>
  <c r="CZ346" i="1"/>
  <c r="CZ699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716" i="1"/>
  <c r="CZ362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212" i="1"/>
  <c r="CZ409" i="1"/>
  <c r="CZ410" i="1"/>
  <c r="CZ411" i="1"/>
  <c r="CZ412" i="1"/>
  <c r="CZ413" i="1"/>
  <c r="CZ414" i="1"/>
  <c r="CZ415" i="1"/>
  <c r="CZ416" i="1"/>
  <c r="CZ177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186" i="1"/>
  <c r="CZ433" i="1"/>
  <c r="CZ434" i="1"/>
  <c r="CZ435" i="1"/>
  <c r="CZ436" i="1"/>
  <c r="CZ437" i="1"/>
  <c r="CZ438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93" i="1"/>
  <c r="CZ458" i="1"/>
  <c r="CZ379" i="1"/>
  <c r="CZ380" i="1"/>
  <c r="CZ460" i="1"/>
  <c r="CZ461" i="1"/>
  <c r="CZ462" i="1"/>
  <c r="CZ439" i="1"/>
  <c r="CZ463" i="1"/>
  <c r="CZ464" i="1"/>
  <c r="CZ465" i="1"/>
  <c r="CZ466" i="1"/>
  <c r="CZ467" i="1"/>
  <c r="CZ20" i="1"/>
  <c r="CZ469" i="1"/>
  <c r="CZ470" i="1"/>
  <c r="CZ472" i="1"/>
  <c r="CZ473" i="1"/>
  <c r="CZ474" i="1"/>
  <c r="CZ31" i="1"/>
  <c r="CZ476" i="1"/>
  <c r="CZ32" i="1"/>
  <c r="CZ477" i="1"/>
  <c r="CZ478" i="1"/>
  <c r="CZ479" i="1"/>
  <c r="CZ480" i="1"/>
  <c r="CZ482" i="1"/>
  <c r="CZ483" i="1"/>
  <c r="CZ471" i="1"/>
  <c r="CZ475" i="1"/>
  <c r="CZ484" i="1"/>
  <c r="CZ486" i="1"/>
  <c r="CZ489" i="1"/>
  <c r="CZ490" i="1"/>
  <c r="CZ491" i="1"/>
  <c r="CZ492" i="1"/>
  <c r="CZ493" i="1"/>
  <c r="CZ459" i="1"/>
  <c r="CZ494" i="1"/>
  <c r="CZ495" i="1"/>
  <c r="CZ496" i="1"/>
  <c r="CZ497" i="1"/>
  <c r="CZ498" i="1"/>
  <c r="CZ499" i="1"/>
  <c r="CZ500" i="1"/>
  <c r="CZ501" i="1"/>
  <c r="CZ502" i="1"/>
  <c r="CZ503" i="1"/>
  <c r="CZ504" i="1"/>
  <c r="CZ468" i="1"/>
  <c r="CZ506" i="1"/>
  <c r="CZ507" i="1"/>
  <c r="CZ510" i="1"/>
  <c r="CZ514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11" i="1"/>
  <c r="CZ550" i="1"/>
  <c r="CZ551" i="1"/>
  <c r="CZ552" i="1"/>
  <c r="CZ553" i="1"/>
  <c r="CZ512" i="1"/>
  <c r="CZ513" i="1"/>
  <c r="CZ554" i="1"/>
  <c r="CZ555" i="1"/>
  <c r="CZ556" i="1"/>
  <c r="CZ557" i="1"/>
  <c r="CZ558" i="1"/>
  <c r="CZ559" i="1"/>
  <c r="CZ560" i="1"/>
  <c r="CZ515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487" i="1"/>
  <c r="CZ488" i="1"/>
  <c r="CZ670" i="1"/>
  <c r="CZ671" i="1"/>
  <c r="CZ673" i="1"/>
  <c r="CZ674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90" i="1"/>
  <c r="CZ692" i="1"/>
  <c r="CZ693" i="1"/>
  <c r="CZ694" i="1"/>
  <c r="CZ695" i="1"/>
  <c r="CZ505" i="1"/>
  <c r="CZ696" i="1"/>
  <c r="CZ697" i="1"/>
  <c r="CZ698" i="1"/>
  <c r="CZ508" i="1"/>
  <c r="CZ700" i="1"/>
  <c r="CZ509" i="1"/>
  <c r="CZ701" i="1"/>
  <c r="CZ702" i="1"/>
  <c r="CZ703" i="1"/>
  <c r="CZ704" i="1"/>
  <c r="CZ705" i="1"/>
  <c r="CZ706" i="1"/>
  <c r="CZ707" i="1"/>
  <c r="CZ708" i="1"/>
  <c r="CZ710" i="1"/>
  <c r="CZ711" i="1"/>
  <c r="CZ712" i="1"/>
  <c r="CZ713" i="1"/>
  <c r="CZ714" i="1"/>
  <c r="CZ715" i="1"/>
  <c r="CZ717" i="1"/>
  <c r="CZ718" i="1"/>
  <c r="CZ719" i="1"/>
  <c r="CZ720" i="1"/>
  <c r="CZ721" i="1"/>
  <c r="CZ722" i="1"/>
  <c r="CZ723" i="1"/>
  <c r="CZ724" i="1"/>
  <c r="CZ725" i="1"/>
  <c r="CZ726" i="1"/>
  <c r="CZ727" i="1"/>
  <c r="CZ728" i="1"/>
  <c r="CZ729" i="1"/>
  <c r="CZ730" i="1"/>
  <c r="CZ731" i="1"/>
  <c r="CZ732" i="1"/>
  <c r="CZ733" i="1"/>
  <c r="CZ734" i="1"/>
  <c r="CZ735" i="1"/>
  <c r="CZ736" i="1"/>
  <c r="CZ737" i="1"/>
  <c r="CZ738" i="1"/>
  <c r="CZ739" i="1"/>
  <c r="CZ740" i="1"/>
  <c r="CZ741" i="1"/>
  <c r="CZ742" i="1"/>
  <c r="CZ743" i="1"/>
  <c r="CZ744" i="1"/>
  <c r="CZ745" i="1"/>
  <c r="CZ746" i="1"/>
  <c r="CZ747" i="1"/>
  <c r="CZ748" i="1"/>
  <c r="CZ749" i="1"/>
  <c r="CZ750" i="1"/>
  <c r="CZ751" i="1"/>
  <c r="CZ752" i="1"/>
  <c r="CZ753" i="1"/>
  <c r="CZ754" i="1"/>
  <c r="CZ755" i="1"/>
  <c r="CZ756" i="1"/>
  <c r="CZ757" i="1"/>
  <c r="CZ758" i="1"/>
  <c r="CZ759" i="1"/>
  <c r="CZ760" i="1"/>
  <c r="CZ761" i="1"/>
  <c r="CZ762" i="1"/>
  <c r="CZ763" i="1"/>
  <c r="CZ764" i="1"/>
  <c r="CZ765" i="1"/>
  <c r="CZ766" i="1"/>
  <c r="CZ767" i="1"/>
  <c r="CZ768" i="1"/>
  <c r="CZ769" i="1"/>
  <c r="CZ770" i="1"/>
  <c r="CZ771" i="1"/>
  <c r="CZ772" i="1"/>
  <c r="CZ773" i="1"/>
  <c r="CZ774" i="1"/>
  <c r="CZ775" i="1"/>
  <c r="CZ776" i="1"/>
  <c r="CZ777" i="1"/>
  <c r="CZ778" i="1"/>
  <c r="CZ779" i="1"/>
  <c r="CZ780" i="1"/>
  <c r="CZ781" i="1"/>
  <c r="CZ782" i="1"/>
  <c r="CZ783" i="1"/>
  <c r="CZ784" i="1"/>
  <c r="CZ785" i="1"/>
  <c r="CZ815" i="1"/>
  <c r="CZ817" i="1"/>
  <c r="CZ788" i="1"/>
  <c r="CZ821" i="1"/>
  <c r="CZ822" i="1"/>
  <c r="CZ823" i="1"/>
  <c r="CZ824" i="1"/>
  <c r="CZ825" i="1"/>
  <c r="CZ826" i="1"/>
  <c r="CZ789" i="1"/>
  <c r="CZ827" i="1"/>
  <c r="CZ828" i="1"/>
  <c r="CZ790" i="1"/>
  <c r="CZ791" i="1"/>
  <c r="CZ792" i="1"/>
  <c r="CZ793" i="1"/>
  <c r="CZ794" i="1"/>
  <c r="CZ795" i="1"/>
  <c r="CZ796" i="1"/>
  <c r="CZ798" i="1"/>
  <c r="CZ799" i="1"/>
  <c r="CZ800" i="1"/>
  <c r="CZ801" i="1"/>
  <c r="CZ802" i="1"/>
  <c r="CZ803" i="1"/>
  <c r="CZ804" i="1"/>
  <c r="CZ805" i="1"/>
  <c r="CZ806" i="1"/>
  <c r="CZ807" i="1"/>
  <c r="CZ808" i="1"/>
  <c r="CZ809" i="1"/>
  <c r="CZ810" i="1"/>
  <c r="CZ811" i="1"/>
  <c r="CZ812" i="1"/>
  <c r="CZ813" i="1"/>
  <c r="CZ814" i="1"/>
  <c r="CZ816" i="1"/>
  <c r="CZ818" i="1"/>
  <c r="CZ819" i="1"/>
  <c r="CZ820" i="1"/>
  <c r="CZ829" i="1"/>
  <c r="CZ830" i="1"/>
  <c r="CZ831" i="1"/>
  <c r="CZ832" i="1"/>
  <c r="CZ833" i="1"/>
  <c r="CZ834" i="1"/>
  <c r="CZ835" i="1"/>
  <c r="CZ836" i="1"/>
  <c r="CZ837" i="1"/>
  <c r="CZ838" i="1"/>
  <c r="CZ839" i="1"/>
  <c r="CZ840" i="1"/>
  <c r="CZ841" i="1"/>
  <c r="CZ842" i="1"/>
  <c r="CZ843" i="1"/>
  <c r="CZ844" i="1"/>
  <c r="CZ845" i="1"/>
  <c r="CZ846" i="1"/>
  <c r="CZ847" i="1"/>
  <c r="CZ848" i="1"/>
  <c r="CZ849" i="1"/>
  <c r="CZ850" i="1"/>
  <c r="CZ851" i="1"/>
  <c r="CZ852" i="1"/>
  <c r="CZ853" i="1"/>
  <c r="CZ854" i="1"/>
  <c r="CZ855" i="1"/>
  <c r="CZ856" i="1"/>
  <c r="CZ857" i="1"/>
  <c r="CZ858" i="1"/>
  <c r="CZ859" i="1"/>
  <c r="CZ860" i="1"/>
  <c r="CZ861" i="1"/>
  <c r="CZ862" i="1"/>
  <c r="CZ863" i="1"/>
  <c r="CZ864" i="1"/>
  <c r="CZ865" i="1"/>
  <c r="CZ866" i="1"/>
  <c r="CZ867" i="1"/>
  <c r="CZ868" i="1"/>
  <c r="CZ869" i="1"/>
  <c r="CZ870" i="1"/>
  <c r="CZ871" i="1"/>
  <c r="CZ872" i="1"/>
  <c r="CZ873" i="1"/>
  <c r="CZ874" i="1"/>
  <c r="CZ875" i="1"/>
  <c r="CZ876" i="1"/>
  <c r="CZ877" i="1"/>
  <c r="CZ878" i="1"/>
  <c r="CZ879" i="1"/>
  <c r="CZ880" i="1"/>
  <c r="CZ881" i="1"/>
  <c r="CZ882" i="1"/>
  <c r="CZ883" i="1"/>
  <c r="CZ884" i="1"/>
  <c r="CZ885" i="1"/>
  <c r="CZ886" i="1"/>
  <c r="CZ887" i="1"/>
  <c r="CZ888" i="1"/>
  <c r="CZ889" i="1"/>
  <c r="CZ890" i="1"/>
  <c r="CZ891" i="1"/>
  <c r="CZ892" i="1"/>
  <c r="CZ893" i="1"/>
  <c r="CZ894" i="1"/>
  <c r="CZ895" i="1"/>
  <c r="CZ896" i="1"/>
  <c r="CZ897" i="1"/>
  <c r="CZ898" i="1"/>
  <c r="CZ899" i="1"/>
  <c r="CZ900" i="1"/>
  <c r="CZ901" i="1"/>
  <c r="CZ902" i="1"/>
  <c r="CZ903" i="1"/>
  <c r="CZ904" i="1"/>
  <c r="CZ905" i="1"/>
  <c r="CZ906" i="1"/>
  <c r="CZ907" i="1"/>
  <c r="CZ908" i="1"/>
  <c r="CZ909" i="1"/>
  <c r="CZ910" i="1"/>
  <c r="CZ911" i="1"/>
  <c r="CZ912" i="1"/>
  <c r="CZ913" i="1"/>
  <c r="CZ914" i="1"/>
  <c r="CZ915" i="1"/>
  <c r="CZ916" i="1"/>
  <c r="CZ917" i="1"/>
  <c r="CZ918" i="1"/>
  <c r="CZ919" i="1"/>
  <c r="CZ920" i="1"/>
  <c r="CZ921" i="1"/>
  <c r="CZ922" i="1"/>
  <c r="CZ923" i="1"/>
  <c r="CZ924" i="1"/>
  <c r="CZ925" i="1"/>
  <c r="CZ926" i="1"/>
  <c r="CZ927" i="1"/>
  <c r="CZ928" i="1"/>
  <c r="CZ929" i="1"/>
  <c r="CZ930" i="1"/>
  <c r="CZ931" i="1"/>
  <c r="CZ932" i="1"/>
  <c r="CZ933" i="1"/>
  <c r="CZ934" i="1"/>
  <c r="CZ935" i="1"/>
  <c r="CZ936" i="1"/>
  <c r="CZ937" i="1"/>
  <c r="CZ938" i="1"/>
  <c r="CZ939" i="1"/>
  <c r="CZ940" i="1"/>
  <c r="CZ941" i="1"/>
  <c r="CZ942" i="1"/>
  <c r="CZ943" i="1"/>
  <c r="CZ944" i="1"/>
  <c r="CZ945" i="1"/>
  <c r="CZ946" i="1"/>
  <c r="CZ947" i="1"/>
  <c r="CZ948" i="1"/>
  <c r="CZ949" i="1"/>
  <c r="CZ950" i="1"/>
  <c r="CZ951" i="1"/>
  <c r="CZ952" i="1"/>
  <c r="CZ953" i="1"/>
  <c r="CZ954" i="1"/>
  <c r="CZ955" i="1"/>
  <c r="CZ956" i="1"/>
  <c r="CZ957" i="1"/>
  <c r="CZ958" i="1"/>
  <c r="CZ959" i="1"/>
  <c r="CZ960" i="1"/>
  <c r="CZ961" i="1"/>
  <c r="CZ962" i="1"/>
  <c r="CZ963" i="1"/>
  <c r="CZ964" i="1"/>
  <c r="CZ965" i="1"/>
  <c r="CZ966" i="1"/>
  <c r="CZ967" i="1"/>
  <c r="CZ968" i="1"/>
  <c r="CZ969" i="1"/>
  <c r="CZ970" i="1"/>
  <c r="CZ971" i="1"/>
  <c r="CZ972" i="1"/>
  <c r="CZ973" i="1"/>
  <c r="CZ974" i="1"/>
  <c r="CZ975" i="1"/>
  <c r="CZ976" i="1"/>
  <c r="CZ977" i="1"/>
  <c r="CZ978" i="1"/>
  <c r="CZ979" i="1"/>
  <c r="CZ980" i="1"/>
  <c r="CZ981" i="1"/>
  <c r="CZ982" i="1"/>
  <c r="CZ983" i="1"/>
  <c r="CZ984" i="1"/>
  <c r="CZ985" i="1"/>
  <c r="CZ986" i="1"/>
  <c r="CZ987" i="1"/>
  <c r="CZ988" i="1"/>
  <c r="CZ989" i="1"/>
  <c r="CZ990" i="1"/>
  <c r="CZ991" i="1"/>
  <c r="CZ992" i="1"/>
  <c r="CZ993" i="1"/>
  <c r="CZ994" i="1"/>
  <c r="CZ995" i="1"/>
  <c r="CZ996" i="1"/>
  <c r="CZ997" i="1"/>
  <c r="CZ998" i="1"/>
  <c r="CZ999" i="1"/>
  <c r="CZ1000" i="1"/>
  <c r="CZ1001" i="1"/>
  <c r="CZ1002" i="1"/>
  <c r="CZ1003" i="1"/>
  <c r="CZ1004" i="1"/>
  <c r="CZ1005" i="1"/>
  <c r="CZ1006" i="1"/>
  <c r="CZ1007" i="1"/>
  <c r="CZ1008" i="1"/>
  <c r="CZ1009" i="1"/>
  <c r="CZ1010" i="1"/>
  <c r="CZ1011" i="1"/>
  <c r="CZ1012" i="1"/>
  <c r="CZ1013" i="1"/>
  <c r="CZ1014" i="1"/>
  <c r="CZ1015" i="1"/>
  <c r="CZ1016" i="1"/>
  <c r="CZ1017" i="1"/>
  <c r="CZ1018" i="1"/>
  <c r="CZ1019" i="1"/>
  <c r="CZ1020" i="1"/>
  <c r="CZ1021" i="1"/>
  <c r="CZ1022" i="1"/>
  <c r="CZ1023" i="1"/>
  <c r="CZ1024" i="1"/>
  <c r="CZ1025" i="1"/>
  <c r="CZ1026" i="1"/>
  <c r="CZ1027" i="1"/>
  <c r="CZ1028" i="1"/>
  <c r="CZ1029" i="1"/>
  <c r="CZ1030" i="1"/>
  <c r="CZ1031" i="1"/>
  <c r="CZ1032" i="1"/>
  <c r="CZ1033" i="1"/>
  <c r="CZ1034" i="1"/>
  <c r="CZ1035" i="1"/>
  <c r="CZ1036" i="1"/>
  <c r="CZ1037" i="1"/>
  <c r="CZ1038" i="1"/>
  <c r="CZ1039" i="1"/>
  <c r="CZ1040" i="1"/>
  <c r="CZ1041" i="1"/>
  <c r="CZ1042" i="1"/>
  <c r="CZ1043" i="1"/>
  <c r="CZ1044" i="1"/>
  <c r="CZ1045" i="1"/>
  <c r="CZ1046" i="1"/>
  <c r="CZ1047" i="1"/>
  <c r="CZ1048" i="1"/>
  <c r="CZ1049" i="1"/>
  <c r="CZ1050" i="1"/>
  <c r="CZ1051" i="1"/>
  <c r="CZ1052" i="1"/>
  <c r="CZ1053" i="1"/>
  <c r="CZ1054" i="1"/>
  <c r="CZ1055" i="1"/>
  <c r="CZ1056" i="1"/>
  <c r="CZ1057" i="1"/>
  <c r="CZ1058" i="1"/>
  <c r="CZ1059" i="1"/>
  <c r="CZ1060" i="1"/>
  <c r="CZ1061" i="1"/>
  <c r="CZ1062" i="1"/>
  <c r="CZ1063" i="1"/>
  <c r="CZ1064" i="1"/>
  <c r="CZ1065" i="1"/>
  <c r="CZ1066" i="1"/>
  <c r="CZ1067" i="1"/>
  <c r="CZ1068" i="1"/>
  <c r="CZ1069" i="1"/>
  <c r="CZ1070" i="1"/>
  <c r="CZ1071" i="1"/>
  <c r="CZ1072" i="1"/>
  <c r="CZ1073" i="1"/>
  <c r="CZ1074" i="1"/>
  <c r="CZ1075" i="1"/>
  <c r="CZ1076" i="1"/>
  <c r="CZ1077" i="1"/>
  <c r="CZ1078" i="1"/>
  <c r="CZ1079" i="1"/>
  <c r="CZ1080" i="1"/>
  <c r="CZ1081" i="1"/>
  <c r="CZ1082" i="1"/>
  <c r="CZ1083" i="1"/>
  <c r="CZ1084" i="1"/>
  <c r="CZ1085" i="1"/>
  <c r="CZ1086" i="1"/>
  <c r="CZ1087" i="1"/>
  <c r="CZ1088" i="1"/>
  <c r="CZ1089" i="1"/>
  <c r="CZ1090" i="1"/>
  <c r="CZ1091" i="1"/>
  <c r="CZ1092" i="1"/>
  <c r="CZ1093" i="1"/>
  <c r="CZ1094" i="1"/>
  <c r="CZ1095" i="1"/>
  <c r="CZ1096" i="1"/>
  <c r="CZ1097" i="1"/>
  <c r="CZ1098" i="1"/>
  <c r="CZ1099" i="1"/>
  <c r="CZ1100" i="1"/>
  <c r="CZ1101" i="1"/>
  <c r="CZ1102" i="1"/>
  <c r="CZ1103" i="1"/>
  <c r="CZ1104" i="1"/>
  <c r="CZ1105" i="1"/>
  <c r="CZ1106" i="1"/>
  <c r="CZ1107" i="1"/>
  <c r="CZ1108" i="1"/>
  <c r="CZ1109" i="1"/>
  <c r="CZ1110" i="1"/>
  <c r="CZ1111" i="1"/>
  <c r="CZ1112" i="1"/>
  <c r="CZ1113" i="1"/>
  <c r="CZ1114" i="1"/>
  <c r="CZ1115" i="1"/>
  <c r="CZ1116" i="1"/>
  <c r="CZ1117" i="1"/>
  <c r="CZ1118" i="1"/>
  <c r="CZ1119" i="1"/>
  <c r="CZ1120" i="1"/>
  <c r="CZ1121" i="1"/>
  <c r="CZ797" i="1"/>
  <c r="CZ786" i="1"/>
  <c r="CZ787" i="1"/>
  <c r="CZ1122" i="1"/>
  <c r="CZ1123" i="1"/>
  <c r="CZ1124" i="1"/>
  <c r="CZ1125" i="1"/>
  <c r="CZ1126" i="1"/>
  <c r="CZ1127" i="1"/>
  <c r="CZ1128" i="1"/>
  <c r="CZ1129" i="1"/>
  <c r="CZ1130" i="1"/>
  <c r="CZ1131" i="1"/>
  <c r="CZ1132" i="1"/>
  <c r="CZ1133" i="1"/>
  <c r="CZ1134" i="1"/>
  <c r="CZ1135" i="1"/>
  <c r="CR4" i="1"/>
  <c r="CU4" i="1"/>
  <c r="CX4" i="1" s="1"/>
  <c r="CY4" i="1" s="1"/>
  <c r="CR5" i="1"/>
  <c r="CS5" i="1"/>
  <c r="CT5" i="1" s="1"/>
  <c r="CU5" i="1"/>
  <c r="CX5" i="1" s="1"/>
  <c r="CY5" i="1" s="1"/>
  <c r="CR6" i="1"/>
  <c r="CS6" i="1"/>
  <c r="CT6" i="1" s="1"/>
  <c r="CU6" i="1"/>
  <c r="CX6" i="1" s="1"/>
  <c r="CY6" i="1" s="1"/>
  <c r="CR7" i="1"/>
  <c r="CU7" i="1"/>
  <c r="CX7" i="1" s="1"/>
  <c r="CY7" i="1" s="1"/>
  <c r="CR8" i="1"/>
  <c r="CS8" i="1"/>
  <c r="CT8" i="1" s="1"/>
  <c r="CU8" i="1"/>
  <c r="CX8" i="1" s="1"/>
  <c r="CY8" i="1" s="1"/>
  <c r="CR9" i="1"/>
  <c r="CU9" i="1"/>
  <c r="CX9" i="1" s="1"/>
  <c r="CY9" i="1" s="1"/>
  <c r="CR10" i="1"/>
  <c r="CS10" i="1"/>
  <c r="CT10" i="1" s="1"/>
  <c r="CU10" i="1"/>
  <c r="CX10" i="1" s="1"/>
  <c r="CY10" i="1" s="1"/>
  <c r="CR11" i="1"/>
  <c r="CS11" i="1"/>
  <c r="CT11" i="1" s="1"/>
  <c r="CU11" i="1"/>
  <c r="CX11" i="1" s="1"/>
  <c r="CY11" i="1" s="1"/>
  <c r="CR12" i="1"/>
  <c r="CS12" i="1"/>
  <c r="CT12" i="1" s="1"/>
  <c r="CU12" i="1"/>
  <c r="CX12" i="1" s="1"/>
  <c r="CY12" i="1" s="1"/>
  <c r="CR13" i="1"/>
  <c r="CU13" i="1"/>
  <c r="CX13" i="1" s="1"/>
  <c r="CY13" i="1" s="1"/>
  <c r="CR14" i="1"/>
  <c r="CU14" i="1"/>
  <c r="CX14" i="1" s="1"/>
  <c r="CY14" i="1" s="1"/>
  <c r="CR15" i="1"/>
  <c r="CU15" i="1"/>
  <c r="CX15" i="1" s="1"/>
  <c r="CY15" i="1" s="1"/>
  <c r="CR16" i="1"/>
  <c r="CS16" i="1"/>
  <c r="CT16" i="1" s="1"/>
  <c r="CU16" i="1"/>
  <c r="CX16" i="1" s="1"/>
  <c r="CY16" i="1" s="1"/>
  <c r="CR17" i="1"/>
  <c r="CU17" i="1"/>
  <c r="CX17" i="1" s="1"/>
  <c r="CY17" i="1" s="1"/>
  <c r="CR18" i="1"/>
  <c r="CU18" i="1"/>
  <c r="CX18" i="1" s="1"/>
  <c r="CY18" i="1" s="1"/>
  <c r="CR19" i="1"/>
  <c r="CS19" i="1"/>
  <c r="CT19" i="1" s="1"/>
  <c r="CU19" i="1"/>
  <c r="CX19" i="1" s="1"/>
  <c r="CY19" i="1" s="1"/>
  <c r="CR21" i="1"/>
  <c r="CU21" i="1"/>
  <c r="CX21" i="1" s="1"/>
  <c r="CY21" i="1" s="1"/>
  <c r="CR22" i="1"/>
  <c r="CS22" i="1"/>
  <c r="CT22" i="1" s="1"/>
  <c r="CU22" i="1"/>
  <c r="CX22" i="1" s="1"/>
  <c r="CY22" i="1" s="1"/>
  <c r="CR257" i="1"/>
  <c r="CS257" i="1"/>
  <c r="CT257" i="1" s="1"/>
  <c r="CU257" i="1"/>
  <c r="CX257" i="1" s="1"/>
  <c r="CY257" i="1" s="1"/>
  <c r="CR23" i="1"/>
  <c r="CS23" i="1"/>
  <c r="CT23" i="1" s="1"/>
  <c r="CU23" i="1"/>
  <c r="CX23" i="1" s="1"/>
  <c r="CY23" i="1" s="1"/>
  <c r="CR24" i="1"/>
  <c r="CS24" i="1"/>
  <c r="CT24" i="1" s="1"/>
  <c r="CU24" i="1"/>
  <c r="CX24" i="1" s="1"/>
  <c r="CY24" i="1" s="1"/>
  <c r="CR25" i="1"/>
  <c r="CU25" i="1"/>
  <c r="CX25" i="1" s="1"/>
  <c r="CY25" i="1" s="1"/>
  <c r="CR26" i="1"/>
  <c r="CU26" i="1"/>
  <c r="CX26" i="1" s="1"/>
  <c r="CY26" i="1" s="1"/>
  <c r="CR27" i="1"/>
  <c r="CU27" i="1"/>
  <c r="CX27" i="1" s="1"/>
  <c r="CY27" i="1" s="1"/>
  <c r="CR28" i="1"/>
  <c r="CU28" i="1"/>
  <c r="CX28" i="1" s="1"/>
  <c r="CY28" i="1" s="1"/>
  <c r="CR29" i="1"/>
  <c r="CU29" i="1"/>
  <c r="CX29" i="1" s="1"/>
  <c r="CY29" i="1" s="1"/>
  <c r="CR30" i="1"/>
  <c r="CU30" i="1"/>
  <c r="CX30" i="1" s="1"/>
  <c r="CY30" i="1" s="1"/>
  <c r="CR161" i="1"/>
  <c r="CU161" i="1"/>
  <c r="CX161" i="1" s="1"/>
  <c r="CY161" i="1" s="1"/>
  <c r="CR33" i="1"/>
  <c r="CS33" i="1"/>
  <c r="CT33" i="1" s="1"/>
  <c r="CU33" i="1"/>
  <c r="CX33" i="1" s="1"/>
  <c r="CY33" i="1" s="1"/>
  <c r="CR34" i="1"/>
  <c r="CU34" i="1"/>
  <c r="CX34" i="1" s="1"/>
  <c r="CY34" i="1" s="1"/>
  <c r="CR35" i="1"/>
  <c r="CS35" i="1"/>
  <c r="CT35" i="1" s="1"/>
  <c r="CU35" i="1"/>
  <c r="CX35" i="1" s="1"/>
  <c r="CY35" i="1" s="1"/>
  <c r="CR36" i="1"/>
  <c r="CS36" i="1"/>
  <c r="CT36" i="1" s="1"/>
  <c r="CU36" i="1"/>
  <c r="CX36" i="1" s="1"/>
  <c r="CY36" i="1" s="1"/>
  <c r="CR37" i="1"/>
  <c r="CS37" i="1"/>
  <c r="CT37" i="1" s="1"/>
  <c r="CU37" i="1"/>
  <c r="CX37" i="1" s="1"/>
  <c r="CY37" i="1" s="1"/>
  <c r="CR363" i="1"/>
  <c r="CS363" i="1"/>
  <c r="CT363" i="1" s="1"/>
  <c r="CU363" i="1"/>
  <c r="CX363" i="1" s="1"/>
  <c r="CY363" i="1" s="1"/>
  <c r="CR38" i="1"/>
  <c r="CS38" i="1"/>
  <c r="CT38" i="1" s="1"/>
  <c r="CU38" i="1"/>
  <c r="CX38" i="1" s="1"/>
  <c r="CY38" i="1" s="1"/>
  <c r="CR39" i="1"/>
  <c r="CS39" i="1"/>
  <c r="CT39" i="1" s="1"/>
  <c r="CU39" i="1"/>
  <c r="CX39" i="1" s="1"/>
  <c r="CY39" i="1" s="1"/>
  <c r="CR40" i="1"/>
  <c r="CS40" i="1"/>
  <c r="CT40" i="1" s="1"/>
  <c r="CU40" i="1"/>
  <c r="CX40" i="1" s="1"/>
  <c r="CY40" i="1" s="1"/>
  <c r="CR219" i="1"/>
  <c r="CS219" i="1"/>
  <c r="CT219" i="1" s="1"/>
  <c r="CU219" i="1"/>
  <c r="CX219" i="1" s="1"/>
  <c r="CY219" i="1" s="1"/>
  <c r="CR319" i="1"/>
  <c r="CS319" i="1"/>
  <c r="CT319" i="1" s="1"/>
  <c r="CU319" i="1"/>
  <c r="CX319" i="1" s="1"/>
  <c r="CY319" i="1" s="1"/>
  <c r="CR41" i="1"/>
  <c r="CU41" i="1"/>
  <c r="CX41" i="1" s="1"/>
  <c r="CY41" i="1" s="1"/>
  <c r="CR42" i="1"/>
  <c r="CU42" i="1"/>
  <c r="CX42" i="1" s="1"/>
  <c r="CY42" i="1" s="1"/>
  <c r="CR43" i="1"/>
  <c r="CU43" i="1"/>
  <c r="CX43" i="1" s="1"/>
  <c r="CY43" i="1" s="1"/>
  <c r="CR44" i="1"/>
  <c r="CS44" i="1"/>
  <c r="CT44" i="1" s="1"/>
  <c r="CU44" i="1"/>
  <c r="CX44" i="1" s="1"/>
  <c r="CY44" i="1" s="1"/>
  <c r="CR45" i="1"/>
  <c r="CU45" i="1"/>
  <c r="CX45" i="1" s="1"/>
  <c r="CY45" i="1" s="1"/>
  <c r="CR46" i="1"/>
  <c r="CU46" i="1"/>
  <c r="CX46" i="1" s="1"/>
  <c r="CY46" i="1" s="1"/>
  <c r="CR47" i="1"/>
  <c r="CU47" i="1"/>
  <c r="CX47" i="1" s="1"/>
  <c r="CY47" i="1" s="1"/>
  <c r="CR48" i="1"/>
  <c r="CS48" i="1"/>
  <c r="CT48" i="1" s="1"/>
  <c r="CU48" i="1"/>
  <c r="CX48" i="1" s="1"/>
  <c r="CY48" i="1" s="1"/>
  <c r="CR49" i="1"/>
  <c r="CU49" i="1"/>
  <c r="CX49" i="1" s="1"/>
  <c r="CY49" i="1" s="1"/>
  <c r="CR50" i="1"/>
  <c r="CS50" i="1"/>
  <c r="CT50" i="1" s="1"/>
  <c r="CU50" i="1"/>
  <c r="CX50" i="1" s="1"/>
  <c r="CY50" i="1" s="1"/>
  <c r="CR51" i="1"/>
  <c r="CS51" i="1"/>
  <c r="CT51" i="1" s="1"/>
  <c r="CU51" i="1"/>
  <c r="CX51" i="1" s="1"/>
  <c r="CY51" i="1" s="1"/>
  <c r="CR52" i="1"/>
  <c r="CS52" i="1"/>
  <c r="CT52" i="1" s="1"/>
  <c r="CU52" i="1"/>
  <c r="CX52" i="1" s="1"/>
  <c r="CY52" i="1" s="1"/>
  <c r="CR53" i="1"/>
  <c r="CS53" i="1"/>
  <c r="CT53" i="1" s="1"/>
  <c r="CU53" i="1"/>
  <c r="CX53" i="1" s="1"/>
  <c r="CY53" i="1" s="1"/>
  <c r="CR54" i="1"/>
  <c r="CS54" i="1"/>
  <c r="CT54" i="1" s="1"/>
  <c r="CU54" i="1"/>
  <c r="CX54" i="1" s="1"/>
  <c r="CY54" i="1" s="1"/>
  <c r="CR55" i="1"/>
  <c r="CS55" i="1"/>
  <c r="CT55" i="1" s="1"/>
  <c r="CU55" i="1"/>
  <c r="CX55" i="1" s="1"/>
  <c r="CY55" i="1" s="1"/>
  <c r="CR56" i="1"/>
  <c r="CS56" i="1"/>
  <c r="CT56" i="1" s="1"/>
  <c r="CU56" i="1"/>
  <c r="CX56" i="1" s="1"/>
  <c r="CY56" i="1" s="1"/>
  <c r="CR57" i="1"/>
  <c r="CS57" i="1"/>
  <c r="CT57" i="1" s="1"/>
  <c r="CU57" i="1"/>
  <c r="CX57" i="1" s="1"/>
  <c r="CY57" i="1" s="1"/>
  <c r="CR58" i="1"/>
  <c r="CS58" i="1"/>
  <c r="CT58" i="1" s="1"/>
  <c r="CU58" i="1"/>
  <c r="CX58" i="1" s="1"/>
  <c r="CY58" i="1" s="1"/>
  <c r="CR59" i="1"/>
  <c r="CU59" i="1"/>
  <c r="CX59" i="1" s="1"/>
  <c r="CY59" i="1" s="1"/>
  <c r="CR60" i="1"/>
  <c r="CU60" i="1"/>
  <c r="CX60" i="1" s="1"/>
  <c r="CY60" i="1" s="1"/>
  <c r="CR61" i="1"/>
  <c r="CU61" i="1"/>
  <c r="CX61" i="1" s="1"/>
  <c r="CY61" i="1" s="1"/>
  <c r="CR62" i="1"/>
  <c r="CU62" i="1"/>
  <c r="CX62" i="1" s="1"/>
  <c r="CY62" i="1" s="1"/>
  <c r="CR63" i="1"/>
  <c r="CU63" i="1"/>
  <c r="CX63" i="1" s="1"/>
  <c r="CY63" i="1" s="1"/>
  <c r="CR64" i="1"/>
  <c r="CS64" i="1"/>
  <c r="CT64" i="1" s="1"/>
  <c r="CU64" i="1"/>
  <c r="CX64" i="1" s="1"/>
  <c r="CY64" i="1" s="1"/>
  <c r="CR65" i="1"/>
  <c r="CS65" i="1"/>
  <c r="CT65" i="1" s="1"/>
  <c r="CU65" i="1"/>
  <c r="CX65" i="1" s="1"/>
  <c r="CY65" i="1" s="1"/>
  <c r="CR66" i="1"/>
  <c r="CU66" i="1"/>
  <c r="CX66" i="1" s="1"/>
  <c r="CY66" i="1" s="1"/>
  <c r="CR67" i="1"/>
  <c r="CS67" i="1"/>
  <c r="CT67" i="1" s="1"/>
  <c r="CU67" i="1"/>
  <c r="CX67" i="1" s="1"/>
  <c r="CY67" i="1" s="1"/>
  <c r="CR70" i="1"/>
  <c r="CS70" i="1"/>
  <c r="CT70" i="1" s="1"/>
  <c r="CU70" i="1"/>
  <c r="CX70" i="1" s="1"/>
  <c r="CY70" i="1" s="1"/>
  <c r="CR71" i="1"/>
  <c r="CU71" i="1"/>
  <c r="CX71" i="1" s="1"/>
  <c r="CY71" i="1" s="1"/>
  <c r="CR72" i="1"/>
  <c r="CS72" i="1"/>
  <c r="CT72" i="1" s="1"/>
  <c r="CU72" i="1"/>
  <c r="CX72" i="1" s="1"/>
  <c r="CY72" i="1" s="1"/>
  <c r="CR73" i="1"/>
  <c r="CS73" i="1"/>
  <c r="CT73" i="1" s="1"/>
  <c r="CU73" i="1"/>
  <c r="CX73" i="1" s="1"/>
  <c r="CY73" i="1" s="1"/>
  <c r="CR74" i="1"/>
  <c r="CU74" i="1"/>
  <c r="CX74" i="1" s="1"/>
  <c r="CY74" i="1" s="1"/>
  <c r="CR75" i="1"/>
  <c r="CS75" i="1"/>
  <c r="CT75" i="1" s="1"/>
  <c r="CU75" i="1"/>
  <c r="CX75" i="1" s="1"/>
  <c r="CY75" i="1" s="1"/>
  <c r="CR76" i="1"/>
  <c r="CU76" i="1"/>
  <c r="CX76" i="1" s="1"/>
  <c r="CY76" i="1" s="1"/>
  <c r="CR77" i="1"/>
  <c r="CU77" i="1"/>
  <c r="CX77" i="1" s="1"/>
  <c r="CY77" i="1" s="1"/>
  <c r="CR78" i="1"/>
  <c r="CU78" i="1"/>
  <c r="CX78" i="1" s="1"/>
  <c r="CY78" i="1" s="1"/>
  <c r="CR79" i="1"/>
  <c r="CU79" i="1"/>
  <c r="CX79" i="1" s="1"/>
  <c r="CY79" i="1" s="1"/>
  <c r="CR80" i="1"/>
  <c r="CU80" i="1"/>
  <c r="CX80" i="1" s="1"/>
  <c r="CY80" i="1" s="1"/>
  <c r="CR81" i="1"/>
  <c r="CS81" i="1"/>
  <c r="CT81" i="1" s="1"/>
  <c r="CU81" i="1"/>
  <c r="CX81" i="1" s="1"/>
  <c r="CY81" i="1" s="1"/>
  <c r="CR82" i="1"/>
  <c r="CU82" i="1"/>
  <c r="CX82" i="1" s="1"/>
  <c r="CY82" i="1" s="1"/>
  <c r="CR83" i="1"/>
  <c r="CS83" i="1"/>
  <c r="CT83" i="1" s="1"/>
  <c r="CU83" i="1"/>
  <c r="CX83" i="1" s="1"/>
  <c r="CY83" i="1" s="1"/>
  <c r="CR84" i="1"/>
  <c r="CS84" i="1"/>
  <c r="CT84" i="1" s="1"/>
  <c r="CU84" i="1"/>
  <c r="CX84" i="1" s="1"/>
  <c r="CY84" i="1" s="1"/>
  <c r="CR85" i="1"/>
  <c r="CU85" i="1"/>
  <c r="CX85" i="1" s="1"/>
  <c r="CY85" i="1" s="1"/>
  <c r="CR86" i="1"/>
  <c r="CS86" i="1"/>
  <c r="CT86" i="1" s="1"/>
  <c r="CU86" i="1"/>
  <c r="CX86" i="1" s="1"/>
  <c r="CY86" i="1" s="1"/>
  <c r="CR87" i="1"/>
  <c r="CS87" i="1"/>
  <c r="CT87" i="1" s="1"/>
  <c r="CU87" i="1"/>
  <c r="CX87" i="1" s="1"/>
  <c r="CY87" i="1" s="1"/>
  <c r="CR88" i="1"/>
  <c r="CS88" i="1"/>
  <c r="CT88" i="1" s="1"/>
  <c r="CU88" i="1"/>
  <c r="CX88" i="1" s="1"/>
  <c r="CY88" i="1" s="1"/>
  <c r="CR89" i="1"/>
  <c r="CU89" i="1"/>
  <c r="CX89" i="1" s="1"/>
  <c r="CY89" i="1" s="1"/>
  <c r="CR90" i="1"/>
  <c r="CS90" i="1"/>
  <c r="CT90" i="1" s="1"/>
  <c r="CU90" i="1"/>
  <c r="CX90" i="1" s="1"/>
  <c r="CY90" i="1" s="1"/>
  <c r="CR91" i="1"/>
  <c r="CS91" i="1"/>
  <c r="CT91" i="1" s="1"/>
  <c r="CU91" i="1"/>
  <c r="CX91" i="1" s="1"/>
  <c r="CY91" i="1" s="1"/>
  <c r="CR92" i="1"/>
  <c r="CU92" i="1"/>
  <c r="CX92" i="1" s="1"/>
  <c r="CY92" i="1" s="1"/>
  <c r="CR94" i="1"/>
  <c r="CU94" i="1"/>
  <c r="CX94" i="1" s="1"/>
  <c r="CY94" i="1" s="1"/>
  <c r="CR95" i="1"/>
  <c r="CS95" i="1"/>
  <c r="CT95" i="1" s="1"/>
  <c r="CU95" i="1"/>
  <c r="CX95" i="1" s="1"/>
  <c r="CY95" i="1" s="1"/>
  <c r="CR96" i="1"/>
  <c r="CS96" i="1"/>
  <c r="CT96" i="1" s="1"/>
  <c r="CU96" i="1"/>
  <c r="CX96" i="1" s="1"/>
  <c r="CY96" i="1" s="1"/>
  <c r="CR97" i="1"/>
  <c r="CS97" i="1"/>
  <c r="CT97" i="1" s="1"/>
  <c r="CU97" i="1"/>
  <c r="CX97" i="1" s="1"/>
  <c r="CY97" i="1" s="1"/>
  <c r="CR98" i="1"/>
  <c r="CS98" i="1"/>
  <c r="CT98" i="1" s="1"/>
  <c r="CU98" i="1"/>
  <c r="CX98" i="1" s="1"/>
  <c r="CY98" i="1" s="1"/>
  <c r="CR240" i="1"/>
  <c r="CS240" i="1"/>
  <c r="CT240" i="1" s="1"/>
  <c r="CU240" i="1"/>
  <c r="CX240" i="1" s="1"/>
  <c r="CY240" i="1" s="1"/>
  <c r="CR99" i="1"/>
  <c r="CS99" i="1"/>
  <c r="CT99" i="1" s="1"/>
  <c r="CU99" i="1"/>
  <c r="CX99" i="1" s="1"/>
  <c r="CY99" i="1" s="1"/>
  <c r="CR100" i="1"/>
  <c r="CS100" i="1"/>
  <c r="CT100" i="1" s="1"/>
  <c r="CU100" i="1"/>
  <c r="CX100" i="1" s="1"/>
  <c r="CY100" i="1" s="1"/>
  <c r="CR101" i="1"/>
  <c r="CU101" i="1"/>
  <c r="CX101" i="1" s="1"/>
  <c r="CY101" i="1" s="1"/>
  <c r="CR102" i="1"/>
  <c r="CS102" i="1"/>
  <c r="CT102" i="1" s="1"/>
  <c r="CU102" i="1"/>
  <c r="CX102" i="1" s="1"/>
  <c r="CY102" i="1" s="1"/>
  <c r="CR103" i="1"/>
  <c r="CS103" i="1"/>
  <c r="CT103" i="1" s="1"/>
  <c r="CU103" i="1"/>
  <c r="CX103" i="1" s="1"/>
  <c r="CY103" i="1" s="1"/>
  <c r="CR104" i="1"/>
  <c r="CS104" i="1"/>
  <c r="CT104" i="1" s="1"/>
  <c r="CU104" i="1"/>
  <c r="CX104" i="1" s="1"/>
  <c r="CY104" i="1" s="1"/>
  <c r="CR341" i="1"/>
  <c r="CS341" i="1"/>
  <c r="CT341" i="1" s="1"/>
  <c r="CU341" i="1"/>
  <c r="CX341" i="1" s="1"/>
  <c r="CY341" i="1" s="1"/>
  <c r="CR105" i="1"/>
  <c r="CS105" i="1"/>
  <c r="CT105" i="1" s="1"/>
  <c r="CU105" i="1"/>
  <c r="CX105" i="1" s="1"/>
  <c r="CY105" i="1" s="1"/>
  <c r="CR106" i="1"/>
  <c r="CS106" i="1"/>
  <c r="CT106" i="1" s="1"/>
  <c r="CU106" i="1"/>
  <c r="CX106" i="1" s="1"/>
  <c r="CY106" i="1" s="1"/>
  <c r="CR107" i="1"/>
  <c r="CU107" i="1"/>
  <c r="CX107" i="1" s="1"/>
  <c r="CY107" i="1" s="1"/>
  <c r="CR108" i="1"/>
  <c r="CS108" i="1"/>
  <c r="CT108" i="1" s="1"/>
  <c r="CU108" i="1"/>
  <c r="CX108" i="1" s="1"/>
  <c r="CY108" i="1" s="1"/>
  <c r="CR109" i="1"/>
  <c r="CS109" i="1"/>
  <c r="CT109" i="1" s="1"/>
  <c r="CU109" i="1"/>
  <c r="CX109" i="1" s="1"/>
  <c r="CY109" i="1" s="1"/>
  <c r="CR110" i="1"/>
  <c r="CU110" i="1"/>
  <c r="CX110" i="1" s="1"/>
  <c r="CY110" i="1" s="1"/>
  <c r="CR111" i="1"/>
  <c r="CU111" i="1"/>
  <c r="CX111" i="1" s="1"/>
  <c r="CY111" i="1" s="1"/>
  <c r="CR68" i="1"/>
  <c r="CS68" i="1"/>
  <c r="CT68" i="1" s="1"/>
  <c r="CU68" i="1"/>
  <c r="CX68" i="1" s="1"/>
  <c r="CY68" i="1" s="1"/>
  <c r="CR69" i="1"/>
  <c r="CS69" i="1"/>
  <c r="CT69" i="1" s="1"/>
  <c r="CU69" i="1"/>
  <c r="CX69" i="1" s="1"/>
  <c r="CY69" i="1" s="1"/>
  <c r="CR112" i="1"/>
  <c r="CS112" i="1"/>
  <c r="CT112" i="1" s="1"/>
  <c r="CU112" i="1"/>
  <c r="CX112" i="1" s="1"/>
  <c r="CY112" i="1" s="1"/>
  <c r="CR113" i="1"/>
  <c r="CU113" i="1"/>
  <c r="CX113" i="1" s="1"/>
  <c r="CY113" i="1" s="1"/>
  <c r="CR114" i="1"/>
  <c r="CU114" i="1"/>
  <c r="CX114" i="1" s="1"/>
  <c r="CY114" i="1" s="1"/>
  <c r="CR115" i="1"/>
  <c r="CU115" i="1"/>
  <c r="CX115" i="1" s="1"/>
  <c r="CY115" i="1" s="1"/>
  <c r="CR116" i="1"/>
  <c r="CU116" i="1"/>
  <c r="CX116" i="1" s="1"/>
  <c r="CY116" i="1" s="1"/>
  <c r="CR117" i="1"/>
  <c r="CU117" i="1"/>
  <c r="CX117" i="1" s="1"/>
  <c r="CY117" i="1" s="1"/>
  <c r="CR118" i="1"/>
  <c r="CS118" i="1"/>
  <c r="CT118" i="1" s="1"/>
  <c r="CU118" i="1"/>
  <c r="CX118" i="1" s="1"/>
  <c r="CY118" i="1" s="1"/>
  <c r="CR119" i="1"/>
  <c r="CS119" i="1"/>
  <c r="CT119" i="1" s="1"/>
  <c r="CU119" i="1"/>
  <c r="CX119" i="1" s="1"/>
  <c r="CY119" i="1" s="1"/>
  <c r="CR120" i="1"/>
  <c r="CS120" i="1"/>
  <c r="CT120" i="1" s="1"/>
  <c r="CU120" i="1"/>
  <c r="CX120" i="1" s="1"/>
  <c r="CY120" i="1" s="1"/>
  <c r="CR121" i="1"/>
  <c r="CS121" i="1"/>
  <c r="CT121" i="1" s="1"/>
  <c r="CU121" i="1"/>
  <c r="CX121" i="1" s="1"/>
  <c r="CY121" i="1" s="1"/>
  <c r="CR122" i="1"/>
  <c r="CS122" i="1"/>
  <c r="CT122" i="1" s="1"/>
  <c r="CU122" i="1"/>
  <c r="CX122" i="1" s="1"/>
  <c r="CY122" i="1" s="1"/>
  <c r="CR123" i="1"/>
  <c r="CS123" i="1"/>
  <c r="CT123" i="1" s="1"/>
  <c r="CU123" i="1"/>
  <c r="CX123" i="1" s="1"/>
  <c r="CY123" i="1" s="1"/>
  <c r="CR124" i="1"/>
  <c r="CS124" i="1"/>
  <c r="CT124" i="1" s="1"/>
  <c r="CU124" i="1"/>
  <c r="CX124" i="1" s="1"/>
  <c r="CY124" i="1" s="1"/>
  <c r="CR125" i="1"/>
  <c r="CS125" i="1"/>
  <c r="CT125" i="1" s="1"/>
  <c r="CU125" i="1"/>
  <c r="CX125" i="1" s="1"/>
  <c r="CY125" i="1" s="1"/>
  <c r="CR126" i="1"/>
  <c r="CS126" i="1"/>
  <c r="CT126" i="1" s="1"/>
  <c r="CU126" i="1"/>
  <c r="CX126" i="1" s="1"/>
  <c r="CY126" i="1" s="1"/>
  <c r="CR127" i="1"/>
  <c r="CU127" i="1"/>
  <c r="CX127" i="1" s="1"/>
  <c r="CY127" i="1" s="1"/>
  <c r="CR128" i="1"/>
  <c r="CS128" i="1"/>
  <c r="CT128" i="1" s="1"/>
  <c r="CU128" i="1"/>
  <c r="CX128" i="1" s="1"/>
  <c r="CY128" i="1" s="1"/>
  <c r="CR129" i="1"/>
  <c r="CS129" i="1"/>
  <c r="CT129" i="1" s="1"/>
  <c r="CU129" i="1"/>
  <c r="CX129" i="1" s="1"/>
  <c r="CY129" i="1" s="1"/>
  <c r="CR130" i="1"/>
  <c r="CS130" i="1"/>
  <c r="CT130" i="1" s="1"/>
  <c r="CU130" i="1"/>
  <c r="CX130" i="1" s="1"/>
  <c r="CY130" i="1" s="1"/>
  <c r="CR131" i="1"/>
  <c r="CS131" i="1"/>
  <c r="CT131" i="1" s="1"/>
  <c r="CU131" i="1"/>
  <c r="CX131" i="1" s="1"/>
  <c r="CY131" i="1" s="1"/>
  <c r="CR132" i="1"/>
  <c r="CU132" i="1"/>
  <c r="CX132" i="1" s="1"/>
  <c r="CY132" i="1" s="1"/>
  <c r="CR133" i="1"/>
  <c r="CS133" i="1"/>
  <c r="CT133" i="1" s="1"/>
  <c r="CU133" i="1"/>
  <c r="CX133" i="1" s="1"/>
  <c r="CY133" i="1" s="1"/>
  <c r="CR134" i="1"/>
  <c r="CS134" i="1"/>
  <c r="CT134" i="1" s="1"/>
  <c r="CU134" i="1"/>
  <c r="CX134" i="1" s="1"/>
  <c r="CY134" i="1" s="1"/>
  <c r="CR135" i="1"/>
  <c r="CU135" i="1"/>
  <c r="CX135" i="1" s="1"/>
  <c r="CY135" i="1" s="1"/>
  <c r="CR136" i="1"/>
  <c r="CS136" i="1"/>
  <c r="CT136" i="1" s="1"/>
  <c r="CU136" i="1"/>
  <c r="CX136" i="1" s="1"/>
  <c r="CY136" i="1" s="1"/>
  <c r="CR137" i="1"/>
  <c r="CU137" i="1"/>
  <c r="CX137" i="1" s="1"/>
  <c r="CY137" i="1" s="1"/>
  <c r="CR138" i="1"/>
  <c r="CS138" i="1"/>
  <c r="CT138" i="1" s="1"/>
  <c r="CU138" i="1"/>
  <c r="CX138" i="1" s="1"/>
  <c r="CY138" i="1" s="1"/>
  <c r="CR139" i="1"/>
  <c r="CS139" i="1"/>
  <c r="CT139" i="1" s="1"/>
  <c r="CU139" i="1"/>
  <c r="CX139" i="1" s="1"/>
  <c r="CY139" i="1" s="1"/>
  <c r="CR140" i="1"/>
  <c r="CS140" i="1"/>
  <c r="CT140" i="1" s="1"/>
  <c r="CU140" i="1"/>
  <c r="CX140" i="1" s="1"/>
  <c r="CY140" i="1" s="1"/>
  <c r="CR237" i="1"/>
  <c r="CS237" i="1"/>
  <c r="CT237" i="1" s="1"/>
  <c r="CU237" i="1"/>
  <c r="CX237" i="1" s="1"/>
  <c r="CY237" i="1" s="1"/>
  <c r="CR141" i="1"/>
  <c r="CU141" i="1"/>
  <c r="CX141" i="1" s="1"/>
  <c r="CY141" i="1" s="1"/>
  <c r="CR142" i="1"/>
  <c r="CS142" i="1"/>
  <c r="CT142" i="1" s="1"/>
  <c r="CU142" i="1"/>
  <c r="CX142" i="1" s="1"/>
  <c r="CY142" i="1" s="1"/>
  <c r="CR143" i="1"/>
  <c r="CS143" i="1"/>
  <c r="CT143" i="1" s="1"/>
  <c r="CU143" i="1"/>
  <c r="CX143" i="1" s="1"/>
  <c r="CY143" i="1" s="1"/>
  <c r="CR144" i="1"/>
  <c r="CS144" i="1"/>
  <c r="CT144" i="1" s="1"/>
  <c r="CU144" i="1"/>
  <c r="CX144" i="1" s="1"/>
  <c r="CY144" i="1" s="1"/>
  <c r="CR145" i="1"/>
  <c r="CS145" i="1"/>
  <c r="CT145" i="1" s="1"/>
  <c r="CU145" i="1"/>
  <c r="CX145" i="1" s="1"/>
  <c r="CY145" i="1" s="1"/>
  <c r="CR146" i="1"/>
  <c r="CU146" i="1"/>
  <c r="CX146" i="1" s="1"/>
  <c r="CY146" i="1" s="1"/>
  <c r="CR147" i="1"/>
  <c r="CU147" i="1"/>
  <c r="CX147" i="1" s="1"/>
  <c r="CY147" i="1" s="1"/>
  <c r="CR148" i="1"/>
  <c r="CU148" i="1"/>
  <c r="CX148" i="1" s="1"/>
  <c r="CY148" i="1" s="1"/>
  <c r="CR149" i="1"/>
  <c r="CU149" i="1"/>
  <c r="CX149" i="1" s="1"/>
  <c r="CY149" i="1" s="1"/>
  <c r="CR150" i="1"/>
  <c r="CU150" i="1"/>
  <c r="CX150" i="1" s="1"/>
  <c r="CY150" i="1" s="1"/>
  <c r="CR151" i="1"/>
  <c r="CU151" i="1"/>
  <c r="CX151" i="1" s="1"/>
  <c r="CY151" i="1" s="1"/>
  <c r="CR152" i="1"/>
  <c r="CS152" i="1"/>
  <c r="CT152" i="1" s="1"/>
  <c r="CU152" i="1"/>
  <c r="CX152" i="1" s="1"/>
  <c r="CY152" i="1" s="1"/>
  <c r="CR153" i="1"/>
  <c r="CS153" i="1"/>
  <c r="CT153" i="1" s="1"/>
  <c r="CU153" i="1"/>
  <c r="CX153" i="1" s="1"/>
  <c r="CY153" i="1" s="1"/>
  <c r="CR154" i="1"/>
  <c r="CS154" i="1"/>
  <c r="CT154" i="1" s="1"/>
  <c r="CU154" i="1"/>
  <c r="CX154" i="1" s="1"/>
  <c r="CY154" i="1" s="1"/>
  <c r="CR155" i="1"/>
  <c r="CU155" i="1"/>
  <c r="CX155" i="1" s="1"/>
  <c r="CY155" i="1" s="1"/>
  <c r="CR156" i="1"/>
  <c r="CS156" i="1"/>
  <c r="CT156" i="1" s="1"/>
  <c r="CU156" i="1"/>
  <c r="CX156" i="1" s="1"/>
  <c r="CY156" i="1" s="1"/>
  <c r="CR157" i="1"/>
  <c r="CU157" i="1"/>
  <c r="CX157" i="1" s="1"/>
  <c r="CY157" i="1" s="1"/>
  <c r="CR158" i="1"/>
  <c r="CU158" i="1"/>
  <c r="CX158" i="1" s="1"/>
  <c r="CY158" i="1" s="1"/>
  <c r="CR159" i="1"/>
  <c r="CU159" i="1"/>
  <c r="CX159" i="1" s="1"/>
  <c r="CY159" i="1" s="1"/>
  <c r="CR160" i="1"/>
  <c r="CU160" i="1"/>
  <c r="CX160" i="1" s="1"/>
  <c r="CY160" i="1" s="1"/>
  <c r="CR162" i="1"/>
  <c r="CU162" i="1"/>
  <c r="CX162" i="1" s="1"/>
  <c r="CY162" i="1" s="1"/>
  <c r="CR163" i="1"/>
  <c r="CU163" i="1"/>
  <c r="CX163" i="1" s="1"/>
  <c r="CY163" i="1" s="1"/>
  <c r="CR164" i="1"/>
  <c r="CU164" i="1"/>
  <c r="CX164" i="1" s="1"/>
  <c r="CY164" i="1" s="1"/>
  <c r="CR165" i="1"/>
  <c r="CS165" i="1"/>
  <c r="CT165" i="1" s="1"/>
  <c r="CU165" i="1"/>
  <c r="CX165" i="1" s="1"/>
  <c r="CY165" i="1" s="1"/>
  <c r="CR166" i="1"/>
  <c r="CS166" i="1"/>
  <c r="CT166" i="1" s="1"/>
  <c r="CU166" i="1"/>
  <c r="CX166" i="1" s="1"/>
  <c r="CY166" i="1" s="1"/>
  <c r="CR167" i="1"/>
  <c r="CU167" i="1"/>
  <c r="CX167" i="1" s="1"/>
  <c r="CY167" i="1" s="1"/>
  <c r="CR168" i="1"/>
  <c r="CS168" i="1"/>
  <c r="CT168" i="1" s="1"/>
  <c r="CU168" i="1"/>
  <c r="CX168" i="1" s="1"/>
  <c r="CY168" i="1" s="1"/>
  <c r="CR169" i="1"/>
  <c r="CS169" i="1"/>
  <c r="CT169" i="1" s="1"/>
  <c r="CU169" i="1"/>
  <c r="CX169" i="1" s="1"/>
  <c r="CY169" i="1" s="1"/>
  <c r="CR170" i="1"/>
  <c r="CS170" i="1"/>
  <c r="CT170" i="1" s="1"/>
  <c r="CU170" i="1"/>
  <c r="CX170" i="1" s="1"/>
  <c r="CY170" i="1" s="1"/>
  <c r="CR171" i="1"/>
  <c r="CS171" i="1"/>
  <c r="CT171" i="1" s="1"/>
  <c r="CU171" i="1"/>
  <c r="CX171" i="1" s="1"/>
  <c r="CY171" i="1" s="1"/>
  <c r="CR172" i="1"/>
  <c r="CS172" i="1"/>
  <c r="CT172" i="1" s="1"/>
  <c r="CU172" i="1"/>
  <c r="CX172" i="1" s="1"/>
  <c r="CY172" i="1" s="1"/>
  <c r="CR173" i="1"/>
  <c r="CS173" i="1"/>
  <c r="CT173" i="1" s="1"/>
  <c r="CU173" i="1"/>
  <c r="CX173" i="1" s="1"/>
  <c r="CY173" i="1" s="1"/>
  <c r="CR174" i="1"/>
  <c r="CS174" i="1"/>
  <c r="CT174" i="1" s="1"/>
  <c r="CU174" i="1"/>
  <c r="CX174" i="1" s="1"/>
  <c r="CY174" i="1" s="1"/>
  <c r="CR175" i="1"/>
  <c r="CS175" i="1"/>
  <c r="CT175" i="1" s="1"/>
  <c r="CU175" i="1"/>
  <c r="CX175" i="1" s="1"/>
  <c r="CY175" i="1" s="1"/>
  <c r="CR176" i="1"/>
  <c r="CS176" i="1"/>
  <c r="CT176" i="1" s="1"/>
  <c r="CU176" i="1"/>
  <c r="CX176" i="1" s="1"/>
  <c r="CY176" i="1" s="1"/>
  <c r="CR675" i="1"/>
  <c r="CS675" i="1"/>
  <c r="CT675" i="1" s="1"/>
  <c r="CU675" i="1"/>
  <c r="CX675" i="1" s="1"/>
  <c r="CY675" i="1" s="1"/>
  <c r="CR178" i="1"/>
  <c r="CS178" i="1"/>
  <c r="CT178" i="1" s="1"/>
  <c r="CU178" i="1"/>
  <c r="CX178" i="1" s="1"/>
  <c r="CY178" i="1" s="1"/>
  <c r="CR179" i="1"/>
  <c r="CS179" i="1"/>
  <c r="CT179" i="1" s="1"/>
  <c r="CU179" i="1"/>
  <c r="CX179" i="1" s="1"/>
  <c r="CY179" i="1" s="1"/>
  <c r="CR180" i="1"/>
  <c r="CS180" i="1"/>
  <c r="CT180" i="1" s="1"/>
  <c r="CU180" i="1"/>
  <c r="CX180" i="1" s="1"/>
  <c r="CY180" i="1" s="1"/>
  <c r="CR181" i="1"/>
  <c r="CS181" i="1"/>
  <c r="CT181" i="1" s="1"/>
  <c r="CU181" i="1"/>
  <c r="CX181" i="1" s="1"/>
  <c r="CY181" i="1" s="1"/>
  <c r="CR182" i="1"/>
  <c r="CS182" i="1"/>
  <c r="CT182" i="1" s="1"/>
  <c r="CU182" i="1"/>
  <c r="CX182" i="1" s="1"/>
  <c r="CY182" i="1" s="1"/>
  <c r="CR183" i="1"/>
  <c r="CS183" i="1"/>
  <c r="CT183" i="1" s="1"/>
  <c r="CU183" i="1"/>
  <c r="CX183" i="1" s="1"/>
  <c r="CY183" i="1" s="1"/>
  <c r="CR184" i="1"/>
  <c r="CS184" i="1"/>
  <c r="CT184" i="1" s="1"/>
  <c r="CU184" i="1"/>
  <c r="CX184" i="1" s="1"/>
  <c r="CY184" i="1" s="1"/>
  <c r="CR185" i="1"/>
  <c r="CS185" i="1"/>
  <c r="CT185" i="1" s="1"/>
  <c r="CU185" i="1"/>
  <c r="CX185" i="1" s="1"/>
  <c r="CY185" i="1" s="1"/>
  <c r="CR187" i="1"/>
  <c r="CS187" i="1"/>
  <c r="CT187" i="1" s="1"/>
  <c r="CU187" i="1"/>
  <c r="CX187" i="1" s="1"/>
  <c r="CY187" i="1" s="1"/>
  <c r="CR188" i="1"/>
  <c r="CS188" i="1"/>
  <c r="CT188" i="1" s="1"/>
  <c r="CU188" i="1"/>
  <c r="CX188" i="1" s="1"/>
  <c r="CY188" i="1" s="1"/>
  <c r="CR189" i="1"/>
  <c r="CS189" i="1"/>
  <c r="CT189" i="1" s="1"/>
  <c r="CU189" i="1"/>
  <c r="CX189" i="1" s="1"/>
  <c r="CY189" i="1" s="1"/>
  <c r="CR190" i="1"/>
  <c r="CS190" i="1"/>
  <c r="CT190" i="1" s="1"/>
  <c r="CU190" i="1"/>
  <c r="CX190" i="1" s="1"/>
  <c r="CY190" i="1" s="1"/>
  <c r="CR191" i="1"/>
  <c r="CS191" i="1"/>
  <c r="CT191" i="1" s="1"/>
  <c r="CU191" i="1"/>
  <c r="CX191" i="1" s="1"/>
  <c r="CY191" i="1" s="1"/>
  <c r="CR192" i="1"/>
  <c r="CS192" i="1"/>
  <c r="CT192" i="1" s="1"/>
  <c r="CU192" i="1"/>
  <c r="CX192" i="1" s="1"/>
  <c r="CY192" i="1" s="1"/>
  <c r="CR193" i="1"/>
  <c r="CS193" i="1"/>
  <c r="CT193" i="1" s="1"/>
  <c r="CU193" i="1"/>
  <c r="CX193" i="1" s="1"/>
  <c r="CY193" i="1" s="1"/>
  <c r="CR194" i="1"/>
  <c r="CS194" i="1"/>
  <c r="CT194" i="1" s="1"/>
  <c r="CU194" i="1"/>
  <c r="CX194" i="1" s="1"/>
  <c r="CY194" i="1" s="1"/>
  <c r="CR195" i="1"/>
  <c r="CS195" i="1"/>
  <c r="CT195" i="1" s="1"/>
  <c r="CU195" i="1"/>
  <c r="CX195" i="1" s="1"/>
  <c r="CY195" i="1" s="1"/>
  <c r="CR196" i="1"/>
  <c r="CS196" i="1"/>
  <c r="CT196" i="1" s="1"/>
  <c r="CU196" i="1"/>
  <c r="CX196" i="1" s="1"/>
  <c r="CY196" i="1" s="1"/>
  <c r="CR197" i="1"/>
  <c r="CS197" i="1"/>
  <c r="CT197" i="1" s="1"/>
  <c r="CU197" i="1"/>
  <c r="CX197" i="1" s="1"/>
  <c r="CY197" i="1" s="1"/>
  <c r="CR198" i="1"/>
  <c r="CS198" i="1"/>
  <c r="CT198" i="1" s="1"/>
  <c r="CU198" i="1"/>
  <c r="CX198" i="1" s="1"/>
  <c r="CY198" i="1" s="1"/>
  <c r="CR199" i="1"/>
  <c r="CS199" i="1"/>
  <c r="CT199" i="1" s="1"/>
  <c r="CU199" i="1"/>
  <c r="CX199" i="1" s="1"/>
  <c r="CY199" i="1" s="1"/>
  <c r="CR200" i="1"/>
  <c r="CS200" i="1"/>
  <c r="CT200" i="1" s="1"/>
  <c r="CU200" i="1"/>
  <c r="CX200" i="1" s="1"/>
  <c r="CY200" i="1" s="1"/>
  <c r="CR201" i="1"/>
  <c r="CS201" i="1"/>
  <c r="CT201" i="1" s="1"/>
  <c r="CU201" i="1"/>
  <c r="CX201" i="1" s="1"/>
  <c r="CY201" i="1" s="1"/>
  <c r="CR202" i="1"/>
  <c r="CS202" i="1"/>
  <c r="CT202" i="1" s="1"/>
  <c r="CU202" i="1"/>
  <c r="CX202" i="1" s="1"/>
  <c r="CY202" i="1" s="1"/>
  <c r="CR691" i="1"/>
  <c r="CU691" i="1"/>
  <c r="CX691" i="1" s="1"/>
  <c r="CY691" i="1" s="1"/>
  <c r="CR203" i="1"/>
  <c r="CS203" i="1"/>
  <c r="CT203" i="1" s="1"/>
  <c r="CU203" i="1"/>
  <c r="CX203" i="1" s="1"/>
  <c r="CY203" i="1" s="1"/>
  <c r="CR204" i="1"/>
  <c r="CS204" i="1"/>
  <c r="CT204" i="1" s="1"/>
  <c r="CU204" i="1"/>
  <c r="CX204" i="1" s="1"/>
  <c r="CY204" i="1" s="1"/>
  <c r="CR206" i="1"/>
  <c r="CS206" i="1"/>
  <c r="CT206" i="1" s="1"/>
  <c r="CU206" i="1"/>
  <c r="CX206" i="1" s="1"/>
  <c r="CY206" i="1" s="1"/>
  <c r="CR207" i="1"/>
  <c r="CS207" i="1"/>
  <c r="CT207" i="1" s="1"/>
  <c r="CU207" i="1"/>
  <c r="CX207" i="1" s="1"/>
  <c r="CY207" i="1" s="1"/>
  <c r="CR208" i="1"/>
  <c r="CS208" i="1"/>
  <c r="CT208" i="1" s="1"/>
  <c r="CU208" i="1"/>
  <c r="CX208" i="1" s="1"/>
  <c r="CY208" i="1" s="1"/>
  <c r="CR209" i="1"/>
  <c r="CS209" i="1"/>
  <c r="CT209" i="1" s="1"/>
  <c r="CU209" i="1"/>
  <c r="CX209" i="1" s="1"/>
  <c r="CY209" i="1" s="1"/>
  <c r="CR210" i="1"/>
  <c r="CS210" i="1"/>
  <c r="CT210" i="1" s="1"/>
  <c r="CU210" i="1"/>
  <c r="CX210" i="1" s="1"/>
  <c r="CY210" i="1" s="1"/>
  <c r="CR211" i="1"/>
  <c r="CS211" i="1"/>
  <c r="CT211" i="1" s="1"/>
  <c r="CU211" i="1"/>
  <c r="CX211" i="1" s="1"/>
  <c r="CY211" i="1" s="1"/>
  <c r="CR485" i="1"/>
  <c r="CS485" i="1"/>
  <c r="CT485" i="1" s="1"/>
  <c r="CU485" i="1"/>
  <c r="CX485" i="1" s="1"/>
  <c r="CY485" i="1" s="1"/>
  <c r="CR213" i="1"/>
  <c r="CS213" i="1"/>
  <c r="CT213" i="1" s="1"/>
  <c r="CU213" i="1"/>
  <c r="CX213" i="1" s="1"/>
  <c r="CY213" i="1" s="1"/>
  <c r="CR214" i="1"/>
  <c r="CS214" i="1"/>
  <c r="CT214" i="1" s="1"/>
  <c r="CU214" i="1"/>
  <c r="CX214" i="1" s="1"/>
  <c r="CY214" i="1" s="1"/>
  <c r="CR215" i="1"/>
  <c r="CS215" i="1"/>
  <c r="CT215" i="1" s="1"/>
  <c r="CU215" i="1"/>
  <c r="CX215" i="1" s="1"/>
  <c r="CY215" i="1" s="1"/>
  <c r="CR216" i="1"/>
  <c r="CS216" i="1"/>
  <c r="CT216" i="1" s="1"/>
  <c r="CU216" i="1"/>
  <c r="CX216" i="1" s="1"/>
  <c r="CY216" i="1" s="1"/>
  <c r="CR217" i="1"/>
  <c r="CS217" i="1"/>
  <c r="CT217" i="1" s="1"/>
  <c r="CU217" i="1"/>
  <c r="CX217" i="1" s="1"/>
  <c r="CY217" i="1" s="1"/>
  <c r="CR218" i="1"/>
  <c r="CS218" i="1"/>
  <c r="CT218" i="1" s="1"/>
  <c r="CU218" i="1"/>
  <c r="CX218" i="1" s="1"/>
  <c r="CY218" i="1" s="1"/>
  <c r="CR220" i="1"/>
  <c r="CS220" i="1"/>
  <c r="CT220" i="1" s="1"/>
  <c r="CU220" i="1"/>
  <c r="CX220" i="1" s="1"/>
  <c r="CY220" i="1" s="1"/>
  <c r="CR221" i="1"/>
  <c r="CS221" i="1"/>
  <c r="CT221" i="1" s="1"/>
  <c r="CU221" i="1"/>
  <c r="CX221" i="1" s="1"/>
  <c r="CY221" i="1" s="1"/>
  <c r="CR222" i="1"/>
  <c r="CS222" i="1"/>
  <c r="CT222" i="1" s="1"/>
  <c r="CU222" i="1"/>
  <c r="CX222" i="1" s="1"/>
  <c r="CY222" i="1" s="1"/>
  <c r="CR672" i="1"/>
  <c r="CU672" i="1"/>
  <c r="CX672" i="1" s="1"/>
  <c r="CY672" i="1" s="1"/>
  <c r="CR224" i="1"/>
  <c r="CS224" i="1"/>
  <c r="CT224" i="1" s="1"/>
  <c r="CU224" i="1"/>
  <c r="CX224" i="1" s="1"/>
  <c r="CY224" i="1" s="1"/>
  <c r="CR225" i="1"/>
  <c r="CS225" i="1"/>
  <c r="CT225" i="1" s="1"/>
  <c r="CU225" i="1"/>
  <c r="CX225" i="1" s="1"/>
  <c r="CY225" i="1" s="1"/>
  <c r="CR226" i="1"/>
  <c r="CS226" i="1"/>
  <c r="CT226" i="1" s="1"/>
  <c r="CU226" i="1"/>
  <c r="CX226" i="1" s="1"/>
  <c r="CY226" i="1" s="1"/>
  <c r="CR227" i="1"/>
  <c r="CS227" i="1"/>
  <c r="CT227" i="1" s="1"/>
  <c r="CU227" i="1"/>
  <c r="CX227" i="1" s="1"/>
  <c r="CY227" i="1" s="1"/>
  <c r="CR228" i="1"/>
  <c r="CS228" i="1"/>
  <c r="CT228" i="1" s="1"/>
  <c r="CU228" i="1"/>
  <c r="CX228" i="1" s="1"/>
  <c r="CY228" i="1" s="1"/>
  <c r="CR229" i="1"/>
  <c r="CS229" i="1"/>
  <c r="CT229" i="1" s="1"/>
  <c r="CU229" i="1"/>
  <c r="CX229" i="1" s="1"/>
  <c r="CY229" i="1" s="1"/>
  <c r="CR230" i="1"/>
  <c r="CS230" i="1"/>
  <c r="CT230" i="1" s="1"/>
  <c r="CU230" i="1"/>
  <c r="CX230" i="1" s="1"/>
  <c r="CY230" i="1" s="1"/>
  <c r="CR231" i="1"/>
  <c r="CS231" i="1"/>
  <c r="CT231" i="1" s="1"/>
  <c r="CU231" i="1"/>
  <c r="CX231" i="1" s="1"/>
  <c r="CY231" i="1" s="1"/>
  <c r="CR232" i="1"/>
  <c r="CS232" i="1"/>
  <c r="CT232" i="1" s="1"/>
  <c r="CU232" i="1"/>
  <c r="CX232" i="1" s="1"/>
  <c r="CY232" i="1" s="1"/>
  <c r="CR233" i="1"/>
  <c r="CS233" i="1"/>
  <c r="CT233" i="1" s="1"/>
  <c r="CU233" i="1"/>
  <c r="CX233" i="1" s="1"/>
  <c r="CY233" i="1" s="1"/>
  <c r="CR234" i="1"/>
  <c r="CS234" i="1"/>
  <c r="CT234" i="1" s="1"/>
  <c r="CU234" i="1"/>
  <c r="CX234" i="1" s="1"/>
  <c r="CY234" i="1" s="1"/>
  <c r="CR235" i="1"/>
  <c r="CS235" i="1"/>
  <c r="CT235" i="1" s="1"/>
  <c r="CU235" i="1"/>
  <c r="CX235" i="1" s="1"/>
  <c r="CY235" i="1" s="1"/>
  <c r="CR236" i="1"/>
  <c r="CS236" i="1"/>
  <c r="CT236" i="1" s="1"/>
  <c r="CU236" i="1"/>
  <c r="CX236" i="1" s="1"/>
  <c r="CY236" i="1" s="1"/>
  <c r="CR238" i="1"/>
  <c r="CS238" i="1"/>
  <c r="CT238" i="1" s="1"/>
  <c r="CU238" i="1"/>
  <c r="CX238" i="1" s="1"/>
  <c r="CY238" i="1" s="1"/>
  <c r="CR239" i="1"/>
  <c r="CS239" i="1"/>
  <c r="CT239" i="1" s="1"/>
  <c r="CU239" i="1"/>
  <c r="CX239" i="1" s="1"/>
  <c r="CY239" i="1" s="1"/>
  <c r="CR241" i="1"/>
  <c r="CS241" i="1"/>
  <c r="CT241" i="1" s="1"/>
  <c r="CU241" i="1"/>
  <c r="CX241" i="1" s="1"/>
  <c r="CY241" i="1" s="1"/>
  <c r="CR242" i="1"/>
  <c r="CS242" i="1"/>
  <c r="CT242" i="1" s="1"/>
  <c r="CU242" i="1"/>
  <c r="CX242" i="1" s="1"/>
  <c r="CY242" i="1" s="1"/>
  <c r="CR289" i="1"/>
  <c r="CS289" i="1"/>
  <c r="CT289" i="1" s="1"/>
  <c r="CU289" i="1"/>
  <c r="CX289" i="1" s="1"/>
  <c r="CY289" i="1" s="1"/>
  <c r="CR243" i="1"/>
  <c r="CS243" i="1"/>
  <c r="CT243" i="1" s="1"/>
  <c r="CU243" i="1"/>
  <c r="CX243" i="1" s="1"/>
  <c r="CY243" i="1" s="1"/>
  <c r="CR244" i="1"/>
  <c r="CS244" i="1"/>
  <c r="CT244" i="1" s="1"/>
  <c r="CU244" i="1"/>
  <c r="CX244" i="1" s="1"/>
  <c r="CY244" i="1" s="1"/>
  <c r="CR245" i="1"/>
  <c r="CS245" i="1"/>
  <c r="CT245" i="1" s="1"/>
  <c r="CU245" i="1"/>
  <c r="CX245" i="1" s="1"/>
  <c r="CY245" i="1" s="1"/>
  <c r="CR246" i="1"/>
  <c r="CS246" i="1"/>
  <c r="CT246" i="1" s="1"/>
  <c r="CU246" i="1"/>
  <c r="CX246" i="1" s="1"/>
  <c r="CY246" i="1" s="1"/>
  <c r="CR247" i="1"/>
  <c r="CS247" i="1"/>
  <c r="CT247" i="1" s="1"/>
  <c r="CU247" i="1"/>
  <c r="CX247" i="1" s="1"/>
  <c r="CY247" i="1" s="1"/>
  <c r="CR248" i="1"/>
  <c r="CS248" i="1"/>
  <c r="CT248" i="1" s="1"/>
  <c r="CU248" i="1"/>
  <c r="CX248" i="1" s="1"/>
  <c r="CY248" i="1" s="1"/>
  <c r="CR249" i="1"/>
  <c r="CS249" i="1"/>
  <c r="CT249" i="1" s="1"/>
  <c r="CU249" i="1"/>
  <c r="CX249" i="1" s="1"/>
  <c r="CY249" i="1" s="1"/>
  <c r="CR481" i="1"/>
  <c r="CU481" i="1"/>
  <c r="CX481" i="1" s="1"/>
  <c r="CY481" i="1" s="1"/>
  <c r="CR250" i="1"/>
  <c r="CS250" i="1"/>
  <c r="CT250" i="1" s="1"/>
  <c r="CU250" i="1"/>
  <c r="CX250" i="1" s="1"/>
  <c r="CY250" i="1" s="1"/>
  <c r="CR205" i="1"/>
  <c r="CS205" i="1"/>
  <c r="CT205" i="1" s="1"/>
  <c r="CU205" i="1"/>
  <c r="CX205" i="1" s="1"/>
  <c r="CY205" i="1" s="1"/>
  <c r="CR251" i="1"/>
  <c r="CS251" i="1"/>
  <c r="CT251" i="1" s="1"/>
  <c r="CU251" i="1"/>
  <c r="CX251" i="1" s="1"/>
  <c r="CY251" i="1" s="1"/>
  <c r="CR252" i="1"/>
  <c r="CS252" i="1"/>
  <c r="CT252" i="1" s="1"/>
  <c r="CU252" i="1"/>
  <c r="CX252" i="1" s="1"/>
  <c r="CY252" i="1" s="1"/>
  <c r="CR253" i="1"/>
  <c r="CS253" i="1"/>
  <c r="CT253" i="1" s="1"/>
  <c r="CU253" i="1"/>
  <c r="CX253" i="1" s="1"/>
  <c r="CY253" i="1" s="1"/>
  <c r="CR254" i="1"/>
  <c r="CS254" i="1"/>
  <c r="CT254" i="1" s="1"/>
  <c r="CU254" i="1"/>
  <c r="CX254" i="1" s="1"/>
  <c r="CY254" i="1" s="1"/>
  <c r="CR255" i="1"/>
  <c r="CS255" i="1"/>
  <c r="CT255" i="1" s="1"/>
  <c r="CU255" i="1"/>
  <c r="CX255" i="1" s="1"/>
  <c r="CY255" i="1" s="1"/>
  <c r="CR256" i="1"/>
  <c r="CS256" i="1"/>
  <c r="CT256" i="1" s="1"/>
  <c r="CU256" i="1"/>
  <c r="CX256" i="1" s="1"/>
  <c r="CY256" i="1" s="1"/>
  <c r="CR258" i="1"/>
  <c r="CS258" i="1"/>
  <c r="CT258" i="1" s="1"/>
  <c r="CU258" i="1"/>
  <c r="CX258" i="1" s="1"/>
  <c r="CY258" i="1" s="1"/>
  <c r="CR709" i="1"/>
  <c r="CS709" i="1"/>
  <c r="CT709" i="1" s="1"/>
  <c r="CU709" i="1"/>
  <c r="CX709" i="1" s="1"/>
  <c r="CY709" i="1" s="1"/>
  <c r="CR259" i="1"/>
  <c r="CS259" i="1"/>
  <c r="CT259" i="1" s="1"/>
  <c r="CU259" i="1"/>
  <c r="CX259" i="1" s="1"/>
  <c r="CY259" i="1" s="1"/>
  <c r="CR260" i="1"/>
  <c r="CS260" i="1"/>
  <c r="CT260" i="1" s="1"/>
  <c r="CU260" i="1"/>
  <c r="CX260" i="1" s="1"/>
  <c r="CY260" i="1" s="1"/>
  <c r="CR261" i="1"/>
  <c r="CS261" i="1"/>
  <c r="CT261" i="1" s="1"/>
  <c r="CU261" i="1"/>
  <c r="CX261" i="1" s="1"/>
  <c r="CY261" i="1" s="1"/>
  <c r="CR262" i="1"/>
  <c r="CS262" i="1"/>
  <c r="CT262" i="1" s="1"/>
  <c r="CU262" i="1"/>
  <c r="CX262" i="1" s="1"/>
  <c r="CY262" i="1" s="1"/>
  <c r="CR263" i="1"/>
  <c r="CS263" i="1"/>
  <c r="CT263" i="1" s="1"/>
  <c r="CU263" i="1"/>
  <c r="CX263" i="1" s="1"/>
  <c r="CY263" i="1" s="1"/>
  <c r="CR264" i="1"/>
  <c r="CS264" i="1"/>
  <c r="CT264" i="1" s="1"/>
  <c r="CU264" i="1"/>
  <c r="CX264" i="1" s="1"/>
  <c r="CY264" i="1" s="1"/>
  <c r="CR265" i="1"/>
  <c r="CS265" i="1"/>
  <c r="CT265" i="1" s="1"/>
  <c r="CU265" i="1"/>
  <c r="CX265" i="1" s="1"/>
  <c r="CY265" i="1" s="1"/>
  <c r="CR266" i="1"/>
  <c r="CS266" i="1"/>
  <c r="CT266" i="1" s="1"/>
  <c r="CU266" i="1"/>
  <c r="CX266" i="1" s="1"/>
  <c r="CY266" i="1" s="1"/>
  <c r="CR267" i="1"/>
  <c r="CS267" i="1"/>
  <c r="CT267" i="1" s="1"/>
  <c r="CU267" i="1"/>
  <c r="CX267" i="1" s="1"/>
  <c r="CY267" i="1" s="1"/>
  <c r="CR268" i="1"/>
  <c r="CS268" i="1"/>
  <c r="CT268" i="1" s="1"/>
  <c r="CU268" i="1"/>
  <c r="CX268" i="1" s="1"/>
  <c r="CY268" i="1" s="1"/>
  <c r="CR269" i="1"/>
  <c r="CS269" i="1"/>
  <c r="CT269" i="1" s="1"/>
  <c r="CU269" i="1"/>
  <c r="CX269" i="1" s="1"/>
  <c r="CY269" i="1" s="1"/>
  <c r="CR270" i="1"/>
  <c r="CS270" i="1"/>
  <c r="CT270" i="1" s="1"/>
  <c r="CU270" i="1"/>
  <c r="CX270" i="1" s="1"/>
  <c r="CY270" i="1" s="1"/>
  <c r="CR271" i="1"/>
  <c r="CS271" i="1"/>
  <c r="CT271" i="1" s="1"/>
  <c r="CU271" i="1"/>
  <c r="CX271" i="1" s="1"/>
  <c r="CY271" i="1" s="1"/>
  <c r="CR223" i="1"/>
  <c r="CS223" i="1"/>
  <c r="CT223" i="1" s="1"/>
  <c r="CU223" i="1"/>
  <c r="CX223" i="1" s="1"/>
  <c r="CY223" i="1" s="1"/>
  <c r="CR272" i="1"/>
  <c r="CS272" i="1"/>
  <c r="CT272" i="1" s="1"/>
  <c r="CU272" i="1"/>
  <c r="CX272" i="1" s="1"/>
  <c r="CY272" i="1" s="1"/>
  <c r="CR273" i="1"/>
  <c r="CS273" i="1"/>
  <c r="CT273" i="1" s="1"/>
  <c r="CU273" i="1"/>
  <c r="CX273" i="1" s="1"/>
  <c r="CY273" i="1" s="1"/>
  <c r="CR274" i="1"/>
  <c r="CS274" i="1"/>
  <c r="CT274" i="1" s="1"/>
  <c r="CU274" i="1"/>
  <c r="CX274" i="1" s="1"/>
  <c r="CY274" i="1" s="1"/>
  <c r="CR275" i="1"/>
  <c r="CS275" i="1"/>
  <c r="CT275" i="1" s="1"/>
  <c r="CU275" i="1"/>
  <c r="CX275" i="1" s="1"/>
  <c r="CY275" i="1" s="1"/>
  <c r="CR276" i="1"/>
  <c r="CS276" i="1"/>
  <c r="CT276" i="1" s="1"/>
  <c r="CU276" i="1"/>
  <c r="CX276" i="1" s="1"/>
  <c r="CY276" i="1" s="1"/>
  <c r="CR277" i="1"/>
  <c r="CS277" i="1"/>
  <c r="CT277" i="1" s="1"/>
  <c r="CU277" i="1"/>
  <c r="CX277" i="1" s="1"/>
  <c r="CY277" i="1" s="1"/>
  <c r="CR278" i="1"/>
  <c r="CS278" i="1"/>
  <c r="CT278" i="1" s="1"/>
  <c r="CU278" i="1"/>
  <c r="CX278" i="1" s="1"/>
  <c r="CY278" i="1" s="1"/>
  <c r="CR279" i="1"/>
  <c r="CS279" i="1"/>
  <c r="CT279" i="1" s="1"/>
  <c r="CU279" i="1"/>
  <c r="CX279" i="1" s="1"/>
  <c r="CY279" i="1" s="1"/>
  <c r="CR280" i="1"/>
  <c r="CS280" i="1"/>
  <c r="CT280" i="1" s="1"/>
  <c r="CU280" i="1"/>
  <c r="CX280" i="1" s="1"/>
  <c r="CY280" i="1" s="1"/>
  <c r="CR281" i="1"/>
  <c r="CS281" i="1"/>
  <c r="CT281" i="1" s="1"/>
  <c r="CU281" i="1"/>
  <c r="CX281" i="1" s="1"/>
  <c r="CY281" i="1" s="1"/>
  <c r="CR282" i="1"/>
  <c r="CS282" i="1"/>
  <c r="CT282" i="1" s="1"/>
  <c r="CU282" i="1"/>
  <c r="CX282" i="1" s="1"/>
  <c r="CY282" i="1" s="1"/>
  <c r="CR283" i="1"/>
  <c r="CS283" i="1"/>
  <c r="CT283" i="1" s="1"/>
  <c r="CU283" i="1"/>
  <c r="CX283" i="1" s="1"/>
  <c r="CY283" i="1" s="1"/>
  <c r="CR284" i="1"/>
  <c r="CS284" i="1"/>
  <c r="CT284" i="1" s="1"/>
  <c r="CU284" i="1"/>
  <c r="CX284" i="1" s="1"/>
  <c r="CY284" i="1" s="1"/>
  <c r="CR285" i="1"/>
  <c r="CS285" i="1"/>
  <c r="CT285" i="1" s="1"/>
  <c r="CU285" i="1"/>
  <c r="CX285" i="1" s="1"/>
  <c r="CY285" i="1" s="1"/>
  <c r="CR286" i="1"/>
  <c r="CS286" i="1"/>
  <c r="CT286" i="1" s="1"/>
  <c r="CU286" i="1"/>
  <c r="CX286" i="1" s="1"/>
  <c r="CY286" i="1" s="1"/>
  <c r="CR287" i="1"/>
  <c r="CS287" i="1"/>
  <c r="CT287" i="1" s="1"/>
  <c r="CU287" i="1"/>
  <c r="CX287" i="1" s="1"/>
  <c r="CY287" i="1" s="1"/>
  <c r="CR288" i="1"/>
  <c r="CS288" i="1"/>
  <c r="CT288" i="1" s="1"/>
  <c r="CU288" i="1"/>
  <c r="CX288" i="1" s="1"/>
  <c r="CY288" i="1" s="1"/>
  <c r="CR290" i="1"/>
  <c r="CS290" i="1"/>
  <c r="CT290" i="1" s="1"/>
  <c r="CU290" i="1"/>
  <c r="CX290" i="1" s="1"/>
  <c r="CY290" i="1" s="1"/>
  <c r="CR291" i="1"/>
  <c r="CS291" i="1"/>
  <c r="CT291" i="1" s="1"/>
  <c r="CU291" i="1"/>
  <c r="CX291" i="1" s="1"/>
  <c r="CY291" i="1" s="1"/>
  <c r="CR292" i="1"/>
  <c r="CS292" i="1"/>
  <c r="CT292" i="1" s="1"/>
  <c r="CU292" i="1"/>
  <c r="CX292" i="1" s="1"/>
  <c r="CY292" i="1" s="1"/>
  <c r="CR293" i="1"/>
  <c r="CS293" i="1"/>
  <c r="CT293" i="1" s="1"/>
  <c r="CU293" i="1"/>
  <c r="CX293" i="1" s="1"/>
  <c r="CY293" i="1" s="1"/>
  <c r="CR294" i="1"/>
  <c r="CS294" i="1"/>
  <c r="CT294" i="1" s="1"/>
  <c r="CU294" i="1"/>
  <c r="CX294" i="1" s="1"/>
  <c r="CY294" i="1" s="1"/>
  <c r="CR295" i="1"/>
  <c r="CS295" i="1"/>
  <c r="CT295" i="1" s="1"/>
  <c r="CU295" i="1"/>
  <c r="CX295" i="1" s="1"/>
  <c r="CY295" i="1" s="1"/>
  <c r="CR296" i="1"/>
  <c r="CS296" i="1"/>
  <c r="CT296" i="1" s="1"/>
  <c r="CU296" i="1"/>
  <c r="CX296" i="1" s="1"/>
  <c r="CY296" i="1" s="1"/>
  <c r="CR297" i="1"/>
  <c r="CS297" i="1"/>
  <c r="CT297" i="1" s="1"/>
  <c r="CU297" i="1"/>
  <c r="CX297" i="1" s="1"/>
  <c r="CY297" i="1" s="1"/>
  <c r="CR298" i="1"/>
  <c r="CS298" i="1"/>
  <c r="CT298" i="1" s="1"/>
  <c r="CU298" i="1"/>
  <c r="CX298" i="1" s="1"/>
  <c r="CY298" i="1" s="1"/>
  <c r="CR299" i="1"/>
  <c r="CS299" i="1"/>
  <c r="CT299" i="1" s="1"/>
  <c r="CU299" i="1"/>
  <c r="CX299" i="1" s="1"/>
  <c r="CY299" i="1" s="1"/>
  <c r="CR300" i="1"/>
  <c r="CS300" i="1"/>
  <c r="CT300" i="1" s="1"/>
  <c r="CU300" i="1"/>
  <c r="CX300" i="1" s="1"/>
  <c r="CY300" i="1" s="1"/>
  <c r="CR301" i="1"/>
  <c r="CS301" i="1"/>
  <c r="CT301" i="1" s="1"/>
  <c r="CU301" i="1"/>
  <c r="CX301" i="1" s="1"/>
  <c r="CY301" i="1" s="1"/>
  <c r="CR302" i="1"/>
  <c r="CS302" i="1"/>
  <c r="CT302" i="1" s="1"/>
  <c r="CU302" i="1"/>
  <c r="CX302" i="1" s="1"/>
  <c r="CY302" i="1" s="1"/>
  <c r="CR303" i="1"/>
  <c r="CS303" i="1"/>
  <c r="CT303" i="1" s="1"/>
  <c r="CU303" i="1"/>
  <c r="CX303" i="1" s="1"/>
  <c r="CY303" i="1" s="1"/>
  <c r="CR304" i="1"/>
  <c r="CS304" i="1"/>
  <c r="CT304" i="1" s="1"/>
  <c r="CU304" i="1"/>
  <c r="CX304" i="1" s="1"/>
  <c r="CY304" i="1" s="1"/>
  <c r="CR305" i="1"/>
  <c r="CS305" i="1"/>
  <c r="CT305" i="1" s="1"/>
  <c r="CU305" i="1"/>
  <c r="CX305" i="1" s="1"/>
  <c r="CY305" i="1" s="1"/>
  <c r="CR306" i="1"/>
  <c r="CS306" i="1"/>
  <c r="CT306" i="1" s="1"/>
  <c r="CU306" i="1"/>
  <c r="CX306" i="1" s="1"/>
  <c r="CY306" i="1" s="1"/>
  <c r="CR307" i="1"/>
  <c r="CS307" i="1"/>
  <c r="CT307" i="1" s="1"/>
  <c r="CU307" i="1"/>
  <c r="CX307" i="1" s="1"/>
  <c r="CY307" i="1" s="1"/>
  <c r="CR308" i="1"/>
  <c r="CS308" i="1"/>
  <c r="CT308" i="1" s="1"/>
  <c r="CU308" i="1"/>
  <c r="CX308" i="1" s="1"/>
  <c r="CY308" i="1" s="1"/>
  <c r="CR309" i="1"/>
  <c r="CS309" i="1"/>
  <c r="CT309" i="1" s="1"/>
  <c r="CU309" i="1"/>
  <c r="CX309" i="1" s="1"/>
  <c r="CY309" i="1" s="1"/>
  <c r="CR310" i="1"/>
  <c r="CS310" i="1"/>
  <c r="CT310" i="1" s="1"/>
  <c r="CU310" i="1"/>
  <c r="CX310" i="1" s="1"/>
  <c r="CY310" i="1" s="1"/>
  <c r="CR311" i="1"/>
  <c r="CS311" i="1"/>
  <c r="CT311" i="1" s="1"/>
  <c r="CU311" i="1"/>
  <c r="CX311" i="1" s="1"/>
  <c r="CY311" i="1" s="1"/>
  <c r="CR312" i="1"/>
  <c r="CS312" i="1"/>
  <c r="CT312" i="1" s="1"/>
  <c r="CU312" i="1"/>
  <c r="CX312" i="1" s="1"/>
  <c r="CY312" i="1" s="1"/>
  <c r="CR313" i="1"/>
  <c r="CS313" i="1"/>
  <c r="CT313" i="1" s="1"/>
  <c r="CU313" i="1"/>
  <c r="CX313" i="1" s="1"/>
  <c r="CY313" i="1" s="1"/>
  <c r="CR314" i="1"/>
  <c r="CS314" i="1"/>
  <c r="CT314" i="1" s="1"/>
  <c r="CU314" i="1"/>
  <c r="CX314" i="1" s="1"/>
  <c r="CY314" i="1" s="1"/>
  <c r="CR315" i="1"/>
  <c r="CS315" i="1"/>
  <c r="CT315" i="1" s="1"/>
  <c r="CU315" i="1"/>
  <c r="CX315" i="1" s="1"/>
  <c r="CY315" i="1" s="1"/>
  <c r="CR316" i="1"/>
  <c r="CS316" i="1"/>
  <c r="CT316" i="1" s="1"/>
  <c r="CU316" i="1"/>
  <c r="CX316" i="1" s="1"/>
  <c r="CY316" i="1" s="1"/>
  <c r="CR317" i="1"/>
  <c r="CS317" i="1"/>
  <c r="CT317" i="1" s="1"/>
  <c r="CU317" i="1"/>
  <c r="CX317" i="1" s="1"/>
  <c r="CY317" i="1" s="1"/>
  <c r="CR318" i="1"/>
  <c r="CS318" i="1"/>
  <c r="CT318" i="1" s="1"/>
  <c r="CU318" i="1"/>
  <c r="CX318" i="1" s="1"/>
  <c r="CY318" i="1" s="1"/>
  <c r="CR320" i="1"/>
  <c r="CS320" i="1"/>
  <c r="CT320" i="1" s="1"/>
  <c r="CU320" i="1"/>
  <c r="CX320" i="1" s="1"/>
  <c r="CY320" i="1" s="1"/>
  <c r="CR321" i="1"/>
  <c r="CS321" i="1"/>
  <c r="CT321" i="1" s="1"/>
  <c r="CU321" i="1"/>
  <c r="CX321" i="1" s="1"/>
  <c r="CY321" i="1" s="1"/>
  <c r="CR322" i="1"/>
  <c r="CS322" i="1"/>
  <c r="CT322" i="1" s="1"/>
  <c r="CU322" i="1"/>
  <c r="CX322" i="1" s="1"/>
  <c r="CY322" i="1" s="1"/>
  <c r="CR323" i="1"/>
  <c r="CS323" i="1"/>
  <c r="CT323" i="1" s="1"/>
  <c r="CU323" i="1"/>
  <c r="CX323" i="1" s="1"/>
  <c r="CY323" i="1" s="1"/>
  <c r="CR324" i="1"/>
  <c r="CS324" i="1"/>
  <c r="CT324" i="1" s="1"/>
  <c r="CU324" i="1"/>
  <c r="CX324" i="1" s="1"/>
  <c r="CY324" i="1" s="1"/>
  <c r="CR325" i="1"/>
  <c r="CS325" i="1"/>
  <c r="CT325" i="1" s="1"/>
  <c r="CU325" i="1"/>
  <c r="CX325" i="1" s="1"/>
  <c r="CY325" i="1" s="1"/>
  <c r="CR326" i="1"/>
  <c r="CS326" i="1"/>
  <c r="CT326" i="1" s="1"/>
  <c r="CU326" i="1"/>
  <c r="CX326" i="1" s="1"/>
  <c r="CY326" i="1" s="1"/>
  <c r="CR327" i="1"/>
  <c r="CS327" i="1"/>
  <c r="CT327" i="1" s="1"/>
  <c r="CU327" i="1"/>
  <c r="CX327" i="1" s="1"/>
  <c r="CY327" i="1" s="1"/>
  <c r="CR328" i="1"/>
  <c r="CS328" i="1"/>
  <c r="CT328" i="1" s="1"/>
  <c r="CU328" i="1"/>
  <c r="CX328" i="1" s="1"/>
  <c r="CY328" i="1" s="1"/>
  <c r="CR329" i="1"/>
  <c r="CS329" i="1"/>
  <c r="CT329" i="1" s="1"/>
  <c r="CU329" i="1"/>
  <c r="CX329" i="1" s="1"/>
  <c r="CY329" i="1" s="1"/>
  <c r="CR330" i="1"/>
  <c r="CS330" i="1"/>
  <c r="CT330" i="1" s="1"/>
  <c r="CU330" i="1"/>
  <c r="CX330" i="1" s="1"/>
  <c r="CY330" i="1" s="1"/>
  <c r="CR331" i="1"/>
  <c r="CS331" i="1"/>
  <c r="CT331" i="1" s="1"/>
  <c r="CU331" i="1"/>
  <c r="CX331" i="1" s="1"/>
  <c r="CY331" i="1" s="1"/>
  <c r="CR332" i="1"/>
  <c r="CS332" i="1"/>
  <c r="CT332" i="1" s="1"/>
  <c r="CU332" i="1"/>
  <c r="CX332" i="1" s="1"/>
  <c r="CY332" i="1" s="1"/>
  <c r="CR333" i="1"/>
  <c r="CS333" i="1"/>
  <c r="CT333" i="1" s="1"/>
  <c r="CU333" i="1"/>
  <c r="CX333" i="1" s="1"/>
  <c r="CY333" i="1" s="1"/>
  <c r="CR334" i="1"/>
  <c r="CS334" i="1"/>
  <c r="CT334" i="1" s="1"/>
  <c r="CU334" i="1"/>
  <c r="CX334" i="1" s="1"/>
  <c r="CY334" i="1" s="1"/>
  <c r="CR335" i="1"/>
  <c r="CS335" i="1"/>
  <c r="CT335" i="1" s="1"/>
  <c r="CU335" i="1"/>
  <c r="CX335" i="1" s="1"/>
  <c r="CY335" i="1" s="1"/>
  <c r="CR336" i="1"/>
  <c r="CS336" i="1"/>
  <c r="CT336" i="1" s="1"/>
  <c r="CU336" i="1"/>
  <c r="CX336" i="1" s="1"/>
  <c r="CY336" i="1" s="1"/>
  <c r="CR337" i="1"/>
  <c r="CS337" i="1"/>
  <c r="CT337" i="1" s="1"/>
  <c r="CU337" i="1"/>
  <c r="CX337" i="1" s="1"/>
  <c r="CY337" i="1" s="1"/>
  <c r="CR689" i="1"/>
  <c r="CU689" i="1"/>
  <c r="CX689" i="1" s="1"/>
  <c r="CY689" i="1" s="1"/>
  <c r="CR338" i="1"/>
  <c r="CS338" i="1"/>
  <c r="CT338" i="1" s="1"/>
  <c r="CU338" i="1"/>
  <c r="CX338" i="1" s="1"/>
  <c r="CY338" i="1" s="1"/>
  <c r="CR339" i="1"/>
  <c r="CS339" i="1"/>
  <c r="CT339" i="1" s="1"/>
  <c r="CU339" i="1"/>
  <c r="CX339" i="1" s="1"/>
  <c r="CY339" i="1" s="1"/>
  <c r="CR340" i="1"/>
  <c r="CS340" i="1"/>
  <c r="CT340" i="1" s="1"/>
  <c r="CU340" i="1"/>
  <c r="CX340" i="1" s="1"/>
  <c r="CY340" i="1" s="1"/>
  <c r="CR342" i="1"/>
  <c r="CS342" i="1"/>
  <c r="CT342" i="1" s="1"/>
  <c r="CU342" i="1"/>
  <c r="CX342" i="1" s="1"/>
  <c r="CY342" i="1" s="1"/>
  <c r="CR343" i="1"/>
  <c r="CS343" i="1"/>
  <c r="CT343" i="1" s="1"/>
  <c r="CU343" i="1"/>
  <c r="CX343" i="1" s="1"/>
  <c r="CY343" i="1" s="1"/>
  <c r="CR344" i="1"/>
  <c r="CS344" i="1"/>
  <c r="CT344" i="1" s="1"/>
  <c r="CU344" i="1"/>
  <c r="CX344" i="1" s="1"/>
  <c r="CY344" i="1" s="1"/>
  <c r="CR345" i="1"/>
  <c r="CS345" i="1"/>
  <c r="CT345" i="1" s="1"/>
  <c r="CU345" i="1"/>
  <c r="CX345" i="1" s="1"/>
  <c r="CY345" i="1" s="1"/>
  <c r="CR346" i="1"/>
  <c r="CS346" i="1"/>
  <c r="CT346" i="1" s="1"/>
  <c r="CU346" i="1"/>
  <c r="CX346" i="1" s="1"/>
  <c r="CY346" i="1" s="1"/>
  <c r="CR699" i="1"/>
  <c r="CU699" i="1"/>
  <c r="CX699" i="1" s="1"/>
  <c r="CY699" i="1" s="1"/>
  <c r="CR347" i="1"/>
  <c r="CS347" i="1"/>
  <c r="CT347" i="1" s="1"/>
  <c r="CU347" i="1"/>
  <c r="CX347" i="1" s="1"/>
  <c r="CY347" i="1" s="1"/>
  <c r="CR348" i="1"/>
  <c r="CS348" i="1"/>
  <c r="CT348" i="1" s="1"/>
  <c r="CU348" i="1"/>
  <c r="CX348" i="1" s="1"/>
  <c r="CY348" i="1" s="1"/>
  <c r="CR349" i="1"/>
  <c r="CS349" i="1"/>
  <c r="CT349" i="1" s="1"/>
  <c r="CU349" i="1"/>
  <c r="CX349" i="1" s="1"/>
  <c r="CY349" i="1" s="1"/>
  <c r="CR350" i="1"/>
  <c r="CS350" i="1"/>
  <c r="CT350" i="1" s="1"/>
  <c r="CU350" i="1"/>
  <c r="CX350" i="1" s="1"/>
  <c r="CY350" i="1" s="1"/>
  <c r="CR351" i="1"/>
  <c r="CS351" i="1"/>
  <c r="CT351" i="1" s="1"/>
  <c r="CU351" i="1"/>
  <c r="CX351" i="1" s="1"/>
  <c r="CY351" i="1" s="1"/>
  <c r="CR352" i="1"/>
  <c r="CS352" i="1"/>
  <c r="CT352" i="1" s="1"/>
  <c r="CU352" i="1"/>
  <c r="CX352" i="1" s="1"/>
  <c r="CY352" i="1" s="1"/>
  <c r="CR353" i="1"/>
  <c r="CS353" i="1"/>
  <c r="CT353" i="1" s="1"/>
  <c r="CU353" i="1"/>
  <c r="CX353" i="1" s="1"/>
  <c r="CY353" i="1" s="1"/>
  <c r="CR354" i="1"/>
  <c r="CS354" i="1"/>
  <c r="CT354" i="1" s="1"/>
  <c r="CU354" i="1"/>
  <c r="CX354" i="1" s="1"/>
  <c r="CY354" i="1" s="1"/>
  <c r="CR355" i="1"/>
  <c r="CS355" i="1"/>
  <c r="CT355" i="1" s="1"/>
  <c r="CU355" i="1"/>
  <c r="CX355" i="1" s="1"/>
  <c r="CY355" i="1" s="1"/>
  <c r="CR356" i="1"/>
  <c r="CS356" i="1"/>
  <c r="CT356" i="1" s="1"/>
  <c r="CU356" i="1"/>
  <c r="CX356" i="1" s="1"/>
  <c r="CY356" i="1" s="1"/>
  <c r="CR357" i="1"/>
  <c r="CS357" i="1"/>
  <c r="CT357" i="1" s="1"/>
  <c r="CU357" i="1"/>
  <c r="CX357" i="1" s="1"/>
  <c r="CY357" i="1" s="1"/>
  <c r="CR358" i="1"/>
  <c r="CS358" i="1"/>
  <c r="CT358" i="1" s="1"/>
  <c r="CU358" i="1"/>
  <c r="CX358" i="1" s="1"/>
  <c r="CY358" i="1" s="1"/>
  <c r="CR359" i="1"/>
  <c r="CS359" i="1"/>
  <c r="CT359" i="1" s="1"/>
  <c r="CU359" i="1"/>
  <c r="CX359" i="1" s="1"/>
  <c r="CY359" i="1" s="1"/>
  <c r="CR360" i="1"/>
  <c r="CS360" i="1"/>
  <c r="CT360" i="1" s="1"/>
  <c r="CU360" i="1"/>
  <c r="CX360" i="1" s="1"/>
  <c r="CY360" i="1" s="1"/>
  <c r="CR361" i="1"/>
  <c r="CS361" i="1"/>
  <c r="CT361" i="1" s="1"/>
  <c r="CU361" i="1"/>
  <c r="CX361" i="1" s="1"/>
  <c r="CY361" i="1" s="1"/>
  <c r="CR716" i="1"/>
  <c r="CS716" i="1"/>
  <c r="CT716" i="1" s="1"/>
  <c r="CU716" i="1"/>
  <c r="CX716" i="1" s="1"/>
  <c r="CY716" i="1" s="1"/>
  <c r="CR362" i="1"/>
  <c r="CS362" i="1"/>
  <c r="CT362" i="1" s="1"/>
  <c r="CU362" i="1"/>
  <c r="CX362" i="1" s="1"/>
  <c r="CY362" i="1" s="1"/>
  <c r="CR364" i="1"/>
  <c r="CS364" i="1"/>
  <c r="CT364" i="1" s="1"/>
  <c r="CU364" i="1"/>
  <c r="CX364" i="1" s="1"/>
  <c r="CY364" i="1" s="1"/>
  <c r="CR365" i="1"/>
  <c r="CS365" i="1"/>
  <c r="CT365" i="1" s="1"/>
  <c r="CU365" i="1"/>
  <c r="CX365" i="1" s="1"/>
  <c r="CY365" i="1" s="1"/>
  <c r="CR366" i="1"/>
  <c r="CU366" i="1"/>
  <c r="CX366" i="1" s="1"/>
  <c r="CY366" i="1" s="1"/>
  <c r="CR367" i="1"/>
  <c r="CU367" i="1"/>
  <c r="CX367" i="1" s="1"/>
  <c r="CY367" i="1" s="1"/>
  <c r="CR368" i="1"/>
  <c r="CU368" i="1"/>
  <c r="CX368" i="1" s="1"/>
  <c r="CY368" i="1" s="1"/>
  <c r="CR369" i="1"/>
  <c r="CU369" i="1"/>
  <c r="CX369" i="1" s="1"/>
  <c r="CY369" i="1" s="1"/>
  <c r="CR370" i="1"/>
  <c r="CS370" i="1"/>
  <c r="CT370" i="1" s="1"/>
  <c r="CU370" i="1"/>
  <c r="CX370" i="1" s="1"/>
  <c r="CY370" i="1" s="1"/>
  <c r="CR371" i="1"/>
  <c r="CU371" i="1"/>
  <c r="CX371" i="1" s="1"/>
  <c r="CY371" i="1" s="1"/>
  <c r="CR372" i="1"/>
  <c r="CS372" i="1"/>
  <c r="CT372" i="1" s="1"/>
  <c r="CU372" i="1"/>
  <c r="CX372" i="1" s="1"/>
  <c r="CY372" i="1" s="1"/>
  <c r="CR373" i="1"/>
  <c r="CU373" i="1"/>
  <c r="CX373" i="1" s="1"/>
  <c r="CY373" i="1" s="1"/>
  <c r="CR374" i="1"/>
  <c r="CS374" i="1"/>
  <c r="CT374" i="1" s="1"/>
  <c r="CU374" i="1"/>
  <c r="CX374" i="1" s="1"/>
  <c r="CY374" i="1" s="1"/>
  <c r="CR375" i="1"/>
  <c r="CU375" i="1"/>
  <c r="CX375" i="1" s="1"/>
  <c r="CY375" i="1" s="1"/>
  <c r="CR376" i="1"/>
  <c r="CU376" i="1"/>
  <c r="CX376" i="1" s="1"/>
  <c r="CY376" i="1" s="1"/>
  <c r="CR377" i="1"/>
  <c r="CU377" i="1"/>
  <c r="CX377" i="1" s="1"/>
  <c r="CY377" i="1" s="1"/>
  <c r="CR378" i="1"/>
  <c r="CS378" i="1"/>
  <c r="CT378" i="1" s="1"/>
  <c r="CU378" i="1"/>
  <c r="CX378" i="1" s="1"/>
  <c r="CY378" i="1" s="1"/>
  <c r="CR381" i="1"/>
  <c r="CU381" i="1"/>
  <c r="CX381" i="1" s="1"/>
  <c r="CY381" i="1" s="1"/>
  <c r="CR382" i="1"/>
  <c r="CU382" i="1"/>
  <c r="CX382" i="1" s="1"/>
  <c r="CY382" i="1" s="1"/>
  <c r="CR383" i="1"/>
  <c r="CU383" i="1"/>
  <c r="CX383" i="1" s="1"/>
  <c r="CY383" i="1" s="1"/>
  <c r="CR384" i="1"/>
  <c r="CU384" i="1"/>
  <c r="CX384" i="1" s="1"/>
  <c r="CY384" i="1" s="1"/>
  <c r="CR385" i="1"/>
  <c r="CU385" i="1"/>
  <c r="CX385" i="1" s="1"/>
  <c r="CY385" i="1" s="1"/>
  <c r="CR386" i="1"/>
  <c r="CU386" i="1"/>
  <c r="CX386" i="1" s="1"/>
  <c r="CY386" i="1" s="1"/>
  <c r="CR387" i="1"/>
  <c r="CU387" i="1"/>
  <c r="CX387" i="1" s="1"/>
  <c r="CY387" i="1" s="1"/>
  <c r="CR388" i="1"/>
  <c r="CU388" i="1"/>
  <c r="CX388" i="1" s="1"/>
  <c r="CY388" i="1" s="1"/>
  <c r="CR389" i="1"/>
  <c r="CU389" i="1"/>
  <c r="CX389" i="1" s="1"/>
  <c r="CY389" i="1" s="1"/>
  <c r="CR390" i="1"/>
  <c r="CU390" i="1"/>
  <c r="CX390" i="1" s="1"/>
  <c r="CY390" i="1" s="1"/>
  <c r="CR391" i="1"/>
  <c r="CU391" i="1"/>
  <c r="CX391" i="1" s="1"/>
  <c r="CY391" i="1" s="1"/>
  <c r="CR392" i="1"/>
  <c r="CU392" i="1"/>
  <c r="CX392" i="1" s="1"/>
  <c r="CY392" i="1" s="1"/>
  <c r="CR393" i="1"/>
  <c r="CU393" i="1"/>
  <c r="CX393" i="1" s="1"/>
  <c r="CY393" i="1" s="1"/>
  <c r="CR394" i="1"/>
  <c r="CU394" i="1"/>
  <c r="CX394" i="1" s="1"/>
  <c r="CY394" i="1" s="1"/>
  <c r="CR395" i="1"/>
  <c r="CU395" i="1"/>
  <c r="CX395" i="1" s="1"/>
  <c r="CY395" i="1" s="1"/>
  <c r="CR396" i="1"/>
  <c r="CU396" i="1"/>
  <c r="CX396" i="1" s="1"/>
  <c r="CY396" i="1" s="1"/>
  <c r="CR397" i="1"/>
  <c r="CU397" i="1"/>
  <c r="CX397" i="1" s="1"/>
  <c r="CY397" i="1" s="1"/>
  <c r="CR398" i="1"/>
  <c r="CU398" i="1"/>
  <c r="CX398" i="1" s="1"/>
  <c r="CY398" i="1" s="1"/>
  <c r="CR399" i="1"/>
  <c r="CU399" i="1"/>
  <c r="CX399" i="1" s="1"/>
  <c r="CY399" i="1" s="1"/>
  <c r="CR400" i="1"/>
  <c r="CU400" i="1"/>
  <c r="CX400" i="1" s="1"/>
  <c r="CY400" i="1" s="1"/>
  <c r="CR401" i="1"/>
  <c r="CS401" i="1"/>
  <c r="CT401" i="1" s="1"/>
  <c r="CU401" i="1"/>
  <c r="CX401" i="1" s="1"/>
  <c r="CY401" i="1" s="1"/>
  <c r="CR402" i="1"/>
  <c r="CU402" i="1"/>
  <c r="CX402" i="1" s="1"/>
  <c r="CY402" i="1" s="1"/>
  <c r="CR403" i="1"/>
  <c r="CU403" i="1"/>
  <c r="CX403" i="1" s="1"/>
  <c r="CY403" i="1" s="1"/>
  <c r="CR404" i="1"/>
  <c r="CU404" i="1"/>
  <c r="CX404" i="1" s="1"/>
  <c r="CY404" i="1" s="1"/>
  <c r="CR405" i="1"/>
  <c r="CU405" i="1"/>
  <c r="CX405" i="1" s="1"/>
  <c r="CY405" i="1" s="1"/>
  <c r="CR406" i="1"/>
  <c r="CU406" i="1"/>
  <c r="CX406" i="1" s="1"/>
  <c r="CY406" i="1" s="1"/>
  <c r="CR407" i="1"/>
  <c r="CU407" i="1"/>
  <c r="CX407" i="1" s="1"/>
  <c r="CY407" i="1" s="1"/>
  <c r="CR408" i="1"/>
  <c r="CU408" i="1"/>
  <c r="CX408" i="1" s="1"/>
  <c r="CY408" i="1" s="1"/>
  <c r="CR212" i="1"/>
  <c r="CS212" i="1"/>
  <c r="CT212" i="1" s="1"/>
  <c r="CU212" i="1"/>
  <c r="CX212" i="1" s="1"/>
  <c r="CY212" i="1" s="1"/>
  <c r="CR409" i="1"/>
  <c r="CU409" i="1"/>
  <c r="CX409" i="1" s="1"/>
  <c r="CY409" i="1" s="1"/>
  <c r="CR410" i="1"/>
  <c r="CU410" i="1"/>
  <c r="CX410" i="1" s="1"/>
  <c r="CY410" i="1" s="1"/>
  <c r="CR411" i="1"/>
  <c r="CS411" i="1"/>
  <c r="CT411" i="1" s="1"/>
  <c r="CU411" i="1"/>
  <c r="CX411" i="1" s="1"/>
  <c r="CY411" i="1" s="1"/>
  <c r="CR412" i="1"/>
  <c r="CS412" i="1"/>
  <c r="CT412" i="1" s="1"/>
  <c r="CU412" i="1"/>
  <c r="CX412" i="1" s="1"/>
  <c r="CY412" i="1" s="1"/>
  <c r="CR413" i="1"/>
  <c r="CU413" i="1"/>
  <c r="CX413" i="1" s="1"/>
  <c r="CY413" i="1" s="1"/>
  <c r="CR414" i="1"/>
  <c r="CU414" i="1"/>
  <c r="CX414" i="1" s="1"/>
  <c r="CY414" i="1" s="1"/>
  <c r="CR415" i="1"/>
  <c r="CU415" i="1"/>
  <c r="CX415" i="1" s="1"/>
  <c r="CY415" i="1" s="1"/>
  <c r="CR416" i="1"/>
  <c r="CS416" i="1"/>
  <c r="CT416" i="1" s="1"/>
  <c r="CU416" i="1"/>
  <c r="CX416" i="1" s="1"/>
  <c r="CY416" i="1" s="1"/>
  <c r="CR177" i="1"/>
  <c r="CS177" i="1"/>
  <c r="CT177" i="1" s="1"/>
  <c r="CU177" i="1"/>
  <c r="CX177" i="1" s="1"/>
  <c r="CY177" i="1" s="1"/>
  <c r="CR417" i="1"/>
  <c r="CU417" i="1"/>
  <c r="CX417" i="1" s="1"/>
  <c r="CY417" i="1" s="1"/>
  <c r="CR418" i="1"/>
  <c r="CU418" i="1"/>
  <c r="CX418" i="1" s="1"/>
  <c r="CY418" i="1" s="1"/>
  <c r="CR419" i="1"/>
  <c r="CU419" i="1"/>
  <c r="CX419" i="1" s="1"/>
  <c r="CY419" i="1" s="1"/>
  <c r="CR420" i="1"/>
  <c r="CU420" i="1"/>
  <c r="CX420" i="1" s="1"/>
  <c r="CY420" i="1" s="1"/>
  <c r="CR421" i="1"/>
  <c r="CU421" i="1"/>
  <c r="CX421" i="1" s="1"/>
  <c r="CY421" i="1" s="1"/>
  <c r="CR422" i="1"/>
  <c r="CU422" i="1"/>
  <c r="CX422" i="1" s="1"/>
  <c r="CY422" i="1" s="1"/>
  <c r="CR423" i="1"/>
  <c r="CU423" i="1"/>
  <c r="CX423" i="1" s="1"/>
  <c r="CY423" i="1" s="1"/>
  <c r="CR424" i="1"/>
  <c r="CU424" i="1"/>
  <c r="CX424" i="1" s="1"/>
  <c r="CY424" i="1" s="1"/>
  <c r="CR425" i="1"/>
  <c r="CU425" i="1"/>
  <c r="CX425" i="1" s="1"/>
  <c r="CY425" i="1" s="1"/>
  <c r="CR426" i="1"/>
  <c r="CU426" i="1"/>
  <c r="CX426" i="1" s="1"/>
  <c r="CY426" i="1" s="1"/>
  <c r="CR427" i="1"/>
  <c r="CS427" i="1"/>
  <c r="CT427" i="1" s="1"/>
  <c r="CU427" i="1"/>
  <c r="CX427" i="1" s="1"/>
  <c r="CY427" i="1" s="1"/>
  <c r="CR428" i="1"/>
  <c r="CU428" i="1"/>
  <c r="CX428" i="1" s="1"/>
  <c r="CY428" i="1" s="1"/>
  <c r="CR429" i="1"/>
  <c r="CU429" i="1"/>
  <c r="CX429" i="1" s="1"/>
  <c r="CY429" i="1" s="1"/>
  <c r="CR430" i="1"/>
  <c r="CS430" i="1"/>
  <c r="CT430" i="1" s="1"/>
  <c r="CU430" i="1"/>
  <c r="CX430" i="1" s="1"/>
  <c r="CY430" i="1" s="1"/>
  <c r="CR431" i="1"/>
  <c r="CU431" i="1"/>
  <c r="CX431" i="1" s="1"/>
  <c r="CY431" i="1" s="1"/>
  <c r="CR432" i="1"/>
  <c r="CU432" i="1"/>
  <c r="CX432" i="1" s="1"/>
  <c r="CY432" i="1" s="1"/>
  <c r="CR186" i="1"/>
  <c r="CS186" i="1"/>
  <c r="CT186" i="1" s="1"/>
  <c r="CU186" i="1"/>
  <c r="CX186" i="1" s="1"/>
  <c r="CY186" i="1" s="1"/>
  <c r="CR433" i="1"/>
  <c r="CU433" i="1"/>
  <c r="CX433" i="1" s="1"/>
  <c r="CY433" i="1" s="1"/>
  <c r="CR434" i="1"/>
  <c r="CU434" i="1"/>
  <c r="CX434" i="1" s="1"/>
  <c r="CY434" i="1" s="1"/>
  <c r="CR435" i="1"/>
  <c r="CU435" i="1"/>
  <c r="CX435" i="1" s="1"/>
  <c r="CY435" i="1" s="1"/>
  <c r="CR436" i="1"/>
  <c r="CU436" i="1"/>
  <c r="CX436" i="1" s="1"/>
  <c r="CY436" i="1" s="1"/>
  <c r="CR437" i="1"/>
  <c r="CU437" i="1"/>
  <c r="CX437" i="1" s="1"/>
  <c r="CY437" i="1" s="1"/>
  <c r="CR438" i="1"/>
  <c r="CU438" i="1"/>
  <c r="CX438" i="1" s="1"/>
  <c r="CY438" i="1" s="1"/>
  <c r="CR440" i="1"/>
  <c r="CS440" i="1"/>
  <c r="CT440" i="1" s="1"/>
  <c r="CU440" i="1"/>
  <c r="CX440" i="1" s="1"/>
  <c r="CY440" i="1" s="1"/>
  <c r="CR441" i="1"/>
  <c r="CU441" i="1"/>
  <c r="CX441" i="1" s="1"/>
  <c r="CY441" i="1" s="1"/>
  <c r="CR442" i="1"/>
  <c r="CU442" i="1"/>
  <c r="CX442" i="1" s="1"/>
  <c r="CY442" i="1" s="1"/>
  <c r="CR443" i="1"/>
  <c r="CS443" i="1"/>
  <c r="CT443" i="1" s="1"/>
  <c r="CU443" i="1"/>
  <c r="CX443" i="1" s="1"/>
  <c r="CY443" i="1" s="1"/>
  <c r="CR444" i="1"/>
  <c r="CU444" i="1"/>
  <c r="CX444" i="1" s="1"/>
  <c r="CY444" i="1" s="1"/>
  <c r="CR445" i="1"/>
  <c r="CU445" i="1"/>
  <c r="CX445" i="1" s="1"/>
  <c r="CY445" i="1" s="1"/>
  <c r="CR446" i="1"/>
  <c r="CU446" i="1"/>
  <c r="CX446" i="1" s="1"/>
  <c r="CY446" i="1" s="1"/>
  <c r="CR447" i="1"/>
  <c r="CU447" i="1"/>
  <c r="CX447" i="1" s="1"/>
  <c r="CY447" i="1" s="1"/>
  <c r="CR448" i="1"/>
  <c r="CU448" i="1"/>
  <c r="CX448" i="1" s="1"/>
  <c r="CY448" i="1" s="1"/>
  <c r="CR449" i="1"/>
  <c r="CU449" i="1"/>
  <c r="CX449" i="1" s="1"/>
  <c r="CY449" i="1" s="1"/>
  <c r="CR450" i="1"/>
  <c r="CU450" i="1"/>
  <c r="CX450" i="1" s="1"/>
  <c r="CY450" i="1" s="1"/>
  <c r="CR451" i="1"/>
  <c r="CU451" i="1"/>
  <c r="CX451" i="1" s="1"/>
  <c r="CY451" i="1" s="1"/>
  <c r="CR452" i="1"/>
  <c r="CU452" i="1"/>
  <c r="CX452" i="1" s="1"/>
  <c r="CY452" i="1" s="1"/>
  <c r="CR453" i="1"/>
  <c r="CS453" i="1"/>
  <c r="CT453" i="1" s="1"/>
  <c r="CU453" i="1"/>
  <c r="CX453" i="1" s="1"/>
  <c r="CY453" i="1" s="1"/>
  <c r="CR454" i="1"/>
  <c r="CU454" i="1"/>
  <c r="CX454" i="1" s="1"/>
  <c r="CY454" i="1" s="1"/>
  <c r="CR455" i="1"/>
  <c r="CS455" i="1"/>
  <c r="CT455" i="1" s="1"/>
  <c r="CU455" i="1"/>
  <c r="CX455" i="1" s="1"/>
  <c r="CY455" i="1" s="1"/>
  <c r="CR456" i="1"/>
  <c r="CU456" i="1"/>
  <c r="CX456" i="1" s="1"/>
  <c r="CY456" i="1" s="1"/>
  <c r="CR457" i="1"/>
  <c r="CU457" i="1"/>
  <c r="CX457" i="1" s="1"/>
  <c r="CY457" i="1" s="1"/>
  <c r="CR93" i="1"/>
  <c r="CU93" i="1"/>
  <c r="CX93" i="1" s="1"/>
  <c r="CY93" i="1" s="1"/>
  <c r="CR458" i="1"/>
  <c r="CU458" i="1"/>
  <c r="CX458" i="1" s="1"/>
  <c r="CY458" i="1" s="1"/>
  <c r="CR379" i="1"/>
  <c r="CU379" i="1"/>
  <c r="CX379" i="1" s="1"/>
  <c r="CY379" i="1" s="1"/>
  <c r="CR380" i="1"/>
  <c r="CU380" i="1"/>
  <c r="CX380" i="1" s="1"/>
  <c r="CY380" i="1" s="1"/>
  <c r="CR460" i="1"/>
  <c r="CU460" i="1"/>
  <c r="CX460" i="1" s="1"/>
  <c r="CY460" i="1" s="1"/>
  <c r="CR461" i="1"/>
  <c r="CS461" i="1"/>
  <c r="CT461" i="1" s="1"/>
  <c r="CU461" i="1"/>
  <c r="CX461" i="1" s="1"/>
  <c r="CY461" i="1" s="1"/>
  <c r="CR462" i="1"/>
  <c r="CU462" i="1"/>
  <c r="CX462" i="1" s="1"/>
  <c r="CY462" i="1" s="1"/>
  <c r="CR439" i="1"/>
  <c r="CU439" i="1"/>
  <c r="CX439" i="1" s="1"/>
  <c r="CY439" i="1" s="1"/>
  <c r="CR463" i="1"/>
  <c r="CU463" i="1"/>
  <c r="CX463" i="1" s="1"/>
  <c r="CY463" i="1" s="1"/>
  <c r="CR464" i="1"/>
  <c r="CS464" i="1"/>
  <c r="CT464" i="1" s="1"/>
  <c r="CU464" i="1"/>
  <c r="CX464" i="1" s="1"/>
  <c r="CY464" i="1" s="1"/>
  <c r="CR465" i="1"/>
  <c r="CU465" i="1"/>
  <c r="CX465" i="1" s="1"/>
  <c r="CY465" i="1" s="1"/>
  <c r="CR466" i="1"/>
  <c r="CU466" i="1"/>
  <c r="CX466" i="1" s="1"/>
  <c r="CY466" i="1" s="1"/>
  <c r="CR467" i="1"/>
  <c r="CU467" i="1"/>
  <c r="CX467" i="1" s="1"/>
  <c r="CY467" i="1" s="1"/>
  <c r="CR20" i="1"/>
  <c r="CU20" i="1"/>
  <c r="CX20" i="1" s="1"/>
  <c r="CY20" i="1" s="1"/>
  <c r="CR469" i="1"/>
  <c r="CU469" i="1"/>
  <c r="CX469" i="1" s="1"/>
  <c r="CY469" i="1" s="1"/>
  <c r="CR470" i="1"/>
  <c r="CS470" i="1"/>
  <c r="CT470" i="1" s="1"/>
  <c r="CU470" i="1"/>
  <c r="CX470" i="1" s="1"/>
  <c r="CY470" i="1" s="1"/>
  <c r="CR472" i="1"/>
  <c r="CU472" i="1"/>
  <c r="CX472" i="1" s="1"/>
  <c r="CY472" i="1" s="1"/>
  <c r="CR473" i="1"/>
  <c r="CU473" i="1"/>
  <c r="CX473" i="1" s="1"/>
  <c r="CY473" i="1" s="1"/>
  <c r="CR474" i="1"/>
  <c r="CU474" i="1"/>
  <c r="CX474" i="1" s="1"/>
  <c r="CY474" i="1" s="1"/>
  <c r="CR31" i="1"/>
  <c r="CU31" i="1"/>
  <c r="CX31" i="1" s="1"/>
  <c r="CY31" i="1" s="1"/>
  <c r="CR476" i="1"/>
  <c r="CU476" i="1"/>
  <c r="CX476" i="1" s="1"/>
  <c r="CY476" i="1" s="1"/>
  <c r="CR32" i="1"/>
  <c r="CU32" i="1"/>
  <c r="CX32" i="1" s="1"/>
  <c r="CY32" i="1" s="1"/>
  <c r="CR477" i="1"/>
  <c r="CU477" i="1"/>
  <c r="CX477" i="1" s="1"/>
  <c r="CY477" i="1" s="1"/>
  <c r="CR478" i="1"/>
  <c r="CU478" i="1"/>
  <c r="CX478" i="1" s="1"/>
  <c r="CY478" i="1" s="1"/>
  <c r="CR479" i="1"/>
  <c r="CS479" i="1"/>
  <c r="CT479" i="1" s="1"/>
  <c r="CU479" i="1"/>
  <c r="CX479" i="1" s="1"/>
  <c r="CY479" i="1" s="1"/>
  <c r="CR480" i="1"/>
  <c r="CU480" i="1"/>
  <c r="CX480" i="1" s="1"/>
  <c r="CY480" i="1" s="1"/>
  <c r="CR482" i="1"/>
  <c r="CU482" i="1"/>
  <c r="CX482" i="1" s="1"/>
  <c r="CY482" i="1" s="1"/>
  <c r="CR483" i="1"/>
  <c r="CU483" i="1"/>
  <c r="CX483" i="1" s="1"/>
  <c r="CY483" i="1" s="1"/>
  <c r="CR471" i="1"/>
  <c r="CS471" i="1"/>
  <c r="CT471" i="1" s="1"/>
  <c r="CU471" i="1"/>
  <c r="CX471" i="1" s="1"/>
  <c r="CY471" i="1" s="1"/>
  <c r="CR475" i="1"/>
  <c r="CU475" i="1"/>
  <c r="CX475" i="1" s="1"/>
  <c r="CY475" i="1" s="1"/>
  <c r="CR484" i="1"/>
  <c r="CU484" i="1"/>
  <c r="CX484" i="1" s="1"/>
  <c r="CY484" i="1" s="1"/>
  <c r="CR486" i="1"/>
  <c r="CU486" i="1"/>
  <c r="CX486" i="1" s="1"/>
  <c r="CY486" i="1" s="1"/>
  <c r="CR489" i="1"/>
  <c r="CU489" i="1"/>
  <c r="CX489" i="1" s="1"/>
  <c r="CY489" i="1" s="1"/>
  <c r="CR490" i="1"/>
  <c r="CU490" i="1"/>
  <c r="CX490" i="1" s="1"/>
  <c r="CY490" i="1" s="1"/>
  <c r="CR491" i="1"/>
  <c r="CU491" i="1"/>
  <c r="CX491" i="1" s="1"/>
  <c r="CY491" i="1" s="1"/>
  <c r="CR492" i="1"/>
  <c r="CU492" i="1"/>
  <c r="CX492" i="1" s="1"/>
  <c r="CY492" i="1" s="1"/>
  <c r="CR493" i="1"/>
  <c r="CU493" i="1"/>
  <c r="CX493" i="1" s="1"/>
  <c r="CY493" i="1" s="1"/>
  <c r="CR459" i="1"/>
  <c r="CU459" i="1"/>
  <c r="CX459" i="1" s="1"/>
  <c r="CY459" i="1" s="1"/>
  <c r="CR494" i="1"/>
  <c r="CU494" i="1"/>
  <c r="CX494" i="1" s="1"/>
  <c r="CY494" i="1" s="1"/>
  <c r="CR495" i="1"/>
  <c r="CU495" i="1"/>
  <c r="CX495" i="1" s="1"/>
  <c r="CY495" i="1" s="1"/>
  <c r="CR496" i="1"/>
  <c r="CU496" i="1"/>
  <c r="CX496" i="1" s="1"/>
  <c r="CY496" i="1" s="1"/>
  <c r="CR497" i="1"/>
  <c r="CU497" i="1"/>
  <c r="CX497" i="1" s="1"/>
  <c r="CY497" i="1" s="1"/>
  <c r="CR498" i="1"/>
  <c r="CU498" i="1"/>
  <c r="CX498" i="1" s="1"/>
  <c r="CY498" i="1" s="1"/>
  <c r="CR499" i="1"/>
  <c r="CU499" i="1"/>
  <c r="CX499" i="1" s="1"/>
  <c r="CY499" i="1" s="1"/>
  <c r="CR500" i="1"/>
  <c r="CU500" i="1"/>
  <c r="CX500" i="1" s="1"/>
  <c r="CY500" i="1" s="1"/>
  <c r="CR501" i="1"/>
  <c r="CU501" i="1"/>
  <c r="CX501" i="1" s="1"/>
  <c r="CY501" i="1" s="1"/>
  <c r="CR502" i="1"/>
  <c r="CU502" i="1"/>
  <c r="CX502" i="1" s="1"/>
  <c r="CY502" i="1" s="1"/>
  <c r="CR503" i="1"/>
  <c r="CU503" i="1"/>
  <c r="CX503" i="1" s="1"/>
  <c r="CY503" i="1" s="1"/>
  <c r="CR504" i="1"/>
  <c r="CU504" i="1"/>
  <c r="CX504" i="1" s="1"/>
  <c r="CY504" i="1" s="1"/>
  <c r="CR468" i="1"/>
  <c r="CU468" i="1"/>
  <c r="CX468" i="1" s="1"/>
  <c r="CY468" i="1" s="1"/>
  <c r="CR506" i="1"/>
  <c r="CU506" i="1"/>
  <c r="CX506" i="1" s="1"/>
  <c r="CY506" i="1" s="1"/>
  <c r="CR507" i="1"/>
  <c r="CU507" i="1"/>
  <c r="CX507" i="1" s="1"/>
  <c r="CY507" i="1" s="1"/>
  <c r="CR510" i="1"/>
  <c r="CS510" i="1"/>
  <c r="CT510" i="1" s="1"/>
  <c r="CU510" i="1"/>
  <c r="CX510" i="1" s="1"/>
  <c r="CY510" i="1" s="1"/>
  <c r="CR514" i="1"/>
  <c r="CU514" i="1"/>
  <c r="CX514" i="1" s="1"/>
  <c r="CY514" i="1" s="1"/>
  <c r="CR516" i="1"/>
  <c r="CU516" i="1"/>
  <c r="CX516" i="1" s="1"/>
  <c r="CY516" i="1" s="1"/>
  <c r="CR517" i="1"/>
  <c r="CU517" i="1"/>
  <c r="CX517" i="1" s="1"/>
  <c r="CY517" i="1" s="1"/>
  <c r="CR518" i="1"/>
  <c r="CU518" i="1"/>
  <c r="CX518" i="1" s="1"/>
  <c r="CY518" i="1" s="1"/>
  <c r="CR519" i="1"/>
  <c r="CU519" i="1"/>
  <c r="CX519" i="1" s="1"/>
  <c r="CY519" i="1" s="1"/>
  <c r="CR520" i="1"/>
  <c r="CU520" i="1"/>
  <c r="CX520" i="1" s="1"/>
  <c r="CY520" i="1" s="1"/>
  <c r="CR521" i="1"/>
  <c r="CU521" i="1"/>
  <c r="CX521" i="1" s="1"/>
  <c r="CY521" i="1" s="1"/>
  <c r="CR522" i="1"/>
  <c r="CS522" i="1"/>
  <c r="CT522" i="1" s="1"/>
  <c r="CU522" i="1"/>
  <c r="CX522" i="1" s="1"/>
  <c r="CY522" i="1" s="1"/>
  <c r="CR523" i="1"/>
  <c r="CS523" i="1"/>
  <c r="CT523" i="1" s="1"/>
  <c r="CU523" i="1"/>
  <c r="CX523" i="1" s="1"/>
  <c r="CY523" i="1" s="1"/>
  <c r="CR524" i="1"/>
  <c r="CS524" i="1"/>
  <c r="CT524" i="1" s="1"/>
  <c r="CU524" i="1"/>
  <c r="CX524" i="1" s="1"/>
  <c r="CY524" i="1" s="1"/>
  <c r="CR525" i="1"/>
  <c r="CS525" i="1"/>
  <c r="CT525" i="1" s="1"/>
  <c r="CU525" i="1"/>
  <c r="CX525" i="1" s="1"/>
  <c r="CY525" i="1" s="1"/>
  <c r="CR526" i="1"/>
  <c r="CS526" i="1"/>
  <c r="CT526" i="1" s="1"/>
  <c r="CU526" i="1"/>
  <c r="CX526" i="1" s="1"/>
  <c r="CY526" i="1" s="1"/>
  <c r="CR527" i="1"/>
  <c r="CS527" i="1"/>
  <c r="CT527" i="1" s="1"/>
  <c r="CU527" i="1"/>
  <c r="CX527" i="1" s="1"/>
  <c r="CY527" i="1" s="1"/>
  <c r="CR528" i="1"/>
  <c r="CS528" i="1"/>
  <c r="CT528" i="1" s="1"/>
  <c r="CU528" i="1"/>
  <c r="CX528" i="1" s="1"/>
  <c r="CY528" i="1" s="1"/>
  <c r="CR529" i="1"/>
  <c r="CS529" i="1"/>
  <c r="CT529" i="1" s="1"/>
  <c r="CU529" i="1"/>
  <c r="CX529" i="1" s="1"/>
  <c r="CY529" i="1" s="1"/>
  <c r="CR530" i="1"/>
  <c r="CS530" i="1"/>
  <c r="CT530" i="1" s="1"/>
  <c r="CU530" i="1"/>
  <c r="CX530" i="1" s="1"/>
  <c r="CY530" i="1" s="1"/>
  <c r="CR531" i="1"/>
  <c r="CS531" i="1"/>
  <c r="CT531" i="1" s="1"/>
  <c r="CU531" i="1"/>
  <c r="CX531" i="1" s="1"/>
  <c r="CY531" i="1" s="1"/>
  <c r="CR532" i="1"/>
  <c r="CS532" i="1"/>
  <c r="CT532" i="1" s="1"/>
  <c r="CU532" i="1"/>
  <c r="CX532" i="1" s="1"/>
  <c r="CY532" i="1" s="1"/>
  <c r="CR533" i="1"/>
  <c r="CS533" i="1"/>
  <c r="CT533" i="1" s="1"/>
  <c r="CU533" i="1"/>
  <c r="CX533" i="1" s="1"/>
  <c r="CY533" i="1" s="1"/>
  <c r="CR534" i="1"/>
  <c r="CS534" i="1"/>
  <c r="CT534" i="1" s="1"/>
  <c r="CU534" i="1"/>
  <c r="CX534" i="1" s="1"/>
  <c r="CY534" i="1" s="1"/>
  <c r="CR535" i="1"/>
  <c r="CS535" i="1"/>
  <c r="CT535" i="1" s="1"/>
  <c r="CU535" i="1"/>
  <c r="CX535" i="1" s="1"/>
  <c r="CY535" i="1" s="1"/>
  <c r="CR536" i="1"/>
  <c r="CS536" i="1"/>
  <c r="CT536" i="1" s="1"/>
  <c r="CU536" i="1"/>
  <c r="CX536" i="1" s="1"/>
  <c r="CY536" i="1" s="1"/>
  <c r="CR537" i="1"/>
  <c r="CS537" i="1"/>
  <c r="CT537" i="1" s="1"/>
  <c r="CU537" i="1"/>
  <c r="CX537" i="1" s="1"/>
  <c r="CY537" i="1" s="1"/>
  <c r="CR538" i="1"/>
  <c r="CS538" i="1"/>
  <c r="CT538" i="1" s="1"/>
  <c r="CU538" i="1"/>
  <c r="CX538" i="1" s="1"/>
  <c r="CY538" i="1" s="1"/>
  <c r="CR539" i="1"/>
  <c r="CS539" i="1"/>
  <c r="CT539" i="1" s="1"/>
  <c r="CU539" i="1"/>
  <c r="CX539" i="1" s="1"/>
  <c r="CY539" i="1" s="1"/>
  <c r="CR540" i="1"/>
  <c r="CS540" i="1"/>
  <c r="CT540" i="1" s="1"/>
  <c r="CU540" i="1"/>
  <c r="CX540" i="1" s="1"/>
  <c r="CY540" i="1" s="1"/>
  <c r="CR541" i="1"/>
  <c r="CS541" i="1"/>
  <c r="CT541" i="1" s="1"/>
  <c r="CU541" i="1"/>
  <c r="CX541" i="1" s="1"/>
  <c r="CY541" i="1" s="1"/>
  <c r="CR542" i="1"/>
  <c r="CS542" i="1"/>
  <c r="CT542" i="1" s="1"/>
  <c r="CU542" i="1"/>
  <c r="CX542" i="1" s="1"/>
  <c r="CY542" i="1" s="1"/>
  <c r="CR543" i="1"/>
  <c r="CS543" i="1"/>
  <c r="CT543" i="1" s="1"/>
  <c r="CU543" i="1"/>
  <c r="CX543" i="1" s="1"/>
  <c r="CY543" i="1" s="1"/>
  <c r="CR544" i="1"/>
  <c r="CS544" i="1"/>
  <c r="CT544" i="1" s="1"/>
  <c r="CU544" i="1"/>
  <c r="CX544" i="1" s="1"/>
  <c r="CY544" i="1" s="1"/>
  <c r="CR545" i="1"/>
  <c r="CS545" i="1"/>
  <c r="CT545" i="1" s="1"/>
  <c r="CU545" i="1"/>
  <c r="CX545" i="1" s="1"/>
  <c r="CY545" i="1" s="1"/>
  <c r="CR546" i="1"/>
  <c r="CU546" i="1"/>
  <c r="CX546" i="1" s="1"/>
  <c r="CY546" i="1" s="1"/>
  <c r="CR547" i="1"/>
  <c r="CU547" i="1"/>
  <c r="CX547" i="1" s="1"/>
  <c r="CY547" i="1" s="1"/>
  <c r="CR548" i="1"/>
  <c r="CU548" i="1"/>
  <c r="CX548" i="1" s="1"/>
  <c r="CY548" i="1" s="1"/>
  <c r="CR549" i="1"/>
  <c r="CS549" i="1"/>
  <c r="CT549" i="1" s="1"/>
  <c r="CU549" i="1"/>
  <c r="CX549" i="1" s="1"/>
  <c r="CY549" i="1" s="1"/>
  <c r="CR511" i="1"/>
  <c r="CU511" i="1"/>
  <c r="CX511" i="1" s="1"/>
  <c r="CY511" i="1" s="1"/>
  <c r="CR550" i="1"/>
  <c r="CU550" i="1"/>
  <c r="CX550" i="1" s="1"/>
  <c r="CY550" i="1" s="1"/>
  <c r="CR551" i="1"/>
  <c r="CU551" i="1"/>
  <c r="CX551" i="1" s="1"/>
  <c r="CY551" i="1" s="1"/>
  <c r="CR552" i="1"/>
  <c r="CU552" i="1"/>
  <c r="CX552" i="1" s="1"/>
  <c r="CY552" i="1" s="1"/>
  <c r="CR553" i="1"/>
  <c r="CU553" i="1"/>
  <c r="CX553" i="1" s="1"/>
  <c r="CY553" i="1" s="1"/>
  <c r="CR512" i="1"/>
  <c r="CU512" i="1"/>
  <c r="CX512" i="1" s="1"/>
  <c r="CY512" i="1" s="1"/>
  <c r="CR513" i="1"/>
  <c r="CU513" i="1"/>
  <c r="CX513" i="1" s="1"/>
  <c r="CY513" i="1" s="1"/>
  <c r="CR554" i="1"/>
  <c r="CS554" i="1"/>
  <c r="CT554" i="1" s="1"/>
  <c r="CU554" i="1"/>
  <c r="CX554" i="1" s="1"/>
  <c r="CY554" i="1" s="1"/>
  <c r="CR555" i="1"/>
  <c r="CU555" i="1"/>
  <c r="CX555" i="1" s="1"/>
  <c r="CY555" i="1" s="1"/>
  <c r="CR556" i="1"/>
  <c r="CS556" i="1"/>
  <c r="CT556" i="1" s="1"/>
  <c r="CU556" i="1"/>
  <c r="CX556" i="1" s="1"/>
  <c r="CY556" i="1" s="1"/>
  <c r="CR557" i="1"/>
  <c r="CU557" i="1"/>
  <c r="CX557" i="1" s="1"/>
  <c r="CY557" i="1" s="1"/>
  <c r="CR558" i="1"/>
  <c r="CU558" i="1"/>
  <c r="CX558" i="1" s="1"/>
  <c r="CY558" i="1" s="1"/>
  <c r="CR559" i="1"/>
  <c r="CS559" i="1"/>
  <c r="CT559" i="1" s="1"/>
  <c r="CU559" i="1"/>
  <c r="CX559" i="1" s="1"/>
  <c r="CY559" i="1" s="1"/>
  <c r="CR560" i="1"/>
  <c r="CU560" i="1"/>
  <c r="CX560" i="1" s="1"/>
  <c r="CY560" i="1" s="1"/>
  <c r="CR515" i="1"/>
  <c r="CU515" i="1"/>
  <c r="CX515" i="1" s="1"/>
  <c r="CY515" i="1" s="1"/>
  <c r="CR561" i="1"/>
  <c r="CS561" i="1"/>
  <c r="CT561" i="1" s="1"/>
  <c r="CU561" i="1"/>
  <c r="CX561" i="1" s="1"/>
  <c r="CY561" i="1" s="1"/>
  <c r="CR562" i="1"/>
  <c r="CS562" i="1"/>
  <c r="CT562" i="1" s="1"/>
  <c r="CU562" i="1"/>
  <c r="CX562" i="1" s="1"/>
  <c r="CY562" i="1" s="1"/>
  <c r="CR563" i="1"/>
  <c r="CS563" i="1"/>
  <c r="CT563" i="1" s="1"/>
  <c r="CU563" i="1"/>
  <c r="CX563" i="1" s="1"/>
  <c r="CY563" i="1" s="1"/>
  <c r="CR564" i="1"/>
  <c r="CU564" i="1"/>
  <c r="CX564" i="1" s="1"/>
  <c r="CY564" i="1" s="1"/>
  <c r="CR565" i="1"/>
  <c r="CS565" i="1"/>
  <c r="CT565" i="1" s="1"/>
  <c r="CU565" i="1"/>
  <c r="CX565" i="1" s="1"/>
  <c r="CY565" i="1" s="1"/>
  <c r="CR566" i="1"/>
  <c r="CU566" i="1"/>
  <c r="CX566" i="1" s="1"/>
  <c r="CY566" i="1" s="1"/>
  <c r="CR567" i="1"/>
  <c r="CS567" i="1"/>
  <c r="CT567" i="1" s="1"/>
  <c r="CU567" i="1"/>
  <c r="CX567" i="1" s="1"/>
  <c r="CY567" i="1" s="1"/>
  <c r="CR568" i="1"/>
  <c r="CS568" i="1"/>
  <c r="CT568" i="1" s="1"/>
  <c r="CU568" i="1"/>
  <c r="CX568" i="1" s="1"/>
  <c r="CY568" i="1" s="1"/>
  <c r="CR569" i="1"/>
  <c r="CS569" i="1"/>
  <c r="CT569" i="1" s="1"/>
  <c r="CU569" i="1"/>
  <c r="CX569" i="1" s="1"/>
  <c r="CY569" i="1" s="1"/>
  <c r="CR570" i="1"/>
  <c r="CU570" i="1"/>
  <c r="CX570" i="1" s="1"/>
  <c r="CY570" i="1" s="1"/>
  <c r="CR571" i="1"/>
  <c r="CU571" i="1"/>
  <c r="CX571" i="1" s="1"/>
  <c r="CY571" i="1" s="1"/>
  <c r="CR572" i="1"/>
  <c r="CS572" i="1"/>
  <c r="CT572" i="1" s="1"/>
  <c r="CU572" i="1"/>
  <c r="CX572" i="1" s="1"/>
  <c r="CY572" i="1" s="1"/>
  <c r="CR573" i="1"/>
  <c r="CU573" i="1"/>
  <c r="CX573" i="1" s="1"/>
  <c r="CY573" i="1" s="1"/>
  <c r="CR574" i="1"/>
  <c r="CS574" i="1"/>
  <c r="CT574" i="1" s="1"/>
  <c r="CU574" i="1"/>
  <c r="CX574" i="1" s="1"/>
  <c r="CY574" i="1" s="1"/>
  <c r="CR575" i="1"/>
  <c r="CS575" i="1"/>
  <c r="CT575" i="1" s="1"/>
  <c r="CU575" i="1"/>
  <c r="CX575" i="1" s="1"/>
  <c r="CY575" i="1" s="1"/>
  <c r="CR576" i="1"/>
  <c r="CS576" i="1"/>
  <c r="CT576" i="1" s="1"/>
  <c r="CU576" i="1"/>
  <c r="CX576" i="1" s="1"/>
  <c r="CY576" i="1" s="1"/>
  <c r="CR577" i="1"/>
  <c r="CS577" i="1"/>
  <c r="CT577" i="1" s="1"/>
  <c r="CU577" i="1"/>
  <c r="CX577" i="1" s="1"/>
  <c r="CY577" i="1" s="1"/>
  <c r="CR578" i="1"/>
  <c r="CS578" i="1"/>
  <c r="CT578" i="1" s="1"/>
  <c r="CU578" i="1"/>
  <c r="CX578" i="1" s="1"/>
  <c r="CY578" i="1" s="1"/>
  <c r="CR579" i="1"/>
  <c r="CU579" i="1"/>
  <c r="CX579" i="1" s="1"/>
  <c r="CY579" i="1" s="1"/>
  <c r="CR580" i="1"/>
  <c r="CS580" i="1"/>
  <c r="CT580" i="1" s="1"/>
  <c r="CU580" i="1"/>
  <c r="CX580" i="1" s="1"/>
  <c r="CY580" i="1" s="1"/>
  <c r="CR581" i="1"/>
  <c r="CS581" i="1"/>
  <c r="CT581" i="1" s="1"/>
  <c r="CU581" i="1"/>
  <c r="CX581" i="1" s="1"/>
  <c r="CY581" i="1" s="1"/>
  <c r="CR582" i="1"/>
  <c r="CU582" i="1"/>
  <c r="CX582" i="1" s="1"/>
  <c r="CY582" i="1" s="1"/>
  <c r="CR583" i="1"/>
  <c r="CS583" i="1"/>
  <c r="CT583" i="1" s="1"/>
  <c r="CU583" i="1"/>
  <c r="CX583" i="1" s="1"/>
  <c r="CY583" i="1" s="1"/>
  <c r="CR584" i="1"/>
  <c r="CS584" i="1"/>
  <c r="CT584" i="1" s="1"/>
  <c r="CU584" i="1"/>
  <c r="CX584" i="1" s="1"/>
  <c r="CY584" i="1" s="1"/>
  <c r="CR585" i="1"/>
  <c r="CS585" i="1"/>
  <c r="CT585" i="1" s="1"/>
  <c r="CU585" i="1"/>
  <c r="CX585" i="1" s="1"/>
  <c r="CY585" i="1" s="1"/>
  <c r="CR586" i="1"/>
  <c r="CS586" i="1"/>
  <c r="CT586" i="1" s="1"/>
  <c r="CU586" i="1"/>
  <c r="CX586" i="1" s="1"/>
  <c r="CY586" i="1" s="1"/>
  <c r="CR587" i="1"/>
  <c r="CS587" i="1"/>
  <c r="CT587" i="1" s="1"/>
  <c r="CU587" i="1"/>
  <c r="CX587" i="1" s="1"/>
  <c r="CY587" i="1" s="1"/>
  <c r="CR588" i="1"/>
  <c r="CS588" i="1"/>
  <c r="CT588" i="1" s="1"/>
  <c r="CU588" i="1"/>
  <c r="CX588" i="1" s="1"/>
  <c r="CY588" i="1" s="1"/>
  <c r="CR589" i="1"/>
  <c r="CS589" i="1"/>
  <c r="CT589" i="1" s="1"/>
  <c r="CU589" i="1"/>
  <c r="CX589" i="1" s="1"/>
  <c r="CY589" i="1" s="1"/>
  <c r="CR590" i="1"/>
  <c r="CS590" i="1"/>
  <c r="CT590" i="1" s="1"/>
  <c r="CU590" i="1"/>
  <c r="CX590" i="1" s="1"/>
  <c r="CY590" i="1" s="1"/>
  <c r="CR591" i="1"/>
  <c r="CS591" i="1"/>
  <c r="CT591" i="1" s="1"/>
  <c r="CU591" i="1"/>
  <c r="CX591" i="1" s="1"/>
  <c r="CY591" i="1" s="1"/>
  <c r="CR592" i="1"/>
  <c r="CS592" i="1"/>
  <c r="CT592" i="1" s="1"/>
  <c r="CU592" i="1"/>
  <c r="CX592" i="1" s="1"/>
  <c r="CY592" i="1" s="1"/>
  <c r="CR593" i="1"/>
  <c r="CS593" i="1"/>
  <c r="CT593" i="1" s="1"/>
  <c r="CU593" i="1"/>
  <c r="CX593" i="1" s="1"/>
  <c r="CY593" i="1" s="1"/>
  <c r="CR594" i="1"/>
  <c r="CS594" i="1"/>
  <c r="CT594" i="1" s="1"/>
  <c r="CU594" i="1"/>
  <c r="CX594" i="1" s="1"/>
  <c r="CY594" i="1" s="1"/>
  <c r="CR595" i="1"/>
  <c r="CS595" i="1"/>
  <c r="CT595" i="1" s="1"/>
  <c r="CU595" i="1"/>
  <c r="CX595" i="1" s="1"/>
  <c r="CY595" i="1" s="1"/>
  <c r="CR596" i="1"/>
  <c r="CS596" i="1"/>
  <c r="CT596" i="1" s="1"/>
  <c r="CU596" i="1"/>
  <c r="CX596" i="1" s="1"/>
  <c r="CY596" i="1" s="1"/>
  <c r="CR597" i="1"/>
  <c r="CS597" i="1"/>
  <c r="CT597" i="1" s="1"/>
  <c r="CU597" i="1"/>
  <c r="CX597" i="1" s="1"/>
  <c r="CY597" i="1" s="1"/>
  <c r="CR598" i="1"/>
  <c r="CS598" i="1"/>
  <c r="CT598" i="1" s="1"/>
  <c r="CU598" i="1"/>
  <c r="CX598" i="1" s="1"/>
  <c r="CY598" i="1" s="1"/>
  <c r="CR599" i="1"/>
  <c r="CS599" i="1"/>
  <c r="CT599" i="1" s="1"/>
  <c r="CU599" i="1"/>
  <c r="CX599" i="1" s="1"/>
  <c r="CY599" i="1" s="1"/>
  <c r="CR600" i="1"/>
  <c r="CS600" i="1"/>
  <c r="CT600" i="1" s="1"/>
  <c r="CU600" i="1"/>
  <c r="CX600" i="1" s="1"/>
  <c r="CY600" i="1" s="1"/>
  <c r="CR601" i="1"/>
  <c r="CS601" i="1"/>
  <c r="CT601" i="1" s="1"/>
  <c r="CU601" i="1"/>
  <c r="CX601" i="1" s="1"/>
  <c r="CY601" i="1" s="1"/>
  <c r="CR602" i="1"/>
  <c r="CS602" i="1"/>
  <c r="CT602" i="1" s="1"/>
  <c r="CU602" i="1"/>
  <c r="CX602" i="1" s="1"/>
  <c r="CY602" i="1" s="1"/>
  <c r="CR603" i="1"/>
  <c r="CS603" i="1"/>
  <c r="CT603" i="1" s="1"/>
  <c r="CU603" i="1"/>
  <c r="CX603" i="1" s="1"/>
  <c r="CY603" i="1" s="1"/>
  <c r="CR604" i="1"/>
  <c r="CS604" i="1"/>
  <c r="CT604" i="1" s="1"/>
  <c r="CU604" i="1"/>
  <c r="CX604" i="1" s="1"/>
  <c r="CY604" i="1" s="1"/>
  <c r="CR605" i="1"/>
  <c r="CS605" i="1"/>
  <c r="CT605" i="1" s="1"/>
  <c r="CU605" i="1"/>
  <c r="CX605" i="1" s="1"/>
  <c r="CY605" i="1" s="1"/>
  <c r="CR606" i="1"/>
  <c r="CS606" i="1"/>
  <c r="CT606" i="1" s="1"/>
  <c r="CU606" i="1"/>
  <c r="CX606" i="1" s="1"/>
  <c r="CY606" i="1" s="1"/>
  <c r="CR607" i="1"/>
  <c r="CS607" i="1"/>
  <c r="CT607" i="1" s="1"/>
  <c r="CU607" i="1"/>
  <c r="CX607" i="1" s="1"/>
  <c r="CY607" i="1" s="1"/>
  <c r="CR608" i="1"/>
  <c r="CS608" i="1"/>
  <c r="CT608" i="1" s="1"/>
  <c r="CU608" i="1"/>
  <c r="CX608" i="1" s="1"/>
  <c r="CY608" i="1" s="1"/>
  <c r="CR609" i="1"/>
  <c r="CS609" i="1"/>
  <c r="CT609" i="1" s="1"/>
  <c r="CU609" i="1"/>
  <c r="CX609" i="1" s="1"/>
  <c r="CY609" i="1" s="1"/>
  <c r="CR610" i="1"/>
  <c r="CS610" i="1"/>
  <c r="CT610" i="1" s="1"/>
  <c r="CU610" i="1"/>
  <c r="CX610" i="1" s="1"/>
  <c r="CY610" i="1" s="1"/>
  <c r="CR611" i="1"/>
  <c r="CS611" i="1"/>
  <c r="CT611" i="1" s="1"/>
  <c r="CU611" i="1"/>
  <c r="CX611" i="1" s="1"/>
  <c r="CY611" i="1" s="1"/>
  <c r="CR612" i="1"/>
  <c r="CS612" i="1"/>
  <c r="CT612" i="1" s="1"/>
  <c r="CU612" i="1"/>
  <c r="CX612" i="1" s="1"/>
  <c r="CY612" i="1" s="1"/>
  <c r="CR613" i="1"/>
  <c r="CS613" i="1"/>
  <c r="CT613" i="1" s="1"/>
  <c r="CU613" i="1"/>
  <c r="CX613" i="1" s="1"/>
  <c r="CY613" i="1" s="1"/>
  <c r="CR614" i="1"/>
  <c r="CS614" i="1"/>
  <c r="CT614" i="1" s="1"/>
  <c r="CU614" i="1"/>
  <c r="CX614" i="1" s="1"/>
  <c r="CY614" i="1" s="1"/>
  <c r="CR615" i="1"/>
  <c r="CS615" i="1"/>
  <c r="CT615" i="1" s="1"/>
  <c r="CU615" i="1"/>
  <c r="CX615" i="1" s="1"/>
  <c r="CY615" i="1" s="1"/>
  <c r="CR616" i="1"/>
  <c r="CS616" i="1"/>
  <c r="CT616" i="1" s="1"/>
  <c r="CU616" i="1"/>
  <c r="CX616" i="1" s="1"/>
  <c r="CY616" i="1" s="1"/>
  <c r="CR617" i="1"/>
  <c r="CS617" i="1"/>
  <c r="CT617" i="1" s="1"/>
  <c r="CU617" i="1"/>
  <c r="CX617" i="1" s="1"/>
  <c r="CY617" i="1" s="1"/>
  <c r="CR618" i="1"/>
  <c r="CS618" i="1"/>
  <c r="CT618" i="1" s="1"/>
  <c r="CU618" i="1"/>
  <c r="CX618" i="1" s="1"/>
  <c r="CY618" i="1" s="1"/>
  <c r="CR619" i="1"/>
  <c r="CS619" i="1"/>
  <c r="CT619" i="1" s="1"/>
  <c r="CU619" i="1"/>
  <c r="CX619" i="1" s="1"/>
  <c r="CY619" i="1" s="1"/>
  <c r="CR620" i="1"/>
  <c r="CS620" i="1"/>
  <c r="CT620" i="1" s="1"/>
  <c r="CU620" i="1"/>
  <c r="CX620" i="1" s="1"/>
  <c r="CY620" i="1" s="1"/>
  <c r="CR621" i="1"/>
  <c r="CS621" i="1"/>
  <c r="CT621" i="1" s="1"/>
  <c r="CU621" i="1"/>
  <c r="CX621" i="1" s="1"/>
  <c r="CY621" i="1" s="1"/>
  <c r="CR622" i="1"/>
  <c r="CS622" i="1"/>
  <c r="CT622" i="1" s="1"/>
  <c r="CU622" i="1"/>
  <c r="CX622" i="1" s="1"/>
  <c r="CY622" i="1" s="1"/>
  <c r="CR623" i="1"/>
  <c r="CS623" i="1"/>
  <c r="CT623" i="1" s="1"/>
  <c r="CU623" i="1"/>
  <c r="CX623" i="1" s="1"/>
  <c r="CY623" i="1" s="1"/>
  <c r="CR624" i="1"/>
  <c r="CS624" i="1"/>
  <c r="CT624" i="1" s="1"/>
  <c r="CU624" i="1"/>
  <c r="CX624" i="1" s="1"/>
  <c r="CY624" i="1" s="1"/>
  <c r="CR625" i="1"/>
  <c r="CS625" i="1"/>
  <c r="CT625" i="1" s="1"/>
  <c r="CU625" i="1"/>
  <c r="CX625" i="1" s="1"/>
  <c r="CY625" i="1" s="1"/>
  <c r="CR626" i="1"/>
  <c r="CS626" i="1"/>
  <c r="CT626" i="1" s="1"/>
  <c r="CU626" i="1"/>
  <c r="CX626" i="1" s="1"/>
  <c r="CY626" i="1" s="1"/>
  <c r="CR627" i="1"/>
  <c r="CS627" i="1"/>
  <c r="CT627" i="1" s="1"/>
  <c r="CU627" i="1"/>
  <c r="CX627" i="1" s="1"/>
  <c r="CY627" i="1" s="1"/>
  <c r="CR628" i="1"/>
  <c r="CS628" i="1"/>
  <c r="CT628" i="1" s="1"/>
  <c r="CU628" i="1"/>
  <c r="CX628" i="1" s="1"/>
  <c r="CY628" i="1" s="1"/>
  <c r="CR629" i="1"/>
  <c r="CS629" i="1"/>
  <c r="CT629" i="1" s="1"/>
  <c r="CU629" i="1"/>
  <c r="CX629" i="1" s="1"/>
  <c r="CY629" i="1" s="1"/>
  <c r="CR630" i="1"/>
  <c r="CS630" i="1"/>
  <c r="CT630" i="1" s="1"/>
  <c r="CU630" i="1"/>
  <c r="CX630" i="1" s="1"/>
  <c r="CY630" i="1" s="1"/>
  <c r="CR631" i="1"/>
  <c r="CS631" i="1"/>
  <c r="CT631" i="1" s="1"/>
  <c r="CU631" i="1"/>
  <c r="CX631" i="1" s="1"/>
  <c r="CY631" i="1" s="1"/>
  <c r="CR632" i="1"/>
  <c r="CS632" i="1"/>
  <c r="CT632" i="1" s="1"/>
  <c r="CU632" i="1"/>
  <c r="CX632" i="1" s="1"/>
  <c r="CY632" i="1" s="1"/>
  <c r="CR633" i="1"/>
  <c r="CS633" i="1"/>
  <c r="CT633" i="1" s="1"/>
  <c r="CU633" i="1"/>
  <c r="CX633" i="1" s="1"/>
  <c r="CY633" i="1" s="1"/>
  <c r="CR634" i="1"/>
  <c r="CS634" i="1"/>
  <c r="CT634" i="1" s="1"/>
  <c r="CU634" i="1"/>
  <c r="CX634" i="1" s="1"/>
  <c r="CY634" i="1" s="1"/>
  <c r="CR635" i="1"/>
  <c r="CS635" i="1"/>
  <c r="CT635" i="1" s="1"/>
  <c r="CU635" i="1"/>
  <c r="CX635" i="1" s="1"/>
  <c r="CY635" i="1" s="1"/>
  <c r="CR636" i="1"/>
  <c r="CS636" i="1"/>
  <c r="CT636" i="1" s="1"/>
  <c r="CU636" i="1"/>
  <c r="CX636" i="1" s="1"/>
  <c r="CY636" i="1" s="1"/>
  <c r="CR637" i="1"/>
  <c r="CS637" i="1"/>
  <c r="CT637" i="1" s="1"/>
  <c r="CU637" i="1"/>
  <c r="CX637" i="1" s="1"/>
  <c r="CY637" i="1" s="1"/>
  <c r="CR638" i="1"/>
  <c r="CS638" i="1"/>
  <c r="CT638" i="1" s="1"/>
  <c r="CU638" i="1"/>
  <c r="CX638" i="1" s="1"/>
  <c r="CY638" i="1" s="1"/>
  <c r="CR639" i="1"/>
  <c r="CS639" i="1"/>
  <c r="CT639" i="1" s="1"/>
  <c r="CU639" i="1"/>
  <c r="CX639" i="1" s="1"/>
  <c r="CY639" i="1" s="1"/>
  <c r="CR640" i="1"/>
  <c r="CS640" i="1"/>
  <c r="CT640" i="1" s="1"/>
  <c r="CU640" i="1"/>
  <c r="CX640" i="1" s="1"/>
  <c r="CY640" i="1" s="1"/>
  <c r="CR641" i="1"/>
  <c r="CS641" i="1"/>
  <c r="CT641" i="1" s="1"/>
  <c r="CU641" i="1"/>
  <c r="CX641" i="1" s="1"/>
  <c r="CY641" i="1" s="1"/>
  <c r="CR642" i="1"/>
  <c r="CS642" i="1"/>
  <c r="CT642" i="1" s="1"/>
  <c r="CU642" i="1"/>
  <c r="CX642" i="1" s="1"/>
  <c r="CY642" i="1" s="1"/>
  <c r="CR643" i="1"/>
  <c r="CS643" i="1"/>
  <c r="CT643" i="1" s="1"/>
  <c r="CU643" i="1"/>
  <c r="CX643" i="1" s="1"/>
  <c r="CY643" i="1" s="1"/>
  <c r="CR644" i="1"/>
  <c r="CS644" i="1"/>
  <c r="CT644" i="1" s="1"/>
  <c r="CU644" i="1"/>
  <c r="CX644" i="1" s="1"/>
  <c r="CY644" i="1" s="1"/>
  <c r="CR645" i="1"/>
  <c r="CS645" i="1"/>
  <c r="CT645" i="1" s="1"/>
  <c r="CU645" i="1"/>
  <c r="CX645" i="1" s="1"/>
  <c r="CY645" i="1" s="1"/>
  <c r="CR646" i="1"/>
  <c r="CS646" i="1"/>
  <c r="CT646" i="1" s="1"/>
  <c r="CU646" i="1"/>
  <c r="CX646" i="1" s="1"/>
  <c r="CY646" i="1" s="1"/>
  <c r="CR647" i="1"/>
  <c r="CS647" i="1"/>
  <c r="CT647" i="1" s="1"/>
  <c r="CU647" i="1"/>
  <c r="CX647" i="1" s="1"/>
  <c r="CY647" i="1" s="1"/>
  <c r="CR648" i="1"/>
  <c r="CS648" i="1"/>
  <c r="CT648" i="1" s="1"/>
  <c r="CU648" i="1"/>
  <c r="CX648" i="1" s="1"/>
  <c r="CY648" i="1" s="1"/>
  <c r="CR649" i="1"/>
  <c r="CS649" i="1"/>
  <c r="CT649" i="1" s="1"/>
  <c r="CU649" i="1"/>
  <c r="CX649" i="1" s="1"/>
  <c r="CY649" i="1" s="1"/>
  <c r="CR650" i="1"/>
  <c r="CS650" i="1"/>
  <c r="CT650" i="1" s="1"/>
  <c r="CU650" i="1"/>
  <c r="CX650" i="1" s="1"/>
  <c r="CY650" i="1" s="1"/>
  <c r="CR651" i="1"/>
  <c r="CS651" i="1"/>
  <c r="CT651" i="1" s="1"/>
  <c r="CU651" i="1"/>
  <c r="CX651" i="1" s="1"/>
  <c r="CY651" i="1" s="1"/>
  <c r="CR652" i="1"/>
  <c r="CS652" i="1"/>
  <c r="CT652" i="1" s="1"/>
  <c r="CU652" i="1"/>
  <c r="CX652" i="1" s="1"/>
  <c r="CY652" i="1" s="1"/>
  <c r="CR653" i="1"/>
  <c r="CS653" i="1"/>
  <c r="CT653" i="1" s="1"/>
  <c r="CU653" i="1"/>
  <c r="CX653" i="1" s="1"/>
  <c r="CY653" i="1" s="1"/>
  <c r="CR654" i="1"/>
  <c r="CS654" i="1"/>
  <c r="CT654" i="1" s="1"/>
  <c r="CU654" i="1"/>
  <c r="CX654" i="1" s="1"/>
  <c r="CY654" i="1" s="1"/>
  <c r="CR655" i="1"/>
  <c r="CS655" i="1"/>
  <c r="CT655" i="1" s="1"/>
  <c r="CU655" i="1"/>
  <c r="CX655" i="1" s="1"/>
  <c r="CY655" i="1" s="1"/>
  <c r="CR656" i="1"/>
  <c r="CS656" i="1"/>
  <c r="CT656" i="1" s="1"/>
  <c r="CU656" i="1"/>
  <c r="CX656" i="1" s="1"/>
  <c r="CY656" i="1" s="1"/>
  <c r="CR657" i="1"/>
  <c r="CS657" i="1"/>
  <c r="CT657" i="1" s="1"/>
  <c r="CU657" i="1"/>
  <c r="CX657" i="1" s="1"/>
  <c r="CY657" i="1" s="1"/>
  <c r="CR658" i="1"/>
  <c r="CS658" i="1"/>
  <c r="CT658" i="1" s="1"/>
  <c r="CU658" i="1"/>
  <c r="CX658" i="1" s="1"/>
  <c r="CY658" i="1" s="1"/>
  <c r="CR659" i="1"/>
  <c r="CS659" i="1"/>
  <c r="CT659" i="1" s="1"/>
  <c r="CU659" i="1"/>
  <c r="CX659" i="1" s="1"/>
  <c r="CY659" i="1" s="1"/>
  <c r="CR660" i="1"/>
  <c r="CS660" i="1"/>
  <c r="CT660" i="1" s="1"/>
  <c r="CU660" i="1"/>
  <c r="CX660" i="1" s="1"/>
  <c r="CY660" i="1" s="1"/>
  <c r="CR661" i="1"/>
  <c r="CS661" i="1"/>
  <c r="CT661" i="1" s="1"/>
  <c r="CU661" i="1"/>
  <c r="CX661" i="1" s="1"/>
  <c r="CY661" i="1" s="1"/>
  <c r="CR662" i="1"/>
  <c r="CS662" i="1"/>
  <c r="CT662" i="1" s="1"/>
  <c r="CU662" i="1"/>
  <c r="CX662" i="1" s="1"/>
  <c r="CY662" i="1" s="1"/>
  <c r="CR663" i="1"/>
  <c r="CS663" i="1"/>
  <c r="CT663" i="1" s="1"/>
  <c r="CU663" i="1"/>
  <c r="CX663" i="1" s="1"/>
  <c r="CY663" i="1" s="1"/>
  <c r="CR664" i="1"/>
  <c r="CS664" i="1"/>
  <c r="CT664" i="1" s="1"/>
  <c r="CU664" i="1"/>
  <c r="CX664" i="1" s="1"/>
  <c r="CY664" i="1" s="1"/>
  <c r="CR665" i="1"/>
  <c r="CS665" i="1"/>
  <c r="CT665" i="1" s="1"/>
  <c r="CU665" i="1"/>
  <c r="CX665" i="1" s="1"/>
  <c r="CY665" i="1" s="1"/>
  <c r="CR666" i="1"/>
  <c r="CS666" i="1"/>
  <c r="CT666" i="1" s="1"/>
  <c r="CU666" i="1"/>
  <c r="CX666" i="1" s="1"/>
  <c r="CY666" i="1" s="1"/>
  <c r="CR667" i="1"/>
  <c r="CS667" i="1"/>
  <c r="CT667" i="1" s="1"/>
  <c r="CU667" i="1"/>
  <c r="CX667" i="1" s="1"/>
  <c r="CY667" i="1" s="1"/>
  <c r="CR668" i="1"/>
  <c r="CS668" i="1"/>
  <c r="CT668" i="1" s="1"/>
  <c r="CU668" i="1"/>
  <c r="CX668" i="1" s="1"/>
  <c r="CY668" i="1" s="1"/>
  <c r="CR669" i="1"/>
  <c r="CS669" i="1"/>
  <c r="CT669" i="1" s="1"/>
  <c r="CU669" i="1"/>
  <c r="CX669" i="1" s="1"/>
  <c r="CY669" i="1" s="1"/>
  <c r="CR487" i="1"/>
  <c r="CU487" i="1"/>
  <c r="CX487" i="1" s="1"/>
  <c r="CY487" i="1" s="1"/>
  <c r="CR488" i="1"/>
  <c r="CU488" i="1"/>
  <c r="CX488" i="1" s="1"/>
  <c r="CY488" i="1" s="1"/>
  <c r="CR670" i="1"/>
  <c r="CU670" i="1"/>
  <c r="CX670" i="1" s="1"/>
  <c r="CY670" i="1" s="1"/>
  <c r="CR671" i="1"/>
  <c r="CU671" i="1"/>
  <c r="CX671" i="1" s="1"/>
  <c r="CY671" i="1" s="1"/>
  <c r="CR673" i="1"/>
  <c r="CS673" i="1"/>
  <c r="CT673" i="1" s="1"/>
  <c r="CU673" i="1"/>
  <c r="CX673" i="1" s="1"/>
  <c r="CY673" i="1" s="1"/>
  <c r="CR674" i="1"/>
  <c r="CS674" i="1"/>
  <c r="CT674" i="1" s="1"/>
  <c r="CU674" i="1"/>
  <c r="CX674" i="1" s="1"/>
  <c r="CY674" i="1" s="1"/>
  <c r="CR676" i="1"/>
  <c r="CS676" i="1"/>
  <c r="CT676" i="1" s="1"/>
  <c r="CU676" i="1"/>
  <c r="CX676" i="1" s="1"/>
  <c r="CY676" i="1" s="1"/>
  <c r="CR677" i="1"/>
  <c r="CU677" i="1"/>
  <c r="CX677" i="1" s="1"/>
  <c r="CY677" i="1" s="1"/>
  <c r="CR678" i="1"/>
  <c r="CU678" i="1"/>
  <c r="CX678" i="1" s="1"/>
  <c r="CY678" i="1" s="1"/>
  <c r="CR679" i="1"/>
  <c r="CU679" i="1"/>
  <c r="CX679" i="1" s="1"/>
  <c r="CY679" i="1" s="1"/>
  <c r="CR680" i="1"/>
  <c r="CU680" i="1"/>
  <c r="CX680" i="1" s="1"/>
  <c r="CY680" i="1" s="1"/>
  <c r="CR681" i="1"/>
  <c r="CU681" i="1"/>
  <c r="CX681" i="1" s="1"/>
  <c r="CY681" i="1" s="1"/>
  <c r="CR682" i="1"/>
  <c r="CU682" i="1"/>
  <c r="CX682" i="1" s="1"/>
  <c r="CY682" i="1" s="1"/>
  <c r="CR683" i="1"/>
  <c r="CS683" i="1"/>
  <c r="CT683" i="1" s="1"/>
  <c r="CU683" i="1"/>
  <c r="CX683" i="1" s="1"/>
  <c r="CY683" i="1" s="1"/>
  <c r="CR684" i="1"/>
  <c r="CU684" i="1"/>
  <c r="CX684" i="1" s="1"/>
  <c r="CY684" i="1" s="1"/>
  <c r="CR685" i="1"/>
  <c r="CS685" i="1"/>
  <c r="CT685" i="1" s="1"/>
  <c r="CU685" i="1"/>
  <c r="CX685" i="1" s="1"/>
  <c r="CY685" i="1" s="1"/>
  <c r="CR686" i="1"/>
  <c r="CU686" i="1"/>
  <c r="CX686" i="1" s="1"/>
  <c r="CY686" i="1" s="1"/>
  <c r="CR687" i="1"/>
  <c r="CU687" i="1"/>
  <c r="CX687" i="1" s="1"/>
  <c r="CY687" i="1" s="1"/>
  <c r="CR688" i="1"/>
  <c r="CU688" i="1"/>
  <c r="CX688" i="1" s="1"/>
  <c r="CY688" i="1" s="1"/>
  <c r="CR690" i="1"/>
  <c r="CU690" i="1"/>
  <c r="CX690" i="1" s="1"/>
  <c r="CY690" i="1" s="1"/>
  <c r="CR692" i="1"/>
  <c r="CU692" i="1"/>
  <c r="CX692" i="1" s="1"/>
  <c r="CY692" i="1" s="1"/>
  <c r="CR693" i="1"/>
  <c r="CS693" i="1"/>
  <c r="CT693" i="1" s="1"/>
  <c r="CU693" i="1"/>
  <c r="CX693" i="1" s="1"/>
  <c r="CY693" i="1" s="1"/>
  <c r="CR694" i="1"/>
  <c r="CU694" i="1"/>
  <c r="CX694" i="1" s="1"/>
  <c r="CY694" i="1" s="1"/>
  <c r="CR695" i="1"/>
  <c r="CU695" i="1"/>
  <c r="CX695" i="1" s="1"/>
  <c r="CY695" i="1" s="1"/>
  <c r="CR505" i="1"/>
  <c r="CU505" i="1"/>
  <c r="CX505" i="1" s="1"/>
  <c r="CY505" i="1" s="1"/>
  <c r="CR696" i="1"/>
  <c r="CU696" i="1"/>
  <c r="CX696" i="1" s="1"/>
  <c r="CY696" i="1" s="1"/>
  <c r="CR697" i="1"/>
  <c r="CU697" i="1"/>
  <c r="CX697" i="1" s="1"/>
  <c r="CY697" i="1" s="1"/>
  <c r="CR698" i="1"/>
  <c r="CU698" i="1"/>
  <c r="CX698" i="1" s="1"/>
  <c r="CY698" i="1" s="1"/>
  <c r="CR508" i="1"/>
  <c r="CU508" i="1"/>
  <c r="CX508" i="1" s="1"/>
  <c r="CY508" i="1" s="1"/>
  <c r="CR700" i="1"/>
  <c r="CU700" i="1"/>
  <c r="CX700" i="1" s="1"/>
  <c r="CY700" i="1" s="1"/>
  <c r="CR509" i="1"/>
  <c r="CU509" i="1"/>
  <c r="CX509" i="1" s="1"/>
  <c r="CY509" i="1" s="1"/>
  <c r="CR701" i="1"/>
  <c r="CU701" i="1"/>
  <c r="CX701" i="1" s="1"/>
  <c r="CY701" i="1" s="1"/>
  <c r="CR702" i="1"/>
  <c r="CU702" i="1"/>
  <c r="CX702" i="1" s="1"/>
  <c r="CY702" i="1" s="1"/>
  <c r="CR703" i="1"/>
  <c r="CU703" i="1"/>
  <c r="CX703" i="1" s="1"/>
  <c r="CY703" i="1" s="1"/>
  <c r="CR704" i="1"/>
  <c r="CU704" i="1"/>
  <c r="CX704" i="1" s="1"/>
  <c r="CY704" i="1" s="1"/>
  <c r="CR705" i="1"/>
  <c r="CU705" i="1"/>
  <c r="CX705" i="1" s="1"/>
  <c r="CY705" i="1" s="1"/>
  <c r="CR706" i="1"/>
  <c r="CS706" i="1"/>
  <c r="CT706" i="1" s="1"/>
  <c r="CU706" i="1"/>
  <c r="CX706" i="1" s="1"/>
  <c r="CY706" i="1" s="1"/>
  <c r="CR707" i="1"/>
  <c r="CU707" i="1"/>
  <c r="CX707" i="1" s="1"/>
  <c r="CY707" i="1" s="1"/>
  <c r="CR708" i="1"/>
  <c r="CU708" i="1"/>
  <c r="CX708" i="1" s="1"/>
  <c r="CY708" i="1" s="1"/>
  <c r="CR710" i="1"/>
  <c r="CU710" i="1"/>
  <c r="CX710" i="1" s="1"/>
  <c r="CY710" i="1" s="1"/>
  <c r="CR711" i="1"/>
  <c r="CU711" i="1"/>
  <c r="CX711" i="1" s="1"/>
  <c r="CY711" i="1" s="1"/>
  <c r="CR712" i="1"/>
  <c r="CU712" i="1"/>
  <c r="CX712" i="1" s="1"/>
  <c r="CY712" i="1" s="1"/>
  <c r="CR713" i="1"/>
  <c r="CU713" i="1"/>
  <c r="CX713" i="1" s="1"/>
  <c r="CY713" i="1" s="1"/>
  <c r="CR714" i="1"/>
  <c r="CU714" i="1"/>
  <c r="CX714" i="1" s="1"/>
  <c r="CY714" i="1" s="1"/>
  <c r="CR715" i="1"/>
  <c r="CU715" i="1"/>
  <c r="CX715" i="1" s="1"/>
  <c r="CY715" i="1" s="1"/>
  <c r="CR717" i="1"/>
  <c r="CU717" i="1"/>
  <c r="CX717" i="1" s="1"/>
  <c r="CY717" i="1" s="1"/>
  <c r="CR718" i="1"/>
  <c r="CS718" i="1"/>
  <c r="CT718" i="1" s="1"/>
  <c r="CU718" i="1"/>
  <c r="CX718" i="1" s="1"/>
  <c r="CY718" i="1" s="1"/>
  <c r="CR719" i="1"/>
  <c r="CS719" i="1"/>
  <c r="CT719" i="1" s="1"/>
  <c r="CU719" i="1"/>
  <c r="CX719" i="1" s="1"/>
  <c r="CY719" i="1" s="1"/>
  <c r="CR720" i="1"/>
  <c r="CS720" i="1"/>
  <c r="CT720" i="1" s="1"/>
  <c r="CU720" i="1"/>
  <c r="CX720" i="1" s="1"/>
  <c r="CY720" i="1" s="1"/>
  <c r="CR721" i="1"/>
  <c r="CS721" i="1"/>
  <c r="CT721" i="1" s="1"/>
  <c r="CU721" i="1"/>
  <c r="CX721" i="1" s="1"/>
  <c r="CY721" i="1" s="1"/>
  <c r="CR722" i="1"/>
  <c r="CS722" i="1"/>
  <c r="CT722" i="1" s="1"/>
  <c r="CU722" i="1"/>
  <c r="CX722" i="1" s="1"/>
  <c r="CY722" i="1" s="1"/>
  <c r="CR723" i="1"/>
  <c r="CS723" i="1"/>
  <c r="CT723" i="1" s="1"/>
  <c r="CU723" i="1"/>
  <c r="CX723" i="1" s="1"/>
  <c r="CY723" i="1" s="1"/>
  <c r="CR724" i="1"/>
  <c r="CS724" i="1"/>
  <c r="CT724" i="1" s="1"/>
  <c r="CU724" i="1"/>
  <c r="CX724" i="1" s="1"/>
  <c r="CY724" i="1" s="1"/>
  <c r="CR725" i="1"/>
  <c r="CS725" i="1"/>
  <c r="CT725" i="1" s="1"/>
  <c r="CU725" i="1"/>
  <c r="CX725" i="1" s="1"/>
  <c r="CY725" i="1" s="1"/>
  <c r="CR726" i="1"/>
  <c r="CS726" i="1"/>
  <c r="CT726" i="1" s="1"/>
  <c r="CU726" i="1"/>
  <c r="CX726" i="1" s="1"/>
  <c r="CY726" i="1" s="1"/>
  <c r="CR727" i="1"/>
  <c r="CS727" i="1"/>
  <c r="CT727" i="1" s="1"/>
  <c r="CU727" i="1"/>
  <c r="CX727" i="1" s="1"/>
  <c r="CY727" i="1" s="1"/>
  <c r="CR728" i="1"/>
  <c r="CS728" i="1"/>
  <c r="CT728" i="1" s="1"/>
  <c r="CU728" i="1"/>
  <c r="CX728" i="1" s="1"/>
  <c r="CY728" i="1" s="1"/>
  <c r="CR729" i="1"/>
  <c r="CS729" i="1"/>
  <c r="CT729" i="1" s="1"/>
  <c r="CU729" i="1"/>
  <c r="CX729" i="1" s="1"/>
  <c r="CY729" i="1" s="1"/>
  <c r="CR730" i="1"/>
  <c r="CS730" i="1"/>
  <c r="CT730" i="1" s="1"/>
  <c r="CU730" i="1"/>
  <c r="CX730" i="1" s="1"/>
  <c r="CY730" i="1" s="1"/>
  <c r="CR731" i="1"/>
  <c r="CS731" i="1"/>
  <c r="CT731" i="1" s="1"/>
  <c r="CU731" i="1"/>
  <c r="CX731" i="1" s="1"/>
  <c r="CY731" i="1" s="1"/>
  <c r="CR732" i="1"/>
  <c r="CS732" i="1"/>
  <c r="CT732" i="1" s="1"/>
  <c r="CU732" i="1"/>
  <c r="CX732" i="1" s="1"/>
  <c r="CY732" i="1" s="1"/>
  <c r="CR733" i="1"/>
  <c r="CS733" i="1"/>
  <c r="CT733" i="1" s="1"/>
  <c r="CU733" i="1"/>
  <c r="CX733" i="1" s="1"/>
  <c r="CY733" i="1" s="1"/>
  <c r="CR734" i="1"/>
  <c r="CS734" i="1"/>
  <c r="CT734" i="1" s="1"/>
  <c r="CU734" i="1"/>
  <c r="CX734" i="1" s="1"/>
  <c r="CY734" i="1" s="1"/>
  <c r="CR735" i="1"/>
  <c r="CS735" i="1"/>
  <c r="CT735" i="1" s="1"/>
  <c r="CU735" i="1"/>
  <c r="CX735" i="1" s="1"/>
  <c r="CY735" i="1" s="1"/>
  <c r="CR736" i="1"/>
  <c r="CS736" i="1"/>
  <c r="CT736" i="1" s="1"/>
  <c r="CU736" i="1"/>
  <c r="CX736" i="1" s="1"/>
  <c r="CY736" i="1" s="1"/>
  <c r="CR737" i="1"/>
  <c r="CS737" i="1"/>
  <c r="CT737" i="1" s="1"/>
  <c r="CU737" i="1"/>
  <c r="CX737" i="1" s="1"/>
  <c r="CY737" i="1" s="1"/>
  <c r="CR738" i="1"/>
  <c r="CS738" i="1"/>
  <c r="CT738" i="1" s="1"/>
  <c r="CU738" i="1"/>
  <c r="CX738" i="1" s="1"/>
  <c r="CY738" i="1" s="1"/>
  <c r="CR739" i="1"/>
  <c r="CS739" i="1"/>
  <c r="CT739" i="1" s="1"/>
  <c r="CU739" i="1"/>
  <c r="CX739" i="1" s="1"/>
  <c r="CY739" i="1" s="1"/>
  <c r="CR740" i="1"/>
  <c r="CS740" i="1"/>
  <c r="CT740" i="1" s="1"/>
  <c r="CU740" i="1"/>
  <c r="CX740" i="1" s="1"/>
  <c r="CY740" i="1" s="1"/>
  <c r="CR741" i="1"/>
  <c r="CS741" i="1"/>
  <c r="CT741" i="1" s="1"/>
  <c r="CU741" i="1"/>
  <c r="CX741" i="1" s="1"/>
  <c r="CY741" i="1" s="1"/>
  <c r="CR742" i="1"/>
  <c r="CS742" i="1"/>
  <c r="CT742" i="1" s="1"/>
  <c r="CU742" i="1"/>
  <c r="CX742" i="1" s="1"/>
  <c r="CY742" i="1" s="1"/>
  <c r="CR743" i="1"/>
  <c r="CS743" i="1"/>
  <c r="CT743" i="1" s="1"/>
  <c r="CU743" i="1"/>
  <c r="CX743" i="1" s="1"/>
  <c r="CY743" i="1" s="1"/>
  <c r="CR744" i="1"/>
  <c r="CS744" i="1"/>
  <c r="CT744" i="1" s="1"/>
  <c r="CU744" i="1"/>
  <c r="CX744" i="1" s="1"/>
  <c r="CY744" i="1" s="1"/>
  <c r="CR745" i="1"/>
  <c r="CS745" i="1"/>
  <c r="CT745" i="1" s="1"/>
  <c r="CU745" i="1"/>
  <c r="CX745" i="1" s="1"/>
  <c r="CY745" i="1" s="1"/>
  <c r="CR746" i="1"/>
  <c r="CS746" i="1"/>
  <c r="CT746" i="1" s="1"/>
  <c r="CU746" i="1"/>
  <c r="CX746" i="1" s="1"/>
  <c r="CY746" i="1" s="1"/>
  <c r="CR747" i="1"/>
  <c r="CS747" i="1"/>
  <c r="CT747" i="1" s="1"/>
  <c r="CU747" i="1"/>
  <c r="CX747" i="1" s="1"/>
  <c r="CY747" i="1" s="1"/>
  <c r="CR748" i="1"/>
  <c r="CS748" i="1"/>
  <c r="CT748" i="1" s="1"/>
  <c r="CU748" i="1"/>
  <c r="CX748" i="1" s="1"/>
  <c r="CY748" i="1" s="1"/>
  <c r="CR749" i="1"/>
  <c r="CS749" i="1"/>
  <c r="CT749" i="1" s="1"/>
  <c r="CU749" i="1"/>
  <c r="CX749" i="1" s="1"/>
  <c r="CY749" i="1" s="1"/>
  <c r="CR750" i="1"/>
  <c r="CS750" i="1"/>
  <c r="CT750" i="1" s="1"/>
  <c r="CU750" i="1"/>
  <c r="CX750" i="1" s="1"/>
  <c r="CY750" i="1" s="1"/>
  <c r="CR751" i="1"/>
  <c r="CS751" i="1"/>
  <c r="CT751" i="1" s="1"/>
  <c r="CU751" i="1"/>
  <c r="CX751" i="1" s="1"/>
  <c r="CY751" i="1" s="1"/>
  <c r="CR752" i="1"/>
  <c r="CS752" i="1"/>
  <c r="CT752" i="1" s="1"/>
  <c r="CU752" i="1"/>
  <c r="CX752" i="1" s="1"/>
  <c r="CY752" i="1" s="1"/>
  <c r="CR753" i="1"/>
  <c r="CS753" i="1"/>
  <c r="CT753" i="1" s="1"/>
  <c r="CU753" i="1"/>
  <c r="CX753" i="1" s="1"/>
  <c r="CY753" i="1" s="1"/>
  <c r="CR754" i="1"/>
  <c r="CS754" i="1"/>
  <c r="CT754" i="1" s="1"/>
  <c r="CU754" i="1"/>
  <c r="CX754" i="1" s="1"/>
  <c r="CY754" i="1" s="1"/>
  <c r="CR755" i="1"/>
  <c r="CS755" i="1"/>
  <c r="CT755" i="1" s="1"/>
  <c r="CU755" i="1"/>
  <c r="CX755" i="1" s="1"/>
  <c r="CY755" i="1" s="1"/>
  <c r="CR756" i="1"/>
  <c r="CS756" i="1"/>
  <c r="CT756" i="1" s="1"/>
  <c r="CU756" i="1"/>
  <c r="CX756" i="1" s="1"/>
  <c r="CY756" i="1" s="1"/>
  <c r="CR757" i="1"/>
  <c r="CS757" i="1"/>
  <c r="CT757" i="1" s="1"/>
  <c r="CU757" i="1"/>
  <c r="CX757" i="1" s="1"/>
  <c r="CY757" i="1" s="1"/>
  <c r="CR758" i="1"/>
  <c r="CS758" i="1"/>
  <c r="CT758" i="1" s="1"/>
  <c r="CU758" i="1"/>
  <c r="CX758" i="1" s="1"/>
  <c r="CY758" i="1" s="1"/>
  <c r="CR759" i="1"/>
  <c r="CS759" i="1"/>
  <c r="CT759" i="1" s="1"/>
  <c r="CU759" i="1"/>
  <c r="CX759" i="1" s="1"/>
  <c r="CY759" i="1" s="1"/>
  <c r="CR760" i="1"/>
  <c r="CS760" i="1"/>
  <c r="CT760" i="1" s="1"/>
  <c r="CU760" i="1"/>
  <c r="CX760" i="1" s="1"/>
  <c r="CY760" i="1" s="1"/>
  <c r="CR761" i="1"/>
  <c r="CS761" i="1"/>
  <c r="CT761" i="1" s="1"/>
  <c r="CU761" i="1"/>
  <c r="CX761" i="1" s="1"/>
  <c r="CY761" i="1" s="1"/>
  <c r="CR762" i="1"/>
  <c r="CS762" i="1"/>
  <c r="CT762" i="1" s="1"/>
  <c r="CU762" i="1"/>
  <c r="CX762" i="1" s="1"/>
  <c r="CY762" i="1" s="1"/>
  <c r="CR763" i="1"/>
  <c r="CS763" i="1"/>
  <c r="CT763" i="1" s="1"/>
  <c r="CU763" i="1"/>
  <c r="CX763" i="1" s="1"/>
  <c r="CY763" i="1" s="1"/>
  <c r="CR764" i="1"/>
  <c r="CS764" i="1"/>
  <c r="CT764" i="1" s="1"/>
  <c r="CU764" i="1"/>
  <c r="CX764" i="1" s="1"/>
  <c r="CY764" i="1" s="1"/>
  <c r="CR765" i="1"/>
  <c r="CS765" i="1"/>
  <c r="CT765" i="1" s="1"/>
  <c r="CU765" i="1"/>
  <c r="CX765" i="1" s="1"/>
  <c r="CY765" i="1" s="1"/>
  <c r="CR766" i="1"/>
  <c r="CS766" i="1"/>
  <c r="CT766" i="1" s="1"/>
  <c r="CU766" i="1"/>
  <c r="CX766" i="1" s="1"/>
  <c r="CY766" i="1" s="1"/>
  <c r="CR767" i="1"/>
  <c r="CS767" i="1"/>
  <c r="CT767" i="1" s="1"/>
  <c r="CU767" i="1"/>
  <c r="CX767" i="1" s="1"/>
  <c r="CY767" i="1" s="1"/>
  <c r="CR768" i="1"/>
  <c r="CS768" i="1"/>
  <c r="CT768" i="1" s="1"/>
  <c r="CU768" i="1"/>
  <c r="CX768" i="1" s="1"/>
  <c r="CY768" i="1" s="1"/>
  <c r="CR769" i="1"/>
  <c r="CS769" i="1"/>
  <c r="CT769" i="1" s="1"/>
  <c r="CU769" i="1"/>
  <c r="CX769" i="1" s="1"/>
  <c r="CY769" i="1" s="1"/>
  <c r="CR770" i="1"/>
  <c r="CS770" i="1"/>
  <c r="CT770" i="1" s="1"/>
  <c r="CU770" i="1"/>
  <c r="CX770" i="1" s="1"/>
  <c r="CY770" i="1" s="1"/>
  <c r="CR771" i="1"/>
  <c r="CS771" i="1"/>
  <c r="CT771" i="1" s="1"/>
  <c r="CU771" i="1"/>
  <c r="CX771" i="1" s="1"/>
  <c r="CY771" i="1" s="1"/>
  <c r="CR772" i="1"/>
  <c r="CS772" i="1"/>
  <c r="CT772" i="1" s="1"/>
  <c r="CU772" i="1"/>
  <c r="CX772" i="1" s="1"/>
  <c r="CY772" i="1" s="1"/>
  <c r="CR773" i="1"/>
  <c r="CS773" i="1"/>
  <c r="CT773" i="1" s="1"/>
  <c r="CU773" i="1"/>
  <c r="CX773" i="1" s="1"/>
  <c r="CY773" i="1" s="1"/>
  <c r="CR774" i="1"/>
  <c r="CS774" i="1"/>
  <c r="CT774" i="1" s="1"/>
  <c r="CU774" i="1"/>
  <c r="CX774" i="1" s="1"/>
  <c r="CY774" i="1" s="1"/>
  <c r="CR775" i="1"/>
  <c r="CS775" i="1"/>
  <c r="CT775" i="1" s="1"/>
  <c r="CU775" i="1"/>
  <c r="CX775" i="1" s="1"/>
  <c r="CY775" i="1" s="1"/>
  <c r="CR776" i="1"/>
  <c r="CS776" i="1"/>
  <c r="CT776" i="1" s="1"/>
  <c r="CU776" i="1"/>
  <c r="CX776" i="1" s="1"/>
  <c r="CY776" i="1" s="1"/>
  <c r="CR777" i="1"/>
  <c r="CS777" i="1"/>
  <c r="CT777" i="1" s="1"/>
  <c r="CU777" i="1"/>
  <c r="CX777" i="1" s="1"/>
  <c r="CY777" i="1" s="1"/>
  <c r="CR778" i="1"/>
  <c r="CS778" i="1"/>
  <c r="CT778" i="1" s="1"/>
  <c r="CU778" i="1"/>
  <c r="CX778" i="1" s="1"/>
  <c r="CY778" i="1" s="1"/>
  <c r="CR779" i="1"/>
  <c r="CS779" i="1"/>
  <c r="CT779" i="1" s="1"/>
  <c r="CU779" i="1"/>
  <c r="CX779" i="1" s="1"/>
  <c r="CY779" i="1" s="1"/>
  <c r="CR780" i="1"/>
  <c r="CS780" i="1"/>
  <c r="CT780" i="1" s="1"/>
  <c r="CU780" i="1"/>
  <c r="CX780" i="1" s="1"/>
  <c r="CY780" i="1" s="1"/>
  <c r="CR781" i="1"/>
  <c r="CS781" i="1"/>
  <c r="CT781" i="1" s="1"/>
  <c r="CU781" i="1"/>
  <c r="CX781" i="1" s="1"/>
  <c r="CY781" i="1" s="1"/>
  <c r="CR782" i="1"/>
  <c r="CS782" i="1"/>
  <c r="CT782" i="1" s="1"/>
  <c r="CU782" i="1"/>
  <c r="CX782" i="1" s="1"/>
  <c r="CY782" i="1" s="1"/>
  <c r="CR783" i="1"/>
  <c r="CS783" i="1"/>
  <c r="CT783" i="1" s="1"/>
  <c r="CU783" i="1"/>
  <c r="CX783" i="1" s="1"/>
  <c r="CY783" i="1" s="1"/>
  <c r="CR784" i="1"/>
  <c r="CS784" i="1"/>
  <c r="CT784" i="1" s="1"/>
  <c r="CU784" i="1"/>
  <c r="CX784" i="1" s="1"/>
  <c r="CY784" i="1" s="1"/>
  <c r="CR785" i="1"/>
  <c r="CS785" i="1"/>
  <c r="CT785" i="1" s="1"/>
  <c r="CU785" i="1"/>
  <c r="CX785" i="1" s="1"/>
  <c r="CY785" i="1" s="1"/>
  <c r="CR815" i="1"/>
  <c r="CS815" i="1"/>
  <c r="CT815" i="1" s="1"/>
  <c r="CU815" i="1"/>
  <c r="CX815" i="1" s="1"/>
  <c r="CY815" i="1" s="1"/>
  <c r="CR817" i="1"/>
  <c r="CS817" i="1"/>
  <c r="CT817" i="1" s="1"/>
  <c r="CU817" i="1"/>
  <c r="CX817" i="1" s="1"/>
  <c r="CY817" i="1" s="1"/>
  <c r="CR788" i="1"/>
  <c r="CS788" i="1"/>
  <c r="CT788" i="1" s="1"/>
  <c r="CU788" i="1"/>
  <c r="CX788" i="1" s="1"/>
  <c r="CY788" i="1" s="1"/>
  <c r="CR821" i="1"/>
  <c r="CS821" i="1"/>
  <c r="CT821" i="1" s="1"/>
  <c r="CU821" i="1"/>
  <c r="CX821" i="1" s="1"/>
  <c r="CY821" i="1" s="1"/>
  <c r="CR822" i="1"/>
  <c r="CS822" i="1"/>
  <c r="CT822" i="1" s="1"/>
  <c r="CU822" i="1"/>
  <c r="CX822" i="1" s="1"/>
  <c r="CY822" i="1" s="1"/>
  <c r="CR823" i="1"/>
  <c r="CS823" i="1"/>
  <c r="CT823" i="1" s="1"/>
  <c r="CU823" i="1"/>
  <c r="CX823" i="1" s="1"/>
  <c r="CY823" i="1" s="1"/>
  <c r="CR824" i="1"/>
  <c r="CS824" i="1"/>
  <c r="CT824" i="1" s="1"/>
  <c r="CU824" i="1"/>
  <c r="CX824" i="1" s="1"/>
  <c r="CY824" i="1" s="1"/>
  <c r="CR825" i="1"/>
  <c r="CS825" i="1"/>
  <c r="CT825" i="1" s="1"/>
  <c r="CU825" i="1"/>
  <c r="CX825" i="1" s="1"/>
  <c r="CY825" i="1" s="1"/>
  <c r="CR826" i="1"/>
  <c r="CS826" i="1"/>
  <c r="CT826" i="1" s="1"/>
  <c r="CU826" i="1"/>
  <c r="CX826" i="1" s="1"/>
  <c r="CY826" i="1" s="1"/>
  <c r="CR789" i="1"/>
  <c r="CS789" i="1"/>
  <c r="CT789" i="1" s="1"/>
  <c r="CU789" i="1"/>
  <c r="CX789" i="1" s="1"/>
  <c r="CY789" i="1" s="1"/>
  <c r="CR827" i="1"/>
  <c r="CS827" i="1"/>
  <c r="CT827" i="1" s="1"/>
  <c r="CU827" i="1"/>
  <c r="CX827" i="1" s="1"/>
  <c r="CY827" i="1" s="1"/>
  <c r="CR828" i="1"/>
  <c r="CS828" i="1"/>
  <c r="CT828" i="1" s="1"/>
  <c r="CU828" i="1"/>
  <c r="CX828" i="1" s="1"/>
  <c r="CY828" i="1" s="1"/>
  <c r="CR790" i="1"/>
  <c r="CS790" i="1"/>
  <c r="CT790" i="1" s="1"/>
  <c r="CU790" i="1"/>
  <c r="CX790" i="1" s="1"/>
  <c r="CY790" i="1" s="1"/>
  <c r="CR791" i="1"/>
  <c r="CS791" i="1"/>
  <c r="CT791" i="1" s="1"/>
  <c r="CU791" i="1"/>
  <c r="CX791" i="1" s="1"/>
  <c r="CY791" i="1" s="1"/>
  <c r="CR792" i="1"/>
  <c r="CS792" i="1"/>
  <c r="CT792" i="1" s="1"/>
  <c r="CU792" i="1"/>
  <c r="CX792" i="1" s="1"/>
  <c r="CY792" i="1" s="1"/>
  <c r="CR793" i="1"/>
  <c r="CS793" i="1"/>
  <c r="CT793" i="1" s="1"/>
  <c r="CU793" i="1"/>
  <c r="CX793" i="1" s="1"/>
  <c r="CY793" i="1" s="1"/>
  <c r="CR794" i="1"/>
  <c r="CS794" i="1"/>
  <c r="CT794" i="1" s="1"/>
  <c r="CU794" i="1"/>
  <c r="CX794" i="1" s="1"/>
  <c r="CY794" i="1" s="1"/>
  <c r="CR795" i="1"/>
  <c r="CS795" i="1"/>
  <c r="CT795" i="1" s="1"/>
  <c r="CU795" i="1"/>
  <c r="CX795" i="1" s="1"/>
  <c r="CY795" i="1" s="1"/>
  <c r="CR796" i="1"/>
  <c r="CS796" i="1"/>
  <c r="CT796" i="1" s="1"/>
  <c r="CU796" i="1"/>
  <c r="CX796" i="1" s="1"/>
  <c r="CY796" i="1" s="1"/>
  <c r="CR798" i="1"/>
  <c r="CS798" i="1"/>
  <c r="CT798" i="1" s="1"/>
  <c r="CU798" i="1"/>
  <c r="CX798" i="1" s="1"/>
  <c r="CY798" i="1" s="1"/>
  <c r="CR799" i="1"/>
  <c r="CS799" i="1"/>
  <c r="CT799" i="1" s="1"/>
  <c r="CU799" i="1"/>
  <c r="CX799" i="1" s="1"/>
  <c r="CY799" i="1" s="1"/>
  <c r="CR800" i="1"/>
  <c r="CS800" i="1"/>
  <c r="CT800" i="1" s="1"/>
  <c r="CU800" i="1"/>
  <c r="CX800" i="1" s="1"/>
  <c r="CY800" i="1" s="1"/>
  <c r="CR801" i="1"/>
  <c r="CS801" i="1"/>
  <c r="CT801" i="1" s="1"/>
  <c r="CU801" i="1"/>
  <c r="CX801" i="1" s="1"/>
  <c r="CY801" i="1" s="1"/>
  <c r="CR802" i="1"/>
  <c r="CS802" i="1"/>
  <c r="CT802" i="1" s="1"/>
  <c r="CU802" i="1"/>
  <c r="CX802" i="1" s="1"/>
  <c r="CY802" i="1" s="1"/>
  <c r="CR803" i="1"/>
  <c r="CS803" i="1"/>
  <c r="CT803" i="1" s="1"/>
  <c r="CU803" i="1"/>
  <c r="CX803" i="1" s="1"/>
  <c r="CY803" i="1" s="1"/>
  <c r="CR804" i="1"/>
  <c r="CS804" i="1"/>
  <c r="CT804" i="1" s="1"/>
  <c r="CU804" i="1"/>
  <c r="CX804" i="1" s="1"/>
  <c r="CY804" i="1" s="1"/>
  <c r="CR805" i="1"/>
  <c r="CS805" i="1"/>
  <c r="CT805" i="1" s="1"/>
  <c r="CU805" i="1"/>
  <c r="CX805" i="1" s="1"/>
  <c r="CY805" i="1" s="1"/>
  <c r="CR806" i="1"/>
  <c r="CS806" i="1"/>
  <c r="CT806" i="1" s="1"/>
  <c r="CU806" i="1"/>
  <c r="CX806" i="1" s="1"/>
  <c r="CY806" i="1" s="1"/>
  <c r="CR807" i="1"/>
  <c r="CS807" i="1"/>
  <c r="CT807" i="1" s="1"/>
  <c r="CU807" i="1"/>
  <c r="CX807" i="1" s="1"/>
  <c r="CY807" i="1" s="1"/>
  <c r="CR808" i="1"/>
  <c r="CS808" i="1"/>
  <c r="CT808" i="1" s="1"/>
  <c r="CU808" i="1"/>
  <c r="CX808" i="1" s="1"/>
  <c r="CY808" i="1" s="1"/>
  <c r="CR809" i="1"/>
  <c r="CS809" i="1"/>
  <c r="CT809" i="1" s="1"/>
  <c r="CU809" i="1"/>
  <c r="CX809" i="1" s="1"/>
  <c r="CY809" i="1" s="1"/>
  <c r="CR810" i="1"/>
  <c r="CS810" i="1"/>
  <c r="CT810" i="1" s="1"/>
  <c r="CU810" i="1"/>
  <c r="CX810" i="1" s="1"/>
  <c r="CY810" i="1" s="1"/>
  <c r="CR811" i="1"/>
  <c r="CS811" i="1"/>
  <c r="CT811" i="1" s="1"/>
  <c r="CU811" i="1"/>
  <c r="CX811" i="1" s="1"/>
  <c r="CY811" i="1" s="1"/>
  <c r="CR812" i="1"/>
  <c r="CS812" i="1"/>
  <c r="CT812" i="1" s="1"/>
  <c r="CU812" i="1"/>
  <c r="CX812" i="1" s="1"/>
  <c r="CY812" i="1" s="1"/>
  <c r="CR813" i="1"/>
  <c r="CS813" i="1"/>
  <c r="CT813" i="1" s="1"/>
  <c r="CU813" i="1"/>
  <c r="CX813" i="1" s="1"/>
  <c r="CY813" i="1" s="1"/>
  <c r="CR814" i="1"/>
  <c r="CS814" i="1"/>
  <c r="CT814" i="1" s="1"/>
  <c r="CU814" i="1"/>
  <c r="CX814" i="1" s="1"/>
  <c r="CY814" i="1" s="1"/>
  <c r="CR816" i="1"/>
  <c r="CS816" i="1"/>
  <c r="CT816" i="1" s="1"/>
  <c r="CU816" i="1"/>
  <c r="CX816" i="1" s="1"/>
  <c r="CY816" i="1" s="1"/>
  <c r="CR818" i="1"/>
  <c r="CS818" i="1"/>
  <c r="CT818" i="1" s="1"/>
  <c r="CU818" i="1"/>
  <c r="CX818" i="1" s="1"/>
  <c r="CY818" i="1" s="1"/>
  <c r="CR819" i="1"/>
  <c r="CS819" i="1"/>
  <c r="CT819" i="1" s="1"/>
  <c r="CU819" i="1"/>
  <c r="CX819" i="1" s="1"/>
  <c r="CY819" i="1" s="1"/>
  <c r="CR820" i="1"/>
  <c r="CS820" i="1"/>
  <c r="CT820" i="1" s="1"/>
  <c r="CU820" i="1"/>
  <c r="CX820" i="1" s="1"/>
  <c r="CY820" i="1" s="1"/>
  <c r="CR829" i="1"/>
  <c r="CS829" i="1"/>
  <c r="CT829" i="1" s="1"/>
  <c r="CU829" i="1"/>
  <c r="CX829" i="1" s="1"/>
  <c r="CY829" i="1" s="1"/>
  <c r="CR830" i="1"/>
  <c r="CS830" i="1"/>
  <c r="CT830" i="1" s="1"/>
  <c r="CU830" i="1"/>
  <c r="CX830" i="1" s="1"/>
  <c r="CY830" i="1" s="1"/>
  <c r="CR831" i="1"/>
  <c r="CS831" i="1"/>
  <c r="CT831" i="1" s="1"/>
  <c r="CU831" i="1"/>
  <c r="CX831" i="1" s="1"/>
  <c r="CY831" i="1" s="1"/>
  <c r="CR832" i="1"/>
  <c r="CS832" i="1"/>
  <c r="CT832" i="1" s="1"/>
  <c r="CU832" i="1"/>
  <c r="CX832" i="1" s="1"/>
  <c r="CY832" i="1" s="1"/>
  <c r="CR833" i="1"/>
  <c r="CS833" i="1"/>
  <c r="CT833" i="1" s="1"/>
  <c r="CU833" i="1"/>
  <c r="CX833" i="1" s="1"/>
  <c r="CY833" i="1" s="1"/>
  <c r="CR834" i="1"/>
  <c r="CS834" i="1"/>
  <c r="CT834" i="1" s="1"/>
  <c r="CU834" i="1"/>
  <c r="CX834" i="1" s="1"/>
  <c r="CY834" i="1" s="1"/>
  <c r="CR835" i="1"/>
  <c r="CS835" i="1"/>
  <c r="CT835" i="1" s="1"/>
  <c r="CU835" i="1"/>
  <c r="CX835" i="1" s="1"/>
  <c r="CY835" i="1" s="1"/>
  <c r="CR836" i="1"/>
  <c r="CS836" i="1"/>
  <c r="CT836" i="1" s="1"/>
  <c r="CU836" i="1"/>
  <c r="CX836" i="1" s="1"/>
  <c r="CY836" i="1" s="1"/>
  <c r="CR837" i="1"/>
  <c r="CS837" i="1"/>
  <c r="CT837" i="1" s="1"/>
  <c r="CU837" i="1"/>
  <c r="CX837" i="1" s="1"/>
  <c r="CY837" i="1" s="1"/>
  <c r="CR838" i="1"/>
  <c r="CS838" i="1"/>
  <c r="CT838" i="1" s="1"/>
  <c r="CU838" i="1"/>
  <c r="CX838" i="1" s="1"/>
  <c r="CY838" i="1" s="1"/>
  <c r="CR839" i="1"/>
  <c r="CS839" i="1"/>
  <c r="CT839" i="1" s="1"/>
  <c r="CU839" i="1"/>
  <c r="CX839" i="1" s="1"/>
  <c r="CY839" i="1" s="1"/>
  <c r="CR840" i="1"/>
  <c r="CS840" i="1"/>
  <c r="CT840" i="1" s="1"/>
  <c r="CU840" i="1"/>
  <c r="CX840" i="1" s="1"/>
  <c r="CY840" i="1" s="1"/>
  <c r="CR841" i="1"/>
  <c r="CS841" i="1"/>
  <c r="CT841" i="1" s="1"/>
  <c r="CU841" i="1"/>
  <c r="CX841" i="1" s="1"/>
  <c r="CY841" i="1" s="1"/>
  <c r="CR842" i="1"/>
  <c r="CS842" i="1"/>
  <c r="CT842" i="1" s="1"/>
  <c r="CU842" i="1"/>
  <c r="CX842" i="1" s="1"/>
  <c r="CY842" i="1" s="1"/>
  <c r="CR843" i="1"/>
  <c r="CS843" i="1"/>
  <c r="CT843" i="1" s="1"/>
  <c r="CU843" i="1"/>
  <c r="CX843" i="1" s="1"/>
  <c r="CY843" i="1" s="1"/>
  <c r="CR844" i="1"/>
  <c r="CS844" i="1"/>
  <c r="CT844" i="1" s="1"/>
  <c r="CU844" i="1"/>
  <c r="CX844" i="1" s="1"/>
  <c r="CY844" i="1" s="1"/>
  <c r="CR845" i="1"/>
  <c r="CS845" i="1"/>
  <c r="CT845" i="1" s="1"/>
  <c r="CU845" i="1"/>
  <c r="CX845" i="1" s="1"/>
  <c r="CY845" i="1" s="1"/>
  <c r="CR846" i="1"/>
  <c r="CS846" i="1"/>
  <c r="CT846" i="1" s="1"/>
  <c r="CU846" i="1"/>
  <c r="CX846" i="1" s="1"/>
  <c r="CY846" i="1" s="1"/>
  <c r="CR847" i="1"/>
  <c r="CS847" i="1"/>
  <c r="CT847" i="1" s="1"/>
  <c r="CU847" i="1"/>
  <c r="CX847" i="1" s="1"/>
  <c r="CY847" i="1" s="1"/>
  <c r="CR848" i="1"/>
  <c r="CS848" i="1"/>
  <c r="CT848" i="1" s="1"/>
  <c r="CU848" i="1"/>
  <c r="CX848" i="1" s="1"/>
  <c r="CY848" i="1" s="1"/>
  <c r="CR849" i="1"/>
  <c r="CS849" i="1"/>
  <c r="CT849" i="1" s="1"/>
  <c r="CU849" i="1"/>
  <c r="CX849" i="1" s="1"/>
  <c r="CY849" i="1" s="1"/>
  <c r="CR850" i="1"/>
  <c r="CS850" i="1"/>
  <c r="CT850" i="1" s="1"/>
  <c r="CU850" i="1"/>
  <c r="CX850" i="1" s="1"/>
  <c r="CY850" i="1" s="1"/>
  <c r="CR851" i="1"/>
  <c r="CS851" i="1"/>
  <c r="CT851" i="1" s="1"/>
  <c r="CU851" i="1"/>
  <c r="CX851" i="1" s="1"/>
  <c r="CY851" i="1" s="1"/>
  <c r="CR852" i="1"/>
  <c r="CS852" i="1"/>
  <c r="CT852" i="1" s="1"/>
  <c r="CU852" i="1"/>
  <c r="CX852" i="1" s="1"/>
  <c r="CY852" i="1" s="1"/>
  <c r="CR853" i="1"/>
  <c r="CS853" i="1"/>
  <c r="CT853" i="1" s="1"/>
  <c r="CU853" i="1"/>
  <c r="CX853" i="1" s="1"/>
  <c r="CY853" i="1" s="1"/>
  <c r="CR854" i="1"/>
  <c r="CS854" i="1"/>
  <c r="CT854" i="1" s="1"/>
  <c r="CU854" i="1"/>
  <c r="CX854" i="1" s="1"/>
  <c r="CY854" i="1" s="1"/>
  <c r="CR855" i="1"/>
  <c r="CS855" i="1"/>
  <c r="CT855" i="1" s="1"/>
  <c r="CU855" i="1"/>
  <c r="CX855" i="1" s="1"/>
  <c r="CY855" i="1" s="1"/>
  <c r="CR856" i="1"/>
  <c r="CS856" i="1"/>
  <c r="CT856" i="1" s="1"/>
  <c r="CU856" i="1"/>
  <c r="CX856" i="1" s="1"/>
  <c r="CY856" i="1" s="1"/>
  <c r="CR857" i="1"/>
  <c r="CS857" i="1"/>
  <c r="CT857" i="1" s="1"/>
  <c r="CU857" i="1"/>
  <c r="CX857" i="1" s="1"/>
  <c r="CY857" i="1" s="1"/>
  <c r="CR858" i="1"/>
  <c r="CS858" i="1"/>
  <c r="CT858" i="1" s="1"/>
  <c r="CU858" i="1"/>
  <c r="CX858" i="1" s="1"/>
  <c r="CY858" i="1" s="1"/>
  <c r="CR859" i="1"/>
  <c r="CS859" i="1"/>
  <c r="CT859" i="1" s="1"/>
  <c r="CU859" i="1"/>
  <c r="CX859" i="1" s="1"/>
  <c r="CY859" i="1" s="1"/>
  <c r="CR860" i="1"/>
  <c r="CS860" i="1"/>
  <c r="CT860" i="1" s="1"/>
  <c r="CU860" i="1"/>
  <c r="CX860" i="1" s="1"/>
  <c r="CY860" i="1" s="1"/>
  <c r="CR861" i="1"/>
  <c r="CS861" i="1"/>
  <c r="CT861" i="1" s="1"/>
  <c r="CU861" i="1"/>
  <c r="CX861" i="1" s="1"/>
  <c r="CY861" i="1" s="1"/>
  <c r="CR862" i="1"/>
  <c r="CS862" i="1"/>
  <c r="CT862" i="1" s="1"/>
  <c r="CU862" i="1"/>
  <c r="CX862" i="1" s="1"/>
  <c r="CY862" i="1" s="1"/>
  <c r="CR863" i="1"/>
  <c r="CS863" i="1"/>
  <c r="CT863" i="1" s="1"/>
  <c r="CU863" i="1"/>
  <c r="CX863" i="1" s="1"/>
  <c r="CY863" i="1" s="1"/>
  <c r="CR864" i="1"/>
  <c r="CS864" i="1"/>
  <c r="CT864" i="1" s="1"/>
  <c r="CU864" i="1"/>
  <c r="CX864" i="1" s="1"/>
  <c r="CY864" i="1" s="1"/>
  <c r="CR865" i="1"/>
  <c r="CS865" i="1"/>
  <c r="CT865" i="1" s="1"/>
  <c r="CU865" i="1"/>
  <c r="CX865" i="1" s="1"/>
  <c r="CY865" i="1" s="1"/>
  <c r="CR866" i="1"/>
  <c r="CS866" i="1"/>
  <c r="CT866" i="1" s="1"/>
  <c r="CU866" i="1"/>
  <c r="CX866" i="1" s="1"/>
  <c r="CY866" i="1" s="1"/>
  <c r="CR867" i="1"/>
  <c r="CS867" i="1"/>
  <c r="CT867" i="1" s="1"/>
  <c r="CU867" i="1"/>
  <c r="CX867" i="1" s="1"/>
  <c r="CY867" i="1" s="1"/>
  <c r="CR868" i="1"/>
  <c r="CS868" i="1"/>
  <c r="CT868" i="1" s="1"/>
  <c r="CU868" i="1"/>
  <c r="CX868" i="1" s="1"/>
  <c r="CY868" i="1" s="1"/>
  <c r="CR869" i="1"/>
  <c r="CS869" i="1"/>
  <c r="CT869" i="1" s="1"/>
  <c r="CU869" i="1"/>
  <c r="CX869" i="1" s="1"/>
  <c r="CY869" i="1" s="1"/>
  <c r="CR870" i="1"/>
  <c r="CS870" i="1"/>
  <c r="CT870" i="1" s="1"/>
  <c r="CU870" i="1"/>
  <c r="CX870" i="1" s="1"/>
  <c r="CY870" i="1" s="1"/>
  <c r="CR871" i="1"/>
  <c r="CS871" i="1"/>
  <c r="CT871" i="1" s="1"/>
  <c r="CU871" i="1"/>
  <c r="CX871" i="1" s="1"/>
  <c r="CY871" i="1" s="1"/>
  <c r="CR872" i="1"/>
  <c r="CS872" i="1"/>
  <c r="CT872" i="1" s="1"/>
  <c r="CU872" i="1"/>
  <c r="CX872" i="1" s="1"/>
  <c r="CY872" i="1" s="1"/>
  <c r="CR873" i="1"/>
  <c r="CS873" i="1"/>
  <c r="CT873" i="1" s="1"/>
  <c r="CU873" i="1"/>
  <c r="CX873" i="1" s="1"/>
  <c r="CY873" i="1" s="1"/>
  <c r="CR874" i="1"/>
  <c r="CS874" i="1"/>
  <c r="CT874" i="1" s="1"/>
  <c r="CU874" i="1"/>
  <c r="CX874" i="1" s="1"/>
  <c r="CY874" i="1" s="1"/>
  <c r="CR875" i="1"/>
  <c r="CS875" i="1"/>
  <c r="CT875" i="1" s="1"/>
  <c r="CU875" i="1"/>
  <c r="CX875" i="1" s="1"/>
  <c r="CY875" i="1" s="1"/>
  <c r="CR876" i="1"/>
  <c r="CS876" i="1"/>
  <c r="CT876" i="1" s="1"/>
  <c r="CU876" i="1"/>
  <c r="CX876" i="1" s="1"/>
  <c r="CY876" i="1" s="1"/>
  <c r="CR877" i="1"/>
  <c r="CS877" i="1"/>
  <c r="CT877" i="1" s="1"/>
  <c r="CU877" i="1"/>
  <c r="CX877" i="1" s="1"/>
  <c r="CY877" i="1" s="1"/>
  <c r="CR878" i="1"/>
  <c r="CS878" i="1"/>
  <c r="CT878" i="1" s="1"/>
  <c r="CU878" i="1"/>
  <c r="CX878" i="1" s="1"/>
  <c r="CY878" i="1" s="1"/>
  <c r="CR879" i="1"/>
  <c r="CS879" i="1"/>
  <c r="CT879" i="1" s="1"/>
  <c r="CU879" i="1"/>
  <c r="CX879" i="1" s="1"/>
  <c r="CY879" i="1" s="1"/>
  <c r="CR880" i="1"/>
  <c r="CS880" i="1"/>
  <c r="CT880" i="1" s="1"/>
  <c r="CU880" i="1"/>
  <c r="CX880" i="1" s="1"/>
  <c r="CY880" i="1" s="1"/>
  <c r="CR881" i="1"/>
  <c r="CS881" i="1"/>
  <c r="CT881" i="1" s="1"/>
  <c r="CU881" i="1"/>
  <c r="CX881" i="1" s="1"/>
  <c r="CY881" i="1" s="1"/>
  <c r="CR882" i="1"/>
  <c r="CS882" i="1"/>
  <c r="CT882" i="1" s="1"/>
  <c r="CU882" i="1"/>
  <c r="CX882" i="1" s="1"/>
  <c r="CY882" i="1" s="1"/>
  <c r="CR883" i="1"/>
  <c r="CS883" i="1"/>
  <c r="CT883" i="1" s="1"/>
  <c r="CU883" i="1"/>
  <c r="CX883" i="1" s="1"/>
  <c r="CY883" i="1" s="1"/>
  <c r="CR884" i="1"/>
  <c r="CS884" i="1"/>
  <c r="CT884" i="1" s="1"/>
  <c r="CU884" i="1"/>
  <c r="CX884" i="1" s="1"/>
  <c r="CY884" i="1" s="1"/>
  <c r="CR885" i="1"/>
  <c r="CS885" i="1"/>
  <c r="CT885" i="1" s="1"/>
  <c r="CU885" i="1"/>
  <c r="CX885" i="1" s="1"/>
  <c r="CY885" i="1" s="1"/>
  <c r="CR886" i="1"/>
  <c r="CS886" i="1"/>
  <c r="CT886" i="1" s="1"/>
  <c r="CU886" i="1"/>
  <c r="CX886" i="1" s="1"/>
  <c r="CY886" i="1" s="1"/>
  <c r="CR887" i="1"/>
  <c r="CS887" i="1"/>
  <c r="CT887" i="1" s="1"/>
  <c r="CU887" i="1"/>
  <c r="CX887" i="1" s="1"/>
  <c r="CY887" i="1" s="1"/>
  <c r="CR888" i="1"/>
  <c r="CS888" i="1"/>
  <c r="CT888" i="1" s="1"/>
  <c r="CU888" i="1"/>
  <c r="CX888" i="1" s="1"/>
  <c r="CY888" i="1" s="1"/>
  <c r="CR889" i="1"/>
  <c r="CS889" i="1"/>
  <c r="CT889" i="1" s="1"/>
  <c r="CU889" i="1"/>
  <c r="CX889" i="1" s="1"/>
  <c r="CY889" i="1" s="1"/>
  <c r="CR890" i="1"/>
  <c r="CS890" i="1"/>
  <c r="CT890" i="1" s="1"/>
  <c r="CU890" i="1"/>
  <c r="CX890" i="1" s="1"/>
  <c r="CY890" i="1" s="1"/>
  <c r="CR891" i="1"/>
  <c r="CS891" i="1"/>
  <c r="CT891" i="1" s="1"/>
  <c r="CU891" i="1"/>
  <c r="CX891" i="1" s="1"/>
  <c r="CY891" i="1" s="1"/>
  <c r="CR892" i="1"/>
  <c r="CS892" i="1"/>
  <c r="CT892" i="1" s="1"/>
  <c r="CU892" i="1"/>
  <c r="CX892" i="1" s="1"/>
  <c r="CY892" i="1" s="1"/>
  <c r="CR893" i="1"/>
  <c r="CS893" i="1"/>
  <c r="CT893" i="1" s="1"/>
  <c r="CU893" i="1"/>
  <c r="CX893" i="1" s="1"/>
  <c r="CY893" i="1" s="1"/>
  <c r="CR894" i="1"/>
  <c r="CS894" i="1"/>
  <c r="CT894" i="1" s="1"/>
  <c r="CU894" i="1"/>
  <c r="CX894" i="1" s="1"/>
  <c r="CY894" i="1" s="1"/>
  <c r="CR895" i="1"/>
  <c r="CS895" i="1"/>
  <c r="CT895" i="1" s="1"/>
  <c r="CU895" i="1"/>
  <c r="CX895" i="1" s="1"/>
  <c r="CY895" i="1" s="1"/>
  <c r="CR896" i="1"/>
  <c r="CS896" i="1"/>
  <c r="CT896" i="1" s="1"/>
  <c r="CU896" i="1"/>
  <c r="CX896" i="1" s="1"/>
  <c r="CY896" i="1" s="1"/>
  <c r="CR897" i="1"/>
  <c r="CS897" i="1"/>
  <c r="CT897" i="1" s="1"/>
  <c r="CU897" i="1"/>
  <c r="CX897" i="1" s="1"/>
  <c r="CY897" i="1" s="1"/>
  <c r="CR898" i="1"/>
  <c r="CS898" i="1"/>
  <c r="CT898" i="1" s="1"/>
  <c r="CU898" i="1"/>
  <c r="CX898" i="1" s="1"/>
  <c r="CY898" i="1" s="1"/>
  <c r="CR899" i="1"/>
  <c r="CS899" i="1"/>
  <c r="CT899" i="1" s="1"/>
  <c r="CU899" i="1"/>
  <c r="CX899" i="1" s="1"/>
  <c r="CY899" i="1" s="1"/>
  <c r="CR900" i="1"/>
  <c r="CS900" i="1"/>
  <c r="CT900" i="1" s="1"/>
  <c r="CU900" i="1"/>
  <c r="CX900" i="1" s="1"/>
  <c r="CY900" i="1" s="1"/>
  <c r="CR901" i="1"/>
  <c r="CS901" i="1"/>
  <c r="CT901" i="1" s="1"/>
  <c r="CU901" i="1"/>
  <c r="CX901" i="1" s="1"/>
  <c r="CY901" i="1" s="1"/>
  <c r="CR902" i="1"/>
  <c r="CS902" i="1"/>
  <c r="CT902" i="1" s="1"/>
  <c r="CU902" i="1"/>
  <c r="CX902" i="1" s="1"/>
  <c r="CY902" i="1" s="1"/>
  <c r="CR903" i="1"/>
  <c r="CS903" i="1"/>
  <c r="CT903" i="1" s="1"/>
  <c r="CU903" i="1"/>
  <c r="CX903" i="1" s="1"/>
  <c r="CY903" i="1" s="1"/>
  <c r="CR904" i="1"/>
  <c r="CS904" i="1"/>
  <c r="CT904" i="1" s="1"/>
  <c r="CU904" i="1"/>
  <c r="CX904" i="1" s="1"/>
  <c r="CY904" i="1" s="1"/>
  <c r="CR905" i="1"/>
  <c r="CS905" i="1"/>
  <c r="CT905" i="1" s="1"/>
  <c r="CU905" i="1"/>
  <c r="CX905" i="1" s="1"/>
  <c r="CY905" i="1" s="1"/>
  <c r="CR906" i="1"/>
  <c r="CS906" i="1"/>
  <c r="CT906" i="1" s="1"/>
  <c r="CU906" i="1"/>
  <c r="CX906" i="1" s="1"/>
  <c r="CY906" i="1" s="1"/>
  <c r="CR907" i="1"/>
  <c r="CS907" i="1"/>
  <c r="CT907" i="1" s="1"/>
  <c r="CU907" i="1"/>
  <c r="CX907" i="1" s="1"/>
  <c r="CY907" i="1" s="1"/>
  <c r="CR908" i="1"/>
  <c r="CS908" i="1"/>
  <c r="CT908" i="1" s="1"/>
  <c r="CU908" i="1"/>
  <c r="CX908" i="1" s="1"/>
  <c r="CY908" i="1" s="1"/>
  <c r="CR909" i="1"/>
  <c r="CS909" i="1"/>
  <c r="CT909" i="1" s="1"/>
  <c r="CU909" i="1"/>
  <c r="CX909" i="1" s="1"/>
  <c r="CY909" i="1" s="1"/>
  <c r="CR910" i="1"/>
  <c r="CS910" i="1"/>
  <c r="CT910" i="1" s="1"/>
  <c r="CU910" i="1"/>
  <c r="CX910" i="1" s="1"/>
  <c r="CY910" i="1" s="1"/>
  <c r="CR911" i="1"/>
  <c r="CS911" i="1"/>
  <c r="CT911" i="1" s="1"/>
  <c r="CU911" i="1"/>
  <c r="CX911" i="1" s="1"/>
  <c r="CY911" i="1" s="1"/>
  <c r="CR912" i="1"/>
  <c r="CS912" i="1"/>
  <c r="CT912" i="1" s="1"/>
  <c r="CU912" i="1"/>
  <c r="CX912" i="1" s="1"/>
  <c r="CY912" i="1" s="1"/>
  <c r="CR913" i="1"/>
  <c r="CS913" i="1"/>
  <c r="CT913" i="1" s="1"/>
  <c r="CU913" i="1"/>
  <c r="CX913" i="1" s="1"/>
  <c r="CY913" i="1" s="1"/>
  <c r="CR914" i="1"/>
  <c r="CS914" i="1"/>
  <c r="CT914" i="1" s="1"/>
  <c r="CU914" i="1"/>
  <c r="CX914" i="1" s="1"/>
  <c r="CY914" i="1" s="1"/>
  <c r="CR915" i="1"/>
  <c r="CS915" i="1"/>
  <c r="CT915" i="1" s="1"/>
  <c r="CU915" i="1"/>
  <c r="CX915" i="1" s="1"/>
  <c r="CY915" i="1" s="1"/>
  <c r="CR916" i="1"/>
  <c r="CS916" i="1"/>
  <c r="CT916" i="1" s="1"/>
  <c r="CU916" i="1"/>
  <c r="CX916" i="1" s="1"/>
  <c r="CY916" i="1" s="1"/>
  <c r="CR917" i="1"/>
  <c r="CS917" i="1"/>
  <c r="CT917" i="1" s="1"/>
  <c r="CU917" i="1"/>
  <c r="CX917" i="1" s="1"/>
  <c r="CY917" i="1" s="1"/>
  <c r="CR918" i="1"/>
  <c r="CS918" i="1"/>
  <c r="CT918" i="1" s="1"/>
  <c r="CU918" i="1"/>
  <c r="CX918" i="1" s="1"/>
  <c r="CY918" i="1" s="1"/>
  <c r="CR919" i="1"/>
  <c r="CS919" i="1"/>
  <c r="CT919" i="1" s="1"/>
  <c r="CU919" i="1"/>
  <c r="CX919" i="1" s="1"/>
  <c r="CY919" i="1" s="1"/>
  <c r="CR920" i="1"/>
  <c r="CS920" i="1"/>
  <c r="CT920" i="1" s="1"/>
  <c r="CU920" i="1"/>
  <c r="CX920" i="1" s="1"/>
  <c r="CY920" i="1" s="1"/>
  <c r="CR921" i="1"/>
  <c r="CS921" i="1"/>
  <c r="CT921" i="1" s="1"/>
  <c r="CU921" i="1"/>
  <c r="CX921" i="1" s="1"/>
  <c r="CY921" i="1" s="1"/>
  <c r="CR922" i="1"/>
  <c r="CS922" i="1"/>
  <c r="CT922" i="1" s="1"/>
  <c r="CU922" i="1"/>
  <c r="CX922" i="1" s="1"/>
  <c r="CY922" i="1" s="1"/>
  <c r="CR923" i="1"/>
  <c r="CS923" i="1"/>
  <c r="CT923" i="1" s="1"/>
  <c r="CU923" i="1"/>
  <c r="CX923" i="1" s="1"/>
  <c r="CY923" i="1" s="1"/>
  <c r="CR924" i="1"/>
  <c r="CS924" i="1"/>
  <c r="CT924" i="1" s="1"/>
  <c r="CU924" i="1"/>
  <c r="CX924" i="1" s="1"/>
  <c r="CY924" i="1" s="1"/>
  <c r="CR925" i="1"/>
  <c r="CS925" i="1"/>
  <c r="CT925" i="1" s="1"/>
  <c r="CU925" i="1"/>
  <c r="CX925" i="1" s="1"/>
  <c r="CY925" i="1" s="1"/>
  <c r="CR926" i="1"/>
  <c r="CS926" i="1"/>
  <c r="CT926" i="1" s="1"/>
  <c r="CU926" i="1"/>
  <c r="CX926" i="1" s="1"/>
  <c r="CY926" i="1" s="1"/>
  <c r="CR927" i="1"/>
  <c r="CS927" i="1"/>
  <c r="CT927" i="1" s="1"/>
  <c r="CU927" i="1"/>
  <c r="CX927" i="1" s="1"/>
  <c r="CY927" i="1" s="1"/>
  <c r="CR928" i="1"/>
  <c r="CS928" i="1"/>
  <c r="CT928" i="1" s="1"/>
  <c r="CU928" i="1"/>
  <c r="CX928" i="1" s="1"/>
  <c r="CY928" i="1" s="1"/>
  <c r="CR929" i="1"/>
  <c r="CS929" i="1"/>
  <c r="CT929" i="1" s="1"/>
  <c r="CU929" i="1"/>
  <c r="CX929" i="1" s="1"/>
  <c r="CY929" i="1" s="1"/>
  <c r="CR930" i="1"/>
  <c r="CS930" i="1"/>
  <c r="CT930" i="1" s="1"/>
  <c r="CU930" i="1"/>
  <c r="CX930" i="1" s="1"/>
  <c r="CY930" i="1" s="1"/>
  <c r="CR931" i="1"/>
  <c r="CS931" i="1"/>
  <c r="CT931" i="1" s="1"/>
  <c r="CU931" i="1"/>
  <c r="CX931" i="1" s="1"/>
  <c r="CY931" i="1" s="1"/>
  <c r="CR932" i="1"/>
  <c r="CS932" i="1"/>
  <c r="CT932" i="1" s="1"/>
  <c r="CU932" i="1"/>
  <c r="CX932" i="1" s="1"/>
  <c r="CY932" i="1" s="1"/>
  <c r="CR933" i="1"/>
  <c r="CS933" i="1"/>
  <c r="CT933" i="1" s="1"/>
  <c r="CU933" i="1"/>
  <c r="CX933" i="1" s="1"/>
  <c r="CY933" i="1" s="1"/>
  <c r="CR934" i="1"/>
  <c r="CS934" i="1"/>
  <c r="CT934" i="1" s="1"/>
  <c r="CU934" i="1"/>
  <c r="CX934" i="1" s="1"/>
  <c r="CY934" i="1" s="1"/>
  <c r="CR935" i="1"/>
  <c r="CS935" i="1"/>
  <c r="CT935" i="1" s="1"/>
  <c r="CU935" i="1"/>
  <c r="CX935" i="1" s="1"/>
  <c r="CY935" i="1" s="1"/>
  <c r="CR936" i="1"/>
  <c r="CS936" i="1"/>
  <c r="CT936" i="1" s="1"/>
  <c r="CU936" i="1"/>
  <c r="CX936" i="1" s="1"/>
  <c r="CY936" i="1" s="1"/>
  <c r="CR937" i="1"/>
  <c r="CS937" i="1"/>
  <c r="CT937" i="1" s="1"/>
  <c r="CU937" i="1"/>
  <c r="CX937" i="1" s="1"/>
  <c r="CY937" i="1" s="1"/>
  <c r="CR938" i="1"/>
  <c r="CS938" i="1"/>
  <c r="CT938" i="1" s="1"/>
  <c r="CU938" i="1"/>
  <c r="CX938" i="1" s="1"/>
  <c r="CY938" i="1" s="1"/>
  <c r="CR939" i="1"/>
  <c r="CS939" i="1"/>
  <c r="CT939" i="1" s="1"/>
  <c r="CU939" i="1"/>
  <c r="CX939" i="1" s="1"/>
  <c r="CY939" i="1" s="1"/>
  <c r="CR940" i="1"/>
  <c r="CS940" i="1"/>
  <c r="CT940" i="1" s="1"/>
  <c r="CU940" i="1"/>
  <c r="CX940" i="1" s="1"/>
  <c r="CY940" i="1" s="1"/>
  <c r="CR941" i="1"/>
  <c r="CS941" i="1"/>
  <c r="CT941" i="1" s="1"/>
  <c r="CU941" i="1"/>
  <c r="CX941" i="1" s="1"/>
  <c r="CY941" i="1" s="1"/>
  <c r="CR942" i="1"/>
  <c r="CS942" i="1"/>
  <c r="CT942" i="1" s="1"/>
  <c r="CU942" i="1"/>
  <c r="CX942" i="1" s="1"/>
  <c r="CY942" i="1" s="1"/>
  <c r="CR943" i="1"/>
  <c r="CS943" i="1"/>
  <c r="CT943" i="1" s="1"/>
  <c r="CU943" i="1"/>
  <c r="CX943" i="1" s="1"/>
  <c r="CY943" i="1" s="1"/>
  <c r="CR944" i="1"/>
  <c r="CS944" i="1"/>
  <c r="CT944" i="1" s="1"/>
  <c r="CU944" i="1"/>
  <c r="CX944" i="1" s="1"/>
  <c r="CY944" i="1" s="1"/>
  <c r="CR945" i="1"/>
  <c r="CS945" i="1"/>
  <c r="CT945" i="1" s="1"/>
  <c r="CU945" i="1"/>
  <c r="CX945" i="1" s="1"/>
  <c r="CY945" i="1" s="1"/>
  <c r="CR946" i="1"/>
  <c r="CS946" i="1"/>
  <c r="CT946" i="1" s="1"/>
  <c r="CU946" i="1"/>
  <c r="CX946" i="1" s="1"/>
  <c r="CY946" i="1" s="1"/>
  <c r="CR947" i="1"/>
  <c r="CS947" i="1"/>
  <c r="CT947" i="1" s="1"/>
  <c r="CU947" i="1"/>
  <c r="CX947" i="1" s="1"/>
  <c r="CY947" i="1" s="1"/>
  <c r="CR948" i="1"/>
  <c r="CS948" i="1"/>
  <c r="CT948" i="1" s="1"/>
  <c r="CU948" i="1"/>
  <c r="CX948" i="1" s="1"/>
  <c r="CY948" i="1" s="1"/>
  <c r="CR949" i="1"/>
  <c r="CS949" i="1"/>
  <c r="CT949" i="1" s="1"/>
  <c r="CU949" i="1"/>
  <c r="CX949" i="1" s="1"/>
  <c r="CY949" i="1" s="1"/>
  <c r="CR950" i="1"/>
  <c r="CS950" i="1"/>
  <c r="CT950" i="1" s="1"/>
  <c r="CU950" i="1"/>
  <c r="CX950" i="1" s="1"/>
  <c r="CY950" i="1" s="1"/>
  <c r="CR951" i="1"/>
  <c r="CS951" i="1"/>
  <c r="CT951" i="1" s="1"/>
  <c r="CU951" i="1"/>
  <c r="CX951" i="1" s="1"/>
  <c r="CY951" i="1" s="1"/>
  <c r="CR952" i="1"/>
  <c r="CS952" i="1"/>
  <c r="CT952" i="1" s="1"/>
  <c r="CU952" i="1"/>
  <c r="CX952" i="1" s="1"/>
  <c r="CY952" i="1" s="1"/>
  <c r="CR953" i="1"/>
  <c r="CS953" i="1"/>
  <c r="CT953" i="1" s="1"/>
  <c r="CU953" i="1"/>
  <c r="CX953" i="1" s="1"/>
  <c r="CY953" i="1" s="1"/>
  <c r="CR954" i="1"/>
  <c r="CS954" i="1"/>
  <c r="CT954" i="1" s="1"/>
  <c r="CU954" i="1"/>
  <c r="CX954" i="1" s="1"/>
  <c r="CY954" i="1" s="1"/>
  <c r="CR955" i="1"/>
  <c r="CS955" i="1"/>
  <c r="CT955" i="1" s="1"/>
  <c r="CU955" i="1"/>
  <c r="CX955" i="1" s="1"/>
  <c r="CY955" i="1" s="1"/>
  <c r="CR956" i="1"/>
  <c r="CS956" i="1"/>
  <c r="CT956" i="1" s="1"/>
  <c r="CU956" i="1"/>
  <c r="CX956" i="1" s="1"/>
  <c r="CY956" i="1" s="1"/>
  <c r="CR957" i="1"/>
  <c r="CS957" i="1"/>
  <c r="CT957" i="1" s="1"/>
  <c r="CU957" i="1"/>
  <c r="CX957" i="1" s="1"/>
  <c r="CY957" i="1" s="1"/>
  <c r="CR958" i="1"/>
  <c r="CS958" i="1"/>
  <c r="CT958" i="1" s="1"/>
  <c r="CU958" i="1"/>
  <c r="CX958" i="1" s="1"/>
  <c r="CY958" i="1" s="1"/>
  <c r="CR959" i="1"/>
  <c r="CS959" i="1"/>
  <c r="CT959" i="1" s="1"/>
  <c r="CU959" i="1"/>
  <c r="CX959" i="1" s="1"/>
  <c r="CY959" i="1" s="1"/>
  <c r="CR960" i="1"/>
  <c r="CS960" i="1"/>
  <c r="CT960" i="1" s="1"/>
  <c r="CU960" i="1"/>
  <c r="CX960" i="1" s="1"/>
  <c r="CY960" i="1" s="1"/>
  <c r="CR961" i="1"/>
  <c r="CS961" i="1"/>
  <c r="CT961" i="1" s="1"/>
  <c r="CU961" i="1"/>
  <c r="CX961" i="1" s="1"/>
  <c r="CY961" i="1" s="1"/>
  <c r="CR962" i="1"/>
  <c r="CS962" i="1"/>
  <c r="CT962" i="1" s="1"/>
  <c r="CU962" i="1"/>
  <c r="CX962" i="1" s="1"/>
  <c r="CY962" i="1" s="1"/>
  <c r="CR963" i="1"/>
  <c r="CS963" i="1"/>
  <c r="CT963" i="1" s="1"/>
  <c r="CU963" i="1"/>
  <c r="CX963" i="1" s="1"/>
  <c r="CY963" i="1" s="1"/>
  <c r="CR964" i="1"/>
  <c r="CS964" i="1"/>
  <c r="CT964" i="1" s="1"/>
  <c r="CU964" i="1"/>
  <c r="CX964" i="1" s="1"/>
  <c r="CY964" i="1" s="1"/>
  <c r="CR965" i="1"/>
  <c r="CS965" i="1"/>
  <c r="CT965" i="1" s="1"/>
  <c r="CU965" i="1"/>
  <c r="CX965" i="1" s="1"/>
  <c r="CY965" i="1" s="1"/>
  <c r="CR966" i="1"/>
  <c r="CS966" i="1"/>
  <c r="CT966" i="1" s="1"/>
  <c r="CU966" i="1"/>
  <c r="CX966" i="1" s="1"/>
  <c r="CY966" i="1" s="1"/>
  <c r="CR967" i="1"/>
  <c r="CS967" i="1"/>
  <c r="CT967" i="1" s="1"/>
  <c r="CU967" i="1"/>
  <c r="CX967" i="1" s="1"/>
  <c r="CY967" i="1" s="1"/>
  <c r="CR968" i="1"/>
  <c r="CS968" i="1"/>
  <c r="CT968" i="1" s="1"/>
  <c r="CU968" i="1"/>
  <c r="CX968" i="1" s="1"/>
  <c r="CY968" i="1" s="1"/>
  <c r="CR969" i="1"/>
  <c r="CS969" i="1"/>
  <c r="CT969" i="1" s="1"/>
  <c r="CU969" i="1"/>
  <c r="CX969" i="1" s="1"/>
  <c r="CY969" i="1" s="1"/>
  <c r="CR970" i="1"/>
  <c r="CS970" i="1"/>
  <c r="CT970" i="1" s="1"/>
  <c r="CU970" i="1"/>
  <c r="CX970" i="1" s="1"/>
  <c r="CY970" i="1" s="1"/>
  <c r="CR971" i="1"/>
  <c r="CS971" i="1"/>
  <c r="CT971" i="1" s="1"/>
  <c r="CU971" i="1"/>
  <c r="CX971" i="1" s="1"/>
  <c r="CY971" i="1" s="1"/>
  <c r="CR972" i="1"/>
  <c r="CS972" i="1"/>
  <c r="CT972" i="1" s="1"/>
  <c r="CU972" i="1"/>
  <c r="CX972" i="1" s="1"/>
  <c r="CY972" i="1" s="1"/>
  <c r="CR973" i="1"/>
  <c r="CS973" i="1"/>
  <c r="CT973" i="1" s="1"/>
  <c r="CU973" i="1"/>
  <c r="CX973" i="1" s="1"/>
  <c r="CY973" i="1" s="1"/>
  <c r="CR974" i="1"/>
  <c r="CS974" i="1"/>
  <c r="CT974" i="1" s="1"/>
  <c r="CU974" i="1"/>
  <c r="CX974" i="1" s="1"/>
  <c r="CY974" i="1" s="1"/>
  <c r="CR975" i="1"/>
  <c r="CS975" i="1"/>
  <c r="CT975" i="1" s="1"/>
  <c r="CU975" i="1"/>
  <c r="CX975" i="1" s="1"/>
  <c r="CY975" i="1" s="1"/>
  <c r="CR976" i="1"/>
  <c r="CS976" i="1"/>
  <c r="CT976" i="1" s="1"/>
  <c r="CU976" i="1"/>
  <c r="CX976" i="1" s="1"/>
  <c r="CY976" i="1" s="1"/>
  <c r="CR977" i="1"/>
  <c r="CS977" i="1"/>
  <c r="CT977" i="1" s="1"/>
  <c r="CU977" i="1"/>
  <c r="CX977" i="1" s="1"/>
  <c r="CY977" i="1" s="1"/>
  <c r="CR978" i="1"/>
  <c r="CS978" i="1"/>
  <c r="CT978" i="1" s="1"/>
  <c r="CU978" i="1"/>
  <c r="CX978" i="1" s="1"/>
  <c r="CY978" i="1" s="1"/>
  <c r="CR979" i="1"/>
  <c r="CS979" i="1"/>
  <c r="CT979" i="1" s="1"/>
  <c r="CU979" i="1"/>
  <c r="CX979" i="1" s="1"/>
  <c r="CY979" i="1" s="1"/>
  <c r="CR980" i="1"/>
  <c r="CS980" i="1"/>
  <c r="CT980" i="1" s="1"/>
  <c r="CU980" i="1"/>
  <c r="CX980" i="1" s="1"/>
  <c r="CY980" i="1" s="1"/>
  <c r="CR981" i="1"/>
  <c r="CS981" i="1"/>
  <c r="CT981" i="1" s="1"/>
  <c r="CU981" i="1"/>
  <c r="CX981" i="1" s="1"/>
  <c r="CY981" i="1" s="1"/>
  <c r="CR982" i="1"/>
  <c r="CS982" i="1"/>
  <c r="CT982" i="1" s="1"/>
  <c r="CU982" i="1"/>
  <c r="CX982" i="1" s="1"/>
  <c r="CY982" i="1" s="1"/>
  <c r="CR983" i="1"/>
  <c r="CS983" i="1"/>
  <c r="CT983" i="1" s="1"/>
  <c r="CU983" i="1"/>
  <c r="CX983" i="1" s="1"/>
  <c r="CY983" i="1" s="1"/>
  <c r="CR984" i="1"/>
  <c r="CS984" i="1"/>
  <c r="CT984" i="1" s="1"/>
  <c r="CU984" i="1"/>
  <c r="CX984" i="1" s="1"/>
  <c r="CY984" i="1" s="1"/>
  <c r="CR985" i="1"/>
  <c r="CS985" i="1"/>
  <c r="CT985" i="1" s="1"/>
  <c r="CU985" i="1"/>
  <c r="CX985" i="1" s="1"/>
  <c r="CY985" i="1" s="1"/>
  <c r="CR986" i="1"/>
  <c r="CS986" i="1"/>
  <c r="CT986" i="1" s="1"/>
  <c r="CU986" i="1"/>
  <c r="CX986" i="1" s="1"/>
  <c r="CY986" i="1" s="1"/>
  <c r="CR987" i="1"/>
  <c r="CS987" i="1"/>
  <c r="CT987" i="1" s="1"/>
  <c r="CU987" i="1"/>
  <c r="CX987" i="1" s="1"/>
  <c r="CY987" i="1" s="1"/>
  <c r="CR988" i="1"/>
  <c r="CS988" i="1"/>
  <c r="CT988" i="1" s="1"/>
  <c r="CU988" i="1"/>
  <c r="CX988" i="1" s="1"/>
  <c r="CY988" i="1" s="1"/>
  <c r="CR989" i="1"/>
  <c r="CS989" i="1"/>
  <c r="CT989" i="1" s="1"/>
  <c r="CU989" i="1"/>
  <c r="CX989" i="1" s="1"/>
  <c r="CY989" i="1" s="1"/>
  <c r="CR990" i="1"/>
  <c r="CS990" i="1"/>
  <c r="CT990" i="1" s="1"/>
  <c r="CU990" i="1"/>
  <c r="CX990" i="1" s="1"/>
  <c r="CY990" i="1" s="1"/>
  <c r="CR991" i="1"/>
  <c r="CS991" i="1"/>
  <c r="CT991" i="1" s="1"/>
  <c r="CU991" i="1"/>
  <c r="CX991" i="1" s="1"/>
  <c r="CY991" i="1" s="1"/>
  <c r="CR992" i="1"/>
  <c r="CS992" i="1"/>
  <c r="CT992" i="1" s="1"/>
  <c r="CU992" i="1"/>
  <c r="CX992" i="1" s="1"/>
  <c r="CY992" i="1" s="1"/>
  <c r="CR993" i="1"/>
  <c r="CS993" i="1"/>
  <c r="CT993" i="1" s="1"/>
  <c r="CU993" i="1"/>
  <c r="CX993" i="1" s="1"/>
  <c r="CY993" i="1" s="1"/>
  <c r="CR994" i="1"/>
  <c r="CS994" i="1"/>
  <c r="CT994" i="1" s="1"/>
  <c r="CU994" i="1"/>
  <c r="CX994" i="1" s="1"/>
  <c r="CY994" i="1" s="1"/>
  <c r="CR995" i="1"/>
  <c r="CS995" i="1"/>
  <c r="CT995" i="1" s="1"/>
  <c r="CU995" i="1"/>
  <c r="CX995" i="1" s="1"/>
  <c r="CY995" i="1" s="1"/>
  <c r="CR996" i="1"/>
  <c r="CS996" i="1"/>
  <c r="CT996" i="1" s="1"/>
  <c r="CU996" i="1"/>
  <c r="CX996" i="1" s="1"/>
  <c r="CY996" i="1" s="1"/>
  <c r="CR997" i="1"/>
  <c r="CS997" i="1"/>
  <c r="CT997" i="1" s="1"/>
  <c r="CU997" i="1"/>
  <c r="CX997" i="1" s="1"/>
  <c r="CY997" i="1" s="1"/>
  <c r="CR998" i="1"/>
  <c r="CS998" i="1"/>
  <c r="CT998" i="1" s="1"/>
  <c r="CU998" i="1"/>
  <c r="CX998" i="1" s="1"/>
  <c r="CY998" i="1" s="1"/>
  <c r="CR999" i="1"/>
  <c r="CS999" i="1"/>
  <c r="CT999" i="1" s="1"/>
  <c r="CU999" i="1"/>
  <c r="CX999" i="1" s="1"/>
  <c r="CY999" i="1" s="1"/>
  <c r="CR1000" i="1"/>
  <c r="CS1000" i="1"/>
  <c r="CT1000" i="1" s="1"/>
  <c r="CU1000" i="1"/>
  <c r="CX1000" i="1" s="1"/>
  <c r="CY1000" i="1" s="1"/>
  <c r="CR1001" i="1"/>
  <c r="CS1001" i="1"/>
  <c r="CT1001" i="1" s="1"/>
  <c r="CU1001" i="1"/>
  <c r="CX1001" i="1" s="1"/>
  <c r="CY1001" i="1" s="1"/>
  <c r="CR1002" i="1"/>
  <c r="CS1002" i="1"/>
  <c r="CT1002" i="1" s="1"/>
  <c r="CU1002" i="1"/>
  <c r="CX1002" i="1" s="1"/>
  <c r="CY1002" i="1" s="1"/>
  <c r="CR1003" i="1"/>
  <c r="CS1003" i="1"/>
  <c r="CT1003" i="1" s="1"/>
  <c r="CU1003" i="1"/>
  <c r="CX1003" i="1" s="1"/>
  <c r="CY1003" i="1" s="1"/>
  <c r="CR1004" i="1"/>
  <c r="CS1004" i="1"/>
  <c r="CT1004" i="1" s="1"/>
  <c r="CU1004" i="1"/>
  <c r="CX1004" i="1" s="1"/>
  <c r="CY1004" i="1" s="1"/>
  <c r="CR1005" i="1"/>
  <c r="CS1005" i="1"/>
  <c r="CT1005" i="1" s="1"/>
  <c r="CU1005" i="1"/>
  <c r="CX1005" i="1" s="1"/>
  <c r="CY1005" i="1" s="1"/>
  <c r="CR1006" i="1"/>
  <c r="CS1006" i="1"/>
  <c r="CT1006" i="1" s="1"/>
  <c r="CU1006" i="1"/>
  <c r="CX1006" i="1" s="1"/>
  <c r="CY1006" i="1" s="1"/>
  <c r="CR1007" i="1"/>
  <c r="CS1007" i="1"/>
  <c r="CT1007" i="1" s="1"/>
  <c r="CU1007" i="1"/>
  <c r="CX1007" i="1" s="1"/>
  <c r="CY1007" i="1" s="1"/>
  <c r="CR1008" i="1"/>
  <c r="CS1008" i="1"/>
  <c r="CT1008" i="1" s="1"/>
  <c r="CU1008" i="1"/>
  <c r="CX1008" i="1" s="1"/>
  <c r="CY1008" i="1" s="1"/>
  <c r="CR1009" i="1"/>
  <c r="CS1009" i="1"/>
  <c r="CT1009" i="1" s="1"/>
  <c r="CU1009" i="1"/>
  <c r="CX1009" i="1" s="1"/>
  <c r="CY1009" i="1" s="1"/>
  <c r="CR1010" i="1"/>
  <c r="CS1010" i="1"/>
  <c r="CT1010" i="1" s="1"/>
  <c r="CU1010" i="1"/>
  <c r="CX1010" i="1" s="1"/>
  <c r="CY1010" i="1" s="1"/>
  <c r="CR1011" i="1"/>
  <c r="CS1011" i="1"/>
  <c r="CT1011" i="1" s="1"/>
  <c r="CU1011" i="1"/>
  <c r="CX1011" i="1" s="1"/>
  <c r="CY1011" i="1" s="1"/>
  <c r="CR1012" i="1"/>
  <c r="CS1012" i="1"/>
  <c r="CT1012" i="1" s="1"/>
  <c r="CU1012" i="1"/>
  <c r="CX1012" i="1" s="1"/>
  <c r="CY1012" i="1" s="1"/>
  <c r="CR1013" i="1"/>
  <c r="CS1013" i="1"/>
  <c r="CT1013" i="1" s="1"/>
  <c r="CU1013" i="1"/>
  <c r="CX1013" i="1" s="1"/>
  <c r="CY1013" i="1" s="1"/>
  <c r="CR1014" i="1"/>
  <c r="CS1014" i="1"/>
  <c r="CT1014" i="1" s="1"/>
  <c r="CU1014" i="1"/>
  <c r="CX1014" i="1" s="1"/>
  <c r="CY1014" i="1" s="1"/>
  <c r="CR1015" i="1"/>
  <c r="CS1015" i="1"/>
  <c r="CT1015" i="1" s="1"/>
  <c r="CU1015" i="1"/>
  <c r="CX1015" i="1" s="1"/>
  <c r="CY1015" i="1" s="1"/>
  <c r="CR1016" i="1"/>
  <c r="CS1016" i="1"/>
  <c r="CT1016" i="1" s="1"/>
  <c r="CU1016" i="1"/>
  <c r="CX1016" i="1" s="1"/>
  <c r="CY1016" i="1" s="1"/>
  <c r="CR1017" i="1"/>
  <c r="CS1017" i="1"/>
  <c r="CT1017" i="1" s="1"/>
  <c r="CU1017" i="1"/>
  <c r="CX1017" i="1" s="1"/>
  <c r="CY1017" i="1" s="1"/>
  <c r="CR1018" i="1"/>
  <c r="CS1018" i="1"/>
  <c r="CT1018" i="1" s="1"/>
  <c r="CU1018" i="1"/>
  <c r="CX1018" i="1" s="1"/>
  <c r="CY1018" i="1" s="1"/>
  <c r="CR1019" i="1"/>
  <c r="CS1019" i="1"/>
  <c r="CT1019" i="1" s="1"/>
  <c r="CU1019" i="1"/>
  <c r="CX1019" i="1" s="1"/>
  <c r="CY1019" i="1" s="1"/>
  <c r="CR1020" i="1"/>
  <c r="CS1020" i="1"/>
  <c r="CT1020" i="1" s="1"/>
  <c r="CU1020" i="1"/>
  <c r="CX1020" i="1" s="1"/>
  <c r="CY1020" i="1" s="1"/>
  <c r="CR1021" i="1"/>
  <c r="CS1021" i="1"/>
  <c r="CT1021" i="1" s="1"/>
  <c r="CU1021" i="1"/>
  <c r="CX1021" i="1" s="1"/>
  <c r="CY1021" i="1" s="1"/>
  <c r="CR1022" i="1"/>
  <c r="CS1022" i="1"/>
  <c r="CT1022" i="1" s="1"/>
  <c r="CU1022" i="1"/>
  <c r="CX1022" i="1" s="1"/>
  <c r="CY1022" i="1" s="1"/>
  <c r="CR1023" i="1"/>
  <c r="CS1023" i="1"/>
  <c r="CT1023" i="1" s="1"/>
  <c r="CU1023" i="1"/>
  <c r="CX1023" i="1" s="1"/>
  <c r="CY1023" i="1" s="1"/>
  <c r="CR1024" i="1"/>
  <c r="CS1024" i="1"/>
  <c r="CT1024" i="1" s="1"/>
  <c r="CU1024" i="1"/>
  <c r="CX1024" i="1" s="1"/>
  <c r="CY1024" i="1" s="1"/>
  <c r="CR1025" i="1"/>
  <c r="CS1025" i="1"/>
  <c r="CT1025" i="1" s="1"/>
  <c r="CU1025" i="1"/>
  <c r="CX1025" i="1" s="1"/>
  <c r="CY1025" i="1" s="1"/>
  <c r="CR1026" i="1"/>
  <c r="CS1026" i="1"/>
  <c r="CT1026" i="1" s="1"/>
  <c r="CU1026" i="1"/>
  <c r="CX1026" i="1" s="1"/>
  <c r="CY1026" i="1" s="1"/>
  <c r="CR1027" i="1"/>
  <c r="CS1027" i="1"/>
  <c r="CT1027" i="1" s="1"/>
  <c r="CU1027" i="1"/>
  <c r="CX1027" i="1" s="1"/>
  <c r="CY1027" i="1" s="1"/>
  <c r="CR1028" i="1"/>
  <c r="CS1028" i="1"/>
  <c r="CT1028" i="1" s="1"/>
  <c r="CU1028" i="1"/>
  <c r="CX1028" i="1" s="1"/>
  <c r="CY1028" i="1" s="1"/>
  <c r="CR1029" i="1"/>
  <c r="CS1029" i="1"/>
  <c r="CT1029" i="1" s="1"/>
  <c r="CU1029" i="1"/>
  <c r="CX1029" i="1" s="1"/>
  <c r="CY1029" i="1" s="1"/>
  <c r="CR1030" i="1"/>
  <c r="CS1030" i="1"/>
  <c r="CT1030" i="1" s="1"/>
  <c r="CU1030" i="1"/>
  <c r="CX1030" i="1" s="1"/>
  <c r="CY1030" i="1" s="1"/>
  <c r="CR1031" i="1"/>
  <c r="CS1031" i="1"/>
  <c r="CT1031" i="1" s="1"/>
  <c r="CU1031" i="1"/>
  <c r="CX1031" i="1" s="1"/>
  <c r="CY1031" i="1" s="1"/>
  <c r="CR1032" i="1"/>
  <c r="CS1032" i="1"/>
  <c r="CT1032" i="1" s="1"/>
  <c r="CU1032" i="1"/>
  <c r="CX1032" i="1" s="1"/>
  <c r="CY1032" i="1" s="1"/>
  <c r="CR1033" i="1"/>
  <c r="CS1033" i="1"/>
  <c r="CT1033" i="1" s="1"/>
  <c r="CU1033" i="1"/>
  <c r="CX1033" i="1" s="1"/>
  <c r="CY1033" i="1" s="1"/>
  <c r="CR1034" i="1"/>
  <c r="CS1034" i="1"/>
  <c r="CT1034" i="1" s="1"/>
  <c r="CU1034" i="1"/>
  <c r="CX1034" i="1" s="1"/>
  <c r="CY1034" i="1" s="1"/>
  <c r="CR1035" i="1"/>
  <c r="CS1035" i="1"/>
  <c r="CT1035" i="1" s="1"/>
  <c r="CU1035" i="1"/>
  <c r="CX1035" i="1" s="1"/>
  <c r="CY1035" i="1" s="1"/>
  <c r="CR1036" i="1"/>
  <c r="CS1036" i="1"/>
  <c r="CT1036" i="1" s="1"/>
  <c r="CU1036" i="1"/>
  <c r="CX1036" i="1" s="1"/>
  <c r="CY1036" i="1" s="1"/>
  <c r="CR1037" i="1"/>
  <c r="CS1037" i="1"/>
  <c r="CT1037" i="1" s="1"/>
  <c r="CU1037" i="1"/>
  <c r="CX1037" i="1" s="1"/>
  <c r="CY1037" i="1" s="1"/>
  <c r="CR1038" i="1"/>
  <c r="CS1038" i="1"/>
  <c r="CT1038" i="1" s="1"/>
  <c r="CU1038" i="1"/>
  <c r="CX1038" i="1" s="1"/>
  <c r="CY1038" i="1" s="1"/>
  <c r="CR1039" i="1"/>
  <c r="CS1039" i="1"/>
  <c r="CT1039" i="1" s="1"/>
  <c r="CU1039" i="1"/>
  <c r="CX1039" i="1" s="1"/>
  <c r="CY1039" i="1" s="1"/>
  <c r="CR1040" i="1"/>
  <c r="CS1040" i="1"/>
  <c r="CT1040" i="1" s="1"/>
  <c r="CU1040" i="1"/>
  <c r="CX1040" i="1" s="1"/>
  <c r="CY1040" i="1" s="1"/>
  <c r="CR1041" i="1"/>
  <c r="CS1041" i="1"/>
  <c r="CT1041" i="1" s="1"/>
  <c r="CU1041" i="1"/>
  <c r="CX1041" i="1" s="1"/>
  <c r="CY1041" i="1" s="1"/>
  <c r="CR1042" i="1"/>
  <c r="CS1042" i="1"/>
  <c r="CT1042" i="1" s="1"/>
  <c r="CU1042" i="1"/>
  <c r="CX1042" i="1" s="1"/>
  <c r="CY1042" i="1" s="1"/>
  <c r="CR1043" i="1"/>
  <c r="CS1043" i="1"/>
  <c r="CT1043" i="1" s="1"/>
  <c r="CU1043" i="1"/>
  <c r="CX1043" i="1" s="1"/>
  <c r="CY1043" i="1" s="1"/>
  <c r="CR1044" i="1"/>
  <c r="CS1044" i="1"/>
  <c r="CT1044" i="1" s="1"/>
  <c r="CU1044" i="1"/>
  <c r="CX1044" i="1" s="1"/>
  <c r="CY1044" i="1" s="1"/>
  <c r="CR1045" i="1"/>
  <c r="CS1045" i="1"/>
  <c r="CT1045" i="1" s="1"/>
  <c r="CU1045" i="1"/>
  <c r="CX1045" i="1" s="1"/>
  <c r="CY1045" i="1" s="1"/>
  <c r="CR1046" i="1"/>
  <c r="CS1046" i="1"/>
  <c r="CT1046" i="1" s="1"/>
  <c r="CU1046" i="1"/>
  <c r="CX1046" i="1" s="1"/>
  <c r="CY1046" i="1" s="1"/>
  <c r="CR1047" i="1"/>
  <c r="CS1047" i="1"/>
  <c r="CT1047" i="1" s="1"/>
  <c r="CU1047" i="1"/>
  <c r="CX1047" i="1" s="1"/>
  <c r="CY1047" i="1" s="1"/>
  <c r="CR1048" i="1"/>
  <c r="CS1048" i="1"/>
  <c r="CT1048" i="1" s="1"/>
  <c r="CU1048" i="1"/>
  <c r="CX1048" i="1" s="1"/>
  <c r="CY1048" i="1" s="1"/>
  <c r="CR1049" i="1"/>
  <c r="CS1049" i="1"/>
  <c r="CT1049" i="1" s="1"/>
  <c r="CU1049" i="1"/>
  <c r="CX1049" i="1" s="1"/>
  <c r="CY1049" i="1" s="1"/>
  <c r="CR1050" i="1"/>
  <c r="CS1050" i="1"/>
  <c r="CT1050" i="1" s="1"/>
  <c r="CU1050" i="1"/>
  <c r="CX1050" i="1" s="1"/>
  <c r="CY1050" i="1" s="1"/>
  <c r="CR1051" i="1"/>
  <c r="CS1051" i="1"/>
  <c r="CT1051" i="1" s="1"/>
  <c r="CU1051" i="1"/>
  <c r="CX1051" i="1" s="1"/>
  <c r="CY1051" i="1" s="1"/>
  <c r="CR1052" i="1"/>
  <c r="CS1052" i="1"/>
  <c r="CT1052" i="1" s="1"/>
  <c r="CU1052" i="1"/>
  <c r="CX1052" i="1" s="1"/>
  <c r="CY1052" i="1" s="1"/>
  <c r="CR1053" i="1"/>
  <c r="CS1053" i="1"/>
  <c r="CT1053" i="1" s="1"/>
  <c r="CU1053" i="1"/>
  <c r="CX1053" i="1" s="1"/>
  <c r="CY1053" i="1" s="1"/>
  <c r="CR1054" i="1"/>
  <c r="CS1054" i="1"/>
  <c r="CT1054" i="1" s="1"/>
  <c r="CU1054" i="1"/>
  <c r="CX1054" i="1" s="1"/>
  <c r="CY1054" i="1" s="1"/>
  <c r="CR1055" i="1"/>
  <c r="CS1055" i="1"/>
  <c r="CT1055" i="1" s="1"/>
  <c r="CU1055" i="1"/>
  <c r="CX1055" i="1" s="1"/>
  <c r="CY1055" i="1" s="1"/>
  <c r="CR1056" i="1"/>
  <c r="CS1056" i="1"/>
  <c r="CT1056" i="1" s="1"/>
  <c r="CU1056" i="1"/>
  <c r="CX1056" i="1" s="1"/>
  <c r="CY1056" i="1" s="1"/>
  <c r="CR1057" i="1"/>
  <c r="CS1057" i="1"/>
  <c r="CT1057" i="1" s="1"/>
  <c r="CU1057" i="1"/>
  <c r="CX1057" i="1" s="1"/>
  <c r="CY1057" i="1" s="1"/>
  <c r="CR1058" i="1"/>
  <c r="CS1058" i="1"/>
  <c r="CT1058" i="1" s="1"/>
  <c r="CU1058" i="1"/>
  <c r="CX1058" i="1" s="1"/>
  <c r="CY1058" i="1" s="1"/>
  <c r="CR1059" i="1"/>
  <c r="CS1059" i="1"/>
  <c r="CT1059" i="1" s="1"/>
  <c r="CU1059" i="1"/>
  <c r="CX1059" i="1" s="1"/>
  <c r="CY1059" i="1" s="1"/>
  <c r="CR1060" i="1"/>
  <c r="CS1060" i="1"/>
  <c r="CT1060" i="1" s="1"/>
  <c r="CU1060" i="1"/>
  <c r="CX1060" i="1" s="1"/>
  <c r="CY1060" i="1" s="1"/>
  <c r="CR1061" i="1"/>
  <c r="CS1061" i="1"/>
  <c r="CT1061" i="1" s="1"/>
  <c r="CU1061" i="1"/>
  <c r="CX1061" i="1" s="1"/>
  <c r="CY1061" i="1" s="1"/>
  <c r="CR1062" i="1"/>
  <c r="CS1062" i="1"/>
  <c r="CT1062" i="1" s="1"/>
  <c r="CU1062" i="1"/>
  <c r="CX1062" i="1" s="1"/>
  <c r="CY1062" i="1" s="1"/>
  <c r="CR1063" i="1"/>
  <c r="CS1063" i="1"/>
  <c r="CT1063" i="1" s="1"/>
  <c r="CU1063" i="1"/>
  <c r="CX1063" i="1" s="1"/>
  <c r="CY1063" i="1" s="1"/>
  <c r="CR1064" i="1"/>
  <c r="CS1064" i="1"/>
  <c r="CT1064" i="1" s="1"/>
  <c r="CU1064" i="1"/>
  <c r="CX1064" i="1" s="1"/>
  <c r="CY1064" i="1" s="1"/>
  <c r="CR1065" i="1"/>
  <c r="CS1065" i="1"/>
  <c r="CT1065" i="1" s="1"/>
  <c r="CU1065" i="1"/>
  <c r="CX1065" i="1" s="1"/>
  <c r="CY1065" i="1" s="1"/>
  <c r="CR1066" i="1"/>
  <c r="CS1066" i="1"/>
  <c r="CT1066" i="1" s="1"/>
  <c r="CU1066" i="1"/>
  <c r="CX1066" i="1" s="1"/>
  <c r="CY1066" i="1" s="1"/>
  <c r="CR1067" i="1"/>
  <c r="CS1067" i="1"/>
  <c r="CT1067" i="1" s="1"/>
  <c r="CU1067" i="1"/>
  <c r="CX1067" i="1" s="1"/>
  <c r="CY1067" i="1" s="1"/>
  <c r="CR1068" i="1"/>
  <c r="CS1068" i="1"/>
  <c r="CT1068" i="1" s="1"/>
  <c r="CU1068" i="1"/>
  <c r="CX1068" i="1" s="1"/>
  <c r="CY1068" i="1" s="1"/>
  <c r="CR1069" i="1"/>
  <c r="CS1069" i="1"/>
  <c r="CT1069" i="1" s="1"/>
  <c r="CU1069" i="1"/>
  <c r="CX1069" i="1" s="1"/>
  <c r="CY1069" i="1" s="1"/>
  <c r="CR1070" i="1"/>
  <c r="CS1070" i="1"/>
  <c r="CT1070" i="1" s="1"/>
  <c r="CU1070" i="1"/>
  <c r="CX1070" i="1" s="1"/>
  <c r="CY1070" i="1" s="1"/>
  <c r="CR1071" i="1"/>
  <c r="CS1071" i="1"/>
  <c r="CT1071" i="1" s="1"/>
  <c r="CU1071" i="1"/>
  <c r="CX1071" i="1" s="1"/>
  <c r="CY1071" i="1" s="1"/>
  <c r="CR1072" i="1"/>
  <c r="CS1072" i="1"/>
  <c r="CT1072" i="1" s="1"/>
  <c r="CU1072" i="1"/>
  <c r="CX1072" i="1" s="1"/>
  <c r="CY1072" i="1" s="1"/>
  <c r="CR1073" i="1"/>
  <c r="CS1073" i="1"/>
  <c r="CT1073" i="1" s="1"/>
  <c r="CU1073" i="1"/>
  <c r="CX1073" i="1" s="1"/>
  <c r="CY1073" i="1" s="1"/>
  <c r="CR1074" i="1"/>
  <c r="CS1074" i="1"/>
  <c r="CT1074" i="1" s="1"/>
  <c r="CU1074" i="1"/>
  <c r="CX1074" i="1" s="1"/>
  <c r="CY1074" i="1" s="1"/>
  <c r="CR1075" i="1"/>
  <c r="CS1075" i="1"/>
  <c r="CT1075" i="1" s="1"/>
  <c r="CU1075" i="1"/>
  <c r="CX1075" i="1" s="1"/>
  <c r="CY1075" i="1" s="1"/>
  <c r="CR1076" i="1"/>
  <c r="CS1076" i="1"/>
  <c r="CT1076" i="1" s="1"/>
  <c r="CU1076" i="1"/>
  <c r="CX1076" i="1" s="1"/>
  <c r="CY1076" i="1" s="1"/>
  <c r="CR1077" i="1"/>
  <c r="CS1077" i="1"/>
  <c r="CT1077" i="1" s="1"/>
  <c r="CU1077" i="1"/>
  <c r="CX1077" i="1" s="1"/>
  <c r="CY1077" i="1" s="1"/>
  <c r="CR1078" i="1"/>
  <c r="CS1078" i="1"/>
  <c r="CT1078" i="1" s="1"/>
  <c r="CU1078" i="1"/>
  <c r="CX1078" i="1" s="1"/>
  <c r="CY1078" i="1" s="1"/>
  <c r="CR1079" i="1"/>
  <c r="CS1079" i="1"/>
  <c r="CT1079" i="1" s="1"/>
  <c r="CU1079" i="1"/>
  <c r="CX1079" i="1" s="1"/>
  <c r="CY1079" i="1" s="1"/>
  <c r="CR1080" i="1"/>
  <c r="CS1080" i="1"/>
  <c r="CT1080" i="1" s="1"/>
  <c r="CU1080" i="1"/>
  <c r="CX1080" i="1" s="1"/>
  <c r="CY1080" i="1" s="1"/>
  <c r="CR1081" i="1"/>
  <c r="CS1081" i="1"/>
  <c r="CT1081" i="1" s="1"/>
  <c r="CU1081" i="1"/>
  <c r="CX1081" i="1" s="1"/>
  <c r="CY1081" i="1" s="1"/>
  <c r="CR1082" i="1"/>
  <c r="CS1082" i="1"/>
  <c r="CT1082" i="1" s="1"/>
  <c r="CU1082" i="1"/>
  <c r="CX1082" i="1" s="1"/>
  <c r="CY1082" i="1" s="1"/>
  <c r="CR1083" i="1"/>
  <c r="CS1083" i="1"/>
  <c r="CT1083" i="1" s="1"/>
  <c r="CU1083" i="1"/>
  <c r="CX1083" i="1" s="1"/>
  <c r="CY1083" i="1" s="1"/>
  <c r="CR1084" i="1"/>
  <c r="CS1084" i="1"/>
  <c r="CT1084" i="1" s="1"/>
  <c r="CU1084" i="1"/>
  <c r="CX1084" i="1" s="1"/>
  <c r="CY1084" i="1" s="1"/>
  <c r="CR1085" i="1"/>
  <c r="CS1085" i="1"/>
  <c r="CT1085" i="1" s="1"/>
  <c r="CU1085" i="1"/>
  <c r="CX1085" i="1" s="1"/>
  <c r="CY1085" i="1" s="1"/>
  <c r="CR1086" i="1"/>
  <c r="CS1086" i="1"/>
  <c r="CT1086" i="1" s="1"/>
  <c r="CU1086" i="1"/>
  <c r="CX1086" i="1" s="1"/>
  <c r="CY1086" i="1" s="1"/>
  <c r="CR1087" i="1"/>
  <c r="CS1087" i="1"/>
  <c r="CT1087" i="1" s="1"/>
  <c r="CU1087" i="1"/>
  <c r="CX1087" i="1" s="1"/>
  <c r="CY1087" i="1" s="1"/>
  <c r="CR1088" i="1"/>
  <c r="CS1088" i="1"/>
  <c r="CT1088" i="1" s="1"/>
  <c r="CU1088" i="1"/>
  <c r="CX1088" i="1" s="1"/>
  <c r="CY1088" i="1" s="1"/>
  <c r="CR1089" i="1"/>
  <c r="CS1089" i="1"/>
  <c r="CT1089" i="1" s="1"/>
  <c r="CU1089" i="1"/>
  <c r="CX1089" i="1" s="1"/>
  <c r="CY1089" i="1" s="1"/>
  <c r="CR1090" i="1"/>
  <c r="CS1090" i="1"/>
  <c r="CT1090" i="1" s="1"/>
  <c r="CU1090" i="1"/>
  <c r="CX1090" i="1" s="1"/>
  <c r="CY1090" i="1" s="1"/>
  <c r="CR1091" i="1"/>
  <c r="CS1091" i="1"/>
  <c r="CT1091" i="1" s="1"/>
  <c r="CU1091" i="1"/>
  <c r="CX1091" i="1" s="1"/>
  <c r="CY1091" i="1" s="1"/>
  <c r="CR1092" i="1"/>
  <c r="CS1092" i="1"/>
  <c r="CT1092" i="1" s="1"/>
  <c r="CU1092" i="1"/>
  <c r="CX1092" i="1" s="1"/>
  <c r="CY1092" i="1" s="1"/>
  <c r="CR1093" i="1"/>
  <c r="CS1093" i="1"/>
  <c r="CT1093" i="1" s="1"/>
  <c r="CU1093" i="1"/>
  <c r="CX1093" i="1" s="1"/>
  <c r="CY1093" i="1" s="1"/>
  <c r="CR1094" i="1"/>
  <c r="CS1094" i="1"/>
  <c r="CT1094" i="1" s="1"/>
  <c r="CU1094" i="1"/>
  <c r="CX1094" i="1" s="1"/>
  <c r="CY1094" i="1" s="1"/>
  <c r="CR1095" i="1"/>
  <c r="CS1095" i="1"/>
  <c r="CT1095" i="1" s="1"/>
  <c r="CU1095" i="1"/>
  <c r="CX1095" i="1" s="1"/>
  <c r="CY1095" i="1" s="1"/>
  <c r="CR1096" i="1"/>
  <c r="CS1096" i="1"/>
  <c r="CT1096" i="1" s="1"/>
  <c r="CU1096" i="1"/>
  <c r="CX1096" i="1" s="1"/>
  <c r="CY1096" i="1" s="1"/>
  <c r="CR1097" i="1"/>
  <c r="CS1097" i="1"/>
  <c r="CT1097" i="1" s="1"/>
  <c r="CU1097" i="1"/>
  <c r="CX1097" i="1" s="1"/>
  <c r="CY1097" i="1" s="1"/>
  <c r="CR1098" i="1"/>
  <c r="CS1098" i="1"/>
  <c r="CT1098" i="1" s="1"/>
  <c r="CU1098" i="1"/>
  <c r="CX1098" i="1" s="1"/>
  <c r="CY1098" i="1" s="1"/>
  <c r="CR1099" i="1"/>
  <c r="CS1099" i="1"/>
  <c r="CT1099" i="1" s="1"/>
  <c r="CU1099" i="1"/>
  <c r="CX1099" i="1" s="1"/>
  <c r="CY1099" i="1" s="1"/>
  <c r="CR1100" i="1"/>
  <c r="CS1100" i="1"/>
  <c r="CT1100" i="1" s="1"/>
  <c r="CU1100" i="1"/>
  <c r="CX1100" i="1" s="1"/>
  <c r="CY1100" i="1" s="1"/>
  <c r="CR1101" i="1"/>
  <c r="CS1101" i="1"/>
  <c r="CT1101" i="1" s="1"/>
  <c r="CU1101" i="1"/>
  <c r="CX1101" i="1" s="1"/>
  <c r="CY1101" i="1" s="1"/>
  <c r="CR1102" i="1"/>
  <c r="CS1102" i="1"/>
  <c r="CT1102" i="1" s="1"/>
  <c r="CU1102" i="1"/>
  <c r="CX1102" i="1" s="1"/>
  <c r="CY1102" i="1" s="1"/>
  <c r="CR1103" i="1"/>
  <c r="CS1103" i="1"/>
  <c r="CT1103" i="1" s="1"/>
  <c r="CU1103" i="1"/>
  <c r="CX1103" i="1" s="1"/>
  <c r="CY1103" i="1" s="1"/>
  <c r="CR1104" i="1"/>
  <c r="CS1104" i="1"/>
  <c r="CT1104" i="1" s="1"/>
  <c r="CU1104" i="1"/>
  <c r="CX1104" i="1" s="1"/>
  <c r="CY1104" i="1" s="1"/>
  <c r="CR1105" i="1"/>
  <c r="CS1105" i="1"/>
  <c r="CT1105" i="1" s="1"/>
  <c r="CU1105" i="1"/>
  <c r="CX1105" i="1" s="1"/>
  <c r="CY1105" i="1" s="1"/>
  <c r="CR1106" i="1"/>
  <c r="CS1106" i="1"/>
  <c r="CT1106" i="1" s="1"/>
  <c r="CU1106" i="1"/>
  <c r="CX1106" i="1" s="1"/>
  <c r="CY1106" i="1" s="1"/>
  <c r="CR1107" i="1"/>
  <c r="CS1107" i="1"/>
  <c r="CT1107" i="1" s="1"/>
  <c r="CU1107" i="1"/>
  <c r="CX1107" i="1" s="1"/>
  <c r="CY1107" i="1" s="1"/>
  <c r="CR1108" i="1"/>
  <c r="CS1108" i="1"/>
  <c r="CT1108" i="1" s="1"/>
  <c r="CU1108" i="1"/>
  <c r="CX1108" i="1" s="1"/>
  <c r="CY1108" i="1" s="1"/>
  <c r="CR1109" i="1"/>
  <c r="CS1109" i="1"/>
  <c r="CT1109" i="1" s="1"/>
  <c r="CU1109" i="1"/>
  <c r="CX1109" i="1" s="1"/>
  <c r="CY1109" i="1" s="1"/>
  <c r="CR1110" i="1"/>
  <c r="CS1110" i="1"/>
  <c r="CT1110" i="1" s="1"/>
  <c r="CU1110" i="1"/>
  <c r="CX1110" i="1" s="1"/>
  <c r="CY1110" i="1" s="1"/>
  <c r="CR1111" i="1"/>
  <c r="CS1111" i="1"/>
  <c r="CT1111" i="1" s="1"/>
  <c r="CU1111" i="1"/>
  <c r="CX1111" i="1" s="1"/>
  <c r="CY1111" i="1" s="1"/>
  <c r="CR1112" i="1"/>
  <c r="CS1112" i="1"/>
  <c r="CT1112" i="1" s="1"/>
  <c r="CU1112" i="1"/>
  <c r="CX1112" i="1" s="1"/>
  <c r="CY1112" i="1" s="1"/>
  <c r="CR1113" i="1"/>
  <c r="CS1113" i="1"/>
  <c r="CT1113" i="1" s="1"/>
  <c r="CU1113" i="1"/>
  <c r="CX1113" i="1" s="1"/>
  <c r="CY1113" i="1" s="1"/>
  <c r="CR1114" i="1"/>
  <c r="CS1114" i="1"/>
  <c r="CT1114" i="1" s="1"/>
  <c r="CU1114" i="1"/>
  <c r="CX1114" i="1" s="1"/>
  <c r="CY1114" i="1" s="1"/>
  <c r="CR1115" i="1"/>
  <c r="CS1115" i="1"/>
  <c r="CT1115" i="1" s="1"/>
  <c r="CU1115" i="1"/>
  <c r="CX1115" i="1" s="1"/>
  <c r="CY1115" i="1" s="1"/>
  <c r="CR1116" i="1"/>
  <c r="CS1116" i="1"/>
  <c r="CT1116" i="1" s="1"/>
  <c r="CU1116" i="1"/>
  <c r="CX1116" i="1" s="1"/>
  <c r="CY1116" i="1" s="1"/>
  <c r="CR1117" i="1"/>
  <c r="CS1117" i="1"/>
  <c r="CT1117" i="1" s="1"/>
  <c r="CU1117" i="1"/>
  <c r="CX1117" i="1" s="1"/>
  <c r="CY1117" i="1" s="1"/>
  <c r="CR1118" i="1"/>
  <c r="CS1118" i="1"/>
  <c r="CT1118" i="1" s="1"/>
  <c r="CU1118" i="1"/>
  <c r="CX1118" i="1" s="1"/>
  <c r="CY1118" i="1" s="1"/>
  <c r="CR1119" i="1"/>
  <c r="CS1119" i="1"/>
  <c r="CT1119" i="1" s="1"/>
  <c r="CU1119" i="1"/>
  <c r="CX1119" i="1" s="1"/>
  <c r="CY1119" i="1" s="1"/>
  <c r="CR1120" i="1"/>
  <c r="CS1120" i="1"/>
  <c r="CT1120" i="1" s="1"/>
  <c r="CU1120" i="1"/>
  <c r="CX1120" i="1" s="1"/>
  <c r="CY1120" i="1" s="1"/>
  <c r="CR1121" i="1"/>
  <c r="CS1121" i="1"/>
  <c r="CT1121" i="1" s="1"/>
  <c r="CU1121" i="1"/>
  <c r="CX1121" i="1" s="1"/>
  <c r="CY1121" i="1" s="1"/>
  <c r="CR797" i="1"/>
  <c r="CS797" i="1"/>
  <c r="CT797" i="1" s="1"/>
  <c r="CU797" i="1"/>
  <c r="CX797" i="1" s="1"/>
  <c r="CY797" i="1" s="1"/>
  <c r="CR786" i="1"/>
  <c r="CS786" i="1"/>
  <c r="CT786" i="1" s="1"/>
  <c r="CU786" i="1"/>
  <c r="CX786" i="1" s="1"/>
  <c r="CY786" i="1" s="1"/>
  <c r="CR787" i="1"/>
  <c r="CS787" i="1"/>
  <c r="CT787" i="1" s="1"/>
  <c r="CU787" i="1"/>
  <c r="CX787" i="1" s="1"/>
  <c r="CY787" i="1" s="1"/>
  <c r="CR1122" i="1"/>
  <c r="CS1122" i="1"/>
  <c r="CT1122" i="1" s="1"/>
  <c r="CU1122" i="1"/>
  <c r="CX1122" i="1" s="1"/>
  <c r="CY1122" i="1" s="1"/>
  <c r="CR1123" i="1"/>
  <c r="CS1123" i="1"/>
  <c r="CT1123" i="1" s="1"/>
  <c r="CU1123" i="1"/>
  <c r="CX1123" i="1" s="1"/>
  <c r="CY1123" i="1" s="1"/>
  <c r="CR1124" i="1"/>
  <c r="CS1124" i="1"/>
  <c r="CT1124" i="1" s="1"/>
  <c r="CU1124" i="1"/>
  <c r="CX1124" i="1" s="1"/>
  <c r="CY1124" i="1" s="1"/>
  <c r="CR1125" i="1"/>
  <c r="CS1125" i="1"/>
  <c r="CT1125" i="1" s="1"/>
  <c r="CU1125" i="1"/>
  <c r="CX1125" i="1" s="1"/>
  <c r="CY1125" i="1" s="1"/>
  <c r="CR1126" i="1"/>
  <c r="CS1126" i="1"/>
  <c r="CT1126" i="1" s="1"/>
  <c r="CU1126" i="1"/>
  <c r="CX1126" i="1" s="1"/>
  <c r="CY1126" i="1" s="1"/>
  <c r="CR1127" i="1"/>
  <c r="CS1127" i="1"/>
  <c r="CT1127" i="1" s="1"/>
  <c r="CU1127" i="1"/>
  <c r="CX1127" i="1" s="1"/>
  <c r="CY1127" i="1" s="1"/>
  <c r="CR1128" i="1"/>
  <c r="CS1128" i="1"/>
  <c r="CT1128" i="1" s="1"/>
  <c r="CU1128" i="1"/>
  <c r="CX1128" i="1" s="1"/>
  <c r="CY1128" i="1" s="1"/>
  <c r="CR1129" i="1"/>
  <c r="CS1129" i="1"/>
  <c r="CT1129" i="1" s="1"/>
  <c r="CU1129" i="1"/>
  <c r="CX1129" i="1" s="1"/>
  <c r="CY1129" i="1" s="1"/>
  <c r="CR1130" i="1"/>
  <c r="CS1130" i="1"/>
  <c r="CT1130" i="1" s="1"/>
  <c r="CU1130" i="1"/>
  <c r="CX1130" i="1" s="1"/>
  <c r="CY1130" i="1" s="1"/>
  <c r="CR1131" i="1"/>
  <c r="CS1131" i="1"/>
  <c r="CT1131" i="1" s="1"/>
  <c r="CU1131" i="1"/>
  <c r="CX1131" i="1" s="1"/>
  <c r="CY1131" i="1" s="1"/>
  <c r="CR1132" i="1"/>
  <c r="CS1132" i="1"/>
  <c r="CT1132" i="1" s="1"/>
  <c r="CU1132" i="1"/>
  <c r="CX1132" i="1" s="1"/>
  <c r="CY1132" i="1" s="1"/>
  <c r="CR1133" i="1"/>
  <c r="CS1133" i="1"/>
  <c r="CT1133" i="1" s="1"/>
  <c r="CU1133" i="1"/>
  <c r="CX1133" i="1" s="1"/>
  <c r="CY1133" i="1" s="1"/>
  <c r="CR1134" i="1"/>
  <c r="CS1134" i="1"/>
  <c r="CT1134" i="1" s="1"/>
  <c r="CU1134" i="1"/>
  <c r="CX1134" i="1" s="1"/>
  <c r="CY1134" i="1" s="1"/>
  <c r="CR1135" i="1"/>
  <c r="CS1135" i="1"/>
  <c r="CT1135" i="1" s="1"/>
  <c r="CU1135" i="1"/>
  <c r="CX1135" i="1" s="1"/>
  <c r="CY1135" i="1" s="1"/>
  <c r="CM4" i="1"/>
  <c r="CN4" i="1" s="1"/>
  <c r="CM5" i="1"/>
  <c r="CN5" i="1" s="1"/>
  <c r="CM6" i="1"/>
  <c r="CN6" i="1" s="1"/>
  <c r="CM7" i="1"/>
  <c r="CN7" i="1" s="1"/>
  <c r="CM8" i="1"/>
  <c r="CN8" i="1" s="1"/>
  <c r="CM9" i="1"/>
  <c r="CN9" i="1" s="1"/>
  <c r="CM10" i="1"/>
  <c r="CN10" i="1" s="1"/>
  <c r="CM11" i="1"/>
  <c r="CN11" i="1" s="1"/>
  <c r="CM12" i="1"/>
  <c r="CN12" i="1" s="1"/>
  <c r="CM13" i="1"/>
  <c r="CN13" i="1" s="1"/>
  <c r="CM14" i="1"/>
  <c r="CN14" i="1" s="1"/>
  <c r="CM15" i="1"/>
  <c r="CN15" i="1" s="1"/>
  <c r="CM16" i="1"/>
  <c r="CN16" i="1" s="1"/>
  <c r="CM17" i="1"/>
  <c r="CN17" i="1" s="1"/>
  <c r="CM18" i="1"/>
  <c r="CN18" i="1" s="1"/>
  <c r="CM19" i="1"/>
  <c r="CN19" i="1" s="1"/>
  <c r="CM21" i="1"/>
  <c r="CN21" i="1" s="1"/>
  <c r="CM22" i="1"/>
  <c r="CN22" i="1" s="1"/>
  <c r="CM257" i="1"/>
  <c r="CN257" i="1" s="1"/>
  <c r="CM23" i="1"/>
  <c r="CN23" i="1" s="1"/>
  <c r="CM24" i="1"/>
  <c r="CN24" i="1" s="1"/>
  <c r="CM25" i="1"/>
  <c r="CN25" i="1" s="1"/>
  <c r="CM26" i="1"/>
  <c r="CN26" i="1" s="1"/>
  <c r="CM27" i="1"/>
  <c r="CN27" i="1" s="1"/>
  <c r="CM28" i="1"/>
  <c r="CN28" i="1" s="1"/>
  <c r="CM29" i="1"/>
  <c r="CN29" i="1" s="1"/>
  <c r="CM30" i="1"/>
  <c r="CN30" i="1" s="1"/>
  <c r="CM161" i="1"/>
  <c r="CN161" i="1" s="1"/>
  <c r="CM33" i="1"/>
  <c r="CN33" i="1" s="1"/>
  <c r="CM34" i="1"/>
  <c r="CN34" i="1" s="1"/>
  <c r="CM35" i="1"/>
  <c r="CN35" i="1" s="1"/>
  <c r="CM36" i="1"/>
  <c r="CN36" i="1" s="1"/>
  <c r="CM37" i="1"/>
  <c r="CN37" i="1" s="1"/>
  <c r="CM363" i="1"/>
  <c r="CN363" i="1" s="1"/>
  <c r="CM38" i="1"/>
  <c r="CN38" i="1" s="1"/>
  <c r="CM39" i="1"/>
  <c r="CN39" i="1" s="1"/>
  <c r="CM40" i="1"/>
  <c r="CN40" i="1" s="1"/>
  <c r="CM219" i="1"/>
  <c r="CN219" i="1" s="1"/>
  <c r="CM319" i="1"/>
  <c r="CN319" i="1" s="1"/>
  <c r="CM41" i="1"/>
  <c r="CN41" i="1" s="1"/>
  <c r="CM42" i="1"/>
  <c r="CN42" i="1" s="1"/>
  <c r="CM43" i="1"/>
  <c r="CN43" i="1" s="1"/>
  <c r="CM44" i="1"/>
  <c r="CN44" i="1" s="1"/>
  <c r="CM45" i="1"/>
  <c r="CN45" i="1" s="1"/>
  <c r="CM46" i="1"/>
  <c r="CN46" i="1" s="1"/>
  <c r="CM47" i="1"/>
  <c r="CN47" i="1" s="1"/>
  <c r="CM48" i="1"/>
  <c r="CN48" i="1" s="1"/>
  <c r="CM49" i="1"/>
  <c r="CN49" i="1" s="1"/>
  <c r="CM50" i="1"/>
  <c r="CN50" i="1" s="1"/>
  <c r="CM51" i="1"/>
  <c r="CN51" i="1" s="1"/>
  <c r="CM52" i="1"/>
  <c r="CN52" i="1" s="1"/>
  <c r="CM53" i="1"/>
  <c r="CN53" i="1" s="1"/>
  <c r="CM54" i="1"/>
  <c r="CN54" i="1" s="1"/>
  <c r="CM55" i="1"/>
  <c r="CN55" i="1" s="1"/>
  <c r="CM56" i="1"/>
  <c r="CN56" i="1" s="1"/>
  <c r="CM57" i="1"/>
  <c r="CN57" i="1" s="1"/>
  <c r="CM58" i="1"/>
  <c r="CN58" i="1" s="1"/>
  <c r="CM59" i="1"/>
  <c r="CN59" i="1" s="1"/>
  <c r="CM60" i="1"/>
  <c r="CN60" i="1" s="1"/>
  <c r="CM61" i="1"/>
  <c r="CN61" i="1" s="1"/>
  <c r="CM62" i="1"/>
  <c r="CN62" i="1" s="1"/>
  <c r="CM63" i="1"/>
  <c r="CN63" i="1" s="1"/>
  <c r="CM64" i="1"/>
  <c r="CN64" i="1" s="1"/>
  <c r="CM65" i="1"/>
  <c r="CN65" i="1" s="1"/>
  <c r="CM66" i="1"/>
  <c r="CN66" i="1" s="1"/>
  <c r="CM67" i="1"/>
  <c r="CN67" i="1" s="1"/>
  <c r="CM70" i="1"/>
  <c r="CN70" i="1" s="1"/>
  <c r="CM71" i="1"/>
  <c r="CN71" i="1" s="1"/>
  <c r="CM72" i="1"/>
  <c r="CN72" i="1" s="1"/>
  <c r="CM73" i="1"/>
  <c r="CN73" i="1" s="1"/>
  <c r="CM74" i="1"/>
  <c r="CN74" i="1" s="1"/>
  <c r="CM75" i="1"/>
  <c r="CN75" i="1" s="1"/>
  <c r="CM76" i="1"/>
  <c r="CN76" i="1" s="1"/>
  <c r="CM77" i="1"/>
  <c r="CN77" i="1" s="1"/>
  <c r="CM78" i="1"/>
  <c r="CN78" i="1" s="1"/>
  <c r="CM79" i="1"/>
  <c r="CN79" i="1" s="1"/>
  <c r="CM80" i="1"/>
  <c r="CN80" i="1" s="1"/>
  <c r="CM81" i="1"/>
  <c r="CN81" i="1" s="1"/>
  <c r="CM82" i="1"/>
  <c r="CN82" i="1" s="1"/>
  <c r="CM83" i="1"/>
  <c r="CN83" i="1" s="1"/>
  <c r="CM84" i="1"/>
  <c r="CN84" i="1" s="1"/>
  <c r="CM85" i="1"/>
  <c r="CN85" i="1" s="1"/>
  <c r="CM86" i="1"/>
  <c r="CN86" i="1" s="1"/>
  <c r="CM87" i="1"/>
  <c r="CN87" i="1" s="1"/>
  <c r="CM88" i="1"/>
  <c r="CN88" i="1" s="1"/>
  <c r="CM89" i="1"/>
  <c r="CN89" i="1" s="1"/>
  <c r="CM90" i="1"/>
  <c r="CN90" i="1" s="1"/>
  <c r="CM91" i="1"/>
  <c r="CN91" i="1" s="1"/>
  <c r="CM92" i="1"/>
  <c r="CN92" i="1" s="1"/>
  <c r="CM94" i="1"/>
  <c r="CN94" i="1" s="1"/>
  <c r="CM95" i="1"/>
  <c r="CN95" i="1" s="1"/>
  <c r="CM96" i="1"/>
  <c r="CN96" i="1" s="1"/>
  <c r="CM97" i="1"/>
  <c r="CN97" i="1" s="1"/>
  <c r="CM98" i="1"/>
  <c r="CN98" i="1" s="1"/>
  <c r="CM240" i="1"/>
  <c r="CN240" i="1" s="1"/>
  <c r="CM99" i="1"/>
  <c r="CN99" i="1" s="1"/>
  <c r="CM100" i="1"/>
  <c r="CN100" i="1" s="1"/>
  <c r="CM101" i="1"/>
  <c r="CN101" i="1" s="1"/>
  <c r="CM102" i="1"/>
  <c r="CN102" i="1" s="1"/>
  <c r="CM103" i="1"/>
  <c r="CN103" i="1" s="1"/>
  <c r="CM104" i="1"/>
  <c r="CN104" i="1" s="1"/>
  <c r="CM341" i="1"/>
  <c r="CN341" i="1" s="1"/>
  <c r="CM105" i="1"/>
  <c r="CN105" i="1" s="1"/>
  <c r="CM106" i="1"/>
  <c r="CN106" i="1" s="1"/>
  <c r="CM107" i="1"/>
  <c r="CN107" i="1" s="1"/>
  <c r="CM108" i="1"/>
  <c r="CN108" i="1" s="1"/>
  <c r="CM109" i="1"/>
  <c r="CN109" i="1" s="1"/>
  <c r="CM110" i="1"/>
  <c r="CN110" i="1" s="1"/>
  <c r="CM111" i="1"/>
  <c r="CN111" i="1" s="1"/>
  <c r="CM68" i="1"/>
  <c r="CN68" i="1" s="1"/>
  <c r="CM69" i="1"/>
  <c r="CN69" i="1" s="1"/>
  <c r="CM112" i="1"/>
  <c r="CN112" i="1" s="1"/>
  <c r="CM113" i="1"/>
  <c r="CN113" i="1" s="1"/>
  <c r="CM114" i="1"/>
  <c r="CN114" i="1" s="1"/>
  <c r="CM115" i="1"/>
  <c r="CN115" i="1" s="1"/>
  <c r="CM116" i="1"/>
  <c r="CN116" i="1" s="1"/>
  <c r="CM117" i="1"/>
  <c r="CN117" i="1" s="1"/>
  <c r="CM118" i="1"/>
  <c r="CN118" i="1" s="1"/>
  <c r="CM119" i="1"/>
  <c r="CN119" i="1" s="1"/>
  <c r="CM120" i="1"/>
  <c r="CN120" i="1" s="1"/>
  <c r="CM121" i="1"/>
  <c r="CN121" i="1" s="1"/>
  <c r="CM122" i="1"/>
  <c r="CN122" i="1" s="1"/>
  <c r="CM123" i="1"/>
  <c r="CN123" i="1" s="1"/>
  <c r="CM124" i="1"/>
  <c r="CN124" i="1" s="1"/>
  <c r="CM125" i="1"/>
  <c r="CN125" i="1" s="1"/>
  <c r="CM126" i="1"/>
  <c r="CN126" i="1" s="1"/>
  <c r="CM127" i="1"/>
  <c r="CN127" i="1" s="1"/>
  <c r="CM128" i="1"/>
  <c r="CN128" i="1" s="1"/>
  <c r="CM129" i="1"/>
  <c r="CN129" i="1" s="1"/>
  <c r="CM130" i="1"/>
  <c r="CN130" i="1" s="1"/>
  <c r="CM131" i="1"/>
  <c r="CN131" i="1" s="1"/>
  <c r="CM132" i="1"/>
  <c r="CN132" i="1" s="1"/>
  <c r="CM133" i="1"/>
  <c r="CN133" i="1" s="1"/>
  <c r="CM134" i="1"/>
  <c r="CN134" i="1" s="1"/>
  <c r="CM135" i="1"/>
  <c r="CN135" i="1" s="1"/>
  <c r="CM136" i="1"/>
  <c r="CN136" i="1" s="1"/>
  <c r="CM137" i="1"/>
  <c r="CN137" i="1" s="1"/>
  <c r="CM138" i="1"/>
  <c r="CN138" i="1" s="1"/>
  <c r="CM139" i="1"/>
  <c r="CN139" i="1" s="1"/>
  <c r="CM140" i="1"/>
  <c r="CN140" i="1" s="1"/>
  <c r="CM237" i="1"/>
  <c r="CN237" i="1" s="1"/>
  <c r="CM141" i="1"/>
  <c r="CN141" i="1" s="1"/>
  <c r="CM142" i="1"/>
  <c r="CN142" i="1" s="1"/>
  <c r="CM143" i="1"/>
  <c r="CN143" i="1" s="1"/>
  <c r="CM144" i="1"/>
  <c r="CN144" i="1" s="1"/>
  <c r="CM145" i="1"/>
  <c r="CN145" i="1" s="1"/>
  <c r="CM146" i="1"/>
  <c r="CN146" i="1" s="1"/>
  <c r="CM147" i="1"/>
  <c r="CN147" i="1" s="1"/>
  <c r="CM148" i="1"/>
  <c r="CN148" i="1" s="1"/>
  <c r="CM149" i="1"/>
  <c r="CN149" i="1" s="1"/>
  <c r="CM150" i="1"/>
  <c r="CN150" i="1" s="1"/>
  <c r="CM151" i="1"/>
  <c r="CN151" i="1" s="1"/>
  <c r="CM152" i="1"/>
  <c r="CN152" i="1" s="1"/>
  <c r="CM153" i="1"/>
  <c r="CN153" i="1" s="1"/>
  <c r="CM154" i="1"/>
  <c r="CN154" i="1" s="1"/>
  <c r="CM155" i="1"/>
  <c r="CN155" i="1" s="1"/>
  <c r="CM156" i="1"/>
  <c r="CN156" i="1" s="1"/>
  <c r="CM157" i="1"/>
  <c r="CN157" i="1" s="1"/>
  <c r="CM158" i="1"/>
  <c r="CN158" i="1" s="1"/>
  <c r="CM159" i="1"/>
  <c r="CN159" i="1" s="1"/>
  <c r="CM160" i="1"/>
  <c r="CN160" i="1" s="1"/>
  <c r="CM162" i="1"/>
  <c r="CN162" i="1" s="1"/>
  <c r="CM163" i="1"/>
  <c r="CN163" i="1" s="1"/>
  <c r="CM164" i="1"/>
  <c r="CN164" i="1" s="1"/>
  <c r="CM165" i="1"/>
  <c r="CN165" i="1" s="1"/>
  <c r="CM166" i="1"/>
  <c r="CN166" i="1" s="1"/>
  <c r="CM167" i="1"/>
  <c r="CN167" i="1" s="1"/>
  <c r="CM168" i="1"/>
  <c r="CN168" i="1" s="1"/>
  <c r="CM169" i="1"/>
  <c r="CN169" i="1" s="1"/>
  <c r="CM170" i="1"/>
  <c r="CN170" i="1" s="1"/>
  <c r="CM171" i="1"/>
  <c r="CN171" i="1" s="1"/>
  <c r="CM172" i="1"/>
  <c r="CN172" i="1" s="1"/>
  <c r="CM173" i="1"/>
  <c r="CN173" i="1" s="1"/>
  <c r="CM174" i="1"/>
  <c r="CN174" i="1" s="1"/>
  <c r="CM175" i="1"/>
  <c r="CN175" i="1" s="1"/>
  <c r="CM176" i="1"/>
  <c r="CN176" i="1" s="1"/>
  <c r="CM675" i="1"/>
  <c r="CN675" i="1" s="1"/>
  <c r="CM178" i="1"/>
  <c r="CN178" i="1" s="1"/>
  <c r="CM179" i="1"/>
  <c r="CN179" i="1" s="1"/>
  <c r="CM180" i="1"/>
  <c r="CN180" i="1" s="1"/>
  <c r="CM181" i="1"/>
  <c r="CN181" i="1" s="1"/>
  <c r="CM182" i="1"/>
  <c r="CN182" i="1" s="1"/>
  <c r="CM183" i="1"/>
  <c r="CN183" i="1" s="1"/>
  <c r="CM184" i="1"/>
  <c r="CN184" i="1" s="1"/>
  <c r="CM185" i="1"/>
  <c r="CN185" i="1" s="1"/>
  <c r="CM187" i="1"/>
  <c r="CN187" i="1" s="1"/>
  <c r="CM188" i="1"/>
  <c r="CN188" i="1" s="1"/>
  <c r="CM189" i="1"/>
  <c r="CN189" i="1" s="1"/>
  <c r="CM190" i="1"/>
  <c r="CN190" i="1" s="1"/>
  <c r="CM191" i="1"/>
  <c r="CN191" i="1" s="1"/>
  <c r="CM192" i="1"/>
  <c r="CN192" i="1" s="1"/>
  <c r="CM193" i="1"/>
  <c r="CN193" i="1" s="1"/>
  <c r="CM194" i="1"/>
  <c r="CN194" i="1" s="1"/>
  <c r="CM195" i="1"/>
  <c r="CN195" i="1" s="1"/>
  <c r="CM196" i="1"/>
  <c r="CN196" i="1" s="1"/>
  <c r="CM197" i="1"/>
  <c r="CN197" i="1" s="1"/>
  <c r="CM198" i="1"/>
  <c r="CN198" i="1" s="1"/>
  <c r="CM199" i="1"/>
  <c r="CN199" i="1" s="1"/>
  <c r="CM200" i="1"/>
  <c r="CN200" i="1" s="1"/>
  <c r="CM201" i="1"/>
  <c r="CN201" i="1" s="1"/>
  <c r="CM202" i="1"/>
  <c r="CN202" i="1" s="1"/>
  <c r="CM691" i="1"/>
  <c r="CN691" i="1" s="1"/>
  <c r="CM203" i="1"/>
  <c r="CN203" i="1" s="1"/>
  <c r="CM204" i="1"/>
  <c r="CN204" i="1" s="1"/>
  <c r="CM206" i="1"/>
  <c r="CN206" i="1" s="1"/>
  <c r="CM207" i="1"/>
  <c r="CN207" i="1" s="1"/>
  <c r="CM208" i="1"/>
  <c r="CN208" i="1" s="1"/>
  <c r="CM209" i="1"/>
  <c r="CN209" i="1" s="1"/>
  <c r="CM210" i="1"/>
  <c r="CN210" i="1" s="1"/>
  <c r="CM211" i="1"/>
  <c r="CN211" i="1" s="1"/>
  <c r="CM485" i="1"/>
  <c r="CN485" i="1" s="1"/>
  <c r="CM213" i="1"/>
  <c r="CN213" i="1" s="1"/>
  <c r="CM214" i="1"/>
  <c r="CN214" i="1" s="1"/>
  <c r="CM215" i="1"/>
  <c r="CN215" i="1" s="1"/>
  <c r="CM216" i="1"/>
  <c r="CN216" i="1" s="1"/>
  <c r="CM217" i="1"/>
  <c r="CN217" i="1" s="1"/>
  <c r="CM218" i="1"/>
  <c r="CN218" i="1" s="1"/>
  <c r="CM220" i="1"/>
  <c r="CN220" i="1" s="1"/>
  <c r="CM221" i="1"/>
  <c r="CN221" i="1" s="1"/>
  <c r="CM222" i="1"/>
  <c r="CN222" i="1" s="1"/>
  <c r="CM672" i="1"/>
  <c r="CN672" i="1" s="1"/>
  <c r="CM224" i="1"/>
  <c r="CN224" i="1" s="1"/>
  <c r="CM225" i="1"/>
  <c r="CN225" i="1" s="1"/>
  <c r="CM226" i="1"/>
  <c r="CN226" i="1" s="1"/>
  <c r="CM227" i="1"/>
  <c r="CN227" i="1" s="1"/>
  <c r="CM228" i="1"/>
  <c r="CN228" i="1" s="1"/>
  <c r="CM229" i="1"/>
  <c r="CN229" i="1" s="1"/>
  <c r="CM230" i="1"/>
  <c r="CN230" i="1" s="1"/>
  <c r="CM231" i="1"/>
  <c r="CN231" i="1" s="1"/>
  <c r="CM232" i="1"/>
  <c r="CN232" i="1" s="1"/>
  <c r="CM233" i="1"/>
  <c r="CN233" i="1" s="1"/>
  <c r="CM234" i="1"/>
  <c r="CN234" i="1" s="1"/>
  <c r="CM235" i="1"/>
  <c r="CN235" i="1" s="1"/>
  <c r="CM236" i="1"/>
  <c r="CN236" i="1" s="1"/>
  <c r="CM238" i="1"/>
  <c r="CN238" i="1" s="1"/>
  <c r="CM239" i="1"/>
  <c r="CN239" i="1" s="1"/>
  <c r="CM241" i="1"/>
  <c r="CN241" i="1" s="1"/>
  <c r="CM242" i="1"/>
  <c r="CN242" i="1" s="1"/>
  <c r="CM289" i="1"/>
  <c r="CN289" i="1" s="1"/>
  <c r="CM243" i="1"/>
  <c r="CN243" i="1" s="1"/>
  <c r="CM244" i="1"/>
  <c r="CN244" i="1" s="1"/>
  <c r="CM245" i="1"/>
  <c r="CN245" i="1" s="1"/>
  <c r="CM246" i="1"/>
  <c r="CN246" i="1" s="1"/>
  <c r="CM247" i="1"/>
  <c r="CN247" i="1" s="1"/>
  <c r="CM248" i="1"/>
  <c r="CN248" i="1" s="1"/>
  <c r="CM249" i="1"/>
  <c r="CN249" i="1" s="1"/>
  <c r="CM481" i="1"/>
  <c r="CN481" i="1" s="1"/>
  <c r="CM250" i="1"/>
  <c r="CN250" i="1" s="1"/>
  <c r="CM205" i="1"/>
  <c r="CN205" i="1" s="1"/>
  <c r="CM251" i="1"/>
  <c r="CN251" i="1" s="1"/>
  <c r="CM252" i="1"/>
  <c r="CN252" i="1" s="1"/>
  <c r="CM253" i="1"/>
  <c r="CN253" i="1" s="1"/>
  <c r="CM254" i="1"/>
  <c r="CN254" i="1" s="1"/>
  <c r="CM255" i="1"/>
  <c r="CN255" i="1" s="1"/>
  <c r="CM256" i="1"/>
  <c r="CN256" i="1" s="1"/>
  <c r="CM258" i="1"/>
  <c r="CN258" i="1" s="1"/>
  <c r="CM709" i="1"/>
  <c r="CN709" i="1" s="1"/>
  <c r="CM259" i="1"/>
  <c r="CN259" i="1" s="1"/>
  <c r="CM260" i="1"/>
  <c r="CN260" i="1" s="1"/>
  <c r="CM261" i="1"/>
  <c r="CN261" i="1" s="1"/>
  <c r="CM262" i="1"/>
  <c r="CN262" i="1" s="1"/>
  <c r="CM263" i="1"/>
  <c r="CN263" i="1" s="1"/>
  <c r="CM264" i="1"/>
  <c r="CN264" i="1" s="1"/>
  <c r="CM265" i="1"/>
  <c r="CN265" i="1" s="1"/>
  <c r="CM266" i="1"/>
  <c r="CN266" i="1" s="1"/>
  <c r="CM267" i="1"/>
  <c r="CN267" i="1" s="1"/>
  <c r="CM268" i="1"/>
  <c r="CN268" i="1" s="1"/>
  <c r="CM269" i="1"/>
  <c r="CN269" i="1" s="1"/>
  <c r="CM270" i="1"/>
  <c r="CN270" i="1" s="1"/>
  <c r="CM271" i="1"/>
  <c r="CN271" i="1" s="1"/>
  <c r="CM223" i="1"/>
  <c r="CN223" i="1" s="1"/>
  <c r="CM272" i="1"/>
  <c r="CN272" i="1" s="1"/>
  <c r="CM273" i="1"/>
  <c r="CN273" i="1" s="1"/>
  <c r="CM274" i="1"/>
  <c r="CN274" i="1" s="1"/>
  <c r="CM275" i="1"/>
  <c r="CN275" i="1" s="1"/>
  <c r="CM276" i="1"/>
  <c r="CN276" i="1" s="1"/>
  <c r="CM277" i="1"/>
  <c r="CN277" i="1" s="1"/>
  <c r="CM278" i="1"/>
  <c r="CN278" i="1" s="1"/>
  <c r="CM279" i="1"/>
  <c r="CN279" i="1" s="1"/>
  <c r="CM280" i="1"/>
  <c r="CN280" i="1" s="1"/>
  <c r="CM281" i="1"/>
  <c r="CN281" i="1" s="1"/>
  <c r="CM282" i="1"/>
  <c r="CN282" i="1" s="1"/>
  <c r="CM283" i="1"/>
  <c r="CN283" i="1" s="1"/>
  <c r="CM284" i="1"/>
  <c r="CN284" i="1" s="1"/>
  <c r="CM285" i="1"/>
  <c r="CN285" i="1" s="1"/>
  <c r="CM286" i="1"/>
  <c r="CN286" i="1" s="1"/>
  <c r="CM287" i="1"/>
  <c r="CN287" i="1" s="1"/>
  <c r="CM288" i="1"/>
  <c r="CN288" i="1" s="1"/>
  <c r="CM290" i="1"/>
  <c r="CN290" i="1" s="1"/>
  <c r="CM291" i="1"/>
  <c r="CN291" i="1" s="1"/>
  <c r="CM292" i="1"/>
  <c r="CN292" i="1" s="1"/>
  <c r="CM293" i="1"/>
  <c r="CN293" i="1" s="1"/>
  <c r="CM294" i="1"/>
  <c r="CN294" i="1" s="1"/>
  <c r="CM295" i="1"/>
  <c r="CN295" i="1" s="1"/>
  <c r="CM296" i="1"/>
  <c r="CN296" i="1" s="1"/>
  <c r="CM297" i="1"/>
  <c r="CN297" i="1" s="1"/>
  <c r="CM298" i="1"/>
  <c r="CN298" i="1" s="1"/>
  <c r="CM299" i="1"/>
  <c r="CN299" i="1" s="1"/>
  <c r="CM300" i="1"/>
  <c r="CN300" i="1" s="1"/>
  <c r="CM301" i="1"/>
  <c r="CN301" i="1" s="1"/>
  <c r="CM302" i="1"/>
  <c r="CN302" i="1" s="1"/>
  <c r="CM303" i="1"/>
  <c r="CN303" i="1" s="1"/>
  <c r="CM304" i="1"/>
  <c r="CN304" i="1" s="1"/>
  <c r="CM305" i="1"/>
  <c r="CN305" i="1" s="1"/>
  <c r="CM306" i="1"/>
  <c r="CN306" i="1" s="1"/>
  <c r="CM307" i="1"/>
  <c r="CN307" i="1" s="1"/>
  <c r="CM308" i="1"/>
  <c r="CN308" i="1" s="1"/>
  <c r="CM309" i="1"/>
  <c r="CN309" i="1" s="1"/>
  <c r="CM310" i="1"/>
  <c r="CN310" i="1" s="1"/>
  <c r="CM311" i="1"/>
  <c r="CN311" i="1" s="1"/>
  <c r="CM312" i="1"/>
  <c r="CN312" i="1" s="1"/>
  <c r="CM313" i="1"/>
  <c r="CN313" i="1" s="1"/>
  <c r="CM314" i="1"/>
  <c r="CN314" i="1" s="1"/>
  <c r="CM315" i="1"/>
  <c r="CN315" i="1" s="1"/>
  <c r="CM316" i="1"/>
  <c r="CN316" i="1" s="1"/>
  <c r="CM317" i="1"/>
  <c r="CN317" i="1" s="1"/>
  <c r="CM318" i="1"/>
  <c r="CN318" i="1" s="1"/>
  <c r="CM320" i="1"/>
  <c r="CN320" i="1" s="1"/>
  <c r="CM321" i="1"/>
  <c r="CN321" i="1" s="1"/>
  <c r="CM322" i="1"/>
  <c r="CN322" i="1" s="1"/>
  <c r="CM323" i="1"/>
  <c r="CN323" i="1" s="1"/>
  <c r="CM324" i="1"/>
  <c r="CN324" i="1" s="1"/>
  <c r="CM325" i="1"/>
  <c r="CN325" i="1" s="1"/>
  <c r="CM326" i="1"/>
  <c r="CN326" i="1" s="1"/>
  <c r="CM327" i="1"/>
  <c r="CN327" i="1" s="1"/>
  <c r="CM328" i="1"/>
  <c r="CN328" i="1" s="1"/>
  <c r="CM329" i="1"/>
  <c r="CN329" i="1" s="1"/>
  <c r="CM330" i="1"/>
  <c r="CN330" i="1" s="1"/>
  <c r="CM331" i="1"/>
  <c r="CN331" i="1" s="1"/>
  <c r="CM332" i="1"/>
  <c r="CN332" i="1" s="1"/>
  <c r="CM333" i="1"/>
  <c r="CN333" i="1" s="1"/>
  <c r="CM334" i="1"/>
  <c r="CN334" i="1" s="1"/>
  <c r="CM335" i="1"/>
  <c r="CN335" i="1" s="1"/>
  <c r="CM336" i="1"/>
  <c r="CN336" i="1" s="1"/>
  <c r="CM337" i="1"/>
  <c r="CN337" i="1" s="1"/>
  <c r="CM689" i="1"/>
  <c r="CN689" i="1" s="1"/>
  <c r="CM338" i="1"/>
  <c r="CN338" i="1" s="1"/>
  <c r="CM339" i="1"/>
  <c r="CN339" i="1" s="1"/>
  <c r="CM340" i="1"/>
  <c r="CN340" i="1" s="1"/>
  <c r="CM342" i="1"/>
  <c r="CN342" i="1" s="1"/>
  <c r="CM343" i="1"/>
  <c r="CN343" i="1" s="1"/>
  <c r="CM344" i="1"/>
  <c r="CN344" i="1" s="1"/>
  <c r="CM345" i="1"/>
  <c r="CN345" i="1" s="1"/>
  <c r="CM346" i="1"/>
  <c r="CN346" i="1" s="1"/>
  <c r="CM699" i="1"/>
  <c r="CN699" i="1" s="1"/>
  <c r="CM347" i="1"/>
  <c r="CN347" i="1" s="1"/>
  <c r="CM348" i="1"/>
  <c r="CN348" i="1" s="1"/>
  <c r="CM349" i="1"/>
  <c r="CN349" i="1" s="1"/>
  <c r="CM350" i="1"/>
  <c r="CN350" i="1" s="1"/>
  <c r="CM351" i="1"/>
  <c r="CN351" i="1" s="1"/>
  <c r="CM352" i="1"/>
  <c r="CN352" i="1" s="1"/>
  <c r="CM353" i="1"/>
  <c r="CN353" i="1" s="1"/>
  <c r="CM354" i="1"/>
  <c r="CN354" i="1" s="1"/>
  <c r="CM355" i="1"/>
  <c r="CN355" i="1" s="1"/>
  <c r="CM356" i="1"/>
  <c r="CN356" i="1" s="1"/>
  <c r="CM357" i="1"/>
  <c r="CN357" i="1" s="1"/>
  <c r="CM358" i="1"/>
  <c r="CN358" i="1" s="1"/>
  <c r="CM359" i="1"/>
  <c r="CN359" i="1" s="1"/>
  <c r="CM360" i="1"/>
  <c r="CN360" i="1" s="1"/>
  <c r="CM361" i="1"/>
  <c r="CN361" i="1" s="1"/>
  <c r="CM716" i="1"/>
  <c r="CN716" i="1" s="1"/>
  <c r="CM362" i="1"/>
  <c r="CN362" i="1" s="1"/>
  <c r="CM364" i="1"/>
  <c r="CN364" i="1" s="1"/>
  <c r="CM365" i="1"/>
  <c r="CN365" i="1" s="1"/>
  <c r="CM366" i="1"/>
  <c r="CN366" i="1" s="1"/>
  <c r="CM367" i="1"/>
  <c r="CN367" i="1" s="1"/>
  <c r="CM368" i="1"/>
  <c r="CN368" i="1" s="1"/>
  <c r="CM369" i="1"/>
  <c r="CN369" i="1" s="1"/>
  <c r="CM370" i="1"/>
  <c r="CN370" i="1" s="1"/>
  <c r="CM371" i="1"/>
  <c r="CN371" i="1" s="1"/>
  <c r="CM372" i="1"/>
  <c r="CN372" i="1" s="1"/>
  <c r="CM373" i="1"/>
  <c r="CN373" i="1" s="1"/>
  <c r="CM374" i="1"/>
  <c r="CN374" i="1" s="1"/>
  <c r="CM375" i="1"/>
  <c r="CN375" i="1" s="1"/>
  <c r="CM376" i="1"/>
  <c r="CN376" i="1" s="1"/>
  <c r="CM377" i="1"/>
  <c r="CN377" i="1" s="1"/>
  <c r="CM378" i="1"/>
  <c r="CN378" i="1" s="1"/>
  <c r="CM381" i="1"/>
  <c r="CN381" i="1" s="1"/>
  <c r="CM382" i="1"/>
  <c r="CN382" i="1" s="1"/>
  <c r="CM383" i="1"/>
  <c r="CN383" i="1" s="1"/>
  <c r="CM384" i="1"/>
  <c r="CN384" i="1" s="1"/>
  <c r="CM385" i="1"/>
  <c r="CN385" i="1" s="1"/>
  <c r="CM386" i="1"/>
  <c r="CN386" i="1" s="1"/>
  <c r="CM387" i="1"/>
  <c r="CN387" i="1" s="1"/>
  <c r="CM388" i="1"/>
  <c r="CN388" i="1" s="1"/>
  <c r="CM389" i="1"/>
  <c r="CN389" i="1" s="1"/>
  <c r="CM390" i="1"/>
  <c r="CN390" i="1" s="1"/>
  <c r="CM391" i="1"/>
  <c r="CN391" i="1" s="1"/>
  <c r="CM392" i="1"/>
  <c r="CN392" i="1" s="1"/>
  <c r="CM393" i="1"/>
  <c r="CN393" i="1" s="1"/>
  <c r="CM394" i="1"/>
  <c r="CN394" i="1" s="1"/>
  <c r="CM395" i="1"/>
  <c r="CN395" i="1" s="1"/>
  <c r="CM396" i="1"/>
  <c r="CN396" i="1" s="1"/>
  <c r="CM397" i="1"/>
  <c r="CN397" i="1" s="1"/>
  <c r="CM398" i="1"/>
  <c r="CN398" i="1" s="1"/>
  <c r="CM399" i="1"/>
  <c r="CN399" i="1" s="1"/>
  <c r="CM400" i="1"/>
  <c r="CN400" i="1" s="1"/>
  <c r="CM401" i="1"/>
  <c r="CN401" i="1" s="1"/>
  <c r="CM402" i="1"/>
  <c r="CN402" i="1" s="1"/>
  <c r="CM403" i="1"/>
  <c r="CN403" i="1" s="1"/>
  <c r="CM404" i="1"/>
  <c r="CN404" i="1" s="1"/>
  <c r="CM405" i="1"/>
  <c r="CN405" i="1" s="1"/>
  <c r="CM406" i="1"/>
  <c r="CN406" i="1" s="1"/>
  <c r="CM407" i="1"/>
  <c r="CN407" i="1" s="1"/>
  <c r="CM408" i="1"/>
  <c r="CN408" i="1" s="1"/>
  <c r="CM212" i="1"/>
  <c r="CN212" i="1" s="1"/>
  <c r="CM409" i="1"/>
  <c r="CN409" i="1" s="1"/>
  <c r="CM410" i="1"/>
  <c r="CN410" i="1" s="1"/>
  <c r="CM411" i="1"/>
  <c r="CN411" i="1" s="1"/>
  <c r="CM412" i="1"/>
  <c r="CN412" i="1" s="1"/>
  <c r="CM413" i="1"/>
  <c r="CN413" i="1" s="1"/>
  <c r="CM414" i="1"/>
  <c r="CN414" i="1" s="1"/>
  <c r="CM415" i="1"/>
  <c r="CN415" i="1" s="1"/>
  <c r="CM416" i="1"/>
  <c r="CN416" i="1" s="1"/>
  <c r="CM177" i="1"/>
  <c r="CN177" i="1" s="1"/>
  <c r="CM417" i="1"/>
  <c r="CN417" i="1" s="1"/>
  <c r="CM418" i="1"/>
  <c r="CN418" i="1" s="1"/>
  <c r="CM419" i="1"/>
  <c r="CN419" i="1" s="1"/>
  <c r="CM420" i="1"/>
  <c r="CN420" i="1" s="1"/>
  <c r="CM421" i="1"/>
  <c r="CN421" i="1" s="1"/>
  <c r="CM422" i="1"/>
  <c r="CN422" i="1" s="1"/>
  <c r="CM423" i="1"/>
  <c r="CN423" i="1" s="1"/>
  <c r="CM424" i="1"/>
  <c r="CN424" i="1" s="1"/>
  <c r="CM425" i="1"/>
  <c r="CN425" i="1" s="1"/>
  <c r="CM426" i="1"/>
  <c r="CN426" i="1" s="1"/>
  <c r="CM427" i="1"/>
  <c r="CN427" i="1" s="1"/>
  <c r="CM428" i="1"/>
  <c r="CN428" i="1" s="1"/>
  <c r="CM429" i="1"/>
  <c r="CN429" i="1" s="1"/>
  <c r="CM430" i="1"/>
  <c r="CN430" i="1" s="1"/>
  <c r="CM431" i="1"/>
  <c r="CN431" i="1" s="1"/>
  <c r="CM432" i="1"/>
  <c r="CN432" i="1" s="1"/>
  <c r="CM186" i="1"/>
  <c r="CN186" i="1" s="1"/>
  <c r="CM433" i="1"/>
  <c r="CN433" i="1" s="1"/>
  <c r="CM434" i="1"/>
  <c r="CN434" i="1" s="1"/>
  <c r="CM435" i="1"/>
  <c r="CN435" i="1" s="1"/>
  <c r="CM436" i="1"/>
  <c r="CN436" i="1" s="1"/>
  <c r="CM437" i="1"/>
  <c r="CN437" i="1" s="1"/>
  <c r="CM438" i="1"/>
  <c r="CN438" i="1" s="1"/>
  <c r="CM440" i="1"/>
  <c r="CN440" i="1" s="1"/>
  <c r="CM441" i="1"/>
  <c r="CN441" i="1" s="1"/>
  <c r="CM442" i="1"/>
  <c r="CN442" i="1" s="1"/>
  <c r="CM443" i="1"/>
  <c r="CN443" i="1" s="1"/>
  <c r="CM444" i="1"/>
  <c r="CN444" i="1" s="1"/>
  <c r="CM445" i="1"/>
  <c r="CN445" i="1" s="1"/>
  <c r="CM446" i="1"/>
  <c r="CN446" i="1" s="1"/>
  <c r="CM447" i="1"/>
  <c r="CN447" i="1" s="1"/>
  <c r="CM448" i="1"/>
  <c r="CN448" i="1" s="1"/>
  <c r="CM449" i="1"/>
  <c r="CN449" i="1" s="1"/>
  <c r="CM450" i="1"/>
  <c r="CN450" i="1" s="1"/>
  <c r="CM451" i="1"/>
  <c r="CN451" i="1" s="1"/>
  <c r="CM452" i="1"/>
  <c r="CN452" i="1" s="1"/>
  <c r="CM453" i="1"/>
  <c r="CN453" i="1" s="1"/>
  <c r="CM454" i="1"/>
  <c r="CN454" i="1" s="1"/>
  <c r="CM455" i="1"/>
  <c r="CN455" i="1" s="1"/>
  <c r="CM456" i="1"/>
  <c r="CN456" i="1" s="1"/>
  <c r="CM457" i="1"/>
  <c r="CN457" i="1" s="1"/>
  <c r="CM93" i="1"/>
  <c r="CN93" i="1" s="1"/>
  <c r="CM458" i="1"/>
  <c r="CN458" i="1" s="1"/>
  <c r="CM379" i="1"/>
  <c r="CN379" i="1" s="1"/>
  <c r="CM380" i="1"/>
  <c r="CN380" i="1" s="1"/>
  <c r="CM460" i="1"/>
  <c r="CN460" i="1" s="1"/>
  <c r="CM461" i="1"/>
  <c r="CN461" i="1" s="1"/>
  <c r="CM462" i="1"/>
  <c r="CN462" i="1" s="1"/>
  <c r="CM439" i="1"/>
  <c r="CN439" i="1" s="1"/>
  <c r="CM463" i="1"/>
  <c r="CN463" i="1" s="1"/>
  <c r="CM464" i="1"/>
  <c r="CN464" i="1" s="1"/>
  <c r="CM465" i="1"/>
  <c r="CN465" i="1" s="1"/>
  <c r="CM466" i="1"/>
  <c r="CN466" i="1" s="1"/>
  <c r="CM467" i="1"/>
  <c r="CN467" i="1" s="1"/>
  <c r="CM20" i="1"/>
  <c r="CN20" i="1" s="1"/>
  <c r="CM469" i="1"/>
  <c r="CN469" i="1" s="1"/>
  <c r="CM470" i="1"/>
  <c r="CN470" i="1" s="1"/>
  <c r="CM472" i="1"/>
  <c r="CN472" i="1" s="1"/>
  <c r="CM473" i="1"/>
  <c r="CN473" i="1" s="1"/>
  <c r="CM474" i="1"/>
  <c r="CN474" i="1" s="1"/>
  <c r="CM31" i="1"/>
  <c r="CN31" i="1" s="1"/>
  <c r="CM476" i="1"/>
  <c r="CN476" i="1" s="1"/>
  <c r="CM32" i="1"/>
  <c r="CN32" i="1" s="1"/>
  <c r="CM477" i="1"/>
  <c r="CN477" i="1" s="1"/>
  <c r="CM478" i="1"/>
  <c r="CN478" i="1" s="1"/>
  <c r="CM479" i="1"/>
  <c r="CN479" i="1" s="1"/>
  <c r="CM480" i="1"/>
  <c r="CN480" i="1" s="1"/>
  <c r="CM482" i="1"/>
  <c r="CN482" i="1" s="1"/>
  <c r="CM483" i="1"/>
  <c r="CN483" i="1" s="1"/>
  <c r="CM471" i="1"/>
  <c r="CN471" i="1" s="1"/>
  <c r="CM475" i="1"/>
  <c r="CN475" i="1" s="1"/>
  <c r="CM484" i="1"/>
  <c r="CN484" i="1" s="1"/>
  <c r="CM486" i="1"/>
  <c r="CN486" i="1" s="1"/>
  <c r="CM489" i="1"/>
  <c r="CN489" i="1" s="1"/>
  <c r="CM490" i="1"/>
  <c r="CN490" i="1" s="1"/>
  <c r="CM491" i="1"/>
  <c r="CN491" i="1" s="1"/>
  <c r="CM492" i="1"/>
  <c r="CN492" i="1" s="1"/>
  <c r="CM493" i="1"/>
  <c r="CN493" i="1" s="1"/>
  <c r="CM459" i="1"/>
  <c r="CN459" i="1" s="1"/>
  <c r="CM494" i="1"/>
  <c r="CN494" i="1" s="1"/>
  <c r="CM495" i="1"/>
  <c r="CN495" i="1" s="1"/>
  <c r="CM496" i="1"/>
  <c r="CN496" i="1" s="1"/>
  <c r="CM497" i="1"/>
  <c r="CN497" i="1" s="1"/>
  <c r="CM498" i="1"/>
  <c r="CN498" i="1" s="1"/>
  <c r="CM499" i="1"/>
  <c r="CN499" i="1" s="1"/>
  <c r="CM500" i="1"/>
  <c r="CN500" i="1" s="1"/>
  <c r="CM501" i="1"/>
  <c r="CN501" i="1" s="1"/>
  <c r="CM502" i="1"/>
  <c r="CN502" i="1" s="1"/>
  <c r="CM503" i="1"/>
  <c r="CN503" i="1" s="1"/>
  <c r="CM504" i="1"/>
  <c r="CN504" i="1" s="1"/>
  <c r="CM468" i="1"/>
  <c r="CN468" i="1" s="1"/>
  <c r="CM506" i="1"/>
  <c r="CN506" i="1" s="1"/>
  <c r="CM507" i="1"/>
  <c r="CN507" i="1" s="1"/>
  <c r="CM510" i="1"/>
  <c r="CN510" i="1" s="1"/>
  <c r="CM514" i="1"/>
  <c r="CN514" i="1" s="1"/>
  <c r="CM516" i="1"/>
  <c r="CN516" i="1" s="1"/>
  <c r="CM517" i="1"/>
  <c r="CN517" i="1" s="1"/>
  <c r="CM518" i="1"/>
  <c r="CN518" i="1" s="1"/>
  <c r="CM519" i="1"/>
  <c r="CN519" i="1" s="1"/>
  <c r="CM520" i="1"/>
  <c r="CN520" i="1" s="1"/>
  <c r="CM521" i="1"/>
  <c r="CN521" i="1" s="1"/>
  <c r="CM522" i="1"/>
  <c r="CN522" i="1" s="1"/>
  <c r="CM523" i="1"/>
  <c r="CN523" i="1" s="1"/>
  <c r="CM524" i="1"/>
  <c r="CN524" i="1" s="1"/>
  <c r="CM525" i="1"/>
  <c r="CN525" i="1" s="1"/>
  <c r="CM526" i="1"/>
  <c r="CN526" i="1" s="1"/>
  <c r="CM527" i="1"/>
  <c r="CN527" i="1" s="1"/>
  <c r="CM528" i="1"/>
  <c r="CN528" i="1" s="1"/>
  <c r="CM529" i="1"/>
  <c r="CN529" i="1" s="1"/>
  <c r="CM530" i="1"/>
  <c r="CN530" i="1" s="1"/>
  <c r="CM531" i="1"/>
  <c r="CN531" i="1" s="1"/>
  <c r="CM532" i="1"/>
  <c r="CN532" i="1" s="1"/>
  <c r="CM533" i="1"/>
  <c r="CN533" i="1" s="1"/>
  <c r="CM534" i="1"/>
  <c r="CN534" i="1" s="1"/>
  <c r="CM535" i="1"/>
  <c r="CN535" i="1" s="1"/>
  <c r="CM536" i="1"/>
  <c r="CN536" i="1" s="1"/>
  <c r="CM537" i="1"/>
  <c r="CN537" i="1" s="1"/>
  <c r="CM538" i="1"/>
  <c r="CN538" i="1" s="1"/>
  <c r="CM539" i="1"/>
  <c r="CN539" i="1" s="1"/>
  <c r="CM540" i="1"/>
  <c r="CN540" i="1" s="1"/>
  <c r="CM541" i="1"/>
  <c r="CN541" i="1" s="1"/>
  <c r="CM542" i="1"/>
  <c r="CN542" i="1" s="1"/>
  <c r="CM543" i="1"/>
  <c r="CN543" i="1" s="1"/>
  <c r="CM544" i="1"/>
  <c r="CN544" i="1" s="1"/>
  <c r="CM545" i="1"/>
  <c r="CN545" i="1" s="1"/>
  <c r="CM546" i="1"/>
  <c r="CN546" i="1" s="1"/>
  <c r="CM547" i="1"/>
  <c r="CN547" i="1" s="1"/>
  <c r="CM548" i="1"/>
  <c r="CN548" i="1" s="1"/>
  <c r="CM549" i="1"/>
  <c r="CN549" i="1" s="1"/>
  <c r="CM511" i="1"/>
  <c r="CN511" i="1" s="1"/>
  <c r="CM550" i="1"/>
  <c r="CN550" i="1" s="1"/>
  <c r="CM551" i="1"/>
  <c r="CN551" i="1" s="1"/>
  <c r="CM552" i="1"/>
  <c r="CN552" i="1" s="1"/>
  <c r="CM553" i="1"/>
  <c r="CN553" i="1" s="1"/>
  <c r="CM512" i="1"/>
  <c r="CN512" i="1" s="1"/>
  <c r="CM513" i="1"/>
  <c r="CN513" i="1" s="1"/>
  <c r="CM554" i="1"/>
  <c r="CN554" i="1" s="1"/>
  <c r="CM555" i="1"/>
  <c r="CN555" i="1" s="1"/>
  <c r="CM556" i="1"/>
  <c r="CN556" i="1" s="1"/>
  <c r="CM557" i="1"/>
  <c r="CN557" i="1" s="1"/>
  <c r="CM558" i="1"/>
  <c r="CN558" i="1" s="1"/>
  <c r="CM559" i="1"/>
  <c r="CN559" i="1" s="1"/>
  <c r="CM560" i="1"/>
  <c r="CN560" i="1" s="1"/>
  <c r="CM515" i="1"/>
  <c r="CN515" i="1" s="1"/>
  <c r="CM561" i="1"/>
  <c r="CN561" i="1" s="1"/>
  <c r="CM562" i="1"/>
  <c r="CN562" i="1" s="1"/>
  <c r="CM563" i="1"/>
  <c r="CN563" i="1" s="1"/>
  <c r="CM564" i="1"/>
  <c r="CN564" i="1" s="1"/>
  <c r="CM565" i="1"/>
  <c r="CN565" i="1" s="1"/>
  <c r="CM566" i="1"/>
  <c r="CN566" i="1" s="1"/>
  <c r="CM567" i="1"/>
  <c r="CN567" i="1" s="1"/>
  <c r="CM568" i="1"/>
  <c r="CN568" i="1" s="1"/>
  <c r="CM569" i="1"/>
  <c r="CN569" i="1" s="1"/>
  <c r="CM570" i="1"/>
  <c r="CN570" i="1" s="1"/>
  <c r="CM571" i="1"/>
  <c r="CN571" i="1" s="1"/>
  <c r="CM572" i="1"/>
  <c r="CN572" i="1" s="1"/>
  <c r="CM573" i="1"/>
  <c r="CN573" i="1" s="1"/>
  <c r="CM574" i="1"/>
  <c r="CN574" i="1" s="1"/>
  <c r="CM575" i="1"/>
  <c r="CN575" i="1" s="1"/>
  <c r="CM576" i="1"/>
  <c r="CN576" i="1" s="1"/>
  <c r="CM577" i="1"/>
  <c r="CN577" i="1" s="1"/>
  <c r="CM578" i="1"/>
  <c r="CN578" i="1" s="1"/>
  <c r="CM579" i="1"/>
  <c r="CN579" i="1" s="1"/>
  <c r="CM580" i="1"/>
  <c r="CN580" i="1" s="1"/>
  <c r="CM581" i="1"/>
  <c r="CN581" i="1" s="1"/>
  <c r="CM582" i="1"/>
  <c r="CN582" i="1" s="1"/>
  <c r="CM583" i="1"/>
  <c r="CN583" i="1" s="1"/>
  <c r="CM584" i="1"/>
  <c r="CN584" i="1" s="1"/>
  <c r="CM585" i="1"/>
  <c r="CN585" i="1" s="1"/>
  <c r="CM586" i="1"/>
  <c r="CN586" i="1" s="1"/>
  <c r="CM587" i="1"/>
  <c r="CN587" i="1" s="1"/>
  <c r="CM588" i="1"/>
  <c r="CN588" i="1" s="1"/>
  <c r="CM589" i="1"/>
  <c r="CN589" i="1" s="1"/>
  <c r="CM590" i="1"/>
  <c r="CN590" i="1" s="1"/>
  <c r="CM591" i="1"/>
  <c r="CN591" i="1" s="1"/>
  <c r="CM592" i="1"/>
  <c r="CN592" i="1" s="1"/>
  <c r="CM593" i="1"/>
  <c r="CN593" i="1" s="1"/>
  <c r="CM594" i="1"/>
  <c r="CN594" i="1" s="1"/>
  <c r="CM595" i="1"/>
  <c r="CN595" i="1" s="1"/>
  <c r="CM596" i="1"/>
  <c r="CN596" i="1" s="1"/>
  <c r="CM597" i="1"/>
  <c r="CN597" i="1" s="1"/>
  <c r="CM598" i="1"/>
  <c r="CN598" i="1" s="1"/>
  <c r="CM599" i="1"/>
  <c r="CN599" i="1" s="1"/>
  <c r="CM600" i="1"/>
  <c r="CN600" i="1" s="1"/>
  <c r="CM601" i="1"/>
  <c r="CN601" i="1" s="1"/>
  <c r="CM602" i="1"/>
  <c r="CN602" i="1" s="1"/>
  <c r="CM603" i="1"/>
  <c r="CN603" i="1" s="1"/>
  <c r="CM604" i="1"/>
  <c r="CN604" i="1" s="1"/>
  <c r="CM605" i="1"/>
  <c r="CN605" i="1" s="1"/>
  <c r="CM606" i="1"/>
  <c r="CN606" i="1" s="1"/>
  <c r="CM607" i="1"/>
  <c r="CN607" i="1" s="1"/>
  <c r="CM608" i="1"/>
  <c r="CN608" i="1" s="1"/>
  <c r="CM609" i="1"/>
  <c r="CN609" i="1" s="1"/>
  <c r="CM610" i="1"/>
  <c r="CN610" i="1" s="1"/>
  <c r="CM611" i="1"/>
  <c r="CN611" i="1" s="1"/>
  <c r="CM612" i="1"/>
  <c r="CN612" i="1" s="1"/>
  <c r="CM613" i="1"/>
  <c r="CN613" i="1" s="1"/>
  <c r="CM614" i="1"/>
  <c r="CN614" i="1" s="1"/>
  <c r="CM615" i="1"/>
  <c r="CN615" i="1" s="1"/>
  <c r="CM616" i="1"/>
  <c r="CN616" i="1" s="1"/>
  <c r="CM617" i="1"/>
  <c r="CN617" i="1" s="1"/>
  <c r="CM618" i="1"/>
  <c r="CN618" i="1" s="1"/>
  <c r="CM619" i="1"/>
  <c r="CN619" i="1" s="1"/>
  <c r="CM620" i="1"/>
  <c r="CN620" i="1" s="1"/>
  <c r="CM621" i="1"/>
  <c r="CN621" i="1" s="1"/>
  <c r="CM622" i="1"/>
  <c r="CN622" i="1" s="1"/>
  <c r="CM623" i="1"/>
  <c r="CN623" i="1" s="1"/>
  <c r="CM624" i="1"/>
  <c r="CN624" i="1" s="1"/>
  <c r="CM625" i="1"/>
  <c r="CN625" i="1" s="1"/>
  <c r="CM626" i="1"/>
  <c r="CN626" i="1" s="1"/>
  <c r="CM627" i="1"/>
  <c r="CN627" i="1" s="1"/>
  <c r="CM628" i="1"/>
  <c r="CN628" i="1" s="1"/>
  <c r="CM629" i="1"/>
  <c r="CN629" i="1" s="1"/>
  <c r="CM630" i="1"/>
  <c r="CN630" i="1" s="1"/>
  <c r="CM631" i="1"/>
  <c r="CN631" i="1" s="1"/>
  <c r="CM632" i="1"/>
  <c r="CN632" i="1" s="1"/>
  <c r="CM633" i="1"/>
  <c r="CN633" i="1" s="1"/>
  <c r="CM634" i="1"/>
  <c r="CN634" i="1" s="1"/>
  <c r="CM635" i="1"/>
  <c r="CN635" i="1" s="1"/>
  <c r="CM636" i="1"/>
  <c r="CN636" i="1" s="1"/>
  <c r="CM637" i="1"/>
  <c r="CN637" i="1" s="1"/>
  <c r="CM638" i="1"/>
  <c r="CN638" i="1" s="1"/>
  <c r="CM639" i="1"/>
  <c r="CN639" i="1" s="1"/>
  <c r="CM640" i="1"/>
  <c r="CN640" i="1" s="1"/>
  <c r="CM641" i="1"/>
  <c r="CN641" i="1" s="1"/>
  <c r="CM642" i="1"/>
  <c r="CN642" i="1" s="1"/>
  <c r="CM643" i="1"/>
  <c r="CN643" i="1" s="1"/>
  <c r="CM644" i="1"/>
  <c r="CN644" i="1" s="1"/>
  <c r="CM645" i="1"/>
  <c r="CN645" i="1" s="1"/>
  <c r="CM646" i="1"/>
  <c r="CN646" i="1" s="1"/>
  <c r="CM647" i="1"/>
  <c r="CN647" i="1" s="1"/>
  <c r="CM648" i="1"/>
  <c r="CN648" i="1" s="1"/>
  <c r="CM649" i="1"/>
  <c r="CN649" i="1" s="1"/>
  <c r="CM650" i="1"/>
  <c r="CN650" i="1" s="1"/>
  <c r="CM651" i="1"/>
  <c r="CN651" i="1" s="1"/>
  <c r="CM652" i="1"/>
  <c r="CN652" i="1" s="1"/>
  <c r="CM653" i="1"/>
  <c r="CN653" i="1" s="1"/>
  <c r="CM654" i="1"/>
  <c r="CN654" i="1" s="1"/>
  <c r="CM655" i="1"/>
  <c r="CN655" i="1" s="1"/>
  <c r="CM656" i="1"/>
  <c r="CN656" i="1" s="1"/>
  <c r="CM657" i="1"/>
  <c r="CN657" i="1" s="1"/>
  <c r="CM658" i="1"/>
  <c r="CN658" i="1" s="1"/>
  <c r="CM659" i="1"/>
  <c r="CN659" i="1" s="1"/>
  <c r="CM660" i="1"/>
  <c r="CN660" i="1" s="1"/>
  <c r="CM661" i="1"/>
  <c r="CN661" i="1" s="1"/>
  <c r="CM662" i="1"/>
  <c r="CN662" i="1" s="1"/>
  <c r="CM663" i="1"/>
  <c r="CN663" i="1" s="1"/>
  <c r="CM664" i="1"/>
  <c r="CN664" i="1" s="1"/>
  <c r="CM665" i="1"/>
  <c r="CN665" i="1" s="1"/>
  <c r="CM666" i="1"/>
  <c r="CN666" i="1" s="1"/>
  <c r="CM667" i="1"/>
  <c r="CN667" i="1" s="1"/>
  <c r="CM668" i="1"/>
  <c r="CN668" i="1" s="1"/>
  <c r="CM669" i="1"/>
  <c r="CN669" i="1" s="1"/>
  <c r="CM487" i="1"/>
  <c r="CN487" i="1" s="1"/>
  <c r="CM488" i="1"/>
  <c r="CN488" i="1" s="1"/>
  <c r="CM670" i="1"/>
  <c r="CN670" i="1" s="1"/>
  <c r="CM671" i="1"/>
  <c r="CN671" i="1" s="1"/>
  <c r="CM673" i="1"/>
  <c r="CN673" i="1" s="1"/>
  <c r="CM674" i="1"/>
  <c r="CN674" i="1" s="1"/>
  <c r="CM676" i="1"/>
  <c r="CN676" i="1" s="1"/>
  <c r="CM677" i="1"/>
  <c r="CN677" i="1" s="1"/>
  <c r="CM678" i="1"/>
  <c r="CN678" i="1" s="1"/>
  <c r="CM679" i="1"/>
  <c r="CN679" i="1" s="1"/>
  <c r="CM680" i="1"/>
  <c r="CN680" i="1" s="1"/>
  <c r="CM681" i="1"/>
  <c r="CN681" i="1" s="1"/>
  <c r="CM682" i="1"/>
  <c r="CN682" i="1" s="1"/>
  <c r="CM683" i="1"/>
  <c r="CN683" i="1" s="1"/>
  <c r="CM684" i="1"/>
  <c r="CN684" i="1" s="1"/>
  <c r="CM685" i="1"/>
  <c r="CN685" i="1" s="1"/>
  <c r="CM686" i="1"/>
  <c r="CN686" i="1" s="1"/>
  <c r="CM687" i="1"/>
  <c r="CN687" i="1" s="1"/>
  <c r="CM688" i="1"/>
  <c r="CN688" i="1" s="1"/>
  <c r="CM690" i="1"/>
  <c r="CN690" i="1" s="1"/>
  <c r="CM692" i="1"/>
  <c r="CN692" i="1" s="1"/>
  <c r="CM693" i="1"/>
  <c r="CN693" i="1" s="1"/>
  <c r="CM694" i="1"/>
  <c r="CN694" i="1" s="1"/>
  <c r="CM695" i="1"/>
  <c r="CN695" i="1" s="1"/>
  <c r="CM505" i="1"/>
  <c r="CN505" i="1" s="1"/>
  <c r="CM696" i="1"/>
  <c r="CN696" i="1" s="1"/>
  <c r="CM697" i="1"/>
  <c r="CN697" i="1" s="1"/>
  <c r="CM698" i="1"/>
  <c r="CN698" i="1" s="1"/>
  <c r="CM508" i="1"/>
  <c r="CN508" i="1" s="1"/>
  <c r="CM700" i="1"/>
  <c r="CN700" i="1" s="1"/>
  <c r="CM509" i="1"/>
  <c r="CN509" i="1" s="1"/>
  <c r="CM701" i="1"/>
  <c r="CN701" i="1" s="1"/>
  <c r="CM702" i="1"/>
  <c r="CN702" i="1" s="1"/>
  <c r="CM703" i="1"/>
  <c r="CN703" i="1" s="1"/>
  <c r="CM704" i="1"/>
  <c r="CN704" i="1" s="1"/>
  <c r="CM705" i="1"/>
  <c r="CN705" i="1" s="1"/>
  <c r="CM706" i="1"/>
  <c r="CN706" i="1" s="1"/>
  <c r="CM707" i="1"/>
  <c r="CN707" i="1" s="1"/>
  <c r="CM708" i="1"/>
  <c r="CN708" i="1" s="1"/>
  <c r="CM710" i="1"/>
  <c r="CN710" i="1" s="1"/>
  <c r="CM711" i="1"/>
  <c r="CN711" i="1" s="1"/>
  <c r="CM712" i="1"/>
  <c r="CN712" i="1" s="1"/>
  <c r="CM713" i="1"/>
  <c r="CN713" i="1" s="1"/>
  <c r="CM714" i="1"/>
  <c r="CN714" i="1" s="1"/>
  <c r="CM715" i="1"/>
  <c r="CN715" i="1" s="1"/>
  <c r="CM717" i="1"/>
  <c r="CN717" i="1" s="1"/>
  <c r="CM718" i="1"/>
  <c r="CN718" i="1" s="1"/>
  <c r="CM719" i="1"/>
  <c r="CN719" i="1" s="1"/>
  <c r="CM720" i="1"/>
  <c r="CN720" i="1" s="1"/>
  <c r="CM721" i="1"/>
  <c r="CN721" i="1" s="1"/>
  <c r="CM722" i="1"/>
  <c r="CN722" i="1" s="1"/>
  <c r="CM723" i="1"/>
  <c r="CN723" i="1" s="1"/>
  <c r="CM724" i="1"/>
  <c r="CN724" i="1" s="1"/>
  <c r="CM725" i="1"/>
  <c r="CN725" i="1" s="1"/>
  <c r="CM726" i="1"/>
  <c r="CN726" i="1" s="1"/>
  <c r="CM727" i="1"/>
  <c r="CN727" i="1" s="1"/>
  <c r="CM728" i="1"/>
  <c r="CN728" i="1" s="1"/>
  <c r="CM729" i="1"/>
  <c r="CN729" i="1" s="1"/>
  <c r="CM730" i="1"/>
  <c r="CN730" i="1" s="1"/>
  <c r="CM731" i="1"/>
  <c r="CN731" i="1" s="1"/>
  <c r="CM732" i="1"/>
  <c r="CN732" i="1" s="1"/>
  <c r="CM733" i="1"/>
  <c r="CN733" i="1" s="1"/>
  <c r="CM734" i="1"/>
  <c r="CN734" i="1" s="1"/>
  <c r="CM735" i="1"/>
  <c r="CN735" i="1" s="1"/>
  <c r="CM736" i="1"/>
  <c r="CN736" i="1" s="1"/>
  <c r="CM737" i="1"/>
  <c r="CN737" i="1" s="1"/>
  <c r="CM738" i="1"/>
  <c r="CN738" i="1" s="1"/>
  <c r="CM739" i="1"/>
  <c r="CN739" i="1" s="1"/>
  <c r="CM740" i="1"/>
  <c r="CN740" i="1" s="1"/>
  <c r="CM741" i="1"/>
  <c r="CN741" i="1" s="1"/>
  <c r="CM742" i="1"/>
  <c r="CN742" i="1" s="1"/>
  <c r="CM743" i="1"/>
  <c r="CN743" i="1" s="1"/>
  <c r="CM744" i="1"/>
  <c r="CN744" i="1" s="1"/>
  <c r="CM745" i="1"/>
  <c r="CN745" i="1" s="1"/>
  <c r="CM746" i="1"/>
  <c r="CN746" i="1" s="1"/>
  <c r="CM747" i="1"/>
  <c r="CN747" i="1" s="1"/>
  <c r="CM748" i="1"/>
  <c r="CN748" i="1" s="1"/>
  <c r="CM749" i="1"/>
  <c r="CN749" i="1" s="1"/>
  <c r="CM750" i="1"/>
  <c r="CN750" i="1" s="1"/>
  <c r="CM751" i="1"/>
  <c r="CN751" i="1" s="1"/>
  <c r="CM752" i="1"/>
  <c r="CN752" i="1" s="1"/>
  <c r="CM753" i="1"/>
  <c r="CN753" i="1" s="1"/>
  <c r="CM754" i="1"/>
  <c r="CN754" i="1" s="1"/>
  <c r="CM755" i="1"/>
  <c r="CN755" i="1" s="1"/>
  <c r="CM756" i="1"/>
  <c r="CN756" i="1" s="1"/>
  <c r="CM757" i="1"/>
  <c r="CN757" i="1" s="1"/>
  <c r="CM758" i="1"/>
  <c r="CN758" i="1" s="1"/>
  <c r="CM759" i="1"/>
  <c r="CN759" i="1" s="1"/>
  <c r="CM760" i="1"/>
  <c r="CN760" i="1" s="1"/>
  <c r="CM761" i="1"/>
  <c r="CN761" i="1" s="1"/>
  <c r="CM762" i="1"/>
  <c r="CN762" i="1" s="1"/>
  <c r="CM763" i="1"/>
  <c r="CN763" i="1" s="1"/>
  <c r="CM764" i="1"/>
  <c r="CN764" i="1" s="1"/>
  <c r="CM765" i="1"/>
  <c r="CN765" i="1" s="1"/>
  <c r="CM766" i="1"/>
  <c r="CN766" i="1" s="1"/>
  <c r="CM767" i="1"/>
  <c r="CN767" i="1" s="1"/>
  <c r="CM768" i="1"/>
  <c r="CN768" i="1" s="1"/>
  <c r="CM769" i="1"/>
  <c r="CN769" i="1" s="1"/>
  <c r="CM770" i="1"/>
  <c r="CN770" i="1" s="1"/>
  <c r="CM771" i="1"/>
  <c r="CN771" i="1" s="1"/>
  <c r="CM772" i="1"/>
  <c r="CN772" i="1" s="1"/>
  <c r="CM773" i="1"/>
  <c r="CN773" i="1" s="1"/>
  <c r="CM774" i="1"/>
  <c r="CN774" i="1" s="1"/>
  <c r="CM775" i="1"/>
  <c r="CN775" i="1" s="1"/>
  <c r="CM776" i="1"/>
  <c r="CN776" i="1" s="1"/>
  <c r="CM777" i="1"/>
  <c r="CN777" i="1" s="1"/>
  <c r="CM778" i="1"/>
  <c r="CN778" i="1" s="1"/>
  <c r="CM779" i="1"/>
  <c r="CN779" i="1" s="1"/>
  <c r="CM780" i="1"/>
  <c r="CN780" i="1" s="1"/>
  <c r="CM781" i="1"/>
  <c r="CN781" i="1" s="1"/>
  <c r="CM782" i="1"/>
  <c r="CN782" i="1" s="1"/>
  <c r="CM783" i="1"/>
  <c r="CN783" i="1" s="1"/>
  <c r="CM784" i="1"/>
  <c r="CN784" i="1" s="1"/>
  <c r="CM785" i="1"/>
  <c r="CN785" i="1" s="1"/>
  <c r="CM815" i="1"/>
  <c r="CN815" i="1" s="1"/>
  <c r="CM817" i="1"/>
  <c r="CN817" i="1" s="1"/>
  <c r="CM788" i="1"/>
  <c r="CN788" i="1" s="1"/>
  <c r="CM821" i="1"/>
  <c r="CN821" i="1" s="1"/>
  <c r="CM822" i="1"/>
  <c r="CN822" i="1" s="1"/>
  <c r="CM823" i="1"/>
  <c r="CN823" i="1" s="1"/>
  <c r="CM824" i="1"/>
  <c r="CN824" i="1" s="1"/>
  <c r="CM825" i="1"/>
  <c r="CN825" i="1" s="1"/>
  <c r="CM826" i="1"/>
  <c r="CN826" i="1" s="1"/>
  <c r="CM789" i="1"/>
  <c r="CN789" i="1" s="1"/>
  <c r="CM827" i="1"/>
  <c r="CN827" i="1" s="1"/>
  <c r="CM828" i="1"/>
  <c r="CN828" i="1" s="1"/>
  <c r="CM790" i="1"/>
  <c r="CN790" i="1" s="1"/>
  <c r="CM791" i="1"/>
  <c r="CN791" i="1" s="1"/>
  <c r="CM792" i="1"/>
  <c r="CN792" i="1" s="1"/>
  <c r="CM793" i="1"/>
  <c r="CN793" i="1" s="1"/>
  <c r="CM794" i="1"/>
  <c r="CN794" i="1" s="1"/>
  <c r="CM795" i="1"/>
  <c r="CN795" i="1" s="1"/>
  <c r="CM796" i="1"/>
  <c r="CN796" i="1" s="1"/>
  <c r="CM798" i="1"/>
  <c r="CN798" i="1" s="1"/>
  <c r="CM799" i="1"/>
  <c r="CN799" i="1" s="1"/>
  <c r="CM800" i="1"/>
  <c r="CN800" i="1" s="1"/>
  <c r="CM801" i="1"/>
  <c r="CN801" i="1" s="1"/>
  <c r="CM802" i="1"/>
  <c r="CN802" i="1" s="1"/>
  <c r="CM803" i="1"/>
  <c r="CN803" i="1" s="1"/>
  <c r="CM804" i="1"/>
  <c r="CN804" i="1" s="1"/>
  <c r="CM805" i="1"/>
  <c r="CN805" i="1" s="1"/>
  <c r="CM806" i="1"/>
  <c r="CN806" i="1" s="1"/>
  <c r="CM807" i="1"/>
  <c r="CN807" i="1" s="1"/>
  <c r="CM808" i="1"/>
  <c r="CN808" i="1" s="1"/>
  <c r="CM809" i="1"/>
  <c r="CN809" i="1" s="1"/>
  <c r="CM810" i="1"/>
  <c r="CN810" i="1" s="1"/>
  <c r="CM811" i="1"/>
  <c r="CN811" i="1" s="1"/>
  <c r="CM812" i="1"/>
  <c r="CN812" i="1" s="1"/>
  <c r="CM813" i="1"/>
  <c r="CN813" i="1" s="1"/>
  <c r="CM814" i="1"/>
  <c r="CN814" i="1" s="1"/>
  <c r="CM816" i="1"/>
  <c r="CN816" i="1" s="1"/>
  <c r="CM818" i="1"/>
  <c r="CN818" i="1" s="1"/>
  <c r="CM819" i="1"/>
  <c r="CN819" i="1" s="1"/>
  <c r="CM820" i="1"/>
  <c r="CN820" i="1" s="1"/>
  <c r="CM829" i="1"/>
  <c r="CN829" i="1" s="1"/>
  <c r="CM830" i="1"/>
  <c r="CN830" i="1" s="1"/>
  <c r="CM831" i="1"/>
  <c r="CN831" i="1" s="1"/>
  <c r="CM832" i="1"/>
  <c r="CN832" i="1" s="1"/>
  <c r="CM833" i="1"/>
  <c r="CN833" i="1" s="1"/>
  <c r="CM834" i="1"/>
  <c r="CN834" i="1" s="1"/>
  <c r="CM835" i="1"/>
  <c r="CN835" i="1" s="1"/>
  <c r="CM836" i="1"/>
  <c r="CN836" i="1" s="1"/>
  <c r="CM837" i="1"/>
  <c r="CN837" i="1" s="1"/>
  <c r="CM838" i="1"/>
  <c r="CN838" i="1" s="1"/>
  <c r="CM839" i="1"/>
  <c r="CN839" i="1" s="1"/>
  <c r="CM840" i="1"/>
  <c r="CN840" i="1" s="1"/>
  <c r="CM841" i="1"/>
  <c r="CN841" i="1" s="1"/>
  <c r="CM842" i="1"/>
  <c r="CN842" i="1" s="1"/>
  <c r="CM843" i="1"/>
  <c r="CN843" i="1" s="1"/>
  <c r="CM844" i="1"/>
  <c r="CN844" i="1" s="1"/>
  <c r="CM845" i="1"/>
  <c r="CN845" i="1" s="1"/>
  <c r="CM846" i="1"/>
  <c r="CN846" i="1" s="1"/>
  <c r="CM847" i="1"/>
  <c r="CN847" i="1" s="1"/>
  <c r="CM848" i="1"/>
  <c r="CN848" i="1" s="1"/>
  <c r="CM849" i="1"/>
  <c r="CN849" i="1" s="1"/>
  <c r="CM850" i="1"/>
  <c r="CN850" i="1" s="1"/>
  <c r="CM851" i="1"/>
  <c r="CN851" i="1" s="1"/>
  <c r="CM852" i="1"/>
  <c r="CN852" i="1" s="1"/>
  <c r="CM853" i="1"/>
  <c r="CN853" i="1" s="1"/>
  <c r="CM854" i="1"/>
  <c r="CN854" i="1" s="1"/>
  <c r="CM855" i="1"/>
  <c r="CN855" i="1" s="1"/>
  <c r="CM856" i="1"/>
  <c r="CN856" i="1" s="1"/>
  <c r="CM857" i="1"/>
  <c r="CN857" i="1" s="1"/>
  <c r="CM858" i="1"/>
  <c r="CN858" i="1" s="1"/>
  <c r="CM859" i="1"/>
  <c r="CN859" i="1" s="1"/>
  <c r="CM860" i="1"/>
  <c r="CN860" i="1" s="1"/>
  <c r="CM861" i="1"/>
  <c r="CN861" i="1" s="1"/>
  <c r="CM862" i="1"/>
  <c r="CN862" i="1" s="1"/>
  <c r="CM863" i="1"/>
  <c r="CN863" i="1" s="1"/>
  <c r="CM864" i="1"/>
  <c r="CN864" i="1" s="1"/>
  <c r="CM865" i="1"/>
  <c r="CN865" i="1" s="1"/>
  <c r="CM866" i="1"/>
  <c r="CN866" i="1" s="1"/>
  <c r="CM867" i="1"/>
  <c r="CN867" i="1" s="1"/>
  <c r="CM868" i="1"/>
  <c r="CN868" i="1" s="1"/>
  <c r="CM869" i="1"/>
  <c r="CN869" i="1" s="1"/>
  <c r="CM870" i="1"/>
  <c r="CN870" i="1" s="1"/>
  <c r="CM871" i="1"/>
  <c r="CN871" i="1" s="1"/>
  <c r="CM872" i="1"/>
  <c r="CN872" i="1" s="1"/>
  <c r="CM873" i="1"/>
  <c r="CN873" i="1" s="1"/>
  <c r="CM874" i="1"/>
  <c r="CN874" i="1" s="1"/>
  <c r="CM875" i="1"/>
  <c r="CN875" i="1" s="1"/>
  <c r="CM876" i="1"/>
  <c r="CN876" i="1" s="1"/>
  <c r="CM877" i="1"/>
  <c r="CN877" i="1" s="1"/>
  <c r="CM878" i="1"/>
  <c r="CN878" i="1" s="1"/>
  <c r="CM879" i="1"/>
  <c r="CN879" i="1" s="1"/>
  <c r="CM880" i="1"/>
  <c r="CN880" i="1" s="1"/>
  <c r="CM881" i="1"/>
  <c r="CN881" i="1" s="1"/>
  <c r="CM882" i="1"/>
  <c r="CN882" i="1" s="1"/>
  <c r="CM883" i="1"/>
  <c r="CN883" i="1" s="1"/>
  <c r="CM884" i="1"/>
  <c r="CN884" i="1" s="1"/>
  <c r="CM885" i="1"/>
  <c r="CN885" i="1" s="1"/>
  <c r="CM886" i="1"/>
  <c r="CN886" i="1" s="1"/>
  <c r="CM887" i="1"/>
  <c r="CN887" i="1" s="1"/>
  <c r="CM888" i="1"/>
  <c r="CN888" i="1" s="1"/>
  <c r="CM889" i="1"/>
  <c r="CN889" i="1" s="1"/>
  <c r="CM890" i="1"/>
  <c r="CN890" i="1" s="1"/>
  <c r="CM891" i="1"/>
  <c r="CN891" i="1" s="1"/>
  <c r="CM892" i="1"/>
  <c r="CN892" i="1" s="1"/>
  <c r="CM893" i="1"/>
  <c r="CN893" i="1" s="1"/>
  <c r="CM894" i="1"/>
  <c r="CN894" i="1" s="1"/>
  <c r="CM895" i="1"/>
  <c r="CN895" i="1" s="1"/>
  <c r="CM896" i="1"/>
  <c r="CN896" i="1" s="1"/>
  <c r="CM897" i="1"/>
  <c r="CN897" i="1" s="1"/>
  <c r="CM898" i="1"/>
  <c r="CN898" i="1" s="1"/>
  <c r="CM899" i="1"/>
  <c r="CN899" i="1" s="1"/>
  <c r="CM900" i="1"/>
  <c r="CN900" i="1" s="1"/>
  <c r="CM901" i="1"/>
  <c r="CN901" i="1" s="1"/>
  <c r="CM902" i="1"/>
  <c r="CN902" i="1" s="1"/>
  <c r="CM903" i="1"/>
  <c r="CN903" i="1" s="1"/>
  <c r="CM904" i="1"/>
  <c r="CN904" i="1" s="1"/>
  <c r="CM905" i="1"/>
  <c r="CN905" i="1" s="1"/>
  <c r="CM906" i="1"/>
  <c r="CN906" i="1" s="1"/>
  <c r="CM907" i="1"/>
  <c r="CN907" i="1" s="1"/>
  <c r="CM908" i="1"/>
  <c r="CN908" i="1" s="1"/>
  <c r="CM909" i="1"/>
  <c r="CN909" i="1" s="1"/>
  <c r="CM910" i="1"/>
  <c r="CN910" i="1" s="1"/>
  <c r="CM911" i="1"/>
  <c r="CN911" i="1" s="1"/>
  <c r="CM912" i="1"/>
  <c r="CN912" i="1" s="1"/>
  <c r="CM913" i="1"/>
  <c r="CN913" i="1" s="1"/>
  <c r="CM914" i="1"/>
  <c r="CN914" i="1" s="1"/>
  <c r="CM915" i="1"/>
  <c r="CN915" i="1" s="1"/>
  <c r="CM916" i="1"/>
  <c r="CN916" i="1" s="1"/>
  <c r="CM917" i="1"/>
  <c r="CN917" i="1" s="1"/>
  <c r="CM918" i="1"/>
  <c r="CN918" i="1" s="1"/>
  <c r="CM919" i="1"/>
  <c r="CN919" i="1" s="1"/>
  <c r="CM920" i="1"/>
  <c r="CN920" i="1" s="1"/>
  <c r="CM921" i="1"/>
  <c r="CN921" i="1" s="1"/>
  <c r="CM922" i="1"/>
  <c r="CN922" i="1" s="1"/>
  <c r="CM923" i="1"/>
  <c r="CN923" i="1" s="1"/>
  <c r="CM924" i="1"/>
  <c r="CN924" i="1" s="1"/>
  <c r="CM925" i="1"/>
  <c r="CN925" i="1" s="1"/>
  <c r="CM926" i="1"/>
  <c r="CN926" i="1" s="1"/>
  <c r="CM927" i="1"/>
  <c r="CN927" i="1" s="1"/>
  <c r="CM928" i="1"/>
  <c r="CN928" i="1" s="1"/>
  <c r="CM929" i="1"/>
  <c r="CN929" i="1" s="1"/>
  <c r="CM930" i="1"/>
  <c r="CN930" i="1" s="1"/>
  <c r="CM931" i="1"/>
  <c r="CN931" i="1" s="1"/>
  <c r="CM932" i="1"/>
  <c r="CN932" i="1" s="1"/>
  <c r="CM933" i="1"/>
  <c r="CN933" i="1" s="1"/>
  <c r="CM934" i="1"/>
  <c r="CN934" i="1" s="1"/>
  <c r="CM935" i="1"/>
  <c r="CN935" i="1" s="1"/>
  <c r="CM936" i="1"/>
  <c r="CN936" i="1" s="1"/>
  <c r="CM937" i="1"/>
  <c r="CN937" i="1" s="1"/>
  <c r="CM938" i="1"/>
  <c r="CN938" i="1" s="1"/>
  <c r="CM939" i="1"/>
  <c r="CN939" i="1" s="1"/>
  <c r="CM940" i="1"/>
  <c r="CN940" i="1" s="1"/>
  <c r="CM941" i="1"/>
  <c r="CN941" i="1" s="1"/>
  <c r="CM942" i="1"/>
  <c r="CN942" i="1" s="1"/>
  <c r="CM943" i="1"/>
  <c r="CN943" i="1" s="1"/>
  <c r="CM944" i="1"/>
  <c r="CN944" i="1" s="1"/>
  <c r="CM945" i="1"/>
  <c r="CN945" i="1" s="1"/>
  <c r="CM946" i="1"/>
  <c r="CN946" i="1" s="1"/>
  <c r="CM947" i="1"/>
  <c r="CN947" i="1" s="1"/>
  <c r="CM948" i="1"/>
  <c r="CN948" i="1" s="1"/>
  <c r="CM949" i="1"/>
  <c r="CN949" i="1" s="1"/>
  <c r="CM950" i="1"/>
  <c r="CN950" i="1" s="1"/>
  <c r="CM951" i="1"/>
  <c r="CN951" i="1" s="1"/>
  <c r="CM952" i="1"/>
  <c r="CN952" i="1" s="1"/>
  <c r="CM953" i="1"/>
  <c r="CN953" i="1" s="1"/>
  <c r="CM954" i="1"/>
  <c r="CN954" i="1" s="1"/>
  <c r="CM955" i="1"/>
  <c r="CN955" i="1" s="1"/>
  <c r="CM956" i="1"/>
  <c r="CN956" i="1" s="1"/>
  <c r="CM957" i="1"/>
  <c r="CN957" i="1" s="1"/>
  <c r="CM958" i="1"/>
  <c r="CN958" i="1" s="1"/>
  <c r="CM959" i="1"/>
  <c r="CN959" i="1" s="1"/>
  <c r="CM960" i="1"/>
  <c r="CN960" i="1" s="1"/>
  <c r="CM961" i="1"/>
  <c r="CN961" i="1" s="1"/>
  <c r="CM962" i="1"/>
  <c r="CN962" i="1" s="1"/>
  <c r="CM963" i="1"/>
  <c r="CN963" i="1" s="1"/>
  <c r="CM964" i="1"/>
  <c r="CN964" i="1" s="1"/>
  <c r="CM965" i="1"/>
  <c r="CN965" i="1" s="1"/>
  <c r="CM966" i="1"/>
  <c r="CN966" i="1" s="1"/>
  <c r="CM967" i="1"/>
  <c r="CN967" i="1" s="1"/>
  <c r="CM968" i="1"/>
  <c r="CN968" i="1" s="1"/>
  <c r="CM969" i="1"/>
  <c r="CN969" i="1" s="1"/>
  <c r="CM970" i="1"/>
  <c r="CN970" i="1" s="1"/>
  <c r="CM971" i="1"/>
  <c r="CN971" i="1" s="1"/>
  <c r="CM972" i="1"/>
  <c r="CN972" i="1" s="1"/>
  <c r="CM973" i="1"/>
  <c r="CN973" i="1" s="1"/>
  <c r="CM974" i="1"/>
  <c r="CN974" i="1" s="1"/>
  <c r="CM975" i="1"/>
  <c r="CN975" i="1" s="1"/>
  <c r="CM976" i="1"/>
  <c r="CN976" i="1" s="1"/>
  <c r="CM977" i="1"/>
  <c r="CN977" i="1" s="1"/>
  <c r="CM978" i="1"/>
  <c r="CN978" i="1" s="1"/>
  <c r="CM979" i="1"/>
  <c r="CN979" i="1" s="1"/>
  <c r="CM980" i="1"/>
  <c r="CN980" i="1" s="1"/>
  <c r="CM981" i="1"/>
  <c r="CN981" i="1" s="1"/>
  <c r="CM982" i="1"/>
  <c r="CN982" i="1" s="1"/>
  <c r="CM983" i="1"/>
  <c r="CN983" i="1" s="1"/>
  <c r="CM984" i="1"/>
  <c r="CN984" i="1" s="1"/>
  <c r="CM985" i="1"/>
  <c r="CN985" i="1" s="1"/>
  <c r="CM986" i="1"/>
  <c r="CN986" i="1" s="1"/>
  <c r="CM987" i="1"/>
  <c r="CN987" i="1" s="1"/>
  <c r="CM988" i="1"/>
  <c r="CN988" i="1" s="1"/>
  <c r="CM989" i="1"/>
  <c r="CN989" i="1" s="1"/>
  <c r="CM990" i="1"/>
  <c r="CN990" i="1" s="1"/>
  <c r="CM991" i="1"/>
  <c r="CN991" i="1" s="1"/>
  <c r="CM992" i="1"/>
  <c r="CN992" i="1" s="1"/>
  <c r="CM993" i="1"/>
  <c r="CN993" i="1" s="1"/>
  <c r="CM994" i="1"/>
  <c r="CN994" i="1" s="1"/>
  <c r="CM995" i="1"/>
  <c r="CN995" i="1" s="1"/>
  <c r="CM996" i="1"/>
  <c r="CN996" i="1" s="1"/>
  <c r="CM997" i="1"/>
  <c r="CN997" i="1" s="1"/>
  <c r="CM998" i="1"/>
  <c r="CN998" i="1" s="1"/>
  <c r="CM999" i="1"/>
  <c r="CN999" i="1" s="1"/>
  <c r="CM1000" i="1"/>
  <c r="CN1000" i="1" s="1"/>
  <c r="CM1001" i="1"/>
  <c r="CN1001" i="1" s="1"/>
  <c r="CM1002" i="1"/>
  <c r="CN1002" i="1" s="1"/>
  <c r="CM1003" i="1"/>
  <c r="CN1003" i="1" s="1"/>
  <c r="CM1004" i="1"/>
  <c r="CN1004" i="1" s="1"/>
  <c r="CM1005" i="1"/>
  <c r="CN1005" i="1" s="1"/>
  <c r="CM1006" i="1"/>
  <c r="CN1006" i="1" s="1"/>
  <c r="CM1007" i="1"/>
  <c r="CN1007" i="1" s="1"/>
  <c r="CM1008" i="1"/>
  <c r="CN1008" i="1" s="1"/>
  <c r="CM1009" i="1"/>
  <c r="CN1009" i="1" s="1"/>
  <c r="CM1010" i="1"/>
  <c r="CN1010" i="1" s="1"/>
  <c r="CM1011" i="1"/>
  <c r="CN1011" i="1" s="1"/>
  <c r="CM1012" i="1"/>
  <c r="CN1012" i="1" s="1"/>
  <c r="CM1013" i="1"/>
  <c r="CN1013" i="1" s="1"/>
  <c r="CM1014" i="1"/>
  <c r="CN1014" i="1" s="1"/>
  <c r="CM1015" i="1"/>
  <c r="CN1015" i="1" s="1"/>
  <c r="CM1016" i="1"/>
  <c r="CN1016" i="1" s="1"/>
  <c r="CM1017" i="1"/>
  <c r="CN1017" i="1" s="1"/>
  <c r="CM1018" i="1"/>
  <c r="CN1018" i="1" s="1"/>
  <c r="CM1019" i="1"/>
  <c r="CN1019" i="1" s="1"/>
  <c r="CM1020" i="1"/>
  <c r="CN1020" i="1" s="1"/>
  <c r="CM1021" i="1"/>
  <c r="CN1021" i="1" s="1"/>
  <c r="CM1022" i="1"/>
  <c r="CN1022" i="1" s="1"/>
  <c r="CM1023" i="1"/>
  <c r="CN1023" i="1" s="1"/>
  <c r="CM1024" i="1"/>
  <c r="CN1024" i="1" s="1"/>
  <c r="CM1025" i="1"/>
  <c r="CN1025" i="1" s="1"/>
  <c r="CM1026" i="1"/>
  <c r="CN1026" i="1" s="1"/>
  <c r="CM1027" i="1"/>
  <c r="CN1027" i="1" s="1"/>
  <c r="CM1028" i="1"/>
  <c r="CN1028" i="1" s="1"/>
  <c r="CM1029" i="1"/>
  <c r="CN1029" i="1" s="1"/>
  <c r="CM1030" i="1"/>
  <c r="CN1030" i="1" s="1"/>
  <c r="CM1031" i="1"/>
  <c r="CN1031" i="1" s="1"/>
  <c r="CM1032" i="1"/>
  <c r="CN1032" i="1" s="1"/>
  <c r="CM1033" i="1"/>
  <c r="CN1033" i="1" s="1"/>
  <c r="CM1034" i="1"/>
  <c r="CN1034" i="1" s="1"/>
  <c r="CM1035" i="1"/>
  <c r="CN1035" i="1" s="1"/>
  <c r="CM1036" i="1"/>
  <c r="CN1036" i="1" s="1"/>
  <c r="CM1037" i="1"/>
  <c r="CN1037" i="1" s="1"/>
  <c r="CM1038" i="1"/>
  <c r="CN1038" i="1" s="1"/>
  <c r="CM1039" i="1"/>
  <c r="CN1039" i="1" s="1"/>
  <c r="CM1040" i="1"/>
  <c r="CN1040" i="1" s="1"/>
  <c r="CM1041" i="1"/>
  <c r="CN1041" i="1" s="1"/>
  <c r="CM1042" i="1"/>
  <c r="CN1042" i="1" s="1"/>
  <c r="CM1043" i="1"/>
  <c r="CN1043" i="1" s="1"/>
  <c r="CM1044" i="1"/>
  <c r="CN1044" i="1" s="1"/>
  <c r="CM1045" i="1"/>
  <c r="CN1045" i="1" s="1"/>
  <c r="CM1046" i="1"/>
  <c r="CN1046" i="1" s="1"/>
  <c r="CM1047" i="1"/>
  <c r="CN1047" i="1" s="1"/>
  <c r="CM1048" i="1"/>
  <c r="CN1048" i="1" s="1"/>
  <c r="CM1049" i="1"/>
  <c r="CN1049" i="1" s="1"/>
  <c r="CM1050" i="1"/>
  <c r="CN1050" i="1" s="1"/>
  <c r="CM1051" i="1"/>
  <c r="CN1051" i="1" s="1"/>
  <c r="CM1052" i="1"/>
  <c r="CN1052" i="1" s="1"/>
  <c r="CM1053" i="1"/>
  <c r="CN1053" i="1" s="1"/>
  <c r="CM1054" i="1"/>
  <c r="CN1054" i="1" s="1"/>
  <c r="CM1055" i="1"/>
  <c r="CN1055" i="1" s="1"/>
  <c r="CM1056" i="1"/>
  <c r="CN1056" i="1" s="1"/>
  <c r="CM1057" i="1"/>
  <c r="CN1057" i="1" s="1"/>
  <c r="CM1058" i="1"/>
  <c r="CN1058" i="1" s="1"/>
  <c r="CM1059" i="1"/>
  <c r="CN1059" i="1" s="1"/>
  <c r="CM1060" i="1"/>
  <c r="CN1060" i="1" s="1"/>
  <c r="CM1061" i="1"/>
  <c r="CN1061" i="1" s="1"/>
  <c r="CM1062" i="1"/>
  <c r="CN1062" i="1" s="1"/>
  <c r="CM1063" i="1"/>
  <c r="CN1063" i="1" s="1"/>
  <c r="CM1064" i="1"/>
  <c r="CN1064" i="1" s="1"/>
  <c r="CM1065" i="1"/>
  <c r="CN1065" i="1" s="1"/>
  <c r="CM1066" i="1"/>
  <c r="CN1066" i="1" s="1"/>
  <c r="CM1067" i="1"/>
  <c r="CN1067" i="1" s="1"/>
  <c r="CM1068" i="1"/>
  <c r="CN1068" i="1" s="1"/>
  <c r="CM1069" i="1"/>
  <c r="CN1069" i="1" s="1"/>
  <c r="CM1070" i="1"/>
  <c r="CN1070" i="1" s="1"/>
  <c r="CM1071" i="1"/>
  <c r="CN1071" i="1" s="1"/>
  <c r="CM1072" i="1"/>
  <c r="CN1072" i="1" s="1"/>
  <c r="CM1073" i="1"/>
  <c r="CN1073" i="1" s="1"/>
  <c r="CM1074" i="1"/>
  <c r="CN1074" i="1" s="1"/>
  <c r="CM1075" i="1"/>
  <c r="CN1075" i="1" s="1"/>
  <c r="CM1076" i="1"/>
  <c r="CN1076" i="1" s="1"/>
  <c r="CM1077" i="1"/>
  <c r="CN1077" i="1" s="1"/>
  <c r="CM1078" i="1"/>
  <c r="CN1078" i="1" s="1"/>
  <c r="CM1079" i="1"/>
  <c r="CN1079" i="1" s="1"/>
  <c r="CM1080" i="1"/>
  <c r="CN1080" i="1" s="1"/>
  <c r="CM1081" i="1"/>
  <c r="CN1081" i="1" s="1"/>
  <c r="CM1082" i="1"/>
  <c r="CN1082" i="1" s="1"/>
  <c r="CM1083" i="1"/>
  <c r="CN1083" i="1" s="1"/>
  <c r="CM1084" i="1"/>
  <c r="CN1084" i="1" s="1"/>
  <c r="CM1085" i="1"/>
  <c r="CN1085" i="1" s="1"/>
  <c r="CM1086" i="1"/>
  <c r="CN1086" i="1" s="1"/>
  <c r="CM1087" i="1"/>
  <c r="CN1087" i="1" s="1"/>
  <c r="CM1088" i="1"/>
  <c r="CN1088" i="1" s="1"/>
  <c r="CM1089" i="1"/>
  <c r="CN1089" i="1" s="1"/>
  <c r="CM1090" i="1"/>
  <c r="CN1090" i="1" s="1"/>
  <c r="CM1091" i="1"/>
  <c r="CN1091" i="1" s="1"/>
  <c r="CM1092" i="1"/>
  <c r="CN1092" i="1" s="1"/>
  <c r="CM1093" i="1"/>
  <c r="CN1093" i="1" s="1"/>
  <c r="CM1094" i="1"/>
  <c r="CN1094" i="1" s="1"/>
  <c r="CM1095" i="1"/>
  <c r="CN1095" i="1" s="1"/>
  <c r="CM1096" i="1"/>
  <c r="CN1096" i="1" s="1"/>
  <c r="CM1097" i="1"/>
  <c r="CN1097" i="1" s="1"/>
  <c r="CM1098" i="1"/>
  <c r="CN1098" i="1" s="1"/>
  <c r="CM1099" i="1"/>
  <c r="CN1099" i="1" s="1"/>
  <c r="CM1100" i="1"/>
  <c r="CN1100" i="1" s="1"/>
  <c r="CM1101" i="1"/>
  <c r="CN1101" i="1" s="1"/>
  <c r="CM1102" i="1"/>
  <c r="CN1102" i="1" s="1"/>
  <c r="CM1103" i="1"/>
  <c r="CN1103" i="1" s="1"/>
  <c r="CM1104" i="1"/>
  <c r="CN1104" i="1" s="1"/>
  <c r="CM1105" i="1"/>
  <c r="CN1105" i="1" s="1"/>
  <c r="CM1106" i="1"/>
  <c r="CN1106" i="1" s="1"/>
  <c r="CM1107" i="1"/>
  <c r="CN1107" i="1" s="1"/>
  <c r="CM1108" i="1"/>
  <c r="CN1108" i="1" s="1"/>
  <c r="CM1109" i="1"/>
  <c r="CN1109" i="1" s="1"/>
  <c r="CM1110" i="1"/>
  <c r="CN1110" i="1" s="1"/>
  <c r="CM1111" i="1"/>
  <c r="CN1111" i="1" s="1"/>
  <c r="CM1112" i="1"/>
  <c r="CN1112" i="1" s="1"/>
  <c r="CM1113" i="1"/>
  <c r="CN1113" i="1" s="1"/>
  <c r="CM1114" i="1"/>
  <c r="CN1114" i="1" s="1"/>
  <c r="CM1115" i="1"/>
  <c r="CN1115" i="1" s="1"/>
  <c r="CM1116" i="1"/>
  <c r="CN1116" i="1" s="1"/>
  <c r="CM1117" i="1"/>
  <c r="CN1117" i="1" s="1"/>
  <c r="CM1118" i="1"/>
  <c r="CN1118" i="1" s="1"/>
  <c r="CM1119" i="1"/>
  <c r="CN1119" i="1" s="1"/>
  <c r="CM1120" i="1"/>
  <c r="CN1120" i="1" s="1"/>
  <c r="CM1121" i="1"/>
  <c r="CN1121" i="1" s="1"/>
  <c r="CM797" i="1"/>
  <c r="CN797" i="1" s="1"/>
  <c r="CM786" i="1"/>
  <c r="CN786" i="1" s="1"/>
  <c r="CM787" i="1"/>
  <c r="CN787" i="1" s="1"/>
  <c r="CM1122" i="1"/>
  <c r="CN1122" i="1" s="1"/>
  <c r="CM1123" i="1"/>
  <c r="CN1123" i="1" s="1"/>
  <c r="CM1124" i="1"/>
  <c r="CN1124" i="1" s="1"/>
  <c r="CM1125" i="1"/>
  <c r="CN1125" i="1" s="1"/>
  <c r="CM1126" i="1"/>
  <c r="CN1126" i="1" s="1"/>
  <c r="CM1127" i="1"/>
  <c r="CN1127" i="1" s="1"/>
  <c r="CM1128" i="1"/>
  <c r="CN1128" i="1" s="1"/>
  <c r="CM1129" i="1"/>
  <c r="CN1129" i="1" s="1"/>
  <c r="CM1130" i="1"/>
  <c r="CN1130" i="1" s="1"/>
  <c r="CM1131" i="1"/>
  <c r="CN1131" i="1" s="1"/>
  <c r="CM1132" i="1"/>
  <c r="CN1132" i="1" s="1"/>
  <c r="CM1133" i="1"/>
  <c r="CN1133" i="1" s="1"/>
  <c r="CM1134" i="1"/>
  <c r="CN1134" i="1" s="1"/>
  <c r="CM1135" i="1"/>
  <c r="CN1135" i="1" s="1"/>
  <c r="CG161" i="1"/>
  <c r="CJ161" i="1" s="1"/>
  <c r="CG94" i="1"/>
  <c r="CJ94" i="1" s="1"/>
  <c r="CG446" i="1"/>
  <c r="CJ446" i="1" s="1"/>
  <c r="CG815" i="1"/>
  <c r="CJ815" i="1" s="1"/>
  <c r="CG817" i="1"/>
  <c r="CJ817" i="1" s="1"/>
  <c r="CG788" i="1"/>
  <c r="CJ788" i="1" s="1"/>
  <c r="CG821" i="1"/>
  <c r="CJ821" i="1" s="1"/>
  <c r="CG822" i="1"/>
  <c r="CJ822" i="1" s="1"/>
  <c r="CG823" i="1"/>
  <c r="CJ823" i="1" s="1"/>
  <c r="CG824" i="1"/>
  <c r="CJ824" i="1" s="1"/>
  <c r="CG825" i="1"/>
  <c r="CJ825" i="1" s="1"/>
  <c r="CG826" i="1"/>
  <c r="CJ826" i="1" s="1"/>
  <c r="CG789" i="1"/>
  <c r="CJ789" i="1" s="1"/>
  <c r="CG827" i="1"/>
  <c r="CJ827" i="1" s="1"/>
  <c r="CG828" i="1"/>
  <c r="CJ828" i="1" s="1"/>
  <c r="CG790" i="1"/>
  <c r="CJ790" i="1" s="1"/>
  <c r="CG791" i="1"/>
  <c r="CJ791" i="1" s="1"/>
  <c r="CG792" i="1"/>
  <c r="CJ792" i="1" s="1"/>
  <c r="CG793" i="1"/>
  <c r="CJ793" i="1" s="1"/>
  <c r="CG794" i="1"/>
  <c r="CJ794" i="1" s="1"/>
  <c r="CG795" i="1"/>
  <c r="CJ795" i="1" s="1"/>
  <c r="CG796" i="1"/>
  <c r="CJ796" i="1" s="1"/>
  <c r="CG816" i="1"/>
  <c r="CJ816" i="1" s="1"/>
  <c r="CG818" i="1"/>
  <c r="CJ818" i="1" s="1"/>
  <c r="CG819" i="1"/>
  <c r="CJ819" i="1" s="1"/>
  <c r="CG820" i="1"/>
  <c r="CJ820" i="1" s="1"/>
  <c r="CG838" i="1"/>
  <c r="CJ838" i="1" s="1"/>
  <c r="CG839" i="1"/>
  <c r="CJ839" i="1" s="1"/>
  <c r="CG840" i="1"/>
  <c r="CJ840" i="1" s="1"/>
  <c r="CG841" i="1"/>
  <c r="CJ841" i="1" s="1"/>
  <c r="CG842" i="1"/>
  <c r="CJ842" i="1" s="1"/>
  <c r="CG843" i="1"/>
  <c r="CJ843" i="1" s="1"/>
  <c r="CG844" i="1"/>
  <c r="CJ844" i="1" s="1"/>
  <c r="CG845" i="1"/>
  <c r="CJ845" i="1" s="1"/>
  <c r="CG846" i="1"/>
  <c r="CJ846" i="1" s="1"/>
  <c r="CG847" i="1"/>
  <c r="CJ847" i="1" s="1"/>
  <c r="CG848" i="1"/>
  <c r="CJ848" i="1" s="1"/>
  <c r="CG849" i="1"/>
  <c r="CJ849" i="1" s="1"/>
  <c r="CG850" i="1"/>
  <c r="CJ850" i="1" s="1"/>
  <c r="CG851" i="1"/>
  <c r="CJ851" i="1" s="1"/>
  <c r="CG852" i="1"/>
  <c r="CJ852" i="1" s="1"/>
  <c r="CG853" i="1"/>
  <c r="CJ853" i="1" s="1"/>
  <c r="CG854" i="1"/>
  <c r="CJ854" i="1" s="1"/>
  <c r="CG855" i="1"/>
  <c r="CJ855" i="1" s="1"/>
  <c r="CG856" i="1"/>
  <c r="CJ856" i="1" s="1"/>
  <c r="CG857" i="1"/>
  <c r="CJ857" i="1" s="1"/>
  <c r="CG858" i="1"/>
  <c r="CJ858" i="1" s="1"/>
  <c r="CG859" i="1"/>
  <c r="CJ859" i="1" s="1"/>
  <c r="CG860" i="1"/>
  <c r="CJ860" i="1" s="1"/>
  <c r="CG861" i="1"/>
  <c r="CJ861" i="1" s="1"/>
  <c r="CG900" i="1"/>
  <c r="CJ900" i="1" s="1"/>
  <c r="CG901" i="1"/>
  <c r="CJ901" i="1" s="1"/>
  <c r="CG902" i="1"/>
  <c r="CJ902" i="1" s="1"/>
  <c r="CG904" i="1"/>
  <c r="CJ904" i="1" s="1"/>
  <c r="CG905" i="1"/>
  <c r="CJ905" i="1" s="1"/>
  <c r="CG906" i="1"/>
  <c r="CJ906" i="1" s="1"/>
  <c r="CG1073" i="1"/>
  <c r="CJ1073" i="1" s="1"/>
  <c r="CG1086" i="1"/>
  <c r="CJ1086" i="1" s="1"/>
  <c r="CG797" i="1"/>
  <c r="CJ797" i="1" s="1"/>
  <c r="CG786" i="1"/>
  <c r="CJ786" i="1" s="1"/>
  <c r="CG787" i="1"/>
  <c r="CJ787" i="1" s="1"/>
  <c r="CG1122" i="1"/>
  <c r="CJ1122" i="1" s="1"/>
  <c r="CG1123" i="1"/>
  <c r="CJ1123" i="1" s="1"/>
  <c r="CG1124" i="1"/>
  <c r="CJ1124" i="1" s="1"/>
  <c r="CG1125" i="1"/>
  <c r="CJ1125" i="1" s="1"/>
  <c r="CG1126" i="1"/>
  <c r="CJ1126" i="1" s="1"/>
  <c r="CG1127" i="1"/>
  <c r="CJ1127" i="1" s="1"/>
  <c r="CG1128" i="1"/>
  <c r="CJ1128" i="1" s="1"/>
  <c r="CG1129" i="1"/>
  <c r="CJ1129" i="1" s="1"/>
  <c r="CG1130" i="1"/>
  <c r="CJ1130" i="1" s="1"/>
  <c r="CG1131" i="1"/>
  <c r="CJ1131" i="1" s="1"/>
  <c r="CG1132" i="1"/>
  <c r="CJ1132" i="1" s="1"/>
  <c r="CG1133" i="1"/>
  <c r="CJ1133" i="1" s="1"/>
  <c r="CG1134" i="1"/>
  <c r="CJ1134" i="1" s="1"/>
  <c r="CG1135" i="1"/>
  <c r="CJ1135" i="1" s="1"/>
  <c r="CD4" i="1"/>
  <c r="CH4" i="1" s="1"/>
  <c r="CI4" i="1" s="1"/>
  <c r="CD5" i="1"/>
  <c r="CH5" i="1" s="1"/>
  <c r="CI5" i="1" s="1"/>
  <c r="CD6" i="1"/>
  <c r="CH6" i="1" s="1"/>
  <c r="CI6" i="1" s="1"/>
  <c r="CD7" i="1"/>
  <c r="CH7" i="1" s="1"/>
  <c r="CI7" i="1" s="1"/>
  <c r="CD8" i="1"/>
  <c r="CH8" i="1" s="1"/>
  <c r="CI8" i="1" s="1"/>
  <c r="CD9" i="1"/>
  <c r="CH9" i="1" s="1"/>
  <c r="CI9" i="1" s="1"/>
  <c r="CD10" i="1"/>
  <c r="CH10" i="1" s="1"/>
  <c r="CI10" i="1" s="1"/>
  <c r="CD11" i="1"/>
  <c r="CH11" i="1" s="1"/>
  <c r="CI11" i="1" s="1"/>
  <c r="CD12" i="1"/>
  <c r="CH12" i="1" s="1"/>
  <c r="CI12" i="1" s="1"/>
  <c r="CD13" i="1"/>
  <c r="CH13" i="1" s="1"/>
  <c r="CI13" i="1" s="1"/>
  <c r="CD14" i="1"/>
  <c r="CH14" i="1" s="1"/>
  <c r="CI14" i="1" s="1"/>
  <c r="CD15" i="1"/>
  <c r="CH15" i="1" s="1"/>
  <c r="CI15" i="1" s="1"/>
  <c r="CD16" i="1"/>
  <c r="CH16" i="1" s="1"/>
  <c r="CI16" i="1" s="1"/>
  <c r="CD17" i="1"/>
  <c r="CH17" i="1" s="1"/>
  <c r="CI17" i="1" s="1"/>
  <c r="CD18" i="1"/>
  <c r="CH18" i="1" s="1"/>
  <c r="CI18" i="1" s="1"/>
  <c r="CD19" i="1"/>
  <c r="CH19" i="1" s="1"/>
  <c r="CI19" i="1" s="1"/>
  <c r="CD21" i="1"/>
  <c r="CH21" i="1" s="1"/>
  <c r="CI21" i="1" s="1"/>
  <c r="CD22" i="1"/>
  <c r="CH22" i="1" s="1"/>
  <c r="CI22" i="1" s="1"/>
  <c r="CD257" i="1"/>
  <c r="CH257" i="1" s="1"/>
  <c r="CI257" i="1" s="1"/>
  <c r="CD23" i="1"/>
  <c r="CH23" i="1" s="1"/>
  <c r="CI23" i="1" s="1"/>
  <c r="CD24" i="1"/>
  <c r="CH24" i="1" s="1"/>
  <c r="CI24" i="1" s="1"/>
  <c r="CD25" i="1"/>
  <c r="CH25" i="1" s="1"/>
  <c r="CI25" i="1" s="1"/>
  <c r="CD26" i="1"/>
  <c r="CH26" i="1" s="1"/>
  <c r="CI26" i="1" s="1"/>
  <c r="CD27" i="1"/>
  <c r="CH27" i="1" s="1"/>
  <c r="CI27" i="1" s="1"/>
  <c r="CD28" i="1"/>
  <c r="CH28" i="1" s="1"/>
  <c r="CI28" i="1" s="1"/>
  <c r="CD29" i="1"/>
  <c r="CH29" i="1" s="1"/>
  <c r="CI29" i="1" s="1"/>
  <c r="CD30" i="1"/>
  <c r="CH30" i="1" s="1"/>
  <c r="CI30" i="1" s="1"/>
  <c r="CD161" i="1"/>
  <c r="CH161" i="1" s="1"/>
  <c r="CI161" i="1" s="1"/>
  <c r="CD33" i="1"/>
  <c r="CH33" i="1" s="1"/>
  <c r="CI33" i="1" s="1"/>
  <c r="CD34" i="1"/>
  <c r="CH34" i="1" s="1"/>
  <c r="CI34" i="1" s="1"/>
  <c r="CD35" i="1"/>
  <c r="CH35" i="1" s="1"/>
  <c r="CI35" i="1" s="1"/>
  <c r="CD36" i="1"/>
  <c r="CH36" i="1" s="1"/>
  <c r="CI36" i="1" s="1"/>
  <c r="CD37" i="1"/>
  <c r="CH37" i="1" s="1"/>
  <c r="CI37" i="1" s="1"/>
  <c r="CD363" i="1"/>
  <c r="CH363" i="1" s="1"/>
  <c r="CI363" i="1" s="1"/>
  <c r="CD38" i="1"/>
  <c r="CH38" i="1" s="1"/>
  <c r="CI38" i="1" s="1"/>
  <c r="CD39" i="1"/>
  <c r="CH39" i="1" s="1"/>
  <c r="CI39" i="1" s="1"/>
  <c r="CD40" i="1"/>
  <c r="CH40" i="1" s="1"/>
  <c r="CI40" i="1" s="1"/>
  <c r="CD219" i="1"/>
  <c r="CH219" i="1" s="1"/>
  <c r="CI219" i="1" s="1"/>
  <c r="CD319" i="1"/>
  <c r="CH319" i="1" s="1"/>
  <c r="CI319" i="1" s="1"/>
  <c r="CD41" i="1"/>
  <c r="CH41" i="1" s="1"/>
  <c r="CI41" i="1" s="1"/>
  <c r="CD42" i="1"/>
  <c r="CH42" i="1" s="1"/>
  <c r="CI42" i="1" s="1"/>
  <c r="CD43" i="1"/>
  <c r="CH43" i="1" s="1"/>
  <c r="CI43" i="1" s="1"/>
  <c r="CD44" i="1"/>
  <c r="CH44" i="1" s="1"/>
  <c r="CI44" i="1" s="1"/>
  <c r="CD45" i="1"/>
  <c r="CH45" i="1" s="1"/>
  <c r="CI45" i="1" s="1"/>
  <c r="CD46" i="1"/>
  <c r="CH46" i="1" s="1"/>
  <c r="CI46" i="1" s="1"/>
  <c r="CD47" i="1"/>
  <c r="CH47" i="1" s="1"/>
  <c r="CI47" i="1" s="1"/>
  <c r="CD48" i="1"/>
  <c r="CH48" i="1" s="1"/>
  <c r="CI48" i="1" s="1"/>
  <c r="CD49" i="1"/>
  <c r="CH49" i="1" s="1"/>
  <c r="CI49" i="1" s="1"/>
  <c r="CD50" i="1"/>
  <c r="CH50" i="1" s="1"/>
  <c r="CI50" i="1" s="1"/>
  <c r="CD51" i="1"/>
  <c r="CH51" i="1" s="1"/>
  <c r="CI51" i="1" s="1"/>
  <c r="CD52" i="1"/>
  <c r="CH52" i="1" s="1"/>
  <c r="CI52" i="1" s="1"/>
  <c r="CD53" i="1"/>
  <c r="CH53" i="1" s="1"/>
  <c r="CI53" i="1" s="1"/>
  <c r="CD54" i="1"/>
  <c r="CH54" i="1" s="1"/>
  <c r="CI54" i="1" s="1"/>
  <c r="CD55" i="1"/>
  <c r="CH55" i="1" s="1"/>
  <c r="CI55" i="1" s="1"/>
  <c r="CD56" i="1"/>
  <c r="CH56" i="1" s="1"/>
  <c r="CI56" i="1" s="1"/>
  <c r="CD57" i="1"/>
  <c r="CH57" i="1" s="1"/>
  <c r="CI57" i="1" s="1"/>
  <c r="CD58" i="1"/>
  <c r="CH58" i="1" s="1"/>
  <c r="CI58" i="1" s="1"/>
  <c r="CD59" i="1"/>
  <c r="CH59" i="1" s="1"/>
  <c r="CI59" i="1" s="1"/>
  <c r="CD60" i="1"/>
  <c r="CH60" i="1" s="1"/>
  <c r="CI60" i="1" s="1"/>
  <c r="CD61" i="1"/>
  <c r="CH61" i="1" s="1"/>
  <c r="CI61" i="1" s="1"/>
  <c r="CD62" i="1"/>
  <c r="CH62" i="1" s="1"/>
  <c r="CI62" i="1" s="1"/>
  <c r="CD63" i="1"/>
  <c r="CH63" i="1" s="1"/>
  <c r="CI63" i="1" s="1"/>
  <c r="CD64" i="1"/>
  <c r="CH64" i="1" s="1"/>
  <c r="CI64" i="1" s="1"/>
  <c r="CD65" i="1"/>
  <c r="CH65" i="1" s="1"/>
  <c r="CI65" i="1" s="1"/>
  <c r="CD66" i="1"/>
  <c r="CH66" i="1" s="1"/>
  <c r="CI66" i="1" s="1"/>
  <c r="CD67" i="1"/>
  <c r="CH67" i="1" s="1"/>
  <c r="CI67" i="1" s="1"/>
  <c r="CD70" i="1"/>
  <c r="CH70" i="1" s="1"/>
  <c r="CI70" i="1" s="1"/>
  <c r="CD71" i="1"/>
  <c r="CH71" i="1" s="1"/>
  <c r="CI71" i="1" s="1"/>
  <c r="CD72" i="1"/>
  <c r="CH72" i="1" s="1"/>
  <c r="CI72" i="1" s="1"/>
  <c r="CD73" i="1"/>
  <c r="CH73" i="1" s="1"/>
  <c r="CI73" i="1" s="1"/>
  <c r="CD74" i="1"/>
  <c r="CH74" i="1" s="1"/>
  <c r="CI74" i="1" s="1"/>
  <c r="CD75" i="1"/>
  <c r="CH75" i="1" s="1"/>
  <c r="CI75" i="1" s="1"/>
  <c r="CD76" i="1"/>
  <c r="CH76" i="1" s="1"/>
  <c r="CI76" i="1" s="1"/>
  <c r="CD77" i="1"/>
  <c r="CH77" i="1" s="1"/>
  <c r="CI77" i="1" s="1"/>
  <c r="CD78" i="1"/>
  <c r="CH78" i="1" s="1"/>
  <c r="CI78" i="1" s="1"/>
  <c r="CD79" i="1"/>
  <c r="CH79" i="1" s="1"/>
  <c r="CI79" i="1" s="1"/>
  <c r="CD80" i="1"/>
  <c r="CH80" i="1" s="1"/>
  <c r="CI80" i="1" s="1"/>
  <c r="CD81" i="1"/>
  <c r="CH81" i="1" s="1"/>
  <c r="CI81" i="1" s="1"/>
  <c r="CD82" i="1"/>
  <c r="CH82" i="1" s="1"/>
  <c r="CI82" i="1" s="1"/>
  <c r="CD83" i="1"/>
  <c r="CH83" i="1" s="1"/>
  <c r="CI83" i="1" s="1"/>
  <c r="CD84" i="1"/>
  <c r="CH84" i="1" s="1"/>
  <c r="CI84" i="1" s="1"/>
  <c r="CD85" i="1"/>
  <c r="CH85" i="1" s="1"/>
  <c r="CI85" i="1" s="1"/>
  <c r="CD86" i="1"/>
  <c r="CH86" i="1" s="1"/>
  <c r="CI86" i="1" s="1"/>
  <c r="CD87" i="1"/>
  <c r="CH87" i="1" s="1"/>
  <c r="CI87" i="1" s="1"/>
  <c r="CD88" i="1"/>
  <c r="CH88" i="1" s="1"/>
  <c r="CI88" i="1" s="1"/>
  <c r="CD89" i="1"/>
  <c r="CH89" i="1" s="1"/>
  <c r="CI89" i="1" s="1"/>
  <c r="CD90" i="1"/>
  <c r="CH90" i="1" s="1"/>
  <c r="CI90" i="1" s="1"/>
  <c r="CD91" i="1"/>
  <c r="CH91" i="1" s="1"/>
  <c r="CI91" i="1" s="1"/>
  <c r="CD92" i="1"/>
  <c r="CH92" i="1" s="1"/>
  <c r="CI92" i="1" s="1"/>
  <c r="CD94" i="1"/>
  <c r="CH94" i="1" s="1"/>
  <c r="CI94" i="1" s="1"/>
  <c r="CD95" i="1"/>
  <c r="CH95" i="1" s="1"/>
  <c r="CI95" i="1" s="1"/>
  <c r="CD96" i="1"/>
  <c r="CH96" i="1" s="1"/>
  <c r="CI96" i="1" s="1"/>
  <c r="CD97" i="1"/>
  <c r="CH97" i="1" s="1"/>
  <c r="CI97" i="1" s="1"/>
  <c r="CD98" i="1"/>
  <c r="CH98" i="1" s="1"/>
  <c r="CI98" i="1" s="1"/>
  <c r="CD240" i="1"/>
  <c r="CH240" i="1" s="1"/>
  <c r="CI240" i="1" s="1"/>
  <c r="CD99" i="1"/>
  <c r="CH99" i="1" s="1"/>
  <c r="CI99" i="1" s="1"/>
  <c r="CD100" i="1"/>
  <c r="CH100" i="1" s="1"/>
  <c r="CI100" i="1" s="1"/>
  <c r="CD101" i="1"/>
  <c r="CH101" i="1" s="1"/>
  <c r="CI101" i="1" s="1"/>
  <c r="CD102" i="1"/>
  <c r="CH102" i="1" s="1"/>
  <c r="CI102" i="1" s="1"/>
  <c r="CD103" i="1"/>
  <c r="CH103" i="1" s="1"/>
  <c r="CI103" i="1" s="1"/>
  <c r="CD104" i="1"/>
  <c r="CH104" i="1" s="1"/>
  <c r="CI104" i="1" s="1"/>
  <c r="CD341" i="1"/>
  <c r="CH341" i="1" s="1"/>
  <c r="CI341" i="1" s="1"/>
  <c r="CD105" i="1"/>
  <c r="CH105" i="1" s="1"/>
  <c r="CI105" i="1" s="1"/>
  <c r="CD106" i="1"/>
  <c r="CH106" i="1" s="1"/>
  <c r="CI106" i="1" s="1"/>
  <c r="CD107" i="1"/>
  <c r="CH107" i="1" s="1"/>
  <c r="CI107" i="1" s="1"/>
  <c r="CD108" i="1"/>
  <c r="CH108" i="1" s="1"/>
  <c r="CI108" i="1" s="1"/>
  <c r="CD109" i="1"/>
  <c r="CH109" i="1" s="1"/>
  <c r="CI109" i="1" s="1"/>
  <c r="CD110" i="1"/>
  <c r="CH110" i="1" s="1"/>
  <c r="CI110" i="1" s="1"/>
  <c r="CD111" i="1"/>
  <c r="CH111" i="1" s="1"/>
  <c r="CI111" i="1" s="1"/>
  <c r="CD68" i="1"/>
  <c r="CH68" i="1" s="1"/>
  <c r="CI68" i="1" s="1"/>
  <c r="CD69" i="1"/>
  <c r="CH69" i="1" s="1"/>
  <c r="CI69" i="1" s="1"/>
  <c r="CD112" i="1"/>
  <c r="CH112" i="1" s="1"/>
  <c r="CI112" i="1" s="1"/>
  <c r="CD113" i="1"/>
  <c r="CH113" i="1" s="1"/>
  <c r="CI113" i="1" s="1"/>
  <c r="CD114" i="1"/>
  <c r="CH114" i="1" s="1"/>
  <c r="CI114" i="1" s="1"/>
  <c r="CD115" i="1"/>
  <c r="CH115" i="1" s="1"/>
  <c r="CI115" i="1" s="1"/>
  <c r="CD116" i="1"/>
  <c r="CH116" i="1" s="1"/>
  <c r="CI116" i="1" s="1"/>
  <c r="CD117" i="1"/>
  <c r="CH117" i="1" s="1"/>
  <c r="CI117" i="1" s="1"/>
  <c r="CD118" i="1"/>
  <c r="CH118" i="1" s="1"/>
  <c r="CI118" i="1" s="1"/>
  <c r="CD119" i="1"/>
  <c r="CH119" i="1" s="1"/>
  <c r="CI119" i="1" s="1"/>
  <c r="CD120" i="1"/>
  <c r="CH120" i="1" s="1"/>
  <c r="CI120" i="1" s="1"/>
  <c r="CD121" i="1"/>
  <c r="CH121" i="1" s="1"/>
  <c r="CI121" i="1" s="1"/>
  <c r="CD122" i="1"/>
  <c r="CH122" i="1" s="1"/>
  <c r="CI122" i="1" s="1"/>
  <c r="CD123" i="1"/>
  <c r="CH123" i="1" s="1"/>
  <c r="CI123" i="1" s="1"/>
  <c r="CD124" i="1"/>
  <c r="CH124" i="1" s="1"/>
  <c r="CI124" i="1" s="1"/>
  <c r="CD125" i="1"/>
  <c r="CH125" i="1" s="1"/>
  <c r="CI125" i="1" s="1"/>
  <c r="CD126" i="1"/>
  <c r="CH126" i="1" s="1"/>
  <c r="CI126" i="1" s="1"/>
  <c r="CD127" i="1"/>
  <c r="CH127" i="1" s="1"/>
  <c r="CI127" i="1" s="1"/>
  <c r="CD128" i="1"/>
  <c r="CH128" i="1" s="1"/>
  <c r="CI128" i="1" s="1"/>
  <c r="CD129" i="1"/>
  <c r="CH129" i="1" s="1"/>
  <c r="CI129" i="1" s="1"/>
  <c r="CD130" i="1"/>
  <c r="CH130" i="1" s="1"/>
  <c r="CI130" i="1" s="1"/>
  <c r="CD131" i="1"/>
  <c r="CH131" i="1" s="1"/>
  <c r="CI131" i="1" s="1"/>
  <c r="CD132" i="1"/>
  <c r="CH132" i="1" s="1"/>
  <c r="CI132" i="1" s="1"/>
  <c r="CD133" i="1"/>
  <c r="CH133" i="1" s="1"/>
  <c r="CI133" i="1" s="1"/>
  <c r="CD134" i="1"/>
  <c r="CH134" i="1" s="1"/>
  <c r="CI134" i="1" s="1"/>
  <c r="CD135" i="1"/>
  <c r="CH135" i="1" s="1"/>
  <c r="CI135" i="1" s="1"/>
  <c r="CD136" i="1"/>
  <c r="CH136" i="1" s="1"/>
  <c r="CI136" i="1" s="1"/>
  <c r="CD137" i="1"/>
  <c r="CH137" i="1" s="1"/>
  <c r="CI137" i="1" s="1"/>
  <c r="CD138" i="1"/>
  <c r="CH138" i="1" s="1"/>
  <c r="CI138" i="1" s="1"/>
  <c r="CD139" i="1"/>
  <c r="CH139" i="1" s="1"/>
  <c r="CI139" i="1" s="1"/>
  <c r="CD140" i="1"/>
  <c r="CH140" i="1" s="1"/>
  <c r="CI140" i="1" s="1"/>
  <c r="CD237" i="1"/>
  <c r="CH237" i="1" s="1"/>
  <c r="CI237" i="1" s="1"/>
  <c r="CD141" i="1"/>
  <c r="CH141" i="1" s="1"/>
  <c r="CI141" i="1" s="1"/>
  <c r="CD142" i="1"/>
  <c r="CH142" i="1" s="1"/>
  <c r="CI142" i="1" s="1"/>
  <c r="CD143" i="1"/>
  <c r="CH143" i="1" s="1"/>
  <c r="CI143" i="1" s="1"/>
  <c r="CD144" i="1"/>
  <c r="CH144" i="1" s="1"/>
  <c r="CI144" i="1" s="1"/>
  <c r="CD145" i="1"/>
  <c r="CH145" i="1" s="1"/>
  <c r="CI145" i="1" s="1"/>
  <c r="CD146" i="1"/>
  <c r="CH146" i="1" s="1"/>
  <c r="CI146" i="1" s="1"/>
  <c r="CD147" i="1"/>
  <c r="CH147" i="1" s="1"/>
  <c r="CI147" i="1" s="1"/>
  <c r="CD148" i="1"/>
  <c r="CH148" i="1" s="1"/>
  <c r="CI148" i="1" s="1"/>
  <c r="CD149" i="1"/>
  <c r="CH149" i="1" s="1"/>
  <c r="CI149" i="1" s="1"/>
  <c r="CD150" i="1"/>
  <c r="CH150" i="1" s="1"/>
  <c r="CI150" i="1" s="1"/>
  <c r="CD151" i="1"/>
  <c r="CH151" i="1" s="1"/>
  <c r="CI151" i="1" s="1"/>
  <c r="CD152" i="1"/>
  <c r="CH152" i="1" s="1"/>
  <c r="CI152" i="1" s="1"/>
  <c r="CD153" i="1"/>
  <c r="CH153" i="1" s="1"/>
  <c r="CI153" i="1" s="1"/>
  <c r="CD154" i="1"/>
  <c r="CH154" i="1" s="1"/>
  <c r="CI154" i="1" s="1"/>
  <c r="CD155" i="1"/>
  <c r="CH155" i="1" s="1"/>
  <c r="CI155" i="1" s="1"/>
  <c r="CD156" i="1"/>
  <c r="CH156" i="1" s="1"/>
  <c r="CI156" i="1" s="1"/>
  <c r="CD157" i="1"/>
  <c r="CH157" i="1" s="1"/>
  <c r="CI157" i="1" s="1"/>
  <c r="CD158" i="1"/>
  <c r="CH158" i="1" s="1"/>
  <c r="CI158" i="1" s="1"/>
  <c r="CD159" i="1"/>
  <c r="CH159" i="1" s="1"/>
  <c r="CI159" i="1" s="1"/>
  <c r="CD160" i="1"/>
  <c r="CH160" i="1" s="1"/>
  <c r="CI160" i="1" s="1"/>
  <c r="CD162" i="1"/>
  <c r="CH162" i="1" s="1"/>
  <c r="CI162" i="1" s="1"/>
  <c r="CD163" i="1"/>
  <c r="CH163" i="1" s="1"/>
  <c r="CI163" i="1" s="1"/>
  <c r="CD164" i="1"/>
  <c r="CH164" i="1" s="1"/>
  <c r="CI164" i="1" s="1"/>
  <c r="CD165" i="1"/>
  <c r="CH165" i="1" s="1"/>
  <c r="CI165" i="1" s="1"/>
  <c r="CD166" i="1"/>
  <c r="CH166" i="1" s="1"/>
  <c r="CI166" i="1" s="1"/>
  <c r="CD167" i="1"/>
  <c r="CH167" i="1" s="1"/>
  <c r="CI167" i="1" s="1"/>
  <c r="CD168" i="1"/>
  <c r="CH168" i="1" s="1"/>
  <c r="CI168" i="1" s="1"/>
  <c r="CD169" i="1"/>
  <c r="CH169" i="1" s="1"/>
  <c r="CI169" i="1" s="1"/>
  <c r="CD170" i="1"/>
  <c r="CH170" i="1" s="1"/>
  <c r="CI170" i="1" s="1"/>
  <c r="CD171" i="1"/>
  <c r="CH171" i="1" s="1"/>
  <c r="CI171" i="1" s="1"/>
  <c r="CD172" i="1"/>
  <c r="CH172" i="1" s="1"/>
  <c r="CI172" i="1" s="1"/>
  <c r="CD173" i="1"/>
  <c r="CH173" i="1" s="1"/>
  <c r="CI173" i="1" s="1"/>
  <c r="CD174" i="1"/>
  <c r="CH174" i="1" s="1"/>
  <c r="CI174" i="1" s="1"/>
  <c r="CD175" i="1"/>
  <c r="CH175" i="1" s="1"/>
  <c r="CI175" i="1" s="1"/>
  <c r="CD176" i="1"/>
  <c r="CH176" i="1" s="1"/>
  <c r="CI176" i="1" s="1"/>
  <c r="CD675" i="1"/>
  <c r="CH675" i="1" s="1"/>
  <c r="CI675" i="1" s="1"/>
  <c r="CD178" i="1"/>
  <c r="CH178" i="1" s="1"/>
  <c r="CI178" i="1" s="1"/>
  <c r="CD179" i="1"/>
  <c r="CH179" i="1" s="1"/>
  <c r="CI179" i="1" s="1"/>
  <c r="CD180" i="1"/>
  <c r="CH180" i="1" s="1"/>
  <c r="CI180" i="1" s="1"/>
  <c r="CD181" i="1"/>
  <c r="CH181" i="1" s="1"/>
  <c r="CI181" i="1" s="1"/>
  <c r="CD182" i="1"/>
  <c r="CH182" i="1" s="1"/>
  <c r="CI182" i="1" s="1"/>
  <c r="CD183" i="1"/>
  <c r="CH183" i="1" s="1"/>
  <c r="CI183" i="1" s="1"/>
  <c r="CD184" i="1"/>
  <c r="CH184" i="1" s="1"/>
  <c r="CI184" i="1" s="1"/>
  <c r="CD185" i="1"/>
  <c r="CH185" i="1" s="1"/>
  <c r="CI185" i="1" s="1"/>
  <c r="CD187" i="1"/>
  <c r="CH187" i="1" s="1"/>
  <c r="CI187" i="1" s="1"/>
  <c r="CD188" i="1"/>
  <c r="CH188" i="1" s="1"/>
  <c r="CI188" i="1" s="1"/>
  <c r="CD189" i="1"/>
  <c r="CH189" i="1" s="1"/>
  <c r="CI189" i="1" s="1"/>
  <c r="CD190" i="1"/>
  <c r="CH190" i="1" s="1"/>
  <c r="CI190" i="1" s="1"/>
  <c r="CD191" i="1"/>
  <c r="CH191" i="1" s="1"/>
  <c r="CI191" i="1" s="1"/>
  <c r="CD192" i="1"/>
  <c r="CH192" i="1" s="1"/>
  <c r="CI192" i="1" s="1"/>
  <c r="CD193" i="1"/>
  <c r="CH193" i="1" s="1"/>
  <c r="CI193" i="1" s="1"/>
  <c r="CD194" i="1"/>
  <c r="CH194" i="1" s="1"/>
  <c r="CI194" i="1" s="1"/>
  <c r="CD195" i="1"/>
  <c r="CH195" i="1" s="1"/>
  <c r="CI195" i="1" s="1"/>
  <c r="CD196" i="1"/>
  <c r="CH196" i="1" s="1"/>
  <c r="CI196" i="1" s="1"/>
  <c r="CD197" i="1"/>
  <c r="CH197" i="1" s="1"/>
  <c r="CI197" i="1" s="1"/>
  <c r="CD198" i="1"/>
  <c r="CH198" i="1" s="1"/>
  <c r="CI198" i="1" s="1"/>
  <c r="CD199" i="1"/>
  <c r="CH199" i="1" s="1"/>
  <c r="CI199" i="1" s="1"/>
  <c r="CD200" i="1"/>
  <c r="CH200" i="1" s="1"/>
  <c r="CI200" i="1" s="1"/>
  <c r="CD201" i="1"/>
  <c r="CH201" i="1" s="1"/>
  <c r="CI201" i="1" s="1"/>
  <c r="CD202" i="1"/>
  <c r="CH202" i="1" s="1"/>
  <c r="CI202" i="1" s="1"/>
  <c r="CD691" i="1"/>
  <c r="CH691" i="1" s="1"/>
  <c r="CI691" i="1" s="1"/>
  <c r="CD203" i="1"/>
  <c r="CH203" i="1" s="1"/>
  <c r="CI203" i="1" s="1"/>
  <c r="CD204" i="1"/>
  <c r="CH204" i="1" s="1"/>
  <c r="CI204" i="1" s="1"/>
  <c r="CD206" i="1"/>
  <c r="CH206" i="1" s="1"/>
  <c r="CI206" i="1" s="1"/>
  <c r="CD207" i="1"/>
  <c r="CH207" i="1" s="1"/>
  <c r="CI207" i="1" s="1"/>
  <c r="CD208" i="1"/>
  <c r="CH208" i="1" s="1"/>
  <c r="CI208" i="1" s="1"/>
  <c r="CD209" i="1"/>
  <c r="CH209" i="1" s="1"/>
  <c r="CI209" i="1" s="1"/>
  <c r="CD210" i="1"/>
  <c r="CH210" i="1" s="1"/>
  <c r="CI210" i="1" s="1"/>
  <c r="CD211" i="1"/>
  <c r="CH211" i="1" s="1"/>
  <c r="CI211" i="1" s="1"/>
  <c r="CD485" i="1"/>
  <c r="CH485" i="1" s="1"/>
  <c r="CI485" i="1" s="1"/>
  <c r="CD213" i="1"/>
  <c r="CH213" i="1" s="1"/>
  <c r="CI213" i="1" s="1"/>
  <c r="CD214" i="1"/>
  <c r="CH214" i="1" s="1"/>
  <c r="CI214" i="1" s="1"/>
  <c r="CD215" i="1"/>
  <c r="CH215" i="1" s="1"/>
  <c r="CI215" i="1" s="1"/>
  <c r="CD216" i="1"/>
  <c r="CH216" i="1" s="1"/>
  <c r="CI216" i="1" s="1"/>
  <c r="CD217" i="1"/>
  <c r="CH217" i="1" s="1"/>
  <c r="CI217" i="1" s="1"/>
  <c r="CD218" i="1"/>
  <c r="CH218" i="1" s="1"/>
  <c r="CI218" i="1" s="1"/>
  <c r="CD220" i="1"/>
  <c r="CH220" i="1" s="1"/>
  <c r="CI220" i="1" s="1"/>
  <c r="CD221" i="1"/>
  <c r="CH221" i="1" s="1"/>
  <c r="CI221" i="1" s="1"/>
  <c r="CD222" i="1"/>
  <c r="CH222" i="1" s="1"/>
  <c r="CI222" i="1" s="1"/>
  <c r="CD672" i="1"/>
  <c r="CH672" i="1" s="1"/>
  <c r="CI672" i="1" s="1"/>
  <c r="CD224" i="1"/>
  <c r="CH224" i="1" s="1"/>
  <c r="CI224" i="1" s="1"/>
  <c r="CD225" i="1"/>
  <c r="CH225" i="1" s="1"/>
  <c r="CI225" i="1" s="1"/>
  <c r="CD226" i="1"/>
  <c r="CH226" i="1" s="1"/>
  <c r="CI226" i="1" s="1"/>
  <c r="CD227" i="1"/>
  <c r="CH227" i="1" s="1"/>
  <c r="CI227" i="1" s="1"/>
  <c r="CD228" i="1"/>
  <c r="CH228" i="1" s="1"/>
  <c r="CI228" i="1" s="1"/>
  <c r="CD229" i="1"/>
  <c r="CH229" i="1" s="1"/>
  <c r="CI229" i="1" s="1"/>
  <c r="CD230" i="1"/>
  <c r="CH230" i="1" s="1"/>
  <c r="CI230" i="1" s="1"/>
  <c r="CD231" i="1"/>
  <c r="CH231" i="1" s="1"/>
  <c r="CI231" i="1" s="1"/>
  <c r="CD232" i="1"/>
  <c r="CH232" i="1" s="1"/>
  <c r="CI232" i="1" s="1"/>
  <c r="CD233" i="1"/>
  <c r="CH233" i="1" s="1"/>
  <c r="CI233" i="1" s="1"/>
  <c r="CD234" i="1"/>
  <c r="CH234" i="1" s="1"/>
  <c r="CI234" i="1" s="1"/>
  <c r="CD235" i="1"/>
  <c r="CH235" i="1" s="1"/>
  <c r="CI235" i="1" s="1"/>
  <c r="CD236" i="1"/>
  <c r="CH236" i="1" s="1"/>
  <c r="CI236" i="1" s="1"/>
  <c r="CD238" i="1"/>
  <c r="CH238" i="1" s="1"/>
  <c r="CI238" i="1" s="1"/>
  <c r="CD239" i="1"/>
  <c r="CH239" i="1" s="1"/>
  <c r="CI239" i="1" s="1"/>
  <c r="CD241" i="1"/>
  <c r="CH241" i="1" s="1"/>
  <c r="CI241" i="1" s="1"/>
  <c r="CD242" i="1"/>
  <c r="CH242" i="1" s="1"/>
  <c r="CI242" i="1" s="1"/>
  <c r="CD289" i="1"/>
  <c r="CH289" i="1" s="1"/>
  <c r="CI289" i="1" s="1"/>
  <c r="CD243" i="1"/>
  <c r="CH243" i="1" s="1"/>
  <c r="CI243" i="1" s="1"/>
  <c r="CD244" i="1"/>
  <c r="CH244" i="1" s="1"/>
  <c r="CI244" i="1" s="1"/>
  <c r="CD245" i="1"/>
  <c r="CH245" i="1" s="1"/>
  <c r="CI245" i="1" s="1"/>
  <c r="CD246" i="1"/>
  <c r="CH246" i="1" s="1"/>
  <c r="CI246" i="1" s="1"/>
  <c r="CD247" i="1"/>
  <c r="CH247" i="1" s="1"/>
  <c r="CI247" i="1" s="1"/>
  <c r="CD248" i="1"/>
  <c r="CH248" i="1" s="1"/>
  <c r="CI248" i="1" s="1"/>
  <c r="CD249" i="1"/>
  <c r="CH249" i="1" s="1"/>
  <c r="CI249" i="1" s="1"/>
  <c r="CD481" i="1"/>
  <c r="CH481" i="1" s="1"/>
  <c r="CI481" i="1" s="1"/>
  <c r="CD250" i="1"/>
  <c r="CH250" i="1" s="1"/>
  <c r="CI250" i="1" s="1"/>
  <c r="CD205" i="1"/>
  <c r="CH205" i="1" s="1"/>
  <c r="CI205" i="1" s="1"/>
  <c r="CD251" i="1"/>
  <c r="CH251" i="1" s="1"/>
  <c r="CI251" i="1" s="1"/>
  <c r="CD252" i="1"/>
  <c r="CH252" i="1" s="1"/>
  <c r="CI252" i="1" s="1"/>
  <c r="CD253" i="1"/>
  <c r="CH253" i="1" s="1"/>
  <c r="CI253" i="1" s="1"/>
  <c r="CD254" i="1"/>
  <c r="CH254" i="1" s="1"/>
  <c r="CI254" i="1" s="1"/>
  <c r="CD255" i="1"/>
  <c r="CH255" i="1" s="1"/>
  <c r="CI255" i="1" s="1"/>
  <c r="CD256" i="1"/>
  <c r="CH256" i="1" s="1"/>
  <c r="CI256" i="1" s="1"/>
  <c r="CD258" i="1"/>
  <c r="CH258" i="1" s="1"/>
  <c r="CI258" i="1" s="1"/>
  <c r="CD709" i="1"/>
  <c r="CH709" i="1" s="1"/>
  <c r="CI709" i="1" s="1"/>
  <c r="CD259" i="1"/>
  <c r="CH259" i="1" s="1"/>
  <c r="CI259" i="1" s="1"/>
  <c r="CD260" i="1"/>
  <c r="CH260" i="1" s="1"/>
  <c r="CI260" i="1" s="1"/>
  <c r="CD261" i="1"/>
  <c r="CH261" i="1" s="1"/>
  <c r="CI261" i="1" s="1"/>
  <c r="CD262" i="1"/>
  <c r="CH262" i="1" s="1"/>
  <c r="CI262" i="1" s="1"/>
  <c r="CD263" i="1"/>
  <c r="CH263" i="1" s="1"/>
  <c r="CI263" i="1" s="1"/>
  <c r="CD264" i="1"/>
  <c r="CH264" i="1" s="1"/>
  <c r="CI264" i="1" s="1"/>
  <c r="CD265" i="1"/>
  <c r="CH265" i="1" s="1"/>
  <c r="CI265" i="1" s="1"/>
  <c r="CD266" i="1"/>
  <c r="CH266" i="1" s="1"/>
  <c r="CI266" i="1" s="1"/>
  <c r="CD267" i="1"/>
  <c r="CH267" i="1" s="1"/>
  <c r="CI267" i="1" s="1"/>
  <c r="CD268" i="1"/>
  <c r="CH268" i="1" s="1"/>
  <c r="CI268" i="1" s="1"/>
  <c r="CD269" i="1"/>
  <c r="CH269" i="1" s="1"/>
  <c r="CI269" i="1" s="1"/>
  <c r="CD270" i="1"/>
  <c r="CH270" i="1" s="1"/>
  <c r="CI270" i="1" s="1"/>
  <c r="CD271" i="1"/>
  <c r="CH271" i="1" s="1"/>
  <c r="CI271" i="1" s="1"/>
  <c r="CD223" i="1"/>
  <c r="CH223" i="1" s="1"/>
  <c r="CI223" i="1" s="1"/>
  <c r="CD272" i="1"/>
  <c r="CH272" i="1" s="1"/>
  <c r="CI272" i="1" s="1"/>
  <c r="CD273" i="1"/>
  <c r="CH273" i="1" s="1"/>
  <c r="CI273" i="1" s="1"/>
  <c r="CD274" i="1"/>
  <c r="CH274" i="1" s="1"/>
  <c r="CI274" i="1" s="1"/>
  <c r="CD275" i="1"/>
  <c r="CH275" i="1" s="1"/>
  <c r="CI275" i="1" s="1"/>
  <c r="CD276" i="1"/>
  <c r="CH276" i="1" s="1"/>
  <c r="CI276" i="1" s="1"/>
  <c r="CD277" i="1"/>
  <c r="CH277" i="1" s="1"/>
  <c r="CI277" i="1" s="1"/>
  <c r="CD278" i="1"/>
  <c r="CH278" i="1" s="1"/>
  <c r="CI278" i="1" s="1"/>
  <c r="CD279" i="1"/>
  <c r="CH279" i="1" s="1"/>
  <c r="CI279" i="1" s="1"/>
  <c r="CD280" i="1"/>
  <c r="CH280" i="1" s="1"/>
  <c r="CI280" i="1" s="1"/>
  <c r="CD281" i="1"/>
  <c r="CH281" i="1" s="1"/>
  <c r="CI281" i="1" s="1"/>
  <c r="CD282" i="1"/>
  <c r="CH282" i="1" s="1"/>
  <c r="CI282" i="1" s="1"/>
  <c r="CD283" i="1"/>
  <c r="CH283" i="1" s="1"/>
  <c r="CI283" i="1" s="1"/>
  <c r="CD284" i="1"/>
  <c r="CH284" i="1" s="1"/>
  <c r="CI284" i="1" s="1"/>
  <c r="CD285" i="1"/>
  <c r="CH285" i="1" s="1"/>
  <c r="CI285" i="1" s="1"/>
  <c r="CD286" i="1"/>
  <c r="CH286" i="1" s="1"/>
  <c r="CI286" i="1" s="1"/>
  <c r="CD287" i="1"/>
  <c r="CH287" i="1" s="1"/>
  <c r="CI287" i="1" s="1"/>
  <c r="CD288" i="1"/>
  <c r="CH288" i="1" s="1"/>
  <c r="CI288" i="1" s="1"/>
  <c r="CD290" i="1"/>
  <c r="CH290" i="1" s="1"/>
  <c r="CI290" i="1" s="1"/>
  <c r="CD291" i="1"/>
  <c r="CH291" i="1" s="1"/>
  <c r="CI291" i="1" s="1"/>
  <c r="CD292" i="1"/>
  <c r="CH292" i="1" s="1"/>
  <c r="CI292" i="1" s="1"/>
  <c r="CD293" i="1"/>
  <c r="CH293" i="1" s="1"/>
  <c r="CI293" i="1" s="1"/>
  <c r="CD294" i="1"/>
  <c r="CH294" i="1" s="1"/>
  <c r="CI294" i="1" s="1"/>
  <c r="CD295" i="1"/>
  <c r="CH295" i="1" s="1"/>
  <c r="CI295" i="1" s="1"/>
  <c r="CD296" i="1"/>
  <c r="CH296" i="1" s="1"/>
  <c r="CI296" i="1" s="1"/>
  <c r="CD297" i="1"/>
  <c r="CH297" i="1" s="1"/>
  <c r="CI297" i="1" s="1"/>
  <c r="CD298" i="1"/>
  <c r="CH298" i="1" s="1"/>
  <c r="CI298" i="1" s="1"/>
  <c r="CD299" i="1"/>
  <c r="CH299" i="1" s="1"/>
  <c r="CI299" i="1" s="1"/>
  <c r="CD300" i="1"/>
  <c r="CH300" i="1" s="1"/>
  <c r="CI300" i="1" s="1"/>
  <c r="CD301" i="1"/>
  <c r="CH301" i="1" s="1"/>
  <c r="CI301" i="1" s="1"/>
  <c r="CD302" i="1"/>
  <c r="CH302" i="1" s="1"/>
  <c r="CI302" i="1" s="1"/>
  <c r="CD303" i="1"/>
  <c r="CH303" i="1" s="1"/>
  <c r="CI303" i="1" s="1"/>
  <c r="CD304" i="1"/>
  <c r="CH304" i="1" s="1"/>
  <c r="CI304" i="1" s="1"/>
  <c r="CD305" i="1"/>
  <c r="CH305" i="1" s="1"/>
  <c r="CI305" i="1" s="1"/>
  <c r="CD306" i="1"/>
  <c r="CH306" i="1" s="1"/>
  <c r="CI306" i="1" s="1"/>
  <c r="CD307" i="1"/>
  <c r="CH307" i="1" s="1"/>
  <c r="CI307" i="1" s="1"/>
  <c r="CD308" i="1"/>
  <c r="CH308" i="1" s="1"/>
  <c r="CI308" i="1" s="1"/>
  <c r="CD309" i="1"/>
  <c r="CH309" i="1" s="1"/>
  <c r="CI309" i="1" s="1"/>
  <c r="CD310" i="1"/>
  <c r="CH310" i="1" s="1"/>
  <c r="CI310" i="1" s="1"/>
  <c r="CD311" i="1"/>
  <c r="CH311" i="1" s="1"/>
  <c r="CI311" i="1" s="1"/>
  <c r="CD312" i="1"/>
  <c r="CH312" i="1" s="1"/>
  <c r="CI312" i="1" s="1"/>
  <c r="CD313" i="1"/>
  <c r="CH313" i="1" s="1"/>
  <c r="CI313" i="1" s="1"/>
  <c r="CD314" i="1"/>
  <c r="CH314" i="1" s="1"/>
  <c r="CI314" i="1" s="1"/>
  <c r="CD315" i="1"/>
  <c r="CH315" i="1" s="1"/>
  <c r="CI315" i="1" s="1"/>
  <c r="CD316" i="1"/>
  <c r="CH316" i="1" s="1"/>
  <c r="CI316" i="1" s="1"/>
  <c r="CD317" i="1"/>
  <c r="CH317" i="1" s="1"/>
  <c r="CI317" i="1" s="1"/>
  <c r="CD318" i="1"/>
  <c r="CH318" i="1" s="1"/>
  <c r="CI318" i="1" s="1"/>
  <c r="CD320" i="1"/>
  <c r="CH320" i="1" s="1"/>
  <c r="CI320" i="1" s="1"/>
  <c r="CD321" i="1"/>
  <c r="CH321" i="1" s="1"/>
  <c r="CI321" i="1" s="1"/>
  <c r="CD322" i="1"/>
  <c r="CH322" i="1" s="1"/>
  <c r="CI322" i="1" s="1"/>
  <c r="CD323" i="1"/>
  <c r="CH323" i="1" s="1"/>
  <c r="CI323" i="1" s="1"/>
  <c r="CD324" i="1"/>
  <c r="CH324" i="1" s="1"/>
  <c r="CI324" i="1" s="1"/>
  <c r="CD325" i="1"/>
  <c r="CH325" i="1" s="1"/>
  <c r="CI325" i="1" s="1"/>
  <c r="CD326" i="1"/>
  <c r="CH326" i="1" s="1"/>
  <c r="CI326" i="1" s="1"/>
  <c r="CD327" i="1"/>
  <c r="CH327" i="1" s="1"/>
  <c r="CI327" i="1" s="1"/>
  <c r="CD328" i="1"/>
  <c r="CH328" i="1" s="1"/>
  <c r="CI328" i="1" s="1"/>
  <c r="CD329" i="1"/>
  <c r="CH329" i="1" s="1"/>
  <c r="CI329" i="1" s="1"/>
  <c r="CD330" i="1"/>
  <c r="CH330" i="1" s="1"/>
  <c r="CI330" i="1" s="1"/>
  <c r="CD331" i="1"/>
  <c r="CH331" i="1" s="1"/>
  <c r="CI331" i="1" s="1"/>
  <c r="CD332" i="1"/>
  <c r="CH332" i="1" s="1"/>
  <c r="CI332" i="1" s="1"/>
  <c r="CD333" i="1"/>
  <c r="CH333" i="1" s="1"/>
  <c r="CI333" i="1" s="1"/>
  <c r="CD334" i="1"/>
  <c r="CH334" i="1" s="1"/>
  <c r="CI334" i="1" s="1"/>
  <c r="CD335" i="1"/>
  <c r="CH335" i="1" s="1"/>
  <c r="CI335" i="1" s="1"/>
  <c r="CD336" i="1"/>
  <c r="CH336" i="1" s="1"/>
  <c r="CI336" i="1" s="1"/>
  <c r="CD337" i="1"/>
  <c r="CH337" i="1" s="1"/>
  <c r="CI337" i="1" s="1"/>
  <c r="CD689" i="1"/>
  <c r="CH689" i="1" s="1"/>
  <c r="CI689" i="1" s="1"/>
  <c r="CD338" i="1"/>
  <c r="CH338" i="1" s="1"/>
  <c r="CI338" i="1" s="1"/>
  <c r="CD339" i="1"/>
  <c r="CH339" i="1" s="1"/>
  <c r="CI339" i="1" s="1"/>
  <c r="CD340" i="1"/>
  <c r="CH340" i="1" s="1"/>
  <c r="CI340" i="1" s="1"/>
  <c r="CD342" i="1"/>
  <c r="CH342" i="1" s="1"/>
  <c r="CI342" i="1" s="1"/>
  <c r="CD343" i="1"/>
  <c r="CH343" i="1" s="1"/>
  <c r="CI343" i="1" s="1"/>
  <c r="CD344" i="1"/>
  <c r="CH344" i="1" s="1"/>
  <c r="CI344" i="1" s="1"/>
  <c r="CD345" i="1"/>
  <c r="CH345" i="1" s="1"/>
  <c r="CI345" i="1" s="1"/>
  <c r="CD346" i="1"/>
  <c r="CH346" i="1" s="1"/>
  <c r="CI346" i="1" s="1"/>
  <c r="CD699" i="1"/>
  <c r="CH699" i="1" s="1"/>
  <c r="CI699" i="1" s="1"/>
  <c r="CD347" i="1"/>
  <c r="CH347" i="1" s="1"/>
  <c r="CI347" i="1" s="1"/>
  <c r="CD348" i="1"/>
  <c r="CH348" i="1" s="1"/>
  <c r="CI348" i="1" s="1"/>
  <c r="CD349" i="1"/>
  <c r="CH349" i="1" s="1"/>
  <c r="CI349" i="1" s="1"/>
  <c r="CD350" i="1"/>
  <c r="CH350" i="1" s="1"/>
  <c r="CI350" i="1" s="1"/>
  <c r="CD351" i="1"/>
  <c r="CH351" i="1" s="1"/>
  <c r="CI351" i="1" s="1"/>
  <c r="CD352" i="1"/>
  <c r="CH352" i="1" s="1"/>
  <c r="CI352" i="1" s="1"/>
  <c r="CD353" i="1"/>
  <c r="CH353" i="1" s="1"/>
  <c r="CI353" i="1" s="1"/>
  <c r="CD354" i="1"/>
  <c r="CH354" i="1" s="1"/>
  <c r="CI354" i="1" s="1"/>
  <c r="CD355" i="1"/>
  <c r="CH355" i="1" s="1"/>
  <c r="CI355" i="1" s="1"/>
  <c r="CD356" i="1"/>
  <c r="CH356" i="1" s="1"/>
  <c r="CI356" i="1" s="1"/>
  <c r="CD357" i="1"/>
  <c r="CH357" i="1" s="1"/>
  <c r="CI357" i="1" s="1"/>
  <c r="CD358" i="1"/>
  <c r="CH358" i="1" s="1"/>
  <c r="CI358" i="1" s="1"/>
  <c r="CD359" i="1"/>
  <c r="CH359" i="1" s="1"/>
  <c r="CI359" i="1" s="1"/>
  <c r="CD360" i="1"/>
  <c r="CH360" i="1" s="1"/>
  <c r="CI360" i="1" s="1"/>
  <c r="CD361" i="1"/>
  <c r="CH361" i="1" s="1"/>
  <c r="CI361" i="1" s="1"/>
  <c r="CD716" i="1"/>
  <c r="CH716" i="1" s="1"/>
  <c r="CI716" i="1" s="1"/>
  <c r="CD362" i="1"/>
  <c r="CH362" i="1" s="1"/>
  <c r="CI362" i="1" s="1"/>
  <c r="CD364" i="1"/>
  <c r="CH364" i="1" s="1"/>
  <c r="CI364" i="1" s="1"/>
  <c r="CD365" i="1"/>
  <c r="CH365" i="1" s="1"/>
  <c r="CI365" i="1" s="1"/>
  <c r="CD366" i="1"/>
  <c r="CH366" i="1" s="1"/>
  <c r="CI366" i="1" s="1"/>
  <c r="CD367" i="1"/>
  <c r="CH367" i="1" s="1"/>
  <c r="CI367" i="1" s="1"/>
  <c r="CD368" i="1"/>
  <c r="CH368" i="1" s="1"/>
  <c r="CI368" i="1" s="1"/>
  <c r="CD369" i="1"/>
  <c r="CH369" i="1" s="1"/>
  <c r="CI369" i="1" s="1"/>
  <c r="CD370" i="1"/>
  <c r="CH370" i="1" s="1"/>
  <c r="CI370" i="1" s="1"/>
  <c r="CD371" i="1"/>
  <c r="CH371" i="1" s="1"/>
  <c r="CI371" i="1" s="1"/>
  <c r="CD372" i="1"/>
  <c r="CH372" i="1" s="1"/>
  <c r="CI372" i="1" s="1"/>
  <c r="CD373" i="1"/>
  <c r="CH373" i="1" s="1"/>
  <c r="CI373" i="1" s="1"/>
  <c r="CD374" i="1"/>
  <c r="CH374" i="1" s="1"/>
  <c r="CI374" i="1" s="1"/>
  <c r="CD375" i="1"/>
  <c r="CH375" i="1" s="1"/>
  <c r="CI375" i="1" s="1"/>
  <c r="CD376" i="1"/>
  <c r="CH376" i="1" s="1"/>
  <c r="CI376" i="1" s="1"/>
  <c r="CD377" i="1"/>
  <c r="CH377" i="1" s="1"/>
  <c r="CI377" i="1" s="1"/>
  <c r="CD378" i="1"/>
  <c r="CH378" i="1" s="1"/>
  <c r="CI378" i="1" s="1"/>
  <c r="CD381" i="1"/>
  <c r="CH381" i="1" s="1"/>
  <c r="CI381" i="1" s="1"/>
  <c r="CD382" i="1"/>
  <c r="CH382" i="1" s="1"/>
  <c r="CI382" i="1" s="1"/>
  <c r="CD383" i="1"/>
  <c r="CH383" i="1" s="1"/>
  <c r="CI383" i="1" s="1"/>
  <c r="CD384" i="1"/>
  <c r="CH384" i="1" s="1"/>
  <c r="CI384" i="1" s="1"/>
  <c r="CD385" i="1"/>
  <c r="CH385" i="1" s="1"/>
  <c r="CI385" i="1" s="1"/>
  <c r="CD386" i="1"/>
  <c r="CH386" i="1" s="1"/>
  <c r="CI386" i="1" s="1"/>
  <c r="CD387" i="1"/>
  <c r="CH387" i="1" s="1"/>
  <c r="CI387" i="1" s="1"/>
  <c r="CD388" i="1"/>
  <c r="CH388" i="1" s="1"/>
  <c r="CI388" i="1" s="1"/>
  <c r="CD389" i="1"/>
  <c r="CH389" i="1" s="1"/>
  <c r="CI389" i="1" s="1"/>
  <c r="CD390" i="1"/>
  <c r="CH390" i="1" s="1"/>
  <c r="CI390" i="1" s="1"/>
  <c r="CD391" i="1"/>
  <c r="CH391" i="1" s="1"/>
  <c r="CI391" i="1" s="1"/>
  <c r="CD392" i="1"/>
  <c r="CH392" i="1" s="1"/>
  <c r="CI392" i="1" s="1"/>
  <c r="CD393" i="1"/>
  <c r="CH393" i="1" s="1"/>
  <c r="CI393" i="1" s="1"/>
  <c r="CD394" i="1"/>
  <c r="CH394" i="1" s="1"/>
  <c r="CI394" i="1" s="1"/>
  <c r="CD395" i="1"/>
  <c r="CH395" i="1" s="1"/>
  <c r="CI395" i="1" s="1"/>
  <c r="CD396" i="1"/>
  <c r="CH396" i="1" s="1"/>
  <c r="CI396" i="1" s="1"/>
  <c r="CD397" i="1"/>
  <c r="CH397" i="1" s="1"/>
  <c r="CI397" i="1" s="1"/>
  <c r="CD398" i="1"/>
  <c r="CH398" i="1" s="1"/>
  <c r="CI398" i="1" s="1"/>
  <c r="CD399" i="1"/>
  <c r="CH399" i="1" s="1"/>
  <c r="CI399" i="1" s="1"/>
  <c r="CD400" i="1"/>
  <c r="CH400" i="1" s="1"/>
  <c r="CI400" i="1" s="1"/>
  <c r="CD401" i="1"/>
  <c r="CH401" i="1" s="1"/>
  <c r="CI401" i="1" s="1"/>
  <c r="CD402" i="1"/>
  <c r="CH402" i="1" s="1"/>
  <c r="CI402" i="1" s="1"/>
  <c r="CD403" i="1"/>
  <c r="CH403" i="1" s="1"/>
  <c r="CI403" i="1" s="1"/>
  <c r="CD404" i="1"/>
  <c r="CH404" i="1" s="1"/>
  <c r="CI404" i="1" s="1"/>
  <c r="CD405" i="1"/>
  <c r="CH405" i="1" s="1"/>
  <c r="CI405" i="1" s="1"/>
  <c r="CD406" i="1"/>
  <c r="CH406" i="1" s="1"/>
  <c r="CI406" i="1" s="1"/>
  <c r="CD407" i="1"/>
  <c r="CH407" i="1" s="1"/>
  <c r="CI407" i="1" s="1"/>
  <c r="CD408" i="1"/>
  <c r="CH408" i="1" s="1"/>
  <c r="CI408" i="1" s="1"/>
  <c r="CD212" i="1"/>
  <c r="CH212" i="1" s="1"/>
  <c r="CI212" i="1" s="1"/>
  <c r="CD409" i="1"/>
  <c r="CH409" i="1" s="1"/>
  <c r="CI409" i="1" s="1"/>
  <c r="CD410" i="1"/>
  <c r="CH410" i="1" s="1"/>
  <c r="CI410" i="1" s="1"/>
  <c r="CD411" i="1"/>
  <c r="CH411" i="1" s="1"/>
  <c r="CI411" i="1" s="1"/>
  <c r="CD412" i="1"/>
  <c r="CH412" i="1" s="1"/>
  <c r="CI412" i="1" s="1"/>
  <c r="CD413" i="1"/>
  <c r="CH413" i="1" s="1"/>
  <c r="CI413" i="1" s="1"/>
  <c r="CD414" i="1"/>
  <c r="CH414" i="1" s="1"/>
  <c r="CI414" i="1" s="1"/>
  <c r="CD415" i="1"/>
  <c r="CH415" i="1" s="1"/>
  <c r="CI415" i="1" s="1"/>
  <c r="CD416" i="1"/>
  <c r="CH416" i="1" s="1"/>
  <c r="CI416" i="1" s="1"/>
  <c r="CD177" i="1"/>
  <c r="CH177" i="1" s="1"/>
  <c r="CI177" i="1" s="1"/>
  <c r="CD417" i="1"/>
  <c r="CH417" i="1" s="1"/>
  <c r="CI417" i="1" s="1"/>
  <c r="CD418" i="1"/>
  <c r="CH418" i="1" s="1"/>
  <c r="CI418" i="1" s="1"/>
  <c r="CD419" i="1"/>
  <c r="CH419" i="1" s="1"/>
  <c r="CI419" i="1" s="1"/>
  <c r="CD420" i="1"/>
  <c r="CH420" i="1" s="1"/>
  <c r="CI420" i="1" s="1"/>
  <c r="CD421" i="1"/>
  <c r="CH421" i="1" s="1"/>
  <c r="CI421" i="1" s="1"/>
  <c r="CD422" i="1"/>
  <c r="CH422" i="1" s="1"/>
  <c r="CI422" i="1" s="1"/>
  <c r="CD423" i="1"/>
  <c r="CH423" i="1" s="1"/>
  <c r="CI423" i="1" s="1"/>
  <c r="CD424" i="1"/>
  <c r="CH424" i="1" s="1"/>
  <c r="CI424" i="1" s="1"/>
  <c r="CD425" i="1"/>
  <c r="CH425" i="1" s="1"/>
  <c r="CI425" i="1" s="1"/>
  <c r="CD426" i="1"/>
  <c r="CH426" i="1" s="1"/>
  <c r="CI426" i="1" s="1"/>
  <c r="CD427" i="1"/>
  <c r="CH427" i="1" s="1"/>
  <c r="CI427" i="1" s="1"/>
  <c r="CD428" i="1"/>
  <c r="CH428" i="1" s="1"/>
  <c r="CI428" i="1" s="1"/>
  <c r="CD429" i="1"/>
  <c r="CH429" i="1" s="1"/>
  <c r="CI429" i="1" s="1"/>
  <c r="CD430" i="1"/>
  <c r="CH430" i="1" s="1"/>
  <c r="CI430" i="1" s="1"/>
  <c r="CD431" i="1"/>
  <c r="CH431" i="1" s="1"/>
  <c r="CI431" i="1" s="1"/>
  <c r="CD432" i="1"/>
  <c r="CH432" i="1" s="1"/>
  <c r="CI432" i="1" s="1"/>
  <c r="CD186" i="1"/>
  <c r="CH186" i="1" s="1"/>
  <c r="CI186" i="1" s="1"/>
  <c r="CD433" i="1"/>
  <c r="CH433" i="1" s="1"/>
  <c r="CI433" i="1" s="1"/>
  <c r="CD434" i="1"/>
  <c r="CH434" i="1" s="1"/>
  <c r="CI434" i="1" s="1"/>
  <c r="CD435" i="1"/>
  <c r="CH435" i="1" s="1"/>
  <c r="CI435" i="1" s="1"/>
  <c r="CD436" i="1"/>
  <c r="CH436" i="1" s="1"/>
  <c r="CI436" i="1" s="1"/>
  <c r="CD437" i="1"/>
  <c r="CH437" i="1" s="1"/>
  <c r="CI437" i="1" s="1"/>
  <c r="CD438" i="1"/>
  <c r="CH438" i="1" s="1"/>
  <c r="CI438" i="1" s="1"/>
  <c r="CD440" i="1"/>
  <c r="CH440" i="1" s="1"/>
  <c r="CI440" i="1" s="1"/>
  <c r="CD441" i="1"/>
  <c r="CH441" i="1" s="1"/>
  <c r="CI441" i="1" s="1"/>
  <c r="CD442" i="1"/>
  <c r="CH442" i="1" s="1"/>
  <c r="CI442" i="1" s="1"/>
  <c r="CD443" i="1"/>
  <c r="CH443" i="1" s="1"/>
  <c r="CI443" i="1" s="1"/>
  <c r="CD444" i="1"/>
  <c r="CH444" i="1" s="1"/>
  <c r="CI444" i="1" s="1"/>
  <c r="CD445" i="1"/>
  <c r="CH445" i="1" s="1"/>
  <c r="CI445" i="1" s="1"/>
  <c r="CD446" i="1"/>
  <c r="CH446" i="1" s="1"/>
  <c r="CI446" i="1" s="1"/>
  <c r="CD447" i="1"/>
  <c r="CH447" i="1" s="1"/>
  <c r="CI447" i="1" s="1"/>
  <c r="CD448" i="1"/>
  <c r="CH448" i="1" s="1"/>
  <c r="CI448" i="1" s="1"/>
  <c r="CD449" i="1"/>
  <c r="CH449" i="1" s="1"/>
  <c r="CI449" i="1" s="1"/>
  <c r="CD450" i="1"/>
  <c r="CH450" i="1" s="1"/>
  <c r="CI450" i="1" s="1"/>
  <c r="CD451" i="1"/>
  <c r="CH451" i="1" s="1"/>
  <c r="CI451" i="1" s="1"/>
  <c r="CD452" i="1"/>
  <c r="CH452" i="1" s="1"/>
  <c r="CI452" i="1" s="1"/>
  <c r="CD453" i="1"/>
  <c r="CH453" i="1" s="1"/>
  <c r="CI453" i="1" s="1"/>
  <c r="CD454" i="1"/>
  <c r="CH454" i="1" s="1"/>
  <c r="CI454" i="1" s="1"/>
  <c r="CD455" i="1"/>
  <c r="CH455" i="1" s="1"/>
  <c r="CI455" i="1" s="1"/>
  <c r="CD456" i="1"/>
  <c r="CH456" i="1" s="1"/>
  <c r="CI456" i="1" s="1"/>
  <c r="CD457" i="1"/>
  <c r="CH457" i="1" s="1"/>
  <c r="CI457" i="1" s="1"/>
  <c r="CD93" i="1"/>
  <c r="CH93" i="1" s="1"/>
  <c r="CI93" i="1" s="1"/>
  <c r="CD458" i="1"/>
  <c r="CH458" i="1" s="1"/>
  <c r="CI458" i="1" s="1"/>
  <c r="CD379" i="1"/>
  <c r="CH379" i="1" s="1"/>
  <c r="CI379" i="1" s="1"/>
  <c r="CD380" i="1"/>
  <c r="CH380" i="1" s="1"/>
  <c r="CI380" i="1" s="1"/>
  <c r="CD460" i="1"/>
  <c r="CH460" i="1" s="1"/>
  <c r="CI460" i="1" s="1"/>
  <c r="CD461" i="1"/>
  <c r="CH461" i="1" s="1"/>
  <c r="CI461" i="1" s="1"/>
  <c r="CD462" i="1"/>
  <c r="CH462" i="1" s="1"/>
  <c r="CI462" i="1" s="1"/>
  <c r="CD439" i="1"/>
  <c r="CH439" i="1" s="1"/>
  <c r="CI439" i="1" s="1"/>
  <c r="CD463" i="1"/>
  <c r="CH463" i="1" s="1"/>
  <c r="CI463" i="1" s="1"/>
  <c r="CD464" i="1"/>
  <c r="CH464" i="1" s="1"/>
  <c r="CI464" i="1" s="1"/>
  <c r="CD465" i="1"/>
  <c r="CH465" i="1" s="1"/>
  <c r="CI465" i="1" s="1"/>
  <c r="CD466" i="1"/>
  <c r="CH466" i="1" s="1"/>
  <c r="CI466" i="1" s="1"/>
  <c r="CD467" i="1"/>
  <c r="CH467" i="1" s="1"/>
  <c r="CI467" i="1" s="1"/>
  <c r="CD20" i="1"/>
  <c r="CH20" i="1" s="1"/>
  <c r="CI20" i="1" s="1"/>
  <c r="CD469" i="1"/>
  <c r="CH469" i="1" s="1"/>
  <c r="CI469" i="1" s="1"/>
  <c r="CD470" i="1"/>
  <c r="CH470" i="1" s="1"/>
  <c r="CI470" i="1" s="1"/>
  <c r="CD472" i="1"/>
  <c r="CH472" i="1" s="1"/>
  <c r="CI472" i="1" s="1"/>
  <c r="CD473" i="1"/>
  <c r="CH473" i="1" s="1"/>
  <c r="CI473" i="1" s="1"/>
  <c r="CD474" i="1"/>
  <c r="CH474" i="1" s="1"/>
  <c r="CI474" i="1" s="1"/>
  <c r="CD31" i="1"/>
  <c r="CH31" i="1" s="1"/>
  <c r="CI31" i="1" s="1"/>
  <c r="CD476" i="1"/>
  <c r="CH476" i="1" s="1"/>
  <c r="CI476" i="1" s="1"/>
  <c r="CD32" i="1"/>
  <c r="CH32" i="1" s="1"/>
  <c r="CI32" i="1" s="1"/>
  <c r="CD477" i="1"/>
  <c r="CH477" i="1" s="1"/>
  <c r="CI477" i="1" s="1"/>
  <c r="CD478" i="1"/>
  <c r="CH478" i="1" s="1"/>
  <c r="CI478" i="1" s="1"/>
  <c r="CD479" i="1"/>
  <c r="CH479" i="1" s="1"/>
  <c r="CI479" i="1" s="1"/>
  <c r="CD480" i="1"/>
  <c r="CH480" i="1" s="1"/>
  <c r="CI480" i="1" s="1"/>
  <c r="CD482" i="1"/>
  <c r="CH482" i="1" s="1"/>
  <c r="CI482" i="1" s="1"/>
  <c r="CD483" i="1"/>
  <c r="CH483" i="1" s="1"/>
  <c r="CI483" i="1" s="1"/>
  <c r="CD471" i="1"/>
  <c r="CH471" i="1" s="1"/>
  <c r="CI471" i="1" s="1"/>
  <c r="CD475" i="1"/>
  <c r="CH475" i="1" s="1"/>
  <c r="CI475" i="1" s="1"/>
  <c r="CD484" i="1"/>
  <c r="CH484" i="1" s="1"/>
  <c r="CI484" i="1" s="1"/>
  <c r="CD486" i="1"/>
  <c r="CH486" i="1" s="1"/>
  <c r="CI486" i="1" s="1"/>
  <c r="CD489" i="1"/>
  <c r="CH489" i="1" s="1"/>
  <c r="CI489" i="1" s="1"/>
  <c r="CD490" i="1"/>
  <c r="CH490" i="1" s="1"/>
  <c r="CI490" i="1" s="1"/>
  <c r="CD491" i="1"/>
  <c r="CH491" i="1" s="1"/>
  <c r="CI491" i="1" s="1"/>
  <c r="CD492" i="1"/>
  <c r="CH492" i="1" s="1"/>
  <c r="CI492" i="1" s="1"/>
  <c r="CD493" i="1"/>
  <c r="CH493" i="1" s="1"/>
  <c r="CI493" i="1" s="1"/>
  <c r="CD459" i="1"/>
  <c r="CH459" i="1" s="1"/>
  <c r="CI459" i="1" s="1"/>
  <c r="CD494" i="1"/>
  <c r="CH494" i="1" s="1"/>
  <c r="CI494" i="1" s="1"/>
  <c r="CD495" i="1"/>
  <c r="CH495" i="1" s="1"/>
  <c r="CI495" i="1" s="1"/>
  <c r="CD496" i="1"/>
  <c r="CH496" i="1" s="1"/>
  <c r="CI496" i="1" s="1"/>
  <c r="CD497" i="1"/>
  <c r="CH497" i="1" s="1"/>
  <c r="CI497" i="1" s="1"/>
  <c r="CD498" i="1"/>
  <c r="CH498" i="1" s="1"/>
  <c r="CI498" i="1" s="1"/>
  <c r="CD499" i="1"/>
  <c r="CH499" i="1" s="1"/>
  <c r="CI499" i="1" s="1"/>
  <c r="CD500" i="1"/>
  <c r="CH500" i="1" s="1"/>
  <c r="CI500" i="1" s="1"/>
  <c r="CD501" i="1"/>
  <c r="CH501" i="1" s="1"/>
  <c r="CI501" i="1" s="1"/>
  <c r="CD502" i="1"/>
  <c r="CH502" i="1" s="1"/>
  <c r="CI502" i="1" s="1"/>
  <c r="CD503" i="1"/>
  <c r="CH503" i="1" s="1"/>
  <c r="CI503" i="1" s="1"/>
  <c r="CD504" i="1"/>
  <c r="CH504" i="1" s="1"/>
  <c r="CI504" i="1" s="1"/>
  <c r="CD468" i="1"/>
  <c r="CH468" i="1" s="1"/>
  <c r="CI468" i="1" s="1"/>
  <c r="CD506" i="1"/>
  <c r="CH506" i="1" s="1"/>
  <c r="CI506" i="1" s="1"/>
  <c r="CD507" i="1"/>
  <c r="CH507" i="1" s="1"/>
  <c r="CI507" i="1" s="1"/>
  <c r="CD510" i="1"/>
  <c r="CH510" i="1" s="1"/>
  <c r="CI510" i="1" s="1"/>
  <c r="CD514" i="1"/>
  <c r="CH514" i="1" s="1"/>
  <c r="CI514" i="1" s="1"/>
  <c r="CD516" i="1"/>
  <c r="CH516" i="1" s="1"/>
  <c r="CI516" i="1" s="1"/>
  <c r="CD517" i="1"/>
  <c r="CH517" i="1" s="1"/>
  <c r="CI517" i="1" s="1"/>
  <c r="CD518" i="1"/>
  <c r="CH518" i="1" s="1"/>
  <c r="CI518" i="1" s="1"/>
  <c r="CD519" i="1"/>
  <c r="CH519" i="1" s="1"/>
  <c r="CI519" i="1" s="1"/>
  <c r="CD520" i="1"/>
  <c r="CH520" i="1" s="1"/>
  <c r="CI520" i="1" s="1"/>
  <c r="CD521" i="1"/>
  <c r="CH521" i="1" s="1"/>
  <c r="CI521" i="1" s="1"/>
  <c r="CD522" i="1"/>
  <c r="CH522" i="1" s="1"/>
  <c r="CI522" i="1" s="1"/>
  <c r="CD523" i="1"/>
  <c r="CH523" i="1" s="1"/>
  <c r="CI523" i="1" s="1"/>
  <c r="CD524" i="1"/>
  <c r="CH524" i="1" s="1"/>
  <c r="CI524" i="1" s="1"/>
  <c r="CD525" i="1"/>
  <c r="CH525" i="1" s="1"/>
  <c r="CI525" i="1" s="1"/>
  <c r="CD526" i="1"/>
  <c r="CH526" i="1" s="1"/>
  <c r="CI526" i="1" s="1"/>
  <c r="CD527" i="1"/>
  <c r="CH527" i="1" s="1"/>
  <c r="CI527" i="1" s="1"/>
  <c r="CD528" i="1"/>
  <c r="CH528" i="1" s="1"/>
  <c r="CI528" i="1" s="1"/>
  <c r="CD529" i="1"/>
  <c r="CH529" i="1" s="1"/>
  <c r="CI529" i="1" s="1"/>
  <c r="CD530" i="1"/>
  <c r="CH530" i="1" s="1"/>
  <c r="CI530" i="1" s="1"/>
  <c r="CD531" i="1"/>
  <c r="CH531" i="1" s="1"/>
  <c r="CI531" i="1" s="1"/>
  <c r="CD532" i="1"/>
  <c r="CH532" i="1" s="1"/>
  <c r="CI532" i="1" s="1"/>
  <c r="CD533" i="1"/>
  <c r="CH533" i="1" s="1"/>
  <c r="CI533" i="1" s="1"/>
  <c r="CD534" i="1"/>
  <c r="CH534" i="1" s="1"/>
  <c r="CI534" i="1" s="1"/>
  <c r="CD535" i="1"/>
  <c r="CH535" i="1" s="1"/>
  <c r="CI535" i="1" s="1"/>
  <c r="CD536" i="1"/>
  <c r="CH536" i="1" s="1"/>
  <c r="CI536" i="1" s="1"/>
  <c r="CD537" i="1"/>
  <c r="CH537" i="1" s="1"/>
  <c r="CI537" i="1" s="1"/>
  <c r="CD538" i="1"/>
  <c r="CH538" i="1" s="1"/>
  <c r="CI538" i="1" s="1"/>
  <c r="CD539" i="1"/>
  <c r="CH539" i="1" s="1"/>
  <c r="CI539" i="1" s="1"/>
  <c r="CD540" i="1"/>
  <c r="CH540" i="1" s="1"/>
  <c r="CI540" i="1" s="1"/>
  <c r="CD541" i="1"/>
  <c r="CH541" i="1" s="1"/>
  <c r="CI541" i="1" s="1"/>
  <c r="CD542" i="1"/>
  <c r="CH542" i="1" s="1"/>
  <c r="CI542" i="1" s="1"/>
  <c r="CD543" i="1"/>
  <c r="CH543" i="1" s="1"/>
  <c r="CI543" i="1" s="1"/>
  <c r="CD544" i="1"/>
  <c r="CH544" i="1" s="1"/>
  <c r="CI544" i="1" s="1"/>
  <c r="CD545" i="1"/>
  <c r="CH545" i="1" s="1"/>
  <c r="CI545" i="1" s="1"/>
  <c r="CD546" i="1"/>
  <c r="CH546" i="1" s="1"/>
  <c r="CI546" i="1" s="1"/>
  <c r="CD547" i="1"/>
  <c r="CH547" i="1" s="1"/>
  <c r="CI547" i="1" s="1"/>
  <c r="CD548" i="1"/>
  <c r="CH548" i="1" s="1"/>
  <c r="CI548" i="1" s="1"/>
  <c r="CD549" i="1"/>
  <c r="CH549" i="1" s="1"/>
  <c r="CI549" i="1" s="1"/>
  <c r="CD511" i="1"/>
  <c r="CH511" i="1" s="1"/>
  <c r="CI511" i="1" s="1"/>
  <c r="CD550" i="1"/>
  <c r="CH550" i="1" s="1"/>
  <c r="CI550" i="1" s="1"/>
  <c r="CD551" i="1"/>
  <c r="CH551" i="1" s="1"/>
  <c r="CI551" i="1" s="1"/>
  <c r="CD552" i="1"/>
  <c r="CH552" i="1" s="1"/>
  <c r="CI552" i="1" s="1"/>
  <c r="CD553" i="1"/>
  <c r="CH553" i="1" s="1"/>
  <c r="CI553" i="1" s="1"/>
  <c r="CD512" i="1"/>
  <c r="CH512" i="1" s="1"/>
  <c r="CI512" i="1" s="1"/>
  <c r="CD513" i="1"/>
  <c r="CH513" i="1" s="1"/>
  <c r="CI513" i="1" s="1"/>
  <c r="CD554" i="1"/>
  <c r="CH554" i="1" s="1"/>
  <c r="CI554" i="1" s="1"/>
  <c r="CD555" i="1"/>
  <c r="CH555" i="1" s="1"/>
  <c r="CI555" i="1" s="1"/>
  <c r="CD556" i="1"/>
  <c r="CH556" i="1" s="1"/>
  <c r="CI556" i="1" s="1"/>
  <c r="CD557" i="1"/>
  <c r="CH557" i="1" s="1"/>
  <c r="CI557" i="1" s="1"/>
  <c r="CD558" i="1"/>
  <c r="CH558" i="1" s="1"/>
  <c r="CI558" i="1" s="1"/>
  <c r="CD559" i="1"/>
  <c r="CH559" i="1" s="1"/>
  <c r="CI559" i="1" s="1"/>
  <c r="CD560" i="1"/>
  <c r="CH560" i="1" s="1"/>
  <c r="CI560" i="1" s="1"/>
  <c r="CD515" i="1"/>
  <c r="CH515" i="1" s="1"/>
  <c r="CI515" i="1" s="1"/>
  <c r="CD561" i="1"/>
  <c r="CH561" i="1" s="1"/>
  <c r="CI561" i="1" s="1"/>
  <c r="CD562" i="1"/>
  <c r="CH562" i="1" s="1"/>
  <c r="CI562" i="1" s="1"/>
  <c r="CD563" i="1"/>
  <c r="CH563" i="1" s="1"/>
  <c r="CI563" i="1" s="1"/>
  <c r="CD564" i="1"/>
  <c r="CH564" i="1" s="1"/>
  <c r="CI564" i="1" s="1"/>
  <c r="CD565" i="1"/>
  <c r="CH565" i="1" s="1"/>
  <c r="CI565" i="1" s="1"/>
  <c r="CD566" i="1"/>
  <c r="CH566" i="1" s="1"/>
  <c r="CI566" i="1" s="1"/>
  <c r="CD567" i="1"/>
  <c r="CH567" i="1" s="1"/>
  <c r="CI567" i="1" s="1"/>
  <c r="CD568" i="1"/>
  <c r="CH568" i="1" s="1"/>
  <c r="CI568" i="1" s="1"/>
  <c r="CD569" i="1"/>
  <c r="CH569" i="1" s="1"/>
  <c r="CI569" i="1" s="1"/>
  <c r="CD570" i="1"/>
  <c r="CH570" i="1" s="1"/>
  <c r="CI570" i="1" s="1"/>
  <c r="CD571" i="1"/>
  <c r="CH571" i="1" s="1"/>
  <c r="CI571" i="1" s="1"/>
  <c r="CD572" i="1"/>
  <c r="CH572" i="1" s="1"/>
  <c r="CI572" i="1" s="1"/>
  <c r="CD573" i="1"/>
  <c r="CH573" i="1" s="1"/>
  <c r="CI573" i="1" s="1"/>
  <c r="CD574" i="1"/>
  <c r="CH574" i="1" s="1"/>
  <c r="CI574" i="1" s="1"/>
  <c r="CD575" i="1"/>
  <c r="CH575" i="1" s="1"/>
  <c r="CI575" i="1" s="1"/>
  <c r="CD576" i="1"/>
  <c r="CH576" i="1" s="1"/>
  <c r="CI576" i="1" s="1"/>
  <c r="CD577" i="1"/>
  <c r="CH577" i="1" s="1"/>
  <c r="CI577" i="1" s="1"/>
  <c r="CD578" i="1"/>
  <c r="CH578" i="1" s="1"/>
  <c r="CI578" i="1" s="1"/>
  <c r="CD579" i="1"/>
  <c r="CH579" i="1" s="1"/>
  <c r="CI579" i="1" s="1"/>
  <c r="CD580" i="1"/>
  <c r="CH580" i="1" s="1"/>
  <c r="CI580" i="1" s="1"/>
  <c r="CD581" i="1"/>
  <c r="CH581" i="1" s="1"/>
  <c r="CI581" i="1" s="1"/>
  <c r="CD582" i="1"/>
  <c r="CH582" i="1" s="1"/>
  <c r="CI582" i="1" s="1"/>
  <c r="CD583" i="1"/>
  <c r="CH583" i="1" s="1"/>
  <c r="CI583" i="1" s="1"/>
  <c r="CD584" i="1"/>
  <c r="CH584" i="1" s="1"/>
  <c r="CI584" i="1" s="1"/>
  <c r="CD585" i="1"/>
  <c r="CH585" i="1" s="1"/>
  <c r="CI585" i="1" s="1"/>
  <c r="CD586" i="1"/>
  <c r="CH586" i="1" s="1"/>
  <c r="CI586" i="1" s="1"/>
  <c r="CD587" i="1"/>
  <c r="CH587" i="1" s="1"/>
  <c r="CI587" i="1" s="1"/>
  <c r="CD588" i="1"/>
  <c r="CH588" i="1" s="1"/>
  <c r="CI588" i="1" s="1"/>
  <c r="CD589" i="1"/>
  <c r="CH589" i="1" s="1"/>
  <c r="CI589" i="1" s="1"/>
  <c r="CD590" i="1"/>
  <c r="CH590" i="1" s="1"/>
  <c r="CI590" i="1" s="1"/>
  <c r="CD591" i="1"/>
  <c r="CH591" i="1" s="1"/>
  <c r="CI591" i="1" s="1"/>
  <c r="CD592" i="1"/>
  <c r="CH592" i="1" s="1"/>
  <c r="CI592" i="1" s="1"/>
  <c r="CD593" i="1"/>
  <c r="CH593" i="1" s="1"/>
  <c r="CI593" i="1" s="1"/>
  <c r="CD594" i="1"/>
  <c r="CH594" i="1" s="1"/>
  <c r="CI594" i="1" s="1"/>
  <c r="CD595" i="1"/>
  <c r="CH595" i="1" s="1"/>
  <c r="CI595" i="1" s="1"/>
  <c r="CD596" i="1"/>
  <c r="CH596" i="1" s="1"/>
  <c r="CI596" i="1" s="1"/>
  <c r="CD597" i="1"/>
  <c r="CH597" i="1" s="1"/>
  <c r="CI597" i="1" s="1"/>
  <c r="CD598" i="1"/>
  <c r="CH598" i="1" s="1"/>
  <c r="CI598" i="1" s="1"/>
  <c r="CD599" i="1"/>
  <c r="CH599" i="1" s="1"/>
  <c r="CI599" i="1" s="1"/>
  <c r="CD600" i="1"/>
  <c r="CH600" i="1" s="1"/>
  <c r="CI600" i="1" s="1"/>
  <c r="CD601" i="1"/>
  <c r="CH601" i="1" s="1"/>
  <c r="CI601" i="1" s="1"/>
  <c r="CD602" i="1"/>
  <c r="CH602" i="1" s="1"/>
  <c r="CI602" i="1" s="1"/>
  <c r="CD603" i="1"/>
  <c r="CH603" i="1" s="1"/>
  <c r="CI603" i="1" s="1"/>
  <c r="CD604" i="1"/>
  <c r="CH604" i="1" s="1"/>
  <c r="CI604" i="1" s="1"/>
  <c r="CD605" i="1"/>
  <c r="CH605" i="1" s="1"/>
  <c r="CI605" i="1" s="1"/>
  <c r="CD606" i="1"/>
  <c r="CH606" i="1" s="1"/>
  <c r="CI606" i="1" s="1"/>
  <c r="CD607" i="1"/>
  <c r="CH607" i="1" s="1"/>
  <c r="CI607" i="1" s="1"/>
  <c r="CD608" i="1"/>
  <c r="CH608" i="1" s="1"/>
  <c r="CI608" i="1" s="1"/>
  <c r="CD609" i="1"/>
  <c r="CH609" i="1" s="1"/>
  <c r="CI609" i="1" s="1"/>
  <c r="CD610" i="1"/>
  <c r="CH610" i="1" s="1"/>
  <c r="CI610" i="1" s="1"/>
  <c r="CD611" i="1"/>
  <c r="CH611" i="1" s="1"/>
  <c r="CI611" i="1" s="1"/>
  <c r="CD612" i="1"/>
  <c r="CH612" i="1" s="1"/>
  <c r="CI612" i="1" s="1"/>
  <c r="CD613" i="1"/>
  <c r="CH613" i="1" s="1"/>
  <c r="CI613" i="1" s="1"/>
  <c r="CD614" i="1"/>
  <c r="CH614" i="1" s="1"/>
  <c r="CI614" i="1" s="1"/>
  <c r="CD615" i="1"/>
  <c r="CH615" i="1" s="1"/>
  <c r="CI615" i="1" s="1"/>
  <c r="CD616" i="1"/>
  <c r="CH616" i="1" s="1"/>
  <c r="CI616" i="1" s="1"/>
  <c r="CD617" i="1"/>
  <c r="CH617" i="1" s="1"/>
  <c r="CI617" i="1" s="1"/>
  <c r="CD618" i="1"/>
  <c r="CH618" i="1" s="1"/>
  <c r="CI618" i="1" s="1"/>
  <c r="CD619" i="1"/>
  <c r="CH619" i="1" s="1"/>
  <c r="CI619" i="1" s="1"/>
  <c r="CD620" i="1"/>
  <c r="CH620" i="1" s="1"/>
  <c r="CI620" i="1" s="1"/>
  <c r="CD621" i="1"/>
  <c r="CH621" i="1" s="1"/>
  <c r="CI621" i="1" s="1"/>
  <c r="CD622" i="1"/>
  <c r="CH622" i="1" s="1"/>
  <c r="CI622" i="1" s="1"/>
  <c r="CD623" i="1"/>
  <c r="CH623" i="1" s="1"/>
  <c r="CI623" i="1" s="1"/>
  <c r="CD624" i="1"/>
  <c r="CH624" i="1" s="1"/>
  <c r="CI624" i="1" s="1"/>
  <c r="CD625" i="1"/>
  <c r="CH625" i="1" s="1"/>
  <c r="CI625" i="1" s="1"/>
  <c r="CD626" i="1"/>
  <c r="CH626" i="1" s="1"/>
  <c r="CI626" i="1" s="1"/>
  <c r="CD627" i="1"/>
  <c r="CH627" i="1" s="1"/>
  <c r="CI627" i="1" s="1"/>
  <c r="CD628" i="1"/>
  <c r="CH628" i="1" s="1"/>
  <c r="CI628" i="1" s="1"/>
  <c r="CD629" i="1"/>
  <c r="CH629" i="1" s="1"/>
  <c r="CI629" i="1" s="1"/>
  <c r="CD630" i="1"/>
  <c r="CH630" i="1" s="1"/>
  <c r="CI630" i="1" s="1"/>
  <c r="CD631" i="1"/>
  <c r="CH631" i="1" s="1"/>
  <c r="CI631" i="1" s="1"/>
  <c r="CD632" i="1"/>
  <c r="CH632" i="1" s="1"/>
  <c r="CI632" i="1" s="1"/>
  <c r="CD633" i="1"/>
  <c r="CH633" i="1" s="1"/>
  <c r="CI633" i="1" s="1"/>
  <c r="CD634" i="1"/>
  <c r="CH634" i="1" s="1"/>
  <c r="CI634" i="1" s="1"/>
  <c r="CD635" i="1"/>
  <c r="CH635" i="1" s="1"/>
  <c r="CI635" i="1" s="1"/>
  <c r="CD636" i="1"/>
  <c r="CH636" i="1" s="1"/>
  <c r="CI636" i="1" s="1"/>
  <c r="CD637" i="1"/>
  <c r="CH637" i="1" s="1"/>
  <c r="CI637" i="1" s="1"/>
  <c r="CD638" i="1"/>
  <c r="CH638" i="1" s="1"/>
  <c r="CI638" i="1" s="1"/>
  <c r="CD639" i="1"/>
  <c r="CH639" i="1" s="1"/>
  <c r="CI639" i="1" s="1"/>
  <c r="CD640" i="1"/>
  <c r="CH640" i="1" s="1"/>
  <c r="CI640" i="1" s="1"/>
  <c r="CD641" i="1"/>
  <c r="CH641" i="1" s="1"/>
  <c r="CI641" i="1" s="1"/>
  <c r="CD642" i="1"/>
  <c r="CH642" i="1" s="1"/>
  <c r="CI642" i="1" s="1"/>
  <c r="CD643" i="1"/>
  <c r="CH643" i="1" s="1"/>
  <c r="CI643" i="1" s="1"/>
  <c r="CD644" i="1"/>
  <c r="CH644" i="1" s="1"/>
  <c r="CI644" i="1" s="1"/>
  <c r="CD645" i="1"/>
  <c r="CH645" i="1" s="1"/>
  <c r="CI645" i="1" s="1"/>
  <c r="CD646" i="1"/>
  <c r="CH646" i="1" s="1"/>
  <c r="CI646" i="1" s="1"/>
  <c r="CD647" i="1"/>
  <c r="CH647" i="1" s="1"/>
  <c r="CI647" i="1" s="1"/>
  <c r="CD648" i="1"/>
  <c r="CH648" i="1" s="1"/>
  <c r="CI648" i="1" s="1"/>
  <c r="CD649" i="1"/>
  <c r="CH649" i="1" s="1"/>
  <c r="CI649" i="1" s="1"/>
  <c r="CD650" i="1"/>
  <c r="CH650" i="1" s="1"/>
  <c r="CI650" i="1" s="1"/>
  <c r="CD651" i="1"/>
  <c r="CH651" i="1" s="1"/>
  <c r="CI651" i="1" s="1"/>
  <c r="CD652" i="1"/>
  <c r="CH652" i="1" s="1"/>
  <c r="CI652" i="1" s="1"/>
  <c r="CD653" i="1"/>
  <c r="CH653" i="1" s="1"/>
  <c r="CI653" i="1" s="1"/>
  <c r="CD654" i="1"/>
  <c r="CH654" i="1" s="1"/>
  <c r="CI654" i="1" s="1"/>
  <c r="CD655" i="1"/>
  <c r="CH655" i="1" s="1"/>
  <c r="CI655" i="1" s="1"/>
  <c r="CD656" i="1"/>
  <c r="CH656" i="1" s="1"/>
  <c r="CI656" i="1" s="1"/>
  <c r="CD657" i="1"/>
  <c r="CH657" i="1" s="1"/>
  <c r="CI657" i="1" s="1"/>
  <c r="CD658" i="1"/>
  <c r="CH658" i="1" s="1"/>
  <c r="CI658" i="1" s="1"/>
  <c r="CD659" i="1"/>
  <c r="CH659" i="1" s="1"/>
  <c r="CI659" i="1" s="1"/>
  <c r="CD660" i="1"/>
  <c r="CH660" i="1" s="1"/>
  <c r="CI660" i="1" s="1"/>
  <c r="CD661" i="1"/>
  <c r="CH661" i="1" s="1"/>
  <c r="CI661" i="1" s="1"/>
  <c r="CD662" i="1"/>
  <c r="CH662" i="1" s="1"/>
  <c r="CI662" i="1" s="1"/>
  <c r="CD663" i="1"/>
  <c r="CH663" i="1" s="1"/>
  <c r="CI663" i="1" s="1"/>
  <c r="CD664" i="1"/>
  <c r="CH664" i="1" s="1"/>
  <c r="CI664" i="1" s="1"/>
  <c r="CD665" i="1"/>
  <c r="CH665" i="1" s="1"/>
  <c r="CI665" i="1" s="1"/>
  <c r="CD666" i="1"/>
  <c r="CH666" i="1" s="1"/>
  <c r="CI666" i="1" s="1"/>
  <c r="CD667" i="1"/>
  <c r="CH667" i="1" s="1"/>
  <c r="CI667" i="1" s="1"/>
  <c r="CD668" i="1"/>
  <c r="CH668" i="1" s="1"/>
  <c r="CI668" i="1" s="1"/>
  <c r="CD669" i="1"/>
  <c r="CH669" i="1" s="1"/>
  <c r="CI669" i="1" s="1"/>
  <c r="CD487" i="1"/>
  <c r="CH487" i="1" s="1"/>
  <c r="CI487" i="1" s="1"/>
  <c r="CD488" i="1"/>
  <c r="CH488" i="1" s="1"/>
  <c r="CI488" i="1" s="1"/>
  <c r="CD670" i="1"/>
  <c r="CH670" i="1" s="1"/>
  <c r="CI670" i="1" s="1"/>
  <c r="CD671" i="1"/>
  <c r="CH671" i="1" s="1"/>
  <c r="CI671" i="1" s="1"/>
  <c r="CD673" i="1"/>
  <c r="CH673" i="1" s="1"/>
  <c r="CI673" i="1" s="1"/>
  <c r="CD674" i="1"/>
  <c r="CH674" i="1" s="1"/>
  <c r="CI674" i="1" s="1"/>
  <c r="CD676" i="1"/>
  <c r="CH676" i="1" s="1"/>
  <c r="CI676" i="1" s="1"/>
  <c r="CD677" i="1"/>
  <c r="CH677" i="1" s="1"/>
  <c r="CI677" i="1" s="1"/>
  <c r="CD678" i="1"/>
  <c r="CH678" i="1" s="1"/>
  <c r="CI678" i="1" s="1"/>
  <c r="CD679" i="1"/>
  <c r="CH679" i="1" s="1"/>
  <c r="CI679" i="1" s="1"/>
  <c r="CD680" i="1"/>
  <c r="CH680" i="1" s="1"/>
  <c r="CI680" i="1" s="1"/>
  <c r="CD681" i="1"/>
  <c r="CH681" i="1" s="1"/>
  <c r="CI681" i="1" s="1"/>
  <c r="CD682" i="1"/>
  <c r="CH682" i="1" s="1"/>
  <c r="CI682" i="1" s="1"/>
  <c r="CD683" i="1"/>
  <c r="CH683" i="1" s="1"/>
  <c r="CI683" i="1" s="1"/>
  <c r="CD684" i="1"/>
  <c r="CH684" i="1" s="1"/>
  <c r="CI684" i="1" s="1"/>
  <c r="CD685" i="1"/>
  <c r="CH685" i="1" s="1"/>
  <c r="CI685" i="1" s="1"/>
  <c r="CD686" i="1"/>
  <c r="CH686" i="1" s="1"/>
  <c r="CI686" i="1" s="1"/>
  <c r="CD687" i="1"/>
  <c r="CH687" i="1" s="1"/>
  <c r="CI687" i="1" s="1"/>
  <c r="CD688" i="1"/>
  <c r="CH688" i="1" s="1"/>
  <c r="CI688" i="1" s="1"/>
  <c r="CD690" i="1"/>
  <c r="CH690" i="1" s="1"/>
  <c r="CI690" i="1" s="1"/>
  <c r="CD692" i="1"/>
  <c r="CH692" i="1" s="1"/>
  <c r="CI692" i="1" s="1"/>
  <c r="CD693" i="1"/>
  <c r="CH693" i="1" s="1"/>
  <c r="CI693" i="1" s="1"/>
  <c r="CD694" i="1"/>
  <c r="CH694" i="1" s="1"/>
  <c r="CI694" i="1" s="1"/>
  <c r="CD695" i="1"/>
  <c r="CH695" i="1" s="1"/>
  <c r="CI695" i="1" s="1"/>
  <c r="CD505" i="1"/>
  <c r="CH505" i="1" s="1"/>
  <c r="CI505" i="1" s="1"/>
  <c r="CD696" i="1"/>
  <c r="CH696" i="1" s="1"/>
  <c r="CI696" i="1" s="1"/>
  <c r="CD697" i="1"/>
  <c r="CH697" i="1" s="1"/>
  <c r="CI697" i="1" s="1"/>
  <c r="CD698" i="1"/>
  <c r="CH698" i="1" s="1"/>
  <c r="CI698" i="1" s="1"/>
  <c r="CD508" i="1"/>
  <c r="CH508" i="1" s="1"/>
  <c r="CI508" i="1" s="1"/>
  <c r="CD700" i="1"/>
  <c r="CH700" i="1" s="1"/>
  <c r="CI700" i="1" s="1"/>
  <c r="CD509" i="1"/>
  <c r="CH509" i="1" s="1"/>
  <c r="CI509" i="1" s="1"/>
  <c r="CD701" i="1"/>
  <c r="CH701" i="1" s="1"/>
  <c r="CI701" i="1" s="1"/>
  <c r="CD702" i="1"/>
  <c r="CH702" i="1" s="1"/>
  <c r="CI702" i="1" s="1"/>
  <c r="CD703" i="1"/>
  <c r="CH703" i="1" s="1"/>
  <c r="CI703" i="1" s="1"/>
  <c r="CD704" i="1"/>
  <c r="CH704" i="1" s="1"/>
  <c r="CI704" i="1" s="1"/>
  <c r="CD705" i="1"/>
  <c r="CH705" i="1" s="1"/>
  <c r="CI705" i="1" s="1"/>
  <c r="CD706" i="1"/>
  <c r="CH706" i="1" s="1"/>
  <c r="CI706" i="1" s="1"/>
  <c r="CD707" i="1"/>
  <c r="CH707" i="1" s="1"/>
  <c r="CI707" i="1" s="1"/>
  <c r="CD708" i="1"/>
  <c r="CH708" i="1" s="1"/>
  <c r="CI708" i="1" s="1"/>
  <c r="CD710" i="1"/>
  <c r="CH710" i="1" s="1"/>
  <c r="CI710" i="1" s="1"/>
  <c r="CD711" i="1"/>
  <c r="CH711" i="1" s="1"/>
  <c r="CI711" i="1" s="1"/>
  <c r="CD712" i="1"/>
  <c r="CH712" i="1" s="1"/>
  <c r="CI712" i="1" s="1"/>
  <c r="CD713" i="1"/>
  <c r="CH713" i="1" s="1"/>
  <c r="CI713" i="1" s="1"/>
  <c r="CD714" i="1"/>
  <c r="CH714" i="1" s="1"/>
  <c r="CI714" i="1" s="1"/>
  <c r="CD715" i="1"/>
  <c r="CH715" i="1" s="1"/>
  <c r="CI715" i="1" s="1"/>
  <c r="CD717" i="1"/>
  <c r="CH717" i="1" s="1"/>
  <c r="CI717" i="1" s="1"/>
  <c r="CD718" i="1"/>
  <c r="CH718" i="1" s="1"/>
  <c r="CI718" i="1" s="1"/>
  <c r="CD719" i="1"/>
  <c r="CH719" i="1" s="1"/>
  <c r="CI719" i="1" s="1"/>
  <c r="CD720" i="1"/>
  <c r="CH720" i="1" s="1"/>
  <c r="CI720" i="1" s="1"/>
  <c r="CD721" i="1"/>
  <c r="CH721" i="1" s="1"/>
  <c r="CI721" i="1" s="1"/>
  <c r="CD722" i="1"/>
  <c r="CH722" i="1" s="1"/>
  <c r="CI722" i="1" s="1"/>
  <c r="CD723" i="1"/>
  <c r="CH723" i="1" s="1"/>
  <c r="CI723" i="1" s="1"/>
  <c r="CD724" i="1"/>
  <c r="CH724" i="1" s="1"/>
  <c r="CI724" i="1" s="1"/>
  <c r="CD725" i="1"/>
  <c r="CH725" i="1" s="1"/>
  <c r="CI725" i="1" s="1"/>
  <c r="CD726" i="1"/>
  <c r="CH726" i="1" s="1"/>
  <c r="CI726" i="1" s="1"/>
  <c r="CD727" i="1"/>
  <c r="CH727" i="1" s="1"/>
  <c r="CI727" i="1" s="1"/>
  <c r="CD728" i="1"/>
  <c r="CH728" i="1" s="1"/>
  <c r="CI728" i="1" s="1"/>
  <c r="CD729" i="1"/>
  <c r="CH729" i="1" s="1"/>
  <c r="CI729" i="1" s="1"/>
  <c r="CD730" i="1"/>
  <c r="CH730" i="1" s="1"/>
  <c r="CI730" i="1" s="1"/>
  <c r="CD731" i="1"/>
  <c r="CH731" i="1" s="1"/>
  <c r="CI731" i="1" s="1"/>
  <c r="CD732" i="1"/>
  <c r="CH732" i="1" s="1"/>
  <c r="CI732" i="1" s="1"/>
  <c r="CD733" i="1"/>
  <c r="CH733" i="1" s="1"/>
  <c r="CI733" i="1" s="1"/>
  <c r="CD734" i="1"/>
  <c r="CH734" i="1" s="1"/>
  <c r="CI734" i="1" s="1"/>
  <c r="CD735" i="1"/>
  <c r="CH735" i="1" s="1"/>
  <c r="CI735" i="1" s="1"/>
  <c r="CD736" i="1"/>
  <c r="CH736" i="1" s="1"/>
  <c r="CI736" i="1" s="1"/>
  <c r="CD737" i="1"/>
  <c r="CH737" i="1" s="1"/>
  <c r="CI737" i="1" s="1"/>
  <c r="CD738" i="1"/>
  <c r="CH738" i="1" s="1"/>
  <c r="CI738" i="1" s="1"/>
  <c r="CD739" i="1"/>
  <c r="CH739" i="1" s="1"/>
  <c r="CI739" i="1" s="1"/>
  <c r="CD740" i="1"/>
  <c r="CH740" i="1" s="1"/>
  <c r="CI740" i="1" s="1"/>
  <c r="CD741" i="1"/>
  <c r="CH741" i="1" s="1"/>
  <c r="CI741" i="1" s="1"/>
  <c r="CD742" i="1"/>
  <c r="CH742" i="1" s="1"/>
  <c r="CI742" i="1" s="1"/>
  <c r="CD743" i="1"/>
  <c r="CH743" i="1" s="1"/>
  <c r="CI743" i="1" s="1"/>
  <c r="CD744" i="1"/>
  <c r="CH744" i="1" s="1"/>
  <c r="CI744" i="1" s="1"/>
  <c r="CD745" i="1"/>
  <c r="CH745" i="1" s="1"/>
  <c r="CI745" i="1" s="1"/>
  <c r="CD746" i="1"/>
  <c r="CH746" i="1" s="1"/>
  <c r="CI746" i="1" s="1"/>
  <c r="CD747" i="1"/>
  <c r="CH747" i="1" s="1"/>
  <c r="CI747" i="1" s="1"/>
  <c r="CD748" i="1"/>
  <c r="CH748" i="1" s="1"/>
  <c r="CI748" i="1" s="1"/>
  <c r="CD749" i="1"/>
  <c r="CH749" i="1" s="1"/>
  <c r="CI749" i="1" s="1"/>
  <c r="CD750" i="1"/>
  <c r="CH750" i="1" s="1"/>
  <c r="CI750" i="1" s="1"/>
  <c r="CD751" i="1"/>
  <c r="CH751" i="1" s="1"/>
  <c r="CI751" i="1" s="1"/>
  <c r="CD752" i="1"/>
  <c r="CH752" i="1" s="1"/>
  <c r="CI752" i="1" s="1"/>
  <c r="CD753" i="1"/>
  <c r="CH753" i="1" s="1"/>
  <c r="CI753" i="1" s="1"/>
  <c r="CD754" i="1"/>
  <c r="CH754" i="1" s="1"/>
  <c r="CI754" i="1" s="1"/>
  <c r="CD755" i="1"/>
  <c r="CH755" i="1" s="1"/>
  <c r="CI755" i="1" s="1"/>
  <c r="CD756" i="1"/>
  <c r="CH756" i="1" s="1"/>
  <c r="CI756" i="1" s="1"/>
  <c r="CD757" i="1"/>
  <c r="CH757" i="1" s="1"/>
  <c r="CI757" i="1" s="1"/>
  <c r="CD758" i="1"/>
  <c r="CH758" i="1" s="1"/>
  <c r="CI758" i="1" s="1"/>
  <c r="CD759" i="1"/>
  <c r="CH759" i="1" s="1"/>
  <c r="CI759" i="1" s="1"/>
  <c r="CD760" i="1"/>
  <c r="CH760" i="1" s="1"/>
  <c r="CI760" i="1" s="1"/>
  <c r="CD761" i="1"/>
  <c r="CH761" i="1" s="1"/>
  <c r="CI761" i="1" s="1"/>
  <c r="CD762" i="1"/>
  <c r="CH762" i="1" s="1"/>
  <c r="CI762" i="1" s="1"/>
  <c r="CD763" i="1"/>
  <c r="CH763" i="1" s="1"/>
  <c r="CI763" i="1" s="1"/>
  <c r="CD764" i="1"/>
  <c r="CH764" i="1" s="1"/>
  <c r="CI764" i="1" s="1"/>
  <c r="CD765" i="1"/>
  <c r="CH765" i="1" s="1"/>
  <c r="CI765" i="1" s="1"/>
  <c r="CD766" i="1"/>
  <c r="CH766" i="1" s="1"/>
  <c r="CI766" i="1" s="1"/>
  <c r="CD767" i="1"/>
  <c r="CH767" i="1" s="1"/>
  <c r="CI767" i="1" s="1"/>
  <c r="CD768" i="1"/>
  <c r="CH768" i="1" s="1"/>
  <c r="CI768" i="1" s="1"/>
  <c r="CD769" i="1"/>
  <c r="CH769" i="1" s="1"/>
  <c r="CI769" i="1" s="1"/>
  <c r="CD770" i="1"/>
  <c r="CH770" i="1" s="1"/>
  <c r="CI770" i="1" s="1"/>
  <c r="CD771" i="1"/>
  <c r="CH771" i="1" s="1"/>
  <c r="CI771" i="1" s="1"/>
  <c r="CD772" i="1"/>
  <c r="CH772" i="1" s="1"/>
  <c r="CI772" i="1" s="1"/>
  <c r="CD773" i="1"/>
  <c r="CH773" i="1" s="1"/>
  <c r="CI773" i="1" s="1"/>
  <c r="CD774" i="1"/>
  <c r="CH774" i="1" s="1"/>
  <c r="CI774" i="1" s="1"/>
  <c r="CD775" i="1"/>
  <c r="CH775" i="1" s="1"/>
  <c r="CI775" i="1" s="1"/>
  <c r="CD776" i="1"/>
  <c r="CH776" i="1" s="1"/>
  <c r="CI776" i="1" s="1"/>
  <c r="CD777" i="1"/>
  <c r="CH777" i="1" s="1"/>
  <c r="CI777" i="1" s="1"/>
  <c r="CD778" i="1"/>
  <c r="CH778" i="1" s="1"/>
  <c r="CI778" i="1" s="1"/>
  <c r="CD779" i="1"/>
  <c r="CH779" i="1" s="1"/>
  <c r="CI779" i="1" s="1"/>
  <c r="CD780" i="1"/>
  <c r="CH780" i="1" s="1"/>
  <c r="CI780" i="1" s="1"/>
  <c r="CD781" i="1"/>
  <c r="CH781" i="1" s="1"/>
  <c r="CI781" i="1" s="1"/>
  <c r="CD782" i="1"/>
  <c r="CH782" i="1" s="1"/>
  <c r="CI782" i="1" s="1"/>
  <c r="CD783" i="1"/>
  <c r="CH783" i="1" s="1"/>
  <c r="CI783" i="1" s="1"/>
  <c r="CD784" i="1"/>
  <c r="CH784" i="1" s="1"/>
  <c r="CI784" i="1" s="1"/>
  <c r="CD785" i="1"/>
  <c r="CH785" i="1" s="1"/>
  <c r="CI785" i="1" s="1"/>
  <c r="CB815" i="1"/>
  <c r="CC815" i="1" s="1"/>
  <c r="CD815" i="1"/>
  <c r="CH815" i="1" s="1"/>
  <c r="CI815" i="1" s="1"/>
  <c r="CB817" i="1"/>
  <c r="CC817" i="1" s="1"/>
  <c r="CD817" i="1"/>
  <c r="CH817" i="1" s="1"/>
  <c r="CI817" i="1" s="1"/>
  <c r="CB788" i="1"/>
  <c r="CC788" i="1" s="1"/>
  <c r="CD788" i="1"/>
  <c r="CH788" i="1" s="1"/>
  <c r="CI788" i="1" s="1"/>
  <c r="CB821" i="1"/>
  <c r="CC821" i="1" s="1"/>
  <c r="CD821" i="1"/>
  <c r="CH821" i="1" s="1"/>
  <c r="CI821" i="1" s="1"/>
  <c r="CB822" i="1"/>
  <c r="CC822" i="1" s="1"/>
  <c r="CD822" i="1"/>
  <c r="CH822" i="1" s="1"/>
  <c r="CI822" i="1" s="1"/>
  <c r="CB823" i="1"/>
  <c r="CC823" i="1" s="1"/>
  <c r="CD823" i="1"/>
  <c r="CH823" i="1" s="1"/>
  <c r="CI823" i="1" s="1"/>
  <c r="CB824" i="1"/>
  <c r="CC824" i="1" s="1"/>
  <c r="CD824" i="1"/>
  <c r="CH824" i="1" s="1"/>
  <c r="CI824" i="1" s="1"/>
  <c r="CB825" i="1"/>
  <c r="CC825" i="1" s="1"/>
  <c r="CD825" i="1"/>
  <c r="CH825" i="1" s="1"/>
  <c r="CI825" i="1" s="1"/>
  <c r="CB826" i="1"/>
  <c r="CC826" i="1" s="1"/>
  <c r="CD826" i="1"/>
  <c r="CH826" i="1" s="1"/>
  <c r="CI826" i="1" s="1"/>
  <c r="CB789" i="1"/>
  <c r="CC789" i="1" s="1"/>
  <c r="CD789" i="1"/>
  <c r="CH789" i="1" s="1"/>
  <c r="CI789" i="1" s="1"/>
  <c r="CB827" i="1"/>
  <c r="CC827" i="1" s="1"/>
  <c r="CD827" i="1"/>
  <c r="CH827" i="1" s="1"/>
  <c r="CI827" i="1" s="1"/>
  <c r="CB828" i="1"/>
  <c r="CC828" i="1" s="1"/>
  <c r="CD828" i="1"/>
  <c r="CH828" i="1" s="1"/>
  <c r="CI828" i="1" s="1"/>
  <c r="CB790" i="1"/>
  <c r="CC790" i="1" s="1"/>
  <c r="CD790" i="1"/>
  <c r="CH790" i="1" s="1"/>
  <c r="CI790" i="1" s="1"/>
  <c r="CB791" i="1"/>
  <c r="CC791" i="1" s="1"/>
  <c r="CD791" i="1"/>
  <c r="CH791" i="1" s="1"/>
  <c r="CI791" i="1" s="1"/>
  <c r="CB792" i="1"/>
  <c r="CC792" i="1" s="1"/>
  <c r="CD792" i="1"/>
  <c r="CH792" i="1" s="1"/>
  <c r="CI792" i="1" s="1"/>
  <c r="CB793" i="1"/>
  <c r="CC793" i="1" s="1"/>
  <c r="CD793" i="1"/>
  <c r="CH793" i="1" s="1"/>
  <c r="CI793" i="1" s="1"/>
  <c r="CB794" i="1"/>
  <c r="CC794" i="1" s="1"/>
  <c r="CD794" i="1"/>
  <c r="CH794" i="1" s="1"/>
  <c r="CI794" i="1" s="1"/>
  <c r="CB795" i="1"/>
  <c r="CC795" i="1" s="1"/>
  <c r="CD795" i="1"/>
  <c r="CH795" i="1" s="1"/>
  <c r="CI795" i="1" s="1"/>
  <c r="CB796" i="1"/>
  <c r="CC796" i="1" s="1"/>
  <c r="CD796" i="1"/>
  <c r="CH796" i="1" s="1"/>
  <c r="CI796" i="1" s="1"/>
  <c r="CD798" i="1"/>
  <c r="CH798" i="1" s="1"/>
  <c r="CI798" i="1" s="1"/>
  <c r="CD799" i="1"/>
  <c r="CH799" i="1" s="1"/>
  <c r="CI799" i="1" s="1"/>
  <c r="CD800" i="1"/>
  <c r="CH800" i="1" s="1"/>
  <c r="CI800" i="1" s="1"/>
  <c r="CD801" i="1"/>
  <c r="CH801" i="1" s="1"/>
  <c r="CI801" i="1" s="1"/>
  <c r="CD802" i="1"/>
  <c r="CH802" i="1" s="1"/>
  <c r="CI802" i="1" s="1"/>
  <c r="CD803" i="1"/>
  <c r="CH803" i="1" s="1"/>
  <c r="CI803" i="1" s="1"/>
  <c r="CD804" i="1"/>
  <c r="CH804" i="1" s="1"/>
  <c r="CI804" i="1" s="1"/>
  <c r="CD805" i="1"/>
  <c r="CH805" i="1" s="1"/>
  <c r="CI805" i="1" s="1"/>
  <c r="CD806" i="1"/>
  <c r="CH806" i="1" s="1"/>
  <c r="CI806" i="1" s="1"/>
  <c r="CD807" i="1"/>
  <c r="CH807" i="1" s="1"/>
  <c r="CI807" i="1" s="1"/>
  <c r="CD808" i="1"/>
  <c r="CH808" i="1" s="1"/>
  <c r="CI808" i="1" s="1"/>
  <c r="CD809" i="1"/>
  <c r="CH809" i="1" s="1"/>
  <c r="CI809" i="1" s="1"/>
  <c r="CD810" i="1"/>
  <c r="CH810" i="1" s="1"/>
  <c r="CI810" i="1" s="1"/>
  <c r="CD811" i="1"/>
  <c r="CH811" i="1" s="1"/>
  <c r="CI811" i="1" s="1"/>
  <c r="CD812" i="1"/>
  <c r="CH812" i="1" s="1"/>
  <c r="CI812" i="1" s="1"/>
  <c r="CD813" i="1"/>
  <c r="CH813" i="1" s="1"/>
  <c r="CI813" i="1" s="1"/>
  <c r="CD814" i="1"/>
  <c r="CH814" i="1" s="1"/>
  <c r="CI814" i="1" s="1"/>
  <c r="CB816" i="1"/>
  <c r="CC816" i="1" s="1"/>
  <c r="CD816" i="1"/>
  <c r="CH816" i="1" s="1"/>
  <c r="CI816" i="1" s="1"/>
  <c r="CB818" i="1"/>
  <c r="CC818" i="1" s="1"/>
  <c r="CD818" i="1"/>
  <c r="CH818" i="1" s="1"/>
  <c r="CI818" i="1" s="1"/>
  <c r="CB819" i="1"/>
  <c r="CC819" i="1" s="1"/>
  <c r="CD819" i="1"/>
  <c r="CH819" i="1" s="1"/>
  <c r="CI819" i="1" s="1"/>
  <c r="CB820" i="1"/>
  <c r="CC820" i="1" s="1"/>
  <c r="CD820" i="1"/>
  <c r="CH820" i="1" s="1"/>
  <c r="CI820" i="1" s="1"/>
  <c r="CD829" i="1"/>
  <c r="CH829" i="1" s="1"/>
  <c r="CI829" i="1" s="1"/>
  <c r="CD830" i="1"/>
  <c r="CH830" i="1" s="1"/>
  <c r="CI830" i="1" s="1"/>
  <c r="CD831" i="1"/>
  <c r="CH831" i="1" s="1"/>
  <c r="CI831" i="1" s="1"/>
  <c r="CD832" i="1"/>
  <c r="CH832" i="1" s="1"/>
  <c r="CI832" i="1" s="1"/>
  <c r="CD833" i="1"/>
  <c r="CH833" i="1" s="1"/>
  <c r="CI833" i="1" s="1"/>
  <c r="CD834" i="1"/>
  <c r="CH834" i="1" s="1"/>
  <c r="CI834" i="1" s="1"/>
  <c r="CD835" i="1"/>
  <c r="CH835" i="1" s="1"/>
  <c r="CI835" i="1" s="1"/>
  <c r="CD836" i="1"/>
  <c r="CH836" i="1" s="1"/>
  <c r="CI836" i="1" s="1"/>
  <c r="CD837" i="1"/>
  <c r="CH837" i="1" s="1"/>
  <c r="CI837" i="1" s="1"/>
  <c r="CD838" i="1"/>
  <c r="CH838" i="1" s="1"/>
  <c r="CI838" i="1" s="1"/>
  <c r="CD839" i="1"/>
  <c r="CH839" i="1" s="1"/>
  <c r="CI839" i="1" s="1"/>
  <c r="CB840" i="1"/>
  <c r="CC840" i="1" s="1"/>
  <c r="CD840" i="1"/>
  <c r="CH840" i="1" s="1"/>
  <c r="CI840" i="1" s="1"/>
  <c r="CD841" i="1"/>
  <c r="CH841" i="1" s="1"/>
  <c r="CI841" i="1" s="1"/>
  <c r="CD842" i="1"/>
  <c r="CH842" i="1" s="1"/>
  <c r="CI842" i="1" s="1"/>
  <c r="CD843" i="1"/>
  <c r="CH843" i="1" s="1"/>
  <c r="CI843" i="1" s="1"/>
  <c r="CD844" i="1"/>
  <c r="CH844" i="1" s="1"/>
  <c r="CI844" i="1" s="1"/>
  <c r="CD845" i="1"/>
  <c r="CH845" i="1" s="1"/>
  <c r="CI845" i="1" s="1"/>
  <c r="CD846" i="1"/>
  <c r="CH846" i="1" s="1"/>
  <c r="CI846" i="1" s="1"/>
  <c r="CD847" i="1"/>
  <c r="CH847" i="1" s="1"/>
  <c r="CI847" i="1" s="1"/>
  <c r="CD848" i="1"/>
  <c r="CH848" i="1" s="1"/>
  <c r="CI848" i="1" s="1"/>
  <c r="CD849" i="1"/>
  <c r="CH849" i="1" s="1"/>
  <c r="CI849" i="1" s="1"/>
  <c r="CD850" i="1"/>
  <c r="CH850" i="1" s="1"/>
  <c r="CI850" i="1" s="1"/>
  <c r="CD851" i="1"/>
  <c r="CH851" i="1" s="1"/>
  <c r="CI851" i="1" s="1"/>
  <c r="CD852" i="1"/>
  <c r="CH852" i="1" s="1"/>
  <c r="CI852" i="1" s="1"/>
  <c r="CD853" i="1"/>
  <c r="CH853" i="1" s="1"/>
  <c r="CI853" i="1" s="1"/>
  <c r="CD854" i="1"/>
  <c r="CH854" i="1" s="1"/>
  <c r="CI854" i="1" s="1"/>
  <c r="CD855" i="1"/>
  <c r="CH855" i="1" s="1"/>
  <c r="CI855" i="1" s="1"/>
  <c r="CD856" i="1"/>
  <c r="CH856" i="1" s="1"/>
  <c r="CI856" i="1" s="1"/>
  <c r="CD857" i="1"/>
  <c r="CH857" i="1" s="1"/>
  <c r="CI857" i="1" s="1"/>
  <c r="CB858" i="1"/>
  <c r="CC858" i="1" s="1"/>
  <c r="CD858" i="1"/>
  <c r="CH858" i="1" s="1"/>
  <c r="CI858" i="1" s="1"/>
  <c r="CB859" i="1"/>
  <c r="CC859" i="1" s="1"/>
  <c r="CD859" i="1"/>
  <c r="CH859" i="1" s="1"/>
  <c r="CI859" i="1" s="1"/>
  <c r="CB860" i="1"/>
  <c r="CC860" i="1" s="1"/>
  <c r="CD860" i="1"/>
  <c r="CH860" i="1" s="1"/>
  <c r="CI860" i="1" s="1"/>
  <c r="CB861" i="1"/>
  <c r="CC861" i="1" s="1"/>
  <c r="CD861" i="1"/>
  <c r="CH861" i="1" s="1"/>
  <c r="CI861" i="1" s="1"/>
  <c r="CD862" i="1"/>
  <c r="CH862" i="1" s="1"/>
  <c r="CI862" i="1" s="1"/>
  <c r="CD863" i="1"/>
  <c r="CH863" i="1" s="1"/>
  <c r="CI863" i="1" s="1"/>
  <c r="CD864" i="1"/>
  <c r="CH864" i="1" s="1"/>
  <c r="CI864" i="1" s="1"/>
  <c r="CD865" i="1"/>
  <c r="CH865" i="1" s="1"/>
  <c r="CI865" i="1" s="1"/>
  <c r="CD866" i="1"/>
  <c r="CH866" i="1" s="1"/>
  <c r="CI866" i="1" s="1"/>
  <c r="CD867" i="1"/>
  <c r="CH867" i="1" s="1"/>
  <c r="CI867" i="1" s="1"/>
  <c r="CD868" i="1"/>
  <c r="CH868" i="1" s="1"/>
  <c r="CI868" i="1" s="1"/>
  <c r="CD869" i="1"/>
  <c r="CH869" i="1" s="1"/>
  <c r="CI869" i="1" s="1"/>
  <c r="CD870" i="1"/>
  <c r="CH870" i="1" s="1"/>
  <c r="CI870" i="1" s="1"/>
  <c r="CD871" i="1"/>
  <c r="CH871" i="1" s="1"/>
  <c r="CI871" i="1" s="1"/>
  <c r="CD872" i="1"/>
  <c r="CH872" i="1" s="1"/>
  <c r="CI872" i="1" s="1"/>
  <c r="CD873" i="1"/>
  <c r="CH873" i="1" s="1"/>
  <c r="CI873" i="1" s="1"/>
  <c r="CD874" i="1"/>
  <c r="CH874" i="1" s="1"/>
  <c r="CI874" i="1" s="1"/>
  <c r="CD875" i="1"/>
  <c r="CH875" i="1" s="1"/>
  <c r="CI875" i="1" s="1"/>
  <c r="CD876" i="1"/>
  <c r="CH876" i="1" s="1"/>
  <c r="CI876" i="1" s="1"/>
  <c r="CD877" i="1"/>
  <c r="CH877" i="1" s="1"/>
  <c r="CI877" i="1" s="1"/>
  <c r="CD878" i="1"/>
  <c r="CH878" i="1" s="1"/>
  <c r="CI878" i="1" s="1"/>
  <c r="CD879" i="1"/>
  <c r="CH879" i="1" s="1"/>
  <c r="CI879" i="1" s="1"/>
  <c r="CD880" i="1"/>
  <c r="CH880" i="1" s="1"/>
  <c r="CI880" i="1" s="1"/>
  <c r="CD881" i="1"/>
  <c r="CH881" i="1" s="1"/>
  <c r="CI881" i="1" s="1"/>
  <c r="CD882" i="1"/>
  <c r="CH882" i="1" s="1"/>
  <c r="CI882" i="1" s="1"/>
  <c r="CD883" i="1"/>
  <c r="CH883" i="1" s="1"/>
  <c r="CI883" i="1" s="1"/>
  <c r="CD884" i="1"/>
  <c r="CH884" i="1" s="1"/>
  <c r="CI884" i="1" s="1"/>
  <c r="CD885" i="1"/>
  <c r="CH885" i="1" s="1"/>
  <c r="CI885" i="1" s="1"/>
  <c r="CD886" i="1"/>
  <c r="CH886" i="1" s="1"/>
  <c r="CI886" i="1" s="1"/>
  <c r="CD887" i="1"/>
  <c r="CH887" i="1" s="1"/>
  <c r="CI887" i="1" s="1"/>
  <c r="CD888" i="1"/>
  <c r="CH888" i="1" s="1"/>
  <c r="CI888" i="1" s="1"/>
  <c r="CD889" i="1"/>
  <c r="CH889" i="1" s="1"/>
  <c r="CI889" i="1" s="1"/>
  <c r="CD890" i="1"/>
  <c r="CH890" i="1" s="1"/>
  <c r="CI890" i="1" s="1"/>
  <c r="CD891" i="1"/>
  <c r="CH891" i="1" s="1"/>
  <c r="CI891" i="1" s="1"/>
  <c r="CD892" i="1"/>
  <c r="CH892" i="1" s="1"/>
  <c r="CI892" i="1" s="1"/>
  <c r="CD893" i="1"/>
  <c r="CH893" i="1" s="1"/>
  <c r="CI893" i="1" s="1"/>
  <c r="CD894" i="1"/>
  <c r="CH894" i="1" s="1"/>
  <c r="CI894" i="1" s="1"/>
  <c r="CD895" i="1"/>
  <c r="CH895" i="1" s="1"/>
  <c r="CI895" i="1" s="1"/>
  <c r="CD896" i="1"/>
  <c r="CH896" i="1" s="1"/>
  <c r="CI896" i="1" s="1"/>
  <c r="CD897" i="1"/>
  <c r="CH897" i="1" s="1"/>
  <c r="CI897" i="1" s="1"/>
  <c r="CD898" i="1"/>
  <c r="CH898" i="1" s="1"/>
  <c r="CI898" i="1" s="1"/>
  <c r="CD899" i="1"/>
  <c r="CH899" i="1" s="1"/>
  <c r="CI899" i="1" s="1"/>
  <c r="CD900" i="1"/>
  <c r="CH900" i="1" s="1"/>
  <c r="CI900" i="1" s="1"/>
  <c r="CD901" i="1"/>
  <c r="CH901" i="1" s="1"/>
  <c r="CI901" i="1" s="1"/>
  <c r="CD902" i="1"/>
  <c r="CH902" i="1" s="1"/>
  <c r="CI902" i="1" s="1"/>
  <c r="CD903" i="1"/>
  <c r="CH903" i="1" s="1"/>
  <c r="CI903" i="1" s="1"/>
  <c r="CD904" i="1"/>
  <c r="CH904" i="1" s="1"/>
  <c r="CI904" i="1" s="1"/>
  <c r="CD905" i="1"/>
  <c r="CH905" i="1" s="1"/>
  <c r="CI905" i="1" s="1"/>
  <c r="CD906" i="1"/>
  <c r="CH906" i="1" s="1"/>
  <c r="CI906" i="1" s="1"/>
  <c r="CD907" i="1"/>
  <c r="CH907" i="1" s="1"/>
  <c r="CI907" i="1" s="1"/>
  <c r="CD908" i="1"/>
  <c r="CH908" i="1" s="1"/>
  <c r="CI908" i="1" s="1"/>
  <c r="CD909" i="1"/>
  <c r="CH909" i="1" s="1"/>
  <c r="CI909" i="1" s="1"/>
  <c r="CD910" i="1"/>
  <c r="CH910" i="1" s="1"/>
  <c r="CI910" i="1" s="1"/>
  <c r="CD911" i="1"/>
  <c r="CH911" i="1" s="1"/>
  <c r="CI911" i="1" s="1"/>
  <c r="CD912" i="1"/>
  <c r="CH912" i="1" s="1"/>
  <c r="CI912" i="1" s="1"/>
  <c r="CD913" i="1"/>
  <c r="CH913" i="1" s="1"/>
  <c r="CI913" i="1" s="1"/>
  <c r="CD914" i="1"/>
  <c r="CH914" i="1" s="1"/>
  <c r="CI914" i="1" s="1"/>
  <c r="CD915" i="1"/>
  <c r="CH915" i="1" s="1"/>
  <c r="CI915" i="1" s="1"/>
  <c r="CD916" i="1"/>
  <c r="CH916" i="1" s="1"/>
  <c r="CI916" i="1" s="1"/>
  <c r="CD917" i="1"/>
  <c r="CH917" i="1" s="1"/>
  <c r="CI917" i="1" s="1"/>
  <c r="CD918" i="1"/>
  <c r="CH918" i="1" s="1"/>
  <c r="CI918" i="1" s="1"/>
  <c r="CD919" i="1"/>
  <c r="CH919" i="1" s="1"/>
  <c r="CI919" i="1" s="1"/>
  <c r="CD920" i="1"/>
  <c r="CH920" i="1" s="1"/>
  <c r="CI920" i="1" s="1"/>
  <c r="CD921" i="1"/>
  <c r="CH921" i="1" s="1"/>
  <c r="CI921" i="1" s="1"/>
  <c r="CD922" i="1"/>
  <c r="CH922" i="1" s="1"/>
  <c r="CI922" i="1" s="1"/>
  <c r="CD923" i="1"/>
  <c r="CH923" i="1" s="1"/>
  <c r="CI923" i="1" s="1"/>
  <c r="CD924" i="1"/>
  <c r="CH924" i="1" s="1"/>
  <c r="CI924" i="1" s="1"/>
  <c r="CD925" i="1"/>
  <c r="CH925" i="1" s="1"/>
  <c r="CI925" i="1" s="1"/>
  <c r="CD926" i="1"/>
  <c r="CH926" i="1" s="1"/>
  <c r="CI926" i="1" s="1"/>
  <c r="CD927" i="1"/>
  <c r="CH927" i="1" s="1"/>
  <c r="CI927" i="1" s="1"/>
  <c r="CD928" i="1"/>
  <c r="CH928" i="1" s="1"/>
  <c r="CI928" i="1" s="1"/>
  <c r="CD929" i="1"/>
  <c r="CH929" i="1" s="1"/>
  <c r="CI929" i="1" s="1"/>
  <c r="CD930" i="1"/>
  <c r="CH930" i="1" s="1"/>
  <c r="CI930" i="1" s="1"/>
  <c r="CD931" i="1"/>
  <c r="CH931" i="1" s="1"/>
  <c r="CI931" i="1" s="1"/>
  <c r="CD932" i="1"/>
  <c r="CH932" i="1" s="1"/>
  <c r="CI932" i="1" s="1"/>
  <c r="CD933" i="1"/>
  <c r="CH933" i="1" s="1"/>
  <c r="CI933" i="1" s="1"/>
  <c r="CD934" i="1"/>
  <c r="CH934" i="1" s="1"/>
  <c r="CI934" i="1" s="1"/>
  <c r="CD935" i="1"/>
  <c r="CH935" i="1" s="1"/>
  <c r="CI935" i="1" s="1"/>
  <c r="CD936" i="1"/>
  <c r="CH936" i="1" s="1"/>
  <c r="CI936" i="1" s="1"/>
  <c r="CD937" i="1"/>
  <c r="CH937" i="1" s="1"/>
  <c r="CI937" i="1" s="1"/>
  <c r="CD938" i="1"/>
  <c r="CH938" i="1" s="1"/>
  <c r="CI938" i="1" s="1"/>
  <c r="CD939" i="1"/>
  <c r="CH939" i="1" s="1"/>
  <c r="CI939" i="1" s="1"/>
  <c r="CD940" i="1"/>
  <c r="CH940" i="1" s="1"/>
  <c r="CI940" i="1" s="1"/>
  <c r="CD941" i="1"/>
  <c r="CH941" i="1" s="1"/>
  <c r="CI941" i="1" s="1"/>
  <c r="CD942" i="1"/>
  <c r="CH942" i="1" s="1"/>
  <c r="CI942" i="1" s="1"/>
  <c r="CD943" i="1"/>
  <c r="CH943" i="1" s="1"/>
  <c r="CI943" i="1" s="1"/>
  <c r="CD944" i="1"/>
  <c r="CH944" i="1" s="1"/>
  <c r="CI944" i="1" s="1"/>
  <c r="CD945" i="1"/>
  <c r="CH945" i="1" s="1"/>
  <c r="CI945" i="1" s="1"/>
  <c r="CD946" i="1"/>
  <c r="CH946" i="1" s="1"/>
  <c r="CI946" i="1" s="1"/>
  <c r="CD947" i="1"/>
  <c r="CH947" i="1" s="1"/>
  <c r="CI947" i="1" s="1"/>
  <c r="CD948" i="1"/>
  <c r="CH948" i="1" s="1"/>
  <c r="CI948" i="1" s="1"/>
  <c r="CD949" i="1"/>
  <c r="CH949" i="1" s="1"/>
  <c r="CI949" i="1" s="1"/>
  <c r="CD950" i="1"/>
  <c r="CH950" i="1" s="1"/>
  <c r="CI950" i="1" s="1"/>
  <c r="CD951" i="1"/>
  <c r="CH951" i="1" s="1"/>
  <c r="CI951" i="1" s="1"/>
  <c r="CD952" i="1"/>
  <c r="CH952" i="1" s="1"/>
  <c r="CI952" i="1" s="1"/>
  <c r="CD953" i="1"/>
  <c r="CH953" i="1" s="1"/>
  <c r="CI953" i="1" s="1"/>
  <c r="CD954" i="1"/>
  <c r="CH954" i="1" s="1"/>
  <c r="CI954" i="1" s="1"/>
  <c r="CD955" i="1"/>
  <c r="CH955" i="1" s="1"/>
  <c r="CI955" i="1" s="1"/>
  <c r="CD956" i="1"/>
  <c r="CH956" i="1" s="1"/>
  <c r="CI956" i="1" s="1"/>
  <c r="CD957" i="1"/>
  <c r="CH957" i="1" s="1"/>
  <c r="CI957" i="1" s="1"/>
  <c r="CD958" i="1"/>
  <c r="CH958" i="1" s="1"/>
  <c r="CI958" i="1" s="1"/>
  <c r="CD959" i="1"/>
  <c r="CH959" i="1" s="1"/>
  <c r="CI959" i="1" s="1"/>
  <c r="CD960" i="1"/>
  <c r="CH960" i="1" s="1"/>
  <c r="CI960" i="1" s="1"/>
  <c r="CD961" i="1"/>
  <c r="CH961" i="1" s="1"/>
  <c r="CI961" i="1" s="1"/>
  <c r="CD962" i="1"/>
  <c r="CH962" i="1" s="1"/>
  <c r="CI962" i="1" s="1"/>
  <c r="CD963" i="1"/>
  <c r="CH963" i="1" s="1"/>
  <c r="CI963" i="1" s="1"/>
  <c r="CD964" i="1"/>
  <c r="CH964" i="1" s="1"/>
  <c r="CI964" i="1" s="1"/>
  <c r="CD965" i="1"/>
  <c r="CH965" i="1" s="1"/>
  <c r="CI965" i="1" s="1"/>
  <c r="CD966" i="1"/>
  <c r="CH966" i="1" s="1"/>
  <c r="CI966" i="1" s="1"/>
  <c r="CD967" i="1"/>
  <c r="CH967" i="1" s="1"/>
  <c r="CI967" i="1" s="1"/>
  <c r="CD968" i="1"/>
  <c r="CH968" i="1" s="1"/>
  <c r="CI968" i="1" s="1"/>
  <c r="CD969" i="1"/>
  <c r="CH969" i="1" s="1"/>
  <c r="CI969" i="1" s="1"/>
  <c r="CD970" i="1"/>
  <c r="CH970" i="1" s="1"/>
  <c r="CI970" i="1" s="1"/>
  <c r="CD971" i="1"/>
  <c r="CH971" i="1" s="1"/>
  <c r="CI971" i="1" s="1"/>
  <c r="CD972" i="1"/>
  <c r="CH972" i="1" s="1"/>
  <c r="CI972" i="1" s="1"/>
  <c r="CD973" i="1"/>
  <c r="CH973" i="1" s="1"/>
  <c r="CI973" i="1" s="1"/>
  <c r="CD974" i="1"/>
  <c r="CH974" i="1" s="1"/>
  <c r="CI974" i="1" s="1"/>
  <c r="CD975" i="1"/>
  <c r="CH975" i="1" s="1"/>
  <c r="CI975" i="1" s="1"/>
  <c r="CD976" i="1"/>
  <c r="CH976" i="1" s="1"/>
  <c r="CI976" i="1" s="1"/>
  <c r="CD977" i="1"/>
  <c r="CH977" i="1" s="1"/>
  <c r="CI977" i="1" s="1"/>
  <c r="CD978" i="1"/>
  <c r="CH978" i="1" s="1"/>
  <c r="CI978" i="1" s="1"/>
  <c r="CD979" i="1"/>
  <c r="CH979" i="1" s="1"/>
  <c r="CI979" i="1" s="1"/>
  <c r="CD980" i="1"/>
  <c r="CH980" i="1" s="1"/>
  <c r="CI980" i="1" s="1"/>
  <c r="CD981" i="1"/>
  <c r="CH981" i="1" s="1"/>
  <c r="CI981" i="1" s="1"/>
  <c r="CD982" i="1"/>
  <c r="CH982" i="1" s="1"/>
  <c r="CI982" i="1" s="1"/>
  <c r="CD983" i="1"/>
  <c r="CH983" i="1" s="1"/>
  <c r="CI983" i="1" s="1"/>
  <c r="CD984" i="1"/>
  <c r="CH984" i="1" s="1"/>
  <c r="CI984" i="1" s="1"/>
  <c r="CD985" i="1"/>
  <c r="CH985" i="1" s="1"/>
  <c r="CI985" i="1" s="1"/>
  <c r="CD986" i="1"/>
  <c r="CH986" i="1" s="1"/>
  <c r="CI986" i="1" s="1"/>
  <c r="CD987" i="1"/>
  <c r="CH987" i="1" s="1"/>
  <c r="CI987" i="1" s="1"/>
  <c r="CD988" i="1"/>
  <c r="CH988" i="1" s="1"/>
  <c r="CI988" i="1" s="1"/>
  <c r="CD989" i="1"/>
  <c r="CH989" i="1" s="1"/>
  <c r="CI989" i="1" s="1"/>
  <c r="CD990" i="1"/>
  <c r="CH990" i="1" s="1"/>
  <c r="CI990" i="1" s="1"/>
  <c r="CD991" i="1"/>
  <c r="CH991" i="1" s="1"/>
  <c r="CI991" i="1" s="1"/>
  <c r="CD992" i="1"/>
  <c r="CH992" i="1" s="1"/>
  <c r="CI992" i="1" s="1"/>
  <c r="CD993" i="1"/>
  <c r="CH993" i="1" s="1"/>
  <c r="CI993" i="1" s="1"/>
  <c r="CD994" i="1"/>
  <c r="CH994" i="1" s="1"/>
  <c r="CI994" i="1" s="1"/>
  <c r="CD995" i="1"/>
  <c r="CH995" i="1" s="1"/>
  <c r="CI995" i="1" s="1"/>
  <c r="CD996" i="1"/>
  <c r="CH996" i="1" s="1"/>
  <c r="CI996" i="1" s="1"/>
  <c r="CD997" i="1"/>
  <c r="CH997" i="1" s="1"/>
  <c r="CI997" i="1" s="1"/>
  <c r="CD998" i="1"/>
  <c r="CH998" i="1" s="1"/>
  <c r="CI998" i="1" s="1"/>
  <c r="CD999" i="1"/>
  <c r="CH999" i="1" s="1"/>
  <c r="CI999" i="1" s="1"/>
  <c r="CD1000" i="1"/>
  <c r="CH1000" i="1" s="1"/>
  <c r="CI1000" i="1" s="1"/>
  <c r="CD1001" i="1"/>
  <c r="CH1001" i="1" s="1"/>
  <c r="CI1001" i="1" s="1"/>
  <c r="CD1002" i="1"/>
  <c r="CH1002" i="1" s="1"/>
  <c r="CI1002" i="1" s="1"/>
  <c r="CD1003" i="1"/>
  <c r="CH1003" i="1" s="1"/>
  <c r="CI1003" i="1" s="1"/>
  <c r="CD1004" i="1"/>
  <c r="CH1004" i="1" s="1"/>
  <c r="CI1004" i="1" s="1"/>
  <c r="CD1005" i="1"/>
  <c r="CH1005" i="1" s="1"/>
  <c r="CI1005" i="1" s="1"/>
  <c r="CD1006" i="1"/>
  <c r="CH1006" i="1" s="1"/>
  <c r="CI1006" i="1" s="1"/>
  <c r="CD1007" i="1"/>
  <c r="CH1007" i="1" s="1"/>
  <c r="CI1007" i="1" s="1"/>
  <c r="CD1008" i="1"/>
  <c r="CH1008" i="1" s="1"/>
  <c r="CI1008" i="1" s="1"/>
  <c r="CD1009" i="1"/>
  <c r="CH1009" i="1" s="1"/>
  <c r="CI1009" i="1" s="1"/>
  <c r="CD1010" i="1"/>
  <c r="CH1010" i="1" s="1"/>
  <c r="CI1010" i="1" s="1"/>
  <c r="CD1011" i="1"/>
  <c r="CH1011" i="1" s="1"/>
  <c r="CI1011" i="1" s="1"/>
  <c r="CD1012" i="1"/>
  <c r="CH1012" i="1" s="1"/>
  <c r="CI1012" i="1" s="1"/>
  <c r="CD1013" i="1"/>
  <c r="CH1013" i="1" s="1"/>
  <c r="CI1013" i="1" s="1"/>
  <c r="CD1014" i="1"/>
  <c r="CH1014" i="1" s="1"/>
  <c r="CI1014" i="1" s="1"/>
  <c r="CD1015" i="1"/>
  <c r="CH1015" i="1" s="1"/>
  <c r="CI1015" i="1" s="1"/>
  <c r="CD1016" i="1"/>
  <c r="CH1016" i="1" s="1"/>
  <c r="CI1016" i="1" s="1"/>
  <c r="CD1017" i="1"/>
  <c r="CH1017" i="1" s="1"/>
  <c r="CI1017" i="1" s="1"/>
  <c r="CD1018" i="1"/>
  <c r="CH1018" i="1" s="1"/>
  <c r="CI1018" i="1" s="1"/>
  <c r="CD1019" i="1"/>
  <c r="CH1019" i="1" s="1"/>
  <c r="CI1019" i="1" s="1"/>
  <c r="CD1020" i="1"/>
  <c r="CH1020" i="1" s="1"/>
  <c r="CI1020" i="1" s="1"/>
  <c r="CD1021" i="1"/>
  <c r="CH1021" i="1" s="1"/>
  <c r="CI1021" i="1" s="1"/>
  <c r="CD1022" i="1"/>
  <c r="CH1022" i="1" s="1"/>
  <c r="CI1022" i="1" s="1"/>
  <c r="CD1023" i="1"/>
  <c r="CH1023" i="1" s="1"/>
  <c r="CI1023" i="1" s="1"/>
  <c r="CD1024" i="1"/>
  <c r="CH1024" i="1" s="1"/>
  <c r="CI1024" i="1" s="1"/>
  <c r="CD1025" i="1"/>
  <c r="CH1025" i="1" s="1"/>
  <c r="CI1025" i="1" s="1"/>
  <c r="CD1026" i="1"/>
  <c r="CH1026" i="1" s="1"/>
  <c r="CI1026" i="1" s="1"/>
  <c r="CD1027" i="1"/>
  <c r="CH1027" i="1" s="1"/>
  <c r="CI1027" i="1" s="1"/>
  <c r="CD1028" i="1"/>
  <c r="CH1028" i="1" s="1"/>
  <c r="CI1028" i="1" s="1"/>
  <c r="CD1029" i="1"/>
  <c r="CH1029" i="1" s="1"/>
  <c r="CI1029" i="1" s="1"/>
  <c r="CD1030" i="1"/>
  <c r="CH1030" i="1" s="1"/>
  <c r="CI1030" i="1" s="1"/>
  <c r="CD1031" i="1"/>
  <c r="CH1031" i="1" s="1"/>
  <c r="CI1031" i="1" s="1"/>
  <c r="CD1032" i="1"/>
  <c r="CH1032" i="1" s="1"/>
  <c r="CI1032" i="1" s="1"/>
  <c r="CD1033" i="1"/>
  <c r="CH1033" i="1" s="1"/>
  <c r="CI1033" i="1" s="1"/>
  <c r="CD1034" i="1"/>
  <c r="CH1034" i="1" s="1"/>
  <c r="CI1034" i="1" s="1"/>
  <c r="CD1035" i="1"/>
  <c r="CH1035" i="1" s="1"/>
  <c r="CI1035" i="1" s="1"/>
  <c r="CD1036" i="1"/>
  <c r="CH1036" i="1" s="1"/>
  <c r="CI1036" i="1" s="1"/>
  <c r="CD1037" i="1"/>
  <c r="CH1037" i="1" s="1"/>
  <c r="CI1037" i="1" s="1"/>
  <c r="CD1038" i="1"/>
  <c r="CH1038" i="1" s="1"/>
  <c r="CI1038" i="1" s="1"/>
  <c r="CD1039" i="1"/>
  <c r="CH1039" i="1" s="1"/>
  <c r="CI1039" i="1" s="1"/>
  <c r="CD1040" i="1"/>
  <c r="CH1040" i="1" s="1"/>
  <c r="CI1040" i="1" s="1"/>
  <c r="CD1041" i="1"/>
  <c r="CH1041" i="1" s="1"/>
  <c r="CI1041" i="1" s="1"/>
  <c r="CD1042" i="1"/>
  <c r="CH1042" i="1" s="1"/>
  <c r="CI1042" i="1" s="1"/>
  <c r="CD1043" i="1"/>
  <c r="CH1043" i="1" s="1"/>
  <c r="CI1043" i="1" s="1"/>
  <c r="CD1044" i="1"/>
  <c r="CH1044" i="1" s="1"/>
  <c r="CI1044" i="1" s="1"/>
  <c r="CD1045" i="1"/>
  <c r="CH1045" i="1" s="1"/>
  <c r="CI1045" i="1" s="1"/>
  <c r="CD1046" i="1"/>
  <c r="CH1046" i="1" s="1"/>
  <c r="CI1046" i="1" s="1"/>
  <c r="CD1047" i="1"/>
  <c r="CH1047" i="1" s="1"/>
  <c r="CI1047" i="1" s="1"/>
  <c r="CD1048" i="1"/>
  <c r="CH1048" i="1" s="1"/>
  <c r="CI1048" i="1" s="1"/>
  <c r="CD1049" i="1"/>
  <c r="CH1049" i="1" s="1"/>
  <c r="CI1049" i="1" s="1"/>
  <c r="CD1050" i="1"/>
  <c r="CH1050" i="1" s="1"/>
  <c r="CI1050" i="1" s="1"/>
  <c r="CD1051" i="1"/>
  <c r="CH1051" i="1" s="1"/>
  <c r="CI1051" i="1" s="1"/>
  <c r="CD1052" i="1"/>
  <c r="CH1052" i="1" s="1"/>
  <c r="CI1052" i="1" s="1"/>
  <c r="CD1053" i="1"/>
  <c r="CH1053" i="1" s="1"/>
  <c r="CI1053" i="1" s="1"/>
  <c r="CD1054" i="1"/>
  <c r="CH1054" i="1" s="1"/>
  <c r="CI1054" i="1" s="1"/>
  <c r="CD1055" i="1"/>
  <c r="CH1055" i="1" s="1"/>
  <c r="CI1055" i="1" s="1"/>
  <c r="CD1056" i="1"/>
  <c r="CH1056" i="1" s="1"/>
  <c r="CI1056" i="1" s="1"/>
  <c r="CD1057" i="1"/>
  <c r="CH1057" i="1" s="1"/>
  <c r="CI1057" i="1" s="1"/>
  <c r="CD1058" i="1"/>
  <c r="CH1058" i="1" s="1"/>
  <c r="CI1058" i="1" s="1"/>
  <c r="CD1059" i="1"/>
  <c r="CH1059" i="1" s="1"/>
  <c r="CI1059" i="1" s="1"/>
  <c r="CD1060" i="1"/>
  <c r="CH1060" i="1" s="1"/>
  <c r="CI1060" i="1" s="1"/>
  <c r="CD1061" i="1"/>
  <c r="CH1061" i="1" s="1"/>
  <c r="CI1061" i="1" s="1"/>
  <c r="CD1062" i="1"/>
  <c r="CH1062" i="1" s="1"/>
  <c r="CI1062" i="1" s="1"/>
  <c r="CD1063" i="1"/>
  <c r="CH1063" i="1" s="1"/>
  <c r="CI1063" i="1" s="1"/>
  <c r="CD1064" i="1"/>
  <c r="CH1064" i="1" s="1"/>
  <c r="CI1064" i="1" s="1"/>
  <c r="CD1065" i="1"/>
  <c r="CH1065" i="1" s="1"/>
  <c r="CI1065" i="1" s="1"/>
  <c r="CD1066" i="1"/>
  <c r="CH1066" i="1" s="1"/>
  <c r="CI1066" i="1" s="1"/>
  <c r="CD1067" i="1"/>
  <c r="CH1067" i="1" s="1"/>
  <c r="CI1067" i="1" s="1"/>
  <c r="CD1068" i="1"/>
  <c r="CH1068" i="1" s="1"/>
  <c r="CI1068" i="1" s="1"/>
  <c r="CD1069" i="1"/>
  <c r="CH1069" i="1" s="1"/>
  <c r="CI1069" i="1" s="1"/>
  <c r="CD1070" i="1"/>
  <c r="CH1070" i="1" s="1"/>
  <c r="CI1070" i="1" s="1"/>
  <c r="CD1071" i="1"/>
  <c r="CH1071" i="1" s="1"/>
  <c r="CI1071" i="1" s="1"/>
  <c r="CD1072" i="1"/>
  <c r="CH1072" i="1" s="1"/>
  <c r="CI1072" i="1" s="1"/>
  <c r="CD1073" i="1"/>
  <c r="CH1073" i="1" s="1"/>
  <c r="CI1073" i="1" s="1"/>
  <c r="CD1074" i="1"/>
  <c r="CH1074" i="1" s="1"/>
  <c r="CI1074" i="1" s="1"/>
  <c r="CD1075" i="1"/>
  <c r="CH1075" i="1" s="1"/>
  <c r="CI1075" i="1" s="1"/>
  <c r="CD1076" i="1"/>
  <c r="CH1076" i="1" s="1"/>
  <c r="CI1076" i="1" s="1"/>
  <c r="CD1077" i="1"/>
  <c r="CH1077" i="1" s="1"/>
  <c r="CI1077" i="1" s="1"/>
  <c r="CD1078" i="1"/>
  <c r="CH1078" i="1" s="1"/>
  <c r="CI1078" i="1" s="1"/>
  <c r="CD1079" i="1"/>
  <c r="CH1079" i="1" s="1"/>
  <c r="CI1079" i="1" s="1"/>
  <c r="CD1080" i="1"/>
  <c r="CH1080" i="1" s="1"/>
  <c r="CI1080" i="1" s="1"/>
  <c r="CD1081" i="1"/>
  <c r="CH1081" i="1" s="1"/>
  <c r="CI1081" i="1" s="1"/>
  <c r="CD1082" i="1"/>
  <c r="CH1082" i="1" s="1"/>
  <c r="CI1082" i="1" s="1"/>
  <c r="CD1083" i="1"/>
  <c r="CH1083" i="1" s="1"/>
  <c r="CI1083" i="1" s="1"/>
  <c r="CD1084" i="1"/>
  <c r="CH1084" i="1" s="1"/>
  <c r="CI1084" i="1" s="1"/>
  <c r="CD1085" i="1"/>
  <c r="CH1085" i="1" s="1"/>
  <c r="CI1085" i="1" s="1"/>
  <c r="CD1086" i="1"/>
  <c r="CH1086" i="1" s="1"/>
  <c r="CI1086" i="1" s="1"/>
  <c r="CD1087" i="1"/>
  <c r="CH1087" i="1" s="1"/>
  <c r="CI1087" i="1" s="1"/>
  <c r="CD1088" i="1"/>
  <c r="CH1088" i="1" s="1"/>
  <c r="CI1088" i="1" s="1"/>
  <c r="CD1089" i="1"/>
  <c r="CH1089" i="1" s="1"/>
  <c r="CI1089" i="1" s="1"/>
  <c r="CD1090" i="1"/>
  <c r="CH1090" i="1" s="1"/>
  <c r="CI1090" i="1" s="1"/>
  <c r="CD1091" i="1"/>
  <c r="CH1091" i="1" s="1"/>
  <c r="CI1091" i="1" s="1"/>
  <c r="CD1092" i="1"/>
  <c r="CH1092" i="1" s="1"/>
  <c r="CI1092" i="1" s="1"/>
  <c r="CD1093" i="1"/>
  <c r="CH1093" i="1" s="1"/>
  <c r="CI1093" i="1" s="1"/>
  <c r="CD1094" i="1"/>
  <c r="CH1094" i="1" s="1"/>
  <c r="CI1094" i="1" s="1"/>
  <c r="CD1095" i="1"/>
  <c r="CH1095" i="1" s="1"/>
  <c r="CI1095" i="1" s="1"/>
  <c r="CD1096" i="1"/>
  <c r="CH1096" i="1" s="1"/>
  <c r="CI1096" i="1" s="1"/>
  <c r="CD1097" i="1"/>
  <c r="CH1097" i="1" s="1"/>
  <c r="CI1097" i="1" s="1"/>
  <c r="CD1098" i="1"/>
  <c r="CH1098" i="1" s="1"/>
  <c r="CI1098" i="1" s="1"/>
  <c r="CD1099" i="1"/>
  <c r="CH1099" i="1" s="1"/>
  <c r="CI1099" i="1" s="1"/>
  <c r="CD1100" i="1"/>
  <c r="CH1100" i="1" s="1"/>
  <c r="CI1100" i="1" s="1"/>
  <c r="CD1101" i="1"/>
  <c r="CH1101" i="1" s="1"/>
  <c r="CI1101" i="1" s="1"/>
  <c r="CD1102" i="1"/>
  <c r="CH1102" i="1" s="1"/>
  <c r="CI1102" i="1" s="1"/>
  <c r="CD1103" i="1"/>
  <c r="CH1103" i="1" s="1"/>
  <c r="CI1103" i="1" s="1"/>
  <c r="CD1104" i="1"/>
  <c r="CH1104" i="1" s="1"/>
  <c r="CI1104" i="1" s="1"/>
  <c r="CD1105" i="1"/>
  <c r="CH1105" i="1" s="1"/>
  <c r="CI1105" i="1" s="1"/>
  <c r="CD1106" i="1"/>
  <c r="CH1106" i="1" s="1"/>
  <c r="CI1106" i="1" s="1"/>
  <c r="CD1107" i="1"/>
  <c r="CH1107" i="1" s="1"/>
  <c r="CI1107" i="1" s="1"/>
  <c r="CD1108" i="1"/>
  <c r="CH1108" i="1" s="1"/>
  <c r="CI1108" i="1" s="1"/>
  <c r="CD1109" i="1"/>
  <c r="CH1109" i="1" s="1"/>
  <c r="CI1109" i="1" s="1"/>
  <c r="CD1110" i="1"/>
  <c r="CH1110" i="1" s="1"/>
  <c r="CI1110" i="1" s="1"/>
  <c r="CD1111" i="1"/>
  <c r="CH1111" i="1" s="1"/>
  <c r="CI1111" i="1" s="1"/>
  <c r="CD1112" i="1"/>
  <c r="CH1112" i="1" s="1"/>
  <c r="CI1112" i="1" s="1"/>
  <c r="CD1113" i="1"/>
  <c r="CH1113" i="1" s="1"/>
  <c r="CI1113" i="1" s="1"/>
  <c r="CD1114" i="1"/>
  <c r="CH1114" i="1" s="1"/>
  <c r="CI1114" i="1" s="1"/>
  <c r="CD1115" i="1"/>
  <c r="CH1115" i="1" s="1"/>
  <c r="CI1115" i="1" s="1"/>
  <c r="CD1116" i="1"/>
  <c r="CH1116" i="1" s="1"/>
  <c r="CI1116" i="1" s="1"/>
  <c r="CD1117" i="1"/>
  <c r="CH1117" i="1" s="1"/>
  <c r="CI1117" i="1" s="1"/>
  <c r="CD1118" i="1"/>
  <c r="CH1118" i="1" s="1"/>
  <c r="CI1118" i="1" s="1"/>
  <c r="CD1119" i="1"/>
  <c r="CH1119" i="1" s="1"/>
  <c r="CI1119" i="1" s="1"/>
  <c r="CD1120" i="1"/>
  <c r="CH1120" i="1" s="1"/>
  <c r="CI1120" i="1" s="1"/>
  <c r="CD1121" i="1"/>
  <c r="CH1121" i="1" s="1"/>
  <c r="CI1121" i="1" s="1"/>
  <c r="CB797" i="1"/>
  <c r="CC797" i="1" s="1"/>
  <c r="CD797" i="1"/>
  <c r="CH797" i="1" s="1"/>
  <c r="CI797" i="1" s="1"/>
  <c r="CB786" i="1"/>
  <c r="CC786" i="1" s="1"/>
  <c r="CD786" i="1"/>
  <c r="CH786" i="1" s="1"/>
  <c r="CI786" i="1" s="1"/>
  <c r="CB787" i="1"/>
  <c r="CC787" i="1" s="1"/>
  <c r="CD787" i="1"/>
  <c r="CH787" i="1" s="1"/>
  <c r="CI787" i="1" s="1"/>
  <c r="CB1122" i="1"/>
  <c r="CC1122" i="1" s="1"/>
  <c r="CD1122" i="1"/>
  <c r="CH1122" i="1" s="1"/>
  <c r="CI1122" i="1" s="1"/>
  <c r="CB1123" i="1"/>
  <c r="CC1123" i="1" s="1"/>
  <c r="CD1123" i="1"/>
  <c r="CH1123" i="1" s="1"/>
  <c r="CI1123" i="1" s="1"/>
  <c r="CB1124" i="1"/>
  <c r="CC1124" i="1" s="1"/>
  <c r="CD1124" i="1"/>
  <c r="CH1124" i="1" s="1"/>
  <c r="CI1124" i="1" s="1"/>
  <c r="CB1125" i="1"/>
  <c r="CC1125" i="1" s="1"/>
  <c r="CD1125" i="1"/>
  <c r="CH1125" i="1" s="1"/>
  <c r="CI1125" i="1" s="1"/>
  <c r="CB1126" i="1"/>
  <c r="CC1126" i="1" s="1"/>
  <c r="CD1126" i="1"/>
  <c r="CH1126" i="1" s="1"/>
  <c r="CI1126" i="1" s="1"/>
  <c r="CB1127" i="1"/>
  <c r="CC1127" i="1" s="1"/>
  <c r="CD1127" i="1"/>
  <c r="CH1127" i="1" s="1"/>
  <c r="CI1127" i="1" s="1"/>
  <c r="CB1128" i="1"/>
  <c r="CC1128" i="1" s="1"/>
  <c r="CD1128" i="1"/>
  <c r="CH1128" i="1" s="1"/>
  <c r="CI1128" i="1" s="1"/>
  <c r="CB1129" i="1"/>
  <c r="CC1129" i="1" s="1"/>
  <c r="CD1129" i="1"/>
  <c r="CH1129" i="1" s="1"/>
  <c r="CI1129" i="1" s="1"/>
  <c r="CB1130" i="1"/>
  <c r="CC1130" i="1" s="1"/>
  <c r="CD1130" i="1"/>
  <c r="CH1130" i="1" s="1"/>
  <c r="CI1130" i="1" s="1"/>
  <c r="CB1131" i="1"/>
  <c r="CC1131" i="1" s="1"/>
  <c r="CD1131" i="1"/>
  <c r="CH1131" i="1" s="1"/>
  <c r="CI1131" i="1" s="1"/>
  <c r="CB1132" i="1"/>
  <c r="CC1132" i="1" s="1"/>
  <c r="CD1132" i="1"/>
  <c r="CH1132" i="1" s="1"/>
  <c r="CI1132" i="1" s="1"/>
  <c r="CB1133" i="1"/>
  <c r="CC1133" i="1" s="1"/>
  <c r="CD1133" i="1"/>
  <c r="CH1133" i="1" s="1"/>
  <c r="CI1133" i="1" s="1"/>
  <c r="CB1134" i="1"/>
  <c r="CC1134" i="1" s="1"/>
  <c r="CD1134" i="1"/>
  <c r="CH1134" i="1" s="1"/>
  <c r="CI1134" i="1" s="1"/>
  <c r="CB1135" i="1"/>
  <c r="CC1135" i="1" s="1"/>
  <c r="CD1135" i="1"/>
  <c r="CH1135" i="1" s="1"/>
  <c r="CI1135" i="1" s="1"/>
  <c r="BW4" i="1"/>
  <c r="BX4" i="1"/>
  <c r="BW5" i="1"/>
  <c r="BX5" i="1"/>
  <c r="BW6" i="1"/>
  <c r="BX6" i="1"/>
  <c r="BW7" i="1"/>
  <c r="BX7" i="1"/>
  <c r="BW8" i="1"/>
  <c r="BX8" i="1"/>
  <c r="BW9" i="1"/>
  <c r="BX9" i="1"/>
  <c r="BW10" i="1"/>
  <c r="BX10" i="1"/>
  <c r="BW11" i="1"/>
  <c r="BX11" i="1"/>
  <c r="BW12" i="1"/>
  <c r="BX12" i="1"/>
  <c r="BW13" i="1"/>
  <c r="BX13" i="1"/>
  <c r="BW14" i="1"/>
  <c r="BX14" i="1"/>
  <c r="BW15" i="1"/>
  <c r="BX15" i="1"/>
  <c r="BW16" i="1"/>
  <c r="BX16" i="1"/>
  <c r="BW17" i="1"/>
  <c r="BX17" i="1"/>
  <c r="BW18" i="1"/>
  <c r="BX18" i="1"/>
  <c r="BW19" i="1"/>
  <c r="BX19" i="1"/>
  <c r="BW21" i="1"/>
  <c r="BX21" i="1"/>
  <c r="BW22" i="1"/>
  <c r="BX22" i="1"/>
  <c r="BW257" i="1"/>
  <c r="BX257" i="1"/>
  <c r="BW23" i="1"/>
  <c r="BX23" i="1"/>
  <c r="BW24" i="1"/>
  <c r="BX24" i="1"/>
  <c r="BW25" i="1"/>
  <c r="BX25" i="1"/>
  <c r="BW26" i="1"/>
  <c r="BX26" i="1"/>
  <c r="BW27" i="1"/>
  <c r="BX27" i="1"/>
  <c r="BW28" i="1"/>
  <c r="BX28" i="1"/>
  <c r="BW29" i="1"/>
  <c r="BX29" i="1"/>
  <c r="BW30" i="1"/>
  <c r="BX30" i="1"/>
  <c r="BW161" i="1"/>
  <c r="BX161" i="1"/>
  <c r="BW33" i="1"/>
  <c r="BX33" i="1"/>
  <c r="BW34" i="1"/>
  <c r="BX34" i="1"/>
  <c r="BW35" i="1"/>
  <c r="BX35" i="1"/>
  <c r="BW36" i="1"/>
  <c r="BX36" i="1"/>
  <c r="BW37" i="1"/>
  <c r="BX37" i="1"/>
  <c r="BW363" i="1"/>
  <c r="BX363" i="1"/>
  <c r="BW38" i="1"/>
  <c r="BX38" i="1"/>
  <c r="BW39" i="1"/>
  <c r="BX39" i="1"/>
  <c r="BW40" i="1"/>
  <c r="BX40" i="1"/>
  <c r="BW219" i="1"/>
  <c r="BX219" i="1"/>
  <c r="BW319" i="1"/>
  <c r="BX319" i="1"/>
  <c r="BW41" i="1"/>
  <c r="BX41" i="1"/>
  <c r="BW42" i="1"/>
  <c r="BX42" i="1"/>
  <c r="BW43" i="1"/>
  <c r="BX43" i="1"/>
  <c r="BW44" i="1"/>
  <c r="BX44" i="1"/>
  <c r="BW45" i="1"/>
  <c r="BX45" i="1"/>
  <c r="BW46" i="1"/>
  <c r="BX46" i="1"/>
  <c r="BW47" i="1"/>
  <c r="BX47" i="1"/>
  <c r="BW48" i="1"/>
  <c r="BX48" i="1"/>
  <c r="BW49" i="1"/>
  <c r="BX49" i="1"/>
  <c r="BW50" i="1"/>
  <c r="BX50" i="1"/>
  <c r="BW51" i="1"/>
  <c r="BX51" i="1"/>
  <c r="BW52" i="1"/>
  <c r="BX52" i="1"/>
  <c r="BW53" i="1"/>
  <c r="BX53" i="1"/>
  <c r="BW54" i="1"/>
  <c r="BX54" i="1"/>
  <c r="BW55" i="1"/>
  <c r="BX55" i="1"/>
  <c r="BW56" i="1"/>
  <c r="BX56" i="1"/>
  <c r="BW57" i="1"/>
  <c r="BX57" i="1"/>
  <c r="BW58" i="1"/>
  <c r="BX58" i="1"/>
  <c r="BW59" i="1"/>
  <c r="BX59" i="1"/>
  <c r="BW60" i="1"/>
  <c r="BX60" i="1"/>
  <c r="BW61" i="1"/>
  <c r="BX61" i="1"/>
  <c r="BW62" i="1"/>
  <c r="BX62" i="1"/>
  <c r="BW63" i="1"/>
  <c r="BX63" i="1"/>
  <c r="BW64" i="1"/>
  <c r="BX64" i="1"/>
  <c r="BW65" i="1"/>
  <c r="BX65" i="1"/>
  <c r="BW66" i="1"/>
  <c r="BX66" i="1"/>
  <c r="BW67" i="1"/>
  <c r="BX67" i="1"/>
  <c r="BW70" i="1"/>
  <c r="BX70" i="1"/>
  <c r="BW71" i="1"/>
  <c r="BX71" i="1"/>
  <c r="BW72" i="1"/>
  <c r="BX72" i="1"/>
  <c r="BW73" i="1"/>
  <c r="BX73" i="1"/>
  <c r="BW74" i="1"/>
  <c r="BX74" i="1"/>
  <c r="BW75" i="1"/>
  <c r="BX75" i="1"/>
  <c r="BW76" i="1"/>
  <c r="BX76" i="1"/>
  <c r="BW77" i="1"/>
  <c r="BX77" i="1"/>
  <c r="BW78" i="1"/>
  <c r="BX78" i="1"/>
  <c r="BW79" i="1"/>
  <c r="BX79" i="1"/>
  <c r="BW80" i="1"/>
  <c r="BX80" i="1"/>
  <c r="BW81" i="1"/>
  <c r="BX81" i="1"/>
  <c r="BW82" i="1"/>
  <c r="BX82" i="1"/>
  <c r="BW83" i="1"/>
  <c r="BX83" i="1"/>
  <c r="BW84" i="1"/>
  <c r="BX84" i="1"/>
  <c r="BW85" i="1"/>
  <c r="BX85" i="1"/>
  <c r="BW86" i="1"/>
  <c r="BX86" i="1"/>
  <c r="BW87" i="1"/>
  <c r="BX87" i="1"/>
  <c r="BW88" i="1"/>
  <c r="BX88" i="1"/>
  <c r="BW89" i="1"/>
  <c r="BX89" i="1"/>
  <c r="BW90" i="1"/>
  <c r="BX90" i="1"/>
  <c r="BW91" i="1"/>
  <c r="BX91" i="1"/>
  <c r="BW92" i="1"/>
  <c r="BX92" i="1"/>
  <c r="BW94" i="1"/>
  <c r="BX94" i="1"/>
  <c r="BW95" i="1"/>
  <c r="BX95" i="1"/>
  <c r="BW96" i="1"/>
  <c r="BX96" i="1"/>
  <c r="BW97" i="1"/>
  <c r="BX97" i="1"/>
  <c r="BW98" i="1"/>
  <c r="BX98" i="1"/>
  <c r="BW240" i="1"/>
  <c r="BX240" i="1"/>
  <c r="BW99" i="1"/>
  <c r="BX99" i="1"/>
  <c r="BW100" i="1"/>
  <c r="BX100" i="1"/>
  <c r="BW101" i="1"/>
  <c r="BX101" i="1"/>
  <c r="BW102" i="1"/>
  <c r="BX102" i="1"/>
  <c r="BW103" i="1"/>
  <c r="BX103" i="1"/>
  <c r="BW104" i="1"/>
  <c r="BX104" i="1"/>
  <c r="BW341" i="1"/>
  <c r="BX341" i="1"/>
  <c r="BW105" i="1"/>
  <c r="BX105" i="1"/>
  <c r="BW106" i="1"/>
  <c r="BX106" i="1"/>
  <c r="BW107" i="1"/>
  <c r="BX107" i="1"/>
  <c r="BW108" i="1"/>
  <c r="BX108" i="1"/>
  <c r="BW109" i="1"/>
  <c r="BX109" i="1"/>
  <c r="BW110" i="1"/>
  <c r="BX110" i="1"/>
  <c r="BW111" i="1"/>
  <c r="BX111" i="1"/>
  <c r="BW68" i="1"/>
  <c r="BX68" i="1"/>
  <c r="BW69" i="1"/>
  <c r="BX69" i="1"/>
  <c r="BW112" i="1"/>
  <c r="BX112" i="1"/>
  <c r="BW113" i="1"/>
  <c r="BX113" i="1"/>
  <c r="BW114" i="1"/>
  <c r="BX114" i="1"/>
  <c r="BW115" i="1"/>
  <c r="BX115" i="1"/>
  <c r="BW116" i="1"/>
  <c r="BX116" i="1"/>
  <c r="BW117" i="1"/>
  <c r="BX117" i="1"/>
  <c r="BW118" i="1"/>
  <c r="BX118" i="1"/>
  <c r="BW119" i="1"/>
  <c r="BX119" i="1"/>
  <c r="BW120" i="1"/>
  <c r="BX120" i="1"/>
  <c r="BW121" i="1"/>
  <c r="BX121" i="1"/>
  <c r="BW122" i="1"/>
  <c r="BX122" i="1"/>
  <c r="BW123" i="1"/>
  <c r="BX123" i="1"/>
  <c r="BW124" i="1"/>
  <c r="BX124" i="1"/>
  <c r="BW125" i="1"/>
  <c r="BX125" i="1"/>
  <c r="BW126" i="1"/>
  <c r="BX126" i="1"/>
  <c r="BW127" i="1"/>
  <c r="BX127" i="1"/>
  <c r="BW128" i="1"/>
  <c r="BX128" i="1"/>
  <c r="BW129" i="1"/>
  <c r="BX129" i="1"/>
  <c r="BW130" i="1"/>
  <c r="BX130" i="1"/>
  <c r="BW131" i="1"/>
  <c r="BX131" i="1"/>
  <c r="BW132" i="1"/>
  <c r="BX132" i="1"/>
  <c r="BW133" i="1"/>
  <c r="BX133" i="1"/>
  <c r="BW134" i="1"/>
  <c r="BX134" i="1"/>
  <c r="BW135" i="1"/>
  <c r="BX135" i="1"/>
  <c r="BW136" i="1"/>
  <c r="BX136" i="1"/>
  <c r="BW137" i="1"/>
  <c r="BX137" i="1"/>
  <c r="BW138" i="1"/>
  <c r="BX138" i="1"/>
  <c r="BW139" i="1"/>
  <c r="BX139" i="1"/>
  <c r="BW140" i="1"/>
  <c r="BX140" i="1"/>
  <c r="BW237" i="1"/>
  <c r="BX237" i="1"/>
  <c r="BW141" i="1"/>
  <c r="BX141" i="1"/>
  <c r="BW142" i="1"/>
  <c r="BX142" i="1"/>
  <c r="BW143" i="1"/>
  <c r="BX143" i="1"/>
  <c r="BW144" i="1"/>
  <c r="BX144" i="1"/>
  <c r="BW145" i="1"/>
  <c r="BX145" i="1"/>
  <c r="BW146" i="1"/>
  <c r="BX146" i="1"/>
  <c r="BW147" i="1"/>
  <c r="BX147" i="1"/>
  <c r="BW148" i="1"/>
  <c r="BX148" i="1"/>
  <c r="BW149" i="1"/>
  <c r="BX149" i="1"/>
  <c r="BW150" i="1"/>
  <c r="BX150" i="1"/>
  <c r="BW151" i="1"/>
  <c r="BX151" i="1"/>
  <c r="BW152" i="1"/>
  <c r="BX152" i="1"/>
  <c r="BW153" i="1"/>
  <c r="BX153" i="1"/>
  <c r="BW154" i="1"/>
  <c r="BX154" i="1"/>
  <c r="BW155" i="1"/>
  <c r="BX155" i="1"/>
  <c r="BW156" i="1"/>
  <c r="BX156" i="1"/>
  <c r="BW157" i="1"/>
  <c r="BX157" i="1"/>
  <c r="BW158" i="1"/>
  <c r="BX158" i="1"/>
  <c r="BW159" i="1"/>
  <c r="BX159" i="1"/>
  <c r="BW160" i="1"/>
  <c r="BX160" i="1"/>
  <c r="BW162" i="1"/>
  <c r="BX162" i="1"/>
  <c r="BW163" i="1"/>
  <c r="BX163" i="1"/>
  <c r="BW164" i="1"/>
  <c r="BX164" i="1"/>
  <c r="BW165" i="1"/>
  <c r="BX165" i="1"/>
  <c r="BW166" i="1"/>
  <c r="BX166" i="1"/>
  <c r="BW167" i="1"/>
  <c r="BX167" i="1"/>
  <c r="BW168" i="1"/>
  <c r="BX168" i="1"/>
  <c r="BW169" i="1"/>
  <c r="BX169" i="1"/>
  <c r="BW170" i="1"/>
  <c r="BX170" i="1"/>
  <c r="BW171" i="1"/>
  <c r="BX171" i="1"/>
  <c r="BW172" i="1"/>
  <c r="BX172" i="1"/>
  <c r="BW173" i="1"/>
  <c r="BX173" i="1"/>
  <c r="BW174" i="1"/>
  <c r="BX174" i="1"/>
  <c r="BW175" i="1"/>
  <c r="BX175" i="1"/>
  <c r="BW176" i="1"/>
  <c r="BX176" i="1"/>
  <c r="BW675" i="1"/>
  <c r="BX675" i="1"/>
  <c r="BW178" i="1"/>
  <c r="BX178" i="1"/>
  <c r="BW179" i="1"/>
  <c r="BX179" i="1"/>
  <c r="BW180" i="1"/>
  <c r="BX180" i="1"/>
  <c r="BW181" i="1"/>
  <c r="BX181" i="1"/>
  <c r="BW182" i="1"/>
  <c r="BX182" i="1"/>
  <c r="BW183" i="1"/>
  <c r="BX183" i="1"/>
  <c r="BW184" i="1"/>
  <c r="BX184" i="1"/>
  <c r="BW185" i="1"/>
  <c r="BX185" i="1"/>
  <c r="BW187" i="1"/>
  <c r="BX187" i="1"/>
  <c r="BW188" i="1"/>
  <c r="BX188" i="1"/>
  <c r="BW189" i="1"/>
  <c r="BX189" i="1"/>
  <c r="BW190" i="1"/>
  <c r="BX190" i="1"/>
  <c r="BW191" i="1"/>
  <c r="BX191" i="1"/>
  <c r="BW192" i="1"/>
  <c r="BX192" i="1"/>
  <c r="BW193" i="1"/>
  <c r="BX193" i="1"/>
  <c r="BW194" i="1"/>
  <c r="BX194" i="1"/>
  <c r="BW195" i="1"/>
  <c r="BX195" i="1"/>
  <c r="BW196" i="1"/>
  <c r="BX196" i="1"/>
  <c r="BW197" i="1"/>
  <c r="BX197" i="1"/>
  <c r="BW198" i="1"/>
  <c r="BX198" i="1"/>
  <c r="BW199" i="1"/>
  <c r="BX199" i="1"/>
  <c r="BW200" i="1"/>
  <c r="BX200" i="1"/>
  <c r="BW201" i="1"/>
  <c r="BX201" i="1"/>
  <c r="BW202" i="1"/>
  <c r="BX202" i="1"/>
  <c r="BW691" i="1"/>
  <c r="BX691" i="1"/>
  <c r="BW203" i="1"/>
  <c r="BX203" i="1"/>
  <c r="BW204" i="1"/>
  <c r="BX204" i="1"/>
  <c r="BW206" i="1"/>
  <c r="BX206" i="1"/>
  <c r="BW207" i="1"/>
  <c r="BX207" i="1"/>
  <c r="BW208" i="1"/>
  <c r="BX208" i="1"/>
  <c r="BW209" i="1"/>
  <c r="BX209" i="1"/>
  <c r="BW210" i="1"/>
  <c r="BX210" i="1"/>
  <c r="BW211" i="1"/>
  <c r="BX211" i="1"/>
  <c r="BW485" i="1"/>
  <c r="BX485" i="1"/>
  <c r="BW213" i="1"/>
  <c r="BX213" i="1"/>
  <c r="BW214" i="1"/>
  <c r="BX214" i="1"/>
  <c r="BW215" i="1"/>
  <c r="BX215" i="1"/>
  <c r="BW216" i="1"/>
  <c r="BX216" i="1"/>
  <c r="BW217" i="1"/>
  <c r="BX217" i="1"/>
  <c r="BW218" i="1"/>
  <c r="BX218" i="1"/>
  <c r="BW220" i="1"/>
  <c r="BX220" i="1"/>
  <c r="BW221" i="1"/>
  <c r="BX221" i="1"/>
  <c r="BW222" i="1"/>
  <c r="BX222" i="1"/>
  <c r="BW672" i="1"/>
  <c r="BX672" i="1"/>
  <c r="BW224" i="1"/>
  <c r="BX224" i="1"/>
  <c r="BW225" i="1"/>
  <c r="BX225" i="1"/>
  <c r="BW226" i="1"/>
  <c r="BX226" i="1"/>
  <c r="BW227" i="1"/>
  <c r="BX227" i="1"/>
  <c r="BW228" i="1"/>
  <c r="BX228" i="1"/>
  <c r="BW229" i="1"/>
  <c r="BX229" i="1"/>
  <c r="BW230" i="1"/>
  <c r="BX230" i="1"/>
  <c r="BW231" i="1"/>
  <c r="BX231" i="1"/>
  <c r="BW232" i="1"/>
  <c r="BX232" i="1"/>
  <c r="BW233" i="1"/>
  <c r="BX233" i="1"/>
  <c r="BW234" i="1"/>
  <c r="BX234" i="1"/>
  <c r="BW235" i="1"/>
  <c r="BX235" i="1"/>
  <c r="BW236" i="1"/>
  <c r="BX236" i="1"/>
  <c r="BW238" i="1"/>
  <c r="BX238" i="1"/>
  <c r="BW239" i="1"/>
  <c r="BX239" i="1"/>
  <c r="BW241" i="1"/>
  <c r="BX241" i="1"/>
  <c r="BW242" i="1"/>
  <c r="BX242" i="1"/>
  <c r="BW289" i="1"/>
  <c r="BX289" i="1"/>
  <c r="BW243" i="1"/>
  <c r="BX243" i="1"/>
  <c r="BW244" i="1"/>
  <c r="BX244" i="1"/>
  <c r="BW245" i="1"/>
  <c r="BX245" i="1"/>
  <c r="BW246" i="1"/>
  <c r="BX246" i="1"/>
  <c r="BW247" i="1"/>
  <c r="BX247" i="1"/>
  <c r="BW248" i="1"/>
  <c r="BX248" i="1"/>
  <c r="BW249" i="1"/>
  <c r="BX249" i="1"/>
  <c r="BW481" i="1"/>
  <c r="BX481" i="1"/>
  <c r="BW250" i="1"/>
  <c r="BX250" i="1"/>
  <c r="BW205" i="1"/>
  <c r="BX205" i="1"/>
  <c r="BW251" i="1"/>
  <c r="BX251" i="1"/>
  <c r="BW252" i="1"/>
  <c r="BX252" i="1"/>
  <c r="BW253" i="1"/>
  <c r="BX253" i="1"/>
  <c r="BW254" i="1"/>
  <c r="BX254" i="1"/>
  <c r="BW255" i="1"/>
  <c r="BX255" i="1"/>
  <c r="BW256" i="1"/>
  <c r="BX256" i="1"/>
  <c r="BW258" i="1"/>
  <c r="BX258" i="1"/>
  <c r="BW709" i="1"/>
  <c r="BX709" i="1"/>
  <c r="BW259" i="1"/>
  <c r="BX259" i="1"/>
  <c r="BW260" i="1"/>
  <c r="BX260" i="1"/>
  <c r="BW261" i="1"/>
  <c r="BX261" i="1"/>
  <c r="BW262" i="1"/>
  <c r="BX262" i="1"/>
  <c r="BW263" i="1"/>
  <c r="BX263" i="1"/>
  <c r="BW264" i="1"/>
  <c r="BX264" i="1"/>
  <c r="BW265" i="1"/>
  <c r="BX265" i="1"/>
  <c r="BW266" i="1"/>
  <c r="BX266" i="1"/>
  <c r="BW267" i="1"/>
  <c r="BX267" i="1"/>
  <c r="BW268" i="1"/>
  <c r="BX268" i="1"/>
  <c r="BW269" i="1"/>
  <c r="BX269" i="1"/>
  <c r="BW270" i="1"/>
  <c r="BX270" i="1"/>
  <c r="BW271" i="1"/>
  <c r="BX271" i="1"/>
  <c r="BW223" i="1"/>
  <c r="BX223" i="1"/>
  <c r="BW272" i="1"/>
  <c r="BX272" i="1"/>
  <c r="BW273" i="1"/>
  <c r="BX273" i="1"/>
  <c r="BW274" i="1"/>
  <c r="BX274" i="1"/>
  <c r="BW275" i="1"/>
  <c r="BX275" i="1"/>
  <c r="BW276" i="1"/>
  <c r="BX276" i="1"/>
  <c r="BW277" i="1"/>
  <c r="BX277" i="1"/>
  <c r="BW278" i="1"/>
  <c r="BX278" i="1"/>
  <c r="BW279" i="1"/>
  <c r="BX279" i="1"/>
  <c r="BW280" i="1"/>
  <c r="BX280" i="1"/>
  <c r="BW281" i="1"/>
  <c r="BX281" i="1"/>
  <c r="BW282" i="1"/>
  <c r="BX282" i="1"/>
  <c r="BW283" i="1"/>
  <c r="BX283" i="1"/>
  <c r="BW284" i="1"/>
  <c r="BX284" i="1"/>
  <c r="BW285" i="1"/>
  <c r="BX285" i="1"/>
  <c r="BW286" i="1"/>
  <c r="BX286" i="1"/>
  <c r="BW287" i="1"/>
  <c r="BX287" i="1"/>
  <c r="BW288" i="1"/>
  <c r="BX288" i="1"/>
  <c r="BW290" i="1"/>
  <c r="BX290" i="1"/>
  <c r="BW291" i="1"/>
  <c r="BX291" i="1"/>
  <c r="BW292" i="1"/>
  <c r="BX292" i="1"/>
  <c r="BW293" i="1"/>
  <c r="BX293" i="1"/>
  <c r="BW294" i="1"/>
  <c r="BX294" i="1"/>
  <c r="BW295" i="1"/>
  <c r="BX295" i="1"/>
  <c r="BW296" i="1"/>
  <c r="BX296" i="1"/>
  <c r="BW297" i="1"/>
  <c r="BX297" i="1"/>
  <c r="BW298" i="1"/>
  <c r="BX298" i="1"/>
  <c r="BW299" i="1"/>
  <c r="BX299" i="1"/>
  <c r="BW300" i="1"/>
  <c r="BX300" i="1"/>
  <c r="BW301" i="1"/>
  <c r="BX301" i="1"/>
  <c r="BW302" i="1"/>
  <c r="BX302" i="1"/>
  <c r="BW303" i="1"/>
  <c r="BX303" i="1"/>
  <c r="BW304" i="1"/>
  <c r="BX304" i="1"/>
  <c r="BW305" i="1"/>
  <c r="BX305" i="1"/>
  <c r="BW306" i="1"/>
  <c r="BX306" i="1"/>
  <c r="BW307" i="1"/>
  <c r="BX307" i="1"/>
  <c r="BW308" i="1"/>
  <c r="BX308" i="1"/>
  <c r="BW309" i="1"/>
  <c r="BX309" i="1"/>
  <c r="BW310" i="1"/>
  <c r="BX310" i="1"/>
  <c r="BW311" i="1"/>
  <c r="BX311" i="1"/>
  <c r="BW312" i="1"/>
  <c r="BX312" i="1"/>
  <c r="BW313" i="1"/>
  <c r="BX313" i="1"/>
  <c r="BW314" i="1"/>
  <c r="BX314" i="1"/>
  <c r="BW315" i="1"/>
  <c r="BX315" i="1"/>
  <c r="BW316" i="1"/>
  <c r="BX316" i="1"/>
  <c r="BW317" i="1"/>
  <c r="BX317" i="1"/>
  <c r="BW318" i="1"/>
  <c r="BX318" i="1"/>
  <c r="BW320" i="1"/>
  <c r="BX320" i="1"/>
  <c r="BW321" i="1"/>
  <c r="BX321" i="1"/>
  <c r="BW322" i="1"/>
  <c r="BX322" i="1"/>
  <c r="BW323" i="1"/>
  <c r="BX323" i="1"/>
  <c r="BW324" i="1"/>
  <c r="BX324" i="1"/>
  <c r="BW325" i="1"/>
  <c r="BX325" i="1"/>
  <c r="BW326" i="1"/>
  <c r="BX326" i="1"/>
  <c r="BW327" i="1"/>
  <c r="BX327" i="1"/>
  <c r="BW328" i="1"/>
  <c r="BX328" i="1"/>
  <c r="BW329" i="1"/>
  <c r="BX329" i="1"/>
  <c r="BW330" i="1"/>
  <c r="BX330" i="1"/>
  <c r="BW331" i="1"/>
  <c r="BX331" i="1"/>
  <c r="BW332" i="1"/>
  <c r="BX332" i="1"/>
  <c r="BW333" i="1"/>
  <c r="BX333" i="1"/>
  <c r="BW334" i="1"/>
  <c r="BX334" i="1"/>
  <c r="BW335" i="1"/>
  <c r="BX335" i="1"/>
  <c r="BW336" i="1"/>
  <c r="BX336" i="1"/>
  <c r="BW337" i="1"/>
  <c r="BX337" i="1"/>
  <c r="BW689" i="1"/>
  <c r="BX689" i="1"/>
  <c r="BW338" i="1"/>
  <c r="BX338" i="1"/>
  <c r="BW339" i="1"/>
  <c r="BX339" i="1"/>
  <c r="BW340" i="1"/>
  <c r="BX340" i="1"/>
  <c r="BW342" i="1"/>
  <c r="BX342" i="1"/>
  <c r="BW343" i="1"/>
  <c r="BX343" i="1"/>
  <c r="BW344" i="1"/>
  <c r="BX344" i="1"/>
  <c r="BW345" i="1"/>
  <c r="BX345" i="1"/>
  <c r="BW346" i="1"/>
  <c r="BX346" i="1"/>
  <c r="BW699" i="1"/>
  <c r="BX699" i="1"/>
  <c r="BW347" i="1"/>
  <c r="BX347" i="1"/>
  <c r="BW348" i="1"/>
  <c r="BX348" i="1"/>
  <c r="BW349" i="1"/>
  <c r="BX349" i="1"/>
  <c r="BW350" i="1"/>
  <c r="BX350" i="1"/>
  <c r="BW351" i="1"/>
  <c r="BX351" i="1"/>
  <c r="BW352" i="1"/>
  <c r="BX352" i="1"/>
  <c r="BW353" i="1"/>
  <c r="BX353" i="1"/>
  <c r="BW354" i="1"/>
  <c r="BX354" i="1"/>
  <c r="BW355" i="1"/>
  <c r="BX355" i="1"/>
  <c r="BW356" i="1"/>
  <c r="BX356" i="1"/>
  <c r="BW357" i="1"/>
  <c r="BX357" i="1"/>
  <c r="BW358" i="1"/>
  <c r="BX358" i="1"/>
  <c r="BW359" i="1"/>
  <c r="BX359" i="1"/>
  <c r="BW360" i="1"/>
  <c r="BX360" i="1"/>
  <c r="BW361" i="1"/>
  <c r="BX361" i="1"/>
  <c r="BW716" i="1"/>
  <c r="BX716" i="1"/>
  <c r="BW362" i="1"/>
  <c r="BX362" i="1"/>
  <c r="BW364" i="1"/>
  <c r="BX364" i="1"/>
  <c r="BW365" i="1"/>
  <c r="BX365" i="1"/>
  <c r="BW366" i="1"/>
  <c r="BX366" i="1"/>
  <c r="BW367" i="1"/>
  <c r="BX367" i="1"/>
  <c r="BW368" i="1"/>
  <c r="BX368" i="1"/>
  <c r="BW369" i="1"/>
  <c r="BX369" i="1"/>
  <c r="BW370" i="1"/>
  <c r="BX370" i="1"/>
  <c r="BW371" i="1"/>
  <c r="BX371" i="1"/>
  <c r="BW372" i="1"/>
  <c r="BX372" i="1"/>
  <c r="BW373" i="1"/>
  <c r="BX373" i="1"/>
  <c r="BW374" i="1"/>
  <c r="BX374" i="1"/>
  <c r="BW375" i="1"/>
  <c r="BX375" i="1"/>
  <c r="BW376" i="1"/>
  <c r="BX376" i="1"/>
  <c r="BW377" i="1"/>
  <c r="BX377" i="1"/>
  <c r="BW378" i="1"/>
  <c r="BX378" i="1"/>
  <c r="BW381" i="1"/>
  <c r="BX381" i="1"/>
  <c r="BW382" i="1"/>
  <c r="BX382" i="1"/>
  <c r="BW383" i="1"/>
  <c r="BX383" i="1"/>
  <c r="BW384" i="1"/>
  <c r="BX384" i="1"/>
  <c r="BW385" i="1"/>
  <c r="BX385" i="1"/>
  <c r="BW386" i="1"/>
  <c r="BX386" i="1"/>
  <c r="BW387" i="1"/>
  <c r="BX387" i="1"/>
  <c r="BW388" i="1"/>
  <c r="BX388" i="1"/>
  <c r="BW389" i="1"/>
  <c r="BX389" i="1"/>
  <c r="BW390" i="1"/>
  <c r="BX390" i="1"/>
  <c r="BW391" i="1"/>
  <c r="BX391" i="1"/>
  <c r="BW392" i="1"/>
  <c r="BX392" i="1"/>
  <c r="BW393" i="1"/>
  <c r="BX393" i="1"/>
  <c r="BW394" i="1"/>
  <c r="BX394" i="1"/>
  <c r="BW395" i="1"/>
  <c r="BX395" i="1"/>
  <c r="BW396" i="1"/>
  <c r="BX396" i="1"/>
  <c r="BW397" i="1"/>
  <c r="BX397" i="1"/>
  <c r="BW398" i="1"/>
  <c r="BX398" i="1"/>
  <c r="BW399" i="1"/>
  <c r="BX399" i="1"/>
  <c r="BW400" i="1"/>
  <c r="BX400" i="1"/>
  <c r="BW401" i="1"/>
  <c r="BX401" i="1"/>
  <c r="BW402" i="1"/>
  <c r="BX402" i="1"/>
  <c r="BW403" i="1"/>
  <c r="BX403" i="1"/>
  <c r="BW404" i="1"/>
  <c r="BX404" i="1"/>
  <c r="BW405" i="1"/>
  <c r="BX405" i="1"/>
  <c r="BW406" i="1"/>
  <c r="BX406" i="1"/>
  <c r="BW407" i="1"/>
  <c r="BX407" i="1"/>
  <c r="BW408" i="1"/>
  <c r="BX408" i="1"/>
  <c r="BW212" i="1"/>
  <c r="BX212" i="1"/>
  <c r="BW409" i="1"/>
  <c r="BX409" i="1"/>
  <c r="BW410" i="1"/>
  <c r="BX410" i="1"/>
  <c r="BW411" i="1"/>
  <c r="BX411" i="1"/>
  <c r="BW412" i="1"/>
  <c r="BX412" i="1"/>
  <c r="BW413" i="1"/>
  <c r="BX413" i="1"/>
  <c r="BW414" i="1"/>
  <c r="BX414" i="1"/>
  <c r="BW415" i="1"/>
  <c r="BX415" i="1"/>
  <c r="BW416" i="1"/>
  <c r="BX416" i="1"/>
  <c r="BW177" i="1"/>
  <c r="BX177" i="1"/>
  <c r="BW417" i="1"/>
  <c r="BX417" i="1"/>
  <c r="BW418" i="1"/>
  <c r="BX418" i="1"/>
  <c r="BW419" i="1"/>
  <c r="BX419" i="1"/>
  <c r="BW420" i="1"/>
  <c r="BX420" i="1"/>
  <c r="BW421" i="1"/>
  <c r="BX421" i="1"/>
  <c r="BW422" i="1"/>
  <c r="BX422" i="1"/>
  <c r="BW423" i="1"/>
  <c r="BX423" i="1"/>
  <c r="BW424" i="1"/>
  <c r="BX424" i="1"/>
  <c r="BW425" i="1"/>
  <c r="BX425" i="1"/>
  <c r="BW426" i="1"/>
  <c r="BX426" i="1"/>
  <c r="BW427" i="1"/>
  <c r="BX427" i="1"/>
  <c r="BW428" i="1"/>
  <c r="BX428" i="1"/>
  <c r="BW429" i="1"/>
  <c r="BX429" i="1"/>
  <c r="BW430" i="1"/>
  <c r="BX430" i="1"/>
  <c r="BW431" i="1"/>
  <c r="BX431" i="1"/>
  <c r="BW432" i="1"/>
  <c r="BX432" i="1"/>
  <c r="BW186" i="1"/>
  <c r="BX186" i="1"/>
  <c r="BW433" i="1"/>
  <c r="BX433" i="1"/>
  <c r="BW434" i="1"/>
  <c r="BX434" i="1"/>
  <c r="BW435" i="1"/>
  <c r="BX435" i="1"/>
  <c r="BW436" i="1"/>
  <c r="BX436" i="1"/>
  <c r="BW437" i="1"/>
  <c r="BX437" i="1"/>
  <c r="BW438" i="1"/>
  <c r="BX438" i="1"/>
  <c r="BW440" i="1"/>
  <c r="BX440" i="1"/>
  <c r="BW441" i="1"/>
  <c r="BX441" i="1"/>
  <c r="BW442" i="1"/>
  <c r="BX442" i="1"/>
  <c r="BW443" i="1"/>
  <c r="BX443" i="1"/>
  <c r="BW444" i="1"/>
  <c r="BX444" i="1"/>
  <c r="BW445" i="1"/>
  <c r="BX445" i="1"/>
  <c r="BW446" i="1"/>
  <c r="BX446" i="1"/>
  <c r="BW447" i="1"/>
  <c r="BX447" i="1"/>
  <c r="BW448" i="1"/>
  <c r="BX448" i="1"/>
  <c r="BW449" i="1"/>
  <c r="BX449" i="1"/>
  <c r="BW450" i="1"/>
  <c r="BX450" i="1"/>
  <c r="BW451" i="1"/>
  <c r="BX451" i="1"/>
  <c r="BW452" i="1"/>
  <c r="BX452" i="1"/>
  <c r="BW453" i="1"/>
  <c r="BX453" i="1"/>
  <c r="BW454" i="1"/>
  <c r="BX454" i="1"/>
  <c r="BW455" i="1"/>
  <c r="BX455" i="1"/>
  <c r="BW456" i="1"/>
  <c r="BX456" i="1"/>
  <c r="BW457" i="1"/>
  <c r="BX457" i="1"/>
  <c r="BW93" i="1"/>
  <c r="BX93" i="1"/>
  <c r="BW458" i="1"/>
  <c r="BX458" i="1"/>
  <c r="BW379" i="1"/>
  <c r="BX379" i="1"/>
  <c r="BW380" i="1"/>
  <c r="BX380" i="1"/>
  <c r="BW460" i="1"/>
  <c r="BX460" i="1"/>
  <c r="BW461" i="1"/>
  <c r="BX461" i="1"/>
  <c r="BW462" i="1"/>
  <c r="BX462" i="1"/>
  <c r="BW439" i="1"/>
  <c r="BX439" i="1"/>
  <c r="BW463" i="1"/>
  <c r="BX463" i="1"/>
  <c r="BW464" i="1"/>
  <c r="BX464" i="1"/>
  <c r="BW465" i="1"/>
  <c r="BX465" i="1"/>
  <c r="BW466" i="1"/>
  <c r="BX466" i="1"/>
  <c r="BW467" i="1"/>
  <c r="BX467" i="1"/>
  <c r="BW20" i="1"/>
  <c r="BX20" i="1"/>
  <c r="BW469" i="1"/>
  <c r="BX469" i="1"/>
  <c r="BW470" i="1"/>
  <c r="BX470" i="1"/>
  <c r="BW472" i="1"/>
  <c r="BX472" i="1"/>
  <c r="BW473" i="1"/>
  <c r="BX473" i="1"/>
  <c r="BW474" i="1"/>
  <c r="BX474" i="1"/>
  <c r="BW31" i="1"/>
  <c r="BX31" i="1"/>
  <c r="BW476" i="1"/>
  <c r="BX476" i="1"/>
  <c r="BW32" i="1"/>
  <c r="BX32" i="1"/>
  <c r="BW477" i="1"/>
  <c r="BX477" i="1"/>
  <c r="BW478" i="1"/>
  <c r="BX478" i="1"/>
  <c r="BW479" i="1"/>
  <c r="BX479" i="1"/>
  <c r="BW480" i="1"/>
  <c r="BX480" i="1"/>
  <c r="BW482" i="1"/>
  <c r="BX482" i="1"/>
  <c r="BW483" i="1"/>
  <c r="BX483" i="1"/>
  <c r="BW471" i="1"/>
  <c r="BX471" i="1"/>
  <c r="BW475" i="1"/>
  <c r="BX475" i="1"/>
  <c r="BW484" i="1"/>
  <c r="BX484" i="1"/>
  <c r="BW486" i="1"/>
  <c r="BX486" i="1"/>
  <c r="BW489" i="1"/>
  <c r="BX489" i="1"/>
  <c r="BW490" i="1"/>
  <c r="BX490" i="1"/>
  <c r="BW491" i="1"/>
  <c r="BX491" i="1"/>
  <c r="BW492" i="1"/>
  <c r="BX492" i="1"/>
  <c r="BW493" i="1"/>
  <c r="BX493" i="1"/>
  <c r="BW459" i="1"/>
  <c r="BX459" i="1"/>
  <c r="BW494" i="1"/>
  <c r="BX494" i="1"/>
  <c r="BW495" i="1"/>
  <c r="BX495" i="1"/>
  <c r="BW496" i="1"/>
  <c r="BX496" i="1"/>
  <c r="BW497" i="1"/>
  <c r="BX497" i="1"/>
  <c r="BW498" i="1"/>
  <c r="BX498" i="1"/>
  <c r="BW499" i="1"/>
  <c r="BX499" i="1"/>
  <c r="BW500" i="1"/>
  <c r="BX500" i="1"/>
  <c r="BW501" i="1"/>
  <c r="BX501" i="1"/>
  <c r="BW502" i="1"/>
  <c r="BX502" i="1"/>
  <c r="BW503" i="1"/>
  <c r="BX503" i="1"/>
  <c r="BW504" i="1"/>
  <c r="BX504" i="1"/>
  <c r="BW468" i="1"/>
  <c r="BX468" i="1"/>
  <c r="BW506" i="1"/>
  <c r="BX506" i="1"/>
  <c r="BW507" i="1"/>
  <c r="BX507" i="1"/>
  <c r="BW510" i="1"/>
  <c r="BX510" i="1"/>
  <c r="BW514" i="1"/>
  <c r="BX514" i="1"/>
  <c r="BW516" i="1"/>
  <c r="BX516" i="1"/>
  <c r="BW517" i="1"/>
  <c r="BX517" i="1"/>
  <c r="BW518" i="1"/>
  <c r="BX518" i="1"/>
  <c r="BW519" i="1"/>
  <c r="BX519" i="1"/>
  <c r="BW520" i="1"/>
  <c r="BX520" i="1"/>
  <c r="BW521" i="1"/>
  <c r="BX521" i="1"/>
  <c r="BW522" i="1"/>
  <c r="BX522" i="1"/>
  <c r="BW523" i="1"/>
  <c r="BX523" i="1"/>
  <c r="BW524" i="1"/>
  <c r="BX524" i="1"/>
  <c r="BW525" i="1"/>
  <c r="BX525" i="1"/>
  <c r="BW526" i="1"/>
  <c r="BX526" i="1"/>
  <c r="BW527" i="1"/>
  <c r="BX527" i="1"/>
  <c r="BW528" i="1"/>
  <c r="BX528" i="1"/>
  <c r="BW529" i="1"/>
  <c r="BX529" i="1"/>
  <c r="BW530" i="1"/>
  <c r="BX530" i="1"/>
  <c r="BW531" i="1"/>
  <c r="BX531" i="1"/>
  <c r="BW532" i="1"/>
  <c r="BX532" i="1"/>
  <c r="BW533" i="1"/>
  <c r="BX533" i="1"/>
  <c r="BW534" i="1"/>
  <c r="BX534" i="1"/>
  <c r="BW535" i="1"/>
  <c r="BX535" i="1"/>
  <c r="BW536" i="1"/>
  <c r="BX536" i="1"/>
  <c r="BW537" i="1"/>
  <c r="BX537" i="1"/>
  <c r="BW538" i="1"/>
  <c r="BX538" i="1"/>
  <c r="BW539" i="1"/>
  <c r="BX539" i="1"/>
  <c r="BW540" i="1"/>
  <c r="BX540" i="1"/>
  <c r="BW541" i="1"/>
  <c r="BX541" i="1"/>
  <c r="BW542" i="1"/>
  <c r="BX542" i="1"/>
  <c r="BW543" i="1"/>
  <c r="BX543" i="1"/>
  <c r="BW544" i="1"/>
  <c r="BX544" i="1"/>
  <c r="BW545" i="1"/>
  <c r="BX545" i="1"/>
  <c r="BW546" i="1"/>
  <c r="BX546" i="1"/>
  <c r="BW547" i="1"/>
  <c r="BX547" i="1"/>
  <c r="BW548" i="1"/>
  <c r="BX548" i="1"/>
  <c r="BW549" i="1"/>
  <c r="BX549" i="1"/>
  <c r="BW511" i="1"/>
  <c r="BX511" i="1"/>
  <c r="BW550" i="1"/>
  <c r="BX550" i="1"/>
  <c r="BW551" i="1"/>
  <c r="BX551" i="1"/>
  <c r="BW552" i="1"/>
  <c r="BX552" i="1"/>
  <c r="BW553" i="1"/>
  <c r="BX553" i="1"/>
  <c r="BW512" i="1"/>
  <c r="BX512" i="1"/>
  <c r="BW513" i="1"/>
  <c r="BX513" i="1"/>
  <c r="BW554" i="1"/>
  <c r="BX554" i="1"/>
  <c r="BW555" i="1"/>
  <c r="BX555" i="1"/>
  <c r="BW556" i="1"/>
  <c r="BX556" i="1"/>
  <c r="BW557" i="1"/>
  <c r="BX557" i="1"/>
  <c r="BW558" i="1"/>
  <c r="BX558" i="1"/>
  <c r="BW559" i="1"/>
  <c r="BX559" i="1"/>
  <c r="BW560" i="1"/>
  <c r="BX560" i="1"/>
  <c r="BW515" i="1"/>
  <c r="BX515" i="1"/>
  <c r="BW561" i="1"/>
  <c r="BX561" i="1"/>
  <c r="BW562" i="1"/>
  <c r="BX562" i="1"/>
  <c r="BW563" i="1"/>
  <c r="BX563" i="1"/>
  <c r="BW564" i="1"/>
  <c r="BX564" i="1"/>
  <c r="BW565" i="1"/>
  <c r="BX565" i="1"/>
  <c r="BW566" i="1"/>
  <c r="BX566" i="1"/>
  <c r="BW567" i="1"/>
  <c r="BX567" i="1"/>
  <c r="BW568" i="1"/>
  <c r="BX568" i="1"/>
  <c r="BW569" i="1"/>
  <c r="BX569" i="1"/>
  <c r="BW570" i="1"/>
  <c r="BX570" i="1"/>
  <c r="BW571" i="1"/>
  <c r="BX571" i="1"/>
  <c r="BW572" i="1"/>
  <c r="BX572" i="1"/>
  <c r="BW573" i="1"/>
  <c r="BX573" i="1"/>
  <c r="BW574" i="1"/>
  <c r="BX574" i="1"/>
  <c r="BW575" i="1"/>
  <c r="BX575" i="1"/>
  <c r="BW576" i="1"/>
  <c r="BX576" i="1"/>
  <c r="BW577" i="1"/>
  <c r="BX577" i="1"/>
  <c r="BW578" i="1"/>
  <c r="BX578" i="1"/>
  <c r="BW579" i="1"/>
  <c r="BX579" i="1"/>
  <c r="BW580" i="1"/>
  <c r="BX580" i="1"/>
  <c r="BW581" i="1"/>
  <c r="BX581" i="1"/>
  <c r="BW582" i="1"/>
  <c r="BX582" i="1"/>
  <c r="BW583" i="1"/>
  <c r="BX583" i="1"/>
  <c r="BW584" i="1"/>
  <c r="BX584" i="1"/>
  <c r="BW585" i="1"/>
  <c r="BX585" i="1"/>
  <c r="BW586" i="1"/>
  <c r="BX586" i="1"/>
  <c r="BW587" i="1"/>
  <c r="BX587" i="1"/>
  <c r="BW588" i="1"/>
  <c r="BX588" i="1"/>
  <c r="BW589" i="1"/>
  <c r="BX589" i="1"/>
  <c r="BW590" i="1"/>
  <c r="BX590" i="1"/>
  <c r="BW591" i="1"/>
  <c r="BX591" i="1"/>
  <c r="BW592" i="1"/>
  <c r="BX592" i="1"/>
  <c r="BW593" i="1"/>
  <c r="BX593" i="1"/>
  <c r="BW594" i="1"/>
  <c r="BX594" i="1"/>
  <c r="BW595" i="1"/>
  <c r="BX595" i="1"/>
  <c r="BW596" i="1"/>
  <c r="BX596" i="1"/>
  <c r="BW597" i="1"/>
  <c r="BX597" i="1"/>
  <c r="BW598" i="1"/>
  <c r="BX598" i="1"/>
  <c r="BW599" i="1"/>
  <c r="BX599" i="1"/>
  <c r="BW600" i="1"/>
  <c r="BX600" i="1"/>
  <c r="BW601" i="1"/>
  <c r="BX601" i="1"/>
  <c r="BW602" i="1"/>
  <c r="BX602" i="1"/>
  <c r="BW603" i="1"/>
  <c r="BX603" i="1"/>
  <c r="BW604" i="1"/>
  <c r="BX604" i="1"/>
  <c r="BW605" i="1"/>
  <c r="BX605" i="1"/>
  <c r="BW606" i="1"/>
  <c r="BX606" i="1"/>
  <c r="BW607" i="1"/>
  <c r="BX607" i="1"/>
  <c r="BW608" i="1"/>
  <c r="BX608" i="1"/>
  <c r="BW609" i="1"/>
  <c r="BX609" i="1"/>
  <c r="BW610" i="1"/>
  <c r="BX610" i="1"/>
  <c r="BW611" i="1"/>
  <c r="BX611" i="1"/>
  <c r="BW612" i="1"/>
  <c r="BX612" i="1"/>
  <c r="BW613" i="1"/>
  <c r="BX613" i="1"/>
  <c r="BW614" i="1"/>
  <c r="BX614" i="1"/>
  <c r="BW615" i="1"/>
  <c r="BX615" i="1"/>
  <c r="BW616" i="1"/>
  <c r="BX616" i="1"/>
  <c r="BW617" i="1"/>
  <c r="BX617" i="1"/>
  <c r="BW618" i="1"/>
  <c r="BX618" i="1"/>
  <c r="BW619" i="1"/>
  <c r="BX619" i="1"/>
  <c r="BW620" i="1"/>
  <c r="BX620" i="1"/>
  <c r="BW621" i="1"/>
  <c r="BX621" i="1"/>
  <c r="BW622" i="1"/>
  <c r="BX622" i="1"/>
  <c r="BW623" i="1"/>
  <c r="BX623" i="1"/>
  <c r="BW624" i="1"/>
  <c r="BX624" i="1"/>
  <c r="BW625" i="1"/>
  <c r="BX625" i="1"/>
  <c r="BW626" i="1"/>
  <c r="BX626" i="1"/>
  <c r="BW627" i="1"/>
  <c r="BX627" i="1"/>
  <c r="BW628" i="1"/>
  <c r="BX628" i="1"/>
  <c r="BW629" i="1"/>
  <c r="BX629" i="1"/>
  <c r="BW630" i="1"/>
  <c r="BX630" i="1"/>
  <c r="BW631" i="1"/>
  <c r="BX631" i="1"/>
  <c r="BW632" i="1"/>
  <c r="BX632" i="1"/>
  <c r="BW633" i="1"/>
  <c r="BX633" i="1"/>
  <c r="BW634" i="1"/>
  <c r="BX634" i="1"/>
  <c r="BW635" i="1"/>
  <c r="BX635" i="1"/>
  <c r="BW636" i="1"/>
  <c r="BX636" i="1"/>
  <c r="BW637" i="1"/>
  <c r="BX637" i="1"/>
  <c r="BW638" i="1"/>
  <c r="BX638" i="1"/>
  <c r="BW639" i="1"/>
  <c r="BX639" i="1"/>
  <c r="BW640" i="1"/>
  <c r="BX640" i="1"/>
  <c r="BW641" i="1"/>
  <c r="BX641" i="1"/>
  <c r="BW642" i="1"/>
  <c r="BX642" i="1"/>
  <c r="BW643" i="1"/>
  <c r="BX643" i="1"/>
  <c r="BW644" i="1"/>
  <c r="BX644" i="1"/>
  <c r="BW645" i="1"/>
  <c r="BX645" i="1"/>
  <c r="BW646" i="1"/>
  <c r="BX646" i="1"/>
  <c r="BW647" i="1"/>
  <c r="BX647" i="1"/>
  <c r="BW648" i="1"/>
  <c r="BX648" i="1"/>
  <c r="BW649" i="1"/>
  <c r="BX649" i="1"/>
  <c r="BW650" i="1"/>
  <c r="BX650" i="1"/>
  <c r="BW651" i="1"/>
  <c r="BX651" i="1"/>
  <c r="BW652" i="1"/>
  <c r="BX652" i="1"/>
  <c r="BW653" i="1"/>
  <c r="BX653" i="1"/>
  <c r="BW654" i="1"/>
  <c r="BX654" i="1"/>
  <c r="BW655" i="1"/>
  <c r="BX655" i="1"/>
  <c r="BW656" i="1"/>
  <c r="BX656" i="1"/>
  <c r="BW657" i="1"/>
  <c r="BX657" i="1"/>
  <c r="BW658" i="1"/>
  <c r="BX658" i="1"/>
  <c r="BW659" i="1"/>
  <c r="BX659" i="1"/>
  <c r="BW660" i="1"/>
  <c r="BX660" i="1"/>
  <c r="BW661" i="1"/>
  <c r="BX661" i="1"/>
  <c r="BW662" i="1"/>
  <c r="BX662" i="1"/>
  <c r="BW663" i="1"/>
  <c r="BX663" i="1"/>
  <c r="BW664" i="1"/>
  <c r="BX664" i="1"/>
  <c r="BW665" i="1"/>
  <c r="BX665" i="1"/>
  <c r="BW666" i="1"/>
  <c r="BX666" i="1"/>
  <c r="BW667" i="1"/>
  <c r="BX667" i="1"/>
  <c r="BW668" i="1"/>
  <c r="BX668" i="1"/>
  <c r="BW669" i="1"/>
  <c r="BX669" i="1"/>
  <c r="BW487" i="1"/>
  <c r="BX487" i="1"/>
  <c r="BW488" i="1"/>
  <c r="BX488" i="1"/>
  <c r="BW670" i="1"/>
  <c r="BX670" i="1"/>
  <c r="BW671" i="1"/>
  <c r="BX671" i="1"/>
  <c r="BW673" i="1"/>
  <c r="BX673" i="1"/>
  <c r="BW674" i="1"/>
  <c r="BX674" i="1"/>
  <c r="BW676" i="1"/>
  <c r="BX676" i="1"/>
  <c r="BW677" i="1"/>
  <c r="BX677" i="1"/>
  <c r="BW678" i="1"/>
  <c r="BX678" i="1"/>
  <c r="BW679" i="1"/>
  <c r="BX679" i="1"/>
  <c r="BW680" i="1"/>
  <c r="BX680" i="1"/>
  <c r="BW681" i="1"/>
  <c r="BX681" i="1"/>
  <c r="BW682" i="1"/>
  <c r="BX682" i="1"/>
  <c r="BW683" i="1"/>
  <c r="BX683" i="1"/>
  <c r="BW684" i="1"/>
  <c r="BX684" i="1"/>
  <c r="BW685" i="1"/>
  <c r="BX685" i="1"/>
  <c r="BW686" i="1"/>
  <c r="BX686" i="1"/>
  <c r="BW687" i="1"/>
  <c r="BX687" i="1"/>
  <c r="BW688" i="1"/>
  <c r="BX688" i="1"/>
  <c r="BW690" i="1"/>
  <c r="BX690" i="1"/>
  <c r="BW692" i="1"/>
  <c r="BX692" i="1"/>
  <c r="BW693" i="1"/>
  <c r="BX693" i="1"/>
  <c r="BW694" i="1"/>
  <c r="BX694" i="1"/>
  <c r="BW695" i="1"/>
  <c r="BX695" i="1"/>
  <c r="BW505" i="1"/>
  <c r="BX505" i="1"/>
  <c r="BW696" i="1"/>
  <c r="BX696" i="1"/>
  <c r="BW697" i="1"/>
  <c r="BX697" i="1"/>
  <c r="BW698" i="1"/>
  <c r="BX698" i="1"/>
  <c r="BW508" i="1"/>
  <c r="BX508" i="1"/>
  <c r="BW700" i="1"/>
  <c r="BX700" i="1"/>
  <c r="BW509" i="1"/>
  <c r="BX509" i="1"/>
  <c r="BW701" i="1"/>
  <c r="BX701" i="1"/>
  <c r="BW702" i="1"/>
  <c r="BX702" i="1"/>
  <c r="BW703" i="1"/>
  <c r="BX703" i="1"/>
  <c r="BW704" i="1"/>
  <c r="BX704" i="1"/>
  <c r="BW705" i="1"/>
  <c r="BX705" i="1"/>
  <c r="BW706" i="1"/>
  <c r="BX706" i="1"/>
  <c r="BW707" i="1"/>
  <c r="BX707" i="1"/>
  <c r="BW708" i="1"/>
  <c r="BX708" i="1"/>
  <c r="BW710" i="1"/>
  <c r="BX710" i="1"/>
  <c r="BW711" i="1"/>
  <c r="BX711" i="1"/>
  <c r="BW712" i="1"/>
  <c r="BX712" i="1"/>
  <c r="BW713" i="1"/>
  <c r="BX713" i="1"/>
  <c r="BW714" i="1"/>
  <c r="BX714" i="1"/>
  <c r="BW715" i="1"/>
  <c r="BX715" i="1"/>
  <c r="BW717" i="1"/>
  <c r="BX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815" i="1"/>
  <c r="BW817" i="1"/>
  <c r="BW788" i="1"/>
  <c r="BW821" i="1"/>
  <c r="BW822" i="1"/>
  <c r="BW823" i="1"/>
  <c r="BW824" i="1"/>
  <c r="BW825" i="1"/>
  <c r="BW826" i="1"/>
  <c r="BW789" i="1"/>
  <c r="BW827" i="1"/>
  <c r="BW828" i="1"/>
  <c r="BW790" i="1"/>
  <c r="BW791" i="1"/>
  <c r="BW792" i="1"/>
  <c r="BW793" i="1"/>
  <c r="BW794" i="1"/>
  <c r="BW795" i="1"/>
  <c r="BW796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6" i="1"/>
  <c r="BW818" i="1"/>
  <c r="BW819" i="1"/>
  <c r="BW820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X907" i="1"/>
  <c r="BW908" i="1"/>
  <c r="BX908" i="1"/>
  <c r="BW909" i="1"/>
  <c r="BX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X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X944" i="1"/>
  <c r="BW945" i="1"/>
  <c r="BX945" i="1"/>
  <c r="BW946" i="1"/>
  <c r="BX946" i="1"/>
  <c r="BW947" i="1"/>
  <c r="BX947" i="1"/>
  <c r="BW948" i="1"/>
  <c r="BX948" i="1"/>
  <c r="BW949" i="1"/>
  <c r="BX949" i="1"/>
  <c r="BW950" i="1"/>
  <c r="BX950" i="1"/>
  <c r="BW951" i="1"/>
  <c r="BX951" i="1"/>
  <c r="BW952" i="1"/>
  <c r="BX952" i="1"/>
  <c r="BW953" i="1"/>
  <c r="BX953" i="1"/>
  <c r="BW954" i="1"/>
  <c r="BX954" i="1"/>
  <c r="BW955" i="1"/>
  <c r="BX955" i="1"/>
  <c r="BW956" i="1"/>
  <c r="BX956" i="1"/>
  <c r="BW957" i="1"/>
  <c r="BX957" i="1"/>
  <c r="BW958" i="1"/>
  <c r="BX958" i="1"/>
  <c r="BW959" i="1"/>
  <c r="BX959" i="1"/>
  <c r="BW960" i="1"/>
  <c r="BX960" i="1"/>
  <c r="BW961" i="1"/>
  <c r="BX961" i="1"/>
  <c r="BW962" i="1"/>
  <c r="BX962" i="1"/>
  <c r="BW963" i="1"/>
  <c r="BX963" i="1"/>
  <c r="BW964" i="1"/>
  <c r="BX964" i="1"/>
  <c r="BW965" i="1"/>
  <c r="BX965" i="1"/>
  <c r="BW966" i="1"/>
  <c r="BX966" i="1"/>
  <c r="BW967" i="1"/>
  <c r="BX967" i="1"/>
  <c r="BW968" i="1"/>
  <c r="BX968" i="1"/>
  <c r="BW969" i="1"/>
  <c r="BX969" i="1"/>
  <c r="BW970" i="1"/>
  <c r="BX970" i="1"/>
  <c r="BW971" i="1"/>
  <c r="BX971" i="1"/>
  <c r="BW972" i="1"/>
  <c r="BX972" i="1"/>
  <c r="BW973" i="1"/>
  <c r="BX973" i="1"/>
  <c r="BW974" i="1"/>
  <c r="BX974" i="1"/>
  <c r="BW975" i="1"/>
  <c r="BX975" i="1"/>
  <c r="BW976" i="1"/>
  <c r="BX976" i="1"/>
  <c r="BW977" i="1"/>
  <c r="BX977" i="1"/>
  <c r="BW978" i="1"/>
  <c r="BX978" i="1"/>
  <c r="BW979" i="1"/>
  <c r="BX979" i="1"/>
  <c r="BW980" i="1"/>
  <c r="BX980" i="1"/>
  <c r="BW981" i="1"/>
  <c r="BX981" i="1"/>
  <c r="BW982" i="1"/>
  <c r="BX982" i="1"/>
  <c r="BW983" i="1"/>
  <c r="BX983" i="1"/>
  <c r="BW984" i="1"/>
  <c r="BX984" i="1"/>
  <c r="BW985" i="1"/>
  <c r="BX985" i="1"/>
  <c r="BW986" i="1"/>
  <c r="BX986" i="1"/>
  <c r="BW987" i="1"/>
  <c r="BX987" i="1"/>
  <c r="BW988" i="1"/>
  <c r="BX988" i="1"/>
  <c r="BW989" i="1"/>
  <c r="BX989" i="1"/>
  <c r="BW990" i="1"/>
  <c r="BX990" i="1"/>
  <c r="BW991" i="1"/>
  <c r="BX991" i="1"/>
  <c r="BW992" i="1"/>
  <c r="BX992" i="1"/>
  <c r="BW993" i="1"/>
  <c r="BX993" i="1"/>
  <c r="BW994" i="1"/>
  <c r="BX994" i="1"/>
  <c r="BW995" i="1"/>
  <c r="BX995" i="1"/>
  <c r="BW996" i="1"/>
  <c r="BX996" i="1"/>
  <c r="BW997" i="1"/>
  <c r="BX997" i="1"/>
  <c r="BW998" i="1"/>
  <c r="BX998" i="1"/>
  <c r="BW999" i="1"/>
  <c r="BX999" i="1"/>
  <c r="BW1000" i="1"/>
  <c r="BX1000" i="1"/>
  <c r="BW1001" i="1"/>
  <c r="BX1001" i="1"/>
  <c r="BW1002" i="1"/>
  <c r="BX1002" i="1"/>
  <c r="BW1003" i="1"/>
  <c r="BX1003" i="1"/>
  <c r="BW1004" i="1"/>
  <c r="BX1004" i="1"/>
  <c r="BW1005" i="1"/>
  <c r="BX1005" i="1"/>
  <c r="BW1006" i="1"/>
  <c r="BX1006" i="1"/>
  <c r="BW1007" i="1"/>
  <c r="BX1007" i="1"/>
  <c r="BW1008" i="1"/>
  <c r="BX1008" i="1"/>
  <c r="BW1009" i="1"/>
  <c r="BX1009" i="1"/>
  <c r="BW1010" i="1"/>
  <c r="BX1010" i="1"/>
  <c r="BW1011" i="1"/>
  <c r="BX1011" i="1"/>
  <c r="BW1012" i="1"/>
  <c r="BX1012" i="1"/>
  <c r="BW1013" i="1"/>
  <c r="BX1013" i="1"/>
  <c r="BW1014" i="1"/>
  <c r="BX1014" i="1"/>
  <c r="BW1015" i="1"/>
  <c r="BX1015" i="1"/>
  <c r="BW1016" i="1"/>
  <c r="BX1016" i="1"/>
  <c r="BW1017" i="1"/>
  <c r="BX1017" i="1"/>
  <c r="BW1018" i="1"/>
  <c r="BX1018" i="1"/>
  <c r="BW1019" i="1"/>
  <c r="BX1019" i="1"/>
  <c r="BW1020" i="1"/>
  <c r="BX1020" i="1"/>
  <c r="BW1021" i="1"/>
  <c r="BX1021" i="1"/>
  <c r="BW1022" i="1"/>
  <c r="BX1022" i="1"/>
  <c r="BW1023" i="1"/>
  <c r="BX1023" i="1"/>
  <c r="BW1024" i="1"/>
  <c r="BX1024" i="1"/>
  <c r="BW1025" i="1"/>
  <c r="BX1025" i="1"/>
  <c r="BW1026" i="1"/>
  <c r="BX1026" i="1"/>
  <c r="BW1027" i="1"/>
  <c r="BX1027" i="1"/>
  <c r="BW1028" i="1"/>
  <c r="BX1028" i="1"/>
  <c r="BW1029" i="1"/>
  <c r="BX1029" i="1"/>
  <c r="BW1030" i="1"/>
  <c r="BX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X1045" i="1"/>
  <c r="BW1046" i="1"/>
  <c r="BX1046" i="1"/>
  <c r="BW1047" i="1"/>
  <c r="BX1047" i="1"/>
  <c r="BW1048" i="1"/>
  <c r="BX1048" i="1"/>
  <c r="BW1049" i="1"/>
  <c r="BX1049" i="1"/>
  <c r="BW1050" i="1"/>
  <c r="BX1050" i="1"/>
  <c r="BW1051" i="1"/>
  <c r="BX1051" i="1"/>
  <c r="BW1052" i="1"/>
  <c r="BX1052" i="1"/>
  <c r="BW1053" i="1"/>
  <c r="BX1053" i="1"/>
  <c r="BW1054" i="1"/>
  <c r="BX1054" i="1"/>
  <c r="BW1055" i="1"/>
  <c r="BX1055" i="1"/>
  <c r="BW1056" i="1"/>
  <c r="BX1056" i="1"/>
  <c r="BW1057" i="1"/>
  <c r="BX1057" i="1"/>
  <c r="BW1058" i="1"/>
  <c r="BX1058" i="1"/>
  <c r="BW1059" i="1"/>
  <c r="BX1059" i="1"/>
  <c r="BW1060" i="1"/>
  <c r="BX1060" i="1"/>
  <c r="BW1061" i="1"/>
  <c r="BX1061" i="1"/>
  <c r="BW1062" i="1"/>
  <c r="BX1062" i="1"/>
  <c r="BW1063" i="1"/>
  <c r="BX1063" i="1"/>
  <c r="BW1064" i="1"/>
  <c r="BX1064" i="1"/>
  <c r="BW1065" i="1"/>
  <c r="BX1065" i="1"/>
  <c r="BW1066" i="1"/>
  <c r="BX1066" i="1"/>
  <c r="BW1067" i="1"/>
  <c r="BX1067" i="1"/>
  <c r="BW1068" i="1"/>
  <c r="BX1068" i="1"/>
  <c r="BW1069" i="1"/>
  <c r="BX1069" i="1"/>
  <c r="BW1070" i="1"/>
  <c r="BX1070" i="1"/>
  <c r="BW1071" i="1"/>
  <c r="BX1071" i="1"/>
  <c r="BW1072" i="1"/>
  <c r="BX1072" i="1"/>
  <c r="BW1073" i="1"/>
  <c r="BX1073" i="1"/>
  <c r="BW1074" i="1"/>
  <c r="BX1074" i="1"/>
  <c r="BW1075" i="1"/>
  <c r="BX1075" i="1"/>
  <c r="BW1076" i="1"/>
  <c r="BX1076" i="1"/>
  <c r="BW1077" i="1"/>
  <c r="BX1077" i="1"/>
  <c r="BW1078" i="1"/>
  <c r="BX1078" i="1"/>
  <c r="BW1079" i="1"/>
  <c r="BX1079" i="1"/>
  <c r="BW1080" i="1"/>
  <c r="BX1080" i="1"/>
  <c r="BW1081" i="1"/>
  <c r="BX1081" i="1"/>
  <c r="BW1082" i="1"/>
  <c r="BX1082" i="1"/>
  <c r="BW1083" i="1"/>
  <c r="BX1083" i="1"/>
  <c r="BW1084" i="1"/>
  <c r="BX1084" i="1"/>
  <c r="BW1085" i="1"/>
  <c r="BX1085" i="1"/>
  <c r="BW1086" i="1"/>
  <c r="BX1086" i="1"/>
  <c r="BW1087" i="1"/>
  <c r="BX1087" i="1"/>
  <c r="BW1088" i="1"/>
  <c r="BX1088" i="1"/>
  <c r="BW1089" i="1"/>
  <c r="BX1089" i="1"/>
  <c r="BW1090" i="1"/>
  <c r="BX1090" i="1"/>
  <c r="BW1091" i="1"/>
  <c r="BX1091" i="1"/>
  <c r="BW1092" i="1"/>
  <c r="BX1092" i="1"/>
  <c r="BW1093" i="1"/>
  <c r="BX1093" i="1"/>
  <c r="BW1094" i="1"/>
  <c r="BX1094" i="1"/>
  <c r="BW1095" i="1"/>
  <c r="BX1095" i="1"/>
  <c r="BW1096" i="1"/>
  <c r="BX1096" i="1"/>
  <c r="BW1097" i="1"/>
  <c r="BX1097" i="1"/>
  <c r="BW1098" i="1"/>
  <c r="BX1098" i="1"/>
  <c r="BW1099" i="1"/>
  <c r="BX1099" i="1"/>
  <c r="BW1100" i="1"/>
  <c r="BX1100" i="1"/>
  <c r="BW1101" i="1"/>
  <c r="BX1101" i="1"/>
  <c r="BW1102" i="1"/>
  <c r="BX1102" i="1"/>
  <c r="BW1103" i="1"/>
  <c r="BX1103" i="1"/>
  <c r="BW1104" i="1"/>
  <c r="BX1104" i="1"/>
  <c r="BW1105" i="1"/>
  <c r="BX1105" i="1"/>
  <c r="BW1106" i="1"/>
  <c r="BX1106" i="1"/>
  <c r="BW1107" i="1"/>
  <c r="BX1107" i="1"/>
  <c r="BW1108" i="1"/>
  <c r="BX1108" i="1"/>
  <c r="BW1109" i="1"/>
  <c r="BX1109" i="1"/>
  <c r="BW1110" i="1"/>
  <c r="BX1110" i="1"/>
  <c r="BW1111" i="1"/>
  <c r="BX1111" i="1"/>
  <c r="BW1112" i="1"/>
  <c r="BX1112" i="1"/>
  <c r="BW1113" i="1"/>
  <c r="BX1113" i="1"/>
  <c r="BW1114" i="1"/>
  <c r="BX1114" i="1"/>
  <c r="BW1115" i="1"/>
  <c r="BX1115" i="1"/>
  <c r="BW1116" i="1"/>
  <c r="BX1116" i="1"/>
  <c r="BW1117" i="1"/>
  <c r="BX1117" i="1"/>
  <c r="BW1118" i="1"/>
  <c r="BX1118" i="1"/>
  <c r="BW1119" i="1"/>
  <c r="BX1119" i="1"/>
  <c r="BW1120" i="1"/>
  <c r="BX1120" i="1"/>
  <c r="BW1121" i="1"/>
  <c r="BX1121" i="1"/>
  <c r="BW797" i="1"/>
  <c r="BX797" i="1"/>
  <c r="BW786" i="1"/>
  <c r="BX786" i="1"/>
  <c r="BW787" i="1"/>
  <c r="BX787" i="1"/>
  <c r="BW1122" i="1"/>
  <c r="BX1122" i="1"/>
  <c r="BW1123" i="1"/>
  <c r="BX1123" i="1"/>
  <c r="BW1124" i="1"/>
  <c r="BX1124" i="1"/>
  <c r="BW1125" i="1"/>
  <c r="BX1125" i="1"/>
  <c r="BW1126" i="1"/>
  <c r="BX1126" i="1"/>
  <c r="BW1127" i="1"/>
  <c r="BX1127" i="1"/>
  <c r="BW1128" i="1"/>
  <c r="BX1128" i="1"/>
  <c r="BW1129" i="1"/>
  <c r="BX1129" i="1"/>
  <c r="BW1130" i="1"/>
  <c r="BX1130" i="1"/>
  <c r="BW1131" i="1"/>
  <c r="BX1131" i="1"/>
  <c r="BW1132" i="1"/>
  <c r="BX1132" i="1"/>
  <c r="BW1133" i="1"/>
  <c r="BX1133" i="1"/>
  <c r="BW1134" i="1"/>
  <c r="BX1134" i="1"/>
  <c r="BW1135" i="1"/>
  <c r="BX1135" i="1"/>
  <c r="BR4" i="1"/>
  <c r="BS4" i="1"/>
  <c r="BR5" i="1"/>
  <c r="BS5" i="1"/>
  <c r="BR6" i="1"/>
  <c r="BS6" i="1"/>
  <c r="BR7" i="1"/>
  <c r="BS7" i="1"/>
  <c r="BS8" i="1"/>
  <c r="BS9" i="1"/>
  <c r="BS10" i="1"/>
  <c r="BS11" i="1"/>
  <c r="BS12" i="1"/>
  <c r="BS13" i="1"/>
  <c r="BR14" i="1"/>
  <c r="BS14" i="1"/>
  <c r="BR15" i="1"/>
  <c r="BS15" i="1"/>
  <c r="BS16" i="1"/>
  <c r="BS17" i="1"/>
  <c r="BS18" i="1"/>
  <c r="BS19" i="1"/>
  <c r="BS21" i="1"/>
  <c r="BS22" i="1"/>
  <c r="BS257" i="1"/>
  <c r="BS23" i="1"/>
  <c r="BS24" i="1"/>
  <c r="BR25" i="1"/>
  <c r="BS25" i="1"/>
  <c r="BS26" i="1"/>
  <c r="BS27" i="1"/>
  <c r="BS28" i="1"/>
  <c r="BS29" i="1"/>
  <c r="BR30" i="1"/>
  <c r="BS30" i="1"/>
  <c r="BR161" i="1"/>
  <c r="BS161" i="1"/>
  <c r="BR33" i="1"/>
  <c r="BS33" i="1"/>
  <c r="BR34" i="1"/>
  <c r="BS34" i="1"/>
  <c r="BR35" i="1"/>
  <c r="BS35" i="1"/>
  <c r="BR36" i="1"/>
  <c r="BS36" i="1"/>
  <c r="BS37" i="1"/>
  <c r="BR363" i="1"/>
  <c r="BS363" i="1"/>
  <c r="BR38" i="1"/>
  <c r="BS38" i="1"/>
  <c r="BR39" i="1"/>
  <c r="BS39" i="1"/>
  <c r="BR40" i="1"/>
  <c r="BS40" i="1"/>
  <c r="BR219" i="1"/>
  <c r="BS219" i="1"/>
  <c r="BR319" i="1"/>
  <c r="BS319" i="1"/>
  <c r="BR41" i="1"/>
  <c r="BS41" i="1"/>
  <c r="BR42" i="1"/>
  <c r="BS42" i="1"/>
  <c r="BR43" i="1"/>
  <c r="BS43" i="1"/>
  <c r="BR44" i="1"/>
  <c r="BS44" i="1"/>
  <c r="BR45" i="1"/>
  <c r="BS45" i="1"/>
  <c r="BR46" i="1"/>
  <c r="BS46" i="1"/>
  <c r="BR47" i="1"/>
  <c r="BS47" i="1"/>
  <c r="BR48" i="1"/>
  <c r="BS48" i="1"/>
  <c r="BR49" i="1"/>
  <c r="BS49" i="1"/>
  <c r="BR50" i="1"/>
  <c r="BS50" i="1"/>
  <c r="BS51" i="1"/>
  <c r="BS52" i="1"/>
  <c r="BS53" i="1"/>
  <c r="BS54" i="1"/>
  <c r="BS55" i="1"/>
  <c r="BS56" i="1"/>
  <c r="BS57" i="1"/>
  <c r="BS58" i="1"/>
  <c r="BR59" i="1"/>
  <c r="BS59" i="1"/>
  <c r="BS60" i="1"/>
  <c r="BS61" i="1"/>
  <c r="BS62" i="1"/>
  <c r="BS63" i="1"/>
  <c r="BS64" i="1"/>
  <c r="BS65" i="1"/>
  <c r="BR66" i="1"/>
  <c r="BS66" i="1"/>
  <c r="BS67" i="1"/>
  <c r="BS70" i="1"/>
  <c r="BS71" i="1"/>
  <c r="BS72" i="1"/>
  <c r="BS73" i="1"/>
  <c r="BS74" i="1"/>
  <c r="BS75" i="1"/>
  <c r="BS76" i="1"/>
  <c r="BR77" i="1"/>
  <c r="BS77" i="1"/>
  <c r="BR78" i="1"/>
  <c r="BS78" i="1"/>
  <c r="BR79" i="1"/>
  <c r="BS79" i="1"/>
  <c r="BR80" i="1"/>
  <c r="BS80" i="1"/>
  <c r="BS81" i="1"/>
  <c r="BR82" i="1"/>
  <c r="BS82" i="1"/>
  <c r="BR83" i="1"/>
  <c r="BS83" i="1"/>
  <c r="BR84" i="1"/>
  <c r="BS84" i="1"/>
  <c r="BR85" i="1"/>
  <c r="BS85" i="1"/>
  <c r="BR86" i="1"/>
  <c r="BS86" i="1"/>
  <c r="BR87" i="1"/>
  <c r="BS87" i="1"/>
  <c r="BR88" i="1"/>
  <c r="BS88" i="1"/>
  <c r="BR89" i="1"/>
  <c r="BS89" i="1"/>
  <c r="BR90" i="1"/>
  <c r="BS90" i="1"/>
  <c r="BR91" i="1"/>
  <c r="BS91" i="1"/>
  <c r="BR92" i="1"/>
  <c r="BS92" i="1"/>
  <c r="BR94" i="1"/>
  <c r="BS94" i="1"/>
  <c r="BR95" i="1"/>
  <c r="BS95" i="1"/>
  <c r="BR96" i="1"/>
  <c r="BS96" i="1"/>
  <c r="BR97" i="1"/>
  <c r="BS97" i="1"/>
  <c r="BS98" i="1"/>
  <c r="BS240" i="1"/>
  <c r="BS99" i="1"/>
  <c r="BS100" i="1"/>
  <c r="BS101" i="1"/>
  <c r="BS102" i="1"/>
  <c r="BS103" i="1"/>
  <c r="BS104" i="1"/>
  <c r="BS341" i="1"/>
  <c r="BS105" i="1"/>
  <c r="BS106" i="1"/>
  <c r="BS107" i="1"/>
  <c r="BS108" i="1"/>
  <c r="BS109" i="1"/>
  <c r="BS110" i="1"/>
  <c r="BS111" i="1"/>
  <c r="BS68" i="1"/>
  <c r="BS69" i="1"/>
  <c r="BS112" i="1"/>
  <c r="BS113" i="1"/>
  <c r="BR114" i="1"/>
  <c r="BS114" i="1"/>
  <c r="BR115" i="1"/>
  <c r="BS115" i="1"/>
  <c r="BR116" i="1"/>
  <c r="BS116" i="1"/>
  <c r="BR117" i="1"/>
  <c r="BS117" i="1"/>
  <c r="BR118" i="1"/>
  <c r="BS118" i="1"/>
  <c r="BR119" i="1"/>
  <c r="BS119" i="1"/>
  <c r="BR120" i="1"/>
  <c r="BS120" i="1"/>
  <c r="BR121" i="1"/>
  <c r="BS121" i="1"/>
  <c r="BR122" i="1"/>
  <c r="BS122" i="1"/>
  <c r="BR123" i="1"/>
  <c r="BS123" i="1"/>
  <c r="BR124" i="1"/>
  <c r="BS124" i="1"/>
  <c r="BR125" i="1"/>
  <c r="BS125" i="1"/>
  <c r="BR126" i="1"/>
  <c r="BS126" i="1"/>
  <c r="BS127" i="1"/>
  <c r="BR128" i="1"/>
  <c r="BS128" i="1"/>
  <c r="BR129" i="1"/>
  <c r="BS129" i="1"/>
  <c r="BR130" i="1"/>
  <c r="BS130" i="1"/>
  <c r="BR131" i="1"/>
  <c r="BS131" i="1"/>
  <c r="BR132" i="1"/>
  <c r="BS132" i="1"/>
  <c r="BR133" i="1"/>
  <c r="BS133" i="1"/>
  <c r="BR134" i="1"/>
  <c r="BS134" i="1"/>
  <c r="BR135" i="1"/>
  <c r="BS135" i="1"/>
  <c r="BR136" i="1"/>
  <c r="BS136" i="1"/>
  <c r="BR137" i="1"/>
  <c r="BS137" i="1"/>
  <c r="BR138" i="1"/>
  <c r="BS138" i="1"/>
  <c r="BR139" i="1"/>
  <c r="BS139" i="1"/>
  <c r="BS140" i="1"/>
  <c r="BS237" i="1"/>
  <c r="BR141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R155" i="1"/>
  <c r="BS155" i="1"/>
  <c r="BS156" i="1"/>
  <c r="BS157" i="1"/>
  <c r="BS158" i="1"/>
  <c r="BR159" i="1"/>
  <c r="BS159" i="1"/>
  <c r="BS160" i="1"/>
  <c r="BR162" i="1"/>
  <c r="BS162" i="1"/>
  <c r="BR163" i="1"/>
  <c r="BS163" i="1"/>
  <c r="BR164" i="1"/>
  <c r="BS164" i="1"/>
  <c r="BR165" i="1"/>
  <c r="BS165" i="1"/>
  <c r="BS166" i="1"/>
  <c r="BR167" i="1"/>
  <c r="BS167" i="1"/>
  <c r="BS168" i="1"/>
  <c r="BS169" i="1"/>
  <c r="BS170" i="1"/>
  <c r="BR171" i="1"/>
  <c r="BS171" i="1"/>
  <c r="BR172" i="1"/>
  <c r="BS172" i="1"/>
  <c r="BR173" i="1"/>
  <c r="BS173" i="1"/>
  <c r="BR174" i="1"/>
  <c r="BS174" i="1"/>
  <c r="BR175" i="1"/>
  <c r="BS175" i="1"/>
  <c r="BR176" i="1"/>
  <c r="BS176" i="1"/>
  <c r="BR675" i="1"/>
  <c r="BS675" i="1"/>
  <c r="BR178" i="1"/>
  <c r="BS178" i="1"/>
  <c r="BR179" i="1"/>
  <c r="BS179" i="1"/>
  <c r="BR180" i="1"/>
  <c r="BS180" i="1"/>
  <c r="BR181" i="1"/>
  <c r="BS181" i="1"/>
  <c r="BR182" i="1"/>
  <c r="BS182" i="1"/>
  <c r="BR183" i="1"/>
  <c r="BS183" i="1"/>
  <c r="BR184" i="1"/>
  <c r="BS184" i="1"/>
  <c r="BR185" i="1"/>
  <c r="BS185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691" i="1"/>
  <c r="BS203" i="1"/>
  <c r="BS204" i="1"/>
  <c r="BS206" i="1"/>
  <c r="BS207" i="1"/>
  <c r="BS208" i="1"/>
  <c r="BR209" i="1"/>
  <c r="BS209" i="1"/>
  <c r="BR210" i="1"/>
  <c r="BS210" i="1"/>
  <c r="BR211" i="1"/>
  <c r="BS211" i="1"/>
  <c r="BR485" i="1"/>
  <c r="BS485" i="1"/>
  <c r="BS213" i="1"/>
  <c r="BS214" i="1"/>
  <c r="BR215" i="1"/>
  <c r="BS215" i="1"/>
  <c r="BR216" i="1"/>
  <c r="BS216" i="1"/>
  <c r="BR217" i="1"/>
  <c r="BS217" i="1"/>
  <c r="BS218" i="1"/>
  <c r="BR220" i="1"/>
  <c r="BS220" i="1"/>
  <c r="BR221" i="1"/>
  <c r="BS221" i="1"/>
  <c r="BR222" i="1"/>
  <c r="BS222" i="1"/>
  <c r="BR672" i="1"/>
  <c r="BS672" i="1"/>
  <c r="BR224" i="1"/>
  <c r="BS224" i="1"/>
  <c r="BR225" i="1"/>
  <c r="BS225" i="1"/>
  <c r="BR226" i="1"/>
  <c r="BS226" i="1"/>
  <c r="BR227" i="1"/>
  <c r="BS227" i="1"/>
  <c r="BR228" i="1"/>
  <c r="BS228" i="1"/>
  <c r="BR229" i="1"/>
  <c r="BS229" i="1"/>
  <c r="BR230" i="1"/>
  <c r="BS230" i="1"/>
  <c r="BR231" i="1"/>
  <c r="BS231" i="1"/>
  <c r="BR232" i="1"/>
  <c r="BS232" i="1"/>
  <c r="BR233" i="1"/>
  <c r="BS233" i="1"/>
  <c r="BS234" i="1"/>
  <c r="BS235" i="1"/>
  <c r="BS236" i="1"/>
  <c r="BS238" i="1"/>
  <c r="BS239" i="1"/>
  <c r="BS241" i="1"/>
  <c r="BS242" i="1"/>
  <c r="BS289" i="1"/>
  <c r="BS243" i="1"/>
  <c r="BS244" i="1"/>
  <c r="BS245" i="1"/>
  <c r="BS246" i="1"/>
  <c r="BS247" i="1"/>
  <c r="BS248" i="1"/>
  <c r="BS249" i="1"/>
  <c r="BS481" i="1"/>
  <c r="BS250" i="1"/>
  <c r="BS205" i="1"/>
  <c r="BS251" i="1"/>
  <c r="BS252" i="1"/>
  <c r="BS253" i="1"/>
  <c r="BS254" i="1"/>
  <c r="BS255" i="1"/>
  <c r="BS256" i="1"/>
  <c r="BS258" i="1"/>
  <c r="BR709" i="1"/>
  <c r="BS709" i="1"/>
  <c r="BS259" i="1"/>
  <c r="BS260" i="1"/>
  <c r="BS261" i="1"/>
  <c r="BS262" i="1"/>
  <c r="BS263" i="1"/>
  <c r="BR264" i="1"/>
  <c r="BS264" i="1"/>
  <c r="BR265" i="1"/>
  <c r="BS265" i="1"/>
  <c r="BR266" i="1"/>
  <c r="BS266" i="1"/>
  <c r="BR267" i="1"/>
  <c r="BS267" i="1"/>
  <c r="BR268" i="1"/>
  <c r="BS268" i="1"/>
  <c r="BR269" i="1"/>
  <c r="BS269" i="1"/>
  <c r="BR270" i="1"/>
  <c r="BS270" i="1"/>
  <c r="BR271" i="1"/>
  <c r="BS271" i="1"/>
  <c r="BR223" i="1"/>
  <c r="BS223" i="1"/>
  <c r="BR272" i="1"/>
  <c r="BS272" i="1"/>
  <c r="BR273" i="1"/>
  <c r="BS273" i="1"/>
  <c r="BR274" i="1"/>
  <c r="BS274" i="1"/>
  <c r="BR275" i="1"/>
  <c r="BS275" i="1"/>
  <c r="BR276" i="1"/>
  <c r="BS276" i="1"/>
  <c r="BR277" i="1"/>
  <c r="BS277" i="1"/>
  <c r="BR278" i="1"/>
  <c r="BS278" i="1"/>
  <c r="BR279" i="1"/>
  <c r="BS279" i="1"/>
  <c r="BR280" i="1"/>
  <c r="BS280" i="1"/>
  <c r="BR281" i="1"/>
  <c r="BS281" i="1"/>
  <c r="BR282" i="1"/>
  <c r="BS282" i="1"/>
  <c r="BR283" i="1"/>
  <c r="BS283" i="1"/>
  <c r="BS284" i="1"/>
  <c r="BS285" i="1"/>
  <c r="BS286" i="1"/>
  <c r="BS287" i="1"/>
  <c r="BS288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R311" i="1"/>
  <c r="BS311" i="1"/>
  <c r="BS312" i="1"/>
  <c r="BS313" i="1"/>
  <c r="BS314" i="1"/>
  <c r="BS315" i="1"/>
  <c r="BR316" i="1"/>
  <c r="BS316" i="1"/>
  <c r="BR317" i="1"/>
  <c r="BS317" i="1"/>
  <c r="BR318" i="1"/>
  <c r="BS318" i="1"/>
  <c r="BR320" i="1"/>
  <c r="BS320" i="1"/>
  <c r="BR321" i="1"/>
  <c r="BS321" i="1"/>
  <c r="BR322" i="1"/>
  <c r="BS322" i="1"/>
  <c r="BR323" i="1"/>
  <c r="BS323" i="1"/>
  <c r="BR324" i="1"/>
  <c r="BS324" i="1"/>
  <c r="BR325" i="1"/>
  <c r="BS325" i="1"/>
  <c r="BR326" i="1"/>
  <c r="BS326" i="1"/>
  <c r="BR327" i="1"/>
  <c r="BS327" i="1"/>
  <c r="BR328" i="1"/>
  <c r="BS328" i="1"/>
  <c r="BR329" i="1"/>
  <c r="BS329" i="1"/>
  <c r="BR330" i="1"/>
  <c r="BS330" i="1"/>
  <c r="BS331" i="1"/>
  <c r="BS332" i="1"/>
  <c r="BS333" i="1"/>
  <c r="BS334" i="1"/>
  <c r="BS335" i="1"/>
  <c r="BS336" i="1"/>
  <c r="BS337" i="1"/>
  <c r="BS689" i="1"/>
  <c r="BS338" i="1"/>
  <c r="BS339" i="1"/>
  <c r="BS340" i="1"/>
  <c r="BS342" i="1"/>
  <c r="BS343" i="1"/>
  <c r="BS344" i="1"/>
  <c r="BS345" i="1"/>
  <c r="BS346" i="1"/>
  <c r="BS699" i="1"/>
  <c r="BS347" i="1"/>
  <c r="BS348" i="1"/>
  <c r="BS349" i="1"/>
  <c r="BS350" i="1"/>
  <c r="BS351" i="1"/>
  <c r="BS352" i="1"/>
  <c r="BS353" i="1"/>
  <c r="BS354" i="1"/>
  <c r="BS355" i="1"/>
  <c r="BR356" i="1"/>
  <c r="BS356" i="1"/>
  <c r="BS357" i="1"/>
  <c r="BR358" i="1"/>
  <c r="BS358" i="1"/>
  <c r="BS359" i="1"/>
  <c r="BS360" i="1"/>
  <c r="BS361" i="1"/>
  <c r="BR716" i="1"/>
  <c r="BS716" i="1"/>
  <c r="BR362" i="1"/>
  <c r="BS362" i="1"/>
  <c r="BR364" i="1"/>
  <c r="BS364" i="1"/>
  <c r="BR365" i="1"/>
  <c r="BS365" i="1"/>
  <c r="BR366" i="1"/>
  <c r="BS366" i="1"/>
  <c r="BR367" i="1"/>
  <c r="BS367" i="1"/>
  <c r="BR368" i="1"/>
  <c r="BS368" i="1"/>
  <c r="BR369" i="1"/>
  <c r="BS369" i="1"/>
  <c r="BR370" i="1"/>
  <c r="BS370" i="1"/>
  <c r="BR371" i="1"/>
  <c r="BS371" i="1"/>
  <c r="BR372" i="1"/>
  <c r="BS372" i="1"/>
  <c r="BR373" i="1"/>
  <c r="BS373" i="1"/>
  <c r="BR374" i="1"/>
  <c r="BS374" i="1"/>
  <c r="BR375" i="1"/>
  <c r="BS375" i="1"/>
  <c r="BR376" i="1"/>
  <c r="BS376" i="1"/>
  <c r="BR377" i="1"/>
  <c r="BS377" i="1"/>
  <c r="BR378" i="1"/>
  <c r="BS378" i="1"/>
  <c r="BR381" i="1"/>
  <c r="BS381" i="1"/>
  <c r="BR382" i="1"/>
  <c r="BS382" i="1"/>
  <c r="BR383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R396" i="1"/>
  <c r="BS396" i="1"/>
  <c r="BR397" i="1"/>
  <c r="BS397" i="1"/>
  <c r="BS398" i="1"/>
  <c r="BS399" i="1"/>
  <c r="BR400" i="1"/>
  <c r="BS400" i="1"/>
  <c r="BR401" i="1"/>
  <c r="BS401" i="1"/>
  <c r="BR402" i="1"/>
  <c r="BS402" i="1"/>
  <c r="BR403" i="1"/>
  <c r="BS403" i="1"/>
  <c r="BR404" i="1"/>
  <c r="BS404" i="1"/>
  <c r="BR405" i="1"/>
  <c r="BS405" i="1"/>
  <c r="BR406" i="1"/>
  <c r="BS406" i="1"/>
  <c r="BR407" i="1"/>
  <c r="BS407" i="1"/>
  <c r="BR408" i="1"/>
  <c r="BS408" i="1"/>
  <c r="BS212" i="1"/>
  <c r="BR409" i="1"/>
  <c r="BS409" i="1"/>
  <c r="BR410" i="1"/>
  <c r="BS410" i="1"/>
  <c r="BR411" i="1"/>
  <c r="BS411" i="1"/>
  <c r="BR412" i="1"/>
  <c r="BS412" i="1"/>
  <c r="BR413" i="1"/>
  <c r="BS413" i="1"/>
  <c r="BR414" i="1"/>
  <c r="BS414" i="1"/>
  <c r="BR415" i="1"/>
  <c r="BS415" i="1"/>
  <c r="BR416" i="1"/>
  <c r="BS416" i="1"/>
  <c r="BR177" i="1"/>
  <c r="BS177" i="1"/>
  <c r="BR417" i="1"/>
  <c r="BS417" i="1"/>
  <c r="BR418" i="1"/>
  <c r="BS418" i="1"/>
  <c r="BR419" i="1"/>
  <c r="BS419" i="1"/>
  <c r="BR420" i="1"/>
  <c r="BS420" i="1"/>
  <c r="BR421" i="1"/>
  <c r="BS421" i="1"/>
  <c r="BR422" i="1"/>
  <c r="BS422" i="1"/>
  <c r="BR423" i="1"/>
  <c r="BS423" i="1"/>
  <c r="BR424" i="1"/>
  <c r="BS424" i="1"/>
  <c r="BR425" i="1"/>
  <c r="BS425" i="1"/>
  <c r="BR426" i="1"/>
  <c r="BS426" i="1"/>
  <c r="BR427" i="1"/>
  <c r="BS427" i="1"/>
  <c r="BR428" i="1"/>
  <c r="BS428" i="1"/>
  <c r="BR429" i="1"/>
  <c r="BS429" i="1"/>
  <c r="BR430" i="1"/>
  <c r="BS430" i="1"/>
  <c r="BR431" i="1"/>
  <c r="BS431" i="1"/>
  <c r="BR432" i="1"/>
  <c r="BS432" i="1"/>
  <c r="BR186" i="1"/>
  <c r="BS186" i="1"/>
  <c r="BR433" i="1"/>
  <c r="BS433" i="1"/>
  <c r="BS434" i="1"/>
  <c r="BS435" i="1"/>
  <c r="BS436" i="1"/>
  <c r="BS437" i="1"/>
  <c r="BS438" i="1"/>
  <c r="BS440" i="1"/>
  <c r="BS441" i="1"/>
  <c r="BS442" i="1"/>
  <c r="BS443" i="1"/>
  <c r="BS444" i="1"/>
  <c r="BS445" i="1"/>
  <c r="BS446" i="1"/>
  <c r="BS447" i="1"/>
  <c r="BS448" i="1"/>
  <c r="BS449" i="1"/>
  <c r="BR450" i="1"/>
  <c r="BS450" i="1"/>
  <c r="BR451" i="1"/>
  <c r="BS451" i="1"/>
  <c r="BR452" i="1"/>
  <c r="BS452" i="1"/>
  <c r="BR453" i="1"/>
  <c r="BS453" i="1"/>
  <c r="BR454" i="1"/>
  <c r="BS454" i="1"/>
  <c r="BR455" i="1"/>
  <c r="BS455" i="1"/>
  <c r="BR456" i="1"/>
  <c r="BS456" i="1"/>
  <c r="BR457" i="1"/>
  <c r="BS457" i="1"/>
  <c r="BR93" i="1"/>
  <c r="BS93" i="1"/>
  <c r="BR458" i="1"/>
  <c r="BS458" i="1"/>
  <c r="BR379" i="1"/>
  <c r="BS379" i="1"/>
  <c r="BR380" i="1"/>
  <c r="BS380" i="1"/>
  <c r="BR460" i="1"/>
  <c r="BS460" i="1"/>
  <c r="BR461" i="1"/>
  <c r="BS461" i="1"/>
  <c r="BS462" i="1"/>
  <c r="BR439" i="1"/>
  <c r="BS439" i="1"/>
  <c r="BS463" i="1"/>
  <c r="BS464" i="1"/>
  <c r="BR465" i="1"/>
  <c r="BS465" i="1"/>
  <c r="BR466" i="1"/>
  <c r="BS466" i="1"/>
  <c r="BR467" i="1"/>
  <c r="BS467" i="1"/>
  <c r="BS20" i="1"/>
  <c r="BR469" i="1"/>
  <c r="BS469" i="1"/>
  <c r="BS470" i="1"/>
  <c r="BS472" i="1"/>
  <c r="BR473" i="1"/>
  <c r="BS473" i="1"/>
  <c r="BR474" i="1"/>
  <c r="BS474" i="1"/>
  <c r="BR31" i="1"/>
  <c r="BS31" i="1"/>
  <c r="BR476" i="1"/>
  <c r="BS476" i="1"/>
  <c r="BR32" i="1"/>
  <c r="BS32" i="1"/>
  <c r="BR477" i="1"/>
  <c r="BS477" i="1"/>
  <c r="BR478" i="1"/>
  <c r="BS478" i="1"/>
  <c r="BR479" i="1"/>
  <c r="BS479" i="1"/>
  <c r="BR480" i="1"/>
  <c r="BS480" i="1"/>
  <c r="BS482" i="1"/>
  <c r="BS483" i="1"/>
  <c r="BS471" i="1"/>
  <c r="BR475" i="1"/>
  <c r="BS475" i="1"/>
  <c r="BR484" i="1"/>
  <c r="BS484" i="1"/>
  <c r="BR486" i="1"/>
  <c r="BS486" i="1"/>
  <c r="BR489" i="1"/>
  <c r="BS489" i="1"/>
  <c r="BR490" i="1"/>
  <c r="BS490" i="1"/>
  <c r="BR491" i="1"/>
  <c r="BS491" i="1"/>
  <c r="BR492" i="1"/>
  <c r="BS492" i="1"/>
  <c r="BR493" i="1"/>
  <c r="BS493" i="1"/>
  <c r="BR459" i="1"/>
  <c r="BS459" i="1"/>
  <c r="BR494" i="1"/>
  <c r="BS494" i="1"/>
  <c r="BR495" i="1"/>
  <c r="BS495" i="1"/>
  <c r="BS496" i="1"/>
  <c r="BS497" i="1"/>
  <c r="BS498" i="1"/>
  <c r="BR499" i="1"/>
  <c r="BS499" i="1"/>
  <c r="BS500" i="1"/>
  <c r="BS501" i="1"/>
  <c r="BR502" i="1"/>
  <c r="BS502" i="1"/>
  <c r="BS503" i="1"/>
  <c r="BR504" i="1"/>
  <c r="BS504" i="1"/>
  <c r="BR468" i="1"/>
  <c r="BS468" i="1"/>
  <c r="BS506" i="1"/>
  <c r="BS507" i="1"/>
  <c r="BR510" i="1"/>
  <c r="BS510" i="1"/>
  <c r="BR514" i="1"/>
  <c r="BS514" i="1"/>
  <c r="BR516" i="1"/>
  <c r="BS516" i="1"/>
  <c r="BR517" i="1"/>
  <c r="BS517" i="1"/>
  <c r="BR518" i="1"/>
  <c r="BS518" i="1"/>
  <c r="BR519" i="1"/>
  <c r="BS519" i="1"/>
  <c r="BR520" i="1"/>
  <c r="BS520" i="1"/>
  <c r="BS521" i="1"/>
  <c r="BR522" i="1"/>
  <c r="BS522" i="1"/>
  <c r="BR523" i="1"/>
  <c r="BS523" i="1"/>
  <c r="BR524" i="1"/>
  <c r="BS524" i="1"/>
  <c r="BR525" i="1"/>
  <c r="BS525" i="1"/>
  <c r="BR526" i="1"/>
  <c r="BS526" i="1"/>
  <c r="BR527" i="1"/>
  <c r="BS527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11" i="1"/>
  <c r="BS511" i="1"/>
  <c r="BR550" i="1"/>
  <c r="BS550" i="1"/>
  <c r="BR551" i="1"/>
  <c r="BS551" i="1"/>
  <c r="BR552" i="1"/>
  <c r="BS552" i="1"/>
  <c r="BR553" i="1"/>
  <c r="BS553" i="1"/>
  <c r="BR512" i="1"/>
  <c r="BS512" i="1"/>
  <c r="BR513" i="1"/>
  <c r="BS51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15" i="1"/>
  <c r="BS515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BR579" i="1"/>
  <c r="BS579" i="1"/>
  <c r="BR580" i="1"/>
  <c r="BS580" i="1"/>
  <c r="BR581" i="1"/>
  <c r="BS581" i="1"/>
  <c r="BR582" i="1"/>
  <c r="BS582" i="1"/>
  <c r="BR583" i="1"/>
  <c r="BS583" i="1"/>
  <c r="BR584" i="1"/>
  <c r="BS584" i="1"/>
  <c r="BR585" i="1"/>
  <c r="BS585" i="1"/>
  <c r="BR586" i="1"/>
  <c r="BS586" i="1"/>
  <c r="BR587" i="1"/>
  <c r="BS587" i="1"/>
  <c r="BR588" i="1"/>
  <c r="BS588" i="1"/>
  <c r="BR589" i="1"/>
  <c r="BS589" i="1"/>
  <c r="BR590" i="1"/>
  <c r="BS590" i="1"/>
  <c r="BR591" i="1"/>
  <c r="BS591" i="1"/>
  <c r="BR592" i="1"/>
  <c r="BS592" i="1"/>
  <c r="BR593" i="1"/>
  <c r="BS593" i="1"/>
  <c r="BR594" i="1"/>
  <c r="BS594" i="1"/>
  <c r="BR595" i="1"/>
  <c r="BS595" i="1"/>
  <c r="BR596" i="1"/>
  <c r="BS596" i="1"/>
  <c r="BR597" i="1"/>
  <c r="BS597" i="1"/>
  <c r="BR598" i="1"/>
  <c r="BS598" i="1"/>
  <c r="BR599" i="1"/>
  <c r="BS599" i="1"/>
  <c r="BR600" i="1"/>
  <c r="BS600" i="1"/>
  <c r="BR601" i="1"/>
  <c r="BS601" i="1"/>
  <c r="BR602" i="1"/>
  <c r="BS602" i="1"/>
  <c r="BR603" i="1"/>
  <c r="BS603" i="1"/>
  <c r="BR604" i="1"/>
  <c r="BS604" i="1"/>
  <c r="BR605" i="1"/>
  <c r="BS605" i="1"/>
  <c r="BR606" i="1"/>
  <c r="BS606" i="1"/>
  <c r="BR607" i="1"/>
  <c r="BS607" i="1"/>
  <c r="BR608" i="1"/>
  <c r="BS608" i="1"/>
  <c r="BR609" i="1"/>
  <c r="BS609" i="1"/>
  <c r="BR610" i="1"/>
  <c r="BS610" i="1"/>
  <c r="BR611" i="1"/>
  <c r="BS611" i="1"/>
  <c r="BR612" i="1"/>
  <c r="BS612" i="1"/>
  <c r="BR613" i="1"/>
  <c r="BS613" i="1"/>
  <c r="BR614" i="1"/>
  <c r="BS614" i="1"/>
  <c r="BR615" i="1"/>
  <c r="BS615" i="1"/>
  <c r="BR616" i="1"/>
  <c r="BS616" i="1"/>
  <c r="BR617" i="1"/>
  <c r="BS617" i="1"/>
  <c r="BR618" i="1"/>
  <c r="BS618" i="1"/>
  <c r="BR619" i="1"/>
  <c r="BS619" i="1"/>
  <c r="BR620" i="1"/>
  <c r="BS620" i="1"/>
  <c r="BR621" i="1"/>
  <c r="BS621" i="1"/>
  <c r="BR622" i="1"/>
  <c r="BS622" i="1"/>
  <c r="BR623" i="1"/>
  <c r="BS623" i="1"/>
  <c r="BR624" i="1"/>
  <c r="BS624" i="1"/>
  <c r="BR625" i="1"/>
  <c r="BS625" i="1"/>
  <c r="BR626" i="1"/>
  <c r="BS626" i="1"/>
  <c r="BR627" i="1"/>
  <c r="BS627" i="1"/>
  <c r="BR628" i="1"/>
  <c r="BS628" i="1"/>
  <c r="BR629" i="1"/>
  <c r="BS629" i="1"/>
  <c r="BR630" i="1"/>
  <c r="BS630" i="1"/>
  <c r="BR631" i="1"/>
  <c r="BS631" i="1"/>
  <c r="BR632" i="1"/>
  <c r="BS632" i="1"/>
  <c r="BR633" i="1"/>
  <c r="BS633" i="1"/>
  <c r="BR634" i="1"/>
  <c r="BS634" i="1"/>
  <c r="BR635" i="1"/>
  <c r="BS635" i="1"/>
  <c r="BR636" i="1"/>
  <c r="BS636" i="1"/>
  <c r="BR637" i="1"/>
  <c r="BS637" i="1"/>
  <c r="BR638" i="1"/>
  <c r="BS638" i="1"/>
  <c r="BR639" i="1"/>
  <c r="BS639" i="1"/>
  <c r="BR640" i="1"/>
  <c r="BS640" i="1"/>
  <c r="BR641" i="1"/>
  <c r="BS641" i="1"/>
  <c r="BR642" i="1"/>
  <c r="BS642" i="1"/>
  <c r="BR643" i="1"/>
  <c r="BS643" i="1"/>
  <c r="BR644" i="1"/>
  <c r="BS644" i="1"/>
  <c r="BR645" i="1"/>
  <c r="BS645" i="1"/>
  <c r="BR646" i="1"/>
  <c r="BS646" i="1"/>
  <c r="BR647" i="1"/>
  <c r="BS647" i="1"/>
  <c r="BR648" i="1"/>
  <c r="BS648" i="1"/>
  <c r="BR649" i="1"/>
  <c r="BS649" i="1"/>
  <c r="BR650" i="1"/>
  <c r="BS650" i="1"/>
  <c r="BR651" i="1"/>
  <c r="BS651" i="1"/>
  <c r="BR652" i="1"/>
  <c r="BS652" i="1"/>
  <c r="BR653" i="1"/>
  <c r="BS653" i="1"/>
  <c r="BR654" i="1"/>
  <c r="BS654" i="1"/>
  <c r="BR655" i="1"/>
  <c r="BS655" i="1"/>
  <c r="BR656" i="1"/>
  <c r="BS656" i="1"/>
  <c r="BR657" i="1"/>
  <c r="BS657" i="1"/>
  <c r="BR658" i="1"/>
  <c r="BS658" i="1"/>
  <c r="BR659" i="1"/>
  <c r="BS659" i="1"/>
  <c r="BR660" i="1"/>
  <c r="BS660" i="1"/>
  <c r="BR661" i="1"/>
  <c r="BS661" i="1"/>
  <c r="BR662" i="1"/>
  <c r="BS662" i="1"/>
  <c r="BR663" i="1"/>
  <c r="BS663" i="1"/>
  <c r="BR664" i="1"/>
  <c r="BS664" i="1"/>
  <c r="BR665" i="1"/>
  <c r="BS665" i="1"/>
  <c r="BR666" i="1"/>
  <c r="BS666" i="1"/>
  <c r="BR667" i="1"/>
  <c r="BS667" i="1"/>
  <c r="BR668" i="1"/>
  <c r="BS668" i="1"/>
  <c r="BR669" i="1"/>
  <c r="BS669" i="1"/>
  <c r="BR487" i="1"/>
  <c r="BS487" i="1"/>
  <c r="BR488" i="1"/>
  <c r="BS488" i="1"/>
  <c r="BR670" i="1"/>
  <c r="BS670" i="1"/>
  <c r="BR671" i="1"/>
  <c r="BS671" i="1"/>
  <c r="BR673" i="1"/>
  <c r="BS673" i="1"/>
  <c r="BR674" i="1"/>
  <c r="BS674" i="1"/>
  <c r="BR676" i="1"/>
  <c r="BS676" i="1"/>
  <c r="BR677" i="1"/>
  <c r="BS677" i="1"/>
  <c r="BR678" i="1"/>
  <c r="BS678" i="1"/>
  <c r="BR679" i="1"/>
  <c r="BS679" i="1"/>
  <c r="BR680" i="1"/>
  <c r="BS680" i="1"/>
  <c r="BR681" i="1"/>
  <c r="BS681" i="1"/>
  <c r="BR682" i="1"/>
  <c r="BS682" i="1"/>
  <c r="BR683" i="1"/>
  <c r="BS683" i="1"/>
  <c r="BR684" i="1"/>
  <c r="BS684" i="1"/>
  <c r="BS685" i="1"/>
  <c r="BS686" i="1"/>
  <c r="BS687" i="1"/>
  <c r="BS688" i="1"/>
  <c r="BS690" i="1"/>
  <c r="BS692" i="1"/>
  <c r="BS693" i="1"/>
  <c r="BS694" i="1"/>
  <c r="BS695" i="1"/>
  <c r="BS505" i="1"/>
  <c r="BS696" i="1"/>
  <c r="BS697" i="1"/>
  <c r="BS698" i="1"/>
  <c r="BS508" i="1"/>
  <c r="BS700" i="1"/>
  <c r="BS509" i="1"/>
  <c r="BS701" i="1"/>
  <c r="BS702" i="1"/>
  <c r="BS703" i="1"/>
  <c r="BS704" i="1"/>
  <c r="BS705" i="1"/>
  <c r="BS706" i="1"/>
  <c r="BR707" i="1"/>
  <c r="BS707" i="1"/>
  <c r="BR708" i="1"/>
  <c r="BS708" i="1"/>
  <c r="BS710" i="1"/>
  <c r="BS711" i="1"/>
  <c r="BS712" i="1"/>
  <c r="BS713" i="1"/>
  <c r="BS714" i="1"/>
  <c r="BS715" i="1"/>
  <c r="BR717" i="1"/>
  <c r="BS717" i="1"/>
  <c r="BR718" i="1"/>
  <c r="BS718" i="1"/>
  <c r="BR719" i="1"/>
  <c r="BS719" i="1"/>
  <c r="BR720" i="1"/>
  <c r="BS720" i="1"/>
  <c r="BR721" i="1"/>
  <c r="BS721" i="1"/>
  <c r="BR722" i="1"/>
  <c r="BS722" i="1"/>
  <c r="BR723" i="1"/>
  <c r="BS723" i="1"/>
  <c r="BR724" i="1"/>
  <c r="BS724" i="1"/>
  <c r="BR725" i="1"/>
  <c r="BS725" i="1"/>
  <c r="BR726" i="1"/>
  <c r="BS726" i="1"/>
  <c r="BR727" i="1"/>
  <c r="BS727" i="1"/>
  <c r="BR728" i="1"/>
  <c r="BS728" i="1"/>
  <c r="BR729" i="1"/>
  <c r="BS729" i="1"/>
  <c r="BR730" i="1"/>
  <c r="BS730" i="1"/>
  <c r="BR731" i="1"/>
  <c r="BS731" i="1"/>
  <c r="BR732" i="1"/>
  <c r="BS732" i="1"/>
  <c r="BR733" i="1"/>
  <c r="BS733" i="1"/>
  <c r="BR734" i="1"/>
  <c r="BS734" i="1"/>
  <c r="BR735" i="1"/>
  <c r="BS735" i="1"/>
  <c r="BR736" i="1"/>
  <c r="BS736" i="1"/>
  <c r="BR737" i="1"/>
  <c r="BS737" i="1"/>
  <c r="BR738" i="1"/>
  <c r="BS738" i="1"/>
  <c r="BR739" i="1"/>
  <c r="BS739" i="1"/>
  <c r="BR740" i="1"/>
  <c r="BS740" i="1"/>
  <c r="BR741" i="1"/>
  <c r="BS741" i="1"/>
  <c r="BR742" i="1"/>
  <c r="BS742" i="1"/>
  <c r="BR743" i="1"/>
  <c r="BS743" i="1"/>
  <c r="BR744" i="1"/>
  <c r="BS744" i="1"/>
  <c r="BR745" i="1"/>
  <c r="BS745" i="1"/>
  <c r="BR746" i="1"/>
  <c r="BS746" i="1"/>
  <c r="BR747" i="1"/>
  <c r="BS747" i="1"/>
  <c r="BR748" i="1"/>
  <c r="BS748" i="1"/>
  <c r="BR749" i="1"/>
  <c r="BS749" i="1"/>
  <c r="BR750" i="1"/>
  <c r="BS750" i="1"/>
  <c r="BR751" i="1"/>
  <c r="BS751" i="1"/>
  <c r="BR752" i="1"/>
  <c r="BS752" i="1"/>
  <c r="BR753" i="1"/>
  <c r="BS753" i="1"/>
  <c r="BR754" i="1"/>
  <c r="BS754" i="1"/>
  <c r="BR755" i="1"/>
  <c r="BS755" i="1"/>
  <c r="BR756" i="1"/>
  <c r="BS756" i="1"/>
  <c r="BR757" i="1"/>
  <c r="BS757" i="1"/>
  <c r="BR758" i="1"/>
  <c r="BS758" i="1"/>
  <c r="BR759" i="1"/>
  <c r="BS759" i="1"/>
  <c r="BR760" i="1"/>
  <c r="BS760" i="1"/>
  <c r="BR761" i="1"/>
  <c r="BS761" i="1"/>
  <c r="BR762" i="1"/>
  <c r="BS762" i="1"/>
  <c r="BR763" i="1"/>
  <c r="BS763" i="1"/>
  <c r="BR764" i="1"/>
  <c r="BS764" i="1"/>
  <c r="BR765" i="1"/>
  <c r="BS765" i="1"/>
  <c r="BR766" i="1"/>
  <c r="BS766" i="1"/>
  <c r="BR767" i="1"/>
  <c r="BS767" i="1"/>
  <c r="BR768" i="1"/>
  <c r="BS768" i="1"/>
  <c r="BR769" i="1"/>
  <c r="BS769" i="1"/>
  <c r="BR770" i="1"/>
  <c r="BS770" i="1"/>
  <c r="BR771" i="1"/>
  <c r="BS771" i="1"/>
  <c r="BR772" i="1"/>
  <c r="BS772" i="1"/>
  <c r="BR773" i="1"/>
  <c r="BS773" i="1"/>
  <c r="BR774" i="1"/>
  <c r="BS774" i="1"/>
  <c r="BR775" i="1"/>
  <c r="BS775" i="1"/>
  <c r="BR776" i="1"/>
  <c r="BS776" i="1"/>
  <c r="BR777" i="1"/>
  <c r="BS777" i="1"/>
  <c r="BR778" i="1"/>
  <c r="BS778" i="1"/>
  <c r="BR779" i="1"/>
  <c r="BS779" i="1"/>
  <c r="BR780" i="1"/>
  <c r="BS780" i="1"/>
  <c r="BR781" i="1"/>
  <c r="BS781" i="1"/>
  <c r="BR782" i="1"/>
  <c r="BS782" i="1"/>
  <c r="BR783" i="1"/>
  <c r="BS783" i="1"/>
  <c r="BR784" i="1"/>
  <c r="BS784" i="1"/>
  <c r="BR785" i="1"/>
  <c r="BS785" i="1"/>
  <c r="BR815" i="1"/>
  <c r="BS815" i="1"/>
  <c r="BR817" i="1"/>
  <c r="BS817" i="1"/>
  <c r="BR788" i="1"/>
  <c r="BS788" i="1"/>
  <c r="BR821" i="1"/>
  <c r="BS821" i="1"/>
  <c r="BR822" i="1"/>
  <c r="BS822" i="1"/>
  <c r="BR823" i="1"/>
  <c r="BS823" i="1"/>
  <c r="BR824" i="1"/>
  <c r="BS824" i="1"/>
  <c r="BR825" i="1"/>
  <c r="BS825" i="1"/>
  <c r="BR826" i="1"/>
  <c r="BS826" i="1"/>
  <c r="BR789" i="1"/>
  <c r="BS789" i="1"/>
  <c r="BR827" i="1"/>
  <c r="BS827" i="1"/>
  <c r="BR828" i="1"/>
  <c r="BS828" i="1"/>
  <c r="BR790" i="1"/>
  <c r="BS790" i="1"/>
  <c r="BR791" i="1"/>
  <c r="BS791" i="1"/>
  <c r="BR792" i="1"/>
  <c r="BS792" i="1"/>
  <c r="BR793" i="1"/>
  <c r="BS793" i="1"/>
  <c r="BR794" i="1"/>
  <c r="BS794" i="1"/>
  <c r="BR795" i="1"/>
  <c r="BS795" i="1"/>
  <c r="BR796" i="1"/>
  <c r="BS796" i="1"/>
  <c r="BR798" i="1"/>
  <c r="BS798" i="1"/>
  <c r="BR799" i="1"/>
  <c r="BS799" i="1"/>
  <c r="BR800" i="1"/>
  <c r="BS800" i="1"/>
  <c r="BR801" i="1"/>
  <c r="BS801" i="1"/>
  <c r="BR802" i="1"/>
  <c r="BS802" i="1"/>
  <c r="BR803" i="1"/>
  <c r="BS803" i="1"/>
  <c r="BR804" i="1"/>
  <c r="BS804" i="1"/>
  <c r="BR805" i="1"/>
  <c r="BS805" i="1"/>
  <c r="BR806" i="1"/>
  <c r="BS806" i="1"/>
  <c r="BR807" i="1"/>
  <c r="BS807" i="1"/>
  <c r="BR808" i="1"/>
  <c r="BS808" i="1"/>
  <c r="BR809" i="1"/>
  <c r="BS809" i="1"/>
  <c r="BR810" i="1"/>
  <c r="BS810" i="1"/>
  <c r="BR811" i="1"/>
  <c r="BS811" i="1"/>
  <c r="BR812" i="1"/>
  <c r="BS812" i="1"/>
  <c r="BR813" i="1"/>
  <c r="BS813" i="1"/>
  <c r="BR814" i="1"/>
  <c r="BS814" i="1"/>
  <c r="BR816" i="1"/>
  <c r="BS816" i="1"/>
  <c r="BR818" i="1"/>
  <c r="BS818" i="1"/>
  <c r="BR819" i="1"/>
  <c r="BS819" i="1"/>
  <c r="BR820" i="1"/>
  <c r="BS820" i="1"/>
  <c r="BR829" i="1"/>
  <c r="BS829" i="1"/>
  <c r="BR830" i="1"/>
  <c r="BS830" i="1"/>
  <c r="BR831" i="1"/>
  <c r="BS831" i="1"/>
  <c r="BR832" i="1"/>
  <c r="BS832" i="1"/>
  <c r="BR833" i="1"/>
  <c r="BS833" i="1"/>
  <c r="BR834" i="1"/>
  <c r="BS834" i="1"/>
  <c r="BR835" i="1"/>
  <c r="BS835" i="1"/>
  <c r="BR836" i="1"/>
  <c r="BS836" i="1"/>
  <c r="BR837" i="1"/>
  <c r="BS837" i="1"/>
  <c r="BR838" i="1"/>
  <c r="BS838" i="1"/>
  <c r="BR839" i="1"/>
  <c r="BS839" i="1"/>
  <c r="BR840" i="1"/>
  <c r="BS840" i="1"/>
  <c r="BR841" i="1"/>
  <c r="BS841" i="1"/>
  <c r="BR842" i="1"/>
  <c r="BS842" i="1"/>
  <c r="BR843" i="1"/>
  <c r="BS843" i="1"/>
  <c r="BR844" i="1"/>
  <c r="BS844" i="1"/>
  <c r="BR845" i="1"/>
  <c r="BS845" i="1"/>
  <c r="BR846" i="1"/>
  <c r="BS846" i="1"/>
  <c r="BR847" i="1"/>
  <c r="BS847" i="1"/>
  <c r="BR848" i="1"/>
  <c r="BS848" i="1"/>
  <c r="BR849" i="1"/>
  <c r="BS849" i="1"/>
  <c r="BR850" i="1"/>
  <c r="BS850" i="1"/>
  <c r="BR851" i="1"/>
  <c r="BS851" i="1"/>
  <c r="BR852" i="1"/>
  <c r="BS852" i="1"/>
  <c r="BR853" i="1"/>
  <c r="BS853" i="1"/>
  <c r="BR854" i="1"/>
  <c r="BS854" i="1"/>
  <c r="BR855" i="1"/>
  <c r="BS855" i="1"/>
  <c r="BR856" i="1"/>
  <c r="BS856" i="1"/>
  <c r="BR857" i="1"/>
  <c r="BS857" i="1"/>
  <c r="BR858" i="1"/>
  <c r="BS858" i="1"/>
  <c r="BR859" i="1"/>
  <c r="BS859" i="1"/>
  <c r="BR860" i="1"/>
  <c r="BS860" i="1"/>
  <c r="BR861" i="1"/>
  <c r="BS861" i="1"/>
  <c r="BR862" i="1"/>
  <c r="BS862" i="1"/>
  <c r="BR863" i="1"/>
  <c r="BS863" i="1"/>
  <c r="BR864" i="1"/>
  <c r="BS864" i="1"/>
  <c r="BR865" i="1"/>
  <c r="BS865" i="1"/>
  <c r="BR866" i="1"/>
  <c r="BS866" i="1"/>
  <c r="BR867" i="1"/>
  <c r="BS867" i="1"/>
  <c r="BR868" i="1"/>
  <c r="BS868" i="1"/>
  <c r="BR869" i="1"/>
  <c r="BS869" i="1"/>
  <c r="BR870" i="1"/>
  <c r="BS870" i="1"/>
  <c r="BR871" i="1"/>
  <c r="BS871" i="1"/>
  <c r="BR872" i="1"/>
  <c r="BS872" i="1"/>
  <c r="BR873" i="1"/>
  <c r="BS873" i="1"/>
  <c r="BR874" i="1"/>
  <c r="BS874" i="1"/>
  <c r="BR875" i="1"/>
  <c r="BS875" i="1"/>
  <c r="BR876" i="1"/>
  <c r="BS876" i="1"/>
  <c r="BR877" i="1"/>
  <c r="BS877" i="1"/>
  <c r="BR878" i="1"/>
  <c r="BS878" i="1"/>
  <c r="BR879" i="1"/>
  <c r="BS879" i="1"/>
  <c r="BR880" i="1"/>
  <c r="BS880" i="1"/>
  <c r="BR881" i="1"/>
  <c r="BS881" i="1"/>
  <c r="BR882" i="1"/>
  <c r="BS882" i="1"/>
  <c r="BR883" i="1"/>
  <c r="BS883" i="1"/>
  <c r="BR884" i="1"/>
  <c r="BS884" i="1"/>
  <c r="BR885" i="1"/>
  <c r="BS885" i="1"/>
  <c r="BR886" i="1"/>
  <c r="BS886" i="1"/>
  <c r="BR887" i="1"/>
  <c r="BS887" i="1"/>
  <c r="BR888" i="1"/>
  <c r="BS888" i="1"/>
  <c r="BR889" i="1"/>
  <c r="BS889" i="1"/>
  <c r="BR890" i="1"/>
  <c r="BS890" i="1"/>
  <c r="BR891" i="1"/>
  <c r="BS891" i="1"/>
  <c r="BR892" i="1"/>
  <c r="BS892" i="1"/>
  <c r="BR893" i="1"/>
  <c r="BS893" i="1"/>
  <c r="BR894" i="1"/>
  <c r="BS894" i="1"/>
  <c r="BR895" i="1"/>
  <c r="BS895" i="1"/>
  <c r="BR896" i="1"/>
  <c r="BS896" i="1"/>
  <c r="BR897" i="1"/>
  <c r="BS897" i="1"/>
  <c r="BR898" i="1"/>
  <c r="BS898" i="1"/>
  <c r="BR899" i="1"/>
  <c r="BS899" i="1"/>
  <c r="BR900" i="1"/>
  <c r="BS900" i="1"/>
  <c r="BR901" i="1"/>
  <c r="BS901" i="1"/>
  <c r="BR902" i="1"/>
  <c r="BS902" i="1"/>
  <c r="BR903" i="1"/>
  <c r="BS903" i="1"/>
  <c r="BR904" i="1"/>
  <c r="BS904" i="1"/>
  <c r="BR905" i="1"/>
  <c r="BS905" i="1"/>
  <c r="BR906" i="1"/>
  <c r="BS906" i="1"/>
  <c r="BR907" i="1"/>
  <c r="BS907" i="1"/>
  <c r="BR908" i="1"/>
  <c r="BS908" i="1"/>
  <c r="BR909" i="1"/>
  <c r="BS909" i="1"/>
  <c r="BR910" i="1"/>
  <c r="BS910" i="1"/>
  <c r="BR911" i="1"/>
  <c r="BS911" i="1"/>
  <c r="BR912" i="1"/>
  <c r="BS912" i="1"/>
  <c r="BR913" i="1"/>
  <c r="BS913" i="1"/>
  <c r="BR914" i="1"/>
  <c r="BS914" i="1"/>
  <c r="BR915" i="1"/>
  <c r="BS915" i="1"/>
  <c r="BR916" i="1"/>
  <c r="BS916" i="1"/>
  <c r="BR917" i="1"/>
  <c r="BS917" i="1"/>
  <c r="BR918" i="1"/>
  <c r="BS918" i="1"/>
  <c r="BR919" i="1"/>
  <c r="BS919" i="1"/>
  <c r="BR920" i="1"/>
  <c r="BS920" i="1"/>
  <c r="BR921" i="1"/>
  <c r="BS921" i="1"/>
  <c r="BR922" i="1"/>
  <c r="BS922" i="1"/>
  <c r="BR923" i="1"/>
  <c r="BS923" i="1"/>
  <c r="BR924" i="1"/>
  <c r="BS924" i="1"/>
  <c r="BR925" i="1"/>
  <c r="BS925" i="1"/>
  <c r="BR926" i="1"/>
  <c r="BS926" i="1"/>
  <c r="BR927" i="1"/>
  <c r="BS927" i="1"/>
  <c r="BR928" i="1"/>
  <c r="BS928" i="1"/>
  <c r="BR929" i="1"/>
  <c r="BS929" i="1"/>
  <c r="BR930" i="1"/>
  <c r="BS930" i="1"/>
  <c r="BR931" i="1"/>
  <c r="BS931" i="1"/>
  <c r="BR932" i="1"/>
  <c r="BS932" i="1"/>
  <c r="BR933" i="1"/>
  <c r="BS933" i="1"/>
  <c r="BR934" i="1"/>
  <c r="BS934" i="1"/>
  <c r="BR935" i="1"/>
  <c r="BS935" i="1"/>
  <c r="BR936" i="1"/>
  <c r="BS936" i="1"/>
  <c r="BR937" i="1"/>
  <c r="BS937" i="1"/>
  <c r="BR938" i="1"/>
  <c r="BS938" i="1"/>
  <c r="BR939" i="1"/>
  <c r="BS939" i="1"/>
  <c r="BR940" i="1"/>
  <c r="BS940" i="1"/>
  <c r="BR941" i="1"/>
  <c r="BS941" i="1"/>
  <c r="BR942" i="1"/>
  <c r="BS942" i="1"/>
  <c r="BR943" i="1"/>
  <c r="BS943" i="1"/>
  <c r="BR944" i="1"/>
  <c r="BS944" i="1"/>
  <c r="BR945" i="1"/>
  <c r="BS945" i="1"/>
  <c r="BR946" i="1"/>
  <c r="BS946" i="1"/>
  <c r="BR947" i="1"/>
  <c r="BS947" i="1"/>
  <c r="BR948" i="1"/>
  <c r="BS948" i="1"/>
  <c r="BR949" i="1"/>
  <c r="BS949" i="1"/>
  <c r="BR950" i="1"/>
  <c r="BS950" i="1"/>
  <c r="BR951" i="1"/>
  <c r="BS951" i="1"/>
  <c r="BR952" i="1"/>
  <c r="BS952" i="1"/>
  <c r="BR953" i="1"/>
  <c r="BS953" i="1"/>
  <c r="BR954" i="1"/>
  <c r="BS954" i="1"/>
  <c r="BR955" i="1"/>
  <c r="BS955" i="1"/>
  <c r="BR956" i="1"/>
  <c r="BS956" i="1"/>
  <c r="BR957" i="1"/>
  <c r="BS957" i="1"/>
  <c r="BR958" i="1"/>
  <c r="BS958" i="1"/>
  <c r="BR959" i="1"/>
  <c r="BS959" i="1"/>
  <c r="BR960" i="1"/>
  <c r="BS960" i="1"/>
  <c r="BR961" i="1"/>
  <c r="BS961" i="1"/>
  <c r="BR962" i="1"/>
  <c r="BS962" i="1"/>
  <c r="BR963" i="1"/>
  <c r="BS963" i="1"/>
  <c r="BR964" i="1"/>
  <c r="BS964" i="1"/>
  <c r="BR965" i="1"/>
  <c r="BS965" i="1"/>
  <c r="BR966" i="1"/>
  <c r="BS966" i="1"/>
  <c r="BR967" i="1"/>
  <c r="BS967" i="1"/>
  <c r="BR968" i="1"/>
  <c r="BS968" i="1"/>
  <c r="BR969" i="1"/>
  <c r="BS969" i="1"/>
  <c r="BR970" i="1"/>
  <c r="BS970" i="1"/>
  <c r="BR971" i="1"/>
  <c r="BS971" i="1"/>
  <c r="BR972" i="1"/>
  <c r="BS972" i="1"/>
  <c r="BR973" i="1"/>
  <c r="BS973" i="1"/>
  <c r="BR974" i="1"/>
  <c r="BS974" i="1"/>
  <c r="BR975" i="1"/>
  <c r="BS975" i="1"/>
  <c r="BR976" i="1"/>
  <c r="BS976" i="1"/>
  <c r="BR977" i="1"/>
  <c r="BS977" i="1"/>
  <c r="BR978" i="1"/>
  <c r="BS978" i="1"/>
  <c r="BR979" i="1"/>
  <c r="BS979" i="1"/>
  <c r="BR980" i="1"/>
  <c r="BS980" i="1"/>
  <c r="BR981" i="1"/>
  <c r="BS981" i="1"/>
  <c r="BR982" i="1"/>
  <c r="BS982" i="1"/>
  <c r="BR983" i="1"/>
  <c r="BS983" i="1"/>
  <c r="BR984" i="1"/>
  <c r="BS984" i="1"/>
  <c r="BR985" i="1"/>
  <c r="BS985" i="1"/>
  <c r="BR986" i="1"/>
  <c r="BS986" i="1"/>
  <c r="BR987" i="1"/>
  <c r="BS987" i="1"/>
  <c r="BR988" i="1"/>
  <c r="BS988" i="1"/>
  <c r="BR989" i="1"/>
  <c r="BS989" i="1"/>
  <c r="BR990" i="1"/>
  <c r="BS990" i="1"/>
  <c r="BR991" i="1"/>
  <c r="BS991" i="1"/>
  <c r="BR992" i="1"/>
  <c r="BS992" i="1"/>
  <c r="BR993" i="1"/>
  <c r="BS993" i="1"/>
  <c r="BR994" i="1"/>
  <c r="BS994" i="1"/>
  <c r="BR995" i="1"/>
  <c r="BS995" i="1"/>
  <c r="BR996" i="1"/>
  <c r="BS996" i="1"/>
  <c r="BR997" i="1"/>
  <c r="BS997" i="1"/>
  <c r="BR998" i="1"/>
  <c r="BS998" i="1"/>
  <c r="BR999" i="1"/>
  <c r="BS999" i="1"/>
  <c r="BR1000" i="1"/>
  <c r="BS1000" i="1"/>
  <c r="BR1001" i="1"/>
  <c r="BS1001" i="1"/>
  <c r="BR1002" i="1"/>
  <c r="BS1002" i="1"/>
  <c r="BR1003" i="1"/>
  <c r="BS1003" i="1"/>
  <c r="BR1004" i="1"/>
  <c r="BS1004" i="1"/>
  <c r="BR1005" i="1"/>
  <c r="BS1005" i="1"/>
  <c r="BR1006" i="1"/>
  <c r="BS1006" i="1"/>
  <c r="BR1007" i="1"/>
  <c r="BS1007" i="1"/>
  <c r="BR1008" i="1"/>
  <c r="BS1008" i="1"/>
  <c r="BR1009" i="1"/>
  <c r="BS1009" i="1"/>
  <c r="BR1010" i="1"/>
  <c r="BS1010" i="1"/>
  <c r="BR1011" i="1"/>
  <c r="BS1011" i="1"/>
  <c r="BR1012" i="1"/>
  <c r="BS1012" i="1"/>
  <c r="BR1013" i="1"/>
  <c r="BS1013" i="1"/>
  <c r="BR1014" i="1"/>
  <c r="BS1014" i="1"/>
  <c r="BR1015" i="1"/>
  <c r="BS1015" i="1"/>
  <c r="BR1016" i="1"/>
  <c r="BS1016" i="1"/>
  <c r="BR1017" i="1"/>
  <c r="BS1017" i="1"/>
  <c r="BR1018" i="1"/>
  <c r="BS1018" i="1"/>
  <c r="BR1019" i="1"/>
  <c r="BS1019" i="1"/>
  <c r="BR1020" i="1"/>
  <c r="BS1020" i="1"/>
  <c r="BR1021" i="1"/>
  <c r="BS1021" i="1"/>
  <c r="BR1022" i="1"/>
  <c r="BS1022" i="1"/>
  <c r="BR1023" i="1"/>
  <c r="BS1023" i="1"/>
  <c r="BR1024" i="1"/>
  <c r="BS1024" i="1"/>
  <c r="BR1025" i="1"/>
  <c r="BS1025" i="1"/>
  <c r="BR1026" i="1"/>
  <c r="BS1026" i="1"/>
  <c r="BR1027" i="1"/>
  <c r="BS1027" i="1"/>
  <c r="BR1028" i="1"/>
  <c r="BS1028" i="1"/>
  <c r="BR1029" i="1"/>
  <c r="BS1029" i="1"/>
  <c r="BR1030" i="1"/>
  <c r="BS1030" i="1"/>
  <c r="BR1031" i="1"/>
  <c r="BS1031" i="1"/>
  <c r="BR1032" i="1"/>
  <c r="BS1032" i="1"/>
  <c r="BR1033" i="1"/>
  <c r="BS1033" i="1"/>
  <c r="BR1034" i="1"/>
  <c r="BS1034" i="1"/>
  <c r="BR1035" i="1"/>
  <c r="BS1035" i="1"/>
  <c r="BR1036" i="1"/>
  <c r="BS1036" i="1"/>
  <c r="BR1037" i="1"/>
  <c r="BS1037" i="1"/>
  <c r="BR1038" i="1"/>
  <c r="BS1038" i="1"/>
  <c r="BR1039" i="1"/>
  <c r="BS1039" i="1"/>
  <c r="BR1040" i="1"/>
  <c r="BS1040" i="1"/>
  <c r="BR1041" i="1"/>
  <c r="BS1041" i="1"/>
  <c r="BR1042" i="1"/>
  <c r="BS1042" i="1"/>
  <c r="BR1043" i="1"/>
  <c r="BS1043" i="1"/>
  <c r="BR1044" i="1"/>
  <c r="BS1044" i="1"/>
  <c r="BR1045" i="1"/>
  <c r="BS1045" i="1"/>
  <c r="BR1046" i="1"/>
  <c r="BS1046" i="1"/>
  <c r="BR1047" i="1"/>
  <c r="BS1047" i="1"/>
  <c r="BR1048" i="1"/>
  <c r="BS1048" i="1"/>
  <c r="BR1049" i="1"/>
  <c r="BS1049" i="1"/>
  <c r="BR1050" i="1"/>
  <c r="BS1050" i="1"/>
  <c r="BR1051" i="1"/>
  <c r="BS1051" i="1"/>
  <c r="BR1052" i="1"/>
  <c r="BS1052" i="1"/>
  <c r="BR1053" i="1"/>
  <c r="BS1053" i="1"/>
  <c r="BR1054" i="1"/>
  <c r="BS1054" i="1"/>
  <c r="BR1055" i="1"/>
  <c r="BS1055" i="1"/>
  <c r="BR1056" i="1"/>
  <c r="BS1056" i="1"/>
  <c r="BR1057" i="1"/>
  <c r="BS1057" i="1"/>
  <c r="BR1058" i="1"/>
  <c r="BS1058" i="1"/>
  <c r="BR1059" i="1"/>
  <c r="BS1059" i="1"/>
  <c r="BR1060" i="1"/>
  <c r="BS1060" i="1"/>
  <c r="BR1061" i="1"/>
  <c r="BS1061" i="1"/>
  <c r="BR1062" i="1"/>
  <c r="BS1062" i="1"/>
  <c r="BR1063" i="1"/>
  <c r="BS1063" i="1"/>
  <c r="BR1064" i="1"/>
  <c r="BS1064" i="1"/>
  <c r="BR1065" i="1"/>
  <c r="BS1065" i="1"/>
  <c r="BR1066" i="1"/>
  <c r="BS1066" i="1"/>
  <c r="BR1067" i="1"/>
  <c r="BS1067" i="1"/>
  <c r="BR1068" i="1"/>
  <c r="BS1068" i="1"/>
  <c r="BR1069" i="1"/>
  <c r="BS1069" i="1"/>
  <c r="BR1070" i="1"/>
  <c r="BS1070" i="1"/>
  <c r="BR1071" i="1"/>
  <c r="BS1071" i="1"/>
  <c r="BR1072" i="1"/>
  <c r="BS1072" i="1"/>
  <c r="BR1073" i="1"/>
  <c r="BS1073" i="1"/>
  <c r="BR1074" i="1"/>
  <c r="BS1074" i="1"/>
  <c r="BR1075" i="1"/>
  <c r="BS1075" i="1"/>
  <c r="BR1076" i="1"/>
  <c r="BS1076" i="1"/>
  <c r="BR1077" i="1"/>
  <c r="BS1077" i="1"/>
  <c r="BR1078" i="1"/>
  <c r="BS1078" i="1"/>
  <c r="BR1079" i="1"/>
  <c r="BS1079" i="1"/>
  <c r="BR1080" i="1"/>
  <c r="BS1080" i="1"/>
  <c r="BR1081" i="1"/>
  <c r="BS1081" i="1"/>
  <c r="BR1082" i="1"/>
  <c r="BS1082" i="1"/>
  <c r="BR1083" i="1"/>
  <c r="BS1083" i="1"/>
  <c r="BR1084" i="1"/>
  <c r="BS1084" i="1"/>
  <c r="BR1085" i="1"/>
  <c r="BS1085" i="1"/>
  <c r="BR1086" i="1"/>
  <c r="BS1086" i="1"/>
  <c r="BR1087" i="1"/>
  <c r="BS1087" i="1"/>
  <c r="BR1088" i="1"/>
  <c r="BS1088" i="1"/>
  <c r="BR1089" i="1"/>
  <c r="BS1089" i="1"/>
  <c r="BR1090" i="1"/>
  <c r="BS1090" i="1"/>
  <c r="BR1091" i="1"/>
  <c r="BS1091" i="1"/>
  <c r="BR1092" i="1"/>
  <c r="BS1092" i="1"/>
  <c r="BR1093" i="1"/>
  <c r="BS1093" i="1"/>
  <c r="BR1094" i="1"/>
  <c r="BS1094" i="1"/>
  <c r="BR1095" i="1"/>
  <c r="BS1095" i="1"/>
  <c r="BR1096" i="1"/>
  <c r="BS1096" i="1"/>
  <c r="BR1097" i="1"/>
  <c r="BS1097" i="1"/>
  <c r="BR1098" i="1"/>
  <c r="BS1098" i="1"/>
  <c r="BR1099" i="1"/>
  <c r="BS1099" i="1"/>
  <c r="BR1100" i="1"/>
  <c r="BS1100" i="1"/>
  <c r="BR1101" i="1"/>
  <c r="BS1101" i="1"/>
  <c r="BR1102" i="1"/>
  <c r="BS1102" i="1"/>
  <c r="BR1103" i="1"/>
  <c r="BS1103" i="1"/>
  <c r="BR1104" i="1"/>
  <c r="BS1104" i="1"/>
  <c r="BR1105" i="1"/>
  <c r="BS1105" i="1"/>
  <c r="BR1106" i="1"/>
  <c r="BS1106" i="1"/>
  <c r="BR1107" i="1"/>
  <c r="BS1107" i="1"/>
  <c r="BR1108" i="1"/>
  <c r="BS1108" i="1"/>
  <c r="BR1109" i="1"/>
  <c r="BS1109" i="1"/>
  <c r="BR1110" i="1"/>
  <c r="BS1110" i="1"/>
  <c r="BR1111" i="1"/>
  <c r="BS1111" i="1"/>
  <c r="BR1112" i="1"/>
  <c r="BS1112" i="1"/>
  <c r="BR1113" i="1"/>
  <c r="BS1113" i="1"/>
  <c r="BR1114" i="1"/>
  <c r="BS1114" i="1"/>
  <c r="BR1115" i="1"/>
  <c r="BS1115" i="1"/>
  <c r="BR1116" i="1"/>
  <c r="BS1116" i="1"/>
  <c r="BR1117" i="1"/>
  <c r="BS1117" i="1"/>
  <c r="BR1118" i="1"/>
  <c r="BS1118" i="1"/>
  <c r="BR1119" i="1"/>
  <c r="BS1119" i="1"/>
  <c r="BR1120" i="1"/>
  <c r="BS1120" i="1"/>
  <c r="BR1121" i="1"/>
  <c r="BS1121" i="1"/>
  <c r="BR797" i="1"/>
  <c r="BS797" i="1"/>
  <c r="BR786" i="1"/>
  <c r="BS786" i="1"/>
  <c r="BR787" i="1"/>
  <c r="BS787" i="1"/>
  <c r="BR1122" i="1"/>
  <c r="BS1122" i="1"/>
  <c r="BR1123" i="1"/>
  <c r="BS1123" i="1"/>
  <c r="BR1124" i="1"/>
  <c r="BS1124" i="1"/>
  <c r="BR1125" i="1"/>
  <c r="BS1125" i="1"/>
  <c r="BR1126" i="1"/>
  <c r="BS1126" i="1"/>
  <c r="BR1127" i="1"/>
  <c r="BS1127" i="1"/>
  <c r="BR1128" i="1"/>
  <c r="BS1128" i="1"/>
  <c r="BR1129" i="1"/>
  <c r="BS1129" i="1"/>
  <c r="BR1130" i="1"/>
  <c r="BS1130" i="1"/>
  <c r="BR1131" i="1"/>
  <c r="BS1131" i="1"/>
  <c r="BR1132" i="1"/>
  <c r="BS1132" i="1"/>
  <c r="BR1133" i="1"/>
  <c r="BS1133" i="1"/>
  <c r="BR1134" i="1"/>
  <c r="BS1134" i="1"/>
  <c r="BR1135" i="1"/>
  <c r="BS1135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1" i="1"/>
  <c r="BO22" i="1"/>
  <c r="BO257" i="1"/>
  <c r="BO23" i="1"/>
  <c r="BO24" i="1"/>
  <c r="BO25" i="1"/>
  <c r="BO26" i="1"/>
  <c r="BO27" i="1"/>
  <c r="BO28" i="1"/>
  <c r="BO29" i="1"/>
  <c r="BO30" i="1"/>
  <c r="BO161" i="1"/>
  <c r="BO33" i="1"/>
  <c r="BO34" i="1"/>
  <c r="BO35" i="1"/>
  <c r="BO36" i="1"/>
  <c r="BO37" i="1"/>
  <c r="BO363" i="1"/>
  <c r="BO38" i="1"/>
  <c r="BO39" i="1"/>
  <c r="BO40" i="1"/>
  <c r="BO219" i="1"/>
  <c r="BO319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4" i="1"/>
  <c r="BO95" i="1"/>
  <c r="BO96" i="1"/>
  <c r="BO97" i="1"/>
  <c r="BO98" i="1"/>
  <c r="BO240" i="1"/>
  <c r="BO99" i="1"/>
  <c r="BO100" i="1"/>
  <c r="BO101" i="1"/>
  <c r="BO102" i="1"/>
  <c r="BO103" i="1"/>
  <c r="BO104" i="1"/>
  <c r="BO341" i="1"/>
  <c r="BO105" i="1"/>
  <c r="BO106" i="1"/>
  <c r="BO107" i="1"/>
  <c r="BO108" i="1"/>
  <c r="BO109" i="1"/>
  <c r="BO110" i="1"/>
  <c r="BN111" i="1"/>
  <c r="BO111" i="1"/>
  <c r="BO68" i="1"/>
  <c r="BO69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237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675" i="1"/>
  <c r="BO178" i="1"/>
  <c r="BO179" i="1"/>
  <c r="BO180" i="1"/>
  <c r="BO181" i="1"/>
  <c r="BO182" i="1"/>
  <c r="BO183" i="1"/>
  <c r="BO184" i="1"/>
  <c r="BO185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691" i="1"/>
  <c r="BO203" i="1"/>
  <c r="BO204" i="1"/>
  <c r="BO206" i="1"/>
  <c r="BO207" i="1"/>
  <c r="BO208" i="1"/>
  <c r="BO209" i="1"/>
  <c r="BO210" i="1"/>
  <c r="BO211" i="1"/>
  <c r="BO485" i="1"/>
  <c r="BO213" i="1"/>
  <c r="BO214" i="1"/>
  <c r="BO215" i="1"/>
  <c r="BO216" i="1"/>
  <c r="BO217" i="1"/>
  <c r="BO218" i="1"/>
  <c r="BO220" i="1"/>
  <c r="BO221" i="1"/>
  <c r="BO222" i="1"/>
  <c r="BO672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8" i="1"/>
  <c r="BO239" i="1"/>
  <c r="BO241" i="1"/>
  <c r="BO242" i="1"/>
  <c r="BO289" i="1"/>
  <c r="BO243" i="1"/>
  <c r="BO244" i="1"/>
  <c r="BO245" i="1"/>
  <c r="BO246" i="1"/>
  <c r="BO247" i="1"/>
  <c r="BO248" i="1"/>
  <c r="BO249" i="1"/>
  <c r="BO481" i="1"/>
  <c r="BO250" i="1"/>
  <c r="BO205" i="1"/>
  <c r="BO251" i="1"/>
  <c r="BO252" i="1"/>
  <c r="BO253" i="1"/>
  <c r="BO254" i="1"/>
  <c r="BO255" i="1"/>
  <c r="BO256" i="1"/>
  <c r="BO258" i="1"/>
  <c r="BO709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23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689" i="1"/>
  <c r="BO338" i="1"/>
  <c r="BO339" i="1"/>
  <c r="BO340" i="1"/>
  <c r="BO342" i="1"/>
  <c r="BO343" i="1"/>
  <c r="BO344" i="1"/>
  <c r="BO345" i="1"/>
  <c r="BO346" i="1"/>
  <c r="BO699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716" i="1"/>
  <c r="BO362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212" i="1"/>
  <c r="BO409" i="1"/>
  <c r="BO410" i="1"/>
  <c r="BO411" i="1"/>
  <c r="BO412" i="1"/>
  <c r="BO413" i="1"/>
  <c r="BO414" i="1"/>
  <c r="BO415" i="1"/>
  <c r="BO416" i="1"/>
  <c r="BO177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186" i="1"/>
  <c r="BO433" i="1"/>
  <c r="BO434" i="1"/>
  <c r="BO435" i="1"/>
  <c r="BO436" i="1"/>
  <c r="BO437" i="1"/>
  <c r="BO438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93" i="1"/>
  <c r="BO458" i="1"/>
  <c r="BO379" i="1"/>
  <c r="BO380" i="1"/>
  <c r="BO460" i="1"/>
  <c r="BO461" i="1"/>
  <c r="BO462" i="1"/>
  <c r="BO439" i="1"/>
  <c r="BO463" i="1"/>
  <c r="BO464" i="1"/>
  <c r="BO465" i="1"/>
  <c r="BO466" i="1"/>
  <c r="BO467" i="1"/>
  <c r="BO20" i="1"/>
  <c r="BO469" i="1"/>
  <c r="BO470" i="1"/>
  <c r="BO472" i="1"/>
  <c r="BO473" i="1"/>
  <c r="BO474" i="1"/>
  <c r="BO31" i="1"/>
  <c r="BO476" i="1"/>
  <c r="BO32" i="1"/>
  <c r="BO477" i="1"/>
  <c r="BO478" i="1"/>
  <c r="BO479" i="1"/>
  <c r="BO480" i="1"/>
  <c r="BO482" i="1"/>
  <c r="BO483" i="1"/>
  <c r="BO471" i="1"/>
  <c r="BO475" i="1"/>
  <c r="BO484" i="1"/>
  <c r="BO486" i="1"/>
  <c r="BO489" i="1"/>
  <c r="BO490" i="1"/>
  <c r="BO491" i="1"/>
  <c r="BO492" i="1"/>
  <c r="BO493" i="1"/>
  <c r="BO459" i="1"/>
  <c r="BO494" i="1"/>
  <c r="BO495" i="1"/>
  <c r="BO496" i="1"/>
  <c r="BO497" i="1"/>
  <c r="BO498" i="1"/>
  <c r="BO499" i="1"/>
  <c r="BO500" i="1"/>
  <c r="BO501" i="1"/>
  <c r="BO502" i="1"/>
  <c r="BO503" i="1"/>
  <c r="BO504" i="1"/>
  <c r="BO468" i="1"/>
  <c r="BO506" i="1"/>
  <c r="BO507" i="1"/>
  <c r="BO510" i="1"/>
  <c r="BO514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N531" i="1"/>
  <c r="BO531" i="1"/>
  <c r="BO532" i="1"/>
  <c r="BO533" i="1"/>
  <c r="BO534" i="1"/>
  <c r="BN535" i="1"/>
  <c r="BO535" i="1"/>
  <c r="BN536" i="1"/>
  <c r="BO536" i="1"/>
  <c r="BO537" i="1"/>
  <c r="BO538" i="1"/>
  <c r="BO539" i="1"/>
  <c r="BO540" i="1"/>
  <c r="BN541" i="1"/>
  <c r="BO541" i="1"/>
  <c r="BN542" i="1"/>
  <c r="BO542" i="1"/>
  <c r="BO543" i="1"/>
  <c r="BO544" i="1"/>
  <c r="BO545" i="1"/>
  <c r="BO546" i="1"/>
  <c r="BO547" i="1"/>
  <c r="BO548" i="1"/>
  <c r="BO549" i="1"/>
  <c r="BO511" i="1"/>
  <c r="BO550" i="1"/>
  <c r="BO551" i="1"/>
  <c r="BO552" i="1"/>
  <c r="BO553" i="1"/>
  <c r="BO512" i="1"/>
  <c r="BO513" i="1"/>
  <c r="BO554" i="1"/>
  <c r="BO555" i="1"/>
  <c r="BO556" i="1"/>
  <c r="BO557" i="1"/>
  <c r="BO558" i="1"/>
  <c r="BO559" i="1"/>
  <c r="BO560" i="1"/>
  <c r="BO515" i="1"/>
  <c r="BO561" i="1"/>
  <c r="BO562" i="1"/>
  <c r="BO563" i="1"/>
  <c r="BO564" i="1"/>
  <c r="BO565" i="1"/>
  <c r="BO566" i="1"/>
  <c r="BO567" i="1"/>
  <c r="BN568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N605" i="1"/>
  <c r="BO605" i="1"/>
  <c r="BO606" i="1"/>
  <c r="BO607" i="1"/>
  <c r="BN608" i="1"/>
  <c r="BO608" i="1"/>
  <c r="BO609" i="1"/>
  <c r="BO610" i="1"/>
  <c r="BO611" i="1"/>
  <c r="BO612" i="1"/>
  <c r="BO613" i="1"/>
  <c r="BO614" i="1"/>
  <c r="BO615" i="1"/>
  <c r="BO616" i="1"/>
  <c r="BN617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487" i="1"/>
  <c r="BO488" i="1"/>
  <c r="BO670" i="1"/>
  <c r="BO671" i="1"/>
  <c r="BO673" i="1"/>
  <c r="BO674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90" i="1"/>
  <c r="BO692" i="1"/>
  <c r="BO693" i="1"/>
  <c r="BO694" i="1"/>
  <c r="BO695" i="1"/>
  <c r="BO505" i="1"/>
  <c r="BO696" i="1"/>
  <c r="BO697" i="1"/>
  <c r="BO698" i="1"/>
  <c r="BO508" i="1"/>
  <c r="BO700" i="1"/>
  <c r="BO509" i="1"/>
  <c r="BO701" i="1"/>
  <c r="BO702" i="1"/>
  <c r="BO703" i="1"/>
  <c r="BO704" i="1"/>
  <c r="BO705" i="1"/>
  <c r="BO706" i="1"/>
  <c r="BO707" i="1"/>
  <c r="BO708" i="1"/>
  <c r="BO710" i="1"/>
  <c r="BO711" i="1"/>
  <c r="BO712" i="1"/>
  <c r="BO713" i="1"/>
  <c r="BO714" i="1"/>
  <c r="BO715" i="1"/>
  <c r="BO717" i="1"/>
  <c r="BN718" i="1"/>
  <c r="BO718" i="1"/>
  <c r="BN719" i="1"/>
  <c r="BO719" i="1"/>
  <c r="BN720" i="1"/>
  <c r="BO720" i="1"/>
  <c r="BN721" i="1"/>
  <c r="BO721" i="1"/>
  <c r="BN722" i="1"/>
  <c r="BO722" i="1"/>
  <c r="BN723" i="1"/>
  <c r="BO723" i="1"/>
  <c r="BN724" i="1"/>
  <c r="BO724" i="1"/>
  <c r="BN725" i="1"/>
  <c r="BO725" i="1"/>
  <c r="BN726" i="1"/>
  <c r="BO726" i="1"/>
  <c r="BN727" i="1"/>
  <c r="BO727" i="1"/>
  <c r="BN728" i="1"/>
  <c r="BO728" i="1"/>
  <c r="BN729" i="1"/>
  <c r="BO729" i="1"/>
  <c r="BN730" i="1"/>
  <c r="BO730" i="1"/>
  <c r="BN731" i="1"/>
  <c r="BO731" i="1"/>
  <c r="BN732" i="1"/>
  <c r="BO732" i="1"/>
  <c r="BN733" i="1"/>
  <c r="BO733" i="1"/>
  <c r="BN734" i="1"/>
  <c r="BO734" i="1"/>
  <c r="BN735" i="1"/>
  <c r="BO735" i="1"/>
  <c r="BN736" i="1"/>
  <c r="BO736" i="1"/>
  <c r="BN737" i="1"/>
  <c r="BO737" i="1"/>
  <c r="BN738" i="1"/>
  <c r="BO738" i="1"/>
  <c r="BN739" i="1"/>
  <c r="BO739" i="1"/>
  <c r="BN740" i="1"/>
  <c r="BO740" i="1"/>
  <c r="BN741" i="1"/>
  <c r="BO741" i="1"/>
  <c r="BN742" i="1"/>
  <c r="BO742" i="1"/>
  <c r="BN743" i="1"/>
  <c r="BO743" i="1"/>
  <c r="BN744" i="1"/>
  <c r="BO744" i="1"/>
  <c r="BN745" i="1"/>
  <c r="BO745" i="1"/>
  <c r="BN746" i="1"/>
  <c r="BO746" i="1"/>
  <c r="BN747" i="1"/>
  <c r="BO747" i="1"/>
  <c r="BN748" i="1"/>
  <c r="BO748" i="1"/>
  <c r="BN749" i="1"/>
  <c r="BO749" i="1"/>
  <c r="BN750" i="1"/>
  <c r="BO750" i="1"/>
  <c r="BN751" i="1"/>
  <c r="BO751" i="1"/>
  <c r="BN752" i="1"/>
  <c r="BO752" i="1"/>
  <c r="BN753" i="1"/>
  <c r="BO753" i="1"/>
  <c r="BN754" i="1"/>
  <c r="BO754" i="1"/>
  <c r="BN755" i="1"/>
  <c r="BO755" i="1"/>
  <c r="BN756" i="1"/>
  <c r="BO756" i="1"/>
  <c r="BN757" i="1"/>
  <c r="BO757" i="1"/>
  <c r="BN758" i="1"/>
  <c r="BO758" i="1"/>
  <c r="BN759" i="1"/>
  <c r="BO759" i="1"/>
  <c r="BN760" i="1"/>
  <c r="BO760" i="1"/>
  <c r="BN761" i="1"/>
  <c r="BO761" i="1"/>
  <c r="BN762" i="1"/>
  <c r="BO762" i="1"/>
  <c r="BN763" i="1"/>
  <c r="BO763" i="1"/>
  <c r="BN764" i="1"/>
  <c r="BO764" i="1"/>
  <c r="BN765" i="1"/>
  <c r="BO765" i="1"/>
  <c r="BN766" i="1"/>
  <c r="BO766" i="1"/>
  <c r="BN767" i="1"/>
  <c r="BO767" i="1"/>
  <c r="BN768" i="1"/>
  <c r="BO768" i="1"/>
  <c r="BN769" i="1"/>
  <c r="BO769" i="1"/>
  <c r="BN770" i="1"/>
  <c r="BO770" i="1"/>
  <c r="BN771" i="1"/>
  <c r="BO771" i="1"/>
  <c r="BN772" i="1"/>
  <c r="BO772" i="1"/>
  <c r="BN773" i="1"/>
  <c r="BO773" i="1"/>
  <c r="BN774" i="1"/>
  <c r="BO774" i="1"/>
  <c r="BN775" i="1"/>
  <c r="BO775" i="1"/>
  <c r="BN776" i="1"/>
  <c r="BO776" i="1"/>
  <c r="BN777" i="1"/>
  <c r="BO777" i="1"/>
  <c r="BN778" i="1"/>
  <c r="BO778" i="1"/>
  <c r="BN779" i="1"/>
  <c r="BO779" i="1"/>
  <c r="BN780" i="1"/>
  <c r="BO780" i="1"/>
  <c r="BN781" i="1"/>
  <c r="BO781" i="1"/>
  <c r="BN782" i="1"/>
  <c r="BO782" i="1"/>
  <c r="BN783" i="1"/>
  <c r="BO783" i="1"/>
  <c r="BN784" i="1"/>
  <c r="BO784" i="1"/>
  <c r="BN785" i="1"/>
  <c r="BO785" i="1"/>
  <c r="BN815" i="1"/>
  <c r="BO815" i="1"/>
  <c r="BN817" i="1"/>
  <c r="BO817" i="1"/>
  <c r="BN788" i="1"/>
  <c r="BO788" i="1"/>
  <c r="BN821" i="1"/>
  <c r="BO821" i="1"/>
  <c r="BN822" i="1"/>
  <c r="BO822" i="1"/>
  <c r="BN823" i="1"/>
  <c r="BO823" i="1"/>
  <c r="BN824" i="1"/>
  <c r="BO824" i="1"/>
  <c r="BN825" i="1"/>
  <c r="BO825" i="1"/>
  <c r="BN826" i="1"/>
  <c r="BO826" i="1"/>
  <c r="BN789" i="1"/>
  <c r="BO789" i="1"/>
  <c r="BN827" i="1"/>
  <c r="BO827" i="1"/>
  <c r="BN828" i="1"/>
  <c r="BO828" i="1"/>
  <c r="BN790" i="1"/>
  <c r="BO790" i="1"/>
  <c r="BN791" i="1"/>
  <c r="BO791" i="1"/>
  <c r="BN792" i="1"/>
  <c r="BO792" i="1"/>
  <c r="BN793" i="1"/>
  <c r="BO793" i="1"/>
  <c r="BN794" i="1"/>
  <c r="BO794" i="1"/>
  <c r="BN795" i="1"/>
  <c r="BO795" i="1"/>
  <c r="BN796" i="1"/>
  <c r="BO796" i="1"/>
  <c r="BN798" i="1"/>
  <c r="BO798" i="1"/>
  <c r="BN799" i="1"/>
  <c r="BO799" i="1"/>
  <c r="BN800" i="1"/>
  <c r="BO800" i="1"/>
  <c r="BN801" i="1"/>
  <c r="BO801" i="1"/>
  <c r="BN802" i="1"/>
  <c r="BO802" i="1"/>
  <c r="BN803" i="1"/>
  <c r="BO803" i="1"/>
  <c r="BN804" i="1"/>
  <c r="BO804" i="1"/>
  <c r="BN805" i="1"/>
  <c r="BO805" i="1"/>
  <c r="BN806" i="1"/>
  <c r="BO806" i="1"/>
  <c r="BN807" i="1"/>
  <c r="BO807" i="1"/>
  <c r="BN808" i="1"/>
  <c r="BO808" i="1"/>
  <c r="BN809" i="1"/>
  <c r="BO809" i="1"/>
  <c r="BN810" i="1"/>
  <c r="BO810" i="1"/>
  <c r="BN811" i="1"/>
  <c r="BO811" i="1"/>
  <c r="BN812" i="1"/>
  <c r="BO812" i="1"/>
  <c r="BN813" i="1"/>
  <c r="BO813" i="1"/>
  <c r="BN814" i="1"/>
  <c r="BO814" i="1"/>
  <c r="BN816" i="1"/>
  <c r="BO816" i="1"/>
  <c r="BN818" i="1"/>
  <c r="BO818" i="1"/>
  <c r="BN819" i="1"/>
  <c r="BO819" i="1"/>
  <c r="BN820" i="1"/>
  <c r="BO820" i="1"/>
  <c r="BN829" i="1"/>
  <c r="BO829" i="1"/>
  <c r="BN830" i="1"/>
  <c r="BO830" i="1"/>
  <c r="BN831" i="1"/>
  <c r="BO831" i="1"/>
  <c r="BN832" i="1"/>
  <c r="BO832" i="1"/>
  <c r="BN833" i="1"/>
  <c r="BO833" i="1"/>
  <c r="BN834" i="1"/>
  <c r="BO834" i="1"/>
  <c r="BN835" i="1"/>
  <c r="BO835" i="1"/>
  <c r="BN836" i="1"/>
  <c r="BO836" i="1"/>
  <c r="BN837" i="1"/>
  <c r="BO837" i="1"/>
  <c r="BN838" i="1"/>
  <c r="BO838" i="1"/>
  <c r="BN839" i="1"/>
  <c r="BO839" i="1"/>
  <c r="BN840" i="1"/>
  <c r="BO840" i="1"/>
  <c r="BN841" i="1"/>
  <c r="BO841" i="1"/>
  <c r="BN842" i="1"/>
  <c r="BO842" i="1"/>
  <c r="BN843" i="1"/>
  <c r="BO843" i="1"/>
  <c r="BN844" i="1"/>
  <c r="BO844" i="1"/>
  <c r="BN845" i="1"/>
  <c r="BO845" i="1"/>
  <c r="BN846" i="1"/>
  <c r="BO846" i="1"/>
  <c r="BN847" i="1"/>
  <c r="BO847" i="1"/>
  <c r="BN848" i="1"/>
  <c r="BO848" i="1"/>
  <c r="BN849" i="1"/>
  <c r="BO849" i="1"/>
  <c r="BN850" i="1"/>
  <c r="BO850" i="1"/>
  <c r="BN851" i="1"/>
  <c r="BO851" i="1"/>
  <c r="BN852" i="1"/>
  <c r="BO852" i="1"/>
  <c r="BN853" i="1"/>
  <c r="BO853" i="1"/>
  <c r="BN854" i="1"/>
  <c r="BO854" i="1"/>
  <c r="BN855" i="1"/>
  <c r="BO855" i="1"/>
  <c r="BN856" i="1"/>
  <c r="BO856" i="1"/>
  <c r="BN857" i="1"/>
  <c r="BO857" i="1"/>
  <c r="BN858" i="1"/>
  <c r="BO858" i="1"/>
  <c r="BN859" i="1"/>
  <c r="BO859" i="1"/>
  <c r="BN860" i="1"/>
  <c r="BO860" i="1"/>
  <c r="BN861" i="1"/>
  <c r="BO861" i="1"/>
  <c r="BN862" i="1"/>
  <c r="BO862" i="1"/>
  <c r="BN863" i="1"/>
  <c r="BO863" i="1"/>
  <c r="BN864" i="1"/>
  <c r="BO864" i="1"/>
  <c r="BN865" i="1"/>
  <c r="BO865" i="1"/>
  <c r="BN866" i="1"/>
  <c r="BO866" i="1"/>
  <c r="BN867" i="1"/>
  <c r="BO867" i="1"/>
  <c r="BN868" i="1"/>
  <c r="BO868" i="1"/>
  <c r="BN869" i="1"/>
  <c r="BO869" i="1"/>
  <c r="BN870" i="1"/>
  <c r="BO870" i="1"/>
  <c r="BN871" i="1"/>
  <c r="BO871" i="1"/>
  <c r="BN872" i="1"/>
  <c r="BO872" i="1"/>
  <c r="BN873" i="1"/>
  <c r="BO873" i="1"/>
  <c r="BN874" i="1"/>
  <c r="BO874" i="1"/>
  <c r="BN875" i="1"/>
  <c r="BO875" i="1"/>
  <c r="BN876" i="1"/>
  <c r="BO876" i="1"/>
  <c r="BN877" i="1"/>
  <c r="BO877" i="1"/>
  <c r="BN878" i="1"/>
  <c r="BO878" i="1"/>
  <c r="BN879" i="1"/>
  <c r="BO879" i="1"/>
  <c r="BN880" i="1"/>
  <c r="BO880" i="1"/>
  <c r="BN881" i="1"/>
  <c r="BO881" i="1"/>
  <c r="BN882" i="1"/>
  <c r="BO882" i="1"/>
  <c r="BN883" i="1"/>
  <c r="BO883" i="1"/>
  <c r="BN884" i="1"/>
  <c r="BO884" i="1"/>
  <c r="BN885" i="1"/>
  <c r="BO885" i="1"/>
  <c r="BN886" i="1"/>
  <c r="BO886" i="1"/>
  <c r="BN887" i="1"/>
  <c r="BO887" i="1"/>
  <c r="BN888" i="1"/>
  <c r="BO888" i="1"/>
  <c r="BN889" i="1"/>
  <c r="BO889" i="1"/>
  <c r="BN890" i="1"/>
  <c r="BO890" i="1"/>
  <c r="BN891" i="1"/>
  <c r="BO891" i="1"/>
  <c r="BN892" i="1"/>
  <c r="BO892" i="1"/>
  <c r="BN893" i="1"/>
  <c r="BO893" i="1"/>
  <c r="BN894" i="1"/>
  <c r="BO894" i="1"/>
  <c r="BN895" i="1"/>
  <c r="BO895" i="1"/>
  <c r="BN896" i="1"/>
  <c r="BO896" i="1"/>
  <c r="BN897" i="1"/>
  <c r="BO897" i="1"/>
  <c r="BN898" i="1"/>
  <c r="BO898" i="1"/>
  <c r="BN899" i="1"/>
  <c r="BO899" i="1"/>
  <c r="BN900" i="1"/>
  <c r="BO900" i="1"/>
  <c r="BN901" i="1"/>
  <c r="BO901" i="1"/>
  <c r="BN902" i="1"/>
  <c r="BO902" i="1"/>
  <c r="BN903" i="1"/>
  <c r="BO903" i="1"/>
  <c r="BN904" i="1"/>
  <c r="BO904" i="1"/>
  <c r="BN905" i="1"/>
  <c r="BO905" i="1"/>
  <c r="BN906" i="1"/>
  <c r="BO906" i="1"/>
  <c r="BO907" i="1"/>
  <c r="BO908" i="1"/>
  <c r="BO909" i="1"/>
  <c r="BN910" i="1"/>
  <c r="BO910" i="1"/>
  <c r="BN911" i="1"/>
  <c r="BO911" i="1"/>
  <c r="BN912" i="1"/>
  <c r="BO912" i="1"/>
  <c r="BN913" i="1"/>
  <c r="BO913" i="1"/>
  <c r="BN914" i="1"/>
  <c r="BO914" i="1"/>
  <c r="BN915" i="1"/>
  <c r="BO915" i="1"/>
  <c r="BN916" i="1"/>
  <c r="BO916" i="1"/>
  <c r="BN917" i="1"/>
  <c r="BO917" i="1"/>
  <c r="BN918" i="1"/>
  <c r="BO918" i="1"/>
  <c r="BN919" i="1"/>
  <c r="BO919" i="1"/>
  <c r="BN920" i="1"/>
  <c r="BO920" i="1"/>
  <c r="BN921" i="1"/>
  <c r="BO921" i="1"/>
  <c r="BN922" i="1"/>
  <c r="BO922" i="1"/>
  <c r="BN923" i="1"/>
  <c r="BO923" i="1"/>
  <c r="BN924" i="1"/>
  <c r="BO924" i="1"/>
  <c r="BN925" i="1"/>
  <c r="BO925" i="1"/>
  <c r="BN926" i="1"/>
  <c r="BO926" i="1"/>
  <c r="BN927" i="1"/>
  <c r="BO927" i="1"/>
  <c r="BN928" i="1"/>
  <c r="BO928" i="1"/>
  <c r="BO929" i="1"/>
  <c r="BN930" i="1"/>
  <c r="BO930" i="1"/>
  <c r="BN931" i="1"/>
  <c r="BO931" i="1"/>
  <c r="BN932" i="1"/>
  <c r="BO932" i="1"/>
  <c r="BN933" i="1"/>
  <c r="BO933" i="1"/>
  <c r="BN934" i="1"/>
  <c r="BO934" i="1"/>
  <c r="BN935" i="1"/>
  <c r="BO935" i="1"/>
  <c r="BN936" i="1"/>
  <c r="BO936" i="1"/>
  <c r="BN937" i="1"/>
  <c r="BO937" i="1"/>
  <c r="BN938" i="1"/>
  <c r="BO938" i="1"/>
  <c r="BN939" i="1"/>
  <c r="BO939" i="1"/>
  <c r="BN940" i="1"/>
  <c r="BO940" i="1"/>
  <c r="BN941" i="1"/>
  <c r="BO941" i="1"/>
  <c r="BN942" i="1"/>
  <c r="BO942" i="1"/>
  <c r="BN943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N1006" i="1"/>
  <c r="BO1006" i="1"/>
  <c r="BO1007" i="1"/>
  <c r="BO1008" i="1"/>
  <c r="BN1009" i="1"/>
  <c r="BO1009" i="1"/>
  <c r="BO1010" i="1"/>
  <c r="BO1011" i="1"/>
  <c r="BN1012" i="1"/>
  <c r="BO1012" i="1"/>
  <c r="BO1013" i="1"/>
  <c r="BO1014" i="1"/>
  <c r="BO1015" i="1"/>
  <c r="BN1016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N1031" i="1"/>
  <c r="BO1031" i="1"/>
  <c r="BN1032" i="1"/>
  <c r="BO1032" i="1"/>
  <c r="BN1033" i="1"/>
  <c r="BO1033" i="1"/>
  <c r="BN1034" i="1"/>
  <c r="BO1034" i="1"/>
  <c r="BN1035" i="1"/>
  <c r="BO1035" i="1"/>
  <c r="BN1036" i="1"/>
  <c r="BO1036" i="1"/>
  <c r="BN1037" i="1"/>
  <c r="BO1037" i="1"/>
  <c r="BN1038" i="1"/>
  <c r="BO1038" i="1"/>
  <c r="BN1039" i="1"/>
  <c r="BO1039" i="1"/>
  <c r="BN1040" i="1"/>
  <c r="BO1040" i="1"/>
  <c r="BN1041" i="1"/>
  <c r="BO1041" i="1"/>
  <c r="BN1042" i="1"/>
  <c r="BO1042" i="1"/>
  <c r="BN1043" i="1"/>
  <c r="BO1043" i="1"/>
  <c r="BN1044" i="1"/>
  <c r="BO1044" i="1"/>
  <c r="BN1045" i="1"/>
  <c r="BO1045" i="1"/>
  <c r="BN1046" i="1"/>
  <c r="BO1046" i="1"/>
  <c r="BN1047" i="1"/>
  <c r="BO1047" i="1"/>
  <c r="BN1048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N1061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N797" i="1"/>
  <c r="BO797" i="1"/>
  <c r="BN786" i="1"/>
  <c r="BO786" i="1"/>
  <c r="BN787" i="1"/>
  <c r="BO787" i="1"/>
  <c r="BN1122" i="1"/>
  <c r="BO1122" i="1"/>
  <c r="BN1123" i="1"/>
  <c r="BO1123" i="1"/>
  <c r="BN1124" i="1"/>
  <c r="BO1124" i="1"/>
  <c r="BN1125" i="1"/>
  <c r="BO1125" i="1"/>
  <c r="BN1126" i="1"/>
  <c r="BO1126" i="1"/>
  <c r="BN1127" i="1"/>
  <c r="BO1127" i="1"/>
  <c r="BN1128" i="1"/>
  <c r="BO1128" i="1"/>
  <c r="BN1129" i="1"/>
  <c r="BO1129" i="1"/>
  <c r="BN1130" i="1"/>
  <c r="BO1130" i="1"/>
  <c r="BN1131" i="1"/>
  <c r="BO1131" i="1"/>
  <c r="BN1132" i="1"/>
  <c r="BO1132" i="1"/>
  <c r="BN1133" i="1"/>
  <c r="BO1133" i="1"/>
  <c r="BN1134" i="1"/>
  <c r="BO1134" i="1"/>
  <c r="BN1135" i="1"/>
  <c r="BO1135" i="1"/>
  <c r="BK1135" i="1"/>
  <c r="BK18" i="1"/>
  <c r="BK25" i="1"/>
  <c r="BK161" i="1"/>
  <c r="BK40" i="1"/>
  <c r="BK219" i="1"/>
  <c r="BK41" i="1"/>
  <c r="BK45" i="1"/>
  <c r="BK47" i="1"/>
  <c r="BK49" i="1"/>
  <c r="BK50" i="1"/>
  <c r="BK51" i="1"/>
  <c r="BK52" i="1"/>
  <c r="BK53" i="1"/>
  <c r="BK54" i="1"/>
  <c r="BK55" i="1"/>
  <c r="BK56" i="1"/>
  <c r="BK58" i="1"/>
  <c r="BK61" i="1"/>
  <c r="BK63" i="1"/>
  <c r="BK64" i="1"/>
  <c r="BK66" i="1"/>
  <c r="BK72" i="1"/>
  <c r="BK74" i="1"/>
  <c r="BK75" i="1"/>
  <c r="BK78" i="1"/>
  <c r="BK79" i="1"/>
  <c r="BK80" i="1"/>
  <c r="BK82" i="1"/>
  <c r="BK83" i="1"/>
  <c r="BK84" i="1"/>
  <c r="BK85" i="1"/>
  <c r="BK86" i="1"/>
  <c r="BK87" i="1"/>
  <c r="BK88" i="1"/>
  <c r="BK89" i="1"/>
  <c r="BK90" i="1"/>
  <c r="BK91" i="1"/>
  <c r="BK92" i="1"/>
  <c r="BK94" i="1"/>
  <c r="BK95" i="1"/>
  <c r="BK96" i="1"/>
  <c r="BK97" i="1"/>
  <c r="BK98" i="1"/>
  <c r="BK240" i="1"/>
  <c r="BK99" i="1"/>
  <c r="BK100" i="1"/>
  <c r="BK101" i="1"/>
  <c r="BK102" i="1"/>
  <c r="BK103" i="1"/>
  <c r="BK104" i="1"/>
  <c r="BK341" i="1"/>
  <c r="BK105" i="1"/>
  <c r="BK106" i="1"/>
  <c r="BK107" i="1"/>
  <c r="BK108" i="1"/>
  <c r="BK109" i="1"/>
  <c r="BK110" i="1"/>
  <c r="BK111" i="1"/>
  <c r="BK68" i="1"/>
  <c r="BK69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237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675" i="1"/>
  <c r="BK178" i="1"/>
  <c r="BK179" i="1"/>
  <c r="BK180" i="1"/>
  <c r="BK181" i="1"/>
  <c r="BK182" i="1"/>
  <c r="BK183" i="1"/>
  <c r="BK184" i="1"/>
  <c r="BK185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691" i="1"/>
  <c r="BK203" i="1"/>
  <c r="BK204" i="1"/>
  <c r="BK206" i="1"/>
  <c r="BK207" i="1"/>
  <c r="BK208" i="1"/>
  <c r="BK209" i="1"/>
  <c r="BK210" i="1"/>
  <c r="BK211" i="1"/>
  <c r="BK485" i="1"/>
  <c r="BK213" i="1"/>
  <c r="BK214" i="1"/>
  <c r="BK215" i="1"/>
  <c r="BK216" i="1"/>
  <c r="BK217" i="1"/>
  <c r="BK218" i="1"/>
  <c r="BK220" i="1"/>
  <c r="BK221" i="1"/>
  <c r="BK222" i="1"/>
  <c r="BK672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8" i="1"/>
  <c r="BK239" i="1"/>
  <c r="BK242" i="1"/>
  <c r="BK289" i="1"/>
  <c r="BK243" i="1"/>
  <c r="BK244" i="1"/>
  <c r="BK246" i="1"/>
  <c r="BK247" i="1"/>
  <c r="BK248" i="1"/>
  <c r="BK249" i="1"/>
  <c r="BK481" i="1"/>
  <c r="BK250" i="1"/>
  <c r="BK205" i="1"/>
  <c r="BK251" i="1"/>
  <c r="BK252" i="1"/>
  <c r="BK253" i="1"/>
  <c r="BK254" i="1"/>
  <c r="BK255" i="1"/>
  <c r="BK256" i="1"/>
  <c r="BK258" i="1"/>
  <c r="BK709" i="1"/>
  <c r="BK259" i="1"/>
  <c r="BK260" i="1"/>
  <c r="BK261" i="1"/>
  <c r="BK262" i="1"/>
  <c r="BK263" i="1"/>
  <c r="BK265" i="1"/>
  <c r="BK266" i="1"/>
  <c r="BK267" i="1"/>
  <c r="BK268" i="1"/>
  <c r="BK269" i="1"/>
  <c r="BK270" i="1"/>
  <c r="BK271" i="1"/>
  <c r="BK223" i="1"/>
  <c r="BK272" i="1"/>
  <c r="BK274" i="1"/>
  <c r="BK275" i="1"/>
  <c r="BK276" i="1"/>
  <c r="BK277" i="1"/>
  <c r="BK278" i="1"/>
  <c r="BK279" i="1"/>
  <c r="BK281" i="1"/>
  <c r="BK282" i="1"/>
  <c r="BK283" i="1"/>
  <c r="BK284" i="1"/>
  <c r="BK285" i="1"/>
  <c r="BK286" i="1"/>
  <c r="BK287" i="1"/>
  <c r="BK288" i="1"/>
  <c r="BK290" i="1"/>
  <c r="BK291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5" i="1"/>
  <c r="BK316" i="1"/>
  <c r="BK317" i="1"/>
  <c r="BK318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689" i="1"/>
  <c r="BK338" i="1"/>
  <c r="BK339" i="1"/>
  <c r="BK340" i="1"/>
  <c r="BK342" i="1"/>
  <c r="BK343" i="1"/>
  <c r="BK344" i="1"/>
  <c r="BK345" i="1"/>
  <c r="BK346" i="1"/>
  <c r="BK699" i="1"/>
  <c r="BK347" i="1"/>
  <c r="BK348" i="1"/>
  <c r="BK349" i="1"/>
  <c r="BK350" i="1"/>
  <c r="BK351" i="1"/>
  <c r="BK352" i="1"/>
  <c r="BK353" i="1"/>
  <c r="BK354" i="1"/>
  <c r="BK355" i="1"/>
  <c r="BK356" i="1"/>
  <c r="BK357" i="1"/>
  <c r="BK359" i="1"/>
  <c r="BK360" i="1"/>
  <c r="BK361" i="1"/>
  <c r="BK716" i="1"/>
  <c r="BK362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212" i="1"/>
  <c r="BK409" i="1"/>
  <c r="BK410" i="1"/>
  <c r="BK411" i="1"/>
  <c r="BK412" i="1"/>
  <c r="BK413" i="1"/>
  <c r="BK414" i="1"/>
  <c r="BK415" i="1"/>
  <c r="BK416" i="1"/>
  <c r="BK177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186" i="1"/>
  <c r="BK433" i="1"/>
  <c r="BK434" i="1"/>
  <c r="BK435" i="1"/>
  <c r="BK436" i="1"/>
  <c r="BK437" i="1"/>
  <c r="BK438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93" i="1"/>
  <c r="BK458" i="1"/>
  <c r="BK379" i="1"/>
  <c r="BK380" i="1"/>
  <c r="BK460" i="1"/>
  <c r="BK461" i="1"/>
  <c r="BK462" i="1"/>
  <c r="BK439" i="1"/>
  <c r="BK463" i="1"/>
  <c r="BK464" i="1"/>
  <c r="BK465" i="1"/>
  <c r="BK466" i="1"/>
  <c r="BK467" i="1"/>
  <c r="BK20" i="1"/>
  <c r="BK469" i="1"/>
  <c r="BK470" i="1"/>
  <c r="BK472" i="1"/>
  <c r="BK473" i="1"/>
  <c r="BK474" i="1"/>
  <c r="BK31" i="1"/>
  <c r="BK476" i="1"/>
  <c r="BK32" i="1"/>
  <c r="BK477" i="1"/>
  <c r="BK478" i="1"/>
  <c r="BK479" i="1"/>
  <c r="BK480" i="1"/>
  <c r="BK482" i="1"/>
  <c r="BK483" i="1"/>
  <c r="BK471" i="1"/>
  <c r="BK475" i="1"/>
  <c r="BK484" i="1"/>
  <c r="BK486" i="1"/>
  <c r="BK489" i="1"/>
  <c r="BK490" i="1"/>
  <c r="BK491" i="1"/>
  <c r="BK492" i="1"/>
  <c r="BK493" i="1"/>
  <c r="BK459" i="1"/>
  <c r="BK494" i="1"/>
  <c r="BK495" i="1"/>
  <c r="BK496" i="1"/>
  <c r="BK497" i="1"/>
  <c r="BK498" i="1"/>
  <c r="BK499" i="1"/>
  <c r="BK500" i="1"/>
  <c r="BK501" i="1"/>
  <c r="BK502" i="1"/>
  <c r="BK503" i="1"/>
  <c r="BK504" i="1"/>
  <c r="BK468" i="1"/>
  <c r="BK506" i="1"/>
  <c r="BK507" i="1"/>
  <c r="BK510" i="1"/>
  <c r="BK514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11" i="1"/>
  <c r="BK550" i="1"/>
  <c r="BK551" i="1"/>
  <c r="BK552" i="1"/>
  <c r="BK553" i="1"/>
  <c r="BK512" i="1"/>
  <c r="BK513" i="1"/>
  <c r="BK554" i="1"/>
  <c r="BK555" i="1"/>
  <c r="BK556" i="1"/>
  <c r="BK557" i="1"/>
  <c r="BK558" i="1"/>
  <c r="BK559" i="1"/>
  <c r="BK560" i="1"/>
  <c r="BK515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487" i="1"/>
  <c r="BK488" i="1"/>
  <c r="BK670" i="1"/>
  <c r="BK671" i="1"/>
  <c r="BK673" i="1"/>
  <c r="BK674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90" i="1"/>
  <c r="BK692" i="1"/>
  <c r="BK693" i="1"/>
  <c r="BK694" i="1"/>
  <c r="BK695" i="1"/>
  <c r="BK505" i="1"/>
  <c r="BK696" i="1"/>
  <c r="BK697" i="1"/>
  <c r="BK698" i="1"/>
  <c r="BK508" i="1"/>
  <c r="BK700" i="1"/>
  <c r="BK509" i="1"/>
  <c r="BK701" i="1"/>
  <c r="BK702" i="1"/>
  <c r="BK703" i="1"/>
  <c r="BK704" i="1"/>
  <c r="BK705" i="1"/>
  <c r="BK706" i="1"/>
  <c r="BK707" i="1"/>
  <c r="BK708" i="1"/>
  <c r="BK710" i="1"/>
  <c r="BK711" i="1"/>
  <c r="BK712" i="1"/>
  <c r="BK713" i="1"/>
  <c r="BK714" i="1"/>
  <c r="BK715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815" i="1"/>
  <c r="BK817" i="1"/>
  <c r="BK788" i="1"/>
  <c r="BK821" i="1"/>
  <c r="BK822" i="1"/>
  <c r="BK823" i="1"/>
  <c r="BK824" i="1"/>
  <c r="BK825" i="1"/>
  <c r="BK826" i="1"/>
  <c r="BK789" i="1"/>
  <c r="BK827" i="1"/>
  <c r="BK828" i="1"/>
  <c r="BK790" i="1"/>
  <c r="BK791" i="1"/>
  <c r="BK792" i="1"/>
  <c r="BK793" i="1"/>
  <c r="BK794" i="1"/>
  <c r="BK795" i="1"/>
  <c r="BK796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6" i="1"/>
  <c r="BK818" i="1"/>
  <c r="BK819" i="1"/>
  <c r="BK820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797" i="1"/>
  <c r="BK786" i="1"/>
  <c r="BK787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1" i="1"/>
  <c r="BE22" i="1"/>
  <c r="BE257" i="1"/>
  <c r="BE23" i="1"/>
  <c r="BE24" i="1"/>
  <c r="BE25" i="1"/>
  <c r="BE26" i="1"/>
  <c r="BE27" i="1"/>
  <c r="BE28" i="1"/>
  <c r="BE29" i="1"/>
  <c r="BE30" i="1"/>
  <c r="BE161" i="1"/>
  <c r="BE33" i="1"/>
  <c r="BE34" i="1"/>
  <c r="BE35" i="1"/>
  <c r="BE36" i="1"/>
  <c r="BE37" i="1"/>
  <c r="BE363" i="1"/>
  <c r="BE38" i="1"/>
  <c r="BE39" i="1"/>
  <c r="BE40" i="1"/>
  <c r="BE219" i="1"/>
  <c r="BE319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4" i="1"/>
  <c r="BE95" i="1"/>
  <c r="BE96" i="1"/>
  <c r="BE97" i="1"/>
  <c r="BE98" i="1"/>
  <c r="BE240" i="1"/>
  <c r="BE99" i="1"/>
  <c r="BE100" i="1"/>
  <c r="BE101" i="1"/>
  <c r="BE102" i="1"/>
  <c r="BE103" i="1"/>
  <c r="BE104" i="1"/>
  <c r="BE341" i="1"/>
  <c r="BE105" i="1"/>
  <c r="BE106" i="1"/>
  <c r="BE107" i="1"/>
  <c r="BE108" i="1"/>
  <c r="BE109" i="1"/>
  <c r="BE110" i="1"/>
  <c r="BE111" i="1"/>
  <c r="BE68" i="1"/>
  <c r="BE69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237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675" i="1"/>
  <c r="BE178" i="1"/>
  <c r="BE179" i="1"/>
  <c r="BE180" i="1"/>
  <c r="BE181" i="1"/>
  <c r="BE182" i="1"/>
  <c r="BE183" i="1"/>
  <c r="BE184" i="1"/>
  <c r="BE185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691" i="1"/>
  <c r="BE203" i="1"/>
  <c r="BE204" i="1"/>
  <c r="BE206" i="1"/>
  <c r="BE207" i="1"/>
  <c r="BE208" i="1"/>
  <c r="BE209" i="1"/>
  <c r="BE210" i="1"/>
  <c r="BE211" i="1"/>
  <c r="BE485" i="1"/>
  <c r="BE213" i="1"/>
  <c r="BE214" i="1"/>
  <c r="BE215" i="1"/>
  <c r="BE216" i="1"/>
  <c r="BE217" i="1"/>
  <c r="BE218" i="1"/>
  <c r="BE220" i="1"/>
  <c r="BE221" i="1"/>
  <c r="BE222" i="1"/>
  <c r="BE672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8" i="1"/>
  <c r="BE239" i="1"/>
  <c r="BE241" i="1"/>
  <c r="BE242" i="1"/>
  <c r="BE289" i="1"/>
  <c r="BE243" i="1"/>
  <c r="BE244" i="1"/>
  <c r="BE245" i="1"/>
  <c r="BE246" i="1"/>
  <c r="BE247" i="1"/>
  <c r="BE248" i="1"/>
  <c r="BE249" i="1"/>
  <c r="BE481" i="1"/>
  <c r="BE250" i="1"/>
  <c r="BE205" i="1"/>
  <c r="BE251" i="1"/>
  <c r="BE252" i="1"/>
  <c r="BE253" i="1"/>
  <c r="BE254" i="1"/>
  <c r="BE255" i="1"/>
  <c r="BE256" i="1"/>
  <c r="BE258" i="1"/>
  <c r="BE709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23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689" i="1"/>
  <c r="BE338" i="1"/>
  <c r="BE339" i="1"/>
  <c r="BE340" i="1"/>
  <c r="BE342" i="1"/>
  <c r="BE343" i="1"/>
  <c r="BE344" i="1"/>
  <c r="BE345" i="1"/>
  <c r="BE346" i="1"/>
  <c r="BE699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716" i="1"/>
  <c r="BE362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212" i="1"/>
  <c r="BE409" i="1"/>
  <c r="BE410" i="1"/>
  <c r="BE411" i="1"/>
  <c r="BE412" i="1"/>
  <c r="BE413" i="1"/>
  <c r="BE414" i="1"/>
  <c r="BE415" i="1"/>
  <c r="BE416" i="1"/>
  <c r="BE177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186" i="1"/>
  <c r="BE433" i="1"/>
  <c r="BE434" i="1"/>
  <c r="BE435" i="1"/>
  <c r="BE436" i="1"/>
  <c r="BE437" i="1"/>
  <c r="BE438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93" i="1"/>
  <c r="BE458" i="1"/>
  <c r="BE379" i="1"/>
  <c r="BE380" i="1"/>
  <c r="BE460" i="1"/>
  <c r="BE461" i="1"/>
  <c r="BE462" i="1"/>
  <c r="BE439" i="1"/>
  <c r="BE463" i="1"/>
  <c r="BE464" i="1"/>
  <c r="BE465" i="1"/>
  <c r="BE466" i="1"/>
  <c r="BE467" i="1"/>
  <c r="BE20" i="1"/>
  <c r="BE469" i="1"/>
  <c r="BE470" i="1"/>
  <c r="BE472" i="1"/>
  <c r="BE473" i="1"/>
  <c r="BE474" i="1"/>
  <c r="BE31" i="1"/>
  <c r="BE476" i="1"/>
  <c r="BE32" i="1"/>
  <c r="BE477" i="1"/>
  <c r="BE478" i="1"/>
  <c r="BE479" i="1"/>
  <c r="BE480" i="1"/>
  <c r="BE482" i="1"/>
  <c r="BE483" i="1"/>
  <c r="BE471" i="1"/>
  <c r="BE475" i="1"/>
  <c r="BE484" i="1"/>
  <c r="BE486" i="1"/>
  <c r="BE489" i="1"/>
  <c r="BE490" i="1"/>
  <c r="BE491" i="1"/>
  <c r="BE492" i="1"/>
  <c r="BE493" i="1"/>
  <c r="BE459" i="1"/>
  <c r="BE494" i="1"/>
  <c r="BE495" i="1"/>
  <c r="BE496" i="1"/>
  <c r="BE497" i="1"/>
  <c r="BE498" i="1"/>
  <c r="BE499" i="1"/>
  <c r="BE500" i="1"/>
  <c r="BE501" i="1"/>
  <c r="BE502" i="1"/>
  <c r="BE503" i="1"/>
  <c r="BE504" i="1"/>
  <c r="BE468" i="1"/>
  <c r="BE506" i="1"/>
  <c r="BE507" i="1"/>
  <c r="BE510" i="1"/>
  <c r="BE514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11" i="1"/>
  <c r="BE550" i="1"/>
  <c r="BE551" i="1"/>
  <c r="BE552" i="1"/>
  <c r="BE553" i="1"/>
  <c r="BE512" i="1"/>
  <c r="BE513" i="1"/>
  <c r="BE554" i="1"/>
  <c r="BE555" i="1"/>
  <c r="BE556" i="1"/>
  <c r="BE557" i="1"/>
  <c r="BE558" i="1"/>
  <c r="BE559" i="1"/>
  <c r="BE560" i="1"/>
  <c r="BE515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487" i="1"/>
  <c r="BE488" i="1"/>
  <c r="BE670" i="1"/>
  <c r="BE671" i="1"/>
  <c r="BE673" i="1"/>
  <c r="BE674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90" i="1"/>
  <c r="BE692" i="1"/>
  <c r="BE693" i="1"/>
  <c r="BE694" i="1"/>
  <c r="BE695" i="1"/>
  <c r="BE505" i="1"/>
  <c r="BE696" i="1"/>
  <c r="BE697" i="1"/>
  <c r="BE698" i="1"/>
  <c r="BE508" i="1"/>
  <c r="BE700" i="1"/>
  <c r="BE509" i="1"/>
  <c r="BE701" i="1"/>
  <c r="BE702" i="1"/>
  <c r="BE703" i="1"/>
  <c r="BE704" i="1"/>
  <c r="BE705" i="1"/>
  <c r="BE706" i="1"/>
  <c r="BE707" i="1"/>
  <c r="BE708" i="1"/>
  <c r="BE710" i="1"/>
  <c r="BE711" i="1"/>
  <c r="BE712" i="1"/>
  <c r="BE713" i="1"/>
  <c r="BE714" i="1"/>
  <c r="BE715" i="1"/>
  <c r="BE717" i="1"/>
  <c r="BE815" i="1"/>
  <c r="BE817" i="1"/>
  <c r="BE788" i="1"/>
  <c r="BE821" i="1"/>
  <c r="BE822" i="1"/>
  <c r="BE823" i="1"/>
  <c r="BE824" i="1"/>
  <c r="BE825" i="1"/>
  <c r="BE826" i="1"/>
  <c r="BE789" i="1"/>
  <c r="BE827" i="1"/>
  <c r="BE828" i="1"/>
  <c r="BE790" i="1"/>
  <c r="BE791" i="1"/>
  <c r="BE792" i="1"/>
  <c r="BE793" i="1"/>
  <c r="BE794" i="1"/>
  <c r="BE795" i="1"/>
  <c r="BE796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6" i="1"/>
  <c r="BE818" i="1"/>
  <c r="BE819" i="1"/>
  <c r="BE820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797" i="1"/>
  <c r="BE786" i="1"/>
  <c r="BE787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AY4" i="1"/>
  <c r="AZ4" i="1" s="1"/>
  <c r="BA4" i="1"/>
  <c r="AY5" i="1"/>
  <c r="AZ5" i="1" s="1"/>
  <c r="BA5" i="1"/>
  <c r="AY6" i="1"/>
  <c r="AZ6" i="1" s="1"/>
  <c r="BA6" i="1"/>
  <c r="AY7" i="1"/>
  <c r="AZ7" i="1" s="1"/>
  <c r="BA7" i="1"/>
  <c r="AY8" i="1"/>
  <c r="AZ8" i="1" s="1"/>
  <c r="BA8" i="1"/>
  <c r="AY9" i="1"/>
  <c r="AZ9" i="1" s="1"/>
  <c r="BA9" i="1"/>
  <c r="AY10" i="1"/>
  <c r="AZ10" i="1" s="1"/>
  <c r="BA10" i="1"/>
  <c r="AY11" i="1"/>
  <c r="AZ11" i="1" s="1"/>
  <c r="BA11" i="1"/>
  <c r="AY12" i="1"/>
  <c r="AZ12" i="1" s="1"/>
  <c r="BA12" i="1"/>
  <c r="AY13" i="1"/>
  <c r="AZ13" i="1" s="1"/>
  <c r="BA13" i="1"/>
  <c r="AY14" i="1"/>
  <c r="AZ14" i="1" s="1"/>
  <c r="BA14" i="1"/>
  <c r="AY15" i="1"/>
  <c r="AZ15" i="1" s="1"/>
  <c r="BA15" i="1"/>
  <c r="AY16" i="1"/>
  <c r="AZ16" i="1" s="1"/>
  <c r="BA16" i="1"/>
  <c r="AY17" i="1"/>
  <c r="AZ17" i="1" s="1"/>
  <c r="BA17" i="1"/>
  <c r="AY18" i="1"/>
  <c r="AZ18" i="1" s="1"/>
  <c r="BA18" i="1"/>
  <c r="AY19" i="1"/>
  <c r="AZ19" i="1" s="1"/>
  <c r="BA19" i="1"/>
  <c r="AY21" i="1"/>
  <c r="AZ21" i="1" s="1"/>
  <c r="BA21" i="1"/>
  <c r="AY22" i="1"/>
  <c r="AZ22" i="1" s="1"/>
  <c r="BA22" i="1"/>
  <c r="AY257" i="1"/>
  <c r="AZ257" i="1" s="1"/>
  <c r="BA257" i="1"/>
  <c r="AY23" i="1"/>
  <c r="AZ23" i="1" s="1"/>
  <c r="BA23" i="1"/>
  <c r="AY24" i="1"/>
  <c r="AZ24" i="1" s="1"/>
  <c r="BA24" i="1"/>
  <c r="AY25" i="1"/>
  <c r="AZ25" i="1" s="1"/>
  <c r="BA25" i="1"/>
  <c r="AY26" i="1"/>
  <c r="AZ26" i="1" s="1"/>
  <c r="BA26" i="1"/>
  <c r="AY27" i="1"/>
  <c r="AZ27" i="1" s="1"/>
  <c r="BA27" i="1"/>
  <c r="AY28" i="1"/>
  <c r="AZ28" i="1" s="1"/>
  <c r="BA28" i="1"/>
  <c r="AY29" i="1"/>
  <c r="AZ29" i="1" s="1"/>
  <c r="BA29" i="1"/>
  <c r="AY30" i="1"/>
  <c r="AZ30" i="1" s="1"/>
  <c r="BA30" i="1"/>
  <c r="AY161" i="1"/>
  <c r="AZ161" i="1" s="1"/>
  <c r="BA161" i="1"/>
  <c r="AY33" i="1"/>
  <c r="AZ33" i="1" s="1"/>
  <c r="BA33" i="1"/>
  <c r="AY34" i="1"/>
  <c r="AZ34" i="1" s="1"/>
  <c r="BA34" i="1"/>
  <c r="AY35" i="1"/>
  <c r="AZ35" i="1" s="1"/>
  <c r="BA35" i="1"/>
  <c r="AY36" i="1"/>
  <c r="AZ36" i="1" s="1"/>
  <c r="BA36" i="1"/>
  <c r="AY37" i="1"/>
  <c r="AZ37" i="1" s="1"/>
  <c r="BA37" i="1"/>
  <c r="AY363" i="1"/>
  <c r="AZ363" i="1" s="1"/>
  <c r="BA363" i="1"/>
  <c r="AY38" i="1"/>
  <c r="AZ38" i="1" s="1"/>
  <c r="BA38" i="1"/>
  <c r="AY39" i="1"/>
  <c r="AZ39" i="1" s="1"/>
  <c r="BA39" i="1"/>
  <c r="AY40" i="1"/>
  <c r="AZ40" i="1" s="1"/>
  <c r="BA40" i="1"/>
  <c r="AY219" i="1"/>
  <c r="AZ219" i="1" s="1"/>
  <c r="BA219" i="1"/>
  <c r="AY319" i="1"/>
  <c r="AZ319" i="1" s="1"/>
  <c r="BA319" i="1"/>
  <c r="AY41" i="1"/>
  <c r="AZ41" i="1" s="1"/>
  <c r="BA41" i="1"/>
  <c r="AY42" i="1"/>
  <c r="AZ42" i="1" s="1"/>
  <c r="BA42" i="1"/>
  <c r="AY43" i="1"/>
  <c r="AZ43" i="1" s="1"/>
  <c r="BA43" i="1"/>
  <c r="AY44" i="1"/>
  <c r="AZ44" i="1" s="1"/>
  <c r="BA44" i="1"/>
  <c r="AY45" i="1"/>
  <c r="AZ45" i="1" s="1"/>
  <c r="BA45" i="1"/>
  <c r="AY46" i="1"/>
  <c r="AZ46" i="1" s="1"/>
  <c r="BA46" i="1"/>
  <c r="AY47" i="1"/>
  <c r="AZ47" i="1" s="1"/>
  <c r="BA47" i="1"/>
  <c r="AY48" i="1"/>
  <c r="AZ48" i="1" s="1"/>
  <c r="BA48" i="1"/>
  <c r="AY49" i="1"/>
  <c r="AZ49" i="1" s="1"/>
  <c r="BA49" i="1"/>
  <c r="AY50" i="1"/>
  <c r="AZ50" i="1" s="1"/>
  <c r="BA50" i="1"/>
  <c r="AY51" i="1"/>
  <c r="AZ51" i="1" s="1"/>
  <c r="BA51" i="1"/>
  <c r="AY52" i="1"/>
  <c r="AZ52" i="1" s="1"/>
  <c r="BA52" i="1"/>
  <c r="AY53" i="1"/>
  <c r="AZ53" i="1" s="1"/>
  <c r="BA53" i="1"/>
  <c r="AY54" i="1"/>
  <c r="AZ54" i="1" s="1"/>
  <c r="BA54" i="1"/>
  <c r="AY55" i="1"/>
  <c r="AZ55" i="1" s="1"/>
  <c r="BA55" i="1"/>
  <c r="AY56" i="1"/>
  <c r="AZ56" i="1" s="1"/>
  <c r="BA56" i="1"/>
  <c r="AY57" i="1"/>
  <c r="AZ57" i="1" s="1"/>
  <c r="BA57" i="1"/>
  <c r="AY58" i="1"/>
  <c r="AZ58" i="1" s="1"/>
  <c r="BA58" i="1"/>
  <c r="AY59" i="1"/>
  <c r="AZ59" i="1" s="1"/>
  <c r="BA59" i="1"/>
  <c r="AY60" i="1"/>
  <c r="AZ60" i="1" s="1"/>
  <c r="BA60" i="1"/>
  <c r="AY61" i="1"/>
  <c r="AZ61" i="1" s="1"/>
  <c r="BA61" i="1"/>
  <c r="AY62" i="1"/>
  <c r="AZ62" i="1" s="1"/>
  <c r="BA62" i="1"/>
  <c r="AY63" i="1"/>
  <c r="AZ63" i="1" s="1"/>
  <c r="BA63" i="1"/>
  <c r="AY64" i="1"/>
  <c r="AZ64" i="1" s="1"/>
  <c r="BA64" i="1"/>
  <c r="AY65" i="1"/>
  <c r="AZ65" i="1" s="1"/>
  <c r="BA65" i="1"/>
  <c r="AY66" i="1"/>
  <c r="AZ66" i="1" s="1"/>
  <c r="BA66" i="1"/>
  <c r="AY67" i="1"/>
  <c r="AZ67" i="1" s="1"/>
  <c r="BA67" i="1"/>
  <c r="AY70" i="1"/>
  <c r="AZ70" i="1" s="1"/>
  <c r="BA70" i="1"/>
  <c r="AY71" i="1"/>
  <c r="AZ71" i="1" s="1"/>
  <c r="BA71" i="1"/>
  <c r="AY72" i="1"/>
  <c r="AZ72" i="1" s="1"/>
  <c r="BA72" i="1"/>
  <c r="AY73" i="1"/>
  <c r="AZ73" i="1" s="1"/>
  <c r="BA73" i="1"/>
  <c r="AY74" i="1"/>
  <c r="AZ74" i="1" s="1"/>
  <c r="BA74" i="1"/>
  <c r="AY75" i="1"/>
  <c r="AZ75" i="1" s="1"/>
  <c r="BA75" i="1"/>
  <c r="AY76" i="1"/>
  <c r="AZ76" i="1" s="1"/>
  <c r="BA76" i="1"/>
  <c r="AY77" i="1"/>
  <c r="AZ77" i="1" s="1"/>
  <c r="BA77" i="1"/>
  <c r="AY78" i="1"/>
  <c r="AZ78" i="1" s="1"/>
  <c r="BA78" i="1"/>
  <c r="AY79" i="1"/>
  <c r="AZ79" i="1" s="1"/>
  <c r="BA79" i="1"/>
  <c r="AY80" i="1"/>
  <c r="AZ80" i="1" s="1"/>
  <c r="BA80" i="1"/>
  <c r="AY81" i="1"/>
  <c r="AZ81" i="1" s="1"/>
  <c r="BA81" i="1"/>
  <c r="AY82" i="1"/>
  <c r="AZ82" i="1" s="1"/>
  <c r="BA82" i="1"/>
  <c r="AY83" i="1"/>
  <c r="AZ83" i="1" s="1"/>
  <c r="BA83" i="1"/>
  <c r="AY84" i="1"/>
  <c r="AZ84" i="1" s="1"/>
  <c r="BA84" i="1"/>
  <c r="AY85" i="1"/>
  <c r="AZ85" i="1" s="1"/>
  <c r="BA85" i="1"/>
  <c r="AY86" i="1"/>
  <c r="AZ86" i="1" s="1"/>
  <c r="BA86" i="1"/>
  <c r="AY87" i="1"/>
  <c r="AZ87" i="1" s="1"/>
  <c r="BA87" i="1"/>
  <c r="AY88" i="1"/>
  <c r="AZ88" i="1" s="1"/>
  <c r="BA88" i="1"/>
  <c r="AY89" i="1"/>
  <c r="AZ89" i="1" s="1"/>
  <c r="BA89" i="1"/>
  <c r="AY90" i="1"/>
  <c r="AZ90" i="1" s="1"/>
  <c r="BA90" i="1"/>
  <c r="AY91" i="1"/>
  <c r="AZ91" i="1" s="1"/>
  <c r="BA91" i="1"/>
  <c r="AY92" i="1"/>
  <c r="AZ92" i="1" s="1"/>
  <c r="BA92" i="1"/>
  <c r="AY94" i="1"/>
  <c r="AZ94" i="1" s="1"/>
  <c r="BA94" i="1"/>
  <c r="AY95" i="1"/>
  <c r="AZ95" i="1" s="1"/>
  <c r="BA95" i="1"/>
  <c r="AY96" i="1"/>
  <c r="AZ96" i="1" s="1"/>
  <c r="BA96" i="1"/>
  <c r="AY97" i="1"/>
  <c r="AZ97" i="1" s="1"/>
  <c r="BA97" i="1"/>
  <c r="AY98" i="1"/>
  <c r="AZ98" i="1" s="1"/>
  <c r="BA98" i="1"/>
  <c r="AY240" i="1"/>
  <c r="AZ240" i="1" s="1"/>
  <c r="BA240" i="1"/>
  <c r="AY99" i="1"/>
  <c r="AZ99" i="1" s="1"/>
  <c r="BA99" i="1"/>
  <c r="AY100" i="1"/>
  <c r="AZ100" i="1" s="1"/>
  <c r="BA100" i="1"/>
  <c r="AY101" i="1"/>
  <c r="AZ101" i="1" s="1"/>
  <c r="BA101" i="1"/>
  <c r="AY102" i="1"/>
  <c r="AZ102" i="1" s="1"/>
  <c r="BA102" i="1"/>
  <c r="AY103" i="1"/>
  <c r="AZ103" i="1" s="1"/>
  <c r="BA103" i="1"/>
  <c r="AY104" i="1"/>
  <c r="AZ104" i="1" s="1"/>
  <c r="BA104" i="1"/>
  <c r="AY341" i="1"/>
  <c r="AZ341" i="1" s="1"/>
  <c r="BA341" i="1"/>
  <c r="AY105" i="1"/>
  <c r="AZ105" i="1" s="1"/>
  <c r="BA105" i="1"/>
  <c r="AY106" i="1"/>
  <c r="AZ106" i="1" s="1"/>
  <c r="BA106" i="1"/>
  <c r="AY107" i="1"/>
  <c r="AZ107" i="1" s="1"/>
  <c r="BA107" i="1"/>
  <c r="AY108" i="1"/>
  <c r="AZ108" i="1" s="1"/>
  <c r="BA108" i="1"/>
  <c r="AY109" i="1"/>
  <c r="AZ109" i="1" s="1"/>
  <c r="BA109" i="1"/>
  <c r="AY110" i="1"/>
  <c r="AZ110" i="1" s="1"/>
  <c r="BA110" i="1"/>
  <c r="AY111" i="1"/>
  <c r="AZ111" i="1" s="1"/>
  <c r="BA111" i="1"/>
  <c r="AY68" i="1"/>
  <c r="AZ68" i="1" s="1"/>
  <c r="BA68" i="1"/>
  <c r="AY69" i="1"/>
  <c r="AZ69" i="1" s="1"/>
  <c r="BA69" i="1"/>
  <c r="AY112" i="1"/>
  <c r="AZ112" i="1" s="1"/>
  <c r="BA112" i="1"/>
  <c r="AY113" i="1"/>
  <c r="AZ113" i="1" s="1"/>
  <c r="BA113" i="1"/>
  <c r="AY114" i="1"/>
  <c r="AZ114" i="1" s="1"/>
  <c r="BA114" i="1"/>
  <c r="AY115" i="1"/>
  <c r="AZ115" i="1" s="1"/>
  <c r="BA115" i="1"/>
  <c r="AY116" i="1"/>
  <c r="AZ116" i="1" s="1"/>
  <c r="BA116" i="1"/>
  <c r="AY117" i="1"/>
  <c r="AZ117" i="1" s="1"/>
  <c r="BA117" i="1"/>
  <c r="AY118" i="1"/>
  <c r="AZ118" i="1" s="1"/>
  <c r="BA118" i="1"/>
  <c r="AY119" i="1"/>
  <c r="AZ119" i="1" s="1"/>
  <c r="BA119" i="1"/>
  <c r="AY120" i="1"/>
  <c r="AZ120" i="1" s="1"/>
  <c r="BA120" i="1"/>
  <c r="AY121" i="1"/>
  <c r="AZ121" i="1" s="1"/>
  <c r="BA121" i="1"/>
  <c r="AY122" i="1"/>
  <c r="AZ122" i="1" s="1"/>
  <c r="BA122" i="1"/>
  <c r="AY123" i="1"/>
  <c r="AZ123" i="1" s="1"/>
  <c r="BA123" i="1"/>
  <c r="AY124" i="1"/>
  <c r="AZ124" i="1" s="1"/>
  <c r="BA124" i="1"/>
  <c r="AY125" i="1"/>
  <c r="AZ125" i="1" s="1"/>
  <c r="BA125" i="1"/>
  <c r="AY126" i="1"/>
  <c r="AZ126" i="1" s="1"/>
  <c r="BA126" i="1"/>
  <c r="AY127" i="1"/>
  <c r="AZ127" i="1" s="1"/>
  <c r="BA127" i="1"/>
  <c r="AY128" i="1"/>
  <c r="AZ128" i="1" s="1"/>
  <c r="BA128" i="1"/>
  <c r="AY129" i="1"/>
  <c r="AZ129" i="1" s="1"/>
  <c r="BA129" i="1"/>
  <c r="AY130" i="1"/>
  <c r="AZ130" i="1" s="1"/>
  <c r="BA130" i="1"/>
  <c r="AY131" i="1"/>
  <c r="AZ131" i="1" s="1"/>
  <c r="BA131" i="1"/>
  <c r="AY132" i="1"/>
  <c r="AZ132" i="1" s="1"/>
  <c r="BA132" i="1"/>
  <c r="AY133" i="1"/>
  <c r="AZ133" i="1" s="1"/>
  <c r="BA133" i="1"/>
  <c r="AY134" i="1"/>
  <c r="AZ134" i="1" s="1"/>
  <c r="BA134" i="1"/>
  <c r="AY135" i="1"/>
  <c r="AZ135" i="1" s="1"/>
  <c r="BA135" i="1"/>
  <c r="AY136" i="1"/>
  <c r="AZ136" i="1" s="1"/>
  <c r="BA136" i="1"/>
  <c r="AY137" i="1"/>
  <c r="AZ137" i="1" s="1"/>
  <c r="BA137" i="1"/>
  <c r="AY138" i="1"/>
  <c r="AZ138" i="1" s="1"/>
  <c r="BA138" i="1"/>
  <c r="AY139" i="1"/>
  <c r="AZ139" i="1" s="1"/>
  <c r="BA139" i="1"/>
  <c r="AY140" i="1"/>
  <c r="AZ140" i="1" s="1"/>
  <c r="BA140" i="1"/>
  <c r="AY237" i="1"/>
  <c r="AZ237" i="1" s="1"/>
  <c r="BA237" i="1"/>
  <c r="AY141" i="1"/>
  <c r="AZ141" i="1" s="1"/>
  <c r="BA141" i="1"/>
  <c r="AY142" i="1"/>
  <c r="AZ142" i="1" s="1"/>
  <c r="BA142" i="1"/>
  <c r="AY143" i="1"/>
  <c r="AZ143" i="1" s="1"/>
  <c r="BA143" i="1"/>
  <c r="AY144" i="1"/>
  <c r="AZ144" i="1" s="1"/>
  <c r="BA144" i="1"/>
  <c r="AY145" i="1"/>
  <c r="AZ145" i="1" s="1"/>
  <c r="BA145" i="1"/>
  <c r="AY146" i="1"/>
  <c r="AZ146" i="1" s="1"/>
  <c r="BA146" i="1"/>
  <c r="AY147" i="1"/>
  <c r="AZ147" i="1" s="1"/>
  <c r="BA147" i="1"/>
  <c r="AY148" i="1"/>
  <c r="AZ148" i="1" s="1"/>
  <c r="BA148" i="1"/>
  <c r="AY149" i="1"/>
  <c r="AZ149" i="1" s="1"/>
  <c r="BA149" i="1"/>
  <c r="AY150" i="1"/>
  <c r="AZ150" i="1" s="1"/>
  <c r="BA150" i="1"/>
  <c r="AY151" i="1"/>
  <c r="AZ151" i="1" s="1"/>
  <c r="BA151" i="1"/>
  <c r="AY152" i="1"/>
  <c r="AZ152" i="1" s="1"/>
  <c r="BA152" i="1"/>
  <c r="AY153" i="1"/>
  <c r="AZ153" i="1" s="1"/>
  <c r="BA153" i="1"/>
  <c r="AY154" i="1"/>
  <c r="AZ154" i="1" s="1"/>
  <c r="BA154" i="1"/>
  <c r="AY155" i="1"/>
  <c r="AZ155" i="1" s="1"/>
  <c r="BA155" i="1"/>
  <c r="AY156" i="1"/>
  <c r="AZ156" i="1" s="1"/>
  <c r="BA156" i="1"/>
  <c r="AY157" i="1"/>
  <c r="AZ157" i="1" s="1"/>
  <c r="BA157" i="1"/>
  <c r="AY158" i="1"/>
  <c r="AZ158" i="1" s="1"/>
  <c r="BA158" i="1"/>
  <c r="AY159" i="1"/>
  <c r="AZ159" i="1" s="1"/>
  <c r="BA159" i="1"/>
  <c r="AY160" i="1"/>
  <c r="AZ160" i="1" s="1"/>
  <c r="BA160" i="1"/>
  <c r="AY162" i="1"/>
  <c r="AZ162" i="1" s="1"/>
  <c r="BA162" i="1"/>
  <c r="AY163" i="1"/>
  <c r="AZ163" i="1" s="1"/>
  <c r="BA163" i="1"/>
  <c r="AY164" i="1"/>
  <c r="AZ164" i="1" s="1"/>
  <c r="BA164" i="1"/>
  <c r="AY165" i="1"/>
  <c r="AZ165" i="1" s="1"/>
  <c r="BA165" i="1"/>
  <c r="AY166" i="1"/>
  <c r="AZ166" i="1" s="1"/>
  <c r="BA166" i="1"/>
  <c r="AY167" i="1"/>
  <c r="AZ167" i="1" s="1"/>
  <c r="BA167" i="1"/>
  <c r="AY168" i="1"/>
  <c r="AZ168" i="1" s="1"/>
  <c r="BA168" i="1"/>
  <c r="AY169" i="1"/>
  <c r="AZ169" i="1" s="1"/>
  <c r="BA169" i="1"/>
  <c r="AY170" i="1"/>
  <c r="AZ170" i="1" s="1"/>
  <c r="BA170" i="1"/>
  <c r="AY171" i="1"/>
  <c r="AZ171" i="1" s="1"/>
  <c r="BA171" i="1"/>
  <c r="AY172" i="1"/>
  <c r="AZ172" i="1" s="1"/>
  <c r="BA172" i="1"/>
  <c r="AY173" i="1"/>
  <c r="AZ173" i="1" s="1"/>
  <c r="BA173" i="1"/>
  <c r="AY174" i="1"/>
  <c r="AZ174" i="1" s="1"/>
  <c r="BA174" i="1"/>
  <c r="AY175" i="1"/>
  <c r="AZ175" i="1" s="1"/>
  <c r="BA175" i="1"/>
  <c r="AY176" i="1"/>
  <c r="AZ176" i="1" s="1"/>
  <c r="BA176" i="1"/>
  <c r="AY675" i="1"/>
  <c r="AZ675" i="1" s="1"/>
  <c r="BA675" i="1"/>
  <c r="AY178" i="1"/>
  <c r="AZ178" i="1" s="1"/>
  <c r="BA178" i="1"/>
  <c r="AY179" i="1"/>
  <c r="AZ179" i="1" s="1"/>
  <c r="BA179" i="1"/>
  <c r="AY180" i="1"/>
  <c r="AZ180" i="1" s="1"/>
  <c r="BA180" i="1"/>
  <c r="AY181" i="1"/>
  <c r="AZ181" i="1" s="1"/>
  <c r="BA181" i="1"/>
  <c r="AY182" i="1"/>
  <c r="AZ182" i="1" s="1"/>
  <c r="BA182" i="1"/>
  <c r="AY183" i="1"/>
  <c r="AZ183" i="1" s="1"/>
  <c r="BA183" i="1"/>
  <c r="AY184" i="1"/>
  <c r="AZ184" i="1" s="1"/>
  <c r="BA184" i="1"/>
  <c r="AY185" i="1"/>
  <c r="AZ185" i="1" s="1"/>
  <c r="BA185" i="1"/>
  <c r="AY187" i="1"/>
  <c r="AZ187" i="1" s="1"/>
  <c r="BA187" i="1"/>
  <c r="AY188" i="1"/>
  <c r="AZ188" i="1" s="1"/>
  <c r="BA188" i="1"/>
  <c r="AY189" i="1"/>
  <c r="AZ189" i="1" s="1"/>
  <c r="BA189" i="1"/>
  <c r="AY190" i="1"/>
  <c r="AZ190" i="1" s="1"/>
  <c r="BA190" i="1"/>
  <c r="AY191" i="1"/>
  <c r="AZ191" i="1" s="1"/>
  <c r="BA191" i="1"/>
  <c r="AY192" i="1"/>
  <c r="AZ192" i="1" s="1"/>
  <c r="BA192" i="1"/>
  <c r="AY193" i="1"/>
  <c r="AZ193" i="1" s="1"/>
  <c r="BA193" i="1"/>
  <c r="AY194" i="1"/>
  <c r="AZ194" i="1" s="1"/>
  <c r="BA194" i="1"/>
  <c r="AY195" i="1"/>
  <c r="AZ195" i="1" s="1"/>
  <c r="BA195" i="1"/>
  <c r="AY196" i="1"/>
  <c r="AZ196" i="1" s="1"/>
  <c r="BA196" i="1"/>
  <c r="AY197" i="1"/>
  <c r="AZ197" i="1" s="1"/>
  <c r="BA197" i="1"/>
  <c r="AY198" i="1"/>
  <c r="AZ198" i="1" s="1"/>
  <c r="BA198" i="1"/>
  <c r="AY199" i="1"/>
  <c r="AZ199" i="1" s="1"/>
  <c r="BA199" i="1"/>
  <c r="AY200" i="1"/>
  <c r="AZ200" i="1" s="1"/>
  <c r="BA200" i="1"/>
  <c r="AY201" i="1"/>
  <c r="AZ201" i="1" s="1"/>
  <c r="BA201" i="1"/>
  <c r="AY202" i="1"/>
  <c r="AZ202" i="1" s="1"/>
  <c r="BA202" i="1"/>
  <c r="AY691" i="1"/>
  <c r="AZ691" i="1" s="1"/>
  <c r="BA691" i="1"/>
  <c r="AY203" i="1"/>
  <c r="AZ203" i="1" s="1"/>
  <c r="BA203" i="1"/>
  <c r="AY204" i="1"/>
  <c r="AZ204" i="1" s="1"/>
  <c r="BA204" i="1"/>
  <c r="AY206" i="1"/>
  <c r="AZ206" i="1" s="1"/>
  <c r="BA206" i="1"/>
  <c r="AY207" i="1"/>
  <c r="AZ207" i="1" s="1"/>
  <c r="BA207" i="1"/>
  <c r="AY208" i="1"/>
  <c r="AZ208" i="1" s="1"/>
  <c r="BA208" i="1"/>
  <c r="AY209" i="1"/>
  <c r="AZ209" i="1" s="1"/>
  <c r="BA209" i="1"/>
  <c r="AY210" i="1"/>
  <c r="AZ210" i="1" s="1"/>
  <c r="BA210" i="1"/>
  <c r="AY211" i="1"/>
  <c r="AZ211" i="1" s="1"/>
  <c r="BA211" i="1"/>
  <c r="AY485" i="1"/>
  <c r="AZ485" i="1" s="1"/>
  <c r="BA485" i="1"/>
  <c r="AY213" i="1"/>
  <c r="AZ213" i="1" s="1"/>
  <c r="BA213" i="1"/>
  <c r="AY214" i="1"/>
  <c r="AZ214" i="1" s="1"/>
  <c r="BA214" i="1"/>
  <c r="AY215" i="1"/>
  <c r="AZ215" i="1" s="1"/>
  <c r="BA215" i="1"/>
  <c r="AY216" i="1"/>
  <c r="AZ216" i="1" s="1"/>
  <c r="BA216" i="1"/>
  <c r="AY217" i="1"/>
  <c r="AZ217" i="1" s="1"/>
  <c r="BA217" i="1"/>
  <c r="AY218" i="1"/>
  <c r="AZ218" i="1" s="1"/>
  <c r="BA218" i="1"/>
  <c r="AY220" i="1"/>
  <c r="AZ220" i="1" s="1"/>
  <c r="BA220" i="1"/>
  <c r="AY221" i="1"/>
  <c r="AZ221" i="1" s="1"/>
  <c r="BA221" i="1"/>
  <c r="AY222" i="1"/>
  <c r="AZ222" i="1" s="1"/>
  <c r="BA222" i="1"/>
  <c r="AY672" i="1"/>
  <c r="AZ672" i="1" s="1"/>
  <c r="BA672" i="1"/>
  <c r="AY224" i="1"/>
  <c r="AZ224" i="1" s="1"/>
  <c r="BA224" i="1"/>
  <c r="AY225" i="1"/>
  <c r="AZ225" i="1" s="1"/>
  <c r="BA225" i="1"/>
  <c r="AY226" i="1"/>
  <c r="AZ226" i="1" s="1"/>
  <c r="BA226" i="1"/>
  <c r="AY227" i="1"/>
  <c r="AZ227" i="1" s="1"/>
  <c r="BA227" i="1"/>
  <c r="AY228" i="1"/>
  <c r="AZ228" i="1" s="1"/>
  <c r="BA228" i="1"/>
  <c r="AY229" i="1"/>
  <c r="AZ229" i="1" s="1"/>
  <c r="BA229" i="1"/>
  <c r="AY230" i="1"/>
  <c r="AZ230" i="1" s="1"/>
  <c r="BA230" i="1"/>
  <c r="AY231" i="1"/>
  <c r="AZ231" i="1" s="1"/>
  <c r="BA231" i="1"/>
  <c r="AY232" i="1"/>
  <c r="AZ232" i="1" s="1"/>
  <c r="BA232" i="1"/>
  <c r="AY233" i="1"/>
  <c r="AZ233" i="1" s="1"/>
  <c r="BA233" i="1"/>
  <c r="AY234" i="1"/>
  <c r="AZ234" i="1" s="1"/>
  <c r="BA234" i="1"/>
  <c r="AY235" i="1"/>
  <c r="AZ235" i="1" s="1"/>
  <c r="BA235" i="1"/>
  <c r="AY236" i="1"/>
  <c r="AZ236" i="1" s="1"/>
  <c r="BA236" i="1"/>
  <c r="AY238" i="1"/>
  <c r="AZ238" i="1" s="1"/>
  <c r="BA238" i="1"/>
  <c r="AY239" i="1"/>
  <c r="AZ239" i="1" s="1"/>
  <c r="BA239" i="1"/>
  <c r="AY241" i="1"/>
  <c r="AZ241" i="1" s="1"/>
  <c r="BA241" i="1"/>
  <c r="AY242" i="1"/>
  <c r="AZ242" i="1" s="1"/>
  <c r="BA242" i="1"/>
  <c r="AY289" i="1"/>
  <c r="AZ289" i="1" s="1"/>
  <c r="BA289" i="1"/>
  <c r="AY243" i="1"/>
  <c r="AZ243" i="1" s="1"/>
  <c r="BA243" i="1"/>
  <c r="AY244" i="1"/>
  <c r="AZ244" i="1" s="1"/>
  <c r="BA244" i="1"/>
  <c r="AY245" i="1"/>
  <c r="AZ245" i="1" s="1"/>
  <c r="BA245" i="1"/>
  <c r="AY246" i="1"/>
  <c r="AZ246" i="1" s="1"/>
  <c r="BA246" i="1"/>
  <c r="AY247" i="1"/>
  <c r="AZ247" i="1" s="1"/>
  <c r="BA247" i="1"/>
  <c r="AY248" i="1"/>
  <c r="AZ248" i="1" s="1"/>
  <c r="BA248" i="1"/>
  <c r="AY249" i="1"/>
  <c r="AZ249" i="1" s="1"/>
  <c r="BA249" i="1"/>
  <c r="AY481" i="1"/>
  <c r="AZ481" i="1" s="1"/>
  <c r="BA481" i="1"/>
  <c r="AY250" i="1"/>
  <c r="AZ250" i="1" s="1"/>
  <c r="BA250" i="1"/>
  <c r="AY205" i="1"/>
  <c r="AZ205" i="1" s="1"/>
  <c r="BA205" i="1"/>
  <c r="AY251" i="1"/>
  <c r="AZ251" i="1" s="1"/>
  <c r="BA251" i="1"/>
  <c r="AY252" i="1"/>
  <c r="AZ252" i="1" s="1"/>
  <c r="BA252" i="1"/>
  <c r="AY253" i="1"/>
  <c r="AZ253" i="1" s="1"/>
  <c r="BA253" i="1"/>
  <c r="AY254" i="1"/>
  <c r="AZ254" i="1" s="1"/>
  <c r="BA254" i="1"/>
  <c r="AY255" i="1"/>
  <c r="AZ255" i="1" s="1"/>
  <c r="BA255" i="1"/>
  <c r="AY256" i="1"/>
  <c r="AZ256" i="1" s="1"/>
  <c r="BA256" i="1"/>
  <c r="AY258" i="1"/>
  <c r="AZ258" i="1" s="1"/>
  <c r="BA258" i="1"/>
  <c r="AY709" i="1"/>
  <c r="AZ709" i="1" s="1"/>
  <c r="BA709" i="1"/>
  <c r="AY259" i="1"/>
  <c r="AZ259" i="1" s="1"/>
  <c r="BA259" i="1"/>
  <c r="AY260" i="1"/>
  <c r="AZ260" i="1" s="1"/>
  <c r="BA260" i="1"/>
  <c r="AY261" i="1"/>
  <c r="AZ261" i="1" s="1"/>
  <c r="BA261" i="1"/>
  <c r="AY262" i="1"/>
  <c r="AZ262" i="1" s="1"/>
  <c r="BA262" i="1"/>
  <c r="AY263" i="1"/>
  <c r="AZ263" i="1" s="1"/>
  <c r="BA263" i="1"/>
  <c r="AY264" i="1"/>
  <c r="AZ264" i="1" s="1"/>
  <c r="BA264" i="1"/>
  <c r="AY265" i="1"/>
  <c r="AZ265" i="1" s="1"/>
  <c r="BA265" i="1"/>
  <c r="AY266" i="1"/>
  <c r="AZ266" i="1" s="1"/>
  <c r="BA266" i="1"/>
  <c r="AY267" i="1"/>
  <c r="AZ267" i="1" s="1"/>
  <c r="BA267" i="1"/>
  <c r="AY268" i="1"/>
  <c r="AZ268" i="1" s="1"/>
  <c r="BA268" i="1"/>
  <c r="AY269" i="1"/>
  <c r="AZ269" i="1" s="1"/>
  <c r="BA269" i="1"/>
  <c r="AY270" i="1"/>
  <c r="AZ270" i="1" s="1"/>
  <c r="BA270" i="1"/>
  <c r="AY271" i="1"/>
  <c r="AZ271" i="1" s="1"/>
  <c r="BA271" i="1"/>
  <c r="AY223" i="1"/>
  <c r="AZ223" i="1" s="1"/>
  <c r="BA223" i="1"/>
  <c r="AY272" i="1"/>
  <c r="AZ272" i="1" s="1"/>
  <c r="BA272" i="1"/>
  <c r="AY273" i="1"/>
  <c r="AZ273" i="1" s="1"/>
  <c r="BA273" i="1"/>
  <c r="AY274" i="1"/>
  <c r="AZ274" i="1" s="1"/>
  <c r="BA274" i="1"/>
  <c r="AY275" i="1"/>
  <c r="AZ275" i="1" s="1"/>
  <c r="BA275" i="1"/>
  <c r="AY276" i="1"/>
  <c r="AZ276" i="1" s="1"/>
  <c r="BA276" i="1"/>
  <c r="AY277" i="1"/>
  <c r="AZ277" i="1" s="1"/>
  <c r="BA277" i="1"/>
  <c r="AY278" i="1"/>
  <c r="AZ278" i="1" s="1"/>
  <c r="BA278" i="1"/>
  <c r="AY279" i="1"/>
  <c r="AZ279" i="1" s="1"/>
  <c r="BA279" i="1"/>
  <c r="AY280" i="1"/>
  <c r="AZ280" i="1" s="1"/>
  <c r="BA280" i="1"/>
  <c r="AY281" i="1"/>
  <c r="AZ281" i="1" s="1"/>
  <c r="BA281" i="1"/>
  <c r="AY282" i="1"/>
  <c r="AZ282" i="1" s="1"/>
  <c r="BA282" i="1"/>
  <c r="AY283" i="1"/>
  <c r="AZ283" i="1" s="1"/>
  <c r="BA283" i="1"/>
  <c r="AY284" i="1"/>
  <c r="AZ284" i="1" s="1"/>
  <c r="BA284" i="1"/>
  <c r="AY285" i="1"/>
  <c r="AZ285" i="1" s="1"/>
  <c r="BA285" i="1"/>
  <c r="AY286" i="1"/>
  <c r="AZ286" i="1" s="1"/>
  <c r="BA286" i="1"/>
  <c r="AY287" i="1"/>
  <c r="AZ287" i="1" s="1"/>
  <c r="BA287" i="1"/>
  <c r="AY288" i="1"/>
  <c r="AZ288" i="1" s="1"/>
  <c r="BA288" i="1"/>
  <c r="AY290" i="1"/>
  <c r="AZ290" i="1" s="1"/>
  <c r="BA290" i="1"/>
  <c r="AY291" i="1"/>
  <c r="AZ291" i="1" s="1"/>
  <c r="BA291" i="1"/>
  <c r="AY292" i="1"/>
  <c r="AZ292" i="1" s="1"/>
  <c r="BA292" i="1"/>
  <c r="AY293" i="1"/>
  <c r="AZ293" i="1" s="1"/>
  <c r="BA293" i="1"/>
  <c r="AY294" i="1"/>
  <c r="AZ294" i="1" s="1"/>
  <c r="BA294" i="1"/>
  <c r="AY295" i="1"/>
  <c r="AZ295" i="1" s="1"/>
  <c r="BA295" i="1"/>
  <c r="AY296" i="1"/>
  <c r="AZ296" i="1" s="1"/>
  <c r="BA296" i="1"/>
  <c r="AY297" i="1"/>
  <c r="AZ297" i="1" s="1"/>
  <c r="BA297" i="1"/>
  <c r="AY298" i="1"/>
  <c r="AZ298" i="1" s="1"/>
  <c r="BA298" i="1"/>
  <c r="AY299" i="1"/>
  <c r="AZ299" i="1" s="1"/>
  <c r="BA299" i="1"/>
  <c r="AY300" i="1"/>
  <c r="AZ300" i="1" s="1"/>
  <c r="BA300" i="1"/>
  <c r="AY301" i="1"/>
  <c r="AZ301" i="1" s="1"/>
  <c r="BA301" i="1"/>
  <c r="AY302" i="1"/>
  <c r="AZ302" i="1" s="1"/>
  <c r="BA302" i="1"/>
  <c r="AY303" i="1"/>
  <c r="AZ303" i="1" s="1"/>
  <c r="BA303" i="1"/>
  <c r="AY304" i="1"/>
  <c r="AZ304" i="1" s="1"/>
  <c r="BA304" i="1"/>
  <c r="AY305" i="1"/>
  <c r="AZ305" i="1" s="1"/>
  <c r="BA305" i="1"/>
  <c r="AY306" i="1"/>
  <c r="AZ306" i="1" s="1"/>
  <c r="BA306" i="1"/>
  <c r="AY307" i="1"/>
  <c r="AZ307" i="1" s="1"/>
  <c r="BA307" i="1"/>
  <c r="AY308" i="1"/>
  <c r="AZ308" i="1" s="1"/>
  <c r="BA308" i="1"/>
  <c r="AY309" i="1"/>
  <c r="AZ309" i="1" s="1"/>
  <c r="BA309" i="1"/>
  <c r="AY310" i="1"/>
  <c r="AZ310" i="1" s="1"/>
  <c r="BA310" i="1"/>
  <c r="AY311" i="1"/>
  <c r="AZ311" i="1" s="1"/>
  <c r="BA311" i="1"/>
  <c r="AY312" i="1"/>
  <c r="AZ312" i="1" s="1"/>
  <c r="BA312" i="1"/>
  <c r="AY313" i="1"/>
  <c r="AZ313" i="1" s="1"/>
  <c r="BA313" i="1"/>
  <c r="AY314" i="1"/>
  <c r="AZ314" i="1" s="1"/>
  <c r="BA314" i="1"/>
  <c r="AY315" i="1"/>
  <c r="AZ315" i="1" s="1"/>
  <c r="BA315" i="1"/>
  <c r="AY316" i="1"/>
  <c r="AZ316" i="1" s="1"/>
  <c r="BA316" i="1"/>
  <c r="AY317" i="1"/>
  <c r="AZ317" i="1" s="1"/>
  <c r="BA317" i="1"/>
  <c r="AY318" i="1"/>
  <c r="AZ318" i="1" s="1"/>
  <c r="BA318" i="1"/>
  <c r="AY320" i="1"/>
  <c r="AZ320" i="1" s="1"/>
  <c r="BA320" i="1"/>
  <c r="AY321" i="1"/>
  <c r="AZ321" i="1" s="1"/>
  <c r="BA321" i="1"/>
  <c r="AY322" i="1"/>
  <c r="AZ322" i="1" s="1"/>
  <c r="BA322" i="1"/>
  <c r="AY323" i="1"/>
  <c r="AZ323" i="1" s="1"/>
  <c r="BA323" i="1"/>
  <c r="AY324" i="1"/>
  <c r="AZ324" i="1" s="1"/>
  <c r="BA324" i="1"/>
  <c r="AY325" i="1"/>
  <c r="AZ325" i="1" s="1"/>
  <c r="BA325" i="1"/>
  <c r="AY326" i="1"/>
  <c r="AZ326" i="1" s="1"/>
  <c r="BA326" i="1"/>
  <c r="AY327" i="1"/>
  <c r="AZ327" i="1" s="1"/>
  <c r="BA327" i="1"/>
  <c r="AY328" i="1"/>
  <c r="AZ328" i="1" s="1"/>
  <c r="BA328" i="1"/>
  <c r="AY329" i="1"/>
  <c r="AZ329" i="1" s="1"/>
  <c r="BA329" i="1"/>
  <c r="AY330" i="1"/>
  <c r="AZ330" i="1" s="1"/>
  <c r="BA330" i="1"/>
  <c r="AY331" i="1"/>
  <c r="AZ331" i="1" s="1"/>
  <c r="BA331" i="1"/>
  <c r="AY332" i="1"/>
  <c r="AZ332" i="1" s="1"/>
  <c r="BA332" i="1"/>
  <c r="AY333" i="1"/>
  <c r="AZ333" i="1" s="1"/>
  <c r="BA333" i="1"/>
  <c r="AY334" i="1"/>
  <c r="AZ334" i="1" s="1"/>
  <c r="BA334" i="1"/>
  <c r="AY335" i="1"/>
  <c r="AZ335" i="1" s="1"/>
  <c r="BA335" i="1"/>
  <c r="AY336" i="1"/>
  <c r="AZ336" i="1" s="1"/>
  <c r="BA336" i="1"/>
  <c r="AY337" i="1"/>
  <c r="AZ337" i="1" s="1"/>
  <c r="BA337" i="1"/>
  <c r="AY689" i="1"/>
  <c r="AZ689" i="1" s="1"/>
  <c r="BA689" i="1"/>
  <c r="AY338" i="1"/>
  <c r="AZ338" i="1" s="1"/>
  <c r="BA338" i="1"/>
  <c r="AY339" i="1"/>
  <c r="AZ339" i="1" s="1"/>
  <c r="BA339" i="1"/>
  <c r="AY340" i="1"/>
  <c r="AZ340" i="1" s="1"/>
  <c r="BA340" i="1"/>
  <c r="AY342" i="1"/>
  <c r="AZ342" i="1" s="1"/>
  <c r="BA342" i="1"/>
  <c r="AY343" i="1"/>
  <c r="AZ343" i="1" s="1"/>
  <c r="BA343" i="1"/>
  <c r="AY344" i="1"/>
  <c r="AZ344" i="1" s="1"/>
  <c r="BA344" i="1"/>
  <c r="AY345" i="1"/>
  <c r="AZ345" i="1" s="1"/>
  <c r="BA345" i="1"/>
  <c r="AY346" i="1"/>
  <c r="AZ346" i="1" s="1"/>
  <c r="BA346" i="1"/>
  <c r="AY699" i="1"/>
  <c r="AZ699" i="1" s="1"/>
  <c r="BA699" i="1"/>
  <c r="AY347" i="1"/>
  <c r="AZ347" i="1" s="1"/>
  <c r="BA347" i="1"/>
  <c r="AY348" i="1"/>
  <c r="AZ348" i="1" s="1"/>
  <c r="BA348" i="1"/>
  <c r="AY349" i="1"/>
  <c r="AZ349" i="1" s="1"/>
  <c r="BA349" i="1"/>
  <c r="AY350" i="1"/>
  <c r="AZ350" i="1" s="1"/>
  <c r="BA350" i="1"/>
  <c r="AY351" i="1"/>
  <c r="AZ351" i="1" s="1"/>
  <c r="BA351" i="1"/>
  <c r="AY352" i="1"/>
  <c r="AZ352" i="1" s="1"/>
  <c r="BA352" i="1"/>
  <c r="AY353" i="1"/>
  <c r="AZ353" i="1" s="1"/>
  <c r="BA353" i="1"/>
  <c r="AY354" i="1"/>
  <c r="AZ354" i="1" s="1"/>
  <c r="BA354" i="1"/>
  <c r="AY355" i="1"/>
  <c r="AZ355" i="1" s="1"/>
  <c r="BA355" i="1"/>
  <c r="AY356" i="1"/>
  <c r="AZ356" i="1" s="1"/>
  <c r="BA356" i="1"/>
  <c r="AY357" i="1"/>
  <c r="AZ357" i="1" s="1"/>
  <c r="BA357" i="1"/>
  <c r="AY358" i="1"/>
  <c r="AZ358" i="1" s="1"/>
  <c r="BA358" i="1"/>
  <c r="AY359" i="1"/>
  <c r="AZ359" i="1" s="1"/>
  <c r="BA359" i="1"/>
  <c r="AY360" i="1"/>
  <c r="AZ360" i="1" s="1"/>
  <c r="BA360" i="1"/>
  <c r="AY361" i="1"/>
  <c r="AZ361" i="1" s="1"/>
  <c r="BA361" i="1"/>
  <c r="AY716" i="1"/>
  <c r="AZ716" i="1" s="1"/>
  <c r="BA716" i="1"/>
  <c r="AY362" i="1"/>
  <c r="AZ362" i="1" s="1"/>
  <c r="BA362" i="1"/>
  <c r="AY364" i="1"/>
  <c r="AZ364" i="1" s="1"/>
  <c r="BA364" i="1"/>
  <c r="AY365" i="1"/>
  <c r="AZ365" i="1" s="1"/>
  <c r="BA365" i="1"/>
  <c r="AY366" i="1"/>
  <c r="AZ366" i="1" s="1"/>
  <c r="BA366" i="1"/>
  <c r="AY367" i="1"/>
  <c r="AZ367" i="1" s="1"/>
  <c r="BA367" i="1"/>
  <c r="AY368" i="1"/>
  <c r="AZ368" i="1" s="1"/>
  <c r="BA368" i="1"/>
  <c r="AY369" i="1"/>
  <c r="AZ369" i="1" s="1"/>
  <c r="BA369" i="1"/>
  <c r="AY370" i="1"/>
  <c r="AZ370" i="1" s="1"/>
  <c r="BA370" i="1"/>
  <c r="AY371" i="1"/>
  <c r="AZ371" i="1" s="1"/>
  <c r="BA371" i="1"/>
  <c r="AY372" i="1"/>
  <c r="AZ372" i="1" s="1"/>
  <c r="BA372" i="1"/>
  <c r="AY373" i="1"/>
  <c r="AZ373" i="1" s="1"/>
  <c r="BA373" i="1"/>
  <c r="AY374" i="1"/>
  <c r="AZ374" i="1" s="1"/>
  <c r="BA374" i="1"/>
  <c r="AY375" i="1"/>
  <c r="AZ375" i="1" s="1"/>
  <c r="BA375" i="1"/>
  <c r="AY376" i="1"/>
  <c r="AZ376" i="1" s="1"/>
  <c r="BA376" i="1"/>
  <c r="AY377" i="1"/>
  <c r="AZ377" i="1" s="1"/>
  <c r="BA377" i="1"/>
  <c r="AY378" i="1"/>
  <c r="AZ378" i="1" s="1"/>
  <c r="BA378" i="1"/>
  <c r="AY381" i="1"/>
  <c r="AZ381" i="1" s="1"/>
  <c r="BA381" i="1"/>
  <c r="AY382" i="1"/>
  <c r="AZ382" i="1" s="1"/>
  <c r="BA382" i="1"/>
  <c r="AY383" i="1"/>
  <c r="AZ383" i="1" s="1"/>
  <c r="BA383" i="1"/>
  <c r="AY384" i="1"/>
  <c r="AZ384" i="1" s="1"/>
  <c r="BA384" i="1"/>
  <c r="AY385" i="1"/>
  <c r="AZ385" i="1" s="1"/>
  <c r="BA385" i="1"/>
  <c r="AY386" i="1"/>
  <c r="AZ386" i="1" s="1"/>
  <c r="BA386" i="1"/>
  <c r="AY387" i="1"/>
  <c r="AZ387" i="1" s="1"/>
  <c r="BA387" i="1"/>
  <c r="AY388" i="1"/>
  <c r="AZ388" i="1" s="1"/>
  <c r="BA388" i="1"/>
  <c r="AY389" i="1"/>
  <c r="AZ389" i="1" s="1"/>
  <c r="BA389" i="1"/>
  <c r="AY390" i="1"/>
  <c r="AZ390" i="1" s="1"/>
  <c r="BA390" i="1"/>
  <c r="AY391" i="1"/>
  <c r="AZ391" i="1" s="1"/>
  <c r="BA391" i="1"/>
  <c r="AY392" i="1"/>
  <c r="AZ392" i="1" s="1"/>
  <c r="BA392" i="1"/>
  <c r="AY393" i="1"/>
  <c r="AZ393" i="1" s="1"/>
  <c r="BA393" i="1"/>
  <c r="AY394" i="1"/>
  <c r="AZ394" i="1" s="1"/>
  <c r="BA394" i="1"/>
  <c r="AY395" i="1"/>
  <c r="AZ395" i="1" s="1"/>
  <c r="BA395" i="1"/>
  <c r="AY396" i="1"/>
  <c r="AZ396" i="1" s="1"/>
  <c r="BA396" i="1"/>
  <c r="AY397" i="1"/>
  <c r="AZ397" i="1" s="1"/>
  <c r="BA397" i="1"/>
  <c r="AY398" i="1"/>
  <c r="AZ398" i="1" s="1"/>
  <c r="BA398" i="1"/>
  <c r="AY399" i="1"/>
  <c r="AZ399" i="1" s="1"/>
  <c r="BA399" i="1"/>
  <c r="AY400" i="1"/>
  <c r="AZ400" i="1" s="1"/>
  <c r="BA400" i="1"/>
  <c r="AY401" i="1"/>
  <c r="AZ401" i="1" s="1"/>
  <c r="BA401" i="1"/>
  <c r="AY402" i="1"/>
  <c r="AZ402" i="1" s="1"/>
  <c r="BA402" i="1"/>
  <c r="AY403" i="1"/>
  <c r="AZ403" i="1" s="1"/>
  <c r="BA403" i="1"/>
  <c r="AY404" i="1"/>
  <c r="AZ404" i="1" s="1"/>
  <c r="BA404" i="1"/>
  <c r="AY405" i="1"/>
  <c r="AZ405" i="1" s="1"/>
  <c r="BA405" i="1"/>
  <c r="AY406" i="1"/>
  <c r="AZ406" i="1" s="1"/>
  <c r="BA406" i="1"/>
  <c r="AY407" i="1"/>
  <c r="AZ407" i="1" s="1"/>
  <c r="BA407" i="1"/>
  <c r="AY408" i="1"/>
  <c r="AZ408" i="1" s="1"/>
  <c r="BA408" i="1"/>
  <c r="AY212" i="1"/>
  <c r="AZ212" i="1" s="1"/>
  <c r="BA212" i="1"/>
  <c r="AY409" i="1"/>
  <c r="AZ409" i="1" s="1"/>
  <c r="BA409" i="1"/>
  <c r="AY410" i="1"/>
  <c r="AZ410" i="1" s="1"/>
  <c r="BA410" i="1"/>
  <c r="AY411" i="1"/>
  <c r="AZ411" i="1" s="1"/>
  <c r="BA411" i="1"/>
  <c r="AY412" i="1"/>
  <c r="AZ412" i="1" s="1"/>
  <c r="BA412" i="1"/>
  <c r="AY413" i="1"/>
  <c r="AZ413" i="1" s="1"/>
  <c r="BA413" i="1"/>
  <c r="AY414" i="1"/>
  <c r="AZ414" i="1" s="1"/>
  <c r="BA414" i="1"/>
  <c r="AY415" i="1"/>
  <c r="AZ415" i="1" s="1"/>
  <c r="BA415" i="1"/>
  <c r="AY416" i="1"/>
  <c r="AZ416" i="1" s="1"/>
  <c r="BA416" i="1"/>
  <c r="AY177" i="1"/>
  <c r="AZ177" i="1" s="1"/>
  <c r="BA177" i="1"/>
  <c r="AY417" i="1"/>
  <c r="AZ417" i="1" s="1"/>
  <c r="BA417" i="1"/>
  <c r="AY418" i="1"/>
  <c r="AZ418" i="1" s="1"/>
  <c r="BA418" i="1"/>
  <c r="AY419" i="1"/>
  <c r="AZ419" i="1" s="1"/>
  <c r="BA419" i="1"/>
  <c r="AY420" i="1"/>
  <c r="AZ420" i="1" s="1"/>
  <c r="BA420" i="1"/>
  <c r="AY421" i="1"/>
  <c r="AZ421" i="1" s="1"/>
  <c r="BA421" i="1"/>
  <c r="AY422" i="1"/>
  <c r="AZ422" i="1" s="1"/>
  <c r="BA422" i="1"/>
  <c r="AY423" i="1"/>
  <c r="AZ423" i="1" s="1"/>
  <c r="BA423" i="1"/>
  <c r="AY424" i="1"/>
  <c r="AZ424" i="1" s="1"/>
  <c r="BA424" i="1"/>
  <c r="AY425" i="1"/>
  <c r="AZ425" i="1" s="1"/>
  <c r="BA425" i="1"/>
  <c r="AY426" i="1"/>
  <c r="AZ426" i="1" s="1"/>
  <c r="BA426" i="1"/>
  <c r="AY427" i="1"/>
  <c r="AZ427" i="1" s="1"/>
  <c r="BA427" i="1"/>
  <c r="AY428" i="1"/>
  <c r="AZ428" i="1" s="1"/>
  <c r="BA428" i="1"/>
  <c r="AY429" i="1"/>
  <c r="AZ429" i="1" s="1"/>
  <c r="BA429" i="1"/>
  <c r="AY430" i="1"/>
  <c r="AZ430" i="1" s="1"/>
  <c r="BA430" i="1"/>
  <c r="AY431" i="1"/>
  <c r="AZ431" i="1" s="1"/>
  <c r="BA431" i="1"/>
  <c r="AY432" i="1"/>
  <c r="AZ432" i="1" s="1"/>
  <c r="BA432" i="1"/>
  <c r="AY186" i="1"/>
  <c r="AZ186" i="1" s="1"/>
  <c r="BA186" i="1"/>
  <c r="AY433" i="1"/>
  <c r="AZ433" i="1" s="1"/>
  <c r="BA433" i="1"/>
  <c r="AY434" i="1"/>
  <c r="AZ434" i="1" s="1"/>
  <c r="BA434" i="1"/>
  <c r="AY435" i="1"/>
  <c r="AZ435" i="1" s="1"/>
  <c r="BA435" i="1"/>
  <c r="AY436" i="1"/>
  <c r="AZ436" i="1" s="1"/>
  <c r="BA436" i="1"/>
  <c r="AY437" i="1"/>
  <c r="AZ437" i="1" s="1"/>
  <c r="BA437" i="1"/>
  <c r="AY438" i="1"/>
  <c r="AZ438" i="1" s="1"/>
  <c r="BA438" i="1"/>
  <c r="AY440" i="1"/>
  <c r="AZ440" i="1" s="1"/>
  <c r="BA440" i="1"/>
  <c r="AY441" i="1"/>
  <c r="AZ441" i="1" s="1"/>
  <c r="BA441" i="1"/>
  <c r="AY442" i="1"/>
  <c r="AZ442" i="1" s="1"/>
  <c r="BA442" i="1"/>
  <c r="AY443" i="1"/>
  <c r="AZ443" i="1" s="1"/>
  <c r="BA443" i="1"/>
  <c r="AY444" i="1"/>
  <c r="AZ444" i="1" s="1"/>
  <c r="BA444" i="1"/>
  <c r="AY445" i="1"/>
  <c r="AZ445" i="1" s="1"/>
  <c r="BA445" i="1"/>
  <c r="AY446" i="1"/>
  <c r="AZ446" i="1" s="1"/>
  <c r="BA446" i="1"/>
  <c r="AY447" i="1"/>
  <c r="AZ447" i="1" s="1"/>
  <c r="BA447" i="1"/>
  <c r="AY448" i="1"/>
  <c r="AZ448" i="1" s="1"/>
  <c r="BA448" i="1"/>
  <c r="AY449" i="1"/>
  <c r="AZ449" i="1" s="1"/>
  <c r="BA449" i="1"/>
  <c r="AY450" i="1"/>
  <c r="AZ450" i="1" s="1"/>
  <c r="BA450" i="1"/>
  <c r="AY451" i="1"/>
  <c r="AZ451" i="1" s="1"/>
  <c r="BA451" i="1"/>
  <c r="AY452" i="1"/>
  <c r="AZ452" i="1" s="1"/>
  <c r="BA452" i="1"/>
  <c r="AY453" i="1"/>
  <c r="AZ453" i="1" s="1"/>
  <c r="BA453" i="1"/>
  <c r="AY454" i="1"/>
  <c r="AZ454" i="1" s="1"/>
  <c r="BA454" i="1"/>
  <c r="AY455" i="1"/>
  <c r="AZ455" i="1" s="1"/>
  <c r="BA455" i="1"/>
  <c r="AY456" i="1"/>
  <c r="AZ456" i="1" s="1"/>
  <c r="BA456" i="1"/>
  <c r="AY457" i="1"/>
  <c r="AZ457" i="1" s="1"/>
  <c r="BA457" i="1"/>
  <c r="AY93" i="1"/>
  <c r="AZ93" i="1" s="1"/>
  <c r="BA93" i="1"/>
  <c r="AY458" i="1"/>
  <c r="AZ458" i="1" s="1"/>
  <c r="BA458" i="1"/>
  <c r="AY379" i="1"/>
  <c r="AZ379" i="1" s="1"/>
  <c r="BA379" i="1"/>
  <c r="AY380" i="1"/>
  <c r="AZ380" i="1" s="1"/>
  <c r="BA380" i="1"/>
  <c r="AY460" i="1"/>
  <c r="AZ460" i="1" s="1"/>
  <c r="BA460" i="1"/>
  <c r="AY461" i="1"/>
  <c r="AZ461" i="1" s="1"/>
  <c r="BA461" i="1"/>
  <c r="AY462" i="1"/>
  <c r="AZ462" i="1" s="1"/>
  <c r="BA462" i="1"/>
  <c r="AY439" i="1"/>
  <c r="AZ439" i="1" s="1"/>
  <c r="BA439" i="1"/>
  <c r="AY463" i="1"/>
  <c r="AZ463" i="1" s="1"/>
  <c r="BA463" i="1"/>
  <c r="AY464" i="1"/>
  <c r="AZ464" i="1" s="1"/>
  <c r="BA464" i="1"/>
  <c r="AY465" i="1"/>
  <c r="AZ465" i="1" s="1"/>
  <c r="BA465" i="1"/>
  <c r="AY466" i="1"/>
  <c r="AZ466" i="1" s="1"/>
  <c r="BA466" i="1"/>
  <c r="AY467" i="1"/>
  <c r="AZ467" i="1" s="1"/>
  <c r="BA467" i="1"/>
  <c r="AY20" i="1"/>
  <c r="AZ20" i="1" s="1"/>
  <c r="BA20" i="1"/>
  <c r="AY469" i="1"/>
  <c r="AZ469" i="1" s="1"/>
  <c r="BA469" i="1"/>
  <c r="AY470" i="1"/>
  <c r="AZ470" i="1" s="1"/>
  <c r="BA470" i="1"/>
  <c r="AY472" i="1"/>
  <c r="AZ472" i="1" s="1"/>
  <c r="BA472" i="1"/>
  <c r="AY473" i="1"/>
  <c r="AZ473" i="1" s="1"/>
  <c r="BA473" i="1"/>
  <c r="AY474" i="1"/>
  <c r="AZ474" i="1" s="1"/>
  <c r="BA474" i="1"/>
  <c r="AY31" i="1"/>
  <c r="AZ31" i="1" s="1"/>
  <c r="BA31" i="1"/>
  <c r="AY476" i="1"/>
  <c r="AZ476" i="1" s="1"/>
  <c r="BA476" i="1"/>
  <c r="AY32" i="1"/>
  <c r="AZ32" i="1" s="1"/>
  <c r="BA32" i="1"/>
  <c r="AY477" i="1"/>
  <c r="AZ477" i="1" s="1"/>
  <c r="BA477" i="1"/>
  <c r="AY478" i="1"/>
  <c r="AZ478" i="1" s="1"/>
  <c r="BA478" i="1"/>
  <c r="AY479" i="1"/>
  <c r="AZ479" i="1" s="1"/>
  <c r="BA479" i="1"/>
  <c r="AY480" i="1"/>
  <c r="AZ480" i="1" s="1"/>
  <c r="BA480" i="1"/>
  <c r="AY482" i="1"/>
  <c r="AZ482" i="1" s="1"/>
  <c r="BA482" i="1"/>
  <c r="AY483" i="1"/>
  <c r="AZ483" i="1" s="1"/>
  <c r="BA483" i="1"/>
  <c r="AY471" i="1"/>
  <c r="AZ471" i="1" s="1"/>
  <c r="BA471" i="1"/>
  <c r="AY475" i="1"/>
  <c r="AZ475" i="1" s="1"/>
  <c r="BA475" i="1"/>
  <c r="AY484" i="1"/>
  <c r="AZ484" i="1" s="1"/>
  <c r="BA484" i="1"/>
  <c r="AY486" i="1"/>
  <c r="AZ486" i="1" s="1"/>
  <c r="BA486" i="1"/>
  <c r="AY489" i="1"/>
  <c r="AZ489" i="1" s="1"/>
  <c r="BA489" i="1"/>
  <c r="AY490" i="1"/>
  <c r="AZ490" i="1" s="1"/>
  <c r="BA490" i="1"/>
  <c r="AY491" i="1"/>
  <c r="AZ491" i="1" s="1"/>
  <c r="BA491" i="1"/>
  <c r="AY492" i="1"/>
  <c r="AZ492" i="1" s="1"/>
  <c r="BA492" i="1"/>
  <c r="AY493" i="1"/>
  <c r="AZ493" i="1" s="1"/>
  <c r="BA493" i="1"/>
  <c r="AY459" i="1"/>
  <c r="AZ459" i="1" s="1"/>
  <c r="BA459" i="1"/>
  <c r="AY494" i="1"/>
  <c r="AZ494" i="1" s="1"/>
  <c r="BA494" i="1"/>
  <c r="AY495" i="1"/>
  <c r="AZ495" i="1" s="1"/>
  <c r="BA495" i="1"/>
  <c r="AY496" i="1"/>
  <c r="AZ496" i="1" s="1"/>
  <c r="BA496" i="1"/>
  <c r="AY497" i="1"/>
  <c r="AZ497" i="1" s="1"/>
  <c r="BA497" i="1"/>
  <c r="AY498" i="1"/>
  <c r="AZ498" i="1" s="1"/>
  <c r="BA498" i="1"/>
  <c r="AY499" i="1"/>
  <c r="AZ499" i="1" s="1"/>
  <c r="BA499" i="1"/>
  <c r="AY500" i="1"/>
  <c r="AZ500" i="1" s="1"/>
  <c r="BA500" i="1"/>
  <c r="AY501" i="1"/>
  <c r="AZ501" i="1" s="1"/>
  <c r="BA501" i="1"/>
  <c r="AY502" i="1"/>
  <c r="AZ502" i="1" s="1"/>
  <c r="BA502" i="1"/>
  <c r="AY503" i="1"/>
  <c r="AZ503" i="1" s="1"/>
  <c r="BA503" i="1"/>
  <c r="AY504" i="1"/>
  <c r="AZ504" i="1" s="1"/>
  <c r="BA504" i="1"/>
  <c r="AY468" i="1"/>
  <c r="AZ468" i="1" s="1"/>
  <c r="BA468" i="1"/>
  <c r="AY506" i="1"/>
  <c r="AZ506" i="1" s="1"/>
  <c r="BA506" i="1"/>
  <c r="AY507" i="1"/>
  <c r="AZ507" i="1" s="1"/>
  <c r="BA507" i="1"/>
  <c r="AY510" i="1"/>
  <c r="AZ510" i="1" s="1"/>
  <c r="BA510" i="1"/>
  <c r="AY514" i="1"/>
  <c r="AZ514" i="1" s="1"/>
  <c r="BA514" i="1"/>
  <c r="AY516" i="1"/>
  <c r="AZ516" i="1" s="1"/>
  <c r="BA516" i="1"/>
  <c r="AY517" i="1"/>
  <c r="AZ517" i="1" s="1"/>
  <c r="BA517" i="1"/>
  <c r="AY518" i="1"/>
  <c r="AZ518" i="1" s="1"/>
  <c r="BA518" i="1"/>
  <c r="AY519" i="1"/>
  <c r="AZ519" i="1" s="1"/>
  <c r="BA519" i="1"/>
  <c r="AY520" i="1"/>
  <c r="AZ520" i="1" s="1"/>
  <c r="BA520" i="1"/>
  <c r="AY521" i="1"/>
  <c r="AZ521" i="1" s="1"/>
  <c r="BA521" i="1"/>
  <c r="AY522" i="1"/>
  <c r="AZ522" i="1" s="1"/>
  <c r="BA522" i="1"/>
  <c r="AY523" i="1"/>
  <c r="AZ523" i="1" s="1"/>
  <c r="BA523" i="1"/>
  <c r="AY524" i="1"/>
  <c r="AZ524" i="1" s="1"/>
  <c r="BA524" i="1"/>
  <c r="AY525" i="1"/>
  <c r="AZ525" i="1" s="1"/>
  <c r="BA525" i="1"/>
  <c r="AY526" i="1"/>
  <c r="AZ526" i="1" s="1"/>
  <c r="BA526" i="1"/>
  <c r="AY527" i="1"/>
  <c r="AZ527" i="1" s="1"/>
  <c r="BA527" i="1"/>
  <c r="AY528" i="1"/>
  <c r="AZ528" i="1" s="1"/>
  <c r="BA528" i="1"/>
  <c r="AY529" i="1"/>
  <c r="AZ529" i="1" s="1"/>
  <c r="BA529" i="1"/>
  <c r="AY530" i="1"/>
  <c r="AZ530" i="1" s="1"/>
  <c r="BA530" i="1"/>
  <c r="AY531" i="1"/>
  <c r="AZ531" i="1" s="1"/>
  <c r="BA531" i="1"/>
  <c r="AY532" i="1"/>
  <c r="AZ532" i="1" s="1"/>
  <c r="BA532" i="1"/>
  <c r="AY533" i="1"/>
  <c r="AZ533" i="1" s="1"/>
  <c r="BA533" i="1"/>
  <c r="AY534" i="1"/>
  <c r="AZ534" i="1" s="1"/>
  <c r="BA534" i="1"/>
  <c r="AY535" i="1"/>
  <c r="AZ535" i="1" s="1"/>
  <c r="BA535" i="1"/>
  <c r="AY536" i="1"/>
  <c r="AZ536" i="1" s="1"/>
  <c r="BA536" i="1"/>
  <c r="AY537" i="1"/>
  <c r="AZ537" i="1" s="1"/>
  <c r="BA537" i="1"/>
  <c r="AY538" i="1"/>
  <c r="AZ538" i="1" s="1"/>
  <c r="BA538" i="1"/>
  <c r="AY539" i="1"/>
  <c r="AZ539" i="1" s="1"/>
  <c r="BA539" i="1"/>
  <c r="AY540" i="1"/>
  <c r="AZ540" i="1" s="1"/>
  <c r="BA540" i="1"/>
  <c r="AY541" i="1"/>
  <c r="AZ541" i="1" s="1"/>
  <c r="BA541" i="1"/>
  <c r="AY542" i="1"/>
  <c r="AZ542" i="1" s="1"/>
  <c r="BA542" i="1"/>
  <c r="AY543" i="1"/>
  <c r="AZ543" i="1" s="1"/>
  <c r="BA543" i="1"/>
  <c r="AY544" i="1"/>
  <c r="AZ544" i="1" s="1"/>
  <c r="BA544" i="1"/>
  <c r="AY545" i="1"/>
  <c r="AZ545" i="1" s="1"/>
  <c r="BA545" i="1"/>
  <c r="AY546" i="1"/>
  <c r="AZ546" i="1" s="1"/>
  <c r="BA546" i="1"/>
  <c r="AY547" i="1"/>
  <c r="AZ547" i="1" s="1"/>
  <c r="BA547" i="1"/>
  <c r="AY548" i="1"/>
  <c r="AZ548" i="1" s="1"/>
  <c r="BA548" i="1"/>
  <c r="AY549" i="1"/>
  <c r="AZ549" i="1" s="1"/>
  <c r="BA549" i="1"/>
  <c r="AY511" i="1"/>
  <c r="AZ511" i="1" s="1"/>
  <c r="BA511" i="1"/>
  <c r="AY550" i="1"/>
  <c r="AZ550" i="1" s="1"/>
  <c r="BA550" i="1"/>
  <c r="AY551" i="1"/>
  <c r="AZ551" i="1" s="1"/>
  <c r="BA551" i="1"/>
  <c r="AY552" i="1"/>
  <c r="AZ552" i="1" s="1"/>
  <c r="BA552" i="1"/>
  <c r="AY553" i="1"/>
  <c r="AZ553" i="1" s="1"/>
  <c r="BA553" i="1"/>
  <c r="AY512" i="1"/>
  <c r="AZ512" i="1" s="1"/>
  <c r="BA512" i="1"/>
  <c r="AY513" i="1"/>
  <c r="AZ513" i="1" s="1"/>
  <c r="BA513" i="1"/>
  <c r="AY554" i="1"/>
  <c r="AZ554" i="1" s="1"/>
  <c r="BA554" i="1"/>
  <c r="AY555" i="1"/>
  <c r="AZ555" i="1" s="1"/>
  <c r="BA555" i="1"/>
  <c r="AY556" i="1"/>
  <c r="AZ556" i="1" s="1"/>
  <c r="BA556" i="1"/>
  <c r="AY557" i="1"/>
  <c r="AZ557" i="1" s="1"/>
  <c r="BA557" i="1"/>
  <c r="AY558" i="1"/>
  <c r="AZ558" i="1" s="1"/>
  <c r="BA558" i="1"/>
  <c r="AY559" i="1"/>
  <c r="AZ559" i="1" s="1"/>
  <c r="BA559" i="1"/>
  <c r="AY560" i="1"/>
  <c r="AZ560" i="1" s="1"/>
  <c r="BA560" i="1"/>
  <c r="AY515" i="1"/>
  <c r="AZ515" i="1" s="1"/>
  <c r="BA515" i="1"/>
  <c r="AY561" i="1"/>
  <c r="AZ561" i="1" s="1"/>
  <c r="BA561" i="1"/>
  <c r="AY562" i="1"/>
  <c r="AZ562" i="1" s="1"/>
  <c r="BA562" i="1"/>
  <c r="AY563" i="1"/>
  <c r="AZ563" i="1" s="1"/>
  <c r="BA563" i="1"/>
  <c r="AY564" i="1"/>
  <c r="AZ564" i="1" s="1"/>
  <c r="BA564" i="1"/>
  <c r="AY565" i="1"/>
  <c r="AZ565" i="1" s="1"/>
  <c r="BA565" i="1"/>
  <c r="AY566" i="1"/>
  <c r="AZ566" i="1" s="1"/>
  <c r="BA566" i="1"/>
  <c r="AY567" i="1"/>
  <c r="AZ567" i="1" s="1"/>
  <c r="BA567" i="1"/>
  <c r="AY568" i="1"/>
  <c r="AZ568" i="1" s="1"/>
  <c r="BA568" i="1"/>
  <c r="AY569" i="1"/>
  <c r="AZ569" i="1" s="1"/>
  <c r="BA569" i="1"/>
  <c r="AY570" i="1"/>
  <c r="AZ570" i="1" s="1"/>
  <c r="BA570" i="1"/>
  <c r="AY571" i="1"/>
  <c r="AZ571" i="1" s="1"/>
  <c r="BA571" i="1"/>
  <c r="AY572" i="1"/>
  <c r="AZ572" i="1" s="1"/>
  <c r="BA572" i="1"/>
  <c r="AY573" i="1"/>
  <c r="AZ573" i="1" s="1"/>
  <c r="BA573" i="1"/>
  <c r="AY574" i="1"/>
  <c r="AZ574" i="1" s="1"/>
  <c r="BA574" i="1"/>
  <c r="AY575" i="1"/>
  <c r="AZ575" i="1" s="1"/>
  <c r="BA575" i="1"/>
  <c r="AY576" i="1"/>
  <c r="AZ576" i="1" s="1"/>
  <c r="BA576" i="1"/>
  <c r="AY577" i="1"/>
  <c r="AZ577" i="1" s="1"/>
  <c r="BA577" i="1"/>
  <c r="AY578" i="1"/>
  <c r="AZ578" i="1" s="1"/>
  <c r="BA578" i="1"/>
  <c r="AY579" i="1"/>
  <c r="AZ579" i="1" s="1"/>
  <c r="BA579" i="1"/>
  <c r="AY580" i="1"/>
  <c r="AZ580" i="1" s="1"/>
  <c r="BA580" i="1"/>
  <c r="AY581" i="1"/>
  <c r="AZ581" i="1" s="1"/>
  <c r="BA581" i="1"/>
  <c r="AY582" i="1"/>
  <c r="AZ582" i="1" s="1"/>
  <c r="BA582" i="1"/>
  <c r="AY583" i="1"/>
  <c r="AZ583" i="1" s="1"/>
  <c r="BA583" i="1"/>
  <c r="AY584" i="1"/>
  <c r="AZ584" i="1" s="1"/>
  <c r="BA584" i="1"/>
  <c r="AY585" i="1"/>
  <c r="AZ585" i="1" s="1"/>
  <c r="BA585" i="1"/>
  <c r="AY586" i="1"/>
  <c r="AZ586" i="1" s="1"/>
  <c r="BA586" i="1"/>
  <c r="AY587" i="1"/>
  <c r="AZ587" i="1" s="1"/>
  <c r="BA587" i="1"/>
  <c r="AY588" i="1"/>
  <c r="AZ588" i="1" s="1"/>
  <c r="BA588" i="1"/>
  <c r="AY589" i="1"/>
  <c r="AZ589" i="1" s="1"/>
  <c r="BA589" i="1"/>
  <c r="AY590" i="1"/>
  <c r="AZ590" i="1" s="1"/>
  <c r="BA590" i="1"/>
  <c r="AY591" i="1"/>
  <c r="AZ591" i="1" s="1"/>
  <c r="BA591" i="1"/>
  <c r="AY592" i="1"/>
  <c r="AZ592" i="1" s="1"/>
  <c r="BA592" i="1"/>
  <c r="AY593" i="1"/>
  <c r="AZ593" i="1" s="1"/>
  <c r="BA593" i="1"/>
  <c r="AY594" i="1"/>
  <c r="AZ594" i="1" s="1"/>
  <c r="BA594" i="1"/>
  <c r="AY595" i="1"/>
  <c r="AZ595" i="1" s="1"/>
  <c r="BA595" i="1"/>
  <c r="AY596" i="1"/>
  <c r="AZ596" i="1" s="1"/>
  <c r="BA596" i="1"/>
  <c r="AY597" i="1"/>
  <c r="AZ597" i="1" s="1"/>
  <c r="BA597" i="1"/>
  <c r="AY598" i="1"/>
  <c r="AZ598" i="1" s="1"/>
  <c r="BA598" i="1"/>
  <c r="AY599" i="1"/>
  <c r="AZ599" i="1" s="1"/>
  <c r="BA599" i="1"/>
  <c r="AY600" i="1"/>
  <c r="AZ600" i="1" s="1"/>
  <c r="BA600" i="1"/>
  <c r="AY601" i="1"/>
  <c r="AZ601" i="1" s="1"/>
  <c r="BA601" i="1"/>
  <c r="AY602" i="1"/>
  <c r="AZ602" i="1" s="1"/>
  <c r="BA602" i="1"/>
  <c r="AY603" i="1"/>
  <c r="AZ603" i="1" s="1"/>
  <c r="BA603" i="1"/>
  <c r="AY604" i="1"/>
  <c r="AZ604" i="1" s="1"/>
  <c r="BA604" i="1"/>
  <c r="AY605" i="1"/>
  <c r="AZ605" i="1" s="1"/>
  <c r="BA605" i="1"/>
  <c r="AY606" i="1"/>
  <c r="AZ606" i="1" s="1"/>
  <c r="BA606" i="1"/>
  <c r="AY607" i="1"/>
  <c r="AZ607" i="1" s="1"/>
  <c r="BA607" i="1"/>
  <c r="AY608" i="1"/>
  <c r="AZ608" i="1" s="1"/>
  <c r="BA608" i="1"/>
  <c r="AY609" i="1"/>
  <c r="AZ609" i="1" s="1"/>
  <c r="BA609" i="1"/>
  <c r="AY610" i="1"/>
  <c r="AZ610" i="1" s="1"/>
  <c r="BA610" i="1"/>
  <c r="AY611" i="1"/>
  <c r="AZ611" i="1" s="1"/>
  <c r="BA611" i="1"/>
  <c r="AY612" i="1"/>
  <c r="AZ612" i="1" s="1"/>
  <c r="BA612" i="1"/>
  <c r="AY613" i="1"/>
  <c r="AZ613" i="1" s="1"/>
  <c r="BA613" i="1"/>
  <c r="AY614" i="1"/>
  <c r="AZ614" i="1" s="1"/>
  <c r="BA614" i="1"/>
  <c r="AY615" i="1"/>
  <c r="AZ615" i="1" s="1"/>
  <c r="BA615" i="1"/>
  <c r="AY616" i="1"/>
  <c r="AZ616" i="1" s="1"/>
  <c r="BA616" i="1"/>
  <c r="AY617" i="1"/>
  <c r="AZ617" i="1" s="1"/>
  <c r="BA617" i="1"/>
  <c r="AY618" i="1"/>
  <c r="AZ618" i="1" s="1"/>
  <c r="BA618" i="1"/>
  <c r="AY619" i="1"/>
  <c r="AZ619" i="1" s="1"/>
  <c r="BA619" i="1"/>
  <c r="AY620" i="1"/>
  <c r="AZ620" i="1" s="1"/>
  <c r="BA620" i="1"/>
  <c r="AY621" i="1"/>
  <c r="AZ621" i="1" s="1"/>
  <c r="BA621" i="1"/>
  <c r="AY622" i="1"/>
  <c r="AZ622" i="1" s="1"/>
  <c r="BA622" i="1"/>
  <c r="AY623" i="1"/>
  <c r="AZ623" i="1" s="1"/>
  <c r="BA623" i="1"/>
  <c r="AY624" i="1"/>
  <c r="AZ624" i="1" s="1"/>
  <c r="BA624" i="1"/>
  <c r="AY625" i="1"/>
  <c r="AZ625" i="1" s="1"/>
  <c r="BA625" i="1"/>
  <c r="AY626" i="1"/>
  <c r="AZ626" i="1" s="1"/>
  <c r="BA626" i="1"/>
  <c r="AY627" i="1"/>
  <c r="AZ627" i="1" s="1"/>
  <c r="BA627" i="1"/>
  <c r="AY628" i="1"/>
  <c r="AZ628" i="1" s="1"/>
  <c r="BA628" i="1"/>
  <c r="AY629" i="1"/>
  <c r="AZ629" i="1" s="1"/>
  <c r="BA629" i="1"/>
  <c r="AY630" i="1"/>
  <c r="AZ630" i="1" s="1"/>
  <c r="BA630" i="1"/>
  <c r="AY631" i="1"/>
  <c r="AZ631" i="1" s="1"/>
  <c r="BA631" i="1"/>
  <c r="AY632" i="1"/>
  <c r="AZ632" i="1" s="1"/>
  <c r="BA632" i="1"/>
  <c r="AY633" i="1"/>
  <c r="AZ633" i="1" s="1"/>
  <c r="BA633" i="1"/>
  <c r="AY634" i="1"/>
  <c r="AZ634" i="1" s="1"/>
  <c r="BA634" i="1"/>
  <c r="AY635" i="1"/>
  <c r="AZ635" i="1" s="1"/>
  <c r="BA635" i="1"/>
  <c r="AY636" i="1"/>
  <c r="AZ636" i="1" s="1"/>
  <c r="BA636" i="1"/>
  <c r="AY637" i="1"/>
  <c r="AZ637" i="1" s="1"/>
  <c r="BA637" i="1"/>
  <c r="AY638" i="1"/>
  <c r="AZ638" i="1" s="1"/>
  <c r="BA638" i="1"/>
  <c r="AY639" i="1"/>
  <c r="AZ639" i="1" s="1"/>
  <c r="BA639" i="1"/>
  <c r="AY640" i="1"/>
  <c r="AZ640" i="1" s="1"/>
  <c r="BA640" i="1"/>
  <c r="AY641" i="1"/>
  <c r="AZ641" i="1" s="1"/>
  <c r="BA641" i="1"/>
  <c r="AY642" i="1"/>
  <c r="AZ642" i="1" s="1"/>
  <c r="BA642" i="1"/>
  <c r="AY643" i="1"/>
  <c r="AZ643" i="1" s="1"/>
  <c r="BA643" i="1"/>
  <c r="AY644" i="1"/>
  <c r="AZ644" i="1" s="1"/>
  <c r="BA644" i="1"/>
  <c r="AY645" i="1"/>
  <c r="AZ645" i="1" s="1"/>
  <c r="BA645" i="1"/>
  <c r="AY646" i="1"/>
  <c r="AZ646" i="1" s="1"/>
  <c r="BA646" i="1"/>
  <c r="AY647" i="1"/>
  <c r="AZ647" i="1" s="1"/>
  <c r="BA647" i="1"/>
  <c r="AY648" i="1"/>
  <c r="AZ648" i="1" s="1"/>
  <c r="BA648" i="1"/>
  <c r="AY649" i="1"/>
  <c r="AZ649" i="1" s="1"/>
  <c r="BA649" i="1"/>
  <c r="AY650" i="1"/>
  <c r="AZ650" i="1" s="1"/>
  <c r="BA650" i="1"/>
  <c r="AY651" i="1"/>
  <c r="AZ651" i="1" s="1"/>
  <c r="BA651" i="1"/>
  <c r="AY652" i="1"/>
  <c r="AZ652" i="1" s="1"/>
  <c r="BA652" i="1"/>
  <c r="AY653" i="1"/>
  <c r="AZ653" i="1" s="1"/>
  <c r="BA653" i="1"/>
  <c r="AY654" i="1"/>
  <c r="AZ654" i="1" s="1"/>
  <c r="BA654" i="1"/>
  <c r="AY655" i="1"/>
  <c r="AZ655" i="1" s="1"/>
  <c r="BA655" i="1"/>
  <c r="AY656" i="1"/>
  <c r="AZ656" i="1" s="1"/>
  <c r="BA656" i="1"/>
  <c r="AY657" i="1"/>
  <c r="AZ657" i="1" s="1"/>
  <c r="BA657" i="1"/>
  <c r="AY658" i="1"/>
  <c r="AZ658" i="1" s="1"/>
  <c r="BA658" i="1"/>
  <c r="AY659" i="1"/>
  <c r="AZ659" i="1" s="1"/>
  <c r="BA659" i="1"/>
  <c r="AY660" i="1"/>
  <c r="AZ660" i="1" s="1"/>
  <c r="BA660" i="1"/>
  <c r="AY661" i="1"/>
  <c r="AZ661" i="1" s="1"/>
  <c r="BA661" i="1"/>
  <c r="AY662" i="1"/>
  <c r="AZ662" i="1" s="1"/>
  <c r="BA662" i="1"/>
  <c r="AY663" i="1"/>
  <c r="AZ663" i="1" s="1"/>
  <c r="BA663" i="1"/>
  <c r="AY664" i="1"/>
  <c r="AZ664" i="1" s="1"/>
  <c r="BA664" i="1"/>
  <c r="AY665" i="1"/>
  <c r="AZ665" i="1" s="1"/>
  <c r="BA665" i="1"/>
  <c r="AY666" i="1"/>
  <c r="AZ666" i="1" s="1"/>
  <c r="BA666" i="1"/>
  <c r="AY667" i="1"/>
  <c r="AZ667" i="1" s="1"/>
  <c r="BA667" i="1"/>
  <c r="AY668" i="1"/>
  <c r="AZ668" i="1" s="1"/>
  <c r="BA668" i="1"/>
  <c r="AY669" i="1"/>
  <c r="AZ669" i="1" s="1"/>
  <c r="BA669" i="1"/>
  <c r="AY487" i="1"/>
  <c r="AZ487" i="1" s="1"/>
  <c r="BA487" i="1"/>
  <c r="AY488" i="1"/>
  <c r="AZ488" i="1" s="1"/>
  <c r="BA488" i="1"/>
  <c r="AY670" i="1"/>
  <c r="AZ670" i="1" s="1"/>
  <c r="BA670" i="1"/>
  <c r="AY671" i="1"/>
  <c r="AZ671" i="1" s="1"/>
  <c r="BA671" i="1"/>
  <c r="AY673" i="1"/>
  <c r="AZ673" i="1" s="1"/>
  <c r="BA673" i="1"/>
  <c r="AY674" i="1"/>
  <c r="AZ674" i="1" s="1"/>
  <c r="BA674" i="1"/>
  <c r="AY676" i="1"/>
  <c r="AZ676" i="1" s="1"/>
  <c r="BA676" i="1"/>
  <c r="AY677" i="1"/>
  <c r="AZ677" i="1" s="1"/>
  <c r="BA677" i="1"/>
  <c r="AY678" i="1"/>
  <c r="AZ678" i="1" s="1"/>
  <c r="BA678" i="1"/>
  <c r="AY679" i="1"/>
  <c r="AZ679" i="1" s="1"/>
  <c r="BA679" i="1"/>
  <c r="AY680" i="1"/>
  <c r="AZ680" i="1" s="1"/>
  <c r="BA680" i="1"/>
  <c r="AY681" i="1"/>
  <c r="AZ681" i="1" s="1"/>
  <c r="BA681" i="1"/>
  <c r="AY682" i="1"/>
  <c r="AZ682" i="1" s="1"/>
  <c r="BA682" i="1"/>
  <c r="AY683" i="1"/>
  <c r="AZ683" i="1" s="1"/>
  <c r="BA683" i="1"/>
  <c r="AY684" i="1"/>
  <c r="AZ684" i="1" s="1"/>
  <c r="BA684" i="1"/>
  <c r="AY685" i="1"/>
  <c r="AZ685" i="1" s="1"/>
  <c r="BA685" i="1"/>
  <c r="AY686" i="1"/>
  <c r="AZ686" i="1" s="1"/>
  <c r="BA686" i="1"/>
  <c r="AY687" i="1"/>
  <c r="AZ687" i="1" s="1"/>
  <c r="BA687" i="1"/>
  <c r="AY688" i="1"/>
  <c r="AZ688" i="1" s="1"/>
  <c r="BA688" i="1"/>
  <c r="AY690" i="1"/>
  <c r="AZ690" i="1" s="1"/>
  <c r="BA690" i="1"/>
  <c r="AY692" i="1"/>
  <c r="AZ692" i="1" s="1"/>
  <c r="BA692" i="1"/>
  <c r="AY693" i="1"/>
  <c r="AZ693" i="1" s="1"/>
  <c r="BA693" i="1"/>
  <c r="AY694" i="1"/>
  <c r="AZ694" i="1" s="1"/>
  <c r="BA694" i="1"/>
  <c r="AY695" i="1"/>
  <c r="AZ695" i="1" s="1"/>
  <c r="BA695" i="1"/>
  <c r="AY505" i="1"/>
  <c r="AZ505" i="1" s="1"/>
  <c r="BA505" i="1"/>
  <c r="AY696" i="1"/>
  <c r="AZ696" i="1" s="1"/>
  <c r="BA696" i="1"/>
  <c r="AY697" i="1"/>
  <c r="AZ697" i="1" s="1"/>
  <c r="BA697" i="1"/>
  <c r="AY698" i="1"/>
  <c r="AZ698" i="1" s="1"/>
  <c r="BA698" i="1"/>
  <c r="AY508" i="1"/>
  <c r="AZ508" i="1" s="1"/>
  <c r="BA508" i="1"/>
  <c r="AY700" i="1"/>
  <c r="AZ700" i="1" s="1"/>
  <c r="BA700" i="1"/>
  <c r="AY509" i="1"/>
  <c r="AZ509" i="1" s="1"/>
  <c r="BA509" i="1"/>
  <c r="AY701" i="1"/>
  <c r="AZ701" i="1" s="1"/>
  <c r="BA701" i="1"/>
  <c r="AY702" i="1"/>
  <c r="AZ702" i="1" s="1"/>
  <c r="BA702" i="1"/>
  <c r="AY703" i="1"/>
  <c r="AZ703" i="1" s="1"/>
  <c r="BA703" i="1"/>
  <c r="AY704" i="1"/>
  <c r="AZ704" i="1" s="1"/>
  <c r="BA704" i="1"/>
  <c r="AY705" i="1"/>
  <c r="AZ705" i="1" s="1"/>
  <c r="BA705" i="1"/>
  <c r="AY706" i="1"/>
  <c r="AZ706" i="1" s="1"/>
  <c r="BA706" i="1"/>
  <c r="AY707" i="1"/>
  <c r="AZ707" i="1" s="1"/>
  <c r="BA707" i="1"/>
  <c r="AY708" i="1"/>
  <c r="AZ708" i="1" s="1"/>
  <c r="BA708" i="1"/>
  <c r="AY710" i="1"/>
  <c r="AZ710" i="1" s="1"/>
  <c r="BA710" i="1"/>
  <c r="AY711" i="1"/>
  <c r="AZ711" i="1" s="1"/>
  <c r="BA711" i="1"/>
  <c r="AY712" i="1"/>
  <c r="AZ712" i="1" s="1"/>
  <c r="BA712" i="1"/>
  <c r="AY713" i="1"/>
  <c r="AZ713" i="1" s="1"/>
  <c r="BA713" i="1"/>
  <c r="AY714" i="1"/>
  <c r="AZ714" i="1" s="1"/>
  <c r="BA714" i="1"/>
  <c r="AY715" i="1"/>
  <c r="AZ715" i="1" s="1"/>
  <c r="BA715" i="1"/>
  <c r="AY717" i="1"/>
  <c r="AZ717" i="1" s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AY815" i="1"/>
  <c r="AZ815" i="1" s="1"/>
  <c r="BA815" i="1"/>
  <c r="AY817" i="1"/>
  <c r="AZ817" i="1" s="1"/>
  <c r="BA817" i="1"/>
  <c r="AY788" i="1"/>
  <c r="AZ788" i="1" s="1"/>
  <c r="BA788" i="1"/>
  <c r="AY821" i="1"/>
  <c r="AZ821" i="1" s="1"/>
  <c r="BA821" i="1"/>
  <c r="AY822" i="1"/>
  <c r="AZ822" i="1" s="1"/>
  <c r="BA822" i="1"/>
  <c r="AY823" i="1"/>
  <c r="AZ823" i="1" s="1"/>
  <c r="BA823" i="1"/>
  <c r="AY824" i="1"/>
  <c r="AZ824" i="1" s="1"/>
  <c r="BA824" i="1"/>
  <c r="AY825" i="1"/>
  <c r="AZ825" i="1" s="1"/>
  <c r="BA825" i="1"/>
  <c r="AY826" i="1"/>
  <c r="AZ826" i="1" s="1"/>
  <c r="BA826" i="1"/>
  <c r="AY789" i="1"/>
  <c r="AZ789" i="1" s="1"/>
  <c r="BA789" i="1"/>
  <c r="AY827" i="1"/>
  <c r="AZ827" i="1" s="1"/>
  <c r="BA827" i="1"/>
  <c r="AY828" i="1"/>
  <c r="AZ828" i="1" s="1"/>
  <c r="BA828" i="1"/>
  <c r="AY790" i="1"/>
  <c r="AZ790" i="1" s="1"/>
  <c r="BA790" i="1"/>
  <c r="AY791" i="1"/>
  <c r="AZ791" i="1" s="1"/>
  <c r="BA791" i="1"/>
  <c r="AY792" i="1"/>
  <c r="AZ792" i="1" s="1"/>
  <c r="BA792" i="1"/>
  <c r="AY793" i="1"/>
  <c r="AZ793" i="1" s="1"/>
  <c r="BA793" i="1"/>
  <c r="AY794" i="1"/>
  <c r="AZ794" i="1" s="1"/>
  <c r="BA794" i="1"/>
  <c r="AY795" i="1"/>
  <c r="AZ795" i="1" s="1"/>
  <c r="BA795" i="1"/>
  <c r="AY796" i="1"/>
  <c r="AZ796" i="1" s="1"/>
  <c r="BA796" i="1"/>
  <c r="AY798" i="1"/>
  <c r="AZ798" i="1" s="1"/>
  <c r="BA798" i="1"/>
  <c r="AY799" i="1"/>
  <c r="AZ799" i="1" s="1"/>
  <c r="BA799" i="1"/>
  <c r="AY800" i="1"/>
  <c r="AZ800" i="1" s="1"/>
  <c r="BA800" i="1"/>
  <c r="AY801" i="1"/>
  <c r="AZ801" i="1" s="1"/>
  <c r="BA801" i="1"/>
  <c r="AY802" i="1"/>
  <c r="AZ802" i="1" s="1"/>
  <c r="BA802" i="1"/>
  <c r="AY803" i="1"/>
  <c r="AZ803" i="1" s="1"/>
  <c r="BA803" i="1"/>
  <c r="AY804" i="1"/>
  <c r="AZ804" i="1" s="1"/>
  <c r="BA804" i="1"/>
  <c r="AY805" i="1"/>
  <c r="AZ805" i="1" s="1"/>
  <c r="BA805" i="1"/>
  <c r="AY806" i="1"/>
  <c r="AZ806" i="1" s="1"/>
  <c r="BA806" i="1"/>
  <c r="AY807" i="1"/>
  <c r="AZ807" i="1" s="1"/>
  <c r="BA807" i="1"/>
  <c r="AY808" i="1"/>
  <c r="AZ808" i="1" s="1"/>
  <c r="BA808" i="1"/>
  <c r="AY809" i="1"/>
  <c r="AZ809" i="1" s="1"/>
  <c r="BA809" i="1"/>
  <c r="AY810" i="1"/>
  <c r="AZ810" i="1" s="1"/>
  <c r="BA810" i="1"/>
  <c r="AY811" i="1"/>
  <c r="AZ811" i="1" s="1"/>
  <c r="BA811" i="1"/>
  <c r="AY812" i="1"/>
  <c r="AZ812" i="1" s="1"/>
  <c r="BA812" i="1"/>
  <c r="AY813" i="1"/>
  <c r="AZ813" i="1" s="1"/>
  <c r="BA813" i="1"/>
  <c r="AY814" i="1"/>
  <c r="AZ814" i="1" s="1"/>
  <c r="BA814" i="1"/>
  <c r="AY816" i="1"/>
  <c r="AZ816" i="1" s="1"/>
  <c r="BA816" i="1"/>
  <c r="AY818" i="1"/>
  <c r="AZ818" i="1" s="1"/>
  <c r="BA818" i="1"/>
  <c r="AY819" i="1"/>
  <c r="AZ819" i="1" s="1"/>
  <c r="BA819" i="1"/>
  <c r="AY820" i="1"/>
  <c r="AZ820" i="1" s="1"/>
  <c r="BA820" i="1"/>
  <c r="AY829" i="1"/>
  <c r="AZ829" i="1" s="1"/>
  <c r="BA829" i="1"/>
  <c r="AY830" i="1"/>
  <c r="AZ830" i="1" s="1"/>
  <c r="BA830" i="1"/>
  <c r="AY831" i="1"/>
  <c r="AZ831" i="1" s="1"/>
  <c r="BA831" i="1"/>
  <c r="AY832" i="1"/>
  <c r="AZ832" i="1" s="1"/>
  <c r="BA832" i="1"/>
  <c r="AY833" i="1"/>
  <c r="AZ833" i="1" s="1"/>
  <c r="BA833" i="1"/>
  <c r="AY834" i="1"/>
  <c r="AZ834" i="1" s="1"/>
  <c r="BA834" i="1"/>
  <c r="AY835" i="1"/>
  <c r="AZ835" i="1" s="1"/>
  <c r="BA835" i="1"/>
  <c r="AY836" i="1"/>
  <c r="AZ836" i="1" s="1"/>
  <c r="BA836" i="1"/>
  <c r="AY837" i="1"/>
  <c r="AZ837" i="1" s="1"/>
  <c r="BA837" i="1"/>
  <c r="AY838" i="1"/>
  <c r="AZ838" i="1" s="1"/>
  <c r="BA838" i="1"/>
  <c r="AY839" i="1"/>
  <c r="AZ839" i="1" s="1"/>
  <c r="BA839" i="1"/>
  <c r="AY840" i="1"/>
  <c r="AZ840" i="1" s="1"/>
  <c r="BA840" i="1"/>
  <c r="AY841" i="1"/>
  <c r="AZ841" i="1" s="1"/>
  <c r="BA841" i="1"/>
  <c r="AY842" i="1"/>
  <c r="AZ842" i="1" s="1"/>
  <c r="BA842" i="1"/>
  <c r="AY843" i="1"/>
  <c r="AZ843" i="1" s="1"/>
  <c r="BA843" i="1"/>
  <c r="AY844" i="1"/>
  <c r="AZ844" i="1" s="1"/>
  <c r="BA844" i="1"/>
  <c r="AY845" i="1"/>
  <c r="AZ845" i="1" s="1"/>
  <c r="BA845" i="1"/>
  <c r="AY846" i="1"/>
  <c r="AZ846" i="1" s="1"/>
  <c r="BA846" i="1"/>
  <c r="AY847" i="1"/>
  <c r="AZ847" i="1" s="1"/>
  <c r="BA847" i="1"/>
  <c r="AY848" i="1"/>
  <c r="AZ848" i="1" s="1"/>
  <c r="BA848" i="1"/>
  <c r="AY849" i="1"/>
  <c r="AZ849" i="1" s="1"/>
  <c r="BA849" i="1"/>
  <c r="AY850" i="1"/>
  <c r="AZ850" i="1" s="1"/>
  <c r="BA850" i="1"/>
  <c r="AY851" i="1"/>
  <c r="AZ851" i="1" s="1"/>
  <c r="BA851" i="1"/>
  <c r="AY852" i="1"/>
  <c r="AZ852" i="1" s="1"/>
  <c r="BA852" i="1"/>
  <c r="AY853" i="1"/>
  <c r="AZ853" i="1" s="1"/>
  <c r="BA853" i="1"/>
  <c r="AY854" i="1"/>
  <c r="AZ854" i="1" s="1"/>
  <c r="BA854" i="1"/>
  <c r="AY855" i="1"/>
  <c r="AZ855" i="1" s="1"/>
  <c r="BA855" i="1"/>
  <c r="AY856" i="1"/>
  <c r="AZ856" i="1" s="1"/>
  <c r="BA856" i="1"/>
  <c r="AY857" i="1"/>
  <c r="AZ857" i="1" s="1"/>
  <c r="BA857" i="1"/>
  <c r="AY858" i="1"/>
  <c r="AZ858" i="1" s="1"/>
  <c r="BA858" i="1"/>
  <c r="AY859" i="1"/>
  <c r="AZ859" i="1" s="1"/>
  <c r="BA859" i="1"/>
  <c r="AY860" i="1"/>
  <c r="AZ860" i="1" s="1"/>
  <c r="BA860" i="1"/>
  <c r="AY861" i="1"/>
  <c r="AZ861" i="1" s="1"/>
  <c r="BA861" i="1"/>
  <c r="AY862" i="1"/>
  <c r="AZ862" i="1" s="1"/>
  <c r="BA862" i="1"/>
  <c r="AY863" i="1"/>
  <c r="AZ863" i="1" s="1"/>
  <c r="BA863" i="1"/>
  <c r="AY864" i="1"/>
  <c r="AZ864" i="1" s="1"/>
  <c r="BA864" i="1"/>
  <c r="AY865" i="1"/>
  <c r="AZ865" i="1" s="1"/>
  <c r="BA865" i="1"/>
  <c r="AY866" i="1"/>
  <c r="AZ866" i="1" s="1"/>
  <c r="BA866" i="1"/>
  <c r="AY867" i="1"/>
  <c r="AZ867" i="1" s="1"/>
  <c r="BA867" i="1"/>
  <c r="AY868" i="1"/>
  <c r="AZ868" i="1" s="1"/>
  <c r="BA868" i="1"/>
  <c r="AY869" i="1"/>
  <c r="AZ869" i="1" s="1"/>
  <c r="BA869" i="1"/>
  <c r="AY870" i="1"/>
  <c r="AZ870" i="1" s="1"/>
  <c r="BA870" i="1"/>
  <c r="AY871" i="1"/>
  <c r="AZ871" i="1" s="1"/>
  <c r="BA871" i="1"/>
  <c r="AY872" i="1"/>
  <c r="AZ872" i="1" s="1"/>
  <c r="BA872" i="1"/>
  <c r="AY873" i="1"/>
  <c r="AZ873" i="1" s="1"/>
  <c r="BA873" i="1"/>
  <c r="AY874" i="1"/>
  <c r="AZ874" i="1" s="1"/>
  <c r="BA874" i="1"/>
  <c r="AY875" i="1"/>
  <c r="AZ875" i="1" s="1"/>
  <c r="BA875" i="1"/>
  <c r="AY876" i="1"/>
  <c r="AZ876" i="1" s="1"/>
  <c r="BA876" i="1"/>
  <c r="AY877" i="1"/>
  <c r="AZ877" i="1" s="1"/>
  <c r="BA877" i="1"/>
  <c r="AY878" i="1"/>
  <c r="AZ878" i="1" s="1"/>
  <c r="BA878" i="1"/>
  <c r="AY879" i="1"/>
  <c r="AZ879" i="1" s="1"/>
  <c r="BA879" i="1"/>
  <c r="AY880" i="1"/>
  <c r="AZ880" i="1" s="1"/>
  <c r="BA880" i="1"/>
  <c r="AY881" i="1"/>
  <c r="AZ881" i="1" s="1"/>
  <c r="BA881" i="1"/>
  <c r="AY882" i="1"/>
  <c r="AZ882" i="1" s="1"/>
  <c r="BA882" i="1"/>
  <c r="AY883" i="1"/>
  <c r="AZ883" i="1" s="1"/>
  <c r="BA883" i="1"/>
  <c r="AY884" i="1"/>
  <c r="AZ884" i="1" s="1"/>
  <c r="BA884" i="1"/>
  <c r="AY885" i="1"/>
  <c r="AZ885" i="1" s="1"/>
  <c r="BA885" i="1"/>
  <c r="AY886" i="1"/>
  <c r="AZ886" i="1" s="1"/>
  <c r="BA886" i="1"/>
  <c r="AY887" i="1"/>
  <c r="AZ887" i="1" s="1"/>
  <c r="BA887" i="1"/>
  <c r="AY888" i="1"/>
  <c r="AZ888" i="1" s="1"/>
  <c r="BA888" i="1"/>
  <c r="AY889" i="1"/>
  <c r="AZ889" i="1" s="1"/>
  <c r="BA889" i="1"/>
  <c r="AY890" i="1"/>
  <c r="AZ890" i="1" s="1"/>
  <c r="BA890" i="1"/>
  <c r="AY891" i="1"/>
  <c r="AZ891" i="1" s="1"/>
  <c r="BA891" i="1"/>
  <c r="AY892" i="1"/>
  <c r="AZ892" i="1" s="1"/>
  <c r="BA892" i="1"/>
  <c r="AY893" i="1"/>
  <c r="AZ893" i="1" s="1"/>
  <c r="BA893" i="1"/>
  <c r="AY894" i="1"/>
  <c r="AZ894" i="1" s="1"/>
  <c r="BA894" i="1"/>
  <c r="AY895" i="1"/>
  <c r="AZ895" i="1" s="1"/>
  <c r="BA895" i="1"/>
  <c r="AY896" i="1"/>
  <c r="AZ896" i="1" s="1"/>
  <c r="BA896" i="1"/>
  <c r="AY897" i="1"/>
  <c r="AZ897" i="1" s="1"/>
  <c r="BA897" i="1"/>
  <c r="AY898" i="1"/>
  <c r="AZ898" i="1" s="1"/>
  <c r="BA898" i="1"/>
  <c r="AY899" i="1"/>
  <c r="AZ899" i="1" s="1"/>
  <c r="BA899" i="1"/>
  <c r="AY900" i="1"/>
  <c r="AZ900" i="1" s="1"/>
  <c r="BA900" i="1"/>
  <c r="AY901" i="1"/>
  <c r="AZ901" i="1" s="1"/>
  <c r="BA901" i="1"/>
  <c r="AY902" i="1"/>
  <c r="AZ902" i="1" s="1"/>
  <c r="BA902" i="1"/>
  <c r="AY903" i="1"/>
  <c r="AZ903" i="1" s="1"/>
  <c r="BA903" i="1"/>
  <c r="AY904" i="1"/>
  <c r="AZ904" i="1" s="1"/>
  <c r="BA904" i="1"/>
  <c r="AY905" i="1"/>
  <c r="AZ905" i="1" s="1"/>
  <c r="BA905" i="1"/>
  <c r="AY906" i="1"/>
  <c r="AZ906" i="1" s="1"/>
  <c r="BA906" i="1"/>
  <c r="AY907" i="1"/>
  <c r="AZ907" i="1" s="1"/>
  <c r="BA907" i="1"/>
  <c r="AY908" i="1"/>
  <c r="AZ908" i="1" s="1"/>
  <c r="BA908" i="1"/>
  <c r="AY909" i="1"/>
  <c r="AZ909" i="1" s="1"/>
  <c r="BA909" i="1"/>
  <c r="AY910" i="1"/>
  <c r="AZ910" i="1" s="1"/>
  <c r="BA910" i="1"/>
  <c r="AY911" i="1"/>
  <c r="AZ911" i="1" s="1"/>
  <c r="BA911" i="1"/>
  <c r="AY912" i="1"/>
  <c r="AZ912" i="1" s="1"/>
  <c r="BA912" i="1"/>
  <c r="AY913" i="1"/>
  <c r="AZ913" i="1" s="1"/>
  <c r="BA913" i="1"/>
  <c r="AY914" i="1"/>
  <c r="AZ914" i="1" s="1"/>
  <c r="BA914" i="1"/>
  <c r="AY915" i="1"/>
  <c r="AZ915" i="1" s="1"/>
  <c r="BA915" i="1"/>
  <c r="AY916" i="1"/>
  <c r="AZ916" i="1" s="1"/>
  <c r="BA916" i="1"/>
  <c r="AY917" i="1"/>
  <c r="AZ917" i="1" s="1"/>
  <c r="BA917" i="1"/>
  <c r="AY918" i="1"/>
  <c r="AZ918" i="1" s="1"/>
  <c r="BA918" i="1"/>
  <c r="AY919" i="1"/>
  <c r="AZ919" i="1" s="1"/>
  <c r="BA919" i="1"/>
  <c r="AY920" i="1"/>
  <c r="AZ920" i="1" s="1"/>
  <c r="BA920" i="1"/>
  <c r="AY921" i="1"/>
  <c r="AZ921" i="1" s="1"/>
  <c r="BA921" i="1"/>
  <c r="AY922" i="1"/>
  <c r="AZ922" i="1" s="1"/>
  <c r="BA922" i="1"/>
  <c r="AY923" i="1"/>
  <c r="AZ923" i="1" s="1"/>
  <c r="BA923" i="1"/>
  <c r="AY924" i="1"/>
  <c r="AZ924" i="1" s="1"/>
  <c r="BA924" i="1"/>
  <c r="AY925" i="1"/>
  <c r="AZ925" i="1" s="1"/>
  <c r="BA925" i="1"/>
  <c r="AY926" i="1"/>
  <c r="AZ926" i="1" s="1"/>
  <c r="BA926" i="1"/>
  <c r="AY927" i="1"/>
  <c r="AZ927" i="1" s="1"/>
  <c r="BA927" i="1"/>
  <c r="AY928" i="1"/>
  <c r="AZ928" i="1" s="1"/>
  <c r="BA928" i="1"/>
  <c r="AY929" i="1"/>
  <c r="AZ929" i="1" s="1"/>
  <c r="BA929" i="1"/>
  <c r="AY930" i="1"/>
  <c r="AZ930" i="1" s="1"/>
  <c r="BA930" i="1"/>
  <c r="AY931" i="1"/>
  <c r="AZ931" i="1" s="1"/>
  <c r="BA931" i="1"/>
  <c r="AY932" i="1"/>
  <c r="AZ932" i="1" s="1"/>
  <c r="BA932" i="1"/>
  <c r="AY933" i="1"/>
  <c r="AZ933" i="1" s="1"/>
  <c r="BA933" i="1"/>
  <c r="AY934" i="1"/>
  <c r="AZ934" i="1" s="1"/>
  <c r="BA934" i="1"/>
  <c r="AY935" i="1"/>
  <c r="AZ935" i="1" s="1"/>
  <c r="BA935" i="1"/>
  <c r="AY936" i="1"/>
  <c r="AZ936" i="1" s="1"/>
  <c r="BA936" i="1"/>
  <c r="AY937" i="1"/>
  <c r="AZ937" i="1" s="1"/>
  <c r="BA937" i="1"/>
  <c r="AY938" i="1"/>
  <c r="AZ938" i="1" s="1"/>
  <c r="BA938" i="1"/>
  <c r="AY939" i="1"/>
  <c r="AZ939" i="1" s="1"/>
  <c r="BA939" i="1"/>
  <c r="AY940" i="1"/>
  <c r="AZ940" i="1" s="1"/>
  <c r="BA940" i="1"/>
  <c r="AY941" i="1"/>
  <c r="AZ941" i="1" s="1"/>
  <c r="BA941" i="1"/>
  <c r="AY942" i="1"/>
  <c r="AZ942" i="1" s="1"/>
  <c r="BA942" i="1"/>
  <c r="AY943" i="1"/>
  <c r="AZ943" i="1" s="1"/>
  <c r="BA943" i="1"/>
  <c r="AY944" i="1"/>
  <c r="AZ944" i="1" s="1"/>
  <c r="BA944" i="1"/>
  <c r="AY945" i="1"/>
  <c r="AZ945" i="1" s="1"/>
  <c r="BA945" i="1"/>
  <c r="AY946" i="1"/>
  <c r="AZ946" i="1" s="1"/>
  <c r="BA946" i="1"/>
  <c r="AY947" i="1"/>
  <c r="AZ947" i="1" s="1"/>
  <c r="BA947" i="1"/>
  <c r="AY948" i="1"/>
  <c r="AZ948" i="1" s="1"/>
  <c r="BA948" i="1"/>
  <c r="AY949" i="1"/>
  <c r="AZ949" i="1" s="1"/>
  <c r="BA949" i="1"/>
  <c r="AY950" i="1"/>
  <c r="AZ950" i="1" s="1"/>
  <c r="BA950" i="1"/>
  <c r="AY951" i="1"/>
  <c r="AZ951" i="1" s="1"/>
  <c r="BA951" i="1"/>
  <c r="AY952" i="1"/>
  <c r="AZ952" i="1" s="1"/>
  <c r="BA952" i="1"/>
  <c r="AY953" i="1"/>
  <c r="AZ953" i="1" s="1"/>
  <c r="BA953" i="1"/>
  <c r="AY954" i="1"/>
  <c r="AZ954" i="1" s="1"/>
  <c r="BA954" i="1"/>
  <c r="AY955" i="1"/>
  <c r="AZ955" i="1" s="1"/>
  <c r="BA955" i="1"/>
  <c r="AY956" i="1"/>
  <c r="AZ956" i="1" s="1"/>
  <c r="BA956" i="1"/>
  <c r="AY957" i="1"/>
  <c r="AZ957" i="1" s="1"/>
  <c r="BA957" i="1"/>
  <c r="AY958" i="1"/>
  <c r="AZ958" i="1" s="1"/>
  <c r="BA958" i="1"/>
  <c r="AY959" i="1"/>
  <c r="AZ959" i="1" s="1"/>
  <c r="BA959" i="1"/>
  <c r="AY960" i="1"/>
  <c r="AZ960" i="1" s="1"/>
  <c r="BA960" i="1"/>
  <c r="AY961" i="1"/>
  <c r="AZ961" i="1" s="1"/>
  <c r="BA961" i="1"/>
  <c r="AY962" i="1"/>
  <c r="AZ962" i="1" s="1"/>
  <c r="BA962" i="1"/>
  <c r="AY963" i="1"/>
  <c r="AZ963" i="1" s="1"/>
  <c r="BA963" i="1"/>
  <c r="AY964" i="1"/>
  <c r="AZ964" i="1" s="1"/>
  <c r="BA964" i="1"/>
  <c r="AY965" i="1"/>
  <c r="AZ965" i="1" s="1"/>
  <c r="BA965" i="1"/>
  <c r="AY966" i="1"/>
  <c r="AZ966" i="1" s="1"/>
  <c r="BA966" i="1"/>
  <c r="AY967" i="1"/>
  <c r="AZ967" i="1" s="1"/>
  <c r="BA967" i="1"/>
  <c r="AY968" i="1"/>
  <c r="AZ968" i="1" s="1"/>
  <c r="BA968" i="1"/>
  <c r="AY969" i="1"/>
  <c r="AZ969" i="1" s="1"/>
  <c r="BA969" i="1"/>
  <c r="AY970" i="1"/>
  <c r="AZ970" i="1" s="1"/>
  <c r="BA970" i="1"/>
  <c r="AY971" i="1"/>
  <c r="AZ971" i="1" s="1"/>
  <c r="BA971" i="1"/>
  <c r="AY972" i="1"/>
  <c r="AZ972" i="1" s="1"/>
  <c r="BA972" i="1"/>
  <c r="AY973" i="1"/>
  <c r="AZ973" i="1" s="1"/>
  <c r="BA973" i="1"/>
  <c r="AY974" i="1"/>
  <c r="AZ974" i="1" s="1"/>
  <c r="BA974" i="1"/>
  <c r="AY975" i="1"/>
  <c r="AZ975" i="1" s="1"/>
  <c r="BA975" i="1"/>
  <c r="AY976" i="1"/>
  <c r="AZ976" i="1" s="1"/>
  <c r="BA976" i="1"/>
  <c r="AY977" i="1"/>
  <c r="AZ977" i="1" s="1"/>
  <c r="BA977" i="1"/>
  <c r="AY978" i="1"/>
  <c r="AZ978" i="1" s="1"/>
  <c r="BA978" i="1"/>
  <c r="AY979" i="1"/>
  <c r="AZ979" i="1" s="1"/>
  <c r="BA979" i="1"/>
  <c r="AY980" i="1"/>
  <c r="AZ980" i="1" s="1"/>
  <c r="BA980" i="1"/>
  <c r="AY981" i="1"/>
  <c r="AZ981" i="1" s="1"/>
  <c r="BA981" i="1"/>
  <c r="AY982" i="1"/>
  <c r="AZ982" i="1" s="1"/>
  <c r="BA982" i="1"/>
  <c r="AY983" i="1"/>
  <c r="AZ983" i="1" s="1"/>
  <c r="BA983" i="1"/>
  <c r="AY984" i="1"/>
  <c r="AZ984" i="1" s="1"/>
  <c r="BA984" i="1"/>
  <c r="AY985" i="1"/>
  <c r="AZ985" i="1" s="1"/>
  <c r="BA985" i="1"/>
  <c r="AY986" i="1"/>
  <c r="AZ986" i="1" s="1"/>
  <c r="BA986" i="1"/>
  <c r="AY987" i="1"/>
  <c r="AZ987" i="1" s="1"/>
  <c r="BA987" i="1"/>
  <c r="AY988" i="1"/>
  <c r="AZ988" i="1" s="1"/>
  <c r="BA988" i="1"/>
  <c r="AY989" i="1"/>
  <c r="AZ989" i="1" s="1"/>
  <c r="BA989" i="1"/>
  <c r="AY990" i="1"/>
  <c r="AZ990" i="1" s="1"/>
  <c r="BA990" i="1"/>
  <c r="AY991" i="1"/>
  <c r="AZ991" i="1" s="1"/>
  <c r="BA991" i="1"/>
  <c r="AY992" i="1"/>
  <c r="AZ992" i="1" s="1"/>
  <c r="BA992" i="1"/>
  <c r="AY993" i="1"/>
  <c r="AZ993" i="1" s="1"/>
  <c r="BA993" i="1"/>
  <c r="AY994" i="1"/>
  <c r="AZ994" i="1" s="1"/>
  <c r="BA994" i="1"/>
  <c r="AY995" i="1"/>
  <c r="AZ995" i="1" s="1"/>
  <c r="BA995" i="1"/>
  <c r="AY996" i="1"/>
  <c r="AZ996" i="1" s="1"/>
  <c r="BA996" i="1"/>
  <c r="AY997" i="1"/>
  <c r="AZ997" i="1" s="1"/>
  <c r="BA997" i="1"/>
  <c r="AY998" i="1"/>
  <c r="AZ998" i="1" s="1"/>
  <c r="BA998" i="1"/>
  <c r="AY999" i="1"/>
  <c r="AZ999" i="1" s="1"/>
  <c r="BA999" i="1"/>
  <c r="AY1000" i="1"/>
  <c r="AZ1000" i="1" s="1"/>
  <c r="BA1000" i="1"/>
  <c r="AY1001" i="1"/>
  <c r="AZ1001" i="1" s="1"/>
  <c r="BA1001" i="1"/>
  <c r="AY1002" i="1"/>
  <c r="AZ1002" i="1" s="1"/>
  <c r="BA1002" i="1"/>
  <c r="AY1003" i="1"/>
  <c r="AZ1003" i="1" s="1"/>
  <c r="BA1003" i="1"/>
  <c r="AY1004" i="1"/>
  <c r="AZ1004" i="1" s="1"/>
  <c r="BA1004" i="1"/>
  <c r="AY1005" i="1"/>
  <c r="AZ1005" i="1" s="1"/>
  <c r="BA1005" i="1"/>
  <c r="AY1006" i="1"/>
  <c r="AZ1006" i="1" s="1"/>
  <c r="BA1006" i="1"/>
  <c r="AY1007" i="1"/>
  <c r="AZ1007" i="1" s="1"/>
  <c r="BA1007" i="1"/>
  <c r="AY1008" i="1"/>
  <c r="AZ1008" i="1" s="1"/>
  <c r="BA1008" i="1"/>
  <c r="AY1009" i="1"/>
  <c r="AZ1009" i="1" s="1"/>
  <c r="BA1009" i="1"/>
  <c r="AY1010" i="1"/>
  <c r="AZ1010" i="1" s="1"/>
  <c r="BA1010" i="1"/>
  <c r="AY1011" i="1"/>
  <c r="AZ1011" i="1" s="1"/>
  <c r="BA1011" i="1"/>
  <c r="AY1012" i="1"/>
  <c r="AZ1012" i="1" s="1"/>
  <c r="BA1012" i="1"/>
  <c r="AY1013" i="1"/>
  <c r="AZ1013" i="1" s="1"/>
  <c r="BA1013" i="1"/>
  <c r="AY1014" i="1"/>
  <c r="AZ1014" i="1" s="1"/>
  <c r="BA1014" i="1"/>
  <c r="AY1015" i="1"/>
  <c r="AZ1015" i="1" s="1"/>
  <c r="BA1015" i="1"/>
  <c r="AY1016" i="1"/>
  <c r="AZ1016" i="1" s="1"/>
  <c r="BA1016" i="1"/>
  <c r="AY1017" i="1"/>
  <c r="AZ1017" i="1" s="1"/>
  <c r="BA1017" i="1"/>
  <c r="AY1018" i="1"/>
  <c r="AZ1018" i="1" s="1"/>
  <c r="BA1018" i="1"/>
  <c r="AY1019" i="1"/>
  <c r="AZ1019" i="1" s="1"/>
  <c r="BA1019" i="1"/>
  <c r="AY1020" i="1"/>
  <c r="AZ1020" i="1" s="1"/>
  <c r="BA1020" i="1"/>
  <c r="AY1021" i="1"/>
  <c r="AZ1021" i="1" s="1"/>
  <c r="BA1021" i="1"/>
  <c r="AY1022" i="1"/>
  <c r="AZ1022" i="1" s="1"/>
  <c r="BA1022" i="1"/>
  <c r="AY1023" i="1"/>
  <c r="AZ1023" i="1" s="1"/>
  <c r="BA1023" i="1"/>
  <c r="AY1024" i="1"/>
  <c r="AZ1024" i="1" s="1"/>
  <c r="BA1024" i="1"/>
  <c r="AY1025" i="1"/>
  <c r="AZ1025" i="1" s="1"/>
  <c r="BA1025" i="1"/>
  <c r="AY1026" i="1"/>
  <c r="AZ1026" i="1" s="1"/>
  <c r="BA1026" i="1"/>
  <c r="AY1027" i="1"/>
  <c r="AZ1027" i="1" s="1"/>
  <c r="BA1027" i="1"/>
  <c r="AY1028" i="1"/>
  <c r="AZ1028" i="1" s="1"/>
  <c r="BA1028" i="1"/>
  <c r="AY1029" i="1"/>
  <c r="AZ1029" i="1" s="1"/>
  <c r="BA1029" i="1"/>
  <c r="AY1030" i="1"/>
  <c r="AZ1030" i="1" s="1"/>
  <c r="BA1030" i="1"/>
  <c r="AY1031" i="1"/>
  <c r="AZ1031" i="1" s="1"/>
  <c r="BA1031" i="1"/>
  <c r="AY1032" i="1"/>
  <c r="AZ1032" i="1" s="1"/>
  <c r="BA1032" i="1"/>
  <c r="AY1033" i="1"/>
  <c r="AZ1033" i="1" s="1"/>
  <c r="BA1033" i="1"/>
  <c r="AY1034" i="1"/>
  <c r="AZ1034" i="1" s="1"/>
  <c r="BA1034" i="1"/>
  <c r="AY1035" i="1"/>
  <c r="AZ1035" i="1" s="1"/>
  <c r="BA1035" i="1"/>
  <c r="AY1036" i="1"/>
  <c r="AZ1036" i="1" s="1"/>
  <c r="BA1036" i="1"/>
  <c r="AY1037" i="1"/>
  <c r="AZ1037" i="1" s="1"/>
  <c r="BA1037" i="1"/>
  <c r="AY1038" i="1"/>
  <c r="AZ1038" i="1" s="1"/>
  <c r="BA1038" i="1"/>
  <c r="AY1039" i="1"/>
  <c r="AZ1039" i="1" s="1"/>
  <c r="BA1039" i="1"/>
  <c r="AY1040" i="1"/>
  <c r="AZ1040" i="1" s="1"/>
  <c r="BA1040" i="1"/>
  <c r="AY1041" i="1"/>
  <c r="AZ1041" i="1" s="1"/>
  <c r="BA1041" i="1"/>
  <c r="AY1042" i="1"/>
  <c r="AZ1042" i="1" s="1"/>
  <c r="BA1042" i="1"/>
  <c r="AY1043" i="1"/>
  <c r="AZ1043" i="1" s="1"/>
  <c r="BA1043" i="1"/>
  <c r="AY1044" i="1"/>
  <c r="AZ1044" i="1" s="1"/>
  <c r="BA1044" i="1"/>
  <c r="AY1045" i="1"/>
  <c r="AZ1045" i="1" s="1"/>
  <c r="BA1045" i="1"/>
  <c r="AY1046" i="1"/>
  <c r="AZ1046" i="1" s="1"/>
  <c r="BA1046" i="1"/>
  <c r="AY1047" i="1"/>
  <c r="AZ1047" i="1" s="1"/>
  <c r="BA1047" i="1"/>
  <c r="AY1048" i="1"/>
  <c r="AZ1048" i="1" s="1"/>
  <c r="BA1048" i="1"/>
  <c r="AY1049" i="1"/>
  <c r="AZ1049" i="1" s="1"/>
  <c r="BA1049" i="1"/>
  <c r="AY1050" i="1"/>
  <c r="AZ1050" i="1" s="1"/>
  <c r="BA1050" i="1"/>
  <c r="AY1051" i="1"/>
  <c r="AZ1051" i="1" s="1"/>
  <c r="BA1051" i="1"/>
  <c r="AY1052" i="1"/>
  <c r="AZ1052" i="1" s="1"/>
  <c r="BA1052" i="1"/>
  <c r="AY1053" i="1"/>
  <c r="AZ1053" i="1" s="1"/>
  <c r="BA1053" i="1"/>
  <c r="AY1054" i="1"/>
  <c r="AZ1054" i="1" s="1"/>
  <c r="BA1054" i="1"/>
  <c r="AY1055" i="1"/>
  <c r="AZ1055" i="1" s="1"/>
  <c r="BA1055" i="1"/>
  <c r="AY1056" i="1"/>
  <c r="AZ1056" i="1" s="1"/>
  <c r="BA1056" i="1"/>
  <c r="AY1057" i="1"/>
  <c r="AZ1057" i="1" s="1"/>
  <c r="BA1057" i="1"/>
  <c r="AY1058" i="1"/>
  <c r="AZ1058" i="1" s="1"/>
  <c r="BA1058" i="1"/>
  <c r="AY1059" i="1"/>
  <c r="AZ1059" i="1" s="1"/>
  <c r="BA1059" i="1"/>
  <c r="AY1060" i="1"/>
  <c r="AZ1060" i="1" s="1"/>
  <c r="BA1060" i="1"/>
  <c r="AY1061" i="1"/>
  <c r="AZ1061" i="1" s="1"/>
  <c r="BA1061" i="1"/>
  <c r="AY1062" i="1"/>
  <c r="AZ1062" i="1" s="1"/>
  <c r="BA1062" i="1"/>
  <c r="AY1063" i="1"/>
  <c r="AZ1063" i="1" s="1"/>
  <c r="BA1063" i="1"/>
  <c r="AY1064" i="1"/>
  <c r="AZ1064" i="1" s="1"/>
  <c r="BA1064" i="1"/>
  <c r="AY1065" i="1"/>
  <c r="AZ1065" i="1" s="1"/>
  <c r="BA1065" i="1"/>
  <c r="AY1066" i="1"/>
  <c r="AZ1066" i="1" s="1"/>
  <c r="BA1066" i="1"/>
  <c r="AY1067" i="1"/>
  <c r="AZ1067" i="1" s="1"/>
  <c r="BA1067" i="1"/>
  <c r="AY1068" i="1"/>
  <c r="AZ1068" i="1" s="1"/>
  <c r="BA1068" i="1"/>
  <c r="AY1069" i="1"/>
  <c r="AZ1069" i="1" s="1"/>
  <c r="BA1069" i="1"/>
  <c r="AY1070" i="1"/>
  <c r="AZ1070" i="1" s="1"/>
  <c r="BA1070" i="1"/>
  <c r="AY1071" i="1"/>
  <c r="AZ1071" i="1" s="1"/>
  <c r="BA1071" i="1"/>
  <c r="AY1072" i="1"/>
  <c r="AZ1072" i="1" s="1"/>
  <c r="BA1072" i="1"/>
  <c r="AY1073" i="1"/>
  <c r="AZ1073" i="1" s="1"/>
  <c r="BA1073" i="1"/>
  <c r="AY1074" i="1"/>
  <c r="AZ1074" i="1" s="1"/>
  <c r="BA1074" i="1"/>
  <c r="AY1075" i="1"/>
  <c r="AZ1075" i="1" s="1"/>
  <c r="BA1075" i="1"/>
  <c r="AY1076" i="1"/>
  <c r="AZ1076" i="1" s="1"/>
  <c r="BA1076" i="1"/>
  <c r="AY1077" i="1"/>
  <c r="AZ1077" i="1" s="1"/>
  <c r="BA1077" i="1"/>
  <c r="AY1078" i="1"/>
  <c r="AZ1078" i="1" s="1"/>
  <c r="BA1078" i="1"/>
  <c r="AY1079" i="1"/>
  <c r="AZ1079" i="1" s="1"/>
  <c r="BA1079" i="1"/>
  <c r="AY1080" i="1"/>
  <c r="AZ1080" i="1" s="1"/>
  <c r="BA1080" i="1"/>
  <c r="AY1081" i="1"/>
  <c r="AZ1081" i="1" s="1"/>
  <c r="BA1081" i="1"/>
  <c r="AY1082" i="1"/>
  <c r="AZ1082" i="1" s="1"/>
  <c r="BA1082" i="1"/>
  <c r="AY1083" i="1"/>
  <c r="AZ1083" i="1" s="1"/>
  <c r="BA1083" i="1"/>
  <c r="AY1084" i="1"/>
  <c r="AZ1084" i="1" s="1"/>
  <c r="BA1084" i="1"/>
  <c r="AY1085" i="1"/>
  <c r="AZ1085" i="1" s="1"/>
  <c r="BA1085" i="1"/>
  <c r="AY1086" i="1"/>
  <c r="AZ1086" i="1" s="1"/>
  <c r="BA1086" i="1"/>
  <c r="AY1087" i="1"/>
  <c r="AZ1087" i="1" s="1"/>
  <c r="BA1087" i="1"/>
  <c r="AY1088" i="1"/>
  <c r="AZ1088" i="1" s="1"/>
  <c r="BA1088" i="1"/>
  <c r="AY1089" i="1"/>
  <c r="AZ1089" i="1" s="1"/>
  <c r="BA1089" i="1"/>
  <c r="AY1090" i="1"/>
  <c r="AZ1090" i="1" s="1"/>
  <c r="BA1090" i="1"/>
  <c r="AY1091" i="1"/>
  <c r="AZ1091" i="1" s="1"/>
  <c r="BA1091" i="1"/>
  <c r="AY1092" i="1"/>
  <c r="AZ1092" i="1" s="1"/>
  <c r="BA1092" i="1"/>
  <c r="AY1093" i="1"/>
  <c r="AZ1093" i="1" s="1"/>
  <c r="BA1093" i="1"/>
  <c r="AY1094" i="1"/>
  <c r="AZ1094" i="1" s="1"/>
  <c r="BA1094" i="1"/>
  <c r="AY1095" i="1"/>
  <c r="AZ1095" i="1" s="1"/>
  <c r="BA1095" i="1"/>
  <c r="AY1096" i="1"/>
  <c r="AZ1096" i="1" s="1"/>
  <c r="BA1096" i="1"/>
  <c r="AY1097" i="1"/>
  <c r="AZ1097" i="1" s="1"/>
  <c r="BA1097" i="1"/>
  <c r="AY1098" i="1"/>
  <c r="AZ1098" i="1" s="1"/>
  <c r="BA1098" i="1"/>
  <c r="AY1099" i="1"/>
  <c r="AZ1099" i="1" s="1"/>
  <c r="BA1099" i="1"/>
  <c r="AY1100" i="1"/>
  <c r="AZ1100" i="1" s="1"/>
  <c r="BA1100" i="1"/>
  <c r="AY1101" i="1"/>
  <c r="AZ1101" i="1" s="1"/>
  <c r="BA1101" i="1"/>
  <c r="AY1102" i="1"/>
  <c r="AZ1102" i="1" s="1"/>
  <c r="BA1102" i="1"/>
  <c r="AY1103" i="1"/>
  <c r="AZ1103" i="1" s="1"/>
  <c r="BA1103" i="1"/>
  <c r="AY1104" i="1"/>
  <c r="AZ1104" i="1" s="1"/>
  <c r="BA1104" i="1"/>
  <c r="AY1105" i="1"/>
  <c r="AZ1105" i="1" s="1"/>
  <c r="BA1105" i="1"/>
  <c r="AY1106" i="1"/>
  <c r="AZ1106" i="1" s="1"/>
  <c r="BA1106" i="1"/>
  <c r="AY1107" i="1"/>
  <c r="AZ1107" i="1" s="1"/>
  <c r="BA1107" i="1"/>
  <c r="AY1108" i="1"/>
  <c r="AZ1108" i="1" s="1"/>
  <c r="BA1108" i="1"/>
  <c r="AY1109" i="1"/>
  <c r="AZ1109" i="1" s="1"/>
  <c r="BA1109" i="1"/>
  <c r="AY1110" i="1"/>
  <c r="AZ1110" i="1" s="1"/>
  <c r="BA1110" i="1"/>
  <c r="AY1111" i="1"/>
  <c r="AZ1111" i="1" s="1"/>
  <c r="BA1111" i="1"/>
  <c r="AY1112" i="1"/>
  <c r="AZ1112" i="1" s="1"/>
  <c r="BA1112" i="1"/>
  <c r="AY1113" i="1"/>
  <c r="AZ1113" i="1" s="1"/>
  <c r="BA1113" i="1"/>
  <c r="AY1114" i="1"/>
  <c r="AZ1114" i="1" s="1"/>
  <c r="BA1114" i="1"/>
  <c r="AY1115" i="1"/>
  <c r="AZ1115" i="1" s="1"/>
  <c r="BA1115" i="1"/>
  <c r="AY1116" i="1"/>
  <c r="AZ1116" i="1" s="1"/>
  <c r="BA1116" i="1"/>
  <c r="AY1117" i="1"/>
  <c r="AZ1117" i="1" s="1"/>
  <c r="BA1117" i="1"/>
  <c r="AY1118" i="1"/>
  <c r="AZ1118" i="1" s="1"/>
  <c r="BA1118" i="1"/>
  <c r="AY1119" i="1"/>
  <c r="AZ1119" i="1" s="1"/>
  <c r="BA1119" i="1"/>
  <c r="AY1120" i="1"/>
  <c r="AZ1120" i="1" s="1"/>
  <c r="BA1120" i="1"/>
  <c r="AY1121" i="1"/>
  <c r="AZ1121" i="1" s="1"/>
  <c r="BA1121" i="1"/>
  <c r="AY797" i="1"/>
  <c r="AZ797" i="1" s="1"/>
  <c r="BA797" i="1"/>
  <c r="AY786" i="1"/>
  <c r="AZ786" i="1" s="1"/>
  <c r="BA786" i="1"/>
  <c r="AY787" i="1"/>
  <c r="AZ787" i="1" s="1"/>
  <c r="BA787" i="1"/>
  <c r="AY1122" i="1"/>
  <c r="AZ1122" i="1" s="1"/>
  <c r="BA1122" i="1"/>
  <c r="AY1123" i="1"/>
  <c r="AZ1123" i="1" s="1"/>
  <c r="BA1123" i="1"/>
  <c r="AY1124" i="1"/>
  <c r="AZ1124" i="1" s="1"/>
  <c r="BA1124" i="1"/>
  <c r="AY1125" i="1"/>
  <c r="AZ1125" i="1" s="1"/>
  <c r="BA1125" i="1"/>
  <c r="AY1126" i="1"/>
  <c r="AZ1126" i="1" s="1"/>
  <c r="BA1126" i="1"/>
  <c r="AY1127" i="1"/>
  <c r="AZ1127" i="1" s="1"/>
  <c r="BA1127" i="1"/>
  <c r="AY1128" i="1"/>
  <c r="AZ1128" i="1" s="1"/>
  <c r="BA1128" i="1"/>
  <c r="AY1129" i="1"/>
  <c r="AZ1129" i="1" s="1"/>
  <c r="BA1129" i="1"/>
  <c r="AY1130" i="1"/>
  <c r="AZ1130" i="1" s="1"/>
  <c r="BA1130" i="1"/>
  <c r="AY1131" i="1"/>
  <c r="AZ1131" i="1" s="1"/>
  <c r="BA1131" i="1"/>
  <c r="AY1132" i="1"/>
  <c r="AZ1132" i="1" s="1"/>
  <c r="BA1132" i="1"/>
  <c r="AY1133" i="1"/>
  <c r="AZ1133" i="1" s="1"/>
  <c r="BA1133" i="1"/>
  <c r="AY1134" i="1"/>
  <c r="AZ1134" i="1" s="1"/>
  <c r="BA1134" i="1"/>
  <c r="AY1135" i="1"/>
  <c r="AZ1135" i="1" s="1"/>
  <c r="BA1135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1" i="1"/>
  <c r="AT22" i="1"/>
  <c r="AT257" i="1"/>
  <c r="AT23" i="1"/>
  <c r="AT24" i="1"/>
  <c r="AT25" i="1"/>
  <c r="AT26" i="1"/>
  <c r="AT27" i="1"/>
  <c r="AT28" i="1"/>
  <c r="AT29" i="1"/>
  <c r="AT30" i="1"/>
  <c r="AT161" i="1"/>
  <c r="AT33" i="1"/>
  <c r="AT34" i="1"/>
  <c r="AT35" i="1"/>
  <c r="AT36" i="1"/>
  <c r="AT37" i="1"/>
  <c r="AT363" i="1"/>
  <c r="AT38" i="1"/>
  <c r="AT39" i="1"/>
  <c r="AT40" i="1"/>
  <c r="AT219" i="1"/>
  <c r="AT319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4" i="1"/>
  <c r="AT95" i="1"/>
  <c r="AT96" i="1"/>
  <c r="AT97" i="1"/>
  <c r="AT98" i="1"/>
  <c r="AT240" i="1"/>
  <c r="AT99" i="1"/>
  <c r="AT100" i="1"/>
  <c r="AT101" i="1"/>
  <c r="AT102" i="1"/>
  <c r="AT103" i="1"/>
  <c r="AT104" i="1"/>
  <c r="AT341" i="1"/>
  <c r="AT105" i="1"/>
  <c r="AT106" i="1"/>
  <c r="AT107" i="1"/>
  <c r="AT108" i="1"/>
  <c r="AT109" i="1"/>
  <c r="AT110" i="1"/>
  <c r="AT111" i="1"/>
  <c r="AT68" i="1"/>
  <c r="AT69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237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675" i="1"/>
  <c r="AT178" i="1"/>
  <c r="AT179" i="1"/>
  <c r="AT180" i="1"/>
  <c r="AT181" i="1"/>
  <c r="AT182" i="1"/>
  <c r="AT183" i="1"/>
  <c r="AT184" i="1"/>
  <c r="AT185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691" i="1"/>
  <c r="AT203" i="1"/>
  <c r="AT204" i="1"/>
  <c r="AT206" i="1"/>
  <c r="AT207" i="1"/>
  <c r="AT208" i="1"/>
  <c r="AT209" i="1"/>
  <c r="AT210" i="1"/>
  <c r="AT211" i="1"/>
  <c r="AT485" i="1"/>
  <c r="AT213" i="1"/>
  <c r="AT214" i="1"/>
  <c r="AT215" i="1"/>
  <c r="AT216" i="1"/>
  <c r="AT217" i="1"/>
  <c r="AT218" i="1"/>
  <c r="AT220" i="1"/>
  <c r="AT221" i="1"/>
  <c r="AT222" i="1"/>
  <c r="AT672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8" i="1"/>
  <c r="AT239" i="1"/>
  <c r="AT241" i="1"/>
  <c r="AT242" i="1"/>
  <c r="AT289" i="1"/>
  <c r="AT243" i="1"/>
  <c r="AT244" i="1"/>
  <c r="AT245" i="1"/>
  <c r="AT246" i="1"/>
  <c r="AT247" i="1"/>
  <c r="AT248" i="1"/>
  <c r="AT249" i="1"/>
  <c r="AT481" i="1"/>
  <c r="AT250" i="1"/>
  <c r="AT205" i="1"/>
  <c r="AT251" i="1"/>
  <c r="AT252" i="1"/>
  <c r="AT253" i="1"/>
  <c r="AT254" i="1"/>
  <c r="AT255" i="1"/>
  <c r="AT256" i="1"/>
  <c r="AT258" i="1"/>
  <c r="AT709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23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689" i="1"/>
  <c r="AT338" i="1"/>
  <c r="AT339" i="1"/>
  <c r="AT340" i="1"/>
  <c r="AT342" i="1"/>
  <c r="AT343" i="1"/>
  <c r="AT344" i="1"/>
  <c r="AT345" i="1"/>
  <c r="AT346" i="1"/>
  <c r="AT699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716" i="1"/>
  <c r="AT362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212" i="1"/>
  <c r="AT409" i="1"/>
  <c r="AT410" i="1"/>
  <c r="AT411" i="1"/>
  <c r="AT412" i="1"/>
  <c r="AT413" i="1"/>
  <c r="AT414" i="1"/>
  <c r="AT415" i="1"/>
  <c r="AT416" i="1"/>
  <c r="AT177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186" i="1"/>
  <c r="AT433" i="1"/>
  <c r="AT434" i="1"/>
  <c r="AT435" i="1"/>
  <c r="AT436" i="1"/>
  <c r="AT437" i="1"/>
  <c r="AT438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93" i="1"/>
  <c r="AT458" i="1"/>
  <c r="AT379" i="1"/>
  <c r="AT380" i="1"/>
  <c r="AT460" i="1"/>
  <c r="AT461" i="1"/>
  <c r="AT462" i="1"/>
  <c r="AT439" i="1"/>
  <c r="AT463" i="1"/>
  <c r="AT464" i="1"/>
  <c r="AT465" i="1"/>
  <c r="AT466" i="1"/>
  <c r="AT467" i="1"/>
  <c r="AT20" i="1"/>
  <c r="AT469" i="1"/>
  <c r="AT470" i="1"/>
  <c r="AT472" i="1"/>
  <c r="AT473" i="1"/>
  <c r="AT474" i="1"/>
  <c r="AT31" i="1"/>
  <c r="AT476" i="1"/>
  <c r="AT32" i="1"/>
  <c r="AT477" i="1"/>
  <c r="AT478" i="1"/>
  <c r="AT479" i="1"/>
  <c r="AT480" i="1"/>
  <c r="AT482" i="1"/>
  <c r="AT483" i="1"/>
  <c r="AT471" i="1"/>
  <c r="AT475" i="1"/>
  <c r="AT484" i="1"/>
  <c r="AT486" i="1"/>
  <c r="AT489" i="1"/>
  <c r="AT490" i="1"/>
  <c r="AT491" i="1"/>
  <c r="AT492" i="1"/>
  <c r="AT493" i="1"/>
  <c r="AT459" i="1"/>
  <c r="AT494" i="1"/>
  <c r="AT495" i="1"/>
  <c r="AT496" i="1"/>
  <c r="AT497" i="1"/>
  <c r="AT498" i="1"/>
  <c r="AT499" i="1"/>
  <c r="AT500" i="1"/>
  <c r="AT501" i="1"/>
  <c r="AT502" i="1"/>
  <c r="AT503" i="1"/>
  <c r="AT504" i="1"/>
  <c r="AT468" i="1"/>
  <c r="AT506" i="1"/>
  <c r="AT507" i="1"/>
  <c r="AT510" i="1"/>
  <c r="AT514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11" i="1"/>
  <c r="AT550" i="1"/>
  <c r="AT551" i="1"/>
  <c r="AT552" i="1"/>
  <c r="AT553" i="1"/>
  <c r="AT512" i="1"/>
  <c r="AT513" i="1"/>
  <c r="AT554" i="1"/>
  <c r="AT555" i="1"/>
  <c r="AT556" i="1"/>
  <c r="AT557" i="1"/>
  <c r="AT558" i="1"/>
  <c r="AT559" i="1"/>
  <c r="AT560" i="1"/>
  <c r="AT515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487" i="1"/>
  <c r="AT488" i="1"/>
  <c r="AT670" i="1"/>
  <c r="AT671" i="1"/>
  <c r="AT673" i="1"/>
  <c r="AT674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90" i="1"/>
  <c r="AT692" i="1"/>
  <c r="AT693" i="1"/>
  <c r="AT694" i="1"/>
  <c r="AT695" i="1"/>
  <c r="AT505" i="1"/>
  <c r="AT696" i="1"/>
  <c r="AT697" i="1"/>
  <c r="AT698" i="1"/>
  <c r="AT508" i="1"/>
  <c r="AT700" i="1"/>
  <c r="AT509" i="1"/>
  <c r="AT701" i="1"/>
  <c r="AT702" i="1"/>
  <c r="AT703" i="1"/>
  <c r="AT704" i="1"/>
  <c r="AT705" i="1"/>
  <c r="AT706" i="1"/>
  <c r="AT707" i="1"/>
  <c r="AT708" i="1"/>
  <c r="AT710" i="1"/>
  <c r="AT711" i="1"/>
  <c r="AT712" i="1"/>
  <c r="AT713" i="1"/>
  <c r="AT714" i="1"/>
  <c r="AT715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815" i="1"/>
  <c r="AT817" i="1"/>
  <c r="AT788" i="1"/>
  <c r="AT821" i="1"/>
  <c r="AT822" i="1"/>
  <c r="AT823" i="1"/>
  <c r="AT824" i="1"/>
  <c r="AT825" i="1"/>
  <c r="AT826" i="1"/>
  <c r="AT789" i="1"/>
  <c r="AT827" i="1"/>
  <c r="AT828" i="1"/>
  <c r="AT790" i="1"/>
  <c r="AT791" i="1"/>
  <c r="AT792" i="1"/>
  <c r="AT793" i="1"/>
  <c r="AT794" i="1"/>
  <c r="AT795" i="1"/>
  <c r="AT796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6" i="1"/>
  <c r="AT818" i="1"/>
  <c r="AT819" i="1"/>
  <c r="AT820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797" i="1"/>
  <c r="AT786" i="1"/>
  <c r="AT787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1" i="1"/>
  <c r="AR22" i="1"/>
  <c r="AR257" i="1"/>
  <c r="AR23" i="1"/>
  <c r="AR24" i="1"/>
  <c r="AR25" i="1"/>
  <c r="AR26" i="1"/>
  <c r="AR27" i="1"/>
  <c r="AR28" i="1"/>
  <c r="AR29" i="1"/>
  <c r="AR30" i="1"/>
  <c r="AR161" i="1"/>
  <c r="AR33" i="1"/>
  <c r="AR34" i="1"/>
  <c r="AR35" i="1"/>
  <c r="AR36" i="1"/>
  <c r="AR37" i="1"/>
  <c r="AR363" i="1"/>
  <c r="AR38" i="1"/>
  <c r="AR39" i="1"/>
  <c r="AR40" i="1"/>
  <c r="AR219" i="1"/>
  <c r="AR319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4" i="1"/>
  <c r="AR95" i="1"/>
  <c r="AR96" i="1"/>
  <c r="AR97" i="1"/>
  <c r="AR98" i="1"/>
  <c r="AR240" i="1"/>
  <c r="AR99" i="1"/>
  <c r="AR100" i="1"/>
  <c r="AR101" i="1"/>
  <c r="AR102" i="1"/>
  <c r="AR103" i="1"/>
  <c r="AR104" i="1"/>
  <c r="AR341" i="1"/>
  <c r="AR105" i="1"/>
  <c r="AR106" i="1"/>
  <c r="AR107" i="1"/>
  <c r="AR108" i="1"/>
  <c r="AR109" i="1"/>
  <c r="AR110" i="1"/>
  <c r="AR111" i="1"/>
  <c r="AR68" i="1"/>
  <c r="AR69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237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675" i="1"/>
  <c r="AR178" i="1"/>
  <c r="AR179" i="1"/>
  <c r="AR180" i="1"/>
  <c r="AR181" i="1"/>
  <c r="AR182" i="1"/>
  <c r="AR183" i="1"/>
  <c r="AR184" i="1"/>
  <c r="AR185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691" i="1"/>
  <c r="AR203" i="1"/>
  <c r="AR204" i="1"/>
  <c r="AR206" i="1"/>
  <c r="AR207" i="1"/>
  <c r="AR208" i="1"/>
  <c r="AR209" i="1"/>
  <c r="AR210" i="1"/>
  <c r="AR211" i="1"/>
  <c r="AR485" i="1"/>
  <c r="AR213" i="1"/>
  <c r="AR214" i="1"/>
  <c r="AR215" i="1"/>
  <c r="AR216" i="1"/>
  <c r="AR217" i="1"/>
  <c r="AR218" i="1"/>
  <c r="AR220" i="1"/>
  <c r="AR221" i="1"/>
  <c r="AR222" i="1"/>
  <c r="AR672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8" i="1"/>
  <c r="AR239" i="1"/>
  <c r="AR241" i="1"/>
  <c r="AR242" i="1"/>
  <c r="AR289" i="1"/>
  <c r="AR243" i="1"/>
  <c r="AR244" i="1"/>
  <c r="AR245" i="1"/>
  <c r="AR246" i="1"/>
  <c r="AR247" i="1"/>
  <c r="AR248" i="1"/>
  <c r="AR249" i="1"/>
  <c r="AR481" i="1"/>
  <c r="AR250" i="1"/>
  <c r="AR205" i="1"/>
  <c r="AR251" i="1"/>
  <c r="AR252" i="1"/>
  <c r="AR253" i="1"/>
  <c r="AR254" i="1"/>
  <c r="AR255" i="1"/>
  <c r="AR256" i="1"/>
  <c r="AR258" i="1"/>
  <c r="AR709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23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689" i="1"/>
  <c r="AR338" i="1"/>
  <c r="AR339" i="1"/>
  <c r="AR340" i="1"/>
  <c r="AR342" i="1"/>
  <c r="AR343" i="1"/>
  <c r="AR344" i="1"/>
  <c r="AR345" i="1"/>
  <c r="AR346" i="1"/>
  <c r="AR699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716" i="1"/>
  <c r="AR362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212" i="1"/>
  <c r="AR409" i="1"/>
  <c r="AR410" i="1"/>
  <c r="AR411" i="1"/>
  <c r="AR412" i="1"/>
  <c r="AR413" i="1"/>
  <c r="AR414" i="1"/>
  <c r="AR415" i="1"/>
  <c r="AR416" i="1"/>
  <c r="AR177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186" i="1"/>
  <c r="AR433" i="1"/>
  <c r="AR434" i="1"/>
  <c r="AR435" i="1"/>
  <c r="AR436" i="1"/>
  <c r="AR437" i="1"/>
  <c r="AR438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93" i="1"/>
  <c r="AR458" i="1"/>
  <c r="AR379" i="1"/>
  <c r="AR380" i="1"/>
  <c r="AR460" i="1"/>
  <c r="AR461" i="1"/>
  <c r="AR462" i="1"/>
  <c r="AR439" i="1"/>
  <c r="AR463" i="1"/>
  <c r="AR464" i="1"/>
  <c r="AR465" i="1"/>
  <c r="AR466" i="1"/>
  <c r="AR467" i="1"/>
  <c r="AR20" i="1"/>
  <c r="AR469" i="1"/>
  <c r="AR470" i="1"/>
  <c r="AR472" i="1"/>
  <c r="AR473" i="1"/>
  <c r="AR474" i="1"/>
  <c r="AR31" i="1"/>
  <c r="AR476" i="1"/>
  <c r="AR32" i="1"/>
  <c r="AR477" i="1"/>
  <c r="AR478" i="1"/>
  <c r="AR479" i="1"/>
  <c r="AR480" i="1"/>
  <c r="AR482" i="1"/>
  <c r="AR483" i="1"/>
  <c r="AR471" i="1"/>
  <c r="AR475" i="1"/>
  <c r="AR484" i="1"/>
  <c r="AR486" i="1"/>
  <c r="AR489" i="1"/>
  <c r="AR490" i="1"/>
  <c r="AR491" i="1"/>
  <c r="AR492" i="1"/>
  <c r="AR493" i="1"/>
  <c r="AR459" i="1"/>
  <c r="AR494" i="1"/>
  <c r="AR495" i="1"/>
  <c r="AR496" i="1"/>
  <c r="AR497" i="1"/>
  <c r="AR498" i="1"/>
  <c r="AR499" i="1"/>
  <c r="AR500" i="1"/>
  <c r="AR501" i="1"/>
  <c r="AR502" i="1"/>
  <c r="AR503" i="1"/>
  <c r="AR504" i="1"/>
  <c r="AR468" i="1"/>
  <c r="AR506" i="1"/>
  <c r="AR507" i="1"/>
  <c r="AR510" i="1"/>
  <c r="AR514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11" i="1"/>
  <c r="AR550" i="1"/>
  <c r="AR551" i="1"/>
  <c r="AR552" i="1"/>
  <c r="AR553" i="1"/>
  <c r="AR512" i="1"/>
  <c r="AR513" i="1"/>
  <c r="AR554" i="1"/>
  <c r="AR555" i="1"/>
  <c r="AR556" i="1"/>
  <c r="AR557" i="1"/>
  <c r="AR558" i="1"/>
  <c r="AR559" i="1"/>
  <c r="AR560" i="1"/>
  <c r="AR515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487" i="1"/>
  <c r="AR488" i="1"/>
  <c r="AR670" i="1"/>
  <c r="AR671" i="1"/>
  <c r="AR673" i="1"/>
  <c r="AR674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90" i="1"/>
  <c r="AR692" i="1"/>
  <c r="AR693" i="1"/>
  <c r="AR694" i="1"/>
  <c r="AR695" i="1"/>
  <c r="AR505" i="1"/>
  <c r="AR696" i="1"/>
  <c r="AR697" i="1"/>
  <c r="AR698" i="1"/>
  <c r="AR508" i="1"/>
  <c r="AR700" i="1"/>
  <c r="AR509" i="1"/>
  <c r="AR701" i="1"/>
  <c r="AR702" i="1"/>
  <c r="AR703" i="1"/>
  <c r="AR704" i="1"/>
  <c r="AR705" i="1"/>
  <c r="AR706" i="1"/>
  <c r="AR707" i="1"/>
  <c r="AR708" i="1"/>
  <c r="AR710" i="1"/>
  <c r="AR711" i="1"/>
  <c r="AR712" i="1"/>
  <c r="AR713" i="1"/>
  <c r="AR714" i="1"/>
  <c r="AR715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815" i="1"/>
  <c r="AR817" i="1"/>
  <c r="AR788" i="1"/>
  <c r="AR821" i="1"/>
  <c r="AR822" i="1"/>
  <c r="AR823" i="1"/>
  <c r="AR824" i="1"/>
  <c r="AR825" i="1"/>
  <c r="AR826" i="1"/>
  <c r="AR789" i="1"/>
  <c r="AR827" i="1"/>
  <c r="AR828" i="1"/>
  <c r="AR790" i="1"/>
  <c r="AR791" i="1"/>
  <c r="AR792" i="1"/>
  <c r="AR793" i="1"/>
  <c r="AR794" i="1"/>
  <c r="AR795" i="1"/>
  <c r="AR796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6" i="1"/>
  <c r="AR818" i="1"/>
  <c r="AR819" i="1"/>
  <c r="AR820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797" i="1"/>
  <c r="AR786" i="1"/>
  <c r="AR787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L4" i="1"/>
  <c r="AM4" i="1"/>
  <c r="AL5" i="1"/>
  <c r="AM5" i="1"/>
  <c r="AL6" i="1"/>
  <c r="AM6" i="1"/>
  <c r="AL7" i="1"/>
  <c r="AM7" i="1"/>
  <c r="AL8" i="1"/>
  <c r="AM8" i="1"/>
  <c r="AL9" i="1"/>
  <c r="AM9" i="1"/>
  <c r="AL10" i="1"/>
  <c r="AM10" i="1"/>
  <c r="AL11" i="1"/>
  <c r="AM11" i="1"/>
  <c r="AL12" i="1"/>
  <c r="AM12" i="1"/>
  <c r="AL13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L21" i="1"/>
  <c r="AM21" i="1"/>
  <c r="AL22" i="1"/>
  <c r="AM22" i="1"/>
  <c r="AL257" i="1"/>
  <c r="AM257" i="1"/>
  <c r="AL23" i="1"/>
  <c r="AM23" i="1"/>
  <c r="AL24" i="1"/>
  <c r="AM24" i="1"/>
  <c r="AL25" i="1"/>
  <c r="AM25" i="1"/>
  <c r="AL26" i="1"/>
  <c r="AM26" i="1"/>
  <c r="AL27" i="1"/>
  <c r="AM27" i="1"/>
  <c r="AL28" i="1"/>
  <c r="AM28" i="1"/>
  <c r="AL29" i="1"/>
  <c r="AM29" i="1"/>
  <c r="AL30" i="1"/>
  <c r="AM30" i="1"/>
  <c r="AL161" i="1"/>
  <c r="AM161" i="1"/>
  <c r="AL33" i="1"/>
  <c r="AM33" i="1"/>
  <c r="AL34" i="1"/>
  <c r="AM34" i="1"/>
  <c r="AL35" i="1"/>
  <c r="AM35" i="1"/>
  <c r="AL36" i="1"/>
  <c r="AM36" i="1"/>
  <c r="AL37" i="1"/>
  <c r="AM37" i="1"/>
  <c r="AL363" i="1"/>
  <c r="AM363" i="1"/>
  <c r="AL38" i="1"/>
  <c r="AM38" i="1"/>
  <c r="AL39" i="1"/>
  <c r="AM39" i="1"/>
  <c r="AL40" i="1"/>
  <c r="AM40" i="1"/>
  <c r="AL219" i="1"/>
  <c r="AM219" i="1"/>
  <c r="AL319" i="1"/>
  <c r="AM319" i="1"/>
  <c r="AL41" i="1"/>
  <c r="AM41" i="1"/>
  <c r="AL42" i="1"/>
  <c r="AM42" i="1"/>
  <c r="AL43" i="1"/>
  <c r="AM43" i="1"/>
  <c r="AL44" i="1"/>
  <c r="AM44" i="1"/>
  <c r="AL45" i="1"/>
  <c r="AM45" i="1"/>
  <c r="AL46" i="1"/>
  <c r="AM46" i="1"/>
  <c r="AL47" i="1"/>
  <c r="AM47" i="1"/>
  <c r="AL48" i="1"/>
  <c r="AM48" i="1"/>
  <c r="AL49" i="1"/>
  <c r="AM49" i="1"/>
  <c r="AL50" i="1"/>
  <c r="AM50" i="1"/>
  <c r="AL51" i="1"/>
  <c r="AM51" i="1"/>
  <c r="AL52" i="1"/>
  <c r="AM52" i="1"/>
  <c r="AL53" i="1"/>
  <c r="AM53" i="1"/>
  <c r="AL54" i="1"/>
  <c r="AM54" i="1"/>
  <c r="AL55" i="1"/>
  <c r="AM55" i="1"/>
  <c r="AL56" i="1"/>
  <c r="AM56" i="1"/>
  <c r="AL57" i="1"/>
  <c r="AM57" i="1"/>
  <c r="AL58" i="1"/>
  <c r="AM58" i="1"/>
  <c r="AL59" i="1"/>
  <c r="AM59" i="1"/>
  <c r="AL60" i="1"/>
  <c r="AM60" i="1"/>
  <c r="AL61" i="1"/>
  <c r="AM61" i="1"/>
  <c r="AL62" i="1"/>
  <c r="AM62" i="1"/>
  <c r="AL63" i="1"/>
  <c r="AM63" i="1"/>
  <c r="AL64" i="1"/>
  <c r="AM64" i="1"/>
  <c r="AL65" i="1"/>
  <c r="AM65" i="1"/>
  <c r="AL66" i="1"/>
  <c r="AM66" i="1"/>
  <c r="AL67" i="1"/>
  <c r="AM67" i="1"/>
  <c r="AL70" i="1"/>
  <c r="AM70" i="1"/>
  <c r="AL71" i="1"/>
  <c r="AM71" i="1"/>
  <c r="AL72" i="1"/>
  <c r="AM72" i="1"/>
  <c r="AL73" i="1"/>
  <c r="AM73" i="1"/>
  <c r="AL74" i="1"/>
  <c r="AM74" i="1"/>
  <c r="AL75" i="1"/>
  <c r="AM75" i="1"/>
  <c r="AL76" i="1"/>
  <c r="AM76" i="1"/>
  <c r="AL77" i="1"/>
  <c r="AM77" i="1"/>
  <c r="AL78" i="1"/>
  <c r="AM78" i="1"/>
  <c r="AL79" i="1"/>
  <c r="AM79" i="1"/>
  <c r="AL80" i="1"/>
  <c r="AM80" i="1"/>
  <c r="AL81" i="1"/>
  <c r="AM81" i="1"/>
  <c r="AL82" i="1"/>
  <c r="AM82" i="1"/>
  <c r="AL83" i="1"/>
  <c r="AM83" i="1"/>
  <c r="AL84" i="1"/>
  <c r="AM84" i="1"/>
  <c r="AL85" i="1"/>
  <c r="AM85" i="1"/>
  <c r="AL86" i="1"/>
  <c r="AM86" i="1"/>
  <c r="AL87" i="1"/>
  <c r="AM87" i="1"/>
  <c r="AL88" i="1"/>
  <c r="AM88" i="1"/>
  <c r="AL89" i="1"/>
  <c r="AM89" i="1"/>
  <c r="AL90" i="1"/>
  <c r="AM90" i="1"/>
  <c r="AL91" i="1"/>
  <c r="AM91" i="1"/>
  <c r="AL92" i="1"/>
  <c r="AM92" i="1"/>
  <c r="AL94" i="1"/>
  <c r="AM94" i="1"/>
  <c r="AL95" i="1"/>
  <c r="AM95" i="1"/>
  <c r="AL96" i="1"/>
  <c r="AM96" i="1"/>
  <c r="AL97" i="1"/>
  <c r="AM97" i="1"/>
  <c r="AL98" i="1"/>
  <c r="AM98" i="1"/>
  <c r="AL240" i="1"/>
  <c r="AM240" i="1"/>
  <c r="AL99" i="1"/>
  <c r="AM99" i="1"/>
  <c r="AL100" i="1"/>
  <c r="AM100" i="1"/>
  <c r="AL101" i="1"/>
  <c r="AM101" i="1"/>
  <c r="AL102" i="1"/>
  <c r="AM102" i="1"/>
  <c r="AL103" i="1"/>
  <c r="AM103" i="1"/>
  <c r="AL104" i="1"/>
  <c r="AM104" i="1"/>
  <c r="AL341" i="1"/>
  <c r="AM341" i="1"/>
  <c r="AL105" i="1"/>
  <c r="AM105" i="1"/>
  <c r="AL106" i="1"/>
  <c r="AM106" i="1"/>
  <c r="AL107" i="1"/>
  <c r="AM107" i="1"/>
  <c r="AL108" i="1"/>
  <c r="AM108" i="1"/>
  <c r="AL109" i="1"/>
  <c r="AM109" i="1"/>
  <c r="AL110" i="1"/>
  <c r="AM110" i="1"/>
  <c r="AL111" i="1"/>
  <c r="AM111" i="1"/>
  <c r="AL68" i="1"/>
  <c r="AM68" i="1"/>
  <c r="AL69" i="1"/>
  <c r="AM69" i="1"/>
  <c r="AL112" i="1"/>
  <c r="AM112" i="1"/>
  <c r="AL113" i="1"/>
  <c r="AM113" i="1"/>
  <c r="AL114" i="1"/>
  <c r="AM114" i="1"/>
  <c r="AL115" i="1"/>
  <c r="AM115" i="1"/>
  <c r="AL116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AM132" i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237" i="1"/>
  <c r="AM237" i="1"/>
  <c r="AL141" i="1"/>
  <c r="AM141" i="1"/>
  <c r="AL142" i="1"/>
  <c r="AM142" i="1"/>
  <c r="AL143" i="1"/>
  <c r="AM143" i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L160" i="1"/>
  <c r="AM160" i="1"/>
  <c r="AL162" i="1"/>
  <c r="AM162" i="1"/>
  <c r="AL163" i="1"/>
  <c r="AM163" i="1"/>
  <c r="AL164" i="1"/>
  <c r="AM164" i="1"/>
  <c r="AL165" i="1"/>
  <c r="AM165" i="1"/>
  <c r="AL166" i="1"/>
  <c r="AM166" i="1"/>
  <c r="AL167" i="1"/>
  <c r="AM167" i="1"/>
  <c r="AL168" i="1"/>
  <c r="AM168" i="1"/>
  <c r="AL169" i="1"/>
  <c r="AM169" i="1"/>
  <c r="AL170" i="1"/>
  <c r="AM170" i="1"/>
  <c r="AL171" i="1"/>
  <c r="AM171" i="1"/>
  <c r="AL172" i="1"/>
  <c r="AM172" i="1"/>
  <c r="AL173" i="1"/>
  <c r="AM173" i="1"/>
  <c r="AL174" i="1"/>
  <c r="AM174" i="1"/>
  <c r="AL175" i="1"/>
  <c r="AM175" i="1"/>
  <c r="AL176" i="1"/>
  <c r="AM176" i="1"/>
  <c r="AL675" i="1"/>
  <c r="AM675" i="1"/>
  <c r="AL178" i="1"/>
  <c r="AM178" i="1"/>
  <c r="AL179" i="1"/>
  <c r="AM179" i="1"/>
  <c r="AL180" i="1"/>
  <c r="AM180" i="1"/>
  <c r="AL181" i="1"/>
  <c r="AM181" i="1"/>
  <c r="AL182" i="1"/>
  <c r="AM182" i="1"/>
  <c r="AL183" i="1"/>
  <c r="AM183" i="1"/>
  <c r="AL184" i="1"/>
  <c r="AM184" i="1"/>
  <c r="AL185" i="1"/>
  <c r="AM185" i="1"/>
  <c r="AL187" i="1"/>
  <c r="AM187" i="1"/>
  <c r="AL188" i="1"/>
  <c r="AM188" i="1"/>
  <c r="AL189" i="1"/>
  <c r="AM189" i="1"/>
  <c r="AL190" i="1"/>
  <c r="AM190" i="1"/>
  <c r="AL191" i="1"/>
  <c r="AM191" i="1"/>
  <c r="AL192" i="1"/>
  <c r="AM192" i="1"/>
  <c r="AL193" i="1"/>
  <c r="AM193" i="1"/>
  <c r="AL194" i="1"/>
  <c r="AM194" i="1"/>
  <c r="AL195" i="1"/>
  <c r="AM195" i="1"/>
  <c r="AL196" i="1"/>
  <c r="AM196" i="1"/>
  <c r="AL197" i="1"/>
  <c r="AM197" i="1"/>
  <c r="AL198" i="1"/>
  <c r="AM198" i="1"/>
  <c r="AL199" i="1"/>
  <c r="AM199" i="1"/>
  <c r="AL200" i="1"/>
  <c r="AM200" i="1"/>
  <c r="AL201" i="1"/>
  <c r="AM201" i="1"/>
  <c r="AL202" i="1"/>
  <c r="AM202" i="1"/>
  <c r="AL691" i="1"/>
  <c r="AM691" i="1"/>
  <c r="AL203" i="1"/>
  <c r="AM203" i="1"/>
  <c r="AL204" i="1"/>
  <c r="AM204" i="1"/>
  <c r="AL206" i="1"/>
  <c r="AM206" i="1"/>
  <c r="AL207" i="1"/>
  <c r="AM207" i="1"/>
  <c r="AL208" i="1"/>
  <c r="AM208" i="1"/>
  <c r="AL209" i="1"/>
  <c r="AM209" i="1"/>
  <c r="AL210" i="1"/>
  <c r="AM210" i="1"/>
  <c r="AL211" i="1"/>
  <c r="AM211" i="1"/>
  <c r="AL485" i="1"/>
  <c r="AM485" i="1"/>
  <c r="AL213" i="1"/>
  <c r="AM213" i="1"/>
  <c r="AL214" i="1"/>
  <c r="AM214" i="1"/>
  <c r="AL215" i="1"/>
  <c r="AM215" i="1"/>
  <c r="AL216" i="1"/>
  <c r="AM216" i="1"/>
  <c r="AL217" i="1"/>
  <c r="AM217" i="1"/>
  <c r="AL218" i="1"/>
  <c r="AM218" i="1"/>
  <c r="AL220" i="1"/>
  <c r="AM220" i="1"/>
  <c r="AL221" i="1"/>
  <c r="AM221" i="1"/>
  <c r="AL222" i="1"/>
  <c r="AM222" i="1"/>
  <c r="AL672" i="1"/>
  <c r="AM672" i="1"/>
  <c r="AL224" i="1"/>
  <c r="AM224" i="1"/>
  <c r="AL225" i="1"/>
  <c r="AM225" i="1"/>
  <c r="AL226" i="1"/>
  <c r="AM226" i="1"/>
  <c r="AL227" i="1"/>
  <c r="AM227" i="1"/>
  <c r="AL228" i="1"/>
  <c r="AM228" i="1"/>
  <c r="AL229" i="1"/>
  <c r="AM229" i="1"/>
  <c r="AL230" i="1"/>
  <c r="AM230" i="1"/>
  <c r="AL231" i="1"/>
  <c r="AM231" i="1"/>
  <c r="AL232" i="1"/>
  <c r="AM232" i="1"/>
  <c r="AL233" i="1"/>
  <c r="AM233" i="1"/>
  <c r="AL234" i="1"/>
  <c r="AM234" i="1"/>
  <c r="AL235" i="1"/>
  <c r="AM235" i="1"/>
  <c r="AL236" i="1"/>
  <c r="AM236" i="1"/>
  <c r="AL238" i="1"/>
  <c r="AM238" i="1"/>
  <c r="AL239" i="1"/>
  <c r="AM239" i="1"/>
  <c r="AL241" i="1"/>
  <c r="AM241" i="1"/>
  <c r="AL242" i="1"/>
  <c r="AM242" i="1"/>
  <c r="AL289" i="1"/>
  <c r="AM289" i="1"/>
  <c r="AL243" i="1"/>
  <c r="AM243" i="1"/>
  <c r="AL244" i="1"/>
  <c r="AM244" i="1"/>
  <c r="AL245" i="1"/>
  <c r="AM245" i="1"/>
  <c r="AL246" i="1"/>
  <c r="AM246" i="1"/>
  <c r="AL247" i="1"/>
  <c r="AM247" i="1"/>
  <c r="AL248" i="1"/>
  <c r="AM248" i="1"/>
  <c r="AL249" i="1"/>
  <c r="AM249" i="1"/>
  <c r="AL481" i="1"/>
  <c r="AM481" i="1"/>
  <c r="AL250" i="1"/>
  <c r="AM250" i="1"/>
  <c r="AL205" i="1"/>
  <c r="AM205" i="1"/>
  <c r="AL251" i="1"/>
  <c r="AM251" i="1"/>
  <c r="AL252" i="1"/>
  <c r="AM252" i="1"/>
  <c r="AL253" i="1"/>
  <c r="AM253" i="1"/>
  <c r="AL254" i="1"/>
  <c r="AM254" i="1"/>
  <c r="AL255" i="1"/>
  <c r="AM255" i="1"/>
  <c r="AL256" i="1"/>
  <c r="AM256" i="1"/>
  <c r="AL258" i="1"/>
  <c r="AM258" i="1"/>
  <c r="AL709" i="1"/>
  <c r="AM709" i="1"/>
  <c r="AL259" i="1"/>
  <c r="AM259" i="1"/>
  <c r="AL260" i="1"/>
  <c r="AM260" i="1"/>
  <c r="AL261" i="1"/>
  <c r="AM261" i="1"/>
  <c r="AL262" i="1"/>
  <c r="AM262" i="1"/>
  <c r="AL263" i="1"/>
  <c r="AM263" i="1"/>
  <c r="AL264" i="1"/>
  <c r="AM264" i="1"/>
  <c r="AL265" i="1"/>
  <c r="AM265" i="1"/>
  <c r="AL266" i="1"/>
  <c r="AM266" i="1"/>
  <c r="AL267" i="1"/>
  <c r="AM267" i="1"/>
  <c r="AL268" i="1"/>
  <c r="AM268" i="1"/>
  <c r="AL269" i="1"/>
  <c r="AM269" i="1"/>
  <c r="AL270" i="1"/>
  <c r="AM270" i="1"/>
  <c r="AL271" i="1"/>
  <c r="AM271" i="1"/>
  <c r="AL223" i="1"/>
  <c r="AM223" i="1"/>
  <c r="AL272" i="1"/>
  <c r="AM272" i="1"/>
  <c r="AL273" i="1"/>
  <c r="AM273" i="1"/>
  <c r="AL274" i="1"/>
  <c r="AM274" i="1"/>
  <c r="AL275" i="1"/>
  <c r="AM275" i="1"/>
  <c r="AL276" i="1"/>
  <c r="AM276" i="1"/>
  <c r="AL277" i="1"/>
  <c r="AM277" i="1"/>
  <c r="AL278" i="1"/>
  <c r="AM278" i="1"/>
  <c r="AL279" i="1"/>
  <c r="AM279" i="1"/>
  <c r="AL280" i="1"/>
  <c r="AM280" i="1"/>
  <c r="AL281" i="1"/>
  <c r="AM281" i="1"/>
  <c r="AL282" i="1"/>
  <c r="AM282" i="1"/>
  <c r="AL283" i="1"/>
  <c r="AM283" i="1"/>
  <c r="AL284" i="1"/>
  <c r="AM284" i="1"/>
  <c r="AL285" i="1"/>
  <c r="AM285" i="1"/>
  <c r="AL286" i="1"/>
  <c r="AM286" i="1"/>
  <c r="AL287" i="1"/>
  <c r="AM287" i="1"/>
  <c r="AL288" i="1"/>
  <c r="AM288" i="1"/>
  <c r="AL290" i="1"/>
  <c r="AM290" i="1"/>
  <c r="AL291" i="1"/>
  <c r="AM291" i="1"/>
  <c r="AL292" i="1"/>
  <c r="AM292" i="1"/>
  <c r="AL293" i="1"/>
  <c r="AM293" i="1"/>
  <c r="AL294" i="1"/>
  <c r="AM294" i="1"/>
  <c r="AL295" i="1"/>
  <c r="AM295" i="1"/>
  <c r="AL296" i="1"/>
  <c r="AM296" i="1"/>
  <c r="AL297" i="1"/>
  <c r="AM297" i="1"/>
  <c r="AL298" i="1"/>
  <c r="AM298" i="1"/>
  <c r="AL299" i="1"/>
  <c r="AM299" i="1"/>
  <c r="AL300" i="1"/>
  <c r="AM300" i="1"/>
  <c r="AL301" i="1"/>
  <c r="AM301" i="1"/>
  <c r="AL302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AM308" i="1"/>
  <c r="AL309" i="1"/>
  <c r="AM309" i="1"/>
  <c r="AL310" i="1"/>
  <c r="AM310" i="1"/>
  <c r="AL311" i="1"/>
  <c r="AM311" i="1"/>
  <c r="AL312" i="1"/>
  <c r="AM312" i="1"/>
  <c r="AL313" i="1"/>
  <c r="AM313" i="1"/>
  <c r="AL314" i="1"/>
  <c r="AM314" i="1"/>
  <c r="AL315" i="1"/>
  <c r="AM315" i="1"/>
  <c r="AL316" i="1"/>
  <c r="AM316" i="1"/>
  <c r="AL317" i="1"/>
  <c r="AM317" i="1"/>
  <c r="AL318" i="1"/>
  <c r="AM318" i="1"/>
  <c r="AL320" i="1"/>
  <c r="AM320" i="1"/>
  <c r="AL321" i="1"/>
  <c r="AM321" i="1"/>
  <c r="AL322" i="1"/>
  <c r="AM322" i="1"/>
  <c r="AL323" i="1"/>
  <c r="AM323" i="1"/>
  <c r="AL324" i="1"/>
  <c r="AM324" i="1"/>
  <c r="AL325" i="1"/>
  <c r="AM325" i="1"/>
  <c r="AL326" i="1"/>
  <c r="AM326" i="1"/>
  <c r="AL327" i="1"/>
  <c r="AM327" i="1"/>
  <c r="AL328" i="1"/>
  <c r="AM328" i="1"/>
  <c r="AL329" i="1"/>
  <c r="AM329" i="1"/>
  <c r="AL330" i="1"/>
  <c r="AM330" i="1"/>
  <c r="AL331" i="1"/>
  <c r="AM331" i="1"/>
  <c r="AL332" i="1"/>
  <c r="AM332" i="1"/>
  <c r="AL333" i="1"/>
  <c r="AM333" i="1"/>
  <c r="AL334" i="1"/>
  <c r="AM334" i="1"/>
  <c r="AL335" i="1"/>
  <c r="AM335" i="1"/>
  <c r="AL336" i="1"/>
  <c r="AM336" i="1"/>
  <c r="AL337" i="1"/>
  <c r="AM337" i="1"/>
  <c r="AL689" i="1"/>
  <c r="AM689" i="1"/>
  <c r="AL338" i="1"/>
  <c r="AM338" i="1"/>
  <c r="AL339" i="1"/>
  <c r="AM339" i="1"/>
  <c r="AL340" i="1"/>
  <c r="AM340" i="1"/>
  <c r="AL342" i="1"/>
  <c r="AM342" i="1"/>
  <c r="AL343" i="1"/>
  <c r="AM343" i="1"/>
  <c r="AL344" i="1"/>
  <c r="AM344" i="1"/>
  <c r="AL345" i="1"/>
  <c r="AM345" i="1"/>
  <c r="AL346" i="1"/>
  <c r="AM346" i="1"/>
  <c r="AL699" i="1"/>
  <c r="AM699" i="1"/>
  <c r="AL347" i="1"/>
  <c r="AM347" i="1"/>
  <c r="AL348" i="1"/>
  <c r="AM348" i="1"/>
  <c r="AL349" i="1"/>
  <c r="AM349" i="1"/>
  <c r="AL350" i="1"/>
  <c r="AM350" i="1"/>
  <c r="AL351" i="1"/>
  <c r="AM351" i="1"/>
  <c r="AL352" i="1"/>
  <c r="AM352" i="1"/>
  <c r="AL353" i="1"/>
  <c r="AM353" i="1"/>
  <c r="AL354" i="1"/>
  <c r="AM354" i="1"/>
  <c r="AL355" i="1"/>
  <c r="AM355" i="1"/>
  <c r="AL356" i="1"/>
  <c r="AM356" i="1"/>
  <c r="AL357" i="1"/>
  <c r="AM357" i="1"/>
  <c r="AL358" i="1"/>
  <c r="AM358" i="1"/>
  <c r="AL359" i="1"/>
  <c r="AM359" i="1"/>
  <c r="AL360" i="1"/>
  <c r="AM360" i="1"/>
  <c r="AL361" i="1"/>
  <c r="AM361" i="1"/>
  <c r="AL716" i="1"/>
  <c r="AM716" i="1"/>
  <c r="AL362" i="1"/>
  <c r="AM362" i="1"/>
  <c r="AL364" i="1"/>
  <c r="AM364" i="1"/>
  <c r="AL365" i="1"/>
  <c r="AM365" i="1"/>
  <c r="AL366" i="1"/>
  <c r="AM366" i="1"/>
  <c r="AL367" i="1"/>
  <c r="AM367" i="1"/>
  <c r="AL368" i="1"/>
  <c r="AM368" i="1"/>
  <c r="AL369" i="1"/>
  <c r="AM369" i="1"/>
  <c r="AL370" i="1"/>
  <c r="AM370" i="1"/>
  <c r="AL371" i="1"/>
  <c r="AM371" i="1"/>
  <c r="AL372" i="1"/>
  <c r="AM372" i="1"/>
  <c r="AL373" i="1"/>
  <c r="AM373" i="1"/>
  <c r="AL374" i="1"/>
  <c r="AM374" i="1"/>
  <c r="AL375" i="1"/>
  <c r="AM375" i="1"/>
  <c r="AL376" i="1"/>
  <c r="AM376" i="1"/>
  <c r="AL377" i="1"/>
  <c r="AM377" i="1"/>
  <c r="AL378" i="1"/>
  <c r="AM378" i="1"/>
  <c r="AL381" i="1"/>
  <c r="AM381" i="1"/>
  <c r="AL382" i="1"/>
  <c r="AM382" i="1"/>
  <c r="AL383" i="1"/>
  <c r="AM383" i="1"/>
  <c r="AL384" i="1"/>
  <c r="AM384" i="1"/>
  <c r="AL385" i="1"/>
  <c r="AM385" i="1"/>
  <c r="AL386" i="1"/>
  <c r="AM386" i="1"/>
  <c r="AL387" i="1"/>
  <c r="AM387" i="1"/>
  <c r="AL388" i="1"/>
  <c r="AM388" i="1"/>
  <c r="AL389" i="1"/>
  <c r="AM389" i="1"/>
  <c r="AL390" i="1"/>
  <c r="AM390" i="1"/>
  <c r="AL391" i="1"/>
  <c r="AM391" i="1"/>
  <c r="AL392" i="1"/>
  <c r="AM392" i="1"/>
  <c r="AL393" i="1"/>
  <c r="AM393" i="1"/>
  <c r="AL394" i="1"/>
  <c r="AM394" i="1"/>
  <c r="AL395" i="1"/>
  <c r="AM395" i="1"/>
  <c r="AL396" i="1"/>
  <c r="AM396" i="1"/>
  <c r="AL397" i="1"/>
  <c r="AM397" i="1"/>
  <c r="AL398" i="1"/>
  <c r="AM398" i="1"/>
  <c r="AL399" i="1"/>
  <c r="AM399" i="1"/>
  <c r="AL400" i="1"/>
  <c r="AM400" i="1"/>
  <c r="AL401" i="1"/>
  <c r="AM401" i="1"/>
  <c r="AL402" i="1"/>
  <c r="AM402" i="1"/>
  <c r="AL403" i="1"/>
  <c r="AM403" i="1"/>
  <c r="AL404" i="1"/>
  <c r="AM404" i="1"/>
  <c r="AL405" i="1"/>
  <c r="AM405" i="1"/>
  <c r="AL406" i="1"/>
  <c r="AM406" i="1"/>
  <c r="AL407" i="1"/>
  <c r="AM407" i="1"/>
  <c r="AL408" i="1"/>
  <c r="AM408" i="1"/>
  <c r="AL212" i="1"/>
  <c r="AM212" i="1"/>
  <c r="AL409" i="1"/>
  <c r="AM409" i="1"/>
  <c r="AL410" i="1"/>
  <c r="AM410" i="1"/>
  <c r="AL411" i="1"/>
  <c r="AM411" i="1"/>
  <c r="AL412" i="1"/>
  <c r="AM412" i="1"/>
  <c r="AL413" i="1"/>
  <c r="AM413" i="1"/>
  <c r="AL414" i="1"/>
  <c r="AM414" i="1"/>
  <c r="AL415" i="1"/>
  <c r="AM415" i="1"/>
  <c r="AL416" i="1"/>
  <c r="AM416" i="1"/>
  <c r="AL177" i="1"/>
  <c r="AM177" i="1"/>
  <c r="AL417" i="1"/>
  <c r="AM417" i="1"/>
  <c r="AL418" i="1"/>
  <c r="AM418" i="1"/>
  <c r="AL419" i="1"/>
  <c r="AM419" i="1"/>
  <c r="AL420" i="1"/>
  <c r="AM420" i="1"/>
  <c r="AL421" i="1"/>
  <c r="AM421" i="1"/>
  <c r="AL422" i="1"/>
  <c r="AM422" i="1"/>
  <c r="AL423" i="1"/>
  <c r="AM423" i="1"/>
  <c r="AL424" i="1"/>
  <c r="AM424" i="1"/>
  <c r="AL425" i="1"/>
  <c r="AM425" i="1"/>
  <c r="AL426" i="1"/>
  <c r="AM426" i="1"/>
  <c r="AL427" i="1"/>
  <c r="AM427" i="1"/>
  <c r="AL428" i="1"/>
  <c r="AM428" i="1"/>
  <c r="AL429" i="1"/>
  <c r="AM429" i="1"/>
  <c r="AL430" i="1"/>
  <c r="AM430" i="1"/>
  <c r="AL431" i="1"/>
  <c r="AM431" i="1"/>
  <c r="AL432" i="1"/>
  <c r="AM432" i="1"/>
  <c r="AL186" i="1"/>
  <c r="AM186" i="1"/>
  <c r="AL433" i="1"/>
  <c r="AM433" i="1"/>
  <c r="AL434" i="1"/>
  <c r="AM434" i="1"/>
  <c r="AL435" i="1"/>
  <c r="AM435" i="1"/>
  <c r="AL436" i="1"/>
  <c r="AM436" i="1"/>
  <c r="AL437" i="1"/>
  <c r="AM437" i="1"/>
  <c r="AL438" i="1"/>
  <c r="AM438" i="1"/>
  <c r="AL440" i="1"/>
  <c r="AM440" i="1"/>
  <c r="AL441" i="1"/>
  <c r="AM441" i="1"/>
  <c r="AL442" i="1"/>
  <c r="AM442" i="1"/>
  <c r="AL443" i="1"/>
  <c r="AM443" i="1"/>
  <c r="AL444" i="1"/>
  <c r="AM444" i="1"/>
  <c r="AL445" i="1"/>
  <c r="AM445" i="1"/>
  <c r="AL446" i="1"/>
  <c r="AM446" i="1"/>
  <c r="AL447" i="1"/>
  <c r="AM447" i="1"/>
  <c r="AL448" i="1"/>
  <c r="AM448" i="1"/>
  <c r="AL449" i="1"/>
  <c r="AM449" i="1"/>
  <c r="AL450" i="1"/>
  <c r="AM450" i="1"/>
  <c r="AL451" i="1"/>
  <c r="AM451" i="1"/>
  <c r="AL452" i="1"/>
  <c r="AM452" i="1"/>
  <c r="AL453" i="1"/>
  <c r="AM453" i="1"/>
  <c r="AL454" i="1"/>
  <c r="AM454" i="1"/>
  <c r="AL455" i="1"/>
  <c r="AM455" i="1"/>
  <c r="AL456" i="1"/>
  <c r="AM456" i="1"/>
  <c r="AL457" i="1"/>
  <c r="AM457" i="1"/>
  <c r="AL93" i="1"/>
  <c r="AM93" i="1"/>
  <c r="AL458" i="1"/>
  <c r="AM458" i="1"/>
  <c r="AL379" i="1"/>
  <c r="AM379" i="1"/>
  <c r="AL380" i="1"/>
  <c r="AM380" i="1"/>
  <c r="AL460" i="1"/>
  <c r="AM460" i="1"/>
  <c r="AL461" i="1"/>
  <c r="AM461" i="1"/>
  <c r="AL462" i="1"/>
  <c r="AM462" i="1"/>
  <c r="AL439" i="1"/>
  <c r="AM439" i="1"/>
  <c r="AL463" i="1"/>
  <c r="AM463" i="1"/>
  <c r="AL464" i="1"/>
  <c r="AM464" i="1"/>
  <c r="AL465" i="1"/>
  <c r="AM465" i="1"/>
  <c r="AL466" i="1"/>
  <c r="AM466" i="1"/>
  <c r="AL467" i="1"/>
  <c r="AM467" i="1"/>
  <c r="AL20" i="1"/>
  <c r="AM20" i="1"/>
  <c r="AL469" i="1"/>
  <c r="AM469" i="1"/>
  <c r="AL470" i="1"/>
  <c r="AM470" i="1"/>
  <c r="AL472" i="1"/>
  <c r="AM472" i="1"/>
  <c r="AL473" i="1"/>
  <c r="AM473" i="1"/>
  <c r="AL474" i="1"/>
  <c r="AM474" i="1"/>
  <c r="AL31" i="1"/>
  <c r="AM31" i="1"/>
  <c r="AL476" i="1"/>
  <c r="AM476" i="1"/>
  <c r="AL32" i="1"/>
  <c r="AM32" i="1"/>
  <c r="AL477" i="1"/>
  <c r="AM477" i="1"/>
  <c r="AL478" i="1"/>
  <c r="AM478" i="1"/>
  <c r="AL479" i="1"/>
  <c r="AM479" i="1"/>
  <c r="AL480" i="1"/>
  <c r="AM480" i="1"/>
  <c r="AL482" i="1"/>
  <c r="AM482" i="1"/>
  <c r="AL483" i="1"/>
  <c r="AM483" i="1"/>
  <c r="AL471" i="1"/>
  <c r="AM471" i="1"/>
  <c r="AL475" i="1"/>
  <c r="AM475" i="1"/>
  <c r="AL484" i="1"/>
  <c r="AM484" i="1"/>
  <c r="AL486" i="1"/>
  <c r="AM486" i="1"/>
  <c r="AL489" i="1"/>
  <c r="AM489" i="1"/>
  <c r="AL490" i="1"/>
  <c r="AM490" i="1"/>
  <c r="AL491" i="1"/>
  <c r="AM491" i="1"/>
  <c r="AL492" i="1"/>
  <c r="AM492" i="1"/>
  <c r="AL493" i="1"/>
  <c r="AM493" i="1"/>
  <c r="AL459" i="1"/>
  <c r="AM459" i="1"/>
  <c r="AL494" i="1"/>
  <c r="AM494" i="1"/>
  <c r="AL495" i="1"/>
  <c r="AM495" i="1"/>
  <c r="AL496" i="1"/>
  <c r="AM496" i="1"/>
  <c r="AL497" i="1"/>
  <c r="AM497" i="1"/>
  <c r="AL498" i="1"/>
  <c r="AM498" i="1"/>
  <c r="AL499" i="1"/>
  <c r="AM499" i="1"/>
  <c r="AL500" i="1"/>
  <c r="AM500" i="1"/>
  <c r="AL501" i="1"/>
  <c r="AM501" i="1"/>
  <c r="AL502" i="1"/>
  <c r="AM502" i="1"/>
  <c r="AL503" i="1"/>
  <c r="AM503" i="1"/>
  <c r="AL504" i="1"/>
  <c r="AM504" i="1"/>
  <c r="AL468" i="1"/>
  <c r="AM468" i="1"/>
  <c r="AL506" i="1"/>
  <c r="AM506" i="1"/>
  <c r="AL507" i="1"/>
  <c r="AM507" i="1"/>
  <c r="AL510" i="1"/>
  <c r="AM510" i="1"/>
  <c r="AL514" i="1"/>
  <c r="AM514" i="1"/>
  <c r="AL516" i="1"/>
  <c r="AM516" i="1"/>
  <c r="AL517" i="1"/>
  <c r="AM517" i="1"/>
  <c r="AL518" i="1"/>
  <c r="AM518" i="1"/>
  <c r="AL519" i="1"/>
  <c r="AM519" i="1"/>
  <c r="AL520" i="1"/>
  <c r="AM520" i="1"/>
  <c r="AL521" i="1"/>
  <c r="AM521" i="1"/>
  <c r="AL522" i="1"/>
  <c r="AM522" i="1"/>
  <c r="AL523" i="1"/>
  <c r="AM523" i="1"/>
  <c r="AL524" i="1"/>
  <c r="AM524" i="1"/>
  <c r="AL525" i="1"/>
  <c r="AM525" i="1"/>
  <c r="AL526" i="1"/>
  <c r="AM526" i="1"/>
  <c r="AL527" i="1"/>
  <c r="AM527" i="1"/>
  <c r="AL528" i="1"/>
  <c r="AM528" i="1"/>
  <c r="AL529" i="1"/>
  <c r="AM529" i="1"/>
  <c r="AL530" i="1"/>
  <c r="AM530" i="1"/>
  <c r="AL531" i="1"/>
  <c r="AM531" i="1"/>
  <c r="AL532" i="1"/>
  <c r="AM532" i="1"/>
  <c r="AL533" i="1"/>
  <c r="AM533" i="1"/>
  <c r="AL534" i="1"/>
  <c r="AM534" i="1"/>
  <c r="AL535" i="1"/>
  <c r="AM535" i="1"/>
  <c r="AL536" i="1"/>
  <c r="AM536" i="1"/>
  <c r="AL537" i="1"/>
  <c r="AM537" i="1"/>
  <c r="AL538" i="1"/>
  <c r="AM538" i="1"/>
  <c r="AL539" i="1"/>
  <c r="AM539" i="1"/>
  <c r="AL540" i="1"/>
  <c r="AM540" i="1"/>
  <c r="AL541" i="1"/>
  <c r="AM541" i="1"/>
  <c r="AL542" i="1"/>
  <c r="AM542" i="1"/>
  <c r="AL543" i="1"/>
  <c r="AM543" i="1"/>
  <c r="AL544" i="1"/>
  <c r="AM544" i="1"/>
  <c r="AL545" i="1"/>
  <c r="AM545" i="1"/>
  <c r="AL546" i="1"/>
  <c r="AM546" i="1"/>
  <c r="AL547" i="1"/>
  <c r="AM547" i="1"/>
  <c r="AL548" i="1"/>
  <c r="AM548" i="1"/>
  <c r="AL549" i="1"/>
  <c r="AM549" i="1"/>
  <c r="AL511" i="1"/>
  <c r="AM511" i="1"/>
  <c r="AL550" i="1"/>
  <c r="AM550" i="1"/>
  <c r="AL551" i="1"/>
  <c r="AM551" i="1"/>
  <c r="AL552" i="1"/>
  <c r="AM552" i="1"/>
  <c r="AL553" i="1"/>
  <c r="AM553" i="1"/>
  <c r="AL512" i="1"/>
  <c r="AM512" i="1"/>
  <c r="AL513" i="1"/>
  <c r="AM513" i="1"/>
  <c r="AL554" i="1"/>
  <c r="AM554" i="1"/>
  <c r="AL555" i="1"/>
  <c r="AM555" i="1"/>
  <c r="AL556" i="1"/>
  <c r="AM556" i="1"/>
  <c r="AL557" i="1"/>
  <c r="AM557" i="1"/>
  <c r="AL558" i="1"/>
  <c r="AM558" i="1"/>
  <c r="AL559" i="1"/>
  <c r="AM559" i="1"/>
  <c r="AL560" i="1"/>
  <c r="AM560" i="1"/>
  <c r="AL515" i="1"/>
  <c r="AM515" i="1"/>
  <c r="AL561" i="1"/>
  <c r="AM561" i="1"/>
  <c r="AL562" i="1"/>
  <c r="AM562" i="1"/>
  <c r="AL563" i="1"/>
  <c r="AM563" i="1"/>
  <c r="AL564" i="1"/>
  <c r="AM564" i="1"/>
  <c r="AL565" i="1"/>
  <c r="AM565" i="1"/>
  <c r="AL566" i="1"/>
  <c r="AM566" i="1"/>
  <c r="AL567" i="1"/>
  <c r="AM567" i="1"/>
  <c r="AL568" i="1"/>
  <c r="AM568" i="1"/>
  <c r="AL569" i="1"/>
  <c r="AM569" i="1"/>
  <c r="AL570" i="1"/>
  <c r="AM570" i="1"/>
  <c r="AL571" i="1"/>
  <c r="AM571" i="1"/>
  <c r="AL572" i="1"/>
  <c r="AM572" i="1"/>
  <c r="AL573" i="1"/>
  <c r="AM573" i="1"/>
  <c r="AL574" i="1"/>
  <c r="AM574" i="1"/>
  <c r="AL575" i="1"/>
  <c r="AM575" i="1"/>
  <c r="AL576" i="1"/>
  <c r="AM576" i="1"/>
  <c r="AL577" i="1"/>
  <c r="AM577" i="1"/>
  <c r="AL578" i="1"/>
  <c r="AM578" i="1"/>
  <c r="AL579" i="1"/>
  <c r="AM579" i="1"/>
  <c r="AL580" i="1"/>
  <c r="AM580" i="1"/>
  <c r="AL581" i="1"/>
  <c r="AM581" i="1"/>
  <c r="AL582" i="1"/>
  <c r="AM582" i="1"/>
  <c r="AL583" i="1"/>
  <c r="AM583" i="1"/>
  <c r="AL584" i="1"/>
  <c r="AM584" i="1"/>
  <c r="AL585" i="1"/>
  <c r="AM585" i="1"/>
  <c r="AL586" i="1"/>
  <c r="AM586" i="1"/>
  <c r="AL587" i="1"/>
  <c r="AM587" i="1"/>
  <c r="AL588" i="1"/>
  <c r="AM588" i="1"/>
  <c r="AL589" i="1"/>
  <c r="AM589" i="1"/>
  <c r="AL590" i="1"/>
  <c r="AM590" i="1"/>
  <c r="AL591" i="1"/>
  <c r="AM591" i="1"/>
  <c r="AL592" i="1"/>
  <c r="AM592" i="1"/>
  <c r="AL593" i="1"/>
  <c r="AM593" i="1"/>
  <c r="AL594" i="1"/>
  <c r="AM594" i="1"/>
  <c r="AL595" i="1"/>
  <c r="AM595" i="1"/>
  <c r="AL596" i="1"/>
  <c r="AM596" i="1"/>
  <c r="AL597" i="1"/>
  <c r="AM597" i="1"/>
  <c r="AL598" i="1"/>
  <c r="AM598" i="1"/>
  <c r="AL599" i="1"/>
  <c r="AM599" i="1"/>
  <c r="AL600" i="1"/>
  <c r="AM600" i="1"/>
  <c r="AL601" i="1"/>
  <c r="AM601" i="1"/>
  <c r="AL602" i="1"/>
  <c r="AM602" i="1"/>
  <c r="AL603" i="1"/>
  <c r="AM603" i="1"/>
  <c r="AL604" i="1"/>
  <c r="AM604" i="1"/>
  <c r="AL605" i="1"/>
  <c r="AM605" i="1"/>
  <c r="AL606" i="1"/>
  <c r="AM606" i="1"/>
  <c r="AL607" i="1"/>
  <c r="AM607" i="1"/>
  <c r="AL608" i="1"/>
  <c r="AM608" i="1"/>
  <c r="AL609" i="1"/>
  <c r="AM609" i="1"/>
  <c r="AL610" i="1"/>
  <c r="AM610" i="1"/>
  <c r="AL611" i="1"/>
  <c r="AM611" i="1"/>
  <c r="AL612" i="1"/>
  <c r="AM612" i="1"/>
  <c r="AL613" i="1"/>
  <c r="AM613" i="1"/>
  <c r="AL614" i="1"/>
  <c r="AM614" i="1"/>
  <c r="AL615" i="1"/>
  <c r="AM615" i="1"/>
  <c r="AL616" i="1"/>
  <c r="AM616" i="1"/>
  <c r="AL617" i="1"/>
  <c r="AM617" i="1"/>
  <c r="AL618" i="1"/>
  <c r="AM618" i="1"/>
  <c r="AL619" i="1"/>
  <c r="AM619" i="1"/>
  <c r="AL620" i="1"/>
  <c r="AM620" i="1"/>
  <c r="AL621" i="1"/>
  <c r="AM621" i="1"/>
  <c r="AL622" i="1"/>
  <c r="AM622" i="1"/>
  <c r="AL623" i="1"/>
  <c r="AM623" i="1"/>
  <c r="AL624" i="1"/>
  <c r="AM624" i="1"/>
  <c r="AL625" i="1"/>
  <c r="AM625" i="1"/>
  <c r="AL626" i="1"/>
  <c r="AM626" i="1"/>
  <c r="AL627" i="1"/>
  <c r="AM627" i="1"/>
  <c r="AL628" i="1"/>
  <c r="AM628" i="1"/>
  <c r="AL629" i="1"/>
  <c r="AM629" i="1"/>
  <c r="AL630" i="1"/>
  <c r="AM630" i="1"/>
  <c r="AL631" i="1"/>
  <c r="AM631" i="1"/>
  <c r="AL632" i="1"/>
  <c r="AM632" i="1"/>
  <c r="AL633" i="1"/>
  <c r="AM633" i="1"/>
  <c r="AL634" i="1"/>
  <c r="AM634" i="1"/>
  <c r="AL635" i="1"/>
  <c r="AM635" i="1"/>
  <c r="AL636" i="1"/>
  <c r="AM636" i="1"/>
  <c r="AL637" i="1"/>
  <c r="AM637" i="1"/>
  <c r="AL638" i="1"/>
  <c r="AM638" i="1"/>
  <c r="AL639" i="1"/>
  <c r="AM639" i="1"/>
  <c r="AL640" i="1"/>
  <c r="AM640" i="1"/>
  <c r="AL641" i="1"/>
  <c r="AM641" i="1"/>
  <c r="AL642" i="1"/>
  <c r="AM642" i="1"/>
  <c r="AL643" i="1"/>
  <c r="AM643" i="1"/>
  <c r="AL644" i="1"/>
  <c r="AM644" i="1"/>
  <c r="AL645" i="1"/>
  <c r="AM645" i="1"/>
  <c r="AL646" i="1"/>
  <c r="AM646" i="1"/>
  <c r="AL647" i="1"/>
  <c r="AM647" i="1"/>
  <c r="AL648" i="1"/>
  <c r="AM648" i="1"/>
  <c r="AL649" i="1"/>
  <c r="AM649" i="1"/>
  <c r="AL650" i="1"/>
  <c r="AM650" i="1"/>
  <c r="AL651" i="1"/>
  <c r="AM651" i="1"/>
  <c r="AL652" i="1"/>
  <c r="AM652" i="1"/>
  <c r="AL653" i="1"/>
  <c r="AM653" i="1"/>
  <c r="AL654" i="1"/>
  <c r="AM654" i="1"/>
  <c r="AL655" i="1"/>
  <c r="AM655" i="1"/>
  <c r="AL656" i="1"/>
  <c r="AM656" i="1"/>
  <c r="AL657" i="1"/>
  <c r="AM657" i="1"/>
  <c r="AL658" i="1"/>
  <c r="AM658" i="1"/>
  <c r="AL659" i="1"/>
  <c r="AM659" i="1"/>
  <c r="AL660" i="1"/>
  <c r="AM660" i="1"/>
  <c r="AL661" i="1"/>
  <c r="AM661" i="1"/>
  <c r="AL662" i="1"/>
  <c r="AM662" i="1"/>
  <c r="AL663" i="1"/>
  <c r="AM663" i="1"/>
  <c r="AL664" i="1"/>
  <c r="AM664" i="1"/>
  <c r="AL665" i="1"/>
  <c r="AM665" i="1"/>
  <c r="AL666" i="1"/>
  <c r="AM666" i="1"/>
  <c r="AL667" i="1"/>
  <c r="AM667" i="1"/>
  <c r="AL668" i="1"/>
  <c r="AM668" i="1"/>
  <c r="AL669" i="1"/>
  <c r="AM669" i="1"/>
  <c r="AL487" i="1"/>
  <c r="AM487" i="1"/>
  <c r="AL488" i="1"/>
  <c r="AM488" i="1"/>
  <c r="AL670" i="1"/>
  <c r="AM670" i="1"/>
  <c r="AL671" i="1"/>
  <c r="AM671" i="1"/>
  <c r="AL673" i="1"/>
  <c r="AM673" i="1"/>
  <c r="AL674" i="1"/>
  <c r="AM674" i="1"/>
  <c r="AL676" i="1"/>
  <c r="AM676" i="1"/>
  <c r="AL677" i="1"/>
  <c r="AM677" i="1"/>
  <c r="AL678" i="1"/>
  <c r="AM678" i="1"/>
  <c r="AL679" i="1"/>
  <c r="AM679" i="1"/>
  <c r="AL680" i="1"/>
  <c r="AM680" i="1"/>
  <c r="AL681" i="1"/>
  <c r="AM681" i="1"/>
  <c r="AL682" i="1"/>
  <c r="AM682" i="1"/>
  <c r="AL683" i="1"/>
  <c r="AM683" i="1"/>
  <c r="AL684" i="1"/>
  <c r="AM684" i="1"/>
  <c r="AL685" i="1"/>
  <c r="AM685" i="1"/>
  <c r="AL686" i="1"/>
  <c r="AM686" i="1"/>
  <c r="AL687" i="1"/>
  <c r="AM687" i="1"/>
  <c r="AL688" i="1"/>
  <c r="AM688" i="1"/>
  <c r="AL690" i="1"/>
  <c r="AM690" i="1"/>
  <c r="AL692" i="1"/>
  <c r="AM692" i="1"/>
  <c r="AL693" i="1"/>
  <c r="AM693" i="1"/>
  <c r="AL694" i="1"/>
  <c r="AM694" i="1"/>
  <c r="AL695" i="1"/>
  <c r="AM695" i="1"/>
  <c r="AL505" i="1"/>
  <c r="AM505" i="1"/>
  <c r="AL696" i="1"/>
  <c r="AM696" i="1"/>
  <c r="AL697" i="1"/>
  <c r="AM697" i="1"/>
  <c r="AL698" i="1"/>
  <c r="AM698" i="1"/>
  <c r="AL508" i="1"/>
  <c r="AM508" i="1"/>
  <c r="AL700" i="1"/>
  <c r="AM700" i="1"/>
  <c r="AL509" i="1"/>
  <c r="AM509" i="1"/>
  <c r="AL701" i="1"/>
  <c r="AM701" i="1"/>
  <c r="AL702" i="1"/>
  <c r="AM702" i="1"/>
  <c r="AL703" i="1"/>
  <c r="AM703" i="1"/>
  <c r="AL704" i="1"/>
  <c r="AM704" i="1"/>
  <c r="AL705" i="1"/>
  <c r="AM705" i="1"/>
  <c r="AL706" i="1"/>
  <c r="AM706" i="1"/>
  <c r="AL707" i="1"/>
  <c r="AM707" i="1"/>
  <c r="AL708" i="1"/>
  <c r="AM708" i="1"/>
  <c r="AL710" i="1"/>
  <c r="AM710" i="1"/>
  <c r="AL711" i="1"/>
  <c r="AM711" i="1"/>
  <c r="AL712" i="1"/>
  <c r="AM712" i="1"/>
  <c r="AL713" i="1"/>
  <c r="AM713" i="1"/>
  <c r="AL714" i="1"/>
  <c r="AM714" i="1"/>
  <c r="AL715" i="1"/>
  <c r="AM715" i="1"/>
  <c r="AL717" i="1"/>
  <c r="AM717" i="1"/>
  <c r="AL718" i="1"/>
  <c r="AM718" i="1"/>
  <c r="AL719" i="1"/>
  <c r="AM719" i="1"/>
  <c r="AL720" i="1"/>
  <c r="AM720" i="1"/>
  <c r="AL721" i="1"/>
  <c r="AM721" i="1"/>
  <c r="AL722" i="1"/>
  <c r="AM722" i="1"/>
  <c r="AL723" i="1"/>
  <c r="AM723" i="1"/>
  <c r="AL724" i="1"/>
  <c r="AM724" i="1"/>
  <c r="AL725" i="1"/>
  <c r="AM725" i="1"/>
  <c r="AL726" i="1"/>
  <c r="AM726" i="1"/>
  <c r="AL727" i="1"/>
  <c r="AM727" i="1"/>
  <c r="AL728" i="1"/>
  <c r="AM728" i="1"/>
  <c r="AL729" i="1"/>
  <c r="AM729" i="1"/>
  <c r="AL730" i="1"/>
  <c r="AM730" i="1"/>
  <c r="AL731" i="1"/>
  <c r="AM731" i="1"/>
  <c r="AL732" i="1"/>
  <c r="AM732" i="1"/>
  <c r="AL733" i="1"/>
  <c r="AM733" i="1"/>
  <c r="AL734" i="1"/>
  <c r="AM734" i="1"/>
  <c r="AL735" i="1"/>
  <c r="AM735" i="1"/>
  <c r="AL736" i="1"/>
  <c r="AM736" i="1"/>
  <c r="AL737" i="1"/>
  <c r="AM737" i="1"/>
  <c r="AL738" i="1"/>
  <c r="AM738" i="1"/>
  <c r="AL739" i="1"/>
  <c r="AM739" i="1"/>
  <c r="AL740" i="1"/>
  <c r="AM740" i="1"/>
  <c r="AL741" i="1"/>
  <c r="AM741" i="1"/>
  <c r="AL742" i="1"/>
  <c r="AM742" i="1"/>
  <c r="AL743" i="1"/>
  <c r="AM743" i="1"/>
  <c r="AL744" i="1"/>
  <c r="AM744" i="1"/>
  <c r="AL745" i="1"/>
  <c r="AM745" i="1"/>
  <c r="AL746" i="1"/>
  <c r="AM746" i="1"/>
  <c r="AL747" i="1"/>
  <c r="AM747" i="1"/>
  <c r="AL748" i="1"/>
  <c r="AM748" i="1"/>
  <c r="AL749" i="1"/>
  <c r="AM749" i="1"/>
  <c r="AL750" i="1"/>
  <c r="AM750" i="1"/>
  <c r="AL751" i="1"/>
  <c r="AM751" i="1"/>
  <c r="AL752" i="1"/>
  <c r="AM752" i="1"/>
  <c r="AL753" i="1"/>
  <c r="AM753" i="1"/>
  <c r="AL754" i="1"/>
  <c r="AM754" i="1"/>
  <c r="AL755" i="1"/>
  <c r="AM755" i="1"/>
  <c r="AL756" i="1"/>
  <c r="AM756" i="1"/>
  <c r="AL757" i="1"/>
  <c r="AM757" i="1"/>
  <c r="AL758" i="1"/>
  <c r="AM758" i="1"/>
  <c r="AL759" i="1"/>
  <c r="AM759" i="1"/>
  <c r="AL760" i="1"/>
  <c r="AM760" i="1"/>
  <c r="AL761" i="1"/>
  <c r="AM761" i="1"/>
  <c r="AL762" i="1"/>
  <c r="AM762" i="1"/>
  <c r="AL763" i="1"/>
  <c r="AM763" i="1"/>
  <c r="AL764" i="1"/>
  <c r="AM764" i="1"/>
  <c r="AL765" i="1"/>
  <c r="AM765" i="1"/>
  <c r="AL766" i="1"/>
  <c r="AM766" i="1"/>
  <c r="AL767" i="1"/>
  <c r="AM767" i="1"/>
  <c r="AL768" i="1"/>
  <c r="AM768" i="1"/>
  <c r="AL769" i="1"/>
  <c r="AM769" i="1"/>
  <c r="AL770" i="1"/>
  <c r="AM770" i="1"/>
  <c r="AL771" i="1"/>
  <c r="AM771" i="1"/>
  <c r="AL772" i="1"/>
  <c r="AM772" i="1"/>
  <c r="AL773" i="1"/>
  <c r="AM773" i="1"/>
  <c r="AL774" i="1"/>
  <c r="AM774" i="1"/>
  <c r="AL775" i="1"/>
  <c r="AM775" i="1"/>
  <c r="AL776" i="1"/>
  <c r="AM776" i="1"/>
  <c r="AL777" i="1"/>
  <c r="AM777" i="1"/>
  <c r="AL778" i="1"/>
  <c r="AM778" i="1"/>
  <c r="AL779" i="1"/>
  <c r="AM779" i="1"/>
  <c r="AL780" i="1"/>
  <c r="AM780" i="1"/>
  <c r="AL781" i="1"/>
  <c r="AM781" i="1"/>
  <c r="AL782" i="1"/>
  <c r="AM782" i="1"/>
  <c r="AL783" i="1"/>
  <c r="AM783" i="1"/>
  <c r="AL784" i="1"/>
  <c r="AM784" i="1"/>
  <c r="AL785" i="1"/>
  <c r="AM785" i="1"/>
  <c r="AL815" i="1"/>
  <c r="AM815" i="1"/>
  <c r="AL817" i="1"/>
  <c r="AM817" i="1"/>
  <c r="AL788" i="1"/>
  <c r="AM788" i="1"/>
  <c r="AL821" i="1"/>
  <c r="AM821" i="1"/>
  <c r="AL822" i="1"/>
  <c r="AM822" i="1"/>
  <c r="AL823" i="1"/>
  <c r="AM823" i="1"/>
  <c r="AL824" i="1"/>
  <c r="AM824" i="1"/>
  <c r="AL825" i="1"/>
  <c r="AM825" i="1"/>
  <c r="AL826" i="1"/>
  <c r="AM826" i="1"/>
  <c r="AL789" i="1"/>
  <c r="AM789" i="1"/>
  <c r="AL827" i="1"/>
  <c r="AM827" i="1"/>
  <c r="AL828" i="1"/>
  <c r="AM828" i="1"/>
  <c r="AL790" i="1"/>
  <c r="AM790" i="1"/>
  <c r="AL791" i="1"/>
  <c r="AM791" i="1"/>
  <c r="AL792" i="1"/>
  <c r="AM792" i="1"/>
  <c r="AL793" i="1"/>
  <c r="AM793" i="1"/>
  <c r="AL794" i="1"/>
  <c r="AM794" i="1"/>
  <c r="AL795" i="1"/>
  <c r="AM795" i="1"/>
  <c r="AL796" i="1"/>
  <c r="AM796" i="1"/>
  <c r="AL798" i="1"/>
  <c r="AM798" i="1"/>
  <c r="AL799" i="1"/>
  <c r="AM799" i="1"/>
  <c r="AL800" i="1"/>
  <c r="AM800" i="1"/>
  <c r="AL801" i="1"/>
  <c r="AM801" i="1"/>
  <c r="AL802" i="1"/>
  <c r="AM802" i="1"/>
  <c r="AL803" i="1"/>
  <c r="AM803" i="1"/>
  <c r="AL804" i="1"/>
  <c r="AM804" i="1"/>
  <c r="AL805" i="1"/>
  <c r="AM805" i="1"/>
  <c r="AL806" i="1"/>
  <c r="AM806" i="1"/>
  <c r="AL807" i="1"/>
  <c r="AM807" i="1"/>
  <c r="AL808" i="1"/>
  <c r="AM808" i="1"/>
  <c r="AL809" i="1"/>
  <c r="AM809" i="1"/>
  <c r="AL810" i="1"/>
  <c r="AM810" i="1"/>
  <c r="AL811" i="1"/>
  <c r="AM811" i="1"/>
  <c r="AL812" i="1"/>
  <c r="AM812" i="1"/>
  <c r="AL813" i="1"/>
  <c r="AM813" i="1"/>
  <c r="AL814" i="1"/>
  <c r="AM814" i="1"/>
  <c r="AL816" i="1"/>
  <c r="AM816" i="1"/>
  <c r="AL818" i="1"/>
  <c r="AM818" i="1"/>
  <c r="AL819" i="1"/>
  <c r="AM819" i="1"/>
  <c r="AL820" i="1"/>
  <c r="AM820" i="1"/>
  <c r="AL829" i="1"/>
  <c r="AM829" i="1"/>
  <c r="AL830" i="1"/>
  <c r="AM830" i="1"/>
  <c r="AL831" i="1"/>
  <c r="AM831" i="1"/>
  <c r="AL832" i="1"/>
  <c r="AM832" i="1"/>
  <c r="AL833" i="1"/>
  <c r="AM833" i="1"/>
  <c r="AL834" i="1"/>
  <c r="AM834" i="1"/>
  <c r="AL835" i="1"/>
  <c r="AM835" i="1"/>
  <c r="AL836" i="1"/>
  <c r="AM836" i="1"/>
  <c r="AL837" i="1"/>
  <c r="AM837" i="1"/>
  <c r="AL838" i="1"/>
  <c r="AM838" i="1"/>
  <c r="AL839" i="1"/>
  <c r="AM839" i="1"/>
  <c r="AL840" i="1"/>
  <c r="AM840" i="1"/>
  <c r="AL841" i="1"/>
  <c r="AM841" i="1"/>
  <c r="AL842" i="1"/>
  <c r="AM842" i="1"/>
  <c r="AL843" i="1"/>
  <c r="AM843" i="1"/>
  <c r="AL844" i="1"/>
  <c r="AM844" i="1"/>
  <c r="AL845" i="1"/>
  <c r="AM845" i="1"/>
  <c r="AL846" i="1"/>
  <c r="AM846" i="1"/>
  <c r="AL847" i="1"/>
  <c r="AM847" i="1"/>
  <c r="AL848" i="1"/>
  <c r="AM848" i="1"/>
  <c r="AL849" i="1"/>
  <c r="AM849" i="1"/>
  <c r="AL850" i="1"/>
  <c r="AM850" i="1"/>
  <c r="AL851" i="1"/>
  <c r="AM851" i="1"/>
  <c r="AL852" i="1"/>
  <c r="AM852" i="1"/>
  <c r="AL853" i="1"/>
  <c r="AM853" i="1"/>
  <c r="AL854" i="1"/>
  <c r="AM854" i="1"/>
  <c r="AL855" i="1"/>
  <c r="AM855" i="1"/>
  <c r="AL856" i="1"/>
  <c r="AM856" i="1"/>
  <c r="AL857" i="1"/>
  <c r="AM857" i="1"/>
  <c r="AL858" i="1"/>
  <c r="AM858" i="1"/>
  <c r="AL859" i="1"/>
  <c r="AM859" i="1"/>
  <c r="AL860" i="1"/>
  <c r="AM860" i="1"/>
  <c r="AL861" i="1"/>
  <c r="AM861" i="1"/>
  <c r="AL862" i="1"/>
  <c r="AM862" i="1"/>
  <c r="AL863" i="1"/>
  <c r="AM863" i="1"/>
  <c r="AL864" i="1"/>
  <c r="AM864" i="1"/>
  <c r="AL865" i="1"/>
  <c r="AM865" i="1"/>
  <c r="AL866" i="1"/>
  <c r="AM866" i="1"/>
  <c r="AL867" i="1"/>
  <c r="AM867" i="1"/>
  <c r="AL868" i="1"/>
  <c r="AM868" i="1"/>
  <c r="AL869" i="1"/>
  <c r="AM869" i="1"/>
  <c r="AL870" i="1"/>
  <c r="AM870" i="1"/>
  <c r="AL871" i="1"/>
  <c r="AM871" i="1"/>
  <c r="AL872" i="1"/>
  <c r="AM872" i="1"/>
  <c r="AL873" i="1"/>
  <c r="AM873" i="1"/>
  <c r="AL874" i="1"/>
  <c r="AM874" i="1"/>
  <c r="AL875" i="1"/>
  <c r="AM875" i="1"/>
  <c r="AL876" i="1"/>
  <c r="AM876" i="1"/>
  <c r="AL877" i="1"/>
  <c r="AM877" i="1"/>
  <c r="AL878" i="1"/>
  <c r="AM878" i="1"/>
  <c r="AL879" i="1"/>
  <c r="AM879" i="1"/>
  <c r="AL880" i="1"/>
  <c r="AM880" i="1"/>
  <c r="AL881" i="1"/>
  <c r="AM881" i="1"/>
  <c r="AL882" i="1"/>
  <c r="AM882" i="1"/>
  <c r="AL883" i="1"/>
  <c r="AM883" i="1"/>
  <c r="AL884" i="1"/>
  <c r="AM884" i="1"/>
  <c r="AL885" i="1"/>
  <c r="AM885" i="1"/>
  <c r="AL886" i="1"/>
  <c r="AM886" i="1"/>
  <c r="AL887" i="1"/>
  <c r="AM887" i="1"/>
  <c r="AL888" i="1"/>
  <c r="AM888" i="1"/>
  <c r="AL889" i="1"/>
  <c r="AM889" i="1"/>
  <c r="AL890" i="1"/>
  <c r="AM890" i="1"/>
  <c r="AL891" i="1"/>
  <c r="AM891" i="1"/>
  <c r="AL892" i="1"/>
  <c r="AM892" i="1"/>
  <c r="AL893" i="1"/>
  <c r="AM893" i="1"/>
  <c r="AL894" i="1"/>
  <c r="AM894" i="1"/>
  <c r="AL895" i="1"/>
  <c r="AM895" i="1"/>
  <c r="AL896" i="1"/>
  <c r="AM896" i="1"/>
  <c r="AL897" i="1"/>
  <c r="AM897" i="1"/>
  <c r="AL898" i="1"/>
  <c r="AM898" i="1"/>
  <c r="AL899" i="1"/>
  <c r="AM899" i="1"/>
  <c r="AL900" i="1"/>
  <c r="AM900" i="1"/>
  <c r="AL901" i="1"/>
  <c r="AM901" i="1"/>
  <c r="AL902" i="1"/>
  <c r="AM902" i="1"/>
  <c r="AL903" i="1"/>
  <c r="AM903" i="1"/>
  <c r="AL904" i="1"/>
  <c r="AM904" i="1"/>
  <c r="AL905" i="1"/>
  <c r="AM905" i="1"/>
  <c r="AL906" i="1"/>
  <c r="AM906" i="1"/>
  <c r="AL907" i="1"/>
  <c r="AM907" i="1"/>
  <c r="AL908" i="1"/>
  <c r="AM908" i="1"/>
  <c r="AL909" i="1"/>
  <c r="AM909" i="1"/>
  <c r="AL910" i="1"/>
  <c r="AM910" i="1"/>
  <c r="AL911" i="1"/>
  <c r="AM911" i="1"/>
  <c r="AL912" i="1"/>
  <c r="AM912" i="1"/>
  <c r="AL913" i="1"/>
  <c r="AM913" i="1"/>
  <c r="AL914" i="1"/>
  <c r="AM914" i="1"/>
  <c r="AL915" i="1"/>
  <c r="AM915" i="1"/>
  <c r="AL916" i="1"/>
  <c r="AM916" i="1"/>
  <c r="AL917" i="1"/>
  <c r="AM917" i="1"/>
  <c r="AL918" i="1"/>
  <c r="AM918" i="1"/>
  <c r="AL919" i="1"/>
  <c r="AM919" i="1"/>
  <c r="AL920" i="1"/>
  <c r="AM920" i="1"/>
  <c r="AL921" i="1"/>
  <c r="AM921" i="1"/>
  <c r="AL922" i="1"/>
  <c r="AM922" i="1"/>
  <c r="AL923" i="1"/>
  <c r="AM923" i="1"/>
  <c r="AL924" i="1"/>
  <c r="AM924" i="1"/>
  <c r="AL925" i="1"/>
  <c r="AM925" i="1"/>
  <c r="AL926" i="1"/>
  <c r="AM926" i="1"/>
  <c r="AL927" i="1"/>
  <c r="AM927" i="1"/>
  <c r="AL928" i="1"/>
  <c r="AM928" i="1"/>
  <c r="AL929" i="1"/>
  <c r="AM929" i="1"/>
  <c r="AL930" i="1"/>
  <c r="AM930" i="1"/>
  <c r="AL931" i="1"/>
  <c r="AM931" i="1"/>
  <c r="AL932" i="1"/>
  <c r="AM932" i="1"/>
  <c r="AL933" i="1"/>
  <c r="AM933" i="1"/>
  <c r="AL934" i="1"/>
  <c r="AM934" i="1"/>
  <c r="AL935" i="1"/>
  <c r="AM935" i="1"/>
  <c r="AL936" i="1"/>
  <c r="AM936" i="1"/>
  <c r="AL937" i="1"/>
  <c r="AM937" i="1"/>
  <c r="AL938" i="1"/>
  <c r="AM938" i="1"/>
  <c r="AL939" i="1"/>
  <c r="AM939" i="1"/>
  <c r="AL940" i="1"/>
  <c r="AM940" i="1"/>
  <c r="AL941" i="1"/>
  <c r="AM941" i="1"/>
  <c r="AL942" i="1"/>
  <c r="AM942" i="1"/>
  <c r="AL943" i="1"/>
  <c r="AM943" i="1"/>
  <c r="AL944" i="1"/>
  <c r="AM944" i="1"/>
  <c r="AL945" i="1"/>
  <c r="AM945" i="1"/>
  <c r="AL946" i="1"/>
  <c r="AM946" i="1"/>
  <c r="AL947" i="1"/>
  <c r="AM947" i="1"/>
  <c r="AL948" i="1"/>
  <c r="AM948" i="1"/>
  <c r="AL949" i="1"/>
  <c r="AM949" i="1"/>
  <c r="AL950" i="1"/>
  <c r="AM950" i="1"/>
  <c r="AL951" i="1"/>
  <c r="AM951" i="1"/>
  <c r="AL952" i="1"/>
  <c r="AM952" i="1"/>
  <c r="AL953" i="1"/>
  <c r="AM953" i="1"/>
  <c r="AL954" i="1"/>
  <c r="AM954" i="1"/>
  <c r="AL955" i="1"/>
  <c r="AM955" i="1"/>
  <c r="AL956" i="1"/>
  <c r="AM956" i="1"/>
  <c r="AL957" i="1"/>
  <c r="AM957" i="1"/>
  <c r="AL958" i="1"/>
  <c r="AM958" i="1"/>
  <c r="AL959" i="1"/>
  <c r="AM959" i="1"/>
  <c r="AL960" i="1"/>
  <c r="AM960" i="1"/>
  <c r="AL961" i="1"/>
  <c r="AM961" i="1"/>
  <c r="AL962" i="1"/>
  <c r="AM962" i="1"/>
  <c r="AL963" i="1"/>
  <c r="AM963" i="1"/>
  <c r="AL964" i="1"/>
  <c r="AM964" i="1"/>
  <c r="AL965" i="1"/>
  <c r="AM965" i="1"/>
  <c r="AL966" i="1"/>
  <c r="AM966" i="1"/>
  <c r="AL967" i="1"/>
  <c r="AM967" i="1"/>
  <c r="AL968" i="1"/>
  <c r="AM968" i="1"/>
  <c r="AL969" i="1"/>
  <c r="AM969" i="1"/>
  <c r="AL970" i="1"/>
  <c r="AM970" i="1"/>
  <c r="AL971" i="1"/>
  <c r="AM971" i="1"/>
  <c r="AL972" i="1"/>
  <c r="AM972" i="1"/>
  <c r="AL973" i="1"/>
  <c r="AM973" i="1"/>
  <c r="AL974" i="1"/>
  <c r="AM974" i="1"/>
  <c r="AL975" i="1"/>
  <c r="AM975" i="1"/>
  <c r="AL976" i="1"/>
  <c r="AM976" i="1"/>
  <c r="AL977" i="1"/>
  <c r="AM977" i="1"/>
  <c r="AL978" i="1"/>
  <c r="AM978" i="1"/>
  <c r="AL979" i="1"/>
  <c r="AM979" i="1"/>
  <c r="AL980" i="1"/>
  <c r="AM980" i="1"/>
  <c r="AL981" i="1"/>
  <c r="AM981" i="1"/>
  <c r="AL982" i="1"/>
  <c r="AM982" i="1"/>
  <c r="AL983" i="1"/>
  <c r="AM983" i="1"/>
  <c r="AL984" i="1"/>
  <c r="AM984" i="1"/>
  <c r="AL985" i="1"/>
  <c r="AM985" i="1"/>
  <c r="AL986" i="1"/>
  <c r="AM986" i="1"/>
  <c r="AL987" i="1"/>
  <c r="AM987" i="1"/>
  <c r="AL988" i="1"/>
  <c r="AM988" i="1"/>
  <c r="AL989" i="1"/>
  <c r="AM989" i="1"/>
  <c r="AL990" i="1"/>
  <c r="AM990" i="1"/>
  <c r="AL991" i="1"/>
  <c r="AM991" i="1"/>
  <c r="AL992" i="1"/>
  <c r="AM992" i="1"/>
  <c r="AL993" i="1"/>
  <c r="AM993" i="1"/>
  <c r="AL994" i="1"/>
  <c r="AM994" i="1"/>
  <c r="AL995" i="1"/>
  <c r="AM995" i="1"/>
  <c r="AL996" i="1"/>
  <c r="AM996" i="1"/>
  <c r="AL997" i="1"/>
  <c r="AM997" i="1"/>
  <c r="AL998" i="1"/>
  <c r="AM998" i="1"/>
  <c r="AL999" i="1"/>
  <c r="AM999" i="1"/>
  <c r="AL1000" i="1"/>
  <c r="AM1000" i="1"/>
  <c r="AL1001" i="1"/>
  <c r="AM1001" i="1"/>
  <c r="AL1002" i="1"/>
  <c r="AM1002" i="1"/>
  <c r="AL1003" i="1"/>
  <c r="AM1003" i="1"/>
  <c r="AL1004" i="1"/>
  <c r="AM1004" i="1"/>
  <c r="AL1005" i="1"/>
  <c r="AM1005" i="1"/>
  <c r="AL1006" i="1"/>
  <c r="AM1006" i="1"/>
  <c r="AL1007" i="1"/>
  <c r="AM1007" i="1"/>
  <c r="AL1008" i="1"/>
  <c r="AM1008" i="1"/>
  <c r="AL1009" i="1"/>
  <c r="AM1009" i="1"/>
  <c r="AL1010" i="1"/>
  <c r="AM1010" i="1"/>
  <c r="AL1011" i="1"/>
  <c r="AM1011" i="1"/>
  <c r="AL1012" i="1"/>
  <c r="AM1012" i="1"/>
  <c r="AL1013" i="1"/>
  <c r="AM1013" i="1"/>
  <c r="AL1014" i="1"/>
  <c r="AM1014" i="1"/>
  <c r="AL1015" i="1"/>
  <c r="AM1015" i="1"/>
  <c r="AL1016" i="1"/>
  <c r="AM1016" i="1"/>
  <c r="AL1017" i="1"/>
  <c r="AM1017" i="1"/>
  <c r="AL1018" i="1"/>
  <c r="AM1018" i="1"/>
  <c r="AL1019" i="1"/>
  <c r="AM1019" i="1"/>
  <c r="AL1020" i="1"/>
  <c r="AM1020" i="1"/>
  <c r="AL1021" i="1"/>
  <c r="AM1021" i="1"/>
  <c r="AL1022" i="1"/>
  <c r="AM1022" i="1"/>
  <c r="AL1023" i="1"/>
  <c r="AM1023" i="1"/>
  <c r="AL1024" i="1"/>
  <c r="AM1024" i="1"/>
  <c r="AL1025" i="1"/>
  <c r="AM1025" i="1"/>
  <c r="AL1026" i="1"/>
  <c r="AM1026" i="1"/>
  <c r="AL1027" i="1"/>
  <c r="AM1027" i="1"/>
  <c r="AL1028" i="1"/>
  <c r="AM1028" i="1"/>
  <c r="AL1029" i="1"/>
  <c r="AM1029" i="1"/>
  <c r="AL1030" i="1"/>
  <c r="AM1030" i="1"/>
  <c r="AL1031" i="1"/>
  <c r="AM1031" i="1"/>
  <c r="AL1032" i="1"/>
  <c r="AM1032" i="1"/>
  <c r="AL1033" i="1"/>
  <c r="AM1033" i="1"/>
  <c r="AL1034" i="1"/>
  <c r="AM1034" i="1"/>
  <c r="AL1035" i="1"/>
  <c r="AM1035" i="1"/>
  <c r="AL1036" i="1"/>
  <c r="AM1036" i="1"/>
  <c r="AL1037" i="1"/>
  <c r="AM1037" i="1"/>
  <c r="AL1038" i="1"/>
  <c r="AM1038" i="1"/>
  <c r="AL1039" i="1"/>
  <c r="AM1039" i="1"/>
  <c r="AL1040" i="1"/>
  <c r="AM1040" i="1"/>
  <c r="AL1041" i="1"/>
  <c r="AM1041" i="1"/>
  <c r="AL1042" i="1"/>
  <c r="AM1042" i="1"/>
  <c r="AL1043" i="1"/>
  <c r="AM1043" i="1"/>
  <c r="AL1044" i="1"/>
  <c r="AM1044" i="1"/>
  <c r="AL1045" i="1"/>
  <c r="AM1045" i="1"/>
  <c r="AL1046" i="1"/>
  <c r="AM1046" i="1"/>
  <c r="AL1047" i="1"/>
  <c r="AM1047" i="1"/>
  <c r="AL1048" i="1"/>
  <c r="AM1048" i="1"/>
  <c r="AL1049" i="1"/>
  <c r="AM1049" i="1"/>
  <c r="AL1050" i="1"/>
  <c r="AM1050" i="1"/>
  <c r="AL1051" i="1"/>
  <c r="AM1051" i="1"/>
  <c r="AL1052" i="1"/>
  <c r="AM1052" i="1"/>
  <c r="AL1053" i="1"/>
  <c r="AM1053" i="1"/>
  <c r="AL1054" i="1"/>
  <c r="AM1054" i="1"/>
  <c r="AL1055" i="1"/>
  <c r="AM1055" i="1"/>
  <c r="AL1056" i="1"/>
  <c r="AM1056" i="1"/>
  <c r="AL1057" i="1"/>
  <c r="AM1057" i="1"/>
  <c r="AL1058" i="1"/>
  <c r="AM1058" i="1"/>
  <c r="AL1059" i="1"/>
  <c r="AM1059" i="1"/>
  <c r="AL1060" i="1"/>
  <c r="AM1060" i="1"/>
  <c r="AL1061" i="1"/>
  <c r="AM1061" i="1"/>
  <c r="AL1062" i="1"/>
  <c r="AM1062" i="1"/>
  <c r="AL1063" i="1"/>
  <c r="AM1063" i="1"/>
  <c r="AL1064" i="1"/>
  <c r="AM1064" i="1"/>
  <c r="AL1065" i="1"/>
  <c r="AM1065" i="1"/>
  <c r="AL1066" i="1"/>
  <c r="AM1066" i="1"/>
  <c r="AL1067" i="1"/>
  <c r="AM1067" i="1"/>
  <c r="AL1068" i="1"/>
  <c r="AM1068" i="1"/>
  <c r="AL1069" i="1"/>
  <c r="AM1069" i="1"/>
  <c r="AL1070" i="1"/>
  <c r="AM1070" i="1"/>
  <c r="AL1071" i="1"/>
  <c r="AM1071" i="1"/>
  <c r="AL1072" i="1"/>
  <c r="AM1072" i="1"/>
  <c r="AL1073" i="1"/>
  <c r="AM1073" i="1"/>
  <c r="AL1074" i="1"/>
  <c r="AM1074" i="1"/>
  <c r="AL1075" i="1"/>
  <c r="AM1075" i="1"/>
  <c r="AL1076" i="1"/>
  <c r="AM1076" i="1"/>
  <c r="AL1077" i="1"/>
  <c r="AM1077" i="1"/>
  <c r="AL1078" i="1"/>
  <c r="AM1078" i="1"/>
  <c r="AL1079" i="1"/>
  <c r="AM1079" i="1"/>
  <c r="AL1080" i="1"/>
  <c r="AM1080" i="1"/>
  <c r="AL1081" i="1"/>
  <c r="AM1081" i="1"/>
  <c r="AL1082" i="1"/>
  <c r="AM1082" i="1"/>
  <c r="AL1083" i="1"/>
  <c r="AM1083" i="1"/>
  <c r="AL1084" i="1"/>
  <c r="AM1084" i="1"/>
  <c r="AL1085" i="1"/>
  <c r="AM1085" i="1"/>
  <c r="AL1086" i="1"/>
  <c r="AM1086" i="1"/>
  <c r="AL1087" i="1"/>
  <c r="AM1087" i="1"/>
  <c r="AL1088" i="1"/>
  <c r="AM1088" i="1"/>
  <c r="AL1089" i="1"/>
  <c r="AM1089" i="1"/>
  <c r="AL1090" i="1"/>
  <c r="AM1090" i="1"/>
  <c r="AL1091" i="1"/>
  <c r="AM1091" i="1"/>
  <c r="AL1092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797" i="1"/>
  <c r="AM797" i="1"/>
  <c r="AN797" i="1" s="1"/>
  <c r="AL786" i="1"/>
  <c r="AM786" i="1"/>
  <c r="AN786" i="1" s="1"/>
  <c r="AL787" i="1"/>
  <c r="AM787" i="1"/>
  <c r="AN787" i="1" s="1"/>
  <c r="AL1122" i="1"/>
  <c r="AM1122" i="1"/>
  <c r="AN1122" i="1" s="1"/>
  <c r="AL1123" i="1"/>
  <c r="AM1123" i="1"/>
  <c r="AN1123" i="1" s="1"/>
  <c r="AL1124" i="1"/>
  <c r="AM1124" i="1"/>
  <c r="AN1124" i="1" s="1"/>
  <c r="AL1125" i="1"/>
  <c r="AM1125" i="1"/>
  <c r="AN1125" i="1" s="1"/>
  <c r="AL1126" i="1"/>
  <c r="AM1126" i="1"/>
  <c r="AN1126" i="1" s="1"/>
  <c r="AL1127" i="1"/>
  <c r="AM1127" i="1"/>
  <c r="AN1127" i="1" s="1"/>
  <c r="AL1128" i="1"/>
  <c r="AM1128" i="1"/>
  <c r="AN1128" i="1" s="1"/>
  <c r="AL1129" i="1"/>
  <c r="AM1129" i="1"/>
  <c r="AN1129" i="1" s="1"/>
  <c r="AL1130" i="1"/>
  <c r="AM1130" i="1"/>
  <c r="AN1130" i="1" s="1"/>
  <c r="AL1131" i="1"/>
  <c r="AM1131" i="1"/>
  <c r="AN1131" i="1" s="1"/>
  <c r="AL1132" i="1"/>
  <c r="AM1132" i="1"/>
  <c r="AN1132" i="1" s="1"/>
  <c r="AL1133" i="1"/>
  <c r="AM1133" i="1"/>
  <c r="AN1133" i="1" s="1"/>
  <c r="AL1134" i="1"/>
  <c r="AM1134" i="1"/>
  <c r="AN1134" i="1" s="1"/>
  <c r="AL1135" i="1"/>
  <c r="AM1135" i="1"/>
  <c r="AN1135" i="1" s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1" i="1"/>
  <c r="AJ22" i="1"/>
  <c r="AJ257" i="1"/>
  <c r="AJ23" i="1"/>
  <c r="AJ24" i="1"/>
  <c r="AJ25" i="1"/>
  <c r="AJ26" i="1"/>
  <c r="AJ27" i="1"/>
  <c r="AJ28" i="1"/>
  <c r="AJ29" i="1"/>
  <c r="AJ30" i="1"/>
  <c r="AJ161" i="1"/>
  <c r="AJ33" i="1"/>
  <c r="AJ34" i="1"/>
  <c r="AJ35" i="1"/>
  <c r="AJ36" i="1"/>
  <c r="AJ37" i="1"/>
  <c r="AJ363" i="1"/>
  <c r="AJ38" i="1"/>
  <c r="AJ39" i="1"/>
  <c r="AJ40" i="1"/>
  <c r="AJ219" i="1"/>
  <c r="AJ319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4" i="1"/>
  <c r="AJ95" i="1"/>
  <c r="AJ96" i="1"/>
  <c r="AJ97" i="1"/>
  <c r="AJ98" i="1"/>
  <c r="AJ240" i="1"/>
  <c r="AJ99" i="1"/>
  <c r="AJ100" i="1"/>
  <c r="AJ101" i="1"/>
  <c r="AJ102" i="1"/>
  <c r="AJ103" i="1"/>
  <c r="AJ104" i="1"/>
  <c r="AJ341" i="1"/>
  <c r="AJ105" i="1"/>
  <c r="AJ106" i="1"/>
  <c r="AJ107" i="1"/>
  <c r="AJ108" i="1"/>
  <c r="AJ109" i="1"/>
  <c r="AJ110" i="1"/>
  <c r="AJ111" i="1"/>
  <c r="AJ68" i="1"/>
  <c r="AJ69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237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675" i="1"/>
  <c r="AJ178" i="1"/>
  <c r="AJ179" i="1"/>
  <c r="AJ180" i="1"/>
  <c r="AJ181" i="1"/>
  <c r="AJ182" i="1"/>
  <c r="AJ183" i="1"/>
  <c r="AJ184" i="1"/>
  <c r="AJ185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691" i="1"/>
  <c r="AJ203" i="1"/>
  <c r="AJ204" i="1"/>
  <c r="AJ206" i="1"/>
  <c r="AJ207" i="1"/>
  <c r="AJ208" i="1"/>
  <c r="AJ209" i="1"/>
  <c r="AJ210" i="1"/>
  <c r="AJ211" i="1"/>
  <c r="AJ485" i="1"/>
  <c r="AJ213" i="1"/>
  <c r="AJ214" i="1"/>
  <c r="AJ215" i="1"/>
  <c r="AJ216" i="1"/>
  <c r="AJ217" i="1"/>
  <c r="AJ218" i="1"/>
  <c r="AJ220" i="1"/>
  <c r="AJ221" i="1"/>
  <c r="AJ222" i="1"/>
  <c r="AJ672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8" i="1"/>
  <c r="AJ239" i="1"/>
  <c r="AJ241" i="1"/>
  <c r="AJ242" i="1"/>
  <c r="AJ289" i="1"/>
  <c r="AJ243" i="1"/>
  <c r="AJ244" i="1"/>
  <c r="AJ245" i="1"/>
  <c r="AJ246" i="1"/>
  <c r="AJ247" i="1"/>
  <c r="AJ248" i="1"/>
  <c r="AJ249" i="1"/>
  <c r="AJ481" i="1"/>
  <c r="AJ250" i="1"/>
  <c r="AJ205" i="1"/>
  <c r="AJ251" i="1"/>
  <c r="AJ252" i="1"/>
  <c r="AJ253" i="1"/>
  <c r="AJ254" i="1"/>
  <c r="AJ255" i="1"/>
  <c r="AJ256" i="1"/>
  <c r="AJ258" i="1"/>
  <c r="AJ709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23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689" i="1"/>
  <c r="AJ338" i="1"/>
  <c r="AJ339" i="1"/>
  <c r="AJ340" i="1"/>
  <c r="AJ342" i="1"/>
  <c r="AJ343" i="1"/>
  <c r="AJ344" i="1"/>
  <c r="AJ345" i="1"/>
  <c r="AJ346" i="1"/>
  <c r="AJ699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716" i="1"/>
  <c r="AJ362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212" i="1"/>
  <c r="AJ409" i="1"/>
  <c r="AJ410" i="1"/>
  <c r="AJ411" i="1"/>
  <c r="AJ412" i="1"/>
  <c r="AJ413" i="1"/>
  <c r="AJ414" i="1"/>
  <c r="AJ415" i="1"/>
  <c r="AJ416" i="1"/>
  <c r="AJ177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186" i="1"/>
  <c r="AJ433" i="1"/>
  <c r="AJ434" i="1"/>
  <c r="AJ435" i="1"/>
  <c r="AJ436" i="1"/>
  <c r="AJ437" i="1"/>
  <c r="AJ438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93" i="1"/>
  <c r="AJ458" i="1"/>
  <c r="AJ379" i="1"/>
  <c r="AJ380" i="1"/>
  <c r="AJ460" i="1"/>
  <c r="AJ461" i="1"/>
  <c r="AJ462" i="1"/>
  <c r="AJ439" i="1"/>
  <c r="AJ463" i="1"/>
  <c r="AJ464" i="1"/>
  <c r="AJ465" i="1"/>
  <c r="AJ466" i="1"/>
  <c r="AJ467" i="1"/>
  <c r="AJ20" i="1"/>
  <c r="AJ469" i="1"/>
  <c r="AJ470" i="1"/>
  <c r="AJ472" i="1"/>
  <c r="AJ473" i="1"/>
  <c r="AJ474" i="1"/>
  <c r="AJ31" i="1"/>
  <c r="AJ476" i="1"/>
  <c r="AJ32" i="1"/>
  <c r="AJ477" i="1"/>
  <c r="AJ478" i="1"/>
  <c r="AJ479" i="1"/>
  <c r="AJ480" i="1"/>
  <c r="AJ482" i="1"/>
  <c r="AJ483" i="1"/>
  <c r="AJ471" i="1"/>
  <c r="AJ475" i="1"/>
  <c r="AJ484" i="1"/>
  <c r="AJ486" i="1"/>
  <c r="AJ489" i="1"/>
  <c r="AJ490" i="1"/>
  <c r="AJ491" i="1"/>
  <c r="AJ492" i="1"/>
  <c r="AJ493" i="1"/>
  <c r="AJ459" i="1"/>
  <c r="AJ494" i="1"/>
  <c r="AJ495" i="1"/>
  <c r="AJ496" i="1"/>
  <c r="AJ497" i="1"/>
  <c r="AJ498" i="1"/>
  <c r="AJ499" i="1"/>
  <c r="AJ500" i="1"/>
  <c r="AJ501" i="1"/>
  <c r="AJ502" i="1"/>
  <c r="AJ503" i="1"/>
  <c r="AJ504" i="1"/>
  <c r="AJ468" i="1"/>
  <c r="AJ506" i="1"/>
  <c r="AJ507" i="1"/>
  <c r="AJ510" i="1"/>
  <c r="AJ514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11" i="1"/>
  <c r="AJ550" i="1"/>
  <c r="AJ551" i="1"/>
  <c r="AJ552" i="1"/>
  <c r="AJ553" i="1"/>
  <c r="AJ512" i="1"/>
  <c r="AJ513" i="1"/>
  <c r="AJ554" i="1"/>
  <c r="AJ555" i="1"/>
  <c r="AJ556" i="1"/>
  <c r="AJ557" i="1"/>
  <c r="AJ558" i="1"/>
  <c r="AJ559" i="1"/>
  <c r="AJ560" i="1"/>
  <c r="AJ515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487" i="1"/>
  <c r="AJ488" i="1"/>
  <c r="AJ670" i="1"/>
  <c r="AJ671" i="1"/>
  <c r="AJ673" i="1"/>
  <c r="AJ674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90" i="1"/>
  <c r="AJ692" i="1"/>
  <c r="AJ693" i="1"/>
  <c r="AJ694" i="1"/>
  <c r="AJ695" i="1"/>
  <c r="AJ505" i="1"/>
  <c r="AJ696" i="1"/>
  <c r="AJ697" i="1"/>
  <c r="AJ698" i="1"/>
  <c r="AJ508" i="1"/>
  <c r="AJ700" i="1"/>
  <c r="AJ509" i="1"/>
  <c r="AJ701" i="1"/>
  <c r="AJ702" i="1"/>
  <c r="AJ703" i="1"/>
  <c r="AJ704" i="1"/>
  <c r="AJ705" i="1"/>
  <c r="AJ706" i="1"/>
  <c r="AJ707" i="1"/>
  <c r="AJ708" i="1"/>
  <c r="AJ710" i="1"/>
  <c r="AJ711" i="1"/>
  <c r="AJ712" i="1"/>
  <c r="AJ713" i="1"/>
  <c r="AJ714" i="1"/>
  <c r="AJ715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815" i="1"/>
  <c r="AJ817" i="1"/>
  <c r="AJ788" i="1"/>
  <c r="AJ821" i="1"/>
  <c r="AJ822" i="1"/>
  <c r="AJ823" i="1"/>
  <c r="AJ824" i="1"/>
  <c r="AJ825" i="1"/>
  <c r="AJ826" i="1"/>
  <c r="AJ789" i="1"/>
  <c r="AJ827" i="1"/>
  <c r="AJ828" i="1"/>
  <c r="AJ790" i="1"/>
  <c r="AJ791" i="1"/>
  <c r="AJ792" i="1"/>
  <c r="AJ793" i="1"/>
  <c r="AJ794" i="1"/>
  <c r="AJ795" i="1"/>
  <c r="AJ796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6" i="1"/>
  <c r="AJ818" i="1"/>
  <c r="AJ819" i="1"/>
  <c r="AJ820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797" i="1"/>
  <c r="AJ786" i="1"/>
  <c r="AJ787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1" i="1"/>
  <c r="AI22" i="1"/>
  <c r="AI257" i="1"/>
  <c r="AI23" i="1"/>
  <c r="AI24" i="1"/>
  <c r="AI25" i="1"/>
  <c r="AI26" i="1"/>
  <c r="AI27" i="1"/>
  <c r="AI28" i="1"/>
  <c r="AI29" i="1"/>
  <c r="AI30" i="1"/>
  <c r="AI161" i="1"/>
  <c r="AI33" i="1"/>
  <c r="AI34" i="1"/>
  <c r="AI35" i="1"/>
  <c r="AI36" i="1"/>
  <c r="AI37" i="1"/>
  <c r="AI363" i="1"/>
  <c r="AI38" i="1"/>
  <c r="AI39" i="1"/>
  <c r="AI40" i="1"/>
  <c r="AI219" i="1"/>
  <c r="AI319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4" i="1"/>
  <c r="AI95" i="1"/>
  <c r="AI96" i="1"/>
  <c r="AI97" i="1"/>
  <c r="AI98" i="1"/>
  <c r="AI240" i="1"/>
  <c r="AI99" i="1"/>
  <c r="AI100" i="1"/>
  <c r="AI101" i="1"/>
  <c r="AI102" i="1"/>
  <c r="AI103" i="1"/>
  <c r="AI104" i="1"/>
  <c r="AI341" i="1"/>
  <c r="AI105" i="1"/>
  <c r="AI106" i="1"/>
  <c r="AI107" i="1"/>
  <c r="AI108" i="1"/>
  <c r="AI109" i="1"/>
  <c r="AI110" i="1"/>
  <c r="AI111" i="1"/>
  <c r="AI68" i="1"/>
  <c r="AI69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237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675" i="1"/>
  <c r="AI178" i="1"/>
  <c r="AI179" i="1"/>
  <c r="AI180" i="1"/>
  <c r="AI181" i="1"/>
  <c r="AI182" i="1"/>
  <c r="AI183" i="1"/>
  <c r="AI184" i="1"/>
  <c r="AI185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691" i="1"/>
  <c r="AI203" i="1"/>
  <c r="AI204" i="1"/>
  <c r="AI206" i="1"/>
  <c r="AI207" i="1"/>
  <c r="AI208" i="1"/>
  <c r="AI209" i="1"/>
  <c r="AI210" i="1"/>
  <c r="AI211" i="1"/>
  <c r="AI485" i="1"/>
  <c r="AI213" i="1"/>
  <c r="AI214" i="1"/>
  <c r="AI215" i="1"/>
  <c r="AI216" i="1"/>
  <c r="AI217" i="1"/>
  <c r="AI218" i="1"/>
  <c r="AI220" i="1"/>
  <c r="AI221" i="1"/>
  <c r="AI222" i="1"/>
  <c r="AI672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8" i="1"/>
  <c r="AI239" i="1"/>
  <c r="AI241" i="1"/>
  <c r="AI242" i="1"/>
  <c r="AI289" i="1"/>
  <c r="AI243" i="1"/>
  <c r="AI244" i="1"/>
  <c r="AI245" i="1"/>
  <c r="AI246" i="1"/>
  <c r="AI247" i="1"/>
  <c r="AI248" i="1"/>
  <c r="AI249" i="1"/>
  <c r="AI481" i="1"/>
  <c r="AI250" i="1"/>
  <c r="AI205" i="1"/>
  <c r="AI251" i="1"/>
  <c r="AI252" i="1"/>
  <c r="AI253" i="1"/>
  <c r="AI254" i="1"/>
  <c r="AI255" i="1"/>
  <c r="AI256" i="1"/>
  <c r="AI258" i="1"/>
  <c r="AI709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23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689" i="1"/>
  <c r="AI338" i="1"/>
  <c r="AI339" i="1"/>
  <c r="AI340" i="1"/>
  <c r="AI342" i="1"/>
  <c r="AI343" i="1"/>
  <c r="AI344" i="1"/>
  <c r="AI345" i="1"/>
  <c r="AI346" i="1"/>
  <c r="AI699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716" i="1"/>
  <c r="AI362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212" i="1"/>
  <c r="AI409" i="1"/>
  <c r="AI410" i="1"/>
  <c r="AI411" i="1"/>
  <c r="AI412" i="1"/>
  <c r="AI413" i="1"/>
  <c r="AI414" i="1"/>
  <c r="AI415" i="1"/>
  <c r="AI416" i="1"/>
  <c r="AI177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186" i="1"/>
  <c r="AI433" i="1"/>
  <c r="AI434" i="1"/>
  <c r="AI435" i="1"/>
  <c r="AI436" i="1"/>
  <c r="AI437" i="1"/>
  <c r="AI438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93" i="1"/>
  <c r="AI458" i="1"/>
  <c r="AI379" i="1"/>
  <c r="AI380" i="1"/>
  <c r="AI460" i="1"/>
  <c r="AI461" i="1"/>
  <c r="AI462" i="1"/>
  <c r="AI439" i="1"/>
  <c r="AI463" i="1"/>
  <c r="AI464" i="1"/>
  <c r="AI465" i="1"/>
  <c r="AI466" i="1"/>
  <c r="AI467" i="1"/>
  <c r="AI20" i="1"/>
  <c r="AI469" i="1"/>
  <c r="AI470" i="1"/>
  <c r="AI472" i="1"/>
  <c r="AI473" i="1"/>
  <c r="AI474" i="1"/>
  <c r="AI31" i="1"/>
  <c r="AI476" i="1"/>
  <c r="AI32" i="1"/>
  <c r="AI477" i="1"/>
  <c r="AI478" i="1"/>
  <c r="AI479" i="1"/>
  <c r="AI480" i="1"/>
  <c r="AI482" i="1"/>
  <c r="AI483" i="1"/>
  <c r="AI471" i="1"/>
  <c r="AI475" i="1"/>
  <c r="AI484" i="1"/>
  <c r="AI486" i="1"/>
  <c r="AI489" i="1"/>
  <c r="AI490" i="1"/>
  <c r="AI491" i="1"/>
  <c r="AI492" i="1"/>
  <c r="AI493" i="1"/>
  <c r="AI459" i="1"/>
  <c r="AI494" i="1"/>
  <c r="AI495" i="1"/>
  <c r="AI496" i="1"/>
  <c r="AI497" i="1"/>
  <c r="AI498" i="1"/>
  <c r="AI499" i="1"/>
  <c r="AI500" i="1"/>
  <c r="AI501" i="1"/>
  <c r="AI502" i="1"/>
  <c r="AI503" i="1"/>
  <c r="AI504" i="1"/>
  <c r="AI468" i="1"/>
  <c r="AI506" i="1"/>
  <c r="AI507" i="1"/>
  <c r="AI510" i="1"/>
  <c r="AI514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11" i="1"/>
  <c r="AI550" i="1"/>
  <c r="AI551" i="1"/>
  <c r="AI552" i="1"/>
  <c r="AI553" i="1"/>
  <c r="AI512" i="1"/>
  <c r="AI513" i="1"/>
  <c r="AI554" i="1"/>
  <c r="AI555" i="1"/>
  <c r="AI556" i="1"/>
  <c r="AI557" i="1"/>
  <c r="AI558" i="1"/>
  <c r="AI559" i="1"/>
  <c r="AI560" i="1"/>
  <c r="AI515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487" i="1"/>
  <c r="AI488" i="1"/>
  <c r="AI670" i="1"/>
  <c r="AI671" i="1"/>
  <c r="AI673" i="1"/>
  <c r="AI674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90" i="1"/>
  <c r="AI692" i="1"/>
  <c r="AI693" i="1"/>
  <c r="AI694" i="1"/>
  <c r="AI695" i="1"/>
  <c r="AI505" i="1"/>
  <c r="AI696" i="1"/>
  <c r="AI697" i="1"/>
  <c r="AI698" i="1"/>
  <c r="AI508" i="1"/>
  <c r="AI700" i="1"/>
  <c r="AI509" i="1"/>
  <c r="AI701" i="1"/>
  <c r="AI702" i="1"/>
  <c r="AI703" i="1"/>
  <c r="AI704" i="1"/>
  <c r="AI705" i="1"/>
  <c r="AI706" i="1"/>
  <c r="AI707" i="1"/>
  <c r="AI708" i="1"/>
  <c r="AI710" i="1"/>
  <c r="AI711" i="1"/>
  <c r="AI712" i="1"/>
  <c r="AI713" i="1"/>
  <c r="AI714" i="1"/>
  <c r="AI715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815" i="1"/>
  <c r="AI817" i="1"/>
  <c r="AI788" i="1"/>
  <c r="AI821" i="1"/>
  <c r="AI822" i="1"/>
  <c r="AI823" i="1"/>
  <c r="AI824" i="1"/>
  <c r="AI825" i="1"/>
  <c r="AI826" i="1"/>
  <c r="AI789" i="1"/>
  <c r="AI827" i="1"/>
  <c r="AI828" i="1"/>
  <c r="AI790" i="1"/>
  <c r="AI791" i="1"/>
  <c r="AI792" i="1"/>
  <c r="AI793" i="1"/>
  <c r="AI794" i="1"/>
  <c r="AI795" i="1"/>
  <c r="AI796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6" i="1"/>
  <c r="AI818" i="1"/>
  <c r="AI819" i="1"/>
  <c r="AI820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797" i="1"/>
  <c r="AI786" i="1"/>
  <c r="AI787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F4" i="1"/>
  <c r="AG4" i="1"/>
  <c r="AF5" i="1"/>
  <c r="AG5" i="1"/>
  <c r="AF6" i="1"/>
  <c r="AG6" i="1"/>
  <c r="AF7" i="1"/>
  <c r="AF8" i="1"/>
  <c r="AG8" i="1"/>
  <c r="AF9" i="1"/>
  <c r="AF10" i="1"/>
  <c r="AG10" i="1"/>
  <c r="AF11" i="1"/>
  <c r="AG11" i="1"/>
  <c r="AF12" i="1"/>
  <c r="AF13" i="1"/>
  <c r="AF14" i="1"/>
  <c r="AF15" i="1"/>
  <c r="AG15" i="1"/>
  <c r="AF16" i="1"/>
  <c r="AF17" i="1"/>
  <c r="AF18" i="1"/>
  <c r="AG18" i="1"/>
  <c r="AF19" i="1"/>
  <c r="AG19" i="1"/>
  <c r="AF21" i="1"/>
  <c r="AG21" i="1"/>
  <c r="AF22" i="1"/>
  <c r="AG22" i="1"/>
  <c r="AF257" i="1"/>
  <c r="AG257" i="1"/>
  <c r="AF23" i="1"/>
  <c r="AG23" i="1"/>
  <c r="AF24" i="1"/>
  <c r="AF25" i="1"/>
  <c r="AG25" i="1"/>
  <c r="AF26" i="1"/>
  <c r="AF27" i="1"/>
  <c r="AF28" i="1"/>
  <c r="AG28" i="1"/>
  <c r="AF29" i="1"/>
  <c r="AF30" i="1"/>
  <c r="AG30" i="1"/>
  <c r="AF161" i="1"/>
  <c r="AG161" i="1"/>
  <c r="AF33" i="1"/>
  <c r="AG33" i="1"/>
  <c r="AF34" i="1"/>
  <c r="AF35" i="1"/>
  <c r="AF36" i="1"/>
  <c r="AF37" i="1"/>
  <c r="AG37" i="1"/>
  <c r="AF363" i="1"/>
  <c r="AG363" i="1"/>
  <c r="AF38" i="1"/>
  <c r="AF39" i="1"/>
  <c r="AG39" i="1"/>
  <c r="AF40" i="1"/>
  <c r="AF219" i="1"/>
  <c r="AG219" i="1"/>
  <c r="AF319" i="1"/>
  <c r="AG319" i="1"/>
  <c r="AF41" i="1"/>
  <c r="AF42" i="1"/>
  <c r="AF43" i="1"/>
  <c r="AF44" i="1"/>
  <c r="AG44" i="1"/>
  <c r="AF45" i="1"/>
  <c r="AF46" i="1"/>
  <c r="AF47" i="1"/>
  <c r="AF48" i="1"/>
  <c r="AG48" i="1"/>
  <c r="AF49" i="1"/>
  <c r="AG49" i="1"/>
  <c r="AF50" i="1"/>
  <c r="AG50" i="1"/>
  <c r="AF51" i="1"/>
  <c r="AF52" i="1"/>
  <c r="AG52" i="1"/>
  <c r="AF53" i="1"/>
  <c r="AF54" i="1"/>
  <c r="AF55" i="1"/>
  <c r="AF56" i="1"/>
  <c r="AG56" i="1"/>
  <c r="AF57" i="1"/>
  <c r="AF58" i="1"/>
  <c r="AG58" i="1"/>
  <c r="AF59" i="1"/>
  <c r="AF60" i="1"/>
  <c r="AF61" i="1"/>
  <c r="AG61" i="1"/>
  <c r="AF62" i="1"/>
  <c r="AF63" i="1"/>
  <c r="AF64" i="1"/>
  <c r="AG64" i="1"/>
  <c r="AF65" i="1"/>
  <c r="AG65" i="1"/>
  <c r="AF66" i="1"/>
  <c r="AG66" i="1"/>
  <c r="AF67" i="1"/>
  <c r="AG67" i="1"/>
  <c r="AF70" i="1"/>
  <c r="AG70" i="1"/>
  <c r="AF71" i="1"/>
  <c r="AF72" i="1"/>
  <c r="AF73" i="1"/>
  <c r="AF74" i="1"/>
  <c r="AF75" i="1"/>
  <c r="AG75" i="1"/>
  <c r="AF76" i="1"/>
  <c r="AF77" i="1"/>
  <c r="AG77" i="1"/>
  <c r="AF78" i="1"/>
  <c r="AG78" i="1"/>
  <c r="AF79" i="1"/>
  <c r="AG79" i="1"/>
  <c r="AF80" i="1"/>
  <c r="AF81" i="1"/>
  <c r="AF82" i="1"/>
  <c r="AF83" i="1"/>
  <c r="AG83" i="1"/>
  <c r="AF84" i="1"/>
  <c r="AG84" i="1"/>
  <c r="AF85" i="1"/>
  <c r="AF86" i="1"/>
  <c r="AF87" i="1"/>
  <c r="AF88" i="1"/>
  <c r="AG88" i="1"/>
  <c r="AF89" i="1"/>
  <c r="AG89" i="1"/>
  <c r="AF90" i="1"/>
  <c r="AG90" i="1"/>
  <c r="AF91" i="1"/>
  <c r="AG91" i="1"/>
  <c r="AF92" i="1"/>
  <c r="AG92" i="1"/>
  <c r="AF94" i="1"/>
  <c r="AG94" i="1"/>
  <c r="AF95" i="1"/>
  <c r="AF96" i="1"/>
  <c r="AG96" i="1"/>
  <c r="AF97" i="1"/>
  <c r="AF98" i="1"/>
  <c r="AG98" i="1"/>
  <c r="AF240" i="1"/>
  <c r="AG240" i="1"/>
  <c r="AF99" i="1"/>
  <c r="AF100" i="1"/>
  <c r="AG100" i="1"/>
  <c r="AF101" i="1"/>
  <c r="AF102" i="1"/>
  <c r="AG102" i="1"/>
  <c r="AF103" i="1"/>
  <c r="AF104" i="1"/>
  <c r="AG104" i="1"/>
  <c r="AF341" i="1"/>
  <c r="AG341" i="1"/>
  <c r="AF105" i="1"/>
  <c r="AG105" i="1"/>
  <c r="AF106" i="1"/>
  <c r="AF107" i="1"/>
  <c r="AG107" i="1"/>
  <c r="AF108" i="1"/>
  <c r="AG108" i="1"/>
  <c r="AF109" i="1"/>
  <c r="AF110" i="1"/>
  <c r="AF111" i="1"/>
  <c r="AG111" i="1"/>
  <c r="AF68" i="1"/>
  <c r="AF69" i="1"/>
  <c r="AF112" i="1"/>
  <c r="AF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F121" i="1"/>
  <c r="AG121" i="1"/>
  <c r="AF122" i="1"/>
  <c r="AG122" i="1"/>
  <c r="AF123" i="1"/>
  <c r="AG123" i="1"/>
  <c r="AF124" i="1"/>
  <c r="AG124" i="1"/>
  <c r="AF125" i="1"/>
  <c r="AG125" i="1"/>
  <c r="AF126" i="1"/>
  <c r="AF127" i="1"/>
  <c r="AF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F137" i="1"/>
  <c r="AF138" i="1"/>
  <c r="AG138" i="1"/>
  <c r="AF139" i="1"/>
  <c r="AG139" i="1"/>
  <c r="AF140" i="1"/>
  <c r="AG140" i="1"/>
  <c r="AF237" i="1"/>
  <c r="AF141" i="1"/>
  <c r="AF142" i="1"/>
  <c r="AF143" i="1"/>
  <c r="AG143" i="1"/>
  <c r="AF144" i="1"/>
  <c r="AG144" i="1"/>
  <c r="AF145" i="1"/>
  <c r="AG145" i="1"/>
  <c r="AF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F157" i="1"/>
  <c r="AF158" i="1"/>
  <c r="AF159" i="1"/>
  <c r="AG159" i="1"/>
  <c r="AF160" i="1"/>
  <c r="AF162" i="1"/>
  <c r="AF163" i="1"/>
  <c r="AF164" i="1"/>
  <c r="AG164" i="1"/>
  <c r="AF165" i="1"/>
  <c r="AG165" i="1"/>
  <c r="AF166" i="1"/>
  <c r="AG166" i="1"/>
  <c r="AF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F176" i="1"/>
  <c r="AG176" i="1"/>
  <c r="AF675" i="1"/>
  <c r="AG675" i="1"/>
  <c r="AF178" i="1"/>
  <c r="AG178" i="1"/>
  <c r="AF179" i="1"/>
  <c r="AG179" i="1"/>
  <c r="AF180" i="1"/>
  <c r="AG180" i="1"/>
  <c r="AF181" i="1"/>
  <c r="AF182" i="1"/>
  <c r="AG182" i="1"/>
  <c r="AF183" i="1"/>
  <c r="AG183" i="1"/>
  <c r="AF184" i="1"/>
  <c r="AG184" i="1"/>
  <c r="AF185" i="1"/>
  <c r="AG185" i="1"/>
  <c r="AF187" i="1"/>
  <c r="AF188" i="1"/>
  <c r="AG188" i="1"/>
  <c r="AF189" i="1"/>
  <c r="AF190" i="1"/>
  <c r="AG190" i="1"/>
  <c r="AF191" i="1"/>
  <c r="AG191" i="1"/>
  <c r="AF192" i="1"/>
  <c r="AG192" i="1"/>
  <c r="AF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F201" i="1"/>
  <c r="AG201" i="1"/>
  <c r="AF202" i="1"/>
  <c r="AG202" i="1"/>
  <c r="AF691" i="1"/>
  <c r="AG691" i="1"/>
  <c r="AF203" i="1"/>
  <c r="AF204" i="1"/>
  <c r="AG204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485" i="1"/>
  <c r="AG485" i="1"/>
  <c r="AF213" i="1"/>
  <c r="AG213" i="1"/>
  <c r="AF214" i="1"/>
  <c r="AF215" i="1"/>
  <c r="AG215" i="1"/>
  <c r="AF216" i="1"/>
  <c r="AF217" i="1"/>
  <c r="AG217" i="1"/>
  <c r="AF218" i="1"/>
  <c r="AF220" i="1"/>
  <c r="AG220" i="1"/>
  <c r="AF221" i="1"/>
  <c r="AG221" i="1"/>
  <c r="AF222" i="1"/>
  <c r="AG222" i="1"/>
  <c r="AF672" i="1"/>
  <c r="AG672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F235" i="1"/>
  <c r="AF236" i="1"/>
  <c r="AG236" i="1"/>
  <c r="AF238" i="1"/>
  <c r="AG238" i="1"/>
  <c r="AF239" i="1"/>
  <c r="AG239" i="1"/>
  <c r="AF241" i="1"/>
  <c r="AG241" i="1"/>
  <c r="AF242" i="1"/>
  <c r="AG242" i="1"/>
  <c r="AF289" i="1"/>
  <c r="AG289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481" i="1"/>
  <c r="AG481" i="1"/>
  <c r="AF250" i="1"/>
  <c r="AG250" i="1"/>
  <c r="AF205" i="1"/>
  <c r="AG205" i="1"/>
  <c r="AF251" i="1"/>
  <c r="AF252" i="1"/>
  <c r="AG252" i="1"/>
  <c r="AF253" i="1"/>
  <c r="AG253" i="1"/>
  <c r="AF254" i="1"/>
  <c r="AG254" i="1"/>
  <c r="AF255" i="1"/>
  <c r="AG255" i="1"/>
  <c r="AF256" i="1"/>
  <c r="AG256" i="1"/>
  <c r="AF258" i="1"/>
  <c r="AG258" i="1"/>
  <c r="AF709" i="1"/>
  <c r="AG709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F269" i="1"/>
  <c r="AG269" i="1"/>
  <c r="AF270" i="1"/>
  <c r="AG270" i="1"/>
  <c r="AF271" i="1"/>
  <c r="AF223" i="1"/>
  <c r="AG223" i="1"/>
  <c r="AF272" i="1"/>
  <c r="AF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F281" i="1"/>
  <c r="AF282" i="1"/>
  <c r="AG282" i="1"/>
  <c r="AF283" i="1"/>
  <c r="AF284" i="1"/>
  <c r="AF285" i="1"/>
  <c r="AG285" i="1"/>
  <c r="AF286" i="1"/>
  <c r="AG286" i="1"/>
  <c r="AF287" i="1"/>
  <c r="AG287" i="1"/>
  <c r="AF288" i="1"/>
  <c r="AG288" i="1"/>
  <c r="AF290" i="1"/>
  <c r="AF291" i="1"/>
  <c r="AG291" i="1"/>
  <c r="AF292" i="1"/>
  <c r="AG292" i="1"/>
  <c r="AF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F689" i="1"/>
  <c r="AG689" i="1"/>
  <c r="AF338" i="1"/>
  <c r="AG338" i="1"/>
  <c r="AF339" i="1"/>
  <c r="AG339" i="1"/>
  <c r="AF340" i="1"/>
  <c r="AG340" i="1"/>
  <c r="AF342" i="1"/>
  <c r="AG342" i="1"/>
  <c r="AF343" i="1"/>
  <c r="AG343" i="1"/>
  <c r="AF344" i="1"/>
  <c r="AG344" i="1"/>
  <c r="AF345" i="1"/>
  <c r="AG345" i="1"/>
  <c r="AF346" i="1"/>
  <c r="AG346" i="1"/>
  <c r="AF699" i="1"/>
  <c r="AG699" i="1"/>
  <c r="AF347" i="1"/>
  <c r="AG347" i="1"/>
  <c r="AF348" i="1"/>
  <c r="AG348" i="1"/>
  <c r="AF349" i="1"/>
  <c r="AG349" i="1"/>
  <c r="AF350" i="1"/>
  <c r="AF351" i="1"/>
  <c r="AG351" i="1"/>
  <c r="AF352" i="1"/>
  <c r="AG352" i="1"/>
  <c r="AF353" i="1"/>
  <c r="AF354" i="1"/>
  <c r="AG354" i="1"/>
  <c r="AF355" i="1"/>
  <c r="AF356" i="1"/>
  <c r="AG356" i="1"/>
  <c r="AF357" i="1"/>
  <c r="AF358" i="1"/>
  <c r="AG358" i="1"/>
  <c r="AF359" i="1"/>
  <c r="AG359" i="1"/>
  <c r="AF360" i="1"/>
  <c r="AG360" i="1"/>
  <c r="AF361" i="1"/>
  <c r="AG361" i="1"/>
  <c r="AF716" i="1"/>
  <c r="AG716" i="1"/>
  <c r="AF362" i="1"/>
  <c r="AG362" i="1"/>
  <c r="AF364" i="1"/>
  <c r="AG364" i="1"/>
  <c r="AF365" i="1"/>
  <c r="AG365" i="1"/>
  <c r="AF366" i="1"/>
  <c r="AF367" i="1"/>
  <c r="AG367" i="1"/>
  <c r="AF368" i="1"/>
  <c r="AG368" i="1"/>
  <c r="AF369" i="1"/>
  <c r="AF370" i="1"/>
  <c r="AG370" i="1"/>
  <c r="AF371" i="1"/>
  <c r="AF372" i="1"/>
  <c r="AG372" i="1"/>
  <c r="AF373" i="1"/>
  <c r="AF374" i="1"/>
  <c r="AG374" i="1"/>
  <c r="AF375" i="1"/>
  <c r="AF376" i="1"/>
  <c r="AG376" i="1"/>
  <c r="AF377" i="1"/>
  <c r="AF378" i="1"/>
  <c r="AG378" i="1"/>
  <c r="AF381" i="1"/>
  <c r="AF382" i="1"/>
  <c r="AG382" i="1"/>
  <c r="AF383" i="1"/>
  <c r="AF384" i="1"/>
  <c r="AG384" i="1"/>
  <c r="AF385" i="1"/>
  <c r="AG385" i="1"/>
  <c r="AF386" i="1"/>
  <c r="AG386" i="1"/>
  <c r="AF387" i="1"/>
  <c r="AF388" i="1"/>
  <c r="AG388" i="1"/>
  <c r="AF389" i="1"/>
  <c r="AG389" i="1"/>
  <c r="AF390" i="1"/>
  <c r="AF391" i="1"/>
  <c r="AF392" i="1"/>
  <c r="AF393" i="1"/>
  <c r="AF394" i="1"/>
  <c r="AG394" i="1"/>
  <c r="AF395" i="1"/>
  <c r="AG395" i="1"/>
  <c r="AF396" i="1"/>
  <c r="AF397" i="1"/>
  <c r="AF398" i="1"/>
  <c r="AG398" i="1"/>
  <c r="AF399" i="1"/>
  <c r="AF400" i="1"/>
  <c r="AF401" i="1"/>
  <c r="AG401" i="1"/>
  <c r="AF402" i="1"/>
  <c r="AF403" i="1"/>
  <c r="AF404" i="1"/>
  <c r="AG404" i="1"/>
  <c r="AF405" i="1"/>
  <c r="AF406" i="1"/>
  <c r="AF407" i="1"/>
  <c r="AF408" i="1"/>
  <c r="AG408" i="1"/>
  <c r="AF212" i="1"/>
  <c r="AF409" i="1"/>
  <c r="AG409" i="1"/>
  <c r="AF410" i="1"/>
  <c r="AG410" i="1"/>
  <c r="AF411" i="1"/>
  <c r="AG411" i="1"/>
  <c r="AF412" i="1"/>
  <c r="AG412" i="1"/>
  <c r="AF413" i="1"/>
  <c r="AF414" i="1"/>
  <c r="AG414" i="1"/>
  <c r="AF415" i="1"/>
  <c r="AF416" i="1"/>
  <c r="AF177" i="1"/>
  <c r="AG177" i="1"/>
  <c r="AF417" i="1"/>
  <c r="AG417" i="1"/>
  <c r="AF418" i="1"/>
  <c r="AF419" i="1"/>
  <c r="AF420" i="1"/>
  <c r="AF421" i="1"/>
  <c r="AG421" i="1"/>
  <c r="AF422" i="1"/>
  <c r="AG422" i="1"/>
  <c r="AF423" i="1"/>
  <c r="AF424" i="1"/>
  <c r="AG424" i="1"/>
  <c r="AF425" i="1"/>
  <c r="AF426" i="1"/>
  <c r="AF427" i="1"/>
  <c r="AF428" i="1"/>
  <c r="AG428" i="1"/>
  <c r="AF429" i="1"/>
  <c r="AF430" i="1"/>
  <c r="AG430" i="1"/>
  <c r="AF431" i="1"/>
  <c r="AF432" i="1"/>
  <c r="AF186" i="1"/>
  <c r="AF433" i="1"/>
  <c r="AF434" i="1"/>
  <c r="AF435" i="1"/>
  <c r="AF436" i="1"/>
  <c r="AF437" i="1"/>
  <c r="AF438" i="1"/>
  <c r="AF440" i="1"/>
  <c r="AG440" i="1"/>
  <c r="AF441" i="1"/>
  <c r="AG441" i="1"/>
  <c r="AF442" i="1"/>
  <c r="AF443" i="1"/>
  <c r="AF444" i="1"/>
  <c r="AF445" i="1"/>
  <c r="AF446" i="1"/>
  <c r="AF447" i="1"/>
  <c r="AF448" i="1"/>
  <c r="AG448" i="1"/>
  <c r="AF449" i="1"/>
  <c r="AG449" i="1"/>
  <c r="AF450" i="1"/>
  <c r="AF451" i="1"/>
  <c r="AF452" i="1"/>
  <c r="AG452" i="1"/>
  <c r="AF453" i="1"/>
  <c r="AG453" i="1"/>
  <c r="AF454" i="1"/>
  <c r="AF455" i="1"/>
  <c r="AF456" i="1"/>
  <c r="AG456" i="1"/>
  <c r="AF457" i="1"/>
  <c r="AG457" i="1"/>
  <c r="AF93" i="1"/>
  <c r="AG93" i="1"/>
  <c r="AF458" i="1"/>
  <c r="AG458" i="1"/>
  <c r="AF379" i="1"/>
  <c r="AG379" i="1"/>
  <c r="AF380" i="1"/>
  <c r="AG380" i="1"/>
  <c r="AF460" i="1"/>
  <c r="AG460" i="1"/>
  <c r="AF461" i="1"/>
  <c r="AG461" i="1"/>
  <c r="AF462" i="1"/>
  <c r="AG462" i="1"/>
  <c r="AF439" i="1"/>
  <c r="AG439" i="1"/>
  <c r="AF463" i="1"/>
  <c r="AG463" i="1"/>
  <c r="AF464" i="1"/>
  <c r="AG464" i="1"/>
  <c r="AF465" i="1"/>
  <c r="AG465" i="1"/>
  <c r="AF466" i="1"/>
  <c r="AG466" i="1"/>
  <c r="AF467" i="1"/>
  <c r="AG467" i="1"/>
  <c r="AF20" i="1"/>
  <c r="AG20" i="1"/>
  <c r="AF469" i="1"/>
  <c r="AG469" i="1"/>
  <c r="AF470" i="1"/>
  <c r="AG470" i="1"/>
  <c r="AF472" i="1"/>
  <c r="AG472" i="1"/>
  <c r="AF473" i="1"/>
  <c r="AG473" i="1"/>
  <c r="AF474" i="1"/>
  <c r="AG474" i="1"/>
  <c r="AF31" i="1"/>
  <c r="AG31" i="1"/>
  <c r="AF476" i="1"/>
  <c r="AG476" i="1"/>
  <c r="AF32" i="1"/>
  <c r="AG32" i="1"/>
  <c r="AF477" i="1"/>
  <c r="AG477" i="1"/>
  <c r="AF478" i="1"/>
  <c r="AG478" i="1"/>
  <c r="AF479" i="1"/>
  <c r="AG479" i="1"/>
  <c r="AF480" i="1"/>
  <c r="AG480" i="1"/>
  <c r="AF482" i="1"/>
  <c r="AG482" i="1"/>
  <c r="AF483" i="1"/>
  <c r="AG483" i="1"/>
  <c r="AF471" i="1"/>
  <c r="AG471" i="1"/>
  <c r="AF475" i="1"/>
  <c r="AG475" i="1"/>
  <c r="AF484" i="1"/>
  <c r="AG484" i="1"/>
  <c r="AF486" i="1"/>
  <c r="AG486" i="1"/>
  <c r="AF489" i="1"/>
  <c r="AG489" i="1"/>
  <c r="AF490" i="1"/>
  <c r="AG490" i="1"/>
  <c r="AF491" i="1"/>
  <c r="AG491" i="1"/>
  <c r="AF492" i="1"/>
  <c r="AG492" i="1"/>
  <c r="AF493" i="1"/>
  <c r="AG493" i="1"/>
  <c r="AF459" i="1"/>
  <c r="AG459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468" i="1"/>
  <c r="AG468" i="1"/>
  <c r="AF506" i="1"/>
  <c r="AG506" i="1"/>
  <c r="AF507" i="1"/>
  <c r="AG507" i="1"/>
  <c r="AF510" i="1"/>
  <c r="AG510" i="1"/>
  <c r="AF514" i="1"/>
  <c r="AG514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F523" i="1"/>
  <c r="AF524" i="1"/>
  <c r="AG524" i="1"/>
  <c r="AF525" i="1"/>
  <c r="AG525" i="1"/>
  <c r="AF526" i="1"/>
  <c r="AF527" i="1"/>
  <c r="AF528" i="1"/>
  <c r="AG528" i="1"/>
  <c r="AF529" i="1"/>
  <c r="AG529" i="1"/>
  <c r="AF530" i="1"/>
  <c r="AG530" i="1"/>
  <c r="AF531" i="1"/>
  <c r="AG531" i="1"/>
  <c r="AF532" i="1"/>
  <c r="AF533" i="1"/>
  <c r="AF534" i="1"/>
  <c r="AF535" i="1"/>
  <c r="AG535" i="1"/>
  <c r="AF536" i="1"/>
  <c r="AG536" i="1"/>
  <c r="AF537" i="1"/>
  <c r="AG537" i="1"/>
  <c r="AF538" i="1"/>
  <c r="AG538" i="1"/>
  <c r="AF539" i="1"/>
  <c r="AG539" i="1"/>
  <c r="AF540" i="1"/>
  <c r="AF541" i="1"/>
  <c r="AG541" i="1"/>
  <c r="AF542" i="1"/>
  <c r="AG542" i="1"/>
  <c r="AF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11" i="1"/>
  <c r="AG511" i="1"/>
  <c r="AF550" i="1"/>
  <c r="AG550" i="1"/>
  <c r="AF551" i="1"/>
  <c r="AG551" i="1"/>
  <c r="AF552" i="1"/>
  <c r="AG552" i="1"/>
  <c r="AF553" i="1"/>
  <c r="AG553" i="1"/>
  <c r="AF512" i="1"/>
  <c r="AG512" i="1"/>
  <c r="AF513" i="1"/>
  <c r="AG51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15" i="1"/>
  <c r="AG515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487" i="1"/>
  <c r="AG487" i="1"/>
  <c r="AF488" i="1"/>
  <c r="AG488" i="1"/>
  <c r="AF670" i="1"/>
  <c r="AG670" i="1"/>
  <c r="AF671" i="1"/>
  <c r="AG671" i="1"/>
  <c r="AF673" i="1"/>
  <c r="AG673" i="1"/>
  <c r="AF674" i="1"/>
  <c r="AG674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90" i="1"/>
  <c r="AG690" i="1"/>
  <c r="AF692" i="1"/>
  <c r="AG692" i="1"/>
  <c r="AF693" i="1"/>
  <c r="AG693" i="1"/>
  <c r="AF694" i="1"/>
  <c r="AG694" i="1"/>
  <c r="AF695" i="1"/>
  <c r="AG695" i="1"/>
  <c r="AF505" i="1"/>
  <c r="AG505" i="1"/>
  <c r="AF696" i="1"/>
  <c r="AG696" i="1"/>
  <c r="AF697" i="1"/>
  <c r="AG697" i="1"/>
  <c r="AF698" i="1"/>
  <c r="AG698" i="1"/>
  <c r="AF508" i="1"/>
  <c r="AG508" i="1"/>
  <c r="AF700" i="1"/>
  <c r="AG700" i="1"/>
  <c r="AF509" i="1"/>
  <c r="AG509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815" i="1"/>
  <c r="AG815" i="1"/>
  <c r="AF817" i="1"/>
  <c r="AG817" i="1"/>
  <c r="AF788" i="1"/>
  <c r="AG788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789" i="1"/>
  <c r="AG789" i="1"/>
  <c r="AF827" i="1"/>
  <c r="AG827" i="1"/>
  <c r="AF828" i="1"/>
  <c r="AG828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6" i="1"/>
  <c r="AG816" i="1"/>
  <c r="AF818" i="1"/>
  <c r="AG818" i="1"/>
  <c r="AF819" i="1"/>
  <c r="AG819" i="1"/>
  <c r="AF820" i="1"/>
  <c r="AG820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F1065" i="1"/>
  <c r="AF1066" i="1"/>
  <c r="AF1067" i="1"/>
  <c r="AF1068" i="1"/>
  <c r="AF1069" i="1"/>
  <c r="AG1069" i="1"/>
  <c r="AF1070" i="1"/>
  <c r="AF1071" i="1"/>
  <c r="AF1072" i="1"/>
  <c r="AF1073" i="1"/>
  <c r="AF1074" i="1"/>
  <c r="AF1075" i="1"/>
  <c r="AF1076" i="1"/>
  <c r="AF1077" i="1"/>
  <c r="AF1078" i="1"/>
  <c r="AF1079" i="1"/>
  <c r="AG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G1112" i="1"/>
  <c r="AF1113" i="1"/>
  <c r="AF1114" i="1"/>
  <c r="AF1115" i="1"/>
  <c r="AF1116" i="1"/>
  <c r="AF1117" i="1"/>
  <c r="AG1117" i="1"/>
  <c r="AF1118" i="1"/>
  <c r="AF1119" i="1"/>
  <c r="AF1120" i="1"/>
  <c r="AG1120" i="1"/>
  <c r="AF1121" i="1"/>
  <c r="AG1121" i="1"/>
  <c r="AF797" i="1"/>
  <c r="AG797" i="1"/>
  <c r="AF786" i="1"/>
  <c r="AG786" i="1"/>
  <c r="AF787" i="1"/>
  <c r="AG787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1" i="1"/>
  <c r="X22" i="1"/>
  <c r="X257" i="1"/>
  <c r="X23" i="1"/>
  <c r="X24" i="1"/>
  <c r="X25" i="1"/>
  <c r="X26" i="1"/>
  <c r="X27" i="1"/>
  <c r="X28" i="1"/>
  <c r="X29" i="1"/>
  <c r="X30" i="1"/>
  <c r="X161" i="1"/>
  <c r="X33" i="1"/>
  <c r="X34" i="1"/>
  <c r="X35" i="1"/>
  <c r="X36" i="1"/>
  <c r="X37" i="1"/>
  <c r="X363" i="1"/>
  <c r="X38" i="1"/>
  <c r="X39" i="1"/>
  <c r="X40" i="1"/>
  <c r="X219" i="1"/>
  <c r="X319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4" i="1"/>
  <c r="X95" i="1"/>
  <c r="X96" i="1"/>
  <c r="X97" i="1"/>
  <c r="X98" i="1"/>
  <c r="X240" i="1"/>
  <c r="X99" i="1"/>
  <c r="X100" i="1"/>
  <c r="X101" i="1"/>
  <c r="X102" i="1"/>
  <c r="X103" i="1"/>
  <c r="X104" i="1"/>
  <c r="X341" i="1"/>
  <c r="X105" i="1"/>
  <c r="X106" i="1"/>
  <c r="X107" i="1"/>
  <c r="X108" i="1"/>
  <c r="X109" i="1"/>
  <c r="X110" i="1"/>
  <c r="X111" i="1"/>
  <c r="X68" i="1"/>
  <c r="X69" i="1"/>
  <c r="X112" i="1"/>
  <c r="X113" i="1"/>
  <c r="X114" i="1"/>
  <c r="X115" i="1"/>
  <c r="X116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237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675" i="1"/>
  <c r="X178" i="1"/>
  <c r="X179" i="1"/>
  <c r="X180" i="1"/>
  <c r="X181" i="1"/>
  <c r="X182" i="1"/>
  <c r="X183" i="1"/>
  <c r="X184" i="1"/>
  <c r="X185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691" i="1"/>
  <c r="X203" i="1"/>
  <c r="X204" i="1"/>
  <c r="X206" i="1"/>
  <c r="X207" i="1"/>
  <c r="X208" i="1"/>
  <c r="X209" i="1"/>
  <c r="X210" i="1"/>
  <c r="X211" i="1"/>
  <c r="X485" i="1"/>
  <c r="X213" i="1"/>
  <c r="X214" i="1"/>
  <c r="X215" i="1"/>
  <c r="X216" i="1"/>
  <c r="X217" i="1"/>
  <c r="X218" i="1"/>
  <c r="X220" i="1"/>
  <c r="X221" i="1"/>
  <c r="X222" i="1"/>
  <c r="X672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8" i="1"/>
  <c r="X239" i="1"/>
  <c r="X241" i="1"/>
  <c r="X242" i="1"/>
  <c r="X289" i="1"/>
  <c r="X243" i="1"/>
  <c r="X244" i="1"/>
  <c r="X245" i="1"/>
  <c r="X246" i="1"/>
  <c r="X247" i="1"/>
  <c r="X248" i="1"/>
  <c r="X249" i="1"/>
  <c r="X481" i="1"/>
  <c r="X250" i="1"/>
  <c r="X205" i="1"/>
  <c r="X251" i="1"/>
  <c r="X252" i="1"/>
  <c r="X253" i="1"/>
  <c r="X254" i="1"/>
  <c r="X255" i="1"/>
  <c r="X256" i="1"/>
  <c r="X258" i="1"/>
  <c r="X709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23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689" i="1"/>
  <c r="X338" i="1"/>
  <c r="X339" i="1"/>
  <c r="X340" i="1"/>
  <c r="X342" i="1"/>
  <c r="X343" i="1"/>
  <c r="X344" i="1"/>
  <c r="X345" i="1"/>
  <c r="X346" i="1"/>
  <c r="X699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716" i="1"/>
  <c r="X362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212" i="1"/>
  <c r="X409" i="1"/>
  <c r="X410" i="1"/>
  <c r="X411" i="1"/>
  <c r="X412" i="1"/>
  <c r="X413" i="1"/>
  <c r="X414" i="1"/>
  <c r="X415" i="1"/>
  <c r="X416" i="1"/>
  <c r="X177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186" i="1"/>
  <c r="X433" i="1"/>
  <c r="X434" i="1"/>
  <c r="X435" i="1"/>
  <c r="X436" i="1"/>
  <c r="X437" i="1"/>
  <c r="X438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93" i="1"/>
  <c r="X458" i="1"/>
  <c r="X379" i="1"/>
  <c r="X380" i="1"/>
  <c r="X460" i="1"/>
  <c r="X461" i="1"/>
  <c r="X462" i="1"/>
  <c r="X439" i="1"/>
  <c r="X463" i="1"/>
  <c r="X464" i="1"/>
  <c r="X465" i="1"/>
  <c r="X466" i="1"/>
  <c r="X467" i="1"/>
  <c r="X20" i="1"/>
  <c r="X469" i="1"/>
  <c r="X470" i="1"/>
  <c r="X472" i="1"/>
  <c r="X473" i="1"/>
  <c r="X474" i="1"/>
  <c r="X31" i="1"/>
  <c r="X476" i="1"/>
  <c r="X32" i="1"/>
  <c r="X477" i="1"/>
  <c r="X478" i="1"/>
  <c r="X479" i="1"/>
  <c r="X480" i="1"/>
  <c r="X482" i="1"/>
  <c r="X483" i="1"/>
  <c r="X471" i="1"/>
  <c r="X475" i="1"/>
  <c r="X484" i="1"/>
  <c r="X486" i="1"/>
  <c r="X489" i="1"/>
  <c r="X490" i="1"/>
  <c r="X491" i="1"/>
  <c r="X492" i="1"/>
  <c r="X493" i="1"/>
  <c r="X459" i="1"/>
  <c r="X494" i="1"/>
  <c r="X495" i="1"/>
  <c r="X496" i="1"/>
  <c r="X497" i="1"/>
  <c r="X498" i="1"/>
  <c r="X499" i="1"/>
  <c r="X500" i="1"/>
  <c r="X501" i="1"/>
  <c r="X502" i="1"/>
  <c r="X503" i="1"/>
  <c r="X504" i="1"/>
  <c r="X468" i="1"/>
  <c r="X506" i="1"/>
  <c r="X507" i="1"/>
  <c r="X510" i="1"/>
  <c r="X514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11" i="1"/>
  <c r="X550" i="1"/>
  <c r="X551" i="1"/>
  <c r="X552" i="1"/>
  <c r="X553" i="1"/>
  <c r="X512" i="1"/>
  <c r="X513" i="1"/>
  <c r="X554" i="1"/>
  <c r="X555" i="1"/>
  <c r="X556" i="1"/>
  <c r="X557" i="1"/>
  <c r="X558" i="1"/>
  <c r="X559" i="1"/>
  <c r="X560" i="1"/>
  <c r="X515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487" i="1"/>
  <c r="X488" i="1"/>
  <c r="X670" i="1"/>
  <c r="X671" i="1"/>
  <c r="X673" i="1"/>
  <c r="X674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90" i="1"/>
  <c r="X692" i="1"/>
  <c r="X693" i="1"/>
  <c r="X694" i="1"/>
  <c r="X695" i="1"/>
  <c r="X505" i="1"/>
  <c r="X696" i="1"/>
  <c r="X697" i="1"/>
  <c r="X698" i="1"/>
  <c r="X508" i="1"/>
  <c r="X700" i="1"/>
  <c r="X509" i="1"/>
  <c r="X701" i="1"/>
  <c r="X702" i="1"/>
  <c r="X703" i="1"/>
  <c r="X704" i="1"/>
  <c r="X705" i="1"/>
  <c r="X706" i="1"/>
  <c r="X707" i="1"/>
  <c r="X708" i="1"/>
  <c r="X710" i="1"/>
  <c r="X711" i="1"/>
  <c r="X712" i="1"/>
  <c r="X713" i="1"/>
  <c r="X714" i="1"/>
  <c r="X715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815" i="1"/>
  <c r="X817" i="1"/>
  <c r="X788" i="1"/>
  <c r="X821" i="1"/>
  <c r="X822" i="1"/>
  <c r="X823" i="1"/>
  <c r="X824" i="1"/>
  <c r="X825" i="1"/>
  <c r="X826" i="1"/>
  <c r="X789" i="1"/>
  <c r="X827" i="1"/>
  <c r="X828" i="1"/>
  <c r="X790" i="1"/>
  <c r="X791" i="1"/>
  <c r="X792" i="1"/>
  <c r="X793" i="1"/>
  <c r="X794" i="1"/>
  <c r="X795" i="1"/>
  <c r="X796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6" i="1"/>
  <c r="X818" i="1"/>
  <c r="X819" i="1"/>
  <c r="X820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797" i="1"/>
  <c r="X786" i="1"/>
  <c r="X787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1" i="1"/>
  <c r="U22" i="1"/>
  <c r="U257" i="1"/>
  <c r="U23" i="1"/>
  <c r="U24" i="1"/>
  <c r="U25" i="1"/>
  <c r="U26" i="1"/>
  <c r="U27" i="1"/>
  <c r="U28" i="1"/>
  <c r="U29" i="1"/>
  <c r="U30" i="1"/>
  <c r="U161" i="1"/>
  <c r="U33" i="1"/>
  <c r="U34" i="1"/>
  <c r="U35" i="1"/>
  <c r="U36" i="1"/>
  <c r="U37" i="1"/>
  <c r="U363" i="1"/>
  <c r="U38" i="1"/>
  <c r="U39" i="1"/>
  <c r="U40" i="1"/>
  <c r="U219" i="1"/>
  <c r="U319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4" i="1"/>
  <c r="U95" i="1"/>
  <c r="U96" i="1"/>
  <c r="U97" i="1"/>
  <c r="U98" i="1"/>
  <c r="U240" i="1"/>
  <c r="U99" i="1"/>
  <c r="U100" i="1"/>
  <c r="U101" i="1"/>
  <c r="U102" i="1"/>
  <c r="U103" i="1"/>
  <c r="U104" i="1"/>
  <c r="U341" i="1"/>
  <c r="U105" i="1"/>
  <c r="U106" i="1"/>
  <c r="U107" i="1"/>
  <c r="U108" i="1"/>
  <c r="U109" i="1"/>
  <c r="U110" i="1"/>
  <c r="U111" i="1"/>
  <c r="U68" i="1"/>
  <c r="U69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237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675" i="1"/>
  <c r="U178" i="1"/>
  <c r="U179" i="1"/>
  <c r="U180" i="1"/>
  <c r="U181" i="1"/>
  <c r="U182" i="1"/>
  <c r="U183" i="1"/>
  <c r="U184" i="1"/>
  <c r="U185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691" i="1"/>
  <c r="U203" i="1"/>
  <c r="U204" i="1"/>
  <c r="U206" i="1"/>
  <c r="U207" i="1"/>
  <c r="U208" i="1"/>
  <c r="U209" i="1"/>
  <c r="U210" i="1"/>
  <c r="U211" i="1"/>
  <c r="U485" i="1"/>
  <c r="U213" i="1"/>
  <c r="U214" i="1"/>
  <c r="U215" i="1"/>
  <c r="U216" i="1"/>
  <c r="U217" i="1"/>
  <c r="U218" i="1"/>
  <c r="U220" i="1"/>
  <c r="U221" i="1"/>
  <c r="U222" i="1"/>
  <c r="U672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8" i="1"/>
  <c r="U239" i="1"/>
  <c r="U241" i="1"/>
  <c r="U242" i="1"/>
  <c r="U289" i="1"/>
  <c r="U243" i="1"/>
  <c r="U244" i="1"/>
  <c r="U245" i="1"/>
  <c r="U246" i="1"/>
  <c r="U247" i="1"/>
  <c r="U248" i="1"/>
  <c r="U249" i="1"/>
  <c r="U481" i="1"/>
  <c r="U250" i="1"/>
  <c r="U205" i="1"/>
  <c r="U251" i="1"/>
  <c r="U252" i="1"/>
  <c r="U253" i="1"/>
  <c r="U254" i="1"/>
  <c r="U255" i="1"/>
  <c r="U256" i="1"/>
  <c r="U258" i="1"/>
  <c r="U709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23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689" i="1"/>
  <c r="U338" i="1"/>
  <c r="U339" i="1"/>
  <c r="U340" i="1"/>
  <c r="U342" i="1"/>
  <c r="U343" i="1"/>
  <c r="U344" i="1"/>
  <c r="U345" i="1"/>
  <c r="U346" i="1"/>
  <c r="U699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716" i="1"/>
  <c r="U362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212" i="1"/>
  <c r="U409" i="1"/>
  <c r="U410" i="1"/>
  <c r="U411" i="1"/>
  <c r="U412" i="1"/>
  <c r="U413" i="1"/>
  <c r="U414" i="1"/>
  <c r="U415" i="1"/>
  <c r="U416" i="1"/>
  <c r="U177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186" i="1"/>
  <c r="U433" i="1"/>
  <c r="U434" i="1"/>
  <c r="U435" i="1"/>
  <c r="U436" i="1"/>
  <c r="U437" i="1"/>
  <c r="U438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93" i="1"/>
  <c r="U458" i="1"/>
  <c r="U379" i="1"/>
  <c r="U380" i="1"/>
  <c r="U460" i="1"/>
  <c r="U461" i="1"/>
  <c r="U462" i="1"/>
  <c r="U439" i="1"/>
  <c r="U463" i="1"/>
  <c r="U464" i="1"/>
  <c r="U465" i="1"/>
  <c r="U466" i="1"/>
  <c r="U467" i="1"/>
  <c r="U20" i="1"/>
  <c r="U469" i="1"/>
  <c r="U470" i="1"/>
  <c r="U472" i="1"/>
  <c r="U473" i="1"/>
  <c r="U474" i="1"/>
  <c r="U31" i="1"/>
  <c r="U476" i="1"/>
  <c r="U32" i="1"/>
  <c r="U477" i="1"/>
  <c r="U478" i="1"/>
  <c r="U479" i="1"/>
  <c r="U480" i="1"/>
  <c r="U482" i="1"/>
  <c r="U483" i="1"/>
  <c r="U471" i="1"/>
  <c r="U475" i="1"/>
  <c r="U484" i="1"/>
  <c r="U486" i="1"/>
  <c r="U489" i="1"/>
  <c r="U490" i="1"/>
  <c r="U491" i="1"/>
  <c r="U492" i="1"/>
  <c r="U493" i="1"/>
  <c r="U459" i="1"/>
  <c r="U494" i="1"/>
  <c r="U495" i="1"/>
  <c r="U496" i="1"/>
  <c r="U497" i="1"/>
  <c r="U498" i="1"/>
  <c r="U499" i="1"/>
  <c r="U500" i="1"/>
  <c r="U501" i="1"/>
  <c r="U502" i="1"/>
  <c r="U503" i="1"/>
  <c r="U504" i="1"/>
  <c r="U468" i="1"/>
  <c r="U506" i="1"/>
  <c r="U507" i="1"/>
  <c r="U510" i="1"/>
  <c r="U514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11" i="1"/>
  <c r="U550" i="1"/>
  <c r="U551" i="1"/>
  <c r="U552" i="1"/>
  <c r="U553" i="1"/>
  <c r="U512" i="1"/>
  <c r="U513" i="1"/>
  <c r="U554" i="1"/>
  <c r="U555" i="1"/>
  <c r="U556" i="1"/>
  <c r="U557" i="1"/>
  <c r="U558" i="1"/>
  <c r="U559" i="1"/>
  <c r="U560" i="1"/>
  <c r="U515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487" i="1"/>
  <c r="U488" i="1"/>
  <c r="U670" i="1"/>
  <c r="U671" i="1"/>
  <c r="U673" i="1"/>
  <c r="U674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90" i="1"/>
  <c r="U692" i="1"/>
  <c r="U693" i="1"/>
  <c r="U694" i="1"/>
  <c r="U695" i="1"/>
  <c r="U505" i="1"/>
  <c r="U696" i="1"/>
  <c r="U697" i="1"/>
  <c r="U698" i="1"/>
  <c r="U508" i="1"/>
  <c r="U700" i="1"/>
  <c r="U509" i="1"/>
  <c r="U701" i="1"/>
  <c r="U702" i="1"/>
  <c r="U703" i="1"/>
  <c r="U704" i="1"/>
  <c r="U705" i="1"/>
  <c r="U706" i="1"/>
  <c r="U707" i="1"/>
  <c r="U708" i="1"/>
  <c r="U710" i="1"/>
  <c r="U711" i="1"/>
  <c r="U712" i="1"/>
  <c r="U713" i="1"/>
  <c r="U714" i="1"/>
  <c r="U715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815" i="1"/>
  <c r="U817" i="1"/>
  <c r="U788" i="1"/>
  <c r="U821" i="1"/>
  <c r="U822" i="1"/>
  <c r="U823" i="1"/>
  <c r="U824" i="1"/>
  <c r="U825" i="1"/>
  <c r="U826" i="1"/>
  <c r="U789" i="1"/>
  <c r="U827" i="1"/>
  <c r="U828" i="1"/>
  <c r="U790" i="1"/>
  <c r="U791" i="1"/>
  <c r="U792" i="1"/>
  <c r="U793" i="1"/>
  <c r="U794" i="1"/>
  <c r="U795" i="1"/>
  <c r="U796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6" i="1"/>
  <c r="U818" i="1"/>
  <c r="U819" i="1"/>
  <c r="U820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797" i="1"/>
  <c r="V797" i="1" s="1"/>
  <c r="U786" i="1"/>
  <c r="V786" i="1" s="1"/>
  <c r="U787" i="1"/>
  <c r="V787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O797" i="1"/>
  <c r="AA797" i="1" s="1"/>
  <c r="Z797" i="1" s="1"/>
  <c r="AC797" i="1" s="1"/>
  <c r="O786" i="1"/>
  <c r="AE786" i="1" s="1"/>
  <c r="AP786" i="1" s="1"/>
  <c r="O787" i="1"/>
  <c r="AA787" i="1" s="1"/>
  <c r="Z787" i="1" s="1"/>
  <c r="AC787" i="1" s="1"/>
  <c r="O1122" i="1"/>
  <c r="AE1122" i="1" s="1"/>
  <c r="AP1122" i="1" s="1"/>
  <c r="O1123" i="1"/>
  <c r="AA1123" i="1" s="1"/>
  <c r="Z1123" i="1" s="1"/>
  <c r="AC1123" i="1" s="1"/>
  <c r="O1124" i="1"/>
  <c r="AE1124" i="1" s="1"/>
  <c r="AP1124" i="1" s="1"/>
  <c r="O1125" i="1"/>
  <c r="AA1125" i="1" s="1"/>
  <c r="Z1125" i="1" s="1"/>
  <c r="AC1125" i="1" s="1"/>
  <c r="O1126" i="1"/>
  <c r="AE1126" i="1" s="1"/>
  <c r="AP1126" i="1" s="1"/>
  <c r="O1127" i="1"/>
  <c r="AA1127" i="1" s="1"/>
  <c r="Z1127" i="1" s="1"/>
  <c r="AC1127" i="1" s="1"/>
  <c r="O1128" i="1"/>
  <c r="AE1128" i="1" s="1"/>
  <c r="AP1128" i="1" s="1"/>
  <c r="O1129" i="1"/>
  <c r="AA1129" i="1" s="1"/>
  <c r="Z1129" i="1" s="1"/>
  <c r="AC1129" i="1" s="1"/>
  <c r="O1130" i="1"/>
  <c r="AE1130" i="1" s="1"/>
  <c r="AP1130" i="1" s="1"/>
  <c r="O1131" i="1"/>
  <c r="AA1131" i="1" s="1"/>
  <c r="Z1131" i="1" s="1"/>
  <c r="AC1131" i="1" s="1"/>
  <c r="O1132" i="1"/>
  <c r="AE1132" i="1" s="1"/>
  <c r="AP1132" i="1" s="1"/>
  <c r="O1133" i="1"/>
  <c r="AA1133" i="1" s="1"/>
  <c r="Z1133" i="1" s="1"/>
  <c r="AC1133" i="1" s="1"/>
  <c r="O1134" i="1"/>
  <c r="AE1134" i="1" s="1"/>
  <c r="AP1134" i="1" s="1"/>
  <c r="O1135" i="1"/>
  <c r="AA1135" i="1" s="1"/>
  <c r="Z1135" i="1" s="1"/>
  <c r="AC1135" i="1" s="1"/>
  <c r="J797" i="1"/>
  <c r="K797" i="1"/>
  <c r="L797" i="1"/>
  <c r="J786" i="1"/>
  <c r="K786" i="1"/>
  <c r="L786" i="1"/>
  <c r="J787" i="1"/>
  <c r="K787" i="1"/>
  <c r="L787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B5" i="1"/>
  <c r="B6" i="1"/>
  <c r="B7" i="1"/>
  <c r="CS7" i="1" s="1"/>
  <c r="CT7" i="1" s="1"/>
  <c r="B8" i="1"/>
  <c r="CG8" i="1" s="1"/>
  <c r="CJ8" i="1" s="1"/>
  <c r="B9" i="1"/>
  <c r="B10" i="1"/>
  <c r="CG10" i="1" s="1"/>
  <c r="CJ10" i="1" s="1"/>
  <c r="B11" i="1"/>
  <c r="CG11" i="1" s="1"/>
  <c r="CJ11" i="1" s="1"/>
  <c r="B12" i="1"/>
  <c r="CG12" i="1" s="1"/>
  <c r="CJ12" i="1" s="1"/>
  <c r="B13" i="1"/>
  <c r="B14" i="1"/>
  <c r="CS14" i="1" s="1"/>
  <c r="CT14" i="1" s="1"/>
  <c r="B15" i="1"/>
  <c r="CS15" i="1" s="1"/>
  <c r="CT15" i="1" s="1"/>
  <c r="B16" i="1"/>
  <c r="CG16" i="1" s="1"/>
  <c r="CJ16" i="1" s="1"/>
  <c r="B17" i="1"/>
  <c r="B18" i="1"/>
  <c r="B19" i="1"/>
  <c r="CG19" i="1" s="1"/>
  <c r="CJ19" i="1" s="1"/>
  <c r="B21" i="1"/>
  <c r="B22" i="1"/>
  <c r="CG22" i="1" s="1"/>
  <c r="CJ22" i="1" s="1"/>
  <c r="B257" i="1"/>
  <c r="CG257" i="1" s="1"/>
  <c r="CJ257" i="1" s="1"/>
  <c r="B23" i="1"/>
  <c r="CG23" i="1" s="1"/>
  <c r="CJ23" i="1" s="1"/>
  <c r="B24" i="1"/>
  <c r="CG24" i="1" s="1"/>
  <c r="CJ24" i="1" s="1"/>
  <c r="B25" i="1"/>
  <c r="CS25" i="1" s="1"/>
  <c r="CT25" i="1" s="1"/>
  <c r="B26" i="1"/>
  <c r="B27" i="1"/>
  <c r="AG27" i="1" s="1"/>
  <c r="B28" i="1"/>
  <c r="B29" i="1"/>
  <c r="B30" i="1"/>
  <c r="CS30" i="1" s="1"/>
  <c r="CT30" i="1" s="1"/>
  <c r="B161" i="1"/>
  <c r="B33" i="1"/>
  <c r="B34" i="1"/>
  <c r="CS34" i="1" s="1"/>
  <c r="CT34" i="1" s="1"/>
  <c r="B35" i="1"/>
  <c r="B36" i="1"/>
  <c r="B37" i="1"/>
  <c r="CG37" i="1" s="1"/>
  <c r="CJ37" i="1" s="1"/>
  <c r="B363" i="1"/>
  <c r="B38" i="1"/>
  <c r="B39" i="1"/>
  <c r="B40" i="1"/>
  <c r="CG40" i="1" s="1"/>
  <c r="CJ40" i="1" s="1"/>
  <c r="B219" i="1"/>
  <c r="B319" i="1"/>
  <c r="B41" i="1"/>
  <c r="CS41" i="1" s="1"/>
  <c r="CT41" i="1" s="1"/>
  <c r="B42" i="1"/>
  <c r="CS42" i="1" s="1"/>
  <c r="CT42" i="1" s="1"/>
  <c r="B43" i="1"/>
  <c r="CS43" i="1" s="1"/>
  <c r="CT43" i="1" s="1"/>
  <c r="B44" i="1"/>
  <c r="B45" i="1"/>
  <c r="CS45" i="1" s="1"/>
  <c r="CT45" i="1" s="1"/>
  <c r="B46" i="1"/>
  <c r="CS46" i="1" s="1"/>
  <c r="CT46" i="1" s="1"/>
  <c r="B47" i="1"/>
  <c r="CS47" i="1" s="1"/>
  <c r="CT47" i="1" s="1"/>
  <c r="B48" i="1"/>
  <c r="B49" i="1"/>
  <c r="CS49" i="1" s="1"/>
  <c r="CT49" i="1" s="1"/>
  <c r="B50" i="1"/>
  <c r="B51" i="1"/>
  <c r="B52" i="1"/>
  <c r="CG52" i="1" s="1"/>
  <c r="CJ52" i="1" s="1"/>
  <c r="B53" i="1"/>
  <c r="CG53" i="1" s="1"/>
  <c r="CJ53" i="1" s="1"/>
  <c r="B54" i="1"/>
  <c r="B55" i="1"/>
  <c r="CG55" i="1" s="1"/>
  <c r="CJ55" i="1" s="1"/>
  <c r="B56" i="1"/>
  <c r="CG56" i="1" s="1"/>
  <c r="CJ56" i="1" s="1"/>
  <c r="B57" i="1"/>
  <c r="CG57" i="1" s="1"/>
  <c r="CJ57" i="1" s="1"/>
  <c r="B58" i="1"/>
  <c r="CG58" i="1" s="1"/>
  <c r="CJ58" i="1" s="1"/>
  <c r="B59" i="1"/>
  <c r="CS59" i="1" s="1"/>
  <c r="CT59" i="1" s="1"/>
  <c r="B60" i="1"/>
  <c r="B61" i="1"/>
  <c r="B62" i="1"/>
  <c r="B63" i="1"/>
  <c r="AG63" i="1" s="1"/>
  <c r="B64" i="1"/>
  <c r="CG64" i="1" s="1"/>
  <c r="CJ64" i="1" s="1"/>
  <c r="B65" i="1"/>
  <c r="CG65" i="1" s="1"/>
  <c r="CJ65" i="1" s="1"/>
  <c r="B66" i="1"/>
  <c r="CS66" i="1" s="1"/>
  <c r="CT66" i="1" s="1"/>
  <c r="B67" i="1"/>
  <c r="CG67" i="1" s="1"/>
  <c r="CJ67" i="1" s="1"/>
  <c r="B70" i="1"/>
  <c r="CG70" i="1" s="1"/>
  <c r="CJ70" i="1" s="1"/>
  <c r="B71" i="1"/>
  <c r="B72" i="1"/>
  <c r="CG72" i="1" s="1"/>
  <c r="CJ72" i="1" s="1"/>
  <c r="B73" i="1"/>
  <c r="CG73" i="1" s="1"/>
  <c r="CJ73" i="1" s="1"/>
  <c r="B74" i="1"/>
  <c r="CS74" i="1" s="1"/>
  <c r="CT74" i="1" s="1"/>
  <c r="B75" i="1"/>
  <c r="CG75" i="1" s="1"/>
  <c r="CJ75" i="1" s="1"/>
  <c r="B76" i="1"/>
  <c r="B77" i="1"/>
  <c r="CS77" i="1" s="1"/>
  <c r="CT77" i="1" s="1"/>
  <c r="B78" i="1"/>
  <c r="CS78" i="1" s="1"/>
  <c r="CT78" i="1" s="1"/>
  <c r="B79" i="1"/>
  <c r="CS79" i="1" s="1"/>
  <c r="CT79" i="1" s="1"/>
  <c r="B80" i="1"/>
  <c r="B81" i="1"/>
  <c r="CG81" i="1" s="1"/>
  <c r="CJ81" i="1" s="1"/>
  <c r="B82" i="1"/>
  <c r="B83" i="1"/>
  <c r="B84" i="1"/>
  <c r="B85" i="1"/>
  <c r="B86" i="1"/>
  <c r="CG86" i="1" s="1"/>
  <c r="CJ86" i="1" s="1"/>
  <c r="B87" i="1"/>
  <c r="CG87" i="1" s="1"/>
  <c r="CJ87" i="1" s="1"/>
  <c r="B88" i="1"/>
  <c r="B89" i="1"/>
  <c r="CS89" i="1" s="1"/>
  <c r="CT89" i="1" s="1"/>
  <c r="B90" i="1"/>
  <c r="B91" i="1"/>
  <c r="B92" i="1"/>
  <c r="CS92" i="1" s="1"/>
  <c r="CT92" i="1" s="1"/>
  <c r="B94" i="1"/>
  <c r="B95" i="1"/>
  <c r="CG95" i="1" s="1"/>
  <c r="CJ95" i="1" s="1"/>
  <c r="B96" i="1"/>
  <c r="B97" i="1"/>
  <c r="CG97" i="1" s="1"/>
  <c r="CJ97" i="1" s="1"/>
  <c r="B98" i="1"/>
  <c r="CG98" i="1" s="1"/>
  <c r="CJ98" i="1" s="1"/>
  <c r="B240" i="1"/>
  <c r="CG240" i="1" s="1"/>
  <c r="CJ240" i="1" s="1"/>
  <c r="B99" i="1"/>
  <c r="B100" i="1"/>
  <c r="CG100" i="1" s="1"/>
  <c r="CJ100" i="1" s="1"/>
  <c r="B101" i="1"/>
  <c r="B102" i="1"/>
  <c r="CG102" i="1" s="1"/>
  <c r="CJ102" i="1" s="1"/>
  <c r="B103" i="1"/>
  <c r="B104" i="1"/>
  <c r="CG104" i="1" s="1"/>
  <c r="CJ104" i="1" s="1"/>
  <c r="B341" i="1"/>
  <c r="CG341" i="1" s="1"/>
  <c r="CJ341" i="1" s="1"/>
  <c r="B105" i="1"/>
  <c r="CG105" i="1" s="1"/>
  <c r="CJ105" i="1" s="1"/>
  <c r="B106" i="1"/>
  <c r="B107" i="1"/>
  <c r="B108" i="1"/>
  <c r="CG108" i="1" s="1"/>
  <c r="CJ108" i="1" s="1"/>
  <c r="B109" i="1"/>
  <c r="B110" i="1"/>
  <c r="CS110" i="1" s="1"/>
  <c r="CT110" i="1" s="1"/>
  <c r="B111" i="1"/>
  <c r="CS111" i="1" s="1"/>
  <c r="CT111" i="1" s="1"/>
  <c r="B68" i="1"/>
  <c r="CG68" i="1" s="1"/>
  <c r="CJ68" i="1" s="1"/>
  <c r="B69" i="1"/>
  <c r="B112" i="1"/>
  <c r="B113" i="1"/>
  <c r="AG113" i="1" s="1"/>
  <c r="B114" i="1"/>
  <c r="CS114" i="1" s="1"/>
  <c r="CT114" i="1" s="1"/>
  <c r="B115" i="1"/>
  <c r="CS115" i="1" s="1"/>
  <c r="CT115" i="1" s="1"/>
  <c r="B116" i="1"/>
  <c r="CS116" i="1" s="1"/>
  <c r="CT116" i="1" s="1"/>
  <c r="B117" i="1"/>
  <c r="CS117" i="1" s="1"/>
  <c r="CT117" i="1" s="1"/>
  <c r="B118" i="1"/>
  <c r="B119" i="1"/>
  <c r="B120" i="1"/>
  <c r="CG120" i="1" s="1"/>
  <c r="CJ120" i="1" s="1"/>
  <c r="B121" i="1"/>
  <c r="B122" i="1"/>
  <c r="B123" i="1"/>
  <c r="B124" i="1"/>
  <c r="B125" i="1"/>
  <c r="B126" i="1"/>
  <c r="CG126" i="1" s="1"/>
  <c r="CJ126" i="1" s="1"/>
  <c r="B127" i="1"/>
  <c r="CS127" i="1" s="1"/>
  <c r="CT127" i="1" s="1"/>
  <c r="B128" i="1"/>
  <c r="CG128" i="1" s="1"/>
  <c r="CJ128" i="1" s="1"/>
  <c r="B129" i="1"/>
  <c r="B130" i="1"/>
  <c r="B131" i="1"/>
  <c r="B132" i="1"/>
  <c r="CS132" i="1" s="1"/>
  <c r="CT132" i="1" s="1"/>
  <c r="B133" i="1"/>
  <c r="B134" i="1"/>
  <c r="B135" i="1"/>
  <c r="CS135" i="1" s="1"/>
  <c r="CT135" i="1" s="1"/>
  <c r="B136" i="1"/>
  <c r="CG136" i="1" s="1"/>
  <c r="CJ136" i="1" s="1"/>
  <c r="B137" i="1"/>
  <c r="CS137" i="1" s="1"/>
  <c r="CT137" i="1" s="1"/>
  <c r="B138" i="1"/>
  <c r="B139" i="1"/>
  <c r="B140" i="1"/>
  <c r="CG140" i="1" s="1"/>
  <c r="CJ140" i="1" s="1"/>
  <c r="B237" i="1"/>
  <c r="B141" i="1"/>
  <c r="B142" i="1"/>
  <c r="CG142" i="1" s="1"/>
  <c r="CJ142" i="1" s="1"/>
  <c r="B143" i="1"/>
  <c r="CG143" i="1" s="1"/>
  <c r="CJ143" i="1" s="1"/>
  <c r="B144" i="1"/>
  <c r="CG144" i="1" s="1"/>
  <c r="CJ144" i="1" s="1"/>
  <c r="B145" i="1"/>
  <c r="CG145" i="1" s="1"/>
  <c r="CJ145" i="1" s="1"/>
  <c r="B146" i="1"/>
  <c r="CS146" i="1" s="1"/>
  <c r="CT146" i="1" s="1"/>
  <c r="B147" i="1"/>
  <c r="B148" i="1"/>
  <c r="B149" i="1"/>
  <c r="B150" i="1"/>
  <c r="B151" i="1"/>
  <c r="B152" i="1"/>
  <c r="CG152" i="1" s="1"/>
  <c r="CJ152" i="1" s="1"/>
  <c r="B153" i="1"/>
  <c r="CG153" i="1" s="1"/>
  <c r="CJ153" i="1" s="1"/>
  <c r="B154" i="1"/>
  <c r="CG154" i="1" s="1"/>
  <c r="CJ154" i="1" s="1"/>
  <c r="B155" i="1"/>
  <c r="CS155" i="1" s="1"/>
  <c r="CT155" i="1" s="1"/>
  <c r="B156" i="1"/>
  <c r="B157" i="1"/>
  <c r="CS157" i="1" s="1"/>
  <c r="CT157" i="1" s="1"/>
  <c r="B158" i="1"/>
  <c r="B159" i="1"/>
  <c r="CS159" i="1" s="1"/>
  <c r="CT159" i="1" s="1"/>
  <c r="B160" i="1"/>
  <c r="CS160" i="1" s="1"/>
  <c r="CT160" i="1" s="1"/>
  <c r="B162" i="1"/>
  <c r="B163" i="1"/>
  <c r="B164" i="1"/>
  <c r="CS164" i="1" s="1"/>
  <c r="CT164" i="1" s="1"/>
  <c r="B165" i="1"/>
  <c r="B166" i="1"/>
  <c r="CG166" i="1" s="1"/>
  <c r="CJ166" i="1" s="1"/>
  <c r="B167" i="1"/>
  <c r="B168" i="1"/>
  <c r="CG168" i="1" s="1"/>
  <c r="CJ168" i="1" s="1"/>
  <c r="B169" i="1"/>
  <c r="CG169" i="1" s="1"/>
  <c r="CJ169" i="1" s="1"/>
  <c r="B170" i="1"/>
  <c r="CG170" i="1" s="1"/>
  <c r="CJ170" i="1" s="1"/>
  <c r="B171" i="1"/>
  <c r="B172" i="1"/>
  <c r="CG172" i="1" s="1"/>
  <c r="CJ172" i="1" s="1"/>
  <c r="B173" i="1"/>
  <c r="B174" i="1"/>
  <c r="B175" i="1"/>
  <c r="CG175" i="1" s="1"/>
  <c r="CJ175" i="1" s="1"/>
  <c r="B176" i="1"/>
  <c r="B675" i="1"/>
  <c r="B178" i="1"/>
  <c r="B179" i="1"/>
  <c r="B180" i="1"/>
  <c r="B181" i="1"/>
  <c r="CG181" i="1" s="1"/>
  <c r="CJ181" i="1" s="1"/>
  <c r="B182" i="1"/>
  <c r="B183" i="1"/>
  <c r="B184" i="1"/>
  <c r="B185" i="1"/>
  <c r="B187" i="1"/>
  <c r="B188" i="1"/>
  <c r="B189" i="1"/>
  <c r="B190" i="1"/>
  <c r="CG190" i="1" s="1"/>
  <c r="CJ190" i="1" s="1"/>
  <c r="B191" i="1"/>
  <c r="CG191" i="1" s="1"/>
  <c r="CJ191" i="1" s="1"/>
  <c r="B192" i="1"/>
  <c r="CG192" i="1" s="1"/>
  <c r="CJ192" i="1" s="1"/>
  <c r="B193" i="1"/>
  <c r="CG193" i="1" s="1"/>
  <c r="CJ193" i="1" s="1"/>
  <c r="B194" i="1"/>
  <c r="CG194" i="1" s="1"/>
  <c r="CJ194" i="1" s="1"/>
  <c r="B195" i="1"/>
  <c r="CG195" i="1" s="1"/>
  <c r="CJ195" i="1" s="1"/>
  <c r="B196" i="1"/>
  <c r="CG196" i="1" s="1"/>
  <c r="CJ196" i="1" s="1"/>
  <c r="B197" i="1"/>
  <c r="CG197" i="1" s="1"/>
  <c r="CJ197" i="1" s="1"/>
  <c r="B198" i="1"/>
  <c r="CG198" i="1" s="1"/>
  <c r="CJ198" i="1" s="1"/>
  <c r="B199" i="1"/>
  <c r="CG199" i="1" s="1"/>
  <c r="CJ199" i="1" s="1"/>
  <c r="B200" i="1"/>
  <c r="B201" i="1"/>
  <c r="CG201" i="1" s="1"/>
  <c r="CJ201" i="1" s="1"/>
  <c r="B202" i="1"/>
  <c r="CG202" i="1" s="1"/>
  <c r="CJ202" i="1" s="1"/>
  <c r="B691" i="1"/>
  <c r="CG691" i="1" s="1"/>
  <c r="CJ691" i="1" s="1"/>
  <c r="B203" i="1"/>
  <c r="CG203" i="1" s="1"/>
  <c r="CJ203" i="1" s="1"/>
  <c r="B204" i="1"/>
  <c r="CG204" i="1" s="1"/>
  <c r="CJ204" i="1" s="1"/>
  <c r="B206" i="1"/>
  <c r="CG206" i="1" s="1"/>
  <c r="CJ206" i="1" s="1"/>
  <c r="B207" i="1"/>
  <c r="CG207" i="1" s="1"/>
  <c r="CJ207" i="1" s="1"/>
  <c r="B208" i="1"/>
  <c r="CG208" i="1" s="1"/>
  <c r="CJ208" i="1" s="1"/>
  <c r="B209" i="1"/>
  <c r="B210" i="1"/>
  <c r="B211" i="1"/>
  <c r="B485" i="1"/>
  <c r="B213" i="1"/>
  <c r="CG213" i="1" s="1"/>
  <c r="CJ213" i="1" s="1"/>
  <c r="B214" i="1"/>
  <c r="CG214" i="1" s="1"/>
  <c r="CJ214" i="1" s="1"/>
  <c r="B215" i="1"/>
  <c r="B216" i="1"/>
  <c r="CG216" i="1" s="1"/>
  <c r="CJ216" i="1" s="1"/>
  <c r="B217" i="1"/>
  <c r="B218" i="1"/>
  <c r="CG218" i="1" s="1"/>
  <c r="CJ218" i="1" s="1"/>
  <c r="B220" i="1"/>
  <c r="B221" i="1"/>
  <c r="CG221" i="1" s="1"/>
  <c r="CJ221" i="1" s="1"/>
  <c r="B222" i="1"/>
  <c r="B672" i="1"/>
  <c r="CS672" i="1" s="1"/>
  <c r="CT672" i="1" s="1"/>
  <c r="B224" i="1"/>
  <c r="B225" i="1"/>
  <c r="B226" i="1"/>
  <c r="B227" i="1"/>
  <c r="B228" i="1"/>
  <c r="B229" i="1"/>
  <c r="B230" i="1"/>
  <c r="B231" i="1"/>
  <c r="B232" i="1"/>
  <c r="B233" i="1"/>
  <c r="B234" i="1"/>
  <c r="B235" i="1"/>
  <c r="CG235" i="1" s="1"/>
  <c r="CJ235" i="1" s="1"/>
  <c r="B236" i="1"/>
  <c r="CG236" i="1" s="1"/>
  <c r="CJ236" i="1" s="1"/>
  <c r="B238" i="1"/>
  <c r="B239" i="1"/>
  <c r="CG239" i="1" s="1"/>
  <c r="CJ239" i="1" s="1"/>
  <c r="B241" i="1"/>
  <c r="CG241" i="1" s="1"/>
  <c r="CJ241" i="1" s="1"/>
  <c r="B242" i="1"/>
  <c r="CG242" i="1" s="1"/>
  <c r="CJ242" i="1" s="1"/>
  <c r="B289" i="1"/>
  <c r="CG289" i="1" s="1"/>
  <c r="CJ289" i="1" s="1"/>
  <c r="B243" i="1"/>
  <c r="CG243" i="1" s="1"/>
  <c r="CJ243" i="1" s="1"/>
  <c r="B244" i="1"/>
  <c r="CG244" i="1" s="1"/>
  <c r="CJ244" i="1" s="1"/>
  <c r="B245" i="1"/>
  <c r="CG245" i="1" s="1"/>
  <c r="CJ245" i="1" s="1"/>
  <c r="B246" i="1"/>
  <c r="CG246" i="1" s="1"/>
  <c r="CJ246" i="1" s="1"/>
  <c r="B247" i="1"/>
  <c r="CG247" i="1" s="1"/>
  <c r="CJ247" i="1" s="1"/>
  <c r="B248" i="1"/>
  <c r="CG248" i="1" s="1"/>
  <c r="CJ248" i="1" s="1"/>
  <c r="B249" i="1"/>
  <c r="CG249" i="1" s="1"/>
  <c r="CJ249" i="1" s="1"/>
  <c r="B481" i="1"/>
  <c r="CG481" i="1" s="1"/>
  <c r="CJ481" i="1" s="1"/>
  <c r="B250" i="1"/>
  <c r="CG250" i="1" s="1"/>
  <c r="CJ250" i="1" s="1"/>
  <c r="B205" i="1"/>
  <c r="CG205" i="1" s="1"/>
  <c r="CJ205" i="1" s="1"/>
  <c r="B251" i="1"/>
  <c r="B252" i="1"/>
  <c r="B253" i="1"/>
  <c r="CG253" i="1" s="1"/>
  <c r="CJ253" i="1" s="1"/>
  <c r="B254" i="1"/>
  <c r="CG254" i="1" s="1"/>
  <c r="CJ254" i="1" s="1"/>
  <c r="B255" i="1"/>
  <c r="CG255" i="1" s="1"/>
  <c r="CJ255" i="1" s="1"/>
  <c r="B256" i="1"/>
  <c r="CG256" i="1" s="1"/>
  <c r="CJ256" i="1" s="1"/>
  <c r="B258" i="1"/>
  <c r="CG258" i="1" s="1"/>
  <c r="CJ258" i="1" s="1"/>
  <c r="B709" i="1"/>
  <c r="B259" i="1"/>
  <c r="CG259" i="1" s="1"/>
  <c r="CJ259" i="1" s="1"/>
  <c r="B260" i="1"/>
  <c r="CG260" i="1" s="1"/>
  <c r="CJ260" i="1" s="1"/>
  <c r="B261" i="1"/>
  <c r="CG261" i="1" s="1"/>
  <c r="CJ261" i="1" s="1"/>
  <c r="B262" i="1"/>
  <c r="CG262" i="1" s="1"/>
  <c r="CJ262" i="1" s="1"/>
  <c r="B263" i="1"/>
  <c r="CG263" i="1" s="1"/>
  <c r="CJ263" i="1" s="1"/>
  <c r="B264" i="1"/>
  <c r="B265" i="1"/>
  <c r="B266" i="1"/>
  <c r="B267" i="1"/>
  <c r="B268" i="1"/>
  <c r="B269" i="1"/>
  <c r="B270" i="1"/>
  <c r="B271" i="1"/>
  <c r="CG271" i="1" s="1"/>
  <c r="CJ271" i="1" s="1"/>
  <c r="B223" i="1"/>
  <c r="B272" i="1"/>
  <c r="CG272" i="1" s="1"/>
  <c r="CJ272" i="1" s="1"/>
  <c r="B273" i="1"/>
  <c r="B274" i="1"/>
  <c r="B275" i="1"/>
  <c r="B276" i="1"/>
  <c r="B277" i="1"/>
  <c r="B278" i="1"/>
  <c r="B279" i="1"/>
  <c r="B280" i="1"/>
  <c r="B281" i="1"/>
  <c r="CG281" i="1" s="1"/>
  <c r="CJ281" i="1" s="1"/>
  <c r="B282" i="1"/>
  <c r="B283" i="1"/>
  <c r="B284" i="1"/>
  <c r="B285" i="1"/>
  <c r="CG285" i="1" s="1"/>
  <c r="CJ285" i="1" s="1"/>
  <c r="B286" i="1"/>
  <c r="CG286" i="1" s="1"/>
  <c r="CJ286" i="1" s="1"/>
  <c r="B287" i="1"/>
  <c r="CG287" i="1" s="1"/>
  <c r="CJ287" i="1" s="1"/>
  <c r="B288" i="1"/>
  <c r="CG288" i="1" s="1"/>
  <c r="CJ288" i="1" s="1"/>
  <c r="B290" i="1"/>
  <c r="B291" i="1"/>
  <c r="CG291" i="1" s="1"/>
  <c r="CJ291" i="1" s="1"/>
  <c r="B292" i="1"/>
  <c r="CG292" i="1" s="1"/>
  <c r="CJ292" i="1" s="1"/>
  <c r="B293" i="1"/>
  <c r="B294" i="1"/>
  <c r="CG294" i="1" s="1"/>
  <c r="CJ294" i="1" s="1"/>
  <c r="B295" i="1"/>
  <c r="CG295" i="1" s="1"/>
  <c r="CJ295" i="1" s="1"/>
  <c r="B296" i="1"/>
  <c r="CG296" i="1" s="1"/>
  <c r="CJ296" i="1" s="1"/>
  <c r="B297" i="1"/>
  <c r="CG297" i="1" s="1"/>
  <c r="CJ297" i="1" s="1"/>
  <c r="B298" i="1"/>
  <c r="CG298" i="1" s="1"/>
  <c r="CJ298" i="1" s="1"/>
  <c r="B299" i="1"/>
  <c r="CG299" i="1" s="1"/>
  <c r="CJ299" i="1" s="1"/>
  <c r="B300" i="1"/>
  <c r="B301" i="1"/>
  <c r="CG301" i="1" s="1"/>
  <c r="CJ301" i="1" s="1"/>
  <c r="B302" i="1"/>
  <c r="CG302" i="1" s="1"/>
  <c r="CJ302" i="1" s="1"/>
  <c r="B303" i="1"/>
  <c r="CG303" i="1" s="1"/>
  <c r="CJ303" i="1" s="1"/>
  <c r="B304" i="1"/>
  <c r="CG304" i="1" s="1"/>
  <c r="CJ304" i="1" s="1"/>
  <c r="B305" i="1"/>
  <c r="CG305" i="1" s="1"/>
  <c r="CJ305" i="1" s="1"/>
  <c r="B306" i="1"/>
  <c r="CG306" i="1" s="1"/>
  <c r="CJ306" i="1" s="1"/>
  <c r="B307" i="1"/>
  <c r="CG307" i="1" s="1"/>
  <c r="CJ307" i="1" s="1"/>
  <c r="B308" i="1"/>
  <c r="B309" i="1"/>
  <c r="CG309" i="1" s="1"/>
  <c r="CJ309" i="1" s="1"/>
  <c r="B310" i="1"/>
  <c r="CG310" i="1" s="1"/>
  <c r="CJ310" i="1" s="1"/>
  <c r="B311" i="1"/>
  <c r="B312" i="1"/>
  <c r="CG312" i="1" s="1"/>
  <c r="CJ312" i="1" s="1"/>
  <c r="B313" i="1"/>
  <c r="CG313" i="1" s="1"/>
  <c r="CJ313" i="1" s="1"/>
  <c r="B314" i="1"/>
  <c r="CG314" i="1" s="1"/>
  <c r="CJ314" i="1" s="1"/>
  <c r="B315" i="1"/>
  <c r="CG315" i="1" s="1"/>
  <c r="CJ315" i="1" s="1"/>
  <c r="B316" i="1"/>
  <c r="B317" i="1"/>
  <c r="B318" i="1"/>
  <c r="CG318" i="1" s="1"/>
  <c r="CJ318" i="1" s="1"/>
  <c r="B320" i="1"/>
  <c r="B321" i="1"/>
  <c r="B322" i="1"/>
  <c r="B323" i="1"/>
  <c r="CG323" i="1" s="1"/>
  <c r="CJ323" i="1" s="1"/>
  <c r="B324" i="1"/>
  <c r="B325" i="1"/>
  <c r="B326" i="1"/>
  <c r="B327" i="1"/>
  <c r="CG327" i="1" s="1"/>
  <c r="CJ327" i="1" s="1"/>
  <c r="B328" i="1"/>
  <c r="B329" i="1"/>
  <c r="CG329" i="1" s="1"/>
  <c r="CJ329" i="1" s="1"/>
  <c r="B330" i="1"/>
  <c r="B331" i="1"/>
  <c r="B332" i="1"/>
  <c r="CG332" i="1" s="1"/>
  <c r="CJ332" i="1" s="1"/>
  <c r="B333" i="1"/>
  <c r="CG333" i="1" s="1"/>
  <c r="CJ333" i="1" s="1"/>
  <c r="B334" i="1"/>
  <c r="CG334" i="1" s="1"/>
  <c r="CJ334" i="1" s="1"/>
  <c r="B335" i="1"/>
  <c r="B336" i="1"/>
  <c r="CG336" i="1" s="1"/>
  <c r="CJ336" i="1" s="1"/>
  <c r="B337" i="1"/>
  <c r="B689" i="1"/>
  <c r="CG689" i="1" s="1"/>
  <c r="CJ689" i="1" s="1"/>
  <c r="B338" i="1"/>
  <c r="B339" i="1"/>
  <c r="CG339" i="1" s="1"/>
  <c r="CJ339" i="1" s="1"/>
  <c r="B340" i="1"/>
  <c r="CG340" i="1" s="1"/>
  <c r="CJ340" i="1" s="1"/>
  <c r="B342" i="1"/>
  <c r="CG342" i="1" s="1"/>
  <c r="CJ342" i="1" s="1"/>
  <c r="B343" i="1"/>
  <c r="B344" i="1"/>
  <c r="CG344" i="1" s="1"/>
  <c r="CJ344" i="1" s="1"/>
  <c r="B345" i="1"/>
  <c r="CG345" i="1" s="1"/>
  <c r="CJ345" i="1" s="1"/>
  <c r="B346" i="1"/>
  <c r="CG346" i="1" s="1"/>
  <c r="CJ346" i="1" s="1"/>
  <c r="B699" i="1"/>
  <c r="CS699" i="1" s="1"/>
  <c r="CT699" i="1" s="1"/>
  <c r="B347" i="1"/>
  <c r="CG347" i="1" s="1"/>
  <c r="CJ347" i="1" s="1"/>
  <c r="B348" i="1"/>
  <c r="CG348" i="1" s="1"/>
  <c r="CJ348" i="1" s="1"/>
  <c r="B349" i="1"/>
  <c r="CG349" i="1" s="1"/>
  <c r="CJ349" i="1" s="1"/>
  <c r="B350" i="1"/>
  <c r="CG350" i="1" s="1"/>
  <c r="CJ350" i="1" s="1"/>
  <c r="B351" i="1"/>
  <c r="CG351" i="1" s="1"/>
  <c r="CJ351" i="1" s="1"/>
  <c r="B352" i="1"/>
  <c r="CG352" i="1" s="1"/>
  <c r="CJ352" i="1" s="1"/>
  <c r="B353" i="1"/>
  <c r="B354" i="1"/>
  <c r="B355" i="1"/>
  <c r="CG355" i="1" s="1"/>
  <c r="CJ355" i="1" s="1"/>
  <c r="B356" i="1"/>
  <c r="B357" i="1"/>
  <c r="CG357" i="1" s="1"/>
  <c r="CJ357" i="1" s="1"/>
  <c r="B358" i="1"/>
  <c r="B359" i="1"/>
  <c r="CG359" i="1" s="1"/>
  <c r="CJ359" i="1" s="1"/>
  <c r="B360" i="1"/>
  <c r="CG360" i="1" s="1"/>
  <c r="CJ360" i="1" s="1"/>
  <c r="B361" i="1"/>
  <c r="CG361" i="1" s="1"/>
  <c r="CJ361" i="1" s="1"/>
  <c r="B716" i="1"/>
  <c r="CG716" i="1" s="1"/>
  <c r="CJ716" i="1" s="1"/>
  <c r="B362" i="1"/>
  <c r="B364" i="1"/>
  <c r="B365" i="1"/>
  <c r="B366" i="1"/>
  <c r="CS366" i="1" s="1"/>
  <c r="CT366" i="1" s="1"/>
  <c r="B367" i="1"/>
  <c r="CS367" i="1" s="1"/>
  <c r="CT367" i="1" s="1"/>
  <c r="B368" i="1"/>
  <c r="CS368" i="1" s="1"/>
  <c r="CT368" i="1" s="1"/>
  <c r="B369" i="1"/>
  <c r="B370" i="1"/>
  <c r="CG370" i="1" s="1"/>
  <c r="CJ370" i="1" s="1"/>
  <c r="B371" i="1"/>
  <c r="B372" i="1"/>
  <c r="B373" i="1"/>
  <c r="B374" i="1"/>
  <c r="CG374" i="1" s="1"/>
  <c r="CJ374" i="1" s="1"/>
  <c r="B375" i="1"/>
  <c r="B376" i="1"/>
  <c r="CS376" i="1" s="1"/>
  <c r="CT376" i="1" s="1"/>
  <c r="B377" i="1"/>
  <c r="B378" i="1"/>
  <c r="CG378" i="1" s="1"/>
  <c r="CJ378" i="1" s="1"/>
  <c r="B381" i="1"/>
  <c r="B382" i="1"/>
  <c r="CS382" i="1" s="1"/>
  <c r="CT382" i="1" s="1"/>
  <c r="B383" i="1"/>
  <c r="B384" i="1"/>
  <c r="CS384" i="1" s="1"/>
  <c r="CT384" i="1" s="1"/>
  <c r="B385" i="1"/>
  <c r="B386" i="1"/>
  <c r="B387" i="1"/>
  <c r="CS387" i="1" s="1"/>
  <c r="CT387" i="1" s="1"/>
  <c r="B388" i="1"/>
  <c r="CS388" i="1" s="1"/>
  <c r="CT388" i="1" s="1"/>
  <c r="B389" i="1"/>
  <c r="B390" i="1"/>
  <c r="CS390" i="1" s="1"/>
  <c r="CT390" i="1" s="1"/>
  <c r="B391" i="1"/>
  <c r="AG391" i="1" s="1"/>
  <c r="B392" i="1"/>
  <c r="CS392" i="1" s="1"/>
  <c r="CT392" i="1" s="1"/>
  <c r="B393" i="1"/>
  <c r="CS393" i="1" s="1"/>
  <c r="CT393" i="1" s="1"/>
  <c r="B394" i="1"/>
  <c r="B395" i="1"/>
  <c r="B396" i="1"/>
  <c r="B397" i="1"/>
  <c r="B398" i="1"/>
  <c r="B399" i="1"/>
  <c r="AG399" i="1" s="1"/>
  <c r="B400" i="1"/>
  <c r="B401" i="1"/>
  <c r="B402" i="1"/>
  <c r="B403" i="1"/>
  <c r="B404" i="1"/>
  <c r="B405" i="1"/>
  <c r="B406" i="1"/>
  <c r="B407" i="1"/>
  <c r="B408" i="1"/>
  <c r="B212" i="1"/>
  <c r="B409" i="1"/>
  <c r="CS409" i="1" s="1"/>
  <c r="CT409" i="1" s="1"/>
  <c r="B410" i="1"/>
  <c r="CS410" i="1" s="1"/>
  <c r="CT410" i="1" s="1"/>
  <c r="B411" i="1"/>
  <c r="CG411" i="1" s="1"/>
  <c r="CJ411" i="1" s="1"/>
  <c r="B412" i="1"/>
  <c r="B413" i="1"/>
  <c r="B414" i="1"/>
  <c r="CS414" i="1" s="1"/>
  <c r="CT414" i="1" s="1"/>
  <c r="B415" i="1"/>
  <c r="AG415" i="1" s="1"/>
  <c r="B416" i="1"/>
  <c r="AG416" i="1" s="1"/>
  <c r="B177" i="1"/>
  <c r="B417" i="1"/>
  <c r="CS417" i="1" s="1"/>
  <c r="CT417" i="1" s="1"/>
  <c r="B418" i="1"/>
  <c r="B419" i="1"/>
  <c r="B420" i="1"/>
  <c r="B421" i="1"/>
  <c r="CS421" i="1" s="1"/>
  <c r="CT421" i="1" s="1"/>
  <c r="B422" i="1"/>
  <c r="B423" i="1"/>
  <c r="B424" i="1"/>
  <c r="CS424" i="1" s="1"/>
  <c r="CT424" i="1" s="1"/>
  <c r="B425" i="1"/>
  <c r="B426" i="1"/>
  <c r="B427" i="1"/>
  <c r="CG427" i="1" s="1"/>
  <c r="CJ427" i="1" s="1"/>
  <c r="B428" i="1"/>
  <c r="CS428" i="1" s="1"/>
  <c r="CT428" i="1" s="1"/>
  <c r="B429" i="1"/>
  <c r="CS429" i="1" s="1"/>
  <c r="CT429" i="1" s="1"/>
  <c r="B430" i="1"/>
  <c r="B431" i="1"/>
  <c r="B432" i="1"/>
  <c r="B186" i="1"/>
  <c r="CG186" i="1" s="1"/>
  <c r="CJ186" i="1" s="1"/>
  <c r="B433" i="1"/>
  <c r="B434" i="1"/>
  <c r="AG434" i="1" s="1"/>
  <c r="B435" i="1"/>
  <c r="CS435" i="1" s="1"/>
  <c r="CT435" i="1" s="1"/>
  <c r="B436" i="1"/>
  <c r="CS436" i="1" s="1"/>
  <c r="CT436" i="1" s="1"/>
  <c r="B437" i="1"/>
  <c r="CS437" i="1" s="1"/>
  <c r="CT437" i="1" s="1"/>
  <c r="B438" i="1"/>
  <c r="CS438" i="1" s="1"/>
  <c r="CT438" i="1" s="1"/>
  <c r="B440" i="1"/>
  <c r="CG440" i="1" s="1"/>
  <c r="CJ440" i="1" s="1"/>
  <c r="B441" i="1"/>
  <c r="B442" i="1"/>
  <c r="CS442" i="1" s="1"/>
  <c r="CT442" i="1" s="1"/>
  <c r="B443" i="1"/>
  <c r="B444" i="1"/>
  <c r="CS444" i="1" s="1"/>
  <c r="CT444" i="1" s="1"/>
  <c r="B445" i="1"/>
  <c r="CS445" i="1" s="1"/>
  <c r="CT445" i="1" s="1"/>
  <c r="B446" i="1"/>
  <c r="B447" i="1"/>
  <c r="CS447" i="1" s="1"/>
  <c r="CT447" i="1" s="1"/>
  <c r="B448" i="1"/>
  <c r="B449" i="1"/>
  <c r="B450" i="1"/>
  <c r="B451" i="1"/>
  <c r="CS451" i="1" s="1"/>
  <c r="CT451" i="1" s="1"/>
  <c r="B452" i="1"/>
  <c r="CS452" i="1" s="1"/>
  <c r="CT452" i="1" s="1"/>
  <c r="B453" i="1"/>
  <c r="B454" i="1"/>
  <c r="B455" i="1"/>
  <c r="CG455" i="1" s="1"/>
  <c r="CJ455" i="1" s="1"/>
  <c r="B456" i="1"/>
  <c r="CS456" i="1" s="1"/>
  <c r="CT456" i="1" s="1"/>
  <c r="B457" i="1"/>
  <c r="CS457" i="1" s="1"/>
  <c r="CT457" i="1" s="1"/>
  <c r="B93" i="1"/>
  <c r="CS93" i="1" s="1"/>
  <c r="CT93" i="1" s="1"/>
  <c r="B458" i="1"/>
  <c r="CS458" i="1" s="1"/>
  <c r="CT458" i="1" s="1"/>
  <c r="B379" i="1"/>
  <c r="CS379" i="1" s="1"/>
  <c r="CT379" i="1" s="1"/>
  <c r="B380" i="1"/>
  <c r="CS380" i="1" s="1"/>
  <c r="CT380" i="1" s="1"/>
  <c r="B460" i="1"/>
  <c r="CS460" i="1" s="1"/>
  <c r="CT460" i="1" s="1"/>
  <c r="B461" i="1"/>
  <c r="B462" i="1"/>
  <c r="B439" i="1"/>
  <c r="CS439" i="1" s="1"/>
  <c r="CT439" i="1" s="1"/>
  <c r="B463" i="1"/>
  <c r="B464" i="1"/>
  <c r="CG464" i="1" s="1"/>
  <c r="CJ464" i="1" s="1"/>
  <c r="B465" i="1"/>
  <c r="CS465" i="1" s="1"/>
  <c r="CT465" i="1" s="1"/>
  <c r="B466" i="1"/>
  <c r="CS466" i="1" s="1"/>
  <c r="CT466" i="1" s="1"/>
  <c r="B467" i="1"/>
  <c r="CS467" i="1" s="1"/>
  <c r="CT467" i="1" s="1"/>
  <c r="B20" i="1"/>
  <c r="B469" i="1"/>
  <c r="CS469" i="1" s="1"/>
  <c r="CT469" i="1" s="1"/>
  <c r="B470" i="1"/>
  <c r="CG470" i="1" s="1"/>
  <c r="CJ470" i="1" s="1"/>
  <c r="B472" i="1"/>
  <c r="B473" i="1"/>
  <c r="CS473" i="1" s="1"/>
  <c r="CT473" i="1" s="1"/>
  <c r="B474" i="1"/>
  <c r="CS474" i="1" s="1"/>
  <c r="CT474" i="1" s="1"/>
  <c r="B31" i="1"/>
  <c r="CS31" i="1" s="1"/>
  <c r="CT31" i="1" s="1"/>
  <c r="B476" i="1"/>
  <c r="CS476" i="1" s="1"/>
  <c r="CT476" i="1" s="1"/>
  <c r="B32" i="1"/>
  <c r="CS32" i="1" s="1"/>
  <c r="CT32" i="1" s="1"/>
  <c r="B477" i="1"/>
  <c r="CS477" i="1" s="1"/>
  <c r="CT477" i="1" s="1"/>
  <c r="B478" i="1"/>
  <c r="CS478" i="1" s="1"/>
  <c r="CT478" i="1" s="1"/>
  <c r="B479" i="1"/>
  <c r="B480" i="1"/>
  <c r="CS480" i="1" s="1"/>
  <c r="CT480" i="1" s="1"/>
  <c r="B482" i="1"/>
  <c r="CG482" i="1" s="1"/>
  <c r="CJ482" i="1" s="1"/>
  <c r="B483" i="1"/>
  <c r="CG483" i="1" s="1"/>
  <c r="CJ483" i="1" s="1"/>
  <c r="B471" i="1"/>
  <c r="CG471" i="1" s="1"/>
  <c r="CJ471" i="1" s="1"/>
  <c r="B475" i="1"/>
  <c r="CS475" i="1" s="1"/>
  <c r="CT475" i="1" s="1"/>
  <c r="B484" i="1"/>
  <c r="CS484" i="1" s="1"/>
  <c r="CT484" i="1" s="1"/>
  <c r="B486" i="1"/>
  <c r="CS486" i="1" s="1"/>
  <c r="CT486" i="1" s="1"/>
  <c r="B489" i="1"/>
  <c r="CS489" i="1" s="1"/>
  <c r="CT489" i="1" s="1"/>
  <c r="B490" i="1"/>
  <c r="CS490" i="1" s="1"/>
  <c r="CT490" i="1" s="1"/>
  <c r="B491" i="1"/>
  <c r="CS491" i="1" s="1"/>
  <c r="CT491" i="1" s="1"/>
  <c r="B492" i="1"/>
  <c r="CS492" i="1" s="1"/>
  <c r="CT492" i="1" s="1"/>
  <c r="B493" i="1"/>
  <c r="CS493" i="1" s="1"/>
  <c r="CT493" i="1" s="1"/>
  <c r="B459" i="1"/>
  <c r="CS459" i="1" s="1"/>
  <c r="CT459" i="1" s="1"/>
  <c r="B494" i="1"/>
  <c r="CS494" i="1" s="1"/>
  <c r="CT494" i="1" s="1"/>
  <c r="B495" i="1"/>
  <c r="CS495" i="1" s="1"/>
  <c r="CT495" i="1" s="1"/>
  <c r="B496" i="1"/>
  <c r="B497" i="1"/>
  <c r="B498" i="1"/>
  <c r="B499" i="1"/>
  <c r="CS499" i="1" s="1"/>
  <c r="CT499" i="1" s="1"/>
  <c r="B500" i="1"/>
  <c r="B501" i="1"/>
  <c r="B502" i="1"/>
  <c r="CS502" i="1" s="1"/>
  <c r="CT502" i="1" s="1"/>
  <c r="B503" i="1"/>
  <c r="B504" i="1"/>
  <c r="CS504" i="1" s="1"/>
  <c r="CT504" i="1" s="1"/>
  <c r="B468" i="1"/>
  <c r="CS468" i="1" s="1"/>
  <c r="CT468" i="1" s="1"/>
  <c r="B506" i="1"/>
  <c r="B507" i="1"/>
  <c r="B510" i="1"/>
  <c r="B514" i="1"/>
  <c r="CS514" i="1" s="1"/>
  <c r="CT514" i="1" s="1"/>
  <c r="B516" i="1"/>
  <c r="CS516" i="1" s="1"/>
  <c r="CT516" i="1" s="1"/>
  <c r="B517" i="1"/>
  <c r="CS517" i="1" s="1"/>
  <c r="CT517" i="1" s="1"/>
  <c r="B518" i="1"/>
  <c r="CS518" i="1" s="1"/>
  <c r="CT518" i="1" s="1"/>
  <c r="B519" i="1"/>
  <c r="CS519" i="1" s="1"/>
  <c r="CT519" i="1" s="1"/>
  <c r="B520" i="1"/>
  <c r="CS520" i="1" s="1"/>
  <c r="CT520" i="1" s="1"/>
  <c r="B521" i="1"/>
  <c r="B522" i="1"/>
  <c r="CG522" i="1" s="1"/>
  <c r="CJ522" i="1" s="1"/>
  <c r="B523" i="1"/>
  <c r="CG523" i="1" s="1"/>
  <c r="CJ523" i="1" s="1"/>
  <c r="B524" i="1"/>
  <c r="B525" i="1"/>
  <c r="B526" i="1"/>
  <c r="CG526" i="1" s="1"/>
  <c r="CJ526" i="1" s="1"/>
  <c r="B527" i="1"/>
  <c r="CG527" i="1" s="1"/>
  <c r="CJ527" i="1" s="1"/>
  <c r="B528" i="1"/>
  <c r="B529" i="1"/>
  <c r="B530" i="1"/>
  <c r="B531" i="1"/>
  <c r="CG531" i="1" s="1"/>
  <c r="CJ531" i="1" s="1"/>
  <c r="B532" i="1"/>
  <c r="CG532" i="1" s="1"/>
  <c r="CJ532" i="1" s="1"/>
  <c r="B533" i="1"/>
  <c r="CG533" i="1" s="1"/>
  <c r="CJ533" i="1" s="1"/>
  <c r="B534" i="1"/>
  <c r="CG534" i="1" s="1"/>
  <c r="CJ534" i="1" s="1"/>
  <c r="B535" i="1"/>
  <c r="CG535" i="1" s="1"/>
  <c r="CJ535" i="1" s="1"/>
  <c r="B536" i="1"/>
  <c r="CG536" i="1" s="1"/>
  <c r="CJ536" i="1" s="1"/>
  <c r="B537" i="1"/>
  <c r="B538" i="1"/>
  <c r="B539" i="1"/>
  <c r="B540" i="1"/>
  <c r="CG540" i="1" s="1"/>
  <c r="CJ540" i="1" s="1"/>
  <c r="B541" i="1"/>
  <c r="CG541" i="1" s="1"/>
  <c r="CJ541" i="1" s="1"/>
  <c r="B542" i="1"/>
  <c r="CG542" i="1" s="1"/>
  <c r="CJ542" i="1" s="1"/>
  <c r="B543" i="1"/>
  <c r="CG543" i="1" s="1"/>
  <c r="CJ543" i="1" s="1"/>
  <c r="B544" i="1"/>
  <c r="B545" i="1"/>
  <c r="B546" i="1"/>
  <c r="CS546" i="1" s="1"/>
  <c r="CT546" i="1" s="1"/>
  <c r="B547" i="1"/>
  <c r="CS547" i="1" s="1"/>
  <c r="CT547" i="1" s="1"/>
  <c r="B548" i="1"/>
  <c r="CS548" i="1" s="1"/>
  <c r="CT548" i="1" s="1"/>
  <c r="B549" i="1"/>
  <c r="B511" i="1"/>
  <c r="CS511" i="1" s="1"/>
  <c r="CT511" i="1" s="1"/>
  <c r="B550" i="1"/>
  <c r="CS550" i="1" s="1"/>
  <c r="CT550" i="1" s="1"/>
  <c r="B551" i="1"/>
  <c r="CS551" i="1" s="1"/>
  <c r="CT551" i="1" s="1"/>
  <c r="B552" i="1"/>
  <c r="CS552" i="1" s="1"/>
  <c r="CT552" i="1" s="1"/>
  <c r="B553" i="1"/>
  <c r="CS553" i="1" s="1"/>
  <c r="CT553" i="1" s="1"/>
  <c r="B512" i="1"/>
  <c r="CS512" i="1" s="1"/>
  <c r="CT512" i="1" s="1"/>
  <c r="B513" i="1"/>
  <c r="CS513" i="1" s="1"/>
  <c r="CT513" i="1" s="1"/>
  <c r="B554" i="1"/>
  <c r="B555" i="1"/>
  <c r="CS555" i="1" s="1"/>
  <c r="CT555" i="1" s="1"/>
  <c r="B556" i="1"/>
  <c r="B557" i="1"/>
  <c r="CS557" i="1" s="1"/>
  <c r="CT557" i="1" s="1"/>
  <c r="B558" i="1"/>
  <c r="CS558" i="1" s="1"/>
  <c r="CT558" i="1" s="1"/>
  <c r="B559" i="1"/>
  <c r="B560" i="1"/>
  <c r="CS560" i="1" s="1"/>
  <c r="CT560" i="1" s="1"/>
  <c r="B515" i="1"/>
  <c r="CS515" i="1" s="1"/>
  <c r="CT515" i="1" s="1"/>
  <c r="B561" i="1"/>
  <c r="B562" i="1"/>
  <c r="B563" i="1"/>
  <c r="B564" i="1"/>
  <c r="CS564" i="1" s="1"/>
  <c r="CT564" i="1" s="1"/>
  <c r="B565" i="1"/>
  <c r="B566" i="1"/>
  <c r="CS566" i="1" s="1"/>
  <c r="CT566" i="1" s="1"/>
  <c r="B567" i="1"/>
  <c r="B568" i="1"/>
  <c r="CG568" i="1" s="1"/>
  <c r="CJ568" i="1" s="1"/>
  <c r="B569" i="1"/>
  <c r="B570" i="1"/>
  <c r="CS570" i="1" s="1"/>
  <c r="CT570" i="1" s="1"/>
  <c r="B571" i="1"/>
  <c r="CS571" i="1" s="1"/>
  <c r="CT571" i="1" s="1"/>
  <c r="B572" i="1"/>
  <c r="B573" i="1"/>
  <c r="CS573" i="1" s="1"/>
  <c r="CT573" i="1" s="1"/>
  <c r="B574" i="1"/>
  <c r="B575" i="1"/>
  <c r="B576" i="1"/>
  <c r="B577" i="1"/>
  <c r="B578" i="1"/>
  <c r="B579" i="1"/>
  <c r="CS579" i="1" s="1"/>
  <c r="CT579" i="1" s="1"/>
  <c r="B580" i="1"/>
  <c r="B581" i="1"/>
  <c r="B582" i="1"/>
  <c r="CS582" i="1" s="1"/>
  <c r="CT582" i="1" s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CG605" i="1" s="1"/>
  <c r="CJ605" i="1" s="1"/>
  <c r="B606" i="1"/>
  <c r="B607" i="1"/>
  <c r="B608" i="1"/>
  <c r="CG608" i="1" s="1"/>
  <c r="CJ608" i="1" s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CG625" i="1" s="1"/>
  <c r="CJ625" i="1" s="1"/>
  <c r="B626" i="1"/>
  <c r="B627" i="1"/>
  <c r="B628" i="1"/>
  <c r="B629" i="1"/>
  <c r="B630" i="1"/>
  <c r="B631" i="1"/>
  <c r="B632" i="1"/>
  <c r="B633" i="1"/>
  <c r="CG633" i="1" s="1"/>
  <c r="CJ633" i="1" s="1"/>
  <c r="B634" i="1"/>
  <c r="B635" i="1"/>
  <c r="B636" i="1"/>
  <c r="B637" i="1"/>
  <c r="B638" i="1"/>
  <c r="B639" i="1"/>
  <c r="B640" i="1"/>
  <c r="B641" i="1"/>
  <c r="CG641" i="1" s="1"/>
  <c r="CJ641" i="1" s="1"/>
  <c r="B642" i="1"/>
  <c r="B643" i="1"/>
  <c r="B644" i="1"/>
  <c r="B645" i="1"/>
  <c r="B646" i="1"/>
  <c r="B647" i="1"/>
  <c r="B648" i="1"/>
  <c r="B649" i="1"/>
  <c r="CG649" i="1" s="1"/>
  <c r="CJ649" i="1" s="1"/>
  <c r="B650" i="1"/>
  <c r="B651" i="1"/>
  <c r="B652" i="1"/>
  <c r="B653" i="1"/>
  <c r="B654" i="1"/>
  <c r="B655" i="1"/>
  <c r="B656" i="1"/>
  <c r="B657" i="1"/>
  <c r="CG657" i="1" s="1"/>
  <c r="CJ657" i="1" s="1"/>
  <c r="B658" i="1"/>
  <c r="B659" i="1"/>
  <c r="B660" i="1"/>
  <c r="B661" i="1"/>
  <c r="B662" i="1"/>
  <c r="B663" i="1"/>
  <c r="B664" i="1"/>
  <c r="B665" i="1"/>
  <c r="CG665" i="1" s="1"/>
  <c r="CJ665" i="1" s="1"/>
  <c r="B666" i="1"/>
  <c r="B667" i="1"/>
  <c r="B668" i="1"/>
  <c r="B669" i="1"/>
  <c r="B487" i="1"/>
  <c r="CS487" i="1" s="1"/>
  <c r="CT487" i="1" s="1"/>
  <c r="B488" i="1"/>
  <c r="CS488" i="1" s="1"/>
  <c r="CT488" i="1" s="1"/>
  <c r="B670" i="1"/>
  <c r="CS670" i="1" s="1"/>
  <c r="CT670" i="1" s="1"/>
  <c r="B671" i="1"/>
  <c r="B673" i="1"/>
  <c r="B674" i="1"/>
  <c r="B676" i="1"/>
  <c r="B677" i="1"/>
  <c r="CS677" i="1" s="1"/>
  <c r="CT677" i="1" s="1"/>
  <c r="B678" i="1"/>
  <c r="CS678" i="1" s="1"/>
  <c r="CT678" i="1" s="1"/>
  <c r="B679" i="1"/>
  <c r="CS679" i="1" s="1"/>
  <c r="CT679" i="1" s="1"/>
  <c r="B680" i="1"/>
  <c r="CS680" i="1" s="1"/>
  <c r="CT680" i="1" s="1"/>
  <c r="B681" i="1"/>
  <c r="CG681" i="1" s="1"/>
  <c r="CJ681" i="1" s="1"/>
  <c r="B682" i="1"/>
  <c r="CS682" i="1" s="1"/>
  <c r="CT682" i="1" s="1"/>
  <c r="B683" i="1"/>
  <c r="B684" i="1"/>
  <c r="CS684" i="1" s="1"/>
  <c r="CT684" i="1" s="1"/>
  <c r="B685" i="1"/>
  <c r="CG685" i="1" s="1"/>
  <c r="CJ685" i="1" s="1"/>
  <c r="B686" i="1"/>
  <c r="B687" i="1"/>
  <c r="CG687" i="1" s="1"/>
  <c r="CJ687" i="1" s="1"/>
  <c r="B688" i="1"/>
  <c r="B690" i="1"/>
  <c r="CS690" i="1" s="1"/>
  <c r="CT690" i="1" s="1"/>
  <c r="B692" i="1"/>
  <c r="B693" i="1"/>
  <c r="CG693" i="1" s="1"/>
  <c r="CJ693" i="1" s="1"/>
  <c r="B694" i="1"/>
  <c r="CG694" i="1" s="1"/>
  <c r="CJ694" i="1" s="1"/>
  <c r="B695" i="1"/>
  <c r="B505" i="1"/>
  <c r="B696" i="1"/>
  <c r="CG696" i="1" s="1"/>
  <c r="CJ696" i="1" s="1"/>
  <c r="B697" i="1"/>
  <c r="CG697" i="1" s="1"/>
  <c r="CJ697" i="1" s="1"/>
  <c r="B698" i="1"/>
  <c r="CG698" i="1" s="1"/>
  <c r="CJ698" i="1" s="1"/>
  <c r="B508" i="1"/>
  <c r="B700" i="1"/>
  <c r="B509" i="1"/>
  <c r="B701" i="1"/>
  <c r="B702" i="1"/>
  <c r="B703" i="1"/>
  <c r="B704" i="1"/>
  <c r="CG704" i="1" s="1"/>
  <c r="CJ704" i="1" s="1"/>
  <c r="B705" i="1"/>
  <c r="B706" i="1"/>
  <c r="CG706" i="1" s="1"/>
  <c r="CJ706" i="1" s="1"/>
  <c r="B707" i="1"/>
  <c r="CS707" i="1" s="1"/>
  <c r="CT707" i="1" s="1"/>
  <c r="B708" i="1"/>
  <c r="CS708" i="1" s="1"/>
  <c r="CT708" i="1" s="1"/>
  <c r="B710" i="1"/>
  <c r="B711" i="1"/>
  <c r="B712" i="1"/>
  <c r="CG712" i="1" s="1"/>
  <c r="CJ712" i="1" s="1"/>
  <c r="B713" i="1"/>
  <c r="CG713" i="1" s="1"/>
  <c r="CJ713" i="1" s="1"/>
  <c r="B714" i="1"/>
  <c r="B715" i="1"/>
  <c r="CG715" i="1" s="1"/>
  <c r="CJ715" i="1" s="1"/>
  <c r="B717" i="1"/>
  <c r="CS717" i="1" s="1"/>
  <c r="CT717" i="1" s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CB767" i="1" s="1"/>
  <c r="CC767" i="1" s="1"/>
  <c r="B768" i="1"/>
  <c r="CB768" i="1" s="1"/>
  <c r="CC768" i="1" s="1"/>
  <c r="B769" i="1"/>
  <c r="CB769" i="1" s="1"/>
  <c r="CC769" i="1" s="1"/>
  <c r="B770" i="1"/>
  <c r="CB770" i="1" s="1"/>
  <c r="CC770" i="1" s="1"/>
  <c r="B771" i="1"/>
  <c r="CB771" i="1" s="1"/>
  <c r="CC771" i="1" s="1"/>
  <c r="B772" i="1"/>
  <c r="CB772" i="1" s="1"/>
  <c r="CC772" i="1" s="1"/>
  <c r="B773" i="1"/>
  <c r="CB773" i="1" s="1"/>
  <c r="CC773" i="1" s="1"/>
  <c r="B774" i="1"/>
  <c r="CB774" i="1" s="1"/>
  <c r="CC774" i="1" s="1"/>
  <c r="B775" i="1"/>
  <c r="CB775" i="1" s="1"/>
  <c r="CC775" i="1" s="1"/>
  <c r="B776" i="1"/>
  <c r="CB776" i="1" s="1"/>
  <c r="CC776" i="1" s="1"/>
  <c r="B777" i="1"/>
  <c r="CB777" i="1" s="1"/>
  <c r="CC777" i="1" s="1"/>
  <c r="B778" i="1"/>
  <c r="CB778" i="1" s="1"/>
  <c r="CC778" i="1" s="1"/>
  <c r="B779" i="1"/>
  <c r="CB779" i="1" s="1"/>
  <c r="CC779" i="1" s="1"/>
  <c r="B780" i="1"/>
  <c r="CB780" i="1" s="1"/>
  <c r="CC780" i="1" s="1"/>
  <c r="B781" i="1"/>
  <c r="CB781" i="1" s="1"/>
  <c r="CC781" i="1" s="1"/>
  <c r="B782" i="1"/>
  <c r="CB782" i="1" s="1"/>
  <c r="CC782" i="1" s="1"/>
  <c r="B783" i="1"/>
  <c r="CB783" i="1" s="1"/>
  <c r="CC783" i="1" s="1"/>
  <c r="B784" i="1"/>
  <c r="CB784" i="1" s="1"/>
  <c r="CC784" i="1" s="1"/>
  <c r="B785" i="1"/>
  <c r="CB785" i="1" s="1"/>
  <c r="CC785" i="1" s="1"/>
  <c r="B815" i="1"/>
  <c r="BX815" i="1" s="1"/>
  <c r="B817" i="1"/>
  <c r="B788" i="1"/>
  <c r="B821" i="1"/>
  <c r="B822" i="1"/>
  <c r="BX822" i="1" s="1"/>
  <c r="B823" i="1"/>
  <c r="B824" i="1"/>
  <c r="B825" i="1"/>
  <c r="B826" i="1"/>
  <c r="BX826" i="1" s="1"/>
  <c r="B789" i="1"/>
  <c r="B827" i="1"/>
  <c r="B828" i="1"/>
  <c r="B790" i="1"/>
  <c r="BX790" i="1" s="1"/>
  <c r="B791" i="1"/>
  <c r="B792" i="1"/>
  <c r="AN792" i="1" s="1"/>
  <c r="B793" i="1"/>
  <c r="B794" i="1"/>
  <c r="BX794" i="1" s="1"/>
  <c r="B795" i="1"/>
  <c r="B796" i="1"/>
  <c r="AN796" i="1" s="1"/>
  <c r="B798" i="1"/>
  <c r="CB798" i="1" s="1"/>
  <c r="CC798" i="1" s="1"/>
  <c r="B799" i="1"/>
  <c r="CG799" i="1" s="1"/>
  <c r="CJ799" i="1" s="1"/>
  <c r="B800" i="1"/>
  <c r="CB800" i="1" s="1"/>
  <c r="CC800" i="1" s="1"/>
  <c r="B801" i="1"/>
  <c r="CB801" i="1" s="1"/>
  <c r="CC801" i="1" s="1"/>
  <c r="B802" i="1"/>
  <c r="CB802" i="1" s="1"/>
  <c r="CC802" i="1" s="1"/>
  <c r="B803" i="1"/>
  <c r="CG803" i="1" s="1"/>
  <c r="CJ803" i="1" s="1"/>
  <c r="B804" i="1"/>
  <c r="CB804" i="1" s="1"/>
  <c r="CC804" i="1" s="1"/>
  <c r="B805" i="1"/>
  <c r="CB805" i="1" s="1"/>
  <c r="CC805" i="1" s="1"/>
  <c r="B806" i="1"/>
  <c r="CB806" i="1" s="1"/>
  <c r="CC806" i="1" s="1"/>
  <c r="B807" i="1"/>
  <c r="CG807" i="1" s="1"/>
  <c r="CJ807" i="1" s="1"/>
  <c r="B808" i="1"/>
  <c r="CB808" i="1" s="1"/>
  <c r="CC808" i="1" s="1"/>
  <c r="B809" i="1"/>
  <c r="CB809" i="1" s="1"/>
  <c r="CC809" i="1" s="1"/>
  <c r="B810" i="1"/>
  <c r="CB810" i="1" s="1"/>
  <c r="CC810" i="1" s="1"/>
  <c r="B811" i="1"/>
  <c r="CG811" i="1" s="1"/>
  <c r="CJ811" i="1" s="1"/>
  <c r="B812" i="1"/>
  <c r="CB812" i="1" s="1"/>
  <c r="CC812" i="1" s="1"/>
  <c r="B813" i="1"/>
  <c r="CB813" i="1" s="1"/>
  <c r="CC813" i="1" s="1"/>
  <c r="B814" i="1"/>
  <c r="CB814" i="1" s="1"/>
  <c r="CC814" i="1" s="1"/>
  <c r="B816" i="1"/>
  <c r="B818" i="1"/>
  <c r="B819" i="1"/>
  <c r="B820" i="1"/>
  <c r="B829" i="1"/>
  <c r="CB829" i="1" s="1"/>
  <c r="CC829" i="1" s="1"/>
  <c r="B830" i="1"/>
  <c r="CB830" i="1" s="1"/>
  <c r="CC830" i="1" s="1"/>
  <c r="B831" i="1"/>
  <c r="CB831" i="1" s="1"/>
  <c r="CC831" i="1" s="1"/>
  <c r="B832" i="1"/>
  <c r="CB832" i="1" s="1"/>
  <c r="CC832" i="1" s="1"/>
  <c r="B833" i="1"/>
  <c r="CB833" i="1" s="1"/>
  <c r="CC833" i="1" s="1"/>
  <c r="B834" i="1"/>
  <c r="CB834" i="1" s="1"/>
  <c r="CC834" i="1" s="1"/>
  <c r="B835" i="1"/>
  <c r="CB835" i="1" s="1"/>
  <c r="CC835" i="1" s="1"/>
  <c r="B836" i="1"/>
  <c r="CB836" i="1" s="1"/>
  <c r="CC836" i="1" s="1"/>
  <c r="B837" i="1"/>
  <c r="CB837" i="1" s="1"/>
  <c r="CC837" i="1" s="1"/>
  <c r="B838" i="1"/>
  <c r="CB838" i="1" s="1"/>
  <c r="CC838" i="1" s="1"/>
  <c r="B839" i="1"/>
  <c r="CB839" i="1" s="1"/>
  <c r="CC839" i="1" s="1"/>
  <c r="B840" i="1"/>
  <c r="B841" i="1"/>
  <c r="CB841" i="1" s="1"/>
  <c r="CC841" i="1" s="1"/>
  <c r="B842" i="1"/>
  <c r="CB842" i="1" s="1"/>
  <c r="CC842" i="1" s="1"/>
  <c r="B843" i="1"/>
  <c r="CB843" i="1" s="1"/>
  <c r="CC843" i="1" s="1"/>
  <c r="B844" i="1"/>
  <c r="CB844" i="1" s="1"/>
  <c r="CC844" i="1" s="1"/>
  <c r="B845" i="1"/>
  <c r="CB845" i="1" s="1"/>
  <c r="CC845" i="1" s="1"/>
  <c r="B846" i="1"/>
  <c r="CB846" i="1" s="1"/>
  <c r="CC846" i="1" s="1"/>
  <c r="B847" i="1"/>
  <c r="CB847" i="1" s="1"/>
  <c r="CC847" i="1" s="1"/>
  <c r="B848" i="1"/>
  <c r="CB848" i="1" s="1"/>
  <c r="CC848" i="1" s="1"/>
  <c r="B849" i="1"/>
  <c r="CB849" i="1" s="1"/>
  <c r="CC849" i="1" s="1"/>
  <c r="B850" i="1"/>
  <c r="CB850" i="1" s="1"/>
  <c r="CC850" i="1" s="1"/>
  <c r="B851" i="1"/>
  <c r="CB851" i="1" s="1"/>
  <c r="CC851" i="1" s="1"/>
  <c r="B852" i="1"/>
  <c r="CB852" i="1" s="1"/>
  <c r="CC852" i="1" s="1"/>
  <c r="B853" i="1"/>
  <c r="CB853" i="1" s="1"/>
  <c r="CC853" i="1" s="1"/>
  <c r="B854" i="1"/>
  <c r="CB854" i="1" s="1"/>
  <c r="CC854" i="1" s="1"/>
  <c r="B855" i="1"/>
  <c r="CB855" i="1" s="1"/>
  <c r="CC855" i="1" s="1"/>
  <c r="B856" i="1"/>
  <c r="CB856" i="1" s="1"/>
  <c r="CC856" i="1" s="1"/>
  <c r="B857" i="1"/>
  <c r="CB857" i="1" s="1"/>
  <c r="CC857" i="1" s="1"/>
  <c r="B858" i="1"/>
  <c r="B859" i="1"/>
  <c r="B860" i="1"/>
  <c r="B861" i="1"/>
  <c r="B862" i="1"/>
  <c r="CB862" i="1" s="1"/>
  <c r="CC862" i="1" s="1"/>
  <c r="B863" i="1"/>
  <c r="CB863" i="1" s="1"/>
  <c r="CC863" i="1" s="1"/>
  <c r="B864" i="1"/>
  <c r="CB864" i="1" s="1"/>
  <c r="CC864" i="1" s="1"/>
  <c r="B865" i="1"/>
  <c r="CB865" i="1" s="1"/>
  <c r="CC865" i="1" s="1"/>
  <c r="B866" i="1"/>
  <c r="CB866" i="1" s="1"/>
  <c r="CC866" i="1" s="1"/>
  <c r="B867" i="1"/>
  <c r="CB867" i="1" s="1"/>
  <c r="CC867" i="1" s="1"/>
  <c r="B868" i="1"/>
  <c r="CB868" i="1" s="1"/>
  <c r="CC868" i="1" s="1"/>
  <c r="B869" i="1"/>
  <c r="CB869" i="1" s="1"/>
  <c r="CC869" i="1" s="1"/>
  <c r="B870" i="1"/>
  <c r="CG870" i="1" s="1"/>
  <c r="CJ870" i="1" s="1"/>
  <c r="B871" i="1"/>
  <c r="CG871" i="1" s="1"/>
  <c r="CJ871" i="1" s="1"/>
  <c r="B872" i="1"/>
  <c r="CG872" i="1" s="1"/>
  <c r="CJ872" i="1" s="1"/>
  <c r="B873" i="1"/>
  <c r="CG873" i="1" s="1"/>
  <c r="CJ873" i="1" s="1"/>
  <c r="B874" i="1"/>
  <c r="CG874" i="1" s="1"/>
  <c r="CJ874" i="1" s="1"/>
  <c r="B875" i="1"/>
  <c r="CG875" i="1" s="1"/>
  <c r="CJ875" i="1" s="1"/>
  <c r="B876" i="1"/>
  <c r="CG876" i="1" s="1"/>
  <c r="CJ876" i="1" s="1"/>
  <c r="B877" i="1"/>
  <c r="CG877" i="1" s="1"/>
  <c r="CJ877" i="1" s="1"/>
  <c r="B878" i="1"/>
  <c r="CG878" i="1" s="1"/>
  <c r="CJ878" i="1" s="1"/>
  <c r="B879" i="1"/>
  <c r="CG879" i="1" s="1"/>
  <c r="CJ879" i="1" s="1"/>
  <c r="B880" i="1"/>
  <c r="CG880" i="1" s="1"/>
  <c r="CJ880" i="1" s="1"/>
  <c r="B881" i="1"/>
  <c r="CG881" i="1" s="1"/>
  <c r="CJ881" i="1" s="1"/>
  <c r="B882" i="1"/>
  <c r="CG882" i="1" s="1"/>
  <c r="CJ882" i="1" s="1"/>
  <c r="B883" i="1"/>
  <c r="CG883" i="1" s="1"/>
  <c r="CJ883" i="1" s="1"/>
  <c r="B884" i="1"/>
  <c r="CG884" i="1" s="1"/>
  <c r="CJ884" i="1" s="1"/>
  <c r="B885" i="1"/>
  <c r="CG885" i="1" s="1"/>
  <c r="CJ885" i="1" s="1"/>
  <c r="B886" i="1"/>
  <c r="CG886" i="1" s="1"/>
  <c r="CJ886" i="1" s="1"/>
  <c r="B887" i="1"/>
  <c r="CG887" i="1" s="1"/>
  <c r="CJ887" i="1" s="1"/>
  <c r="B888" i="1"/>
  <c r="CG888" i="1" s="1"/>
  <c r="CJ888" i="1" s="1"/>
  <c r="B889" i="1"/>
  <c r="CG889" i="1" s="1"/>
  <c r="CJ889" i="1" s="1"/>
  <c r="B890" i="1"/>
  <c r="CG890" i="1" s="1"/>
  <c r="CJ890" i="1" s="1"/>
  <c r="B891" i="1"/>
  <c r="CG891" i="1" s="1"/>
  <c r="CJ891" i="1" s="1"/>
  <c r="B892" i="1"/>
  <c r="CG892" i="1" s="1"/>
  <c r="CJ892" i="1" s="1"/>
  <c r="B893" i="1"/>
  <c r="CG893" i="1" s="1"/>
  <c r="CJ893" i="1" s="1"/>
  <c r="B894" i="1"/>
  <c r="CG894" i="1" s="1"/>
  <c r="CJ894" i="1" s="1"/>
  <c r="B895" i="1"/>
  <c r="CG895" i="1" s="1"/>
  <c r="CJ895" i="1" s="1"/>
  <c r="B896" i="1"/>
  <c r="CG896" i="1" s="1"/>
  <c r="CJ896" i="1" s="1"/>
  <c r="B897" i="1"/>
  <c r="CG897" i="1" s="1"/>
  <c r="CJ897" i="1" s="1"/>
  <c r="B898" i="1"/>
  <c r="CG898" i="1" s="1"/>
  <c r="CJ898" i="1" s="1"/>
  <c r="B899" i="1"/>
  <c r="CG899" i="1" s="1"/>
  <c r="CJ899" i="1" s="1"/>
  <c r="B900" i="1"/>
  <c r="B901" i="1"/>
  <c r="B902" i="1"/>
  <c r="B903" i="1"/>
  <c r="CG903" i="1" s="1"/>
  <c r="CJ903" i="1" s="1"/>
  <c r="B904" i="1"/>
  <c r="B905" i="1"/>
  <c r="B906" i="1"/>
  <c r="B907" i="1"/>
  <c r="CB907" i="1" s="1"/>
  <c r="CC907" i="1" s="1"/>
  <c r="B908" i="1"/>
  <c r="CB908" i="1" s="1"/>
  <c r="CC908" i="1" s="1"/>
  <c r="B909" i="1"/>
  <c r="CB909" i="1" s="1"/>
  <c r="CC909" i="1" s="1"/>
  <c r="B910" i="1"/>
  <c r="CG910" i="1" s="1"/>
  <c r="CJ910" i="1" s="1"/>
  <c r="B911" i="1"/>
  <c r="CG911" i="1" s="1"/>
  <c r="CJ911" i="1" s="1"/>
  <c r="B912" i="1"/>
  <c r="CG912" i="1" s="1"/>
  <c r="CJ912" i="1" s="1"/>
  <c r="B913" i="1"/>
  <c r="CG913" i="1" s="1"/>
  <c r="CJ913" i="1" s="1"/>
  <c r="B914" i="1"/>
  <c r="CG914" i="1" s="1"/>
  <c r="CJ914" i="1" s="1"/>
  <c r="B915" i="1"/>
  <c r="CG915" i="1" s="1"/>
  <c r="CJ915" i="1" s="1"/>
  <c r="B916" i="1"/>
  <c r="CG916" i="1" s="1"/>
  <c r="CJ916" i="1" s="1"/>
  <c r="B917" i="1"/>
  <c r="CG917" i="1" s="1"/>
  <c r="CJ917" i="1" s="1"/>
  <c r="B918" i="1"/>
  <c r="CG918" i="1" s="1"/>
  <c r="CJ918" i="1" s="1"/>
  <c r="B919" i="1"/>
  <c r="CG919" i="1" s="1"/>
  <c r="CJ919" i="1" s="1"/>
  <c r="B920" i="1"/>
  <c r="CG920" i="1" s="1"/>
  <c r="CJ920" i="1" s="1"/>
  <c r="B921" i="1"/>
  <c r="CG921" i="1" s="1"/>
  <c r="CJ921" i="1" s="1"/>
  <c r="B922" i="1"/>
  <c r="CG922" i="1" s="1"/>
  <c r="CJ922" i="1" s="1"/>
  <c r="B923" i="1"/>
  <c r="CG923" i="1" s="1"/>
  <c r="CJ923" i="1" s="1"/>
  <c r="B924" i="1"/>
  <c r="CG924" i="1" s="1"/>
  <c r="CJ924" i="1" s="1"/>
  <c r="B925" i="1"/>
  <c r="CG925" i="1" s="1"/>
  <c r="CJ925" i="1" s="1"/>
  <c r="B926" i="1"/>
  <c r="CG926" i="1" s="1"/>
  <c r="CJ926" i="1" s="1"/>
  <c r="B927" i="1"/>
  <c r="CG927" i="1" s="1"/>
  <c r="CJ927" i="1" s="1"/>
  <c r="B928" i="1"/>
  <c r="CG928" i="1" s="1"/>
  <c r="CJ928" i="1" s="1"/>
  <c r="B929" i="1"/>
  <c r="CB929" i="1" s="1"/>
  <c r="CC929" i="1" s="1"/>
  <c r="B930" i="1"/>
  <c r="CG930" i="1" s="1"/>
  <c r="CJ930" i="1" s="1"/>
  <c r="B931" i="1"/>
  <c r="CG931" i="1" s="1"/>
  <c r="CJ931" i="1" s="1"/>
  <c r="B932" i="1"/>
  <c r="CG932" i="1" s="1"/>
  <c r="CJ932" i="1" s="1"/>
  <c r="B933" i="1"/>
  <c r="CG933" i="1" s="1"/>
  <c r="CJ933" i="1" s="1"/>
  <c r="B934" i="1"/>
  <c r="CG934" i="1" s="1"/>
  <c r="CJ934" i="1" s="1"/>
  <c r="B935" i="1"/>
  <c r="CG935" i="1" s="1"/>
  <c r="CJ935" i="1" s="1"/>
  <c r="B936" i="1"/>
  <c r="CG936" i="1" s="1"/>
  <c r="CJ936" i="1" s="1"/>
  <c r="B937" i="1"/>
  <c r="CG937" i="1" s="1"/>
  <c r="CJ937" i="1" s="1"/>
  <c r="B938" i="1"/>
  <c r="CG938" i="1" s="1"/>
  <c r="CJ938" i="1" s="1"/>
  <c r="B939" i="1"/>
  <c r="CG939" i="1" s="1"/>
  <c r="CJ939" i="1" s="1"/>
  <c r="B940" i="1"/>
  <c r="CG940" i="1" s="1"/>
  <c r="CJ940" i="1" s="1"/>
  <c r="B941" i="1"/>
  <c r="CG941" i="1" s="1"/>
  <c r="CJ941" i="1" s="1"/>
  <c r="B942" i="1"/>
  <c r="CG942" i="1" s="1"/>
  <c r="CJ942" i="1" s="1"/>
  <c r="B943" i="1"/>
  <c r="CG943" i="1" s="1"/>
  <c r="CJ943" i="1" s="1"/>
  <c r="B944" i="1"/>
  <c r="CB944" i="1" s="1"/>
  <c r="CC944" i="1" s="1"/>
  <c r="B945" i="1"/>
  <c r="CB945" i="1" s="1"/>
  <c r="CC945" i="1" s="1"/>
  <c r="B946" i="1"/>
  <c r="CB946" i="1" s="1"/>
  <c r="CC946" i="1" s="1"/>
  <c r="B947" i="1"/>
  <c r="CB947" i="1" s="1"/>
  <c r="CC947" i="1" s="1"/>
  <c r="B948" i="1"/>
  <c r="CB948" i="1" s="1"/>
  <c r="CC948" i="1" s="1"/>
  <c r="B949" i="1"/>
  <c r="CB949" i="1" s="1"/>
  <c r="CC949" i="1" s="1"/>
  <c r="B950" i="1"/>
  <c r="CB950" i="1" s="1"/>
  <c r="CC950" i="1" s="1"/>
  <c r="B951" i="1"/>
  <c r="CB951" i="1" s="1"/>
  <c r="CC951" i="1" s="1"/>
  <c r="B952" i="1"/>
  <c r="CB952" i="1" s="1"/>
  <c r="CC952" i="1" s="1"/>
  <c r="B953" i="1"/>
  <c r="CB953" i="1" s="1"/>
  <c r="CC953" i="1" s="1"/>
  <c r="B954" i="1"/>
  <c r="CB954" i="1" s="1"/>
  <c r="CC954" i="1" s="1"/>
  <c r="B955" i="1"/>
  <c r="CB955" i="1" s="1"/>
  <c r="CC955" i="1" s="1"/>
  <c r="B956" i="1"/>
  <c r="CB956" i="1" s="1"/>
  <c r="CC956" i="1" s="1"/>
  <c r="B957" i="1"/>
  <c r="CB957" i="1" s="1"/>
  <c r="CC957" i="1" s="1"/>
  <c r="B958" i="1"/>
  <c r="CB958" i="1" s="1"/>
  <c r="CC958" i="1" s="1"/>
  <c r="B959" i="1"/>
  <c r="CB959" i="1" s="1"/>
  <c r="CC959" i="1" s="1"/>
  <c r="B960" i="1"/>
  <c r="CB960" i="1" s="1"/>
  <c r="CC960" i="1" s="1"/>
  <c r="B961" i="1"/>
  <c r="CB961" i="1" s="1"/>
  <c r="CC961" i="1" s="1"/>
  <c r="B962" i="1"/>
  <c r="CB962" i="1" s="1"/>
  <c r="CC962" i="1" s="1"/>
  <c r="B963" i="1"/>
  <c r="CB963" i="1" s="1"/>
  <c r="CC963" i="1" s="1"/>
  <c r="B964" i="1"/>
  <c r="CB964" i="1" s="1"/>
  <c r="CC964" i="1" s="1"/>
  <c r="B965" i="1"/>
  <c r="CB965" i="1" s="1"/>
  <c r="CC965" i="1" s="1"/>
  <c r="B966" i="1"/>
  <c r="CB966" i="1" s="1"/>
  <c r="CC966" i="1" s="1"/>
  <c r="B967" i="1"/>
  <c r="CB967" i="1" s="1"/>
  <c r="CC967" i="1" s="1"/>
  <c r="B968" i="1"/>
  <c r="CB968" i="1" s="1"/>
  <c r="CC968" i="1" s="1"/>
  <c r="B969" i="1"/>
  <c r="CB969" i="1" s="1"/>
  <c r="CC969" i="1" s="1"/>
  <c r="B970" i="1"/>
  <c r="CB970" i="1" s="1"/>
  <c r="CC970" i="1" s="1"/>
  <c r="B971" i="1"/>
  <c r="CB971" i="1" s="1"/>
  <c r="CC971" i="1" s="1"/>
  <c r="B972" i="1"/>
  <c r="CB972" i="1" s="1"/>
  <c r="CC972" i="1" s="1"/>
  <c r="B973" i="1"/>
  <c r="CB973" i="1" s="1"/>
  <c r="CC973" i="1" s="1"/>
  <c r="B974" i="1"/>
  <c r="CB974" i="1" s="1"/>
  <c r="CC974" i="1" s="1"/>
  <c r="B975" i="1"/>
  <c r="CB975" i="1" s="1"/>
  <c r="CC975" i="1" s="1"/>
  <c r="B976" i="1"/>
  <c r="CB976" i="1" s="1"/>
  <c r="CC976" i="1" s="1"/>
  <c r="B977" i="1"/>
  <c r="CB977" i="1" s="1"/>
  <c r="CC977" i="1" s="1"/>
  <c r="B978" i="1"/>
  <c r="CB978" i="1" s="1"/>
  <c r="CC978" i="1" s="1"/>
  <c r="B979" i="1"/>
  <c r="CB979" i="1" s="1"/>
  <c r="CC979" i="1" s="1"/>
  <c r="B980" i="1"/>
  <c r="CB980" i="1" s="1"/>
  <c r="CC980" i="1" s="1"/>
  <c r="B981" i="1"/>
  <c r="CB981" i="1" s="1"/>
  <c r="CC981" i="1" s="1"/>
  <c r="B982" i="1"/>
  <c r="CB982" i="1" s="1"/>
  <c r="CC982" i="1" s="1"/>
  <c r="B983" i="1"/>
  <c r="CB983" i="1" s="1"/>
  <c r="CC983" i="1" s="1"/>
  <c r="B984" i="1"/>
  <c r="CB984" i="1" s="1"/>
  <c r="CC984" i="1" s="1"/>
  <c r="B985" i="1"/>
  <c r="CB985" i="1" s="1"/>
  <c r="CC985" i="1" s="1"/>
  <c r="B986" i="1"/>
  <c r="CB986" i="1" s="1"/>
  <c r="CC986" i="1" s="1"/>
  <c r="B987" i="1"/>
  <c r="CB987" i="1" s="1"/>
  <c r="CC987" i="1" s="1"/>
  <c r="B988" i="1"/>
  <c r="CB988" i="1" s="1"/>
  <c r="CC988" i="1" s="1"/>
  <c r="B989" i="1"/>
  <c r="CB989" i="1" s="1"/>
  <c r="CC989" i="1" s="1"/>
  <c r="B990" i="1"/>
  <c r="CB990" i="1" s="1"/>
  <c r="CC990" i="1" s="1"/>
  <c r="B991" i="1"/>
  <c r="CB991" i="1" s="1"/>
  <c r="CC991" i="1" s="1"/>
  <c r="B992" i="1"/>
  <c r="CB992" i="1" s="1"/>
  <c r="CC992" i="1" s="1"/>
  <c r="B993" i="1"/>
  <c r="CB993" i="1" s="1"/>
  <c r="CC993" i="1" s="1"/>
  <c r="B994" i="1"/>
  <c r="CB994" i="1" s="1"/>
  <c r="CC994" i="1" s="1"/>
  <c r="B995" i="1"/>
  <c r="CB995" i="1" s="1"/>
  <c r="CC995" i="1" s="1"/>
  <c r="B996" i="1"/>
  <c r="CB996" i="1" s="1"/>
  <c r="CC996" i="1" s="1"/>
  <c r="B997" i="1"/>
  <c r="CB997" i="1" s="1"/>
  <c r="CC997" i="1" s="1"/>
  <c r="B998" i="1"/>
  <c r="CB998" i="1" s="1"/>
  <c r="CC998" i="1" s="1"/>
  <c r="B999" i="1"/>
  <c r="CB999" i="1" s="1"/>
  <c r="CC999" i="1" s="1"/>
  <c r="B1000" i="1"/>
  <c r="CB1000" i="1" s="1"/>
  <c r="CC1000" i="1" s="1"/>
  <c r="B1001" i="1"/>
  <c r="CB1001" i="1" s="1"/>
  <c r="CC1001" i="1" s="1"/>
  <c r="B1002" i="1"/>
  <c r="CB1002" i="1" s="1"/>
  <c r="CC1002" i="1" s="1"/>
  <c r="B1003" i="1"/>
  <c r="CB1003" i="1" s="1"/>
  <c r="CC1003" i="1" s="1"/>
  <c r="B1004" i="1"/>
  <c r="CB1004" i="1" s="1"/>
  <c r="CC1004" i="1" s="1"/>
  <c r="B1005" i="1"/>
  <c r="CB1005" i="1" s="1"/>
  <c r="CC1005" i="1" s="1"/>
  <c r="B1006" i="1"/>
  <c r="CG1006" i="1" s="1"/>
  <c r="CJ1006" i="1" s="1"/>
  <c r="B1007" i="1"/>
  <c r="CB1007" i="1" s="1"/>
  <c r="CC1007" i="1" s="1"/>
  <c r="B1008" i="1"/>
  <c r="CB1008" i="1" s="1"/>
  <c r="CC1008" i="1" s="1"/>
  <c r="B1009" i="1"/>
  <c r="CG1009" i="1" s="1"/>
  <c r="CJ1009" i="1" s="1"/>
  <c r="B1010" i="1"/>
  <c r="CB1010" i="1" s="1"/>
  <c r="CC1010" i="1" s="1"/>
  <c r="B1011" i="1"/>
  <c r="CB1011" i="1" s="1"/>
  <c r="CC1011" i="1" s="1"/>
  <c r="B1012" i="1"/>
  <c r="CG1012" i="1" s="1"/>
  <c r="CJ1012" i="1" s="1"/>
  <c r="B1013" i="1"/>
  <c r="CB1013" i="1" s="1"/>
  <c r="CC1013" i="1" s="1"/>
  <c r="B1014" i="1"/>
  <c r="CB1014" i="1" s="1"/>
  <c r="CC1014" i="1" s="1"/>
  <c r="B1015" i="1"/>
  <c r="CB1015" i="1" s="1"/>
  <c r="CC1015" i="1" s="1"/>
  <c r="B1016" i="1"/>
  <c r="CG1016" i="1" s="1"/>
  <c r="CJ1016" i="1" s="1"/>
  <c r="B1017" i="1"/>
  <c r="CB1017" i="1" s="1"/>
  <c r="CC1017" i="1" s="1"/>
  <c r="B1018" i="1"/>
  <c r="CB1018" i="1" s="1"/>
  <c r="CC1018" i="1" s="1"/>
  <c r="B1019" i="1"/>
  <c r="CB1019" i="1" s="1"/>
  <c r="CC1019" i="1" s="1"/>
  <c r="B1020" i="1"/>
  <c r="CB1020" i="1" s="1"/>
  <c r="CC1020" i="1" s="1"/>
  <c r="B1021" i="1"/>
  <c r="CB1021" i="1" s="1"/>
  <c r="CC1021" i="1" s="1"/>
  <c r="B1022" i="1"/>
  <c r="CB1022" i="1" s="1"/>
  <c r="CC1022" i="1" s="1"/>
  <c r="B1023" i="1"/>
  <c r="CB1023" i="1" s="1"/>
  <c r="CC1023" i="1" s="1"/>
  <c r="B1024" i="1"/>
  <c r="CB1024" i="1" s="1"/>
  <c r="CC1024" i="1" s="1"/>
  <c r="B1025" i="1"/>
  <c r="CB1025" i="1" s="1"/>
  <c r="CC1025" i="1" s="1"/>
  <c r="B1026" i="1"/>
  <c r="CB1026" i="1" s="1"/>
  <c r="CC1026" i="1" s="1"/>
  <c r="B1027" i="1"/>
  <c r="CB1027" i="1" s="1"/>
  <c r="CC1027" i="1" s="1"/>
  <c r="B1028" i="1"/>
  <c r="CB1028" i="1" s="1"/>
  <c r="CC1028" i="1" s="1"/>
  <c r="B1029" i="1"/>
  <c r="CB1029" i="1" s="1"/>
  <c r="CC1029" i="1" s="1"/>
  <c r="B1030" i="1"/>
  <c r="CB1030" i="1" s="1"/>
  <c r="CC1030" i="1" s="1"/>
  <c r="B1031" i="1"/>
  <c r="CG1031" i="1" s="1"/>
  <c r="CJ1031" i="1" s="1"/>
  <c r="B1032" i="1"/>
  <c r="CG1032" i="1" s="1"/>
  <c r="CJ1032" i="1" s="1"/>
  <c r="B1033" i="1"/>
  <c r="CG1033" i="1" s="1"/>
  <c r="CJ1033" i="1" s="1"/>
  <c r="B1034" i="1"/>
  <c r="CG1034" i="1" s="1"/>
  <c r="CJ1034" i="1" s="1"/>
  <c r="B1035" i="1"/>
  <c r="CG1035" i="1" s="1"/>
  <c r="CJ1035" i="1" s="1"/>
  <c r="B1036" i="1"/>
  <c r="CG1036" i="1" s="1"/>
  <c r="CJ1036" i="1" s="1"/>
  <c r="B1037" i="1"/>
  <c r="O1037" i="1" s="1"/>
  <c r="AA1037" i="1" s="1"/>
  <c r="Z1037" i="1" s="1"/>
  <c r="AC1037" i="1" s="1"/>
  <c r="B1038" i="1"/>
  <c r="K1038" i="1" s="1"/>
  <c r="B1039" i="1"/>
  <c r="O1039" i="1" s="1"/>
  <c r="AA1039" i="1" s="1"/>
  <c r="Z1039" i="1" s="1"/>
  <c r="AC1039" i="1" s="1"/>
  <c r="B1040" i="1"/>
  <c r="K1040" i="1" s="1"/>
  <c r="B1041" i="1"/>
  <c r="O1041" i="1" s="1"/>
  <c r="AA1041" i="1" s="1"/>
  <c r="Z1041" i="1" s="1"/>
  <c r="AC1041" i="1" s="1"/>
  <c r="B1042" i="1"/>
  <c r="K1042" i="1" s="1"/>
  <c r="B1043" i="1"/>
  <c r="O1043" i="1" s="1"/>
  <c r="AA1043" i="1" s="1"/>
  <c r="Z1043" i="1" s="1"/>
  <c r="AC1043" i="1" s="1"/>
  <c r="B1044" i="1"/>
  <c r="K1044" i="1" s="1"/>
  <c r="B1045" i="1"/>
  <c r="O1045" i="1" s="1"/>
  <c r="B1046" i="1"/>
  <c r="K1046" i="1" s="1"/>
  <c r="B1047" i="1"/>
  <c r="O1047" i="1" s="1"/>
  <c r="B1048" i="1"/>
  <c r="K1048" i="1" s="1"/>
  <c r="B1049" i="1"/>
  <c r="CB1049" i="1" s="1"/>
  <c r="CC1049" i="1" s="1"/>
  <c r="B1050" i="1"/>
  <c r="CB1050" i="1" s="1"/>
  <c r="CC1050" i="1" s="1"/>
  <c r="B1051" i="1"/>
  <c r="CB1051" i="1" s="1"/>
  <c r="CC1051" i="1" s="1"/>
  <c r="B1052" i="1"/>
  <c r="CB1052" i="1" s="1"/>
  <c r="CC1052" i="1" s="1"/>
  <c r="B1053" i="1"/>
  <c r="CB1053" i="1" s="1"/>
  <c r="CC1053" i="1" s="1"/>
  <c r="B1054" i="1"/>
  <c r="CB1054" i="1" s="1"/>
  <c r="CC1054" i="1" s="1"/>
  <c r="B1055" i="1"/>
  <c r="CB1055" i="1" s="1"/>
  <c r="CC1055" i="1" s="1"/>
  <c r="B1056" i="1"/>
  <c r="CB1056" i="1" s="1"/>
  <c r="CC1056" i="1" s="1"/>
  <c r="B1057" i="1"/>
  <c r="CB1057" i="1" s="1"/>
  <c r="CC1057" i="1" s="1"/>
  <c r="B1058" i="1"/>
  <c r="CB1058" i="1" s="1"/>
  <c r="CC1058" i="1" s="1"/>
  <c r="B1059" i="1"/>
  <c r="CB1059" i="1" s="1"/>
  <c r="CC1059" i="1" s="1"/>
  <c r="B1060" i="1"/>
  <c r="CB1060" i="1" s="1"/>
  <c r="CC1060" i="1" s="1"/>
  <c r="B1061" i="1"/>
  <c r="AN1061" i="1" s="1"/>
  <c r="CO1061" i="1" s="1"/>
  <c r="B1062" i="1"/>
  <c r="CB1062" i="1" s="1"/>
  <c r="CC1062" i="1" s="1"/>
  <c r="B1063" i="1"/>
  <c r="CB1063" i="1" s="1"/>
  <c r="CC1063" i="1" s="1"/>
  <c r="B1064" i="1"/>
  <c r="CB1064" i="1" s="1"/>
  <c r="CC1064" i="1" s="1"/>
  <c r="B1065" i="1"/>
  <c r="CB1065" i="1" s="1"/>
  <c r="CC1065" i="1" s="1"/>
  <c r="B1066" i="1"/>
  <c r="CB1066" i="1" s="1"/>
  <c r="CC1066" i="1" s="1"/>
  <c r="B1067" i="1"/>
  <c r="CB1067" i="1" s="1"/>
  <c r="CC1067" i="1" s="1"/>
  <c r="B1068" i="1"/>
  <c r="CB1068" i="1" s="1"/>
  <c r="CC1068" i="1" s="1"/>
  <c r="B1069" i="1"/>
  <c r="CB1069" i="1" s="1"/>
  <c r="CC1069" i="1" s="1"/>
  <c r="B1070" i="1"/>
  <c r="CB1070" i="1" s="1"/>
  <c r="CC1070" i="1" s="1"/>
  <c r="B1071" i="1"/>
  <c r="CB1071" i="1" s="1"/>
  <c r="CC1071" i="1" s="1"/>
  <c r="B1072" i="1"/>
  <c r="CB1072" i="1" s="1"/>
  <c r="CC1072" i="1" s="1"/>
  <c r="B1073" i="1"/>
  <c r="CB1073" i="1" s="1"/>
  <c r="CC1073" i="1" s="1"/>
  <c r="B1074" i="1"/>
  <c r="CB1074" i="1" s="1"/>
  <c r="CC1074" i="1" s="1"/>
  <c r="B1075" i="1"/>
  <c r="CB1075" i="1" s="1"/>
  <c r="CC1075" i="1" s="1"/>
  <c r="B1076" i="1"/>
  <c r="CB1076" i="1" s="1"/>
  <c r="CC1076" i="1" s="1"/>
  <c r="B1077" i="1"/>
  <c r="CB1077" i="1" s="1"/>
  <c r="CC1077" i="1" s="1"/>
  <c r="B1078" i="1"/>
  <c r="CB1078" i="1" s="1"/>
  <c r="CC1078" i="1" s="1"/>
  <c r="B1079" i="1"/>
  <c r="CB1079" i="1" s="1"/>
  <c r="CC1079" i="1" s="1"/>
  <c r="B1080" i="1"/>
  <c r="CB1080" i="1" s="1"/>
  <c r="CC1080" i="1" s="1"/>
  <c r="B1081" i="1"/>
  <c r="CB1081" i="1" s="1"/>
  <c r="CC1081" i="1" s="1"/>
  <c r="B1082" i="1"/>
  <c r="CB1082" i="1" s="1"/>
  <c r="CC1082" i="1" s="1"/>
  <c r="B1083" i="1"/>
  <c r="CB1083" i="1" s="1"/>
  <c r="CC1083" i="1" s="1"/>
  <c r="B1084" i="1"/>
  <c r="CB1084" i="1" s="1"/>
  <c r="CC1084" i="1" s="1"/>
  <c r="B1085" i="1"/>
  <c r="CB1085" i="1" s="1"/>
  <c r="CC1085" i="1" s="1"/>
  <c r="B1086" i="1"/>
  <c r="CB1086" i="1" s="1"/>
  <c r="CC1086" i="1" s="1"/>
  <c r="B1087" i="1"/>
  <c r="CB1087" i="1" s="1"/>
  <c r="CC1087" i="1" s="1"/>
  <c r="B1088" i="1"/>
  <c r="CB1088" i="1" s="1"/>
  <c r="CC1088" i="1" s="1"/>
  <c r="B1089" i="1"/>
  <c r="CB1089" i="1" s="1"/>
  <c r="CC1089" i="1" s="1"/>
  <c r="B1090" i="1"/>
  <c r="CB1090" i="1" s="1"/>
  <c r="CC1090" i="1" s="1"/>
  <c r="B1091" i="1"/>
  <c r="CB1091" i="1" s="1"/>
  <c r="CC1091" i="1" s="1"/>
  <c r="B1092" i="1"/>
  <c r="CB1092" i="1" s="1"/>
  <c r="CC1092" i="1" s="1"/>
  <c r="B1093" i="1"/>
  <c r="CB1093" i="1" s="1"/>
  <c r="CC1093" i="1" s="1"/>
  <c r="B1094" i="1"/>
  <c r="CB1094" i="1" s="1"/>
  <c r="CC1094" i="1" s="1"/>
  <c r="B1095" i="1"/>
  <c r="CB1095" i="1" s="1"/>
  <c r="CC1095" i="1" s="1"/>
  <c r="B1096" i="1"/>
  <c r="CB1096" i="1" s="1"/>
  <c r="CC1096" i="1" s="1"/>
  <c r="B1097" i="1"/>
  <c r="CB1097" i="1" s="1"/>
  <c r="CC1097" i="1" s="1"/>
  <c r="B1098" i="1"/>
  <c r="CB1098" i="1" s="1"/>
  <c r="CC1098" i="1" s="1"/>
  <c r="B1099" i="1"/>
  <c r="CB1099" i="1" s="1"/>
  <c r="CC1099" i="1" s="1"/>
  <c r="B1100" i="1"/>
  <c r="CB1100" i="1" s="1"/>
  <c r="CC1100" i="1" s="1"/>
  <c r="B1101" i="1"/>
  <c r="CB1101" i="1" s="1"/>
  <c r="CC1101" i="1" s="1"/>
  <c r="B1102" i="1"/>
  <c r="CB1102" i="1" s="1"/>
  <c r="CC1102" i="1" s="1"/>
  <c r="B1103" i="1"/>
  <c r="CB1103" i="1" s="1"/>
  <c r="CC1103" i="1" s="1"/>
  <c r="B1104" i="1"/>
  <c r="CB1104" i="1" s="1"/>
  <c r="CC1104" i="1" s="1"/>
  <c r="B1105" i="1"/>
  <c r="CB1105" i="1" s="1"/>
  <c r="CC1105" i="1" s="1"/>
  <c r="B1106" i="1"/>
  <c r="K1106" i="1" s="1"/>
  <c r="B1107" i="1"/>
  <c r="O1107" i="1" s="1"/>
  <c r="B1108" i="1"/>
  <c r="K1108" i="1" s="1"/>
  <c r="B1109" i="1"/>
  <c r="B1110" i="1"/>
  <c r="K1110" i="1" s="1"/>
  <c r="B1111" i="1"/>
  <c r="O1111" i="1" s="1"/>
  <c r="B1112" i="1"/>
  <c r="K1112" i="1" s="1"/>
  <c r="B1113" i="1"/>
  <c r="O1113" i="1" s="1"/>
  <c r="B1114" i="1"/>
  <c r="K1114" i="1" s="1"/>
  <c r="B1115" i="1"/>
  <c r="O1115" i="1" s="1"/>
  <c r="B1116" i="1"/>
  <c r="K1116" i="1" s="1"/>
  <c r="B1117" i="1"/>
  <c r="O1117" i="1" s="1"/>
  <c r="B1118" i="1"/>
  <c r="K1118" i="1" s="1"/>
  <c r="B1119" i="1"/>
  <c r="O1119" i="1" s="1"/>
  <c r="B1120" i="1"/>
  <c r="K1120" i="1" s="1"/>
  <c r="B1121" i="1"/>
  <c r="O1121" i="1" s="1"/>
  <c r="AM7" i="17"/>
  <c r="AJ7" i="17"/>
  <c r="AI7" i="17"/>
  <c r="AG7" i="17"/>
  <c r="AF7" i="17"/>
  <c r="X7" i="17"/>
  <c r="U7" i="17"/>
  <c r="B7" i="17"/>
  <c r="O7" i="17" s="1"/>
  <c r="AM6" i="17"/>
  <c r="AJ6" i="17"/>
  <c r="AI6" i="17"/>
  <c r="AG6" i="17"/>
  <c r="AF6" i="17"/>
  <c r="X6" i="17"/>
  <c r="U6" i="17"/>
  <c r="B6" i="17"/>
  <c r="O6" i="17" s="1"/>
  <c r="AM5" i="17"/>
  <c r="AJ5" i="17"/>
  <c r="AI5" i="17"/>
  <c r="AG5" i="17"/>
  <c r="AF5" i="17"/>
  <c r="X5" i="17"/>
  <c r="U5" i="17"/>
  <c r="B5" i="17"/>
  <c r="O5" i="17" s="1"/>
  <c r="AM4" i="17"/>
  <c r="AJ4" i="17"/>
  <c r="AI4" i="17"/>
  <c r="AG4" i="17"/>
  <c r="AF4" i="17"/>
  <c r="X4" i="17"/>
  <c r="U4" i="17"/>
  <c r="B4" i="17"/>
  <c r="O4" i="17" s="1"/>
  <c r="AM3" i="17"/>
  <c r="AJ3" i="17"/>
  <c r="AI3" i="17"/>
  <c r="AG3" i="17"/>
  <c r="AF3" i="17"/>
  <c r="X3" i="17"/>
  <c r="U3" i="17"/>
  <c r="B3" i="17"/>
  <c r="O3" i="17" s="1"/>
  <c r="AM2" i="17"/>
  <c r="AJ2" i="17"/>
  <c r="AI2" i="17"/>
  <c r="AG2" i="17"/>
  <c r="AF2" i="17"/>
  <c r="X2" i="17"/>
  <c r="U2" i="17"/>
  <c r="B2" i="17"/>
  <c r="O2" i="17" s="1"/>
  <c r="J2" i="16"/>
  <c r="AG142" i="1" l="1"/>
  <c r="AG55" i="1"/>
  <c r="AG137" i="1"/>
  <c r="AG355" i="1"/>
  <c r="AG53" i="1"/>
  <c r="AG218" i="1"/>
  <c r="AG214" i="1"/>
  <c r="AG72" i="1"/>
  <c r="AG193" i="1"/>
  <c r="AG357" i="1"/>
  <c r="AG235" i="1"/>
  <c r="AG68" i="1"/>
  <c r="AG429" i="1"/>
  <c r="AG158" i="1"/>
  <c r="AG101" i="1"/>
  <c r="AG17" i="1"/>
  <c r="AG7" i="1"/>
  <c r="AG41" i="1"/>
  <c r="AG45" i="1"/>
  <c r="AG47" i="1"/>
  <c r="AG451" i="1"/>
  <c r="BY305" i="3"/>
  <c r="BT305" i="3"/>
  <c r="AE305" i="3"/>
  <c r="AP305" i="3" s="1"/>
  <c r="DA305" i="3"/>
  <c r="CO305" i="3"/>
  <c r="BY304" i="3"/>
  <c r="BT304" i="3"/>
  <c r="CO304" i="3"/>
  <c r="DA304" i="3"/>
  <c r="AA304" i="3"/>
  <c r="Z304" i="3" s="1"/>
  <c r="AC304" i="3" s="1"/>
  <c r="AE304" i="3"/>
  <c r="AP304" i="3" s="1"/>
  <c r="AE303" i="3"/>
  <c r="AP303" i="3" s="1"/>
  <c r="AA303" i="3"/>
  <c r="Z303" i="3" s="1"/>
  <c r="AC303" i="3" s="1"/>
  <c r="BY303" i="3"/>
  <c r="BT303" i="3"/>
  <c r="DA303" i="3"/>
  <c r="CO303" i="3"/>
  <c r="AN795" i="1"/>
  <c r="DA795" i="1" s="1"/>
  <c r="AN793" i="1"/>
  <c r="CO793" i="1" s="1"/>
  <c r="AN791" i="1"/>
  <c r="CO791" i="1" s="1"/>
  <c r="AG1087" i="1"/>
  <c r="CS482" i="1"/>
  <c r="CT482" i="1" s="1"/>
  <c r="CS483" i="1"/>
  <c r="CT483" i="1" s="1"/>
  <c r="CS689" i="1"/>
  <c r="CT689" i="1" s="1"/>
  <c r="CS681" i="1"/>
  <c r="CT681" i="1" s="1"/>
  <c r="BX796" i="1"/>
  <c r="BX795" i="1"/>
  <c r="BX793" i="1"/>
  <c r="BX792" i="1"/>
  <c r="BX791" i="1"/>
  <c r="CS697" i="1"/>
  <c r="CT697" i="1" s="1"/>
  <c r="CS696" i="1"/>
  <c r="CT696" i="1" s="1"/>
  <c r="CS715" i="1"/>
  <c r="CT715" i="1" s="1"/>
  <c r="CS713" i="1"/>
  <c r="CT713" i="1" s="1"/>
  <c r="CS694" i="1"/>
  <c r="CT694" i="1" s="1"/>
  <c r="CS712" i="1"/>
  <c r="CT712" i="1" s="1"/>
  <c r="CS687" i="1"/>
  <c r="CT687" i="1" s="1"/>
  <c r="CS481" i="1"/>
  <c r="CT481" i="1" s="1"/>
  <c r="CS691" i="1"/>
  <c r="CT691" i="1" s="1"/>
  <c r="AG1109" i="1"/>
  <c r="BT439" i="4"/>
  <c r="BY439" i="4"/>
  <c r="CO439" i="4"/>
  <c r="AE439" i="4"/>
  <c r="AP439" i="4" s="1"/>
  <c r="AA439" i="4"/>
  <c r="Z439" i="4" s="1"/>
  <c r="AC439" i="4" s="1"/>
  <c r="CS704" i="1"/>
  <c r="CT704" i="1" s="1"/>
  <c r="CS698" i="1"/>
  <c r="CT698" i="1" s="1"/>
  <c r="BT1134" i="1"/>
  <c r="BY1134" i="1"/>
  <c r="BT1132" i="1"/>
  <c r="BY1132" i="1"/>
  <c r="BT1130" i="1"/>
  <c r="BY1130" i="1"/>
  <c r="BT1128" i="1"/>
  <c r="BY1128" i="1"/>
  <c r="BT1126" i="1"/>
  <c r="BY1126" i="1"/>
  <c r="BT1124" i="1"/>
  <c r="BY1124" i="1"/>
  <c r="BT1122" i="1"/>
  <c r="BY1122" i="1"/>
  <c r="BT786" i="1"/>
  <c r="BY786" i="1"/>
  <c r="DA1134" i="1"/>
  <c r="CO1134" i="1"/>
  <c r="DA1133" i="1"/>
  <c r="CO1133" i="1"/>
  <c r="DA1130" i="1"/>
  <c r="CO1130" i="1"/>
  <c r="DA1129" i="1"/>
  <c r="CO1129" i="1"/>
  <c r="DA1126" i="1"/>
  <c r="CO1126" i="1"/>
  <c r="DA1125" i="1"/>
  <c r="CO1125" i="1"/>
  <c r="DA1122" i="1"/>
  <c r="CO1122" i="1"/>
  <c r="DA787" i="1"/>
  <c r="CO787" i="1"/>
  <c r="BY1135" i="1"/>
  <c r="BT1135" i="1"/>
  <c r="BY1133" i="1"/>
  <c r="BT1133" i="1"/>
  <c r="BY1131" i="1"/>
  <c r="BT1131" i="1"/>
  <c r="BY1129" i="1"/>
  <c r="BT1129" i="1"/>
  <c r="BY1127" i="1"/>
  <c r="BT1127" i="1"/>
  <c r="BY1125" i="1"/>
  <c r="BT1125" i="1"/>
  <c r="BY1123" i="1"/>
  <c r="BT1123" i="1"/>
  <c r="BY787" i="1"/>
  <c r="BT787" i="1"/>
  <c r="BY797" i="1"/>
  <c r="BT797" i="1"/>
  <c r="CO1135" i="1"/>
  <c r="DA1135" i="1"/>
  <c r="DA1132" i="1"/>
  <c r="CO1132" i="1"/>
  <c r="CO1131" i="1"/>
  <c r="DA1131" i="1"/>
  <c r="DA1128" i="1"/>
  <c r="CO1128" i="1"/>
  <c r="CO1127" i="1"/>
  <c r="DA1127" i="1"/>
  <c r="DA1124" i="1"/>
  <c r="CO1124" i="1"/>
  <c r="CO1123" i="1"/>
  <c r="DA1123" i="1"/>
  <c r="DA786" i="1"/>
  <c r="CO786" i="1"/>
  <c r="CO797" i="1"/>
  <c r="DA797" i="1"/>
  <c r="AE1135" i="1"/>
  <c r="AP1135" i="1" s="1"/>
  <c r="AE1133" i="1"/>
  <c r="AP1133" i="1" s="1"/>
  <c r="AE1131" i="1"/>
  <c r="AP1131" i="1" s="1"/>
  <c r="AE1129" i="1"/>
  <c r="AP1129" i="1" s="1"/>
  <c r="AE1127" i="1"/>
  <c r="AP1127" i="1" s="1"/>
  <c r="AE1125" i="1"/>
  <c r="AP1125" i="1" s="1"/>
  <c r="AE1123" i="1"/>
  <c r="AP1123" i="1" s="1"/>
  <c r="AE787" i="1"/>
  <c r="AP787" i="1" s="1"/>
  <c r="AE797" i="1"/>
  <c r="AP797" i="1" s="1"/>
  <c r="AA1134" i="1"/>
  <c r="Z1134" i="1" s="1"/>
  <c r="AC1134" i="1" s="1"/>
  <c r="AA1132" i="1"/>
  <c r="Z1132" i="1" s="1"/>
  <c r="AC1132" i="1" s="1"/>
  <c r="AA1130" i="1"/>
  <c r="Z1130" i="1" s="1"/>
  <c r="AC1130" i="1" s="1"/>
  <c r="AA1128" i="1"/>
  <c r="Z1128" i="1" s="1"/>
  <c r="AC1128" i="1" s="1"/>
  <c r="AA1126" i="1"/>
  <c r="Z1126" i="1" s="1"/>
  <c r="AC1126" i="1" s="1"/>
  <c r="AA1124" i="1"/>
  <c r="Z1124" i="1" s="1"/>
  <c r="AC1124" i="1" s="1"/>
  <c r="AA1122" i="1"/>
  <c r="Z1122" i="1" s="1"/>
  <c r="AC1122" i="1" s="1"/>
  <c r="AA786" i="1"/>
  <c r="Z786" i="1" s="1"/>
  <c r="AC786" i="1" s="1"/>
  <c r="CO796" i="1"/>
  <c r="DA796" i="1"/>
  <c r="CO792" i="1"/>
  <c r="DA792" i="1"/>
  <c r="DA1061" i="1"/>
  <c r="CO795" i="1"/>
  <c r="DA793" i="1"/>
  <c r="DA791" i="1"/>
  <c r="CG714" i="1"/>
  <c r="CJ714" i="1" s="1"/>
  <c r="CS714" i="1"/>
  <c r="CT714" i="1" s="1"/>
  <c r="CG710" i="1"/>
  <c r="CJ710" i="1" s="1"/>
  <c r="CS710" i="1"/>
  <c r="CT710" i="1" s="1"/>
  <c r="CG705" i="1"/>
  <c r="CJ705" i="1" s="1"/>
  <c r="CS705" i="1"/>
  <c r="CT705" i="1" s="1"/>
  <c r="CG703" i="1"/>
  <c r="CJ703" i="1" s="1"/>
  <c r="CS703" i="1"/>
  <c r="CT703" i="1" s="1"/>
  <c r="CG701" i="1"/>
  <c r="CJ701" i="1" s="1"/>
  <c r="CS701" i="1"/>
  <c r="CT701" i="1" s="1"/>
  <c r="CG700" i="1"/>
  <c r="CJ700" i="1" s="1"/>
  <c r="CS700" i="1"/>
  <c r="CT700" i="1" s="1"/>
  <c r="CG695" i="1"/>
  <c r="CJ695" i="1" s="1"/>
  <c r="CS695" i="1"/>
  <c r="CT695" i="1" s="1"/>
  <c r="CG671" i="1"/>
  <c r="CJ671" i="1" s="1"/>
  <c r="CS671" i="1"/>
  <c r="CT671" i="1" s="1"/>
  <c r="CG521" i="1"/>
  <c r="CJ521" i="1" s="1"/>
  <c r="CS521" i="1"/>
  <c r="CT521" i="1" s="1"/>
  <c r="CG507" i="1"/>
  <c r="CJ507" i="1" s="1"/>
  <c r="CS507" i="1"/>
  <c r="CT507" i="1" s="1"/>
  <c r="CG503" i="1"/>
  <c r="CJ503" i="1" s="1"/>
  <c r="CS503" i="1"/>
  <c r="CT503" i="1" s="1"/>
  <c r="CG501" i="1"/>
  <c r="CJ501" i="1" s="1"/>
  <c r="CS501" i="1"/>
  <c r="CT501" i="1" s="1"/>
  <c r="CG497" i="1"/>
  <c r="CJ497" i="1" s="1"/>
  <c r="CS497" i="1"/>
  <c r="CT497" i="1" s="1"/>
  <c r="CG20" i="1"/>
  <c r="CJ20" i="1" s="1"/>
  <c r="CS20" i="1"/>
  <c r="CT20" i="1" s="1"/>
  <c r="CG448" i="1"/>
  <c r="CJ448" i="1" s="1"/>
  <c r="CS448" i="1"/>
  <c r="CT448" i="1" s="1"/>
  <c r="CB446" i="1"/>
  <c r="CC446" i="1" s="1"/>
  <c r="CS446" i="1"/>
  <c r="CT446" i="1" s="1"/>
  <c r="CG433" i="1"/>
  <c r="CJ433" i="1" s="1"/>
  <c r="CS433" i="1"/>
  <c r="CT433" i="1" s="1"/>
  <c r="CG432" i="1"/>
  <c r="CJ432" i="1" s="1"/>
  <c r="CS432" i="1"/>
  <c r="CT432" i="1" s="1"/>
  <c r="CG426" i="1"/>
  <c r="CJ426" i="1" s="1"/>
  <c r="CS426" i="1"/>
  <c r="CT426" i="1" s="1"/>
  <c r="CG422" i="1"/>
  <c r="CJ422" i="1" s="1"/>
  <c r="CS422" i="1"/>
  <c r="CT422" i="1" s="1"/>
  <c r="CG420" i="1"/>
  <c r="CJ420" i="1" s="1"/>
  <c r="CS420" i="1"/>
  <c r="CT420" i="1" s="1"/>
  <c r="CG418" i="1"/>
  <c r="CJ418" i="1" s="1"/>
  <c r="CS418" i="1"/>
  <c r="CT418" i="1" s="1"/>
  <c r="CG415" i="1"/>
  <c r="CJ415" i="1" s="1"/>
  <c r="CS415" i="1"/>
  <c r="CT415" i="1" s="1"/>
  <c r="CG413" i="1"/>
  <c r="CJ413" i="1" s="1"/>
  <c r="CS413" i="1"/>
  <c r="CT413" i="1" s="1"/>
  <c r="CG408" i="1"/>
  <c r="CJ408" i="1" s="1"/>
  <c r="CS408" i="1"/>
  <c r="CT408" i="1" s="1"/>
  <c r="CG406" i="1"/>
  <c r="CJ406" i="1" s="1"/>
  <c r="CS406" i="1"/>
  <c r="CT406" i="1" s="1"/>
  <c r="CG404" i="1"/>
  <c r="CJ404" i="1" s="1"/>
  <c r="CS404" i="1"/>
  <c r="CT404" i="1" s="1"/>
  <c r="CG402" i="1"/>
  <c r="CJ402" i="1" s="1"/>
  <c r="CS402" i="1"/>
  <c r="CT402" i="1" s="1"/>
  <c r="CG400" i="1"/>
  <c r="CJ400" i="1" s="1"/>
  <c r="CS400" i="1"/>
  <c r="CT400" i="1" s="1"/>
  <c r="CG398" i="1"/>
  <c r="CJ398" i="1" s="1"/>
  <c r="CS398" i="1"/>
  <c r="CT398" i="1" s="1"/>
  <c r="CG396" i="1"/>
  <c r="CJ396" i="1" s="1"/>
  <c r="CS396" i="1"/>
  <c r="CT396" i="1" s="1"/>
  <c r="CG394" i="1"/>
  <c r="CJ394" i="1" s="1"/>
  <c r="CS394" i="1"/>
  <c r="CT394" i="1" s="1"/>
  <c r="CG386" i="1"/>
  <c r="CJ386" i="1" s="1"/>
  <c r="CS386" i="1"/>
  <c r="CT386" i="1" s="1"/>
  <c r="CG162" i="1"/>
  <c r="CJ162" i="1" s="1"/>
  <c r="CS162" i="1"/>
  <c r="CT162" i="1" s="1"/>
  <c r="CG151" i="1"/>
  <c r="CJ151" i="1" s="1"/>
  <c r="CS151" i="1"/>
  <c r="CT151" i="1" s="1"/>
  <c r="CG149" i="1"/>
  <c r="CJ149" i="1" s="1"/>
  <c r="CS149" i="1"/>
  <c r="CT149" i="1" s="1"/>
  <c r="CG147" i="1"/>
  <c r="CJ147" i="1" s="1"/>
  <c r="CS147" i="1"/>
  <c r="CT147" i="1" s="1"/>
  <c r="CG141" i="1"/>
  <c r="CJ141" i="1" s="1"/>
  <c r="CS141" i="1"/>
  <c r="CT141" i="1" s="1"/>
  <c r="CG101" i="1"/>
  <c r="CJ101" i="1" s="1"/>
  <c r="CS101" i="1"/>
  <c r="CT101" i="1" s="1"/>
  <c r="CB94" i="1"/>
  <c r="CC94" i="1" s="1"/>
  <c r="CS94" i="1"/>
  <c r="CT94" i="1" s="1"/>
  <c r="CG85" i="1"/>
  <c r="CJ85" i="1" s="1"/>
  <c r="CS85" i="1"/>
  <c r="CT85" i="1" s="1"/>
  <c r="CG71" i="1"/>
  <c r="CJ71" i="1" s="1"/>
  <c r="CS71" i="1"/>
  <c r="CT71" i="1" s="1"/>
  <c r="CG63" i="1"/>
  <c r="CJ63" i="1" s="1"/>
  <c r="CS63" i="1"/>
  <c r="CT63" i="1" s="1"/>
  <c r="CG61" i="1"/>
  <c r="CJ61" i="1" s="1"/>
  <c r="CS61" i="1"/>
  <c r="CT61" i="1" s="1"/>
  <c r="CB161" i="1"/>
  <c r="CC161" i="1" s="1"/>
  <c r="CS161" i="1"/>
  <c r="CT161" i="1" s="1"/>
  <c r="CG29" i="1"/>
  <c r="CJ29" i="1" s="1"/>
  <c r="CS29" i="1"/>
  <c r="CT29" i="1" s="1"/>
  <c r="CG27" i="1"/>
  <c r="CJ27" i="1" s="1"/>
  <c r="CS27" i="1"/>
  <c r="CT27" i="1" s="1"/>
  <c r="CG17" i="1"/>
  <c r="CJ17" i="1" s="1"/>
  <c r="CS17" i="1"/>
  <c r="CT17" i="1" s="1"/>
  <c r="CG13" i="1"/>
  <c r="CJ13" i="1" s="1"/>
  <c r="CS13" i="1"/>
  <c r="CT13" i="1" s="1"/>
  <c r="CG9" i="1"/>
  <c r="CJ9" i="1" s="1"/>
  <c r="CS9" i="1"/>
  <c r="CT9" i="1" s="1"/>
  <c r="CG711" i="1"/>
  <c r="CJ711" i="1" s="1"/>
  <c r="CS711" i="1"/>
  <c r="CT711" i="1" s="1"/>
  <c r="CG702" i="1"/>
  <c r="CJ702" i="1" s="1"/>
  <c r="CS702" i="1"/>
  <c r="CT702" i="1" s="1"/>
  <c r="CG509" i="1"/>
  <c r="CJ509" i="1" s="1"/>
  <c r="CS509" i="1"/>
  <c r="CT509" i="1" s="1"/>
  <c r="CG508" i="1"/>
  <c r="CJ508" i="1" s="1"/>
  <c r="CS508" i="1"/>
  <c r="CT508" i="1" s="1"/>
  <c r="CG505" i="1"/>
  <c r="CJ505" i="1" s="1"/>
  <c r="CS505" i="1"/>
  <c r="CT505" i="1" s="1"/>
  <c r="CG692" i="1"/>
  <c r="CJ692" i="1" s="1"/>
  <c r="CS692" i="1"/>
  <c r="CT692" i="1" s="1"/>
  <c r="CG688" i="1"/>
  <c r="CJ688" i="1" s="1"/>
  <c r="CS688" i="1"/>
  <c r="CT688" i="1" s="1"/>
  <c r="CG686" i="1"/>
  <c r="CJ686" i="1" s="1"/>
  <c r="CS686" i="1"/>
  <c r="CT686" i="1" s="1"/>
  <c r="CG506" i="1"/>
  <c r="CJ506" i="1" s="1"/>
  <c r="CS506" i="1"/>
  <c r="CT506" i="1" s="1"/>
  <c r="CG500" i="1"/>
  <c r="CJ500" i="1" s="1"/>
  <c r="CS500" i="1"/>
  <c r="CT500" i="1" s="1"/>
  <c r="CG498" i="1"/>
  <c r="CJ498" i="1" s="1"/>
  <c r="CS498" i="1"/>
  <c r="CT498" i="1" s="1"/>
  <c r="CG496" i="1"/>
  <c r="CJ496" i="1" s="1"/>
  <c r="CS496" i="1"/>
  <c r="CT496" i="1" s="1"/>
  <c r="CG472" i="1"/>
  <c r="CJ472" i="1" s="1"/>
  <c r="CS472" i="1"/>
  <c r="CT472" i="1" s="1"/>
  <c r="CG463" i="1"/>
  <c r="CJ463" i="1" s="1"/>
  <c r="CS463" i="1"/>
  <c r="CT463" i="1" s="1"/>
  <c r="CG462" i="1"/>
  <c r="CJ462" i="1" s="1"/>
  <c r="CS462" i="1"/>
  <c r="CT462" i="1" s="1"/>
  <c r="CG454" i="1"/>
  <c r="CJ454" i="1" s="1"/>
  <c r="CS454" i="1"/>
  <c r="CT454" i="1" s="1"/>
  <c r="CG450" i="1"/>
  <c r="CJ450" i="1" s="1"/>
  <c r="CS450" i="1"/>
  <c r="CT450" i="1" s="1"/>
  <c r="CG449" i="1"/>
  <c r="CJ449" i="1" s="1"/>
  <c r="CS449" i="1"/>
  <c r="CT449" i="1" s="1"/>
  <c r="CG441" i="1"/>
  <c r="CJ441" i="1" s="1"/>
  <c r="CS441" i="1"/>
  <c r="CT441" i="1" s="1"/>
  <c r="CG434" i="1"/>
  <c r="CJ434" i="1" s="1"/>
  <c r="CS434" i="1"/>
  <c r="CT434" i="1" s="1"/>
  <c r="CG431" i="1"/>
  <c r="CJ431" i="1" s="1"/>
  <c r="CS431" i="1"/>
  <c r="CT431" i="1" s="1"/>
  <c r="CG425" i="1"/>
  <c r="CJ425" i="1" s="1"/>
  <c r="CS425" i="1"/>
  <c r="CT425" i="1" s="1"/>
  <c r="CG423" i="1"/>
  <c r="CJ423" i="1" s="1"/>
  <c r="CS423" i="1"/>
  <c r="CT423" i="1" s="1"/>
  <c r="CG419" i="1"/>
  <c r="CJ419" i="1" s="1"/>
  <c r="CS419" i="1"/>
  <c r="CT419" i="1" s="1"/>
  <c r="CG407" i="1"/>
  <c r="CJ407" i="1" s="1"/>
  <c r="CS407" i="1"/>
  <c r="CT407" i="1" s="1"/>
  <c r="CG405" i="1"/>
  <c r="CJ405" i="1" s="1"/>
  <c r="CS405" i="1"/>
  <c r="CT405" i="1" s="1"/>
  <c r="CG403" i="1"/>
  <c r="CJ403" i="1" s="1"/>
  <c r="CS403" i="1"/>
  <c r="CT403" i="1" s="1"/>
  <c r="CG399" i="1"/>
  <c r="CJ399" i="1" s="1"/>
  <c r="CS399" i="1"/>
  <c r="CT399" i="1" s="1"/>
  <c r="CG397" i="1"/>
  <c r="CJ397" i="1" s="1"/>
  <c r="CS397" i="1"/>
  <c r="CT397" i="1" s="1"/>
  <c r="CG395" i="1"/>
  <c r="CJ395" i="1" s="1"/>
  <c r="CS395" i="1"/>
  <c r="CT395" i="1" s="1"/>
  <c r="CG391" i="1"/>
  <c r="CJ391" i="1" s="1"/>
  <c r="CS391" i="1"/>
  <c r="CT391" i="1" s="1"/>
  <c r="CG389" i="1"/>
  <c r="CJ389" i="1" s="1"/>
  <c r="CS389" i="1"/>
  <c r="CT389" i="1" s="1"/>
  <c r="CG385" i="1"/>
  <c r="CJ385" i="1" s="1"/>
  <c r="CS385" i="1"/>
  <c r="CT385" i="1" s="1"/>
  <c r="CG383" i="1"/>
  <c r="CJ383" i="1" s="1"/>
  <c r="CS383" i="1"/>
  <c r="CT383" i="1" s="1"/>
  <c r="CG381" i="1"/>
  <c r="CJ381" i="1" s="1"/>
  <c r="CS381" i="1"/>
  <c r="CT381" i="1" s="1"/>
  <c r="CG377" i="1"/>
  <c r="CJ377" i="1" s="1"/>
  <c r="CS377" i="1"/>
  <c r="CT377" i="1" s="1"/>
  <c r="CG375" i="1"/>
  <c r="CJ375" i="1" s="1"/>
  <c r="CS375" i="1"/>
  <c r="CT375" i="1" s="1"/>
  <c r="CG373" i="1"/>
  <c r="CJ373" i="1" s="1"/>
  <c r="CS373" i="1"/>
  <c r="CT373" i="1" s="1"/>
  <c r="CG371" i="1"/>
  <c r="CJ371" i="1" s="1"/>
  <c r="CS371" i="1"/>
  <c r="CT371" i="1" s="1"/>
  <c r="CG369" i="1"/>
  <c r="CJ369" i="1" s="1"/>
  <c r="CS369" i="1"/>
  <c r="CT369" i="1" s="1"/>
  <c r="CG167" i="1"/>
  <c r="CJ167" i="1" s="1"/>
  <c r="CS167" i="1"/>
  <c r="CT167" i="1" s="1"/>
  <c r="CG163" i="1"/>
  <c r="CJ163" i="1" s="1"/>
  <c r="CS163" i="1"/>
  <c r="CT163" i="1" s="1"/>
  <c r="CG158" i="1"/>
  <c r="CJ158" i="1" s="1"/>
  <c r="CS158" i="1"/>
  <c r="CT158" i="1" s="1"/>
  <c r="CG150" i="1"/>
  <c r="CJ150" i="1" s="1"/>
  <c r="CS150" i="1"/>
  <c r="CT150" i="1" s="1"/>
  <c r="CG148" i="1"/>
  <c r="CJ148" i="1" s="1"/>
  <c r="CS148" i="1"/>
  <c r="CT148" i="1" s="1"/>
  <c r="CG113" i="1"/>
  <c r="CJ113" i="1" s="1"/>
  <c r="CS113" i="1"/>
  <c r="CT113" i="1" s="1"/>
  <c r="CG107" i="1"/>
  <c r="CJ107" i="1" s="1"/>
  <c r="CS107" i="1"/>
  <c r="CT107" i="1" s="1"/>
  <c r="CG82" i="1"/>
  <c r="CJ82" i="1" s="1"/>
  <c r="CS82" i="1"/>
  <c r="CT82" i="1" s="1"/>
  <c r="CG80" i="1"/>
  <c r="CJ80" i="1" s="1"/>
  <c r="CS80" i="1"/>
  <c r="CT80" i="1" s="1"/>
  <c r="CG76" i="1"/>
  <c r="CJ76" i="1" s="1"/>
  <c r="CS76" i="1"/>
  <c r="CT76" i="1" s="1"/>
  <c r="CG62" i="1"/>
  <c r="CJ62" i="1" s="1"/>
  <c r="CS62" i="1"/>
  <c r="CT62" i="1" s="1"/>
  <c r="CG60" i="1"/>
  <c r="CJ60" i="1" s="1"/>
  <c r="CS60" i="1"/>
  <c r="CT60" i="1" s="1"/>
  <c r="CG28" i="1"/>
  <c r="CJ28" i="1" s="1"/>
  <c r="CS28" i="1"/>
  <c r="CT28" i="1" s="1"/>
  <c r="CG26" i="1"/>
  <c r="CJ26" i="1" s="1"/>
  <c r="CS26" i="1"/>
  <c r="CT26" i="1" s="1"/>
  <c r="CG21" i="1"/>
  <c r="CJ21" i="1" s="1"/>
  <c r="CS21" i="1"/>
  <c r="CT21" i="1" s="1"/>
  <c r="CG18" i="1"/>
  <c r="CJ18" i="1" s="1"/>
  <c r="CS18" i="1"/>
  <c r="CT18" i="1" s="1"/>
  <c r="CB766" i="1"/>
  <c r="CC766" i="1" s="1"/>
  <c r="CG766" i="1"/>
  <c r="CJ766" i="1" s="1"/>
  <c r="CB764" i="1"/>
  <c r="CC764" i="1" s="1"/>
  <c r="CG764" i="1"/>
  <c r="CJ764" i="1" s="1"/>
  <c r="CB762" i="1"/>
  <c r="CC762" i="1" s="1"/>
  <c r="CG762" i="1"/>
  <c r="CJ762" i="1" s="1"/>
  <c r="CB760" i="1"/>
  <c r="CC760" i="1" s="1"/>
  <c r="CG760" i="1"/>
  <c r="CJ760" i="1" s="1"/>
  <c r="CB758" i="1"/>
  <c r="CC758" i="1" s="1"/>
  <c r="CG758" i="1"/>
  <c r="CJ758" i="1" s="1"/>
  <c r="CB756" i="1"/>
  <c r="CC756" i="1" s="1"/>
  <c r="CG756" i="1"/>
  <c r="CJ756" i="1" s="1"/>
  <c r="CB754" i="1"/>
  <c r="CC754" i="1" s="1"/>
  <c r="CG754" i="1"/>
  <c r="CJ754" i="1" s="1"/>
  <c r="CB752" i="1"/>
  <c r="CC752" i="1" s="1"/>
  <c r="CG752" i="1"/>
  <c r="CJ752" i="1" s="1"/>
  <c r="CB750" i="1"/>
  <c r="CC750" i="1" s="1"/>
  <c r="CG750" i="1"/>
  <c r="CJ750" i="1" s="1"/>
  <c r="CB748" i="1"/>
  <c r="CC748" i="1" s="1"/>
  <c r="CG748" i="1"/>
  <c r="CJ748" i="1" s="1"/>
  <c r="CB746" i="1"/>
  <c r="CC746" i="1" s="1"/>
  <c r="CG746" i="1"/>
  <c r="CJ746" i="1" s="1"/>
  <c r="CB744" i="1"/>
  <c r="CC744" i="1" s="1"/>
  <c r="CG744" i="1"/>
  <c r="CJ744" i="1" s="1"/>
  <c r="CB742" i="1"/>
  <c r="CC742" i="1" s="1"/>
  <c r="CG742" i="1"/>
  <c r="CJ742" i="1" s="1"/>
  <c r="CB740" i="1"/>
  <c r="CC740" i="1" s="1"/>
  <c r="CG740" i="1"/>
  <c r="CJ740" i="1" s="1"/>
  <c r="CB738" i="1"/>
  <c r="CC738" i="1" s="1"/>
  <c r="CG738" i="1"/>
  <c r="CJ738" i="1" s="1"/>
  <c r="CB736" i="1"/>
  <c r="CC736" i="1" s="1"/>
  <c r="CG736" i="1"/>
  <c r="CJ736" i="1" s="1"/>
  <c r="CB734" i="1"/>
  <c r="CC734" i="1" s="1"/>
  <c r="CG734" i="1"/>
  <c r="CJ734" i="1" s="1"/>
  <c r="CB732" i="1"/>
  <c r="CC732" i="1" s="1"/>
  <c r="CG732" i="1"/>
  <c r="CJ732" i="1" s="1"/>
  <c r="CB730" i="1"/>
  <c r="CC730" i="1" s="1"/>
  <c r="CG730" i="1"/>
  <c r="CJ730" i="1" s="1"/>
  <c r="CB728" i="1"/>
  <c r="CC728" i="1" s="1"/>
  <c r="CG728" i="1"/>
  <c r="CJ728" i="1" s="1"/>
  <c r="CB726" i="1"/>
  <c r="CC726" i="1" s="1"/>
  <c r="CG726" i="1"/>
  <c r="CJ726" i="1" s="1"/>
  <c r="CB724" i="1"/>
  <c r="CC724" i="1" s="1"/>
  <c r="CG724" i="1"/>
  <c r="CJ724" i="1" s="1"/>
  <c r="CB722" i="1"/>
  <c r="CC722" i="1" s="1"/>
  <c r="CG722" i="1"/>
  <c r="CJ722" i="1" s="1"/>
  <c r="CB720" i="1"/>
  <c r="CC720" i="1" s="1"/>
  <c r="CG720" i="1"/>
  <c r="CJ720" i="1" s="1"/>
  <c r="CB718" i="1"/>
  <c r="CC718" i="1" s="1"/>
  <c r="CG718" i="1"/>
  <c r="CJ718" i="1" s="1"/>
  <c r="CB708" i="1"/>
  <c r="CC708" i="1" s="1"/>
  <c r="CG708" i="1"/>
  <c r="CJ708" i="1" s="1"/>
  <c r="CB684" i="1"/>
  <c r="CC684" i="1" s="1"/>
  <c r="CG684" i="1"/>
  <c r="CJ684" i="1" s="1"/>
  <c r="CB682" i="1"/>
  <c r="CC682" i="1" s="1"/>
  <c r="CG682" i="1"/>
  <c r="CJ682" i="1" s="1"/>
  <c r="CB680" i="1"/>
  <c r="CC680" i="1" s="1"/>
  <c r="CG680" i="1"/>
  <c r="CJ680" i="1" s="1"/>
  <c r="CB678" i="1"/>
  <c r="CC678" i="1" s="1"/>
  <c r="CG678" i="1"/>
  <c r="CJ678" i="1" s="1"/>
  <c r="CB676" i="1"/>
  <c r="CC676" i="1" s="1"/>
  <c r="CG676" i="1"/>
  <c r="CJ676" i="1" s="1"/>
  <c r="CB673" i="1"/>
  <c r="CC673" i="1" s="1"/>
  <c r="CG673" i="1"/>
  <c r="CJ673" i="1" s="1"/>
  <c r="CB670" i="1"/>
  <c r="CC670" i="1" s="1"/>
  <c r="CG670" i="1"/>
  <c r="CJ670" i="1" s="1"/>
  <c r="CB487" i="1"/>
  <c r="CC487" i="1" s="1"/>
  <c r="CG487" i="1"/>
  <c r="CJ487" i="1" s="1"/>
  <c r="CB668" i="1"/>
  <c r="CC668" i="1" s="1"/>
  <c r="CG668" i="1"/>
  <c r="CJ668" i="1" s="1"/>
  <c r="CB666" i="1"/>
  <c r="CC666" i="1" s="1"/>
  <c r="CG666" i="1"/>
  <c r="CJ666" i="1" s="1"/>
  <c r="CB664" i="1"/>
  <c r="CC664" i="1" s="1"/>
  <c r="CG664" i="1"/>
  <c r="CJ664" i="1" s="1"/>
  <c r="CB662" i="1"/>
  <c r="CC662" i="1" s="1"/>
  <c r="CG662" i="1"/>
  <c r="CJ662" i="1" s="1"/>
  <c r="CB660" i="1"/>
  <c r="CC660" i="1" s="1"/>
  <c r="CG660" i="1"/>
  <c r="CJ660" i="1" s="1"/>
  <c r="CB658" i="1"/>
  <c r="CC658" i="1" s="1"/>
  <c r="CG658" i="1"/>
  <c r="CJ658" i="1" s="1"/>
  <c r="CB656" i="1"/>
  <c r="CC656" i="1" s="1"/>
  <c r="CG656" i="1"/>
  <c r="CJ656" i="1" s="1"/>
  <c r="CB654" i="1"/>
  <c r="CC654" i="1" s="1"/>
  <c r="CG654" i="1"/>
  <c r="CJ654" i="1" s="1"/>
  <c r="CB652" i="1"/>
  <c r="CC652" i="1" s="1"/>
  <c r="CG652" i="1"/>
  <c r="CJ652" i="1" s="1"/>
  <c r="CB650" i="1"/>
  <c r="CC650" i="1" s="1"/>
  <c r="CG650" i="1"/>
  <c r="CJ650" i="1" s="1"/>
  <c r="CB648" i="1"/>
  <c r="CC648" i="1" s="1"/>
  <c r="CG648" i="1"/>
  <c r="CJ648" i="1" s="1"/>
  <c r="CB646" i="1"/>
  <c r="CC646" i="1" s="1"/>
  <c r="CG646" i="1"/>
  <c r="CJ646" i="1" s="1"/>
  <c r="CB644" i="1"/>
  <c r="CC644" i="1" s="1"/>
  <c r="CG644" i="1"/>
  <c r="CJ644" i="1" s="1"/>
  <c r="CB642" i="1"/>
  <c r="CC642" i="1" s="1"/>
  <c r="CG642" i="1"/>
  <c r="CJ642" i="1" s="1"/>
  <c r="CB640" i="1"/>
  <c r="CC640" i="1" s="1"/>
  <c r="CG640" i="1"/>
  <c r="CJ640" i="1" s="1"/>
  <c r="CB638" i="1"/>
  <c r="CC638" i="1" s="1"/>
  <c r="CG638" i="1"/>
  <c r="CJ638" i="1" s="1"/>
  <c r="CB636" i="1"/>
  <c r="CC636" i="1" s="1"/>
  <c r="CG636" i="1"/>
  <c r="CJ636" i="1" s="1"/>
  <c r="CB634" i="1"/>
  <c r="CC634" i="1" s="1"/>
  <c r="CG634" i="1"/>
  <c r="CJ634" i="1" s="1"/>
  <c r="CB632" i="1"/>
  <c r="CC632" i="1" s="1"/>
  <c r="CG632" i="1"/>
  <c r="CJ632" i="1" s="1"/>
  <c r="CB630" i="1"/>
  <c r="CC630" i="1" s="1"/>
  <c r="CG630" i="1"/>
  <c r="CJ630" i="1" s="1"/>
  <c r="CB628" i="1"/>
  <c r="CC628" i="1" s="1"/>
  <c r="CG628" i="1"/>
  <c r="CJ628" i="1" s="1"/>
  <c r="CB626" i="1"/>
  <c r="CC626" i="1" s="1"/>
  <c r="CG626" i="1"/>
  <c r="CJ626" i="1" s="1"/>
  <c r="CB624" i="1"/>
  <c r="CC624" i="1" s="1"/>
  <c r="CG624" i="1"/>
  <c r="CJ624" i="1" s="1"/>
  <c r="CB622" i="1"/>
  <c r="CC622" i="1" s="1"/>
  <c r="CG622" i="1"/>
  <c r="CJ622" i="1" s="1"/>
  <c r="CB620" i="1"/>
  <c r="CC620" i="1" s="1"/>
  <c r="CG620" i="1"/>
  <c r="CJ620" i="1" s="1"/>
  <c r="CB618" i="1"/>
  <c r="CC618" i="1" s="1"/>
  <c r="CG618" i="1"/>
  <c r="CJ618" i="1" s="1"/>
  <c r="CB616" i="1"/>
  <c r="CC616" i="1" s="1"/>
  <c r="CG616" i="1"/>
  <c r="CJ616" i="1" s="1"/>
  <c r="CB614" i="1"/>
  <c r="CC614" i="1" s="1"/>
  <c r="CG614" i="1"/>
  <c r="CJ614" i="1" s="1"/>
  <c r="CB612" i="1"/>
  <c r="CC612" i="1" s="1"/>
  <c r="CG612" i="1"/>
  <c r="CJ612" i="1" s="1"/>
  <c r="CB610" i="1"/>
  <c r="CC610" i="1" s="1"/>
  <c r="CG610" i="1"/>
  <c r="CJ610" i="1" s="1"/>
  <c r="CB606" i="1"/>
  <c r="CC606" i="1" s="1"/>
  <c r="CG606" i="1"/>
  <c r="CJ606" i="1" s="1"/>
  <c r="CB604" i="1"/>
  <c r="CC604" i="1" s="1"/>
  <c r="CG604" i="1"/>
  <c r="CJ604" i="1" s="1"/>
  <c r="CB602" i="1"/>
  <c r="CC602" i="1" s="1"/>
  <c r="CG602" i="1"/>
  <c r="CJ602" i="1" s="1"/>
  <c r="CB600" i="1"/>
  <c r="CC600" i="1" s="1"/>
  <c r="CG600" i="1"/>
  <c r="CJ600" i="1" s="1"/>
  <c r="CB598" i="1"/>
  <c r="CC598" i="1" s="1"/>
  <c r="CG598" i="1"/>
  <c r="CJ598" i="1" s="1"/>
  <c r="CB596" i="1"/>
  <c r="CC596" i="1" s="1"/>
  <c r="CG596" i="1"/>
  <c r="CJ596" i="1" s="1"/>
  <c r="CB594" i="1"/>
  <c r="CC594" i="1" s="1"/>
  <c r="CG594" i="1"/>
  <c r="CJ594" i="1" s="1"/>
  <c r="CB592" i="1"/>
  <c r="CC592" i="1" s="1"/>
  <c r="CG592" i="1"/>
  <c r="CJ592" i="1" s="1"/>
  <c r="CB590" i="1"/>
  <c r="CC590" i="1" s="1"/>
  <c r="CG590" i="1"/>
  <c r="CJ590" i="1" s="1"/>
  <c r="CB588" i="1"/>
  <c r="CC588" i="1" s="1"/>
  <c r="CG588" i="1"/>
  <c r="CJ588" i="1" s="1"/>
  <c r="CB586" i="1"/>
  <c r="CC586" i="1" s="1"/>
  <c r="CG586" i="1"/>
  <c r="CJ586" i="1" s="1"/>
  <c r="CB584" i="1"/>
  <c r="CC584" i="1" s="1"/>
  <c r="CG584" i="1"/>
  <c r="CJ584" i="1" s="1"/>
  <c r="CB582" i="1"/>
  <c r="CC582" i="1" s="1"/>
  <c r="CG582" i="1"/>
  <c r="CJ582" i="1" s="1"/>
  <c r="CB580" i="1"/>
  <c r="CC580" i="1" s="1"/>
  <c r="CG580" i="1"/>
  <c r="CJ580" i="1" s="1"/>
  <c r="CB578" i="1"/>
  <c r="CC578" i="1" s="1"/>
  <c r="CG578" i="1"/>
  <c r="CJ578" i="1" s="1"/>
  <c r="CB576" i="1"/>
  <c r="CC576" i="1" s="1"/>
  <c r="CG576" i="1"/>
  <c r="CJ576" i="1" s="1"/>
  <c r="CB574" i="1"/>
  <c r="CC574" i="1" s="1"/>
  <c r="CG574" i="1"/>
  <c r="CJ574" i="1" s="1"/>
  <c r="CB572" i="1"/>
  <c r="CC572" i="1" s="1"/>
  <c r="CG572" i="1"/>
  <c r="CJ572" i="1" s="1"/>
  <c r="CB570" i="1"/>
  <c r="CC570" i="1" s="1"/>
  <c r="CG570" i="1"/>
  <c r="CJ570" i="1" s="1"/>
  <c r="CB566" i="1"/>
  <c r="CC566" i="1" s="1"/>
  <c r="CG566" i="1"/>
  <c r="CJ566" i="1" s="1"/>
  <c r="CB564" i="1"/>
  <c r="CC564" i="1" s="1"/>
  <c r="CG564" i="1"/>
  <c r="CJ564" i="1" s="1"/>
  <c r="CB562" i="1"/>
  <c r="CC562" i="1" s="1"/>
  <c r="CG562" i="1"/>
  <c r="CJ562" i="1" s="1"/>
  <c r="CB515" i="1"/>
  <c r="CC515" i="1" s="1"/>
  <c r="CG515" i="1"/>
  <c r="CJ515" i="1" s="1"/>
  <c r="CB559" i="1"/>
  <c r="CC559" i="1" s="1"/>
  <c r="CG559" i="1"/>
  <c r="CJ559" i="1" s="1"/>
  <c r="CB557" i="1"/>
  <c r="CC557" i="1" s="1"/>
  <c r="CG557" i="1"/>
  <c r="CJ557" i="1" s="1"/>
  <c r="CB555" i="1"/>
  <c r="CC555" i="1" s="1"/>
  <c r="CG555" i="1"/>
  <c r="CJ555" i="1" s="1"/>
  <c r="CB513" i="1"/>
  <c r="CC513" i="1" s="1"/>
  <c r="CG513" i="1"/>
  <c r="CJ513" i="1" s="1"/>
  <c r="CB553" i="1"/>
  <c r="CC553" i="1" s="1"/>
  <c r="CG553" i="1"/>
  <c r="CJ553" i="1" s="1"/>
  <c r="CB551" i="1"/>
  <c r="CC551" i="1" s="1"/>
  <c r="CG551" i="1"/>
  <c r="CJ551" i="1" s="1"/>
  <c r="CB511" i="1"/>
  <c r="CC511" i="1" s="1"/>
  <c r="CG511" i="1"/>
  <c r="CJ511" i="1" s="1"/>
  <c r="CB548" i="1"/>
  <c r="CC548" i="1" s="1"/>
  <c r="CG548" i="1"/>
  <c r="CJ548" i="1" s="1"/>
  <c r="CB546" i="1"/>
  <c r="CC546" i="1" s="1"/>
  <c r="CG546" i="1"/>
  <c r="CJ546" i="1" s="1"/>
  <c r="CB544" i="1"/>
  <c r="CC544" i="1" s="1"/>
  <c r="CG544" i="1"/>
  <c r="CJ544" i="1" s="1"/>
  <c r="CB538" i="1"/>
  <c r="CC538" i="1" s="1"/>
  <c r="CG538" i="1"/>
  <c r="CJ538" i="1" s="1"/>
  <c r="CB530" i="1"/>
  <c r="CC530" i="1" s="1"/>
  <c r="CG530" i="1"/>
  <c r="CJ530" i="1" s="1"/>
  <c r="CB528" i="1"/>
  <c r="CC528" i="1" s="1"/>
  <c r="CG528" i="1"/>
  <c r="CJ528" i="1" s="1"/>
  <c r="CB524" i="1"/>
  <c r="CC524" i="1" s="1"/>
  <c r="CG524" i="1"/>
  <c r="CJ524" i="1" s="1"/>
  <c r="CB520" i="1"/>
  <c r="CC520" i="1" s="1"/>
  <c r="CG520" i="1"/>
  <c r="CJ520" i="1" s="1"/>
  <c r="CB518" i="1"/>
  <c r="CC518" i="1" s="1"/>
  <c r="CG518" i="1"/>
  <c r="CJ518" i="1" s="1"/>
  <c r="CB516" i="1"/>
  <c r="CC516" i="1" s="1"/>
  <c r="CG516" i="1"/>
  <c r="CJ516" i="1" s="1"/>
  <c r="CB510" i="1"/>
  <c r="CC510" i="1" s="1"/>
  <c r="CG510" i="1"/>
  <c r="CJ510" i="1" s="1"/>
  <c r="CB504" i="1"/>
  <c r="CC504" i="1" s="1"/>
  <c r="CG504" i="1"/>
  <c r="CJ504" i="1" s="1"/>
  <c r="CB502" i="1"/>
  <c r="CC502" i="1" s="1"/>
  <c r="CG502" i="1"/>
  <c r="CJ502" i="1" s="1"/>
  <c r="CB494" i="1"/>
  <c r="CC494" i="1" s="1"/>
  <c r="CG494" i="1"/>
  <c r="CJ494" i="1" s="1"/>
  <c r="CB493" i="1"/>
  <c r="CC493" i="1" s="1"/>
  <c r="CG493" i="1"/>
  <c r="CJ493" i="1" s="1"/>
  <c r="CB491" i="1"/>
  <c r="CC491" i="1" s="1"/>
  <c r="CG491" i="1"/>
  <c r="CJ491" i="1" s="1"/>
  <c r="CB489" i="1"/>
  <c r="CC489" i="1" s="1"/>
  <c r="CG489" i="1"/>
  <c r="CJ489" i="1" s="1"/>
  <c r="CB484" i="1"/>
  <c r="CC484" i="1" s="1"/>
  <c r="CG484" i="1"/>
  <c r="CJ484" i="1" s="1"/>
  <c r="CB479" i="1"/>
  <c r="CC479" i="1" s="1"/>
  <c r="CG479" i="1"/>
  <c r="CJ479" i="1" s="1"/>
  <c r="CB477" i="1"/>
  <c r="CC477" i="1" s="1"/>
  <c r="CG477" i="1"/>
  <c r="CJ477" i="1" s="1"/>
  <c r="CB476" i="1"/>
  <c r="CC476" i="1" s="1"/>
  <c r="CG476" i="1"/>
  <c r="CJ476" i="1" s="1"/>
  <c r="CB474" i="1"/>
  <c r="CC474" i="1" s="1"/>
  <c r="CG474" i="1"/>
  <c r="CJ474" i="1" s="1"/>
  <c r="CB469" i="1"/>
  <c r="CC469" i="1" s="1"/>
  <c r="CG469" i="1"/>
  <c r="CJ469" i="1" s="1"/>
  <c r="CB467" i="1"/>
  <c r="CC467" i="1" s="1"/>
  <c r="CG467" i="1"/>
  <c r="CJ467" i="1" s="1"/>
  <c r="CB465" i="1"/>
  <c r="CC465" i="1" s="1"/>
  <c r="CG465" i="1"/>
  <c r="CJ465" i="1" s="1"/>
  <c r="CB460" i="1"/>
  <c r="CC460" i="1" s="1"/>
  <c r="CG460" i="1"/>
  <c r="CJ460" i="1" s="1"/>
  <c r="CB379" i="1"/>
  <c r="CC379" i="1" s="1"/>
  <c r="CG379" i="1"/>
  <c r="CJ379" i="1" s="1"/>
  <c r="CB93" i="1"/>
  <c r="CC93" i="1" s="1"/>
  <c r="CG93" i="1"/>
  <c r="CJ93" i="1" s="1"/>
  <c r="CB456" i="1"/>
  <c r="CC456" i="1" s="1"/>
  <c r="CG456" i="1"/>
  <c r="CJ456" i="1" s="1"/>
  <c r="CB452" i="1"/>
  <c r="CC452" i="1" s="1"/>
  <c r="CG452" i="1"/>
  <c r="CJ452" i="1" s="1"/>
  <c r="CB447" i="1"/>
  <c r="CC447" i="1" s="1"/>
  <c r="CG447" i="1"/>
  <c r="CJ447" i="1" s="1"/>
  <c r="CB445" i="1"/>
  <c r="CC445" i="1" s="1"/>
  <c r="CG445" i="1"/>
  <c r="CJ445" i="1" s="1"/>
  <c r="CB443" i="1"/>
  <c r="CC443" i="1" s="1"/>
  <c r="CG443" i="1"/>
  <c r="CJ443" i="1" s="1"/>
  <c r="CB438" i="1"/>
  <c r="CC438" i="1" s="1"/>
  <c r="CG438" i="1"/>
  <c r="CJ438" i="1" s="1"/>
  <c r="CB436" i="1"/>
  <c r="CC436" i="1" s="1"/>
  <c r="CG436" i="1"/>
  <c r="CJ436" i="1" s="1"/>
  <c r="CB429" i="1"/>
  <c r="CC429" i="1" s="1"/>
  <c r="CG429" i="1"/>
  <c r="CJ429" i="1" s="1"/>
  <c r="CB421" i="1"/>
  <c r="CC421" i="1" s="1"/>
  <c r="CG421" i="1"/>
  <c r="CJ421" i="1" s="1"/>
  <c r="CB417" i="1"/>
  <c r="CC417" i="1" s="1"/>
  <c r="CG417" i="1"/>
  <c r="CJ417" i="1" s="1"/>
  <c r="CB416" i="1"/>
  <c r="CC416" i="1" s="1"/>
  <c r="CG416" i="1"/>
  <c r="CJ416" i="1" s="1"/>
  <c r="CB414" i="1"/>
  <c r="CC414" i="1" s="1"/>
  <c r="CG414" i="1"/>
  <c r="CJ414" i="1" s="1"/>
  <c r="CB412" i="1"/>
  <c r="CC412" i="1" s="1"/>
  <c r="CG412" i="1"/>
  <c r="CJ412" i="1" s="1"/>
  <c r="CB410" i="1"/>
  <c r="CC410" i="1" s="1"/>
  <c r="CG410" i="1"/>
  <c r="CJ410" i="1" s="1"/>
  <c r="CB212" i="1"/>
  <c r="CC212" i="1" s="1"/>
  <c r="CG212" i="1"/>
  <c r="CJ212" i="1" s="1"/>
  <c r="CB401" i="1"/>
  <c r="CC401" i="1" s="1"/>
  <c r="CG401" i="1"/>
  <c r="CJ401" i="1" s="1"/>
  <c r="CB393" i="1"/>
  <c r="CC393" i="1" s="1"/>
  <c r="CG393" i="1"/>
  <c r="CJ393" i="1" s="1"/>
  <c r="CB387" i="1"/>
  <c r="CC387" i="1" s="1"/>
  <c r="CG387" i="1"/>
  <c r="CJ387" i="1" s="1"/>
  <c r="CB367" i="1"/>
  <c r="CC367" i="1" s="1"/>
  <c r="CG367" i="1"/>
  <c r="CJ367" i="1" s="1"/>
  <c r="CB365" i="1"/>
  <c r="CC365" i="1" s="1"/>
  <c r="CG365" i="1"/>
  <c r="CJ365" i="1" s="1"/>
  <c r="CB362" i="1"/>
  <c r="CC362" i="1" s="1"/>
  <c r="CG362" i="1"/>
  <c r="CJ362" i="1" s="1"/>
  <c r="CB353" i="1"/>
  <c r="CC353" i="1" s="1"/>
  <c r="CG353" i="1"/>
  <c r="CJ353" i="1" s="1"/>
  <c r="CB330" i="1"/>
  <c r="CC330" i="1" s="1"/>
  <c r="CG330" i="1"/>
  <c r="CJ330" i="1" s="1"/>
  <c r="CB328" i="1"/>
  <c r="CC328" i="1" s="1"/>
  <c r="CG328" i="1"/>
  <c r="CJ328" i="1" s="1"/>
  <c r="CB326" i="1"/>
  <c r="CC326" i="1" s="1"/>
  <c r="CG326" i="1"/>
  <c r="CJ326" i="1" s="1"/>
  <c r="CB324" i="1"/>
  <c r="CC324" i="1" s="1"/>
  <c r="CG324" i="1"/>
  <c r="CJ324" i="1" s="1"/>
  <c r="CB322" i="1"/>
  <c r="CC322" i="1" s="1"/>
  <c r="CG322" i="1"/>
  <c r="CJ322" i="1" s="1"/>
  <c r="CB320" i="1"/>
  <c r="CC320" i="1" s="1"/>
  <c r="CG320" i="1"/>
  <c r="CJ320" i="1" s="1"/>
  <c r="CB317" i="1"/>
  <c r="CC317" i="1" s="1"/>
  <c r="CG317" i="1"/>
  <c r="CJ317" i="1" s="1"/>
  <c r="CB311" i="1"/>
  <c r="CC311" i="1" s="1"/>
  <c r="CG311" i="1"/>
  <c r="CJ311" i="1" s="1"/>
  <c r="CB293" i="1"/>
  <c r="CC293" i="1" s="1"/>
  <c r="CG293" i="1"/>
  <c r="CJ293" i="1" s="1"/>
  <c r="CB284" i="1"/>
  <c r="CC284" i="1" s="1"/>
  <c r="CG284" i="1"/>
  <c r="CJ284" i="1" s="1"/>
  <c r="CB282" i="1"/>
  <c r="CC282" i="1" s="1"/>
  <c r="CG282" i="1"/>
  <c r="CJ282" i="1" s="1"/>
  <c r="CB280" i="1"/>
  <c r="CC280" i="1" s="1"/>
  <c r="CG280" i="1"/>
  <c r="CJ280" i="1" s="1"/>
  <c r="CB278" i="1"/>
  <c r="CC278" i="1" s="1"/>
  <c r="CG278" i="1"/>
  <c r="CJ278" i="1" s="1"/>
  <c r="CB276" i="1"/>
  <c r="CC276" i="1" s="1"/>
  <c r="CG276" i="1"/>
  <c r="CJ276" i="1" s="1"/>
  <c r="CB274" i="1"/>
  <c r="CC274" i="1" s="1"/>
  <c r="CG274" i="1"/>
  <c r="CJ274" i="1" s="1"/>
  <c r="CB269" i="1"/>
  <c r="CC269" i="1" s="1"/>
  <c r="CG269" i="1"/>
  <c r="CJ269" i="1" s="1"/>
  <c r="CB267" i="1"/>
  <c r="CC267" i="1" s="1"/>
  <c r="CG267" i="1"/>
  <c r="CJ267" i="1" s="1"/>
  <c r="CB265" i="1"/>
  <c r="CC265" i="1" s="1"/>
  <c r="CG265" i="1"/>
  <c r="CJ265" i="1" s="1"/>
  <c r="CB251" i="1"/>
  <c r="CC251" i="1" s="1"/>
  <c r="CG251" i="1"/>
  <c r="CJ251" i="1" s="1"/>
  <c r="CB234" i="1"/>
  <c r="CC234" i="1" s="1"/>
  <c r="CG234" i="1"/>
  <c r="CJ234" i="1" s="1"/>
  <c r="CB232" i="1"/>
  <c r="CC232" i="1" s="1"/>
  <c r="CG232" i="1"/>
  <c r="CJ232" i="1" s="1"/>
  <c r="CB230" i="1"/>
  <c r="CC230" i="1" s="1"/>
  <c r="CG230" i="1"/>
  <c r="CJ230" i="1" s="1"/>
  <c r="CB228" i="1"/>
  <c r="CC228" i="1" s="1"/>
  <c r="CG228" i="1"/>
  <c r="CJ228" i="1" s="1"/>
  <c r="CB226" i="1"/>
  <c r="CC226" i="1" s="1"/>
  <c r="CG226" i="1"/>
  <c r="CJ226" i="1" s="1"/>
  <c r="CB224" i="1"/>
  <c r="CC224" i="1" s="1"/>
  <c r="CG224" i="1"/>
  <c r="CJ224" i="1" s="1"/>
  <c r="CB222" i="1"/>
  <c r="CC222" i="1" s="1"/>
  <c r="CG222" i="1"/>
  <c r="CJ222" i="1" s="1"/>
  <c r="CB220" i="1"/>
  <c r="CC220" i="1" s="1"/>
  <c r="CG220" i="1"/>
  <c r="CJ220" i="1" s="1"/>
  <c r="CB217" i="1"/>
  <c r="CC217" i="1" s="1"/>
  <c r="CG217" i="1"/>
  <c r="CJ217" i="1" s="1"/>
  <c r="CB215" i="1"/>
  <c r="CC215" i="1" s="1"/>
  <c r="CG215" i="1"/>
  <c r="CJ215" i="1" s="1"/>
  <c r="CB211" i="1"/>
  <c r="CC211" i="1" s="1"/>
  <c r="CG211" i="1"/>
  <c r="CJ211" i="1" s="1"/>
  <c r="CB209" i="1"/>
  <c r="CC209" i="1" s="1"/>
  <c r="CG209" i="1"/>
  <c r="CJ209" i="1" s="1"/>
  <c r="CB189" i="1"/>
  <c r="CC189" i="1" s="1"/>
  <c r="CG189" i="1"/>
  <c r="CJ189" i="1" s="1"/>
  <c r="CB187" i="1"/>
  <c r="CC187" i="1" s="1"/>
  <c r="CG187" i="1"/>
  <c r="CJ187" i="1" s="1"/>
  <c r="CB184" i="1"/>
  <c r="CC184" i="1" s="1"/>
  <c r="CG184" i="1"/>
  <c r="CJ184" i="1" s="1"/>
  <c r="CB182" i="1"/>
  <c r="CC182" i="1" s="1"/>
  <c r="CG182" i="1"/>
  <c r="CJ182" i="1" s="1"/>
  <c r="CB179" i="1"/>
  <c r="CC179" i="1" s="1"/>
  <c r="CG179" i="1"/>
  <c r="CJ179" i="1" s="1"/>
  <c r="CB675" i="1"/>
  <c r="CC675" i="1" s="1"/>
  <c r="CG675" i="1"/>
  <c r="CJ675" i="1" s="1"/>
  <c r="CB173" i="1"/>
  <c r="CC173" i="1" s="1"/>
  <c r="CG173" i="1"/>
  <c r="CJ173" i="1" s="1"/>
  <c r="CB171" i="1"/>
  <c r="CC171" i="1" s="1"/>
  <c r="CG171" i="1"/>
  <c r="CJ171" i="1" s="1"/>
  <c r="CB165" i="1"/>
  <c r="CC165" i="1" s="1"/>
  <c r="CG165" i="1"/>
  <c r="CJ165" i="1" s="1"/>
  <c r="CB160" i="1"/>
  <c r="CC160" i="1" s="1"/>
  <c r="CG160" i="1"/>
  <c r="CJ160" i="1" s="1"/>
  <c r="CB156" i="1"/>
  <c r="CC156" i="1" s="1"/>
  <c r="CG156" i="1"/>
  <c r="CJ156" i="1" s="1"/>
  <c r="CB146" i="1"/>
  <c r="CC146" i="1" s="1"/>
  <c r="CG146" i="1"/>
  <c r="CJ146" i="1" s="1"/>
  <c r="CB237" i="1"/>
  <c r="CC237" i="1" s="1"/>
  <c r="CG237" i="1"/>
  <c r="CJ237" i="1" s="1"/>
  <c r="CB139" i="1"/>
  <c r="CC139" i="1" s="1"/>
  <c r="CG139" i="1"/>
  <c r="CJ139" i="1" s="1"/>
  <c r="CB137" i="1"/>
  <c r="CC137" i="1" s="1"/>
  <c r="CG137" i="1"/>
  <c r="CJ137" i="1" s="1"/>
  <c r="CB135" i="1"/>
  <c r="CC135" i="1" s="1"/>
  <c r="CG135" i="1"/>
  <c r="CJ135" i="1" s="1"/>
  <c r="CB133" i="1"/>
  <c r="CC133" i="1" s="1"/>
  <c r="CG133" i="1"/>
  <c r="CJ133" i="1" s="1"/>
  <c r="CB131" i="1"/>
  <c r="CC131" i="1" s="1"/>
  <c r="CG131" i="1"/>
  <c r="CJ131" i="1" s="1"/>
  <c r="CB129" i="1"/>
  <c r="CC129" i="1" s="1"/>
  <c r="CG129" i="1"/>
  <c r="CJ129" i="1" s="1"/>
  <c r="CB127" i="1"/>
  <c r="CC127" i="1" s="1"/>
  <c r="CG127" i="1"/>
  <c r="CJ127" i="1" s="1"/>
  <c r="CB125" i="1"/>
  <c r="CC125" i="1" s="1"/>
  <c r="CG125" i="1"/>
  <c r="CJ125" i="1" s="1"/>
  <c r="CB123" i="1"/>
  <c r="CC123" i="1" s="1"/>
  <c r="CG123" i="1"/>
  <c r="CJ123" i="1" s="1"/>
  <c r="CB121" i="1"/>
  <c r="CC121" i="1" s="1"/>
  <c r="CG121" i="1"/>
  <c r="CJ121" i="1" s="1"/>
  <c r="CB119" i="1"/>
  <c r="CC119" i="1" s="1"/>
  <c r="CG119" i="1"/>
  <c r="CJ119" i="1" s="1"/>
  <c r="CB117" i="1"/>
  <c r="CC117" i="1" s="1"/>
  <c r="CG117" i="1"/>
  <c r="CJ117" i="1" s="1"/>
  <c r="CB115" i="1"/>
  <c r="CC115" i="1" s="1"/>
  <c r="CG115" i="1"/>
  <c r="CJ115" i="1" s="1"/>
  <c r="CB69" i="1"/>
  <c r="CC69" i="1" s="1"/>
  <c r="CG69" i="1"/>
  <c r="CJ69" i="1" s="1"/>
  <c r="CB111" i="1"/>
  <c r="CC111" i="1" s="1"/>
  <c r="CG111" i="1"/>
  <c r="CJ111" i="1" s="1"/>
  <c r="CB109" i="1"/>
  <c r="CC109" i="1" s="1"/>
  <c r="CG109" i="1"/>
  <c r="CJ109" i="1" s="1"/>
  <c r="CB92" i="1"/>
  <c r="CC92" i="1" s="1"/>
  <c r="CG92" i="1"/>
  <c r="CJ92" i="1" s="1"/>
  <c r="CB90" i="1"/>
  <c r="CC90" i="1" s="1"/>
  <c r="CG90" i="1"/>
  <c r="CJ90" i="1" s="1"/>
  <c r="CB88" i="1"/>
  <c r="CC88" i="1" s="1"/>
  <c r="CG88" i="1"/>
  <c r="CJ88" i="1" s="1"/>
  <c r="CB84" i="1"/>
  <c r="CC84" i="1" s="1"/>
  <c r="CG84" i="1"/>
  <c r="CJ84" i="1" s="1"/>
  <c r="CB78" i="1"/>
  <c r="CC78" i="1" s="1"/>
  <c r="CG78" i="1"/>
  <c r="CJ78" i="1" s="1"/>
  <c r="CB74" i="1"/>
  <c r="CC74" i="1" s="1"/>
  <c r="CG74" i="1"/>
  <c r="CJ74" i="1" s="1"/>
  <c r="CB66" i="1"/>
  <c r="CC66" i="1" s="1"/>
  <c r="CG66" i="1"/>
  <c r="CJ66" i="1" s="1"/>
  <c r="CB54" i="1"/>
  <c r="CC54" i="1" s="1"/>
  <c r="CG54" i="1"/>
  <c r="CJ54" i="1" s="1"/>
  <c r="CB50" i="1"/>
  <c r="CC50" i="1" s="1"/>
  <c r="CG50" i="1"/>
  <c r="CJ50" i="1" s="1"/>
  <c r="CB48" i="1"/>
  <c r="CC48" i="1" s="1"/>
  <c r="CG48" i="1"/>
  <c r="CJ48" i="1" s="1"/>
  <c r="CB46" i="1"/>
  <c r="CC46" i="1" s="1"/>
  <c r="CG46" i="1"/>
  <c r="CJ46" i="1" s="1"/>
  <c r="CB44" i="1"/>
  <c r="CC44" i="1" s="1"/>
  <c r="CG44" i="1"/>
  <c r="CJ44" i="1" s="1"/>
  <c r="CB42" i="1"/>
  <c r="CC42" i="1" s="1"/>
  <c r="CG42" i="1"/>
  <c r="CJ42" i="1" s="1"/>
  <c r="CB319" i="1"/>
  <c r="CC319" i="1" s="1"/>
  <c r="CG319" i="1"/>
  <c r="CJ319" i="1" s="1"/>
  <c r="CB38" i="1"/>
  <c r="CC38" i="1" s="1"/>
  <c r="CG38" i="1"/>
  <c r="CJ38" i="1" s="1"/>
  <c r="CB35" i="1"/>
  <c r="CC35" i="1" s="1"/>
  <c r="CG35" i="1"/>
  <c r="CJ35" i="1" s="1"/>
  <c r="CB33" i="1"/>
  <c r="CC33" i="1" s="1"/>
  <c r="CG33" i="1"/>
  <c r="CJ33" i="1" s="1"/>
  <c r="CB30" i="1"/>
  <c r="CC30" i="1" s="1"/>
  <c r="CG30" i="1"/>
  <c r="CJ30" i="1" s="1"/>
  <c r="CB14" i="1"/>
  <c r="CC14" i="1" s="1"/>
  <c r="CG14" i="1"/>
  <c r="CJ14" i="1" s="1"/>
  <c r="CB6" i="1"/>
  <c r="CC6" i="1" s="1"/>
  <c r="CG6" i="1"/>
  <c r="CJ6" i="1" s="1"/>
  <c r="CG837" i="1"/>
  <c r="CJ837" i="1" s="1"/>
  <c r="CG835" i="1"/>
  <c r="CJ835" i="1" s="1"/>
  <c r="CG833" i="1"/>
  <c r="CJ833" i="1" s="1"/>
  <c r="CG831" i="1"/>
  <c r="CJ831" i="1" s="1"/>
  <c r="CG829" i="1"/>
  <c r="CJ829" i="1" s="1"/>
  <c r="CG813" i="1"/>
  <c r="CJ813" i="1" s="1"/>
  <c r="CG809" i="1"/>
  <c r="CJ809" i="1" s="1"/>
  <c r="CG805" i="1"/>
  <c r="CJ805" i="1" s="1"/>
  <c r="CG801" i="1"/>
  <c r="CJ801" i="1" s="1"/>
  <c r="CG785" i="1"/>
  <c r="CJ785" i="1" s="1"/>
  <c r="CG783" i="1"/>
  <c r="CJ783" i="1" s="1"/>
  <c r="CG781" i="1"/>
  <c r="CJ781" i="1" s="1"/>
  <c r="CG779" i="1"/>
  <c r="CJ779" i="1" s="1"/>
  <c r="CG777" i="1"/>
  <c r="CJ777" i="1" s="1"/>
  <c r="CG775" i="1"/>
  <c r="CJ775" i="1" s="1"/>
  <c r="CG773" i="1"/>
  <c r="CJ773" i="1" s="1"/>
  <c r="CG771" i="1"/>
  <c r="CJ771" i="1" s="1"/>
  <c r="CG769" i="1"/>
  <c r="CJ769" i="1" s="1"/>
  <c r="CG767" i="1"/>
  <c r="CJ767" i="1" s="1"/>
  <c r="CB765" i="1"/>
  <c r="CC765" i="1" s="1"/>
  <c r="CG765" i="1"/>
  <c r="CJ765" i="1" s="1"/>
  <c r="CB763" i="1"/>
  <c r="CC763" i="1" s="1"/>
  <c r="CG763" i="1"/>
  <c r="CJ763" i="1" s="1"/>
  <c r="CB761" i="1"/>
  <c r="CC761" i="1" s="1"/>
  <c r="CG761" i="1"/>
  <c r="CJ761" i="1" s="1"/>
  <c r="CB759" i="1"/>
  <c r="CC759" i="1" s="1"/>
  <c r="CG759" i="1"/>
  <c r="CJ759" i="1" s="1"/>
  <c r="CB757" i="1"/>
  <c r="CC757" i="1" s="1"/>
  <c r="CG757" i="1"/>
  <c r="CJ757" i="1" s="1"/>
  <c r="CB755" i="1"/>
  <c r="CC755" i="1" s="1"/>
  <c r="CG755" i="1"/>
  <c r="CJ755" i="1" s="1"/>
  <c r="CB753" i="1"/>
  <c r="CC753" i="1" s="1"/>
  <c r="CG753" i="1"/>
  <c r="CJ753" i="1" s="1"/>
  <c r="CB751" i="1"/>
  <c r="CC751" i="1" s="1"/>
  <c r="CG751" i="1"/>
  <c r="CJ751" i="1" s="1"/>
  <c r="CB749" i="1"/>
  <c r="CC749" i="1" s="1"/>
  <c r="CG749" i="1"/>
  <c r="CJ749" i="1" s="1"/>
  <c r="CB747" i="1"/>
  <c r="CC747" i="1" s="1"/>
  <c r="CG747" i="1"/>
  <c r="CJ747" i="1" s="1"/>
  <c r="CB745" i="1"/>
  <c r="CC745" i="1" s="1"/>
  <c r="CG745" i="1"/>
  <c r="CJ745" i="1" s="1"/>
  <c r="CB743" i="1"/>
  <c r="CC743" i="1" s="1"/>
  <c r="CG743" i="1"/>
  <c r="CJ743" i="1" s="1"/>
  <c r="CB741" i="1"/>
  <c r="CC741" i="1" s="1"/>
  <c r="CG741" i="1"/>
  <c r="CJ741" i="1" s="1"/>
  <c r="CB739" i="1"/>
  <c r="CC739" i="1" s="1"/>
  <c r="CG739" i="1"/>
  <c r="CJ739" i="1" s="1"/>
  <c r="CB737" i="1"/>
  <c r="CC737" i="1" s="1"/>
  <c r="CG737" i="1"/>
  <c r="CJ737" i="1" s="1"/>
  <c r="CB735" i="1"/>
  <c r="CC735" i="1" s="1"/>
  <c r="CG735" i="1"/>
  <c r="CJ735" i="1" s="1"/>
  <c r="CB733" i="1"/>
  <c r="CC733" i="1" s="1"/>
  <c r="CG733" i="1"/>
  <c r="CJ733" i="1" s="1"/>
  <c r="CB731" i="1"/>
  <c r="CC731" i="1" s="1"/>
  <c r="CG731" i="1"/>
  <c r="CJ731" i="1" s="1"/>
  <c r="CB729" i="1"/>
  <c r="CC729" i="1" s="1"/>
  <c r="CG729" i="1"/>
  <c r="CJ729" i="1" s="1"/>
  <c r="CB727" i="1"/>
  <c r="CC727" i="1" s="1"/>
  <c r="CG727" i="1"/>
  <c r="CJ727" i="1" s="1"/>
  <c r="CB725" i="1"/>
  <c r="CC725" i="1" s="1"/>
  <c r="CG725" i="1"/>
  <c r="CJ725" i="1" s="1"/>
  <c r="CB723" i="1"/>
  <c r="CC723" i="1" s="1"/>
  <c r="CG723" i="1"/>
  <c r="CJ723" i="1" s="1"/>
  <c r="CB721" i="1"/>
  <c r="CC721" i="1" s="1"/>
  <c r="CG721" i="1"/>
  <c r="CJ721" i="1" s="1"/>
  <c r="CB719" i="1"/>
  <c r="CC719" i="1" s="1"/>
  <c r="CG719" i="1"/>
  <c r="CJ719" i="1" s="1"/>
  <c r="CB717" i="1"/>
  <c r="CC717" i="1" s="1"/>
  <c r="CG717" i="1"/>
  <c r="CJ717" i="1" s="1"/>
  <c r="CB707" i="1"/>
  <c r="CC707" i="1" s="1"/>
  <c r="CG707" i="1"/>
  <c r="CJ707" i="1" s="1"/>
  <c r="CB690" i="1"/>
  <c r="CC690" i="1" s="1"/>
  <c r="CG690" i="1"/>
  <c r="CJ690" i="1" s="1"/>
  <c r="CB683" i="1"/>
  <c r="CC683" i="1" s="1"/>
  <c r="CG683" i="1"/>
  <c r="CJ683" i="1" s="1"/>
  <c r="CB679" i="1"/>
  <c r="CC679" i="1" s="1"/>
  <c r="CG679" i="1"/>
  <c r="CJ679" i="1" s="1"/>
  <c r="CB677" i="1"/>
  <c r="CC677" i="1" s="1"/>
  <c r="CG677" i="1"/>
  <c r="CJ677" i="1" s="1"/>
  <c r="CB674" i="1"/>
  <c r="CC674" i="1" s="1"/>
  <c r="CG674" i="1"/>
  <c r="CJ674" i="1" s="1"/>
  <c r="CB488" i="1"/>
  <c r="CC488" i="1" s="1"/>
  <c r="CG488" i="1"/>
  <c r="CJ488" i="1" s="1"/>
  <c r="CB669" i="1"/>
  <c r="CC669" i="1" s="1"/>
  <c r="CG669" i="1"/>
  <c r="CJ669" i="1" s="1"/>
  <c r="CB667" i="1"/>
  <c r="CC667" i="1" s="1"/>
  <c r="CG667" i="1"/>
  <c r="CJ667" i="1" s="1"/>
  <c r="CB663" i="1"/>
  <c r="CC663" i="1" s="1"/>
  <c r="CG663" i="1"/>
  <c r="CJ663" i="1" s="1"/>
  <c r="CB661" i="1"/>
  <c r="CC661" i="1" s="1"/>
  <c r="CG661" i="1"/>
  <c r="CJ661" i="1" s="1"/>
  <c r="CB659" i="1"/>
  <c r="CC659" i="1" s="1"/>
  <c r="CG659" i="1"/>
  <c r="CJ659" i="1" s="1"/>
  <c r="CB655" i="1"/>
  <c r="CC655" i="1" s="1"/>
  <c r="CG655" i="1"/>
  <c r="CJ655" i="1" s="1"/>
  <c r="CB653" i="1"/>
  <c r="CC653" i="1" s="1"/>
  <c r="CG653" i="1"/>
  <c r="CJ653" i="1" s="1"/>
  <c r="CB651" i="1"/>
  <c r="CC651" i="1" s="1"/>
  <c r="CG651" i="1"/>
  <c r="CJ651" i="1" s="1"/>
  <c r="CB647" i="1"/>
  <c r="CC647" i="1" s="1"/>
  <c r="CG647" i="1"/>
  <c r="CJ647" i="1" s="1"/>
  <c r="CB645" i="1"/>
  <c r="CC645" i="1" s="1"/>
  <c r="CG645" i="1"/>
  <c r="CJ645" i="1" s="1"/>
  <c r="CB643" i="1"/>
  <c r="CC643" i="1" s="1"/>
  <c r="CG643" i="1"/>
  <c r="CJ643" i="1" s="1"/>
  <c r="CB639" i="1"/>
  <c r="CC639" i="1" s="1"/>
  <c r="CG639" i="1"/>
  <c r="CJ639" i="1" s="1"/>
  <c r="CB637" i="1"/>
  <c r="CC637" i="1" s="1"/>
  <c r="CG637" i="1"/>
  <c r="CJ637" i="1" s="1"/>
  <c r="CB635" i="1"/>
  <c r="CC635" i="1" s="1"/>
  <c r="CG635" i="1"/>
  <c r="CJ635" i="1" s="1"/>
  <c r="CB631" i="1"/>
  <c r="CC631" i="1" s="1"/>
  <c r="CG631" i="1"/>
  <c r="CJ631" i="1" s="1"/>
  <c r="CB629" i="1"/>
  <c r="CC629" i="1" s="1"/>
  <c r="CG629" i="1"/>
  <c r="CJ629" i="1" s="1"/>
  <c r="CB627" i="1"/>
  <c r="CC627" i="1" s="1"/>
  <c r="CG627" i="1"/>
  <c r="CJ627" i="1" s="1"/>
  <c r="CB623" i="1"/>
  <c r="CC623" i="1" s="1"/>
  <c r="CG623" i="1"/>
  <c r="CJ623" i="1" s="1"/>
  <c r="CB621" i="1"/>
  <c r="CC621" i="1" s="1"/>
  <c r="CG621" i="1"/>
  <c r="CJ621" i="1" s="1"/>
  <c r="CB619" i="1"/>
  <c r="CC619" i="1" s="1"/>
  <c r="CG619" i="1"/>
  <c r="CJ619" i="1" s="1"/>
  <c r="CB617" i="1"/>
  <c r="CC617" i="1" s="1"/>
  <c r="CG617" i="1"/>
  <c r="CJ617" i="1" s="1"/>
  <c r="CB615" i="1"/>
  <c r="CC615" i="1" s="1"/>
  <c r="CG615" i="1"/>
  <c r="CJ615" i="1" s="1"/>
  <c r="CB613" i="1"/>
  <c r="CC613" i="1" s="1"/>
  <c r="CG613" i="1"/>
  <c r="CJ613" i="1" s="1"/>
  <c r="CB611" i="1"/>
  <c r="CC611" i="1" s="1"/>
  <c r="CG611" i="1"/>
  <c r="CJ611" i="1" s="1"/>
  <c r="CB609" i="1"/>
  <c r="CC609" i="1" s="1"/>
  <c r="CG609" i="1"/>
  <c r="CJ609" i="1" s="1"/>
  <c r="CB607" i="1"/>
  <c r="CC607" i="1" s="1"/>
  <c r="CG607" i="1"/>
  <c r="CJ607" i="1" s="1"/>
  <c r="CB603" i="1"/>
  <c r="CC603" i="1" s="1"/>
  <c r="CG603" i="1"/>
  <c r="CJ603" i="1" s="1"/>
  <c r="CB601" i="1"/>
  <c r="CC601" i="1" s="1"/>
  <c r="CG601" i="1"/>
  <c r="CJ601" i="1" s="1"/>
  <c r="CB599" i="1"/>
  <c r="CC599" i="1" s="1"/>
  <c r="CG599" i="1"/>
  <c r="CJ599" i="1" s="1"/>
  <c r="CB597" i="1"/>
  <c r="CC597" i="1" s="1"/>
  <c r="CG597" i="1"/>
  <c r="CJ597" i="1" s="1"/>
  <c r="CB595" i="1"/>
  <c r="CC595" i="1" s="1"/>
  <c r="CG595" i="1"/>
  <c r="CJ595" i="1" s="1"/>
  <c r="CB593" i="1"/>
  <c r="CC593" i="1" s="1"/>
  <c r="CG593" i="1"/>
  <c r="CJ593" i="1" s="1"/>
  <c r="CB591" i="1"/>
  <c r="CC591" i="1" s="1"/>
  <c r="CG591" i="1"/>
  <c r="CJ591" i="1" s="1"/>
  <c r="CB589" i="1"/>
  <c r="CC589" i="1" s="1"/>
  <c r="CG589" i="1"/>
  <c r="CJ589" i="1" s="1"/>
  <c r="CB587" i="1"/>
  <c r="CC587" i="1" s="1"/>
  <c r="CG587" i="1"/>
  <c r="CJ587" i="1" s="1"/>
  <c r="CB585" i="1"/>
  <c r="CC585" i="1" s="1"/>
  <c r="CG585" i="1"/>
  <c r="CJ585" i="1" s="1"/>
  <c r="CB583" i="1"/>
  <c r="CC583" i="1" s="1"/>
  <c r="CG583" i="1"/>
  <c r="CJ583" i="1" s="1"/>
  <c r="CB581" i="1"/>
  <c r="CC581" i="1" s="1"/>
  <c r="CG581" i="1"/>
  <c r="CJ581" i="1" s="1"/>
  <c r="CB579" i="1"/>
  <c r="CC579" i="1" s="1"/>
  <c r="CG579" i="1"/>
  <c r="CJ579" i="1" s="1"/>
  <c r="CB577" i="1"/>
  <c r="CC577" i="1" s="1"/>
  <c r="CG577" i="1"/>
  <c r="CJ577" i="1" s="1"/>
  <c r="CB575" i="1"/>
  <c r="CC575" i="1" s="1"/>
  <c r="CG575" i="1"/>
  <c r="CJ575" i="1" s="1"/>
  <c r="CB573" i="1"/>
  <c r="CC573" i="1" s="1"/>
  <c r="CG573" i="1"/>
  <c r="CJ573" i="1" s="1"/>
  <c r="CB571" i="1"/>
  <c r="CC571" i="1" s="1"/>
  <c r="CG571" i="1"/>
  <c r="CJ571" i="1" s="1"/>
  <c r="CB569" i="1"/>
  <c r="CC569" i="1" s="1"/>
  <c r="CG569" i="1"/>
  <c r="CJ569" i="1" s="1"/>
  <c r="CB567" i="1"/>
  <c r="CC567" i="1" s="1"/>
  <c r="CG567" i="1"/>
  <c r="CJ567" i="1" s="1"/>
  <c r="CB565" i="1"/>
  <c r="CC565" i="1" s="1"/>
  <c r="CG565" i="1"/>
  <c r="CJ565" i="1" s="1"/>
  <c r="CB563" i="1"/>
  <c r="CC563" i="1" s="1"/>
  <c r="CG563" i="1"/>
  <c r="CJ563" i="1" s="1"/>
  <c r="CB561" i="1"/>
  <c r="CC561" i="1" s="1"/>
  <c r="CG561" i="1"/>
  <c r="CJ561" i="1" s="1"/>
  <c r="CB560" i="1"/>
  <c r="CC560" i="1" s="1"/>
  <c r="CG560" i="1"/>
  <c r="CJ560" i="1" s="1"/>
  <c r="CB558" i="1"/>
  <c r="CC558" i="1" s="1"/>
  <c r="CG558" i="1"/>
  <c r="CJ558" i="1" s="1"/>
  <c r="CB556" i="1"/>
  <c r="CC556" i="1" s="1"/>
  <c r="CG556" i="1"/>
  <c r="CJ556" i="1" s="1"/>
  <c r="CB554" i="1"/>
  <c r="CC554" i="1" s="1"/>
  <c r="CG554" i="1"/>
  <c r="CJ554" i="1" s="1"/>
  <c r="CB512" i="1"/>
  <c r="CC512" i="1" s="1"/>
  <c r="CG512" i="1"/>
  <c r="CJ512" i="1" s="1"/>
  <c r="CB552" i="1"/>
  <c r="CC552" i="1" s="1"/>
  <c r="CG552" i="1"/>
  <c r="CJ552" i="1" s="1"/>
  <c r="CB550" i="1"/>
  <c r="CC550" i="1" s="1"/>
  <c r="CG550" i="1"/>
  <c r="CJ550" i="1" s="1"/>
  <c r="CB549" i="1"/>
  <c r="CC549" i="1" s="1"/>
  <c r="CG549" i="1"/>
  <c r="CJ549" i="1" s="1"/>
  <c r="CB547" i="1"/>
  <c r="CC547" i="1" s="1"/>
  <c r="CG547" i="1"/>
  <c r="CJ547" i="1" s="1"/>
  <c r="CB545" i="1"/>
  <c r="CC545" i="1" s="1"/>
  <c r="CG545" i="1"/>
  <c r="CJ545" i="1" s="1"/>
  <c r="CB539" i="1"/>
  <c r="CC539" i="1" s="1"/>
  <c r="CG539" i="1"/>
  <c r="CJ539" i="1" s="1"/>
  <c r="CB537" i="1"/>
  <c r="CC537" i="1" s="1"/>
  <c r="CG537" i="1"/>
  <c r="CJ537" i="1" s="1"/>
  <c r="CB529" i="1"/>
  <c r="CC529" i="1" s="1"/>
  <c r="CG529" i="1"/>
  <c r="CJ529" i="1" s="1"/>
  <c r="CB525" i="1"/>
  <c r="CC525" i="1" s="1"/>
  <c r="CG525" i="1"/>
  <c r="CJ525" i="1" s="1"/>
  <c r="CB519" i="1"/>
  <c r="CC519" i="1" s="1"/>
  <c r="CG519" i="1"/>
  <c r="CJ519" i="1" s="1"/>
  <c r="CB517" i="1"/>
  <c r="CC517" i="1" s="1"/>
  <c r="CG517" i="1"/>
  <c r="CJ517" i="1" s="1"/>
  <c r="CB514" i="1"/>
  <c r="CC514" i="1" s="1"/>
  <c r="CG514" i="1"/>
  <c r="CJ514" i="1" s="1"/>
  <c r="CB468" i="1"/>
  <c r="CC468" i="1" s="1"/>
  <c r="CG468" i="1"/>
  <c r="CJ468" i="1" s="1"/>
  <c r="CB499" i="1"/>
  <c r="CC499" i="1" s="1"/>
  <c r="CG499" i="1"/>
  <c r="CJ499" i="1" s="1"/>
  <c r="CB495" i="1"/>
  <c r="CC495" i="1" s="1"/>
  <c r="CG495" i="1"/>
  <c r="CJ495" i="1" s="1"/>
  <c r="CB459" i="1"/>
  <c r="CC459" i="1" s="1"/>
  <c r="CG459" i="1"/>
  <c r="CJ459" i="1" s="1"/>
  <c r="CB492" i="1"/>
  <c r="CC492" i="1" s="1"/>
  <c r="CG492" i="1"/>
  <c r="CJ492" i="1" s="1"/>
  <c r="CB490" i="1"/>
  <c r="CC490" i="1" s="1"/>
  <c r="CG490" i="1"/>
  <c r="CJ490" i="1" s="1"/>
  <c r="CB486" i="1"/>
  <c r="CC486" i="1" s="1"/>
  <c r="CG486" i="1"/>
  <c r="CJ486" i="1" s="1"/>
  <c r="CB475" i="1"/>
  <c r="CC475" i="1" s="1"/>
  <c r="CG475" i="1"/>
  <c r="CJ475" i="1" s="1"/>
  <c r="CB480" i="1"/>
  <c r="CC480" i="1" s="1"/>
  <c r="CG480" i="1"/>
  <c r="CJ480" i="1" s="1"/>
  <c r="CB478" i="1"/>
  <c r="CC478" i="1" s="1"/>
  <c r="CG478" i="1"/>
  <c r="CJ478" i="1" s="1"/>
  <c r="CB32" i="1"/>
  <c r="CC32" i="1" s="1"/>
  <c r="CG32" i="1"/>
  <c r="CJ32" i="1" s="1"/>
  <c r="CB31" i="1"/>
  <c r="CC31" i="1" s="1"/>
  <c r="CG31" i="1"/>
  <c r="CJ31" i="1" s="1"/>
  <c r="CB473" i="1"/>
  <c r="CC473" i="1" s="1"/>
  <c r="CG473" i="1"/>
  <c r="CJ473" i="1" s="1"/>
  <c r="CB466" i="1"/>
  <c r="CC466" i="1" s="1"/>
  <c r="CG466" i="1"/>
  <c r="CJ466" i="1" s="1"/>
  <c r="CB439" i="1"/>
  <c r="CC439" i="1" s="1"/>
  <c r="CG439" i="1"/>
  <c r="CJ439" i="1" s="1"/>
  <c r="CB461" i="1"/>
  <c r="CC461" i="1" s="1"/>
  <c r="CG461" i="1"/>
  <c r="CJ461" i="1" s="1"/>
  <c r="CB380" i="1"/>
  <c r="CC380" i="1" s="1"/>
  <c r="CG380" i="1"/>
  <c r="CJ380" i="1" s="1"/>
  <c r="CB458" i="1"/>
  <c r="CC458" i="1" s="1"/>
  <c r="CG458" i="1"/>
  <c r="CJ458" i="1" s="1"/>
  <c r="CB457" i="1"/>
  <c r="CC457" i="1" s="1"/>
  <c r="CG457" i="1"/>
  <c r="CJ457" i="1" s="1"/>
  <c r="CB453" i="1"/>
  <c r="CC453" i="1" s="1"/>
  <c r="CG453" i="1"/>
  <c r="CJ453" i="1" s="1"/>
  <c r="CB451" i="1"/>
  <c r="CC451" i="1" s="1"/>
  <c r="CG451" i="1"/>
  <c r="CJ451" i="1" s="1"/>
  <c r="CB444" i="1"/>
  <c r="CC444" i="1" s="1"/>
  <c r="CG444" i="1"/>
  <c r="CJ444" i="1" s="1"/>
  <c r="CB442" i="1"/>
  <c r="CC442" i="1" s="1"/>
  <c r="CG442" i="1"/>
  <c r="CJ442" i="1" s="1"/>
  <c r="CB437" i="1"/>
  <c r="CC437" i="1" s="1"/>
  <c r="CG437" i="1"/>
  <c r="CJ437" i="1" s="1"/>
  <c r="CB435" i="1"/>
  <c r="CC435" i="1" s="1"/>
  <c r="CG435" i="1"/>
  <c r="CJ435" i="1" s="1"/>
  <c r="CB430" i="1"/>
  <c r="CC430" i="1" s="1"/>
  <c r="CG430" i="1"/>
  <c r="CJ430" i="1" s="1"/>
  <c r="CB428" i="1"/>
  <c r="CC428" i="1" s="1"/>
  <c r="CG428" i="1"/>
  <c r="CJ428" i="1" s="1"/>
  <c r="CB424" i="1"/>
  <c r="CC424" i="1" s="1"/>
  <c r="CG424" i="1"/>
  <c r="CJ424" i="1" s="1"/>
  <c r="CB177" i="1"/>
  <c r="CC177" i="1" s="1"/>
  <c r="CG177" i="1"/>
  <c r="CJ177" i="1" s="1"/>
  <c r="CB409" i="1"/>
  <c r="CC409" i="1" s="1"/>
  <c r="CG409" i="1"/>
  <c r="CJ409" i="1" s="1"/>
  <c r="CB392" i="1"/>
  <c r="CC392" i="1" s="1"/>
  <c r="CG392" i="1"/>
  <c r="CJ392" i="1" s="1"/>
  <c r="CB390" i="1"/>
  <c r="CC390" i="1" s="1"/>
  <c r="CG390" i="1"/>
  <c r="CJ390" i="1" s="1"/>
  <c r="CB388" i="1"/>
  <c r="CC388" i="1" s="1"/>
  <c r="CG388" i="1"/>
  <c r="CJ388" i="1" s="1"/>
  <c r="CB384" i="1"/>
  <c r="CC384" i="1" s="1"/>
  <c r="CG384" i="1"/>
  <c r="CJ384" i="1" s="1"/>
  <c r="CB382" i="1"/>
  <c r="CC382" i="1" s="1"/>
  <c r="CG382" i="1"/>
  <c r="CJ382" i="1" s="1"/>
  <c r="CB376" i="1"/>
  <c r="CC376" i="1" s="1"/>
  <c r="CG376" i="1"/>
  <c r="CJ376" i="1" s="1"/>
  <c r="CB372" i="1"/>
  <c r="CC372" i="1" s="1"/>
  <c r="CG372" i="1"/>
  <c r="CJ372" i="1" s="1"/>
  <c r="CB368" i="1"/>
  <c r="CC368" i="1" s="1"/>
  <c r="CG368" i="1"/>
  <c r="CJ368" i="1" s="1"/>
  <c r="CB366" i="1"/>
  <c r="CC366" i="1" s="1"/>
  <c r="CG366" i="1"/>
  <c r="CJ366" i="1" s="1"/>
  <c r="CB364" i="1"/>
  <c r="CC364" i="1" s="1"/>
  <c r="CG364" i="1"/>
  <c r="CJ364" i="1" s="1"/>
  <c r="CB358" i="1"/>
  <c r="CC358" i="1" s="1"/>
  <c r="CG358" i="1"/>
  <c r="CJ358" i="1" s="1"/>
  <c r="CB356" i="1"/>
  <c r="CC356" i="1" s="1"/>
  <c r="CG356" i="1"/>
  <c r="CJ356" i="1" s="1"/>
  <c r="CB354" i="1"/>
  <c r="CC354" i="1" s="1"/>
  <c r="CG354" i="1"/>
  <c r="CJ354" i="1" s="1"/>
  <c r="CB699" i="1"/>
  <c r="CC699" i="1" s="1"/>
  <c r="CG699" i="1"/>
  <c r="CJ699" i="1" s="1"/>
  <c r="CB343" i="1"/>
  <c r="CC343" i="1" s="1"/>
  <c r="CG343" i="1"/>
  <c r="CJ343" i="1" s="1"/>
  <c r="CB338" i="1"/>
  <c r="CC338" i="1" s="1"/>
  <c r="CG338" i="1"/>
  <c r="CJ338" i="1" s="1"/>
  <c r="CB337" i="1"/>
  <c r="CC337" i="1" s="1"/>
  <c r="CG337" i="1"/>
  <c r="CJ337" i="1" s="1"/>
  <c r="CB335" i="1"/>
  <c r="CC335" i="1" s="1"/>
  <c r="CG335" i="1"/>
  <c r="CJ335" i="1" s="1"/>
  <c r="CB331" i="1"/>
  <c r="CC331" i="1" s="1"/>
  <c r="CG331" i="1"/>
  <c r="CJ331" i="1" s="1"/>
  <c r="CB325" i="1"/>
  <c r="CC325" i="1" s="1"/>
  <c r="CG325" i="1"/>
  <c r="CJ325" i="1" s="1"/>
  <c r="CB321" i="1"/>
  <c r="CC321" i="1" s="1"/>
  <c r="CG321" i="1"/>
  <c r="CJ321" i="1" s="1"/>
  <c r="CB316" i="1"/>
  <c r="CC316" i="1" s="1"/>
  <c r="CG316" i="1"/>
  <c r="CJ316" i="1" s="1"/>
  <c r="CB308" i="1"/>
  <c r="CC308" i="1" s="1"/>
  <c r="CG308" i="1"/>
  <c r="CJ308" i="1" s="1"/>
  <c r="CB300" i="1"/>
  <c r="CC300" i="1" s="1"/>
  <c r="CG300" i="1"/>
  <c r="CJ300" i="1" s="1"/>
  <c r="CB290" i="1"/>
  <c r="CC290" i="1" s="1"/>
  <c r="CG290" i="1"/>
  <c r="CJ290" i="1" s="1"/>
  <c r="CB283" i="1"/>
  <c r="CC283" i="1" s="1"/>
  <c r="CG283" i="1"/>
  <c r="CJ283" i="1" s="1"/>
  <c r="CB279" i="1"/>
  <c r="CC279" i="1" s="1"/>
  <c r="CG279" i="1"/>
  <c r="CJ279" i="1" s="1"/>
  <c r="CB277" i="1"/>
  <c r="CC277" i="1" s="1"/>
  <c r="CG277" i="1"/>
  <c r="CJ277" i="1" s="1"/>
  <c r="CB275" i="1"/>
  <c r="CC275" i="1" s="1"/>
  <c r="CG275" i="1"/>
  <c r="CJ275" i="1" s="1"/>
  <c r="CB273" i="1"/>
  <c r="CC273" i="1" s="1"/>
  <c r="CG273" i="1"/>
  <c r="CJ273" i="1" s="1"/>
  <c r="CB223" i="1"/>
  <c r="CC223" i="1" s="1"/>
  <c r="CG223" i="1"/>
  <c r="CJ223" i="1" s="1"/>
  <c r="CB270" i="1"/>
  <c r="CC270" i="1" s="1"/>
  <c r="CG270" i="1"/>
  <c r="CJ270" i="1" s="1"/>
  <c r="CB268" i="1"/>
  <c r="CC268" i="1" s="1"/>
  <c r="CG268" i="1"/>
  <c r="CJ268" i="1" s="1"/>
  <c r="CB266" i="1"/>
  <c r="CC266" i="1" s="1"/>
  <c r="CG266" i="1"/>
  <c r="CJ266" i="1" s="1"/>
  <c r="CB264" i="1"/>
  <c r="CC264" i="1" s="1"/>
  <c r="CG264" i="1"/>
  <c r="CJ264" i="1" s="1"/>
  <c r="CB709" i="1"/>
  <c r="CC709" i="1" s="1"/>
  <c r="CG709" i="1"/>
  <c r="CJ709" i="1" s="1"/>
  <c r="CB252" i="1"/>
  <c r="CC252" i="1" s="1"/>
  <c r="CG252" i="1"/>
  <c r="CJ252" i="1" s="1"/>
  <c r="CB238" i="1"/>
  <c r="CC238" i="1" s="1"/>
  <c r="CG238" i="1"/>
  <c r="CJ238" i="1" s="1"/>
  <c r="CB233" i="1"/>
  <c r="CC233" i="1" s="1"/>
  <c r="CG233" i="1"/>
  <c r="CJ233" i="1" s="1"/>
  <c r="CB231" i="1"/>
  <c r="CC231" i="1" s="1"/>
  <c r="CG231" i="1"/>
  <c r="CJ231" i="1" s="1"/>
  <c r="CB229" i="1"/>
  <c r="CC229" i="1" s="1"/>
  <c r="CG229" i="1"/>
  <c r="CJ229" i="1" s="1"/>
  <c r="CB227" i="1"/>
  <c r="CC227" i="1" s="1"/>
  <c r="CG227" i="1"/>
  <c r="CJ227" i="1" s="1"/>
  <c r="CB225" i="1"/>
  <c r="CC225" i="1" s="1"/>
  <c r="CG225" i="1"/>
  <c r="CJ225" i="1" s="1"/>
  <c r="CB672" i="1"/>
  <c r="CC672" i="1" s="1"/>
  <c r="CG672" i="1"/>
  <c r="CJ672" i="1" s="1"/>
  <c r="CB485" i="1"/>
  <c r="CC485" i="1" s="1"/>
  <c r="CG485" i="1"/>
  <c r="CJ485" i="1" s="1"/>
  <c r="CB210" i="1"/>
  <c r="CC210" i="1" s="1"/>
  <c r="CG210" i="1"/>
  <c r="CJ210" i="1" s="1"/>
  <c r="CB200" i="1"/>
  <c r="CC200" i="1" s="1"/>
  <c r="CG200" i="1"/>
  <c r="CJ200" i="1" s="1"/>
  <c r="CB188" i="1"/>
  <c r="CC188" i="1" s="1"/>
  <c r="CG188" i="1"/>
  <c r="CJ188" i="1" s="1"/>
  <c r="CB185" i="1"/>
  <c r="CC185" i="1" s="1"/>
  <c r="CG185" i="1"/>
  <c r="CJ185" i="1" s="1"/>
  <c r="CB183" i="1"/>
  <c r="CC183" i="1" s="1"/>
  <c r="CG183" i="1"/>
  <c r="CJ183" i="1" s="1"/>
  <c r="CB180" i="1"/>
  <c r="CC180" i="1" s="1"/>
  <c r="CG180" i="1"/>
  <c r="CJ180" i="1" s="1"/>
  <c r="CB178" i="1"/>
  <c r="CC178" i="1" s="1"/>
  <c r="CG178" i="1"/>
  <c r="CJ178" i="1" s="1"/>
  <c r="CB176" i="1"/>
  <c r="CC176" i="1" s="1"/>
  <c r="CG176" i="1"/>
  <c r="CJ176" i="1" s="1"/>
  <c r="CB174" i="1"/>
  <c r="CC174" i="1" s="1"/>
  <c r="CG174" i="1"/>
  <c r="CJ174" i="1" s="1"/>
  <c r="CB164" i="1"/>
  <c r="CC164" i="1" s="1"/>
  <c r="CG164" i="1"/>
  <c r="CJ164" i="1" s="1"/>
  <c r="CB159" i="1"/>
  <c r="CC159" i="1" s="1"/>
  <c r="CG159" i="1"/>
  <c r="CJ159" i="1" s="1"/>
  <c r="CB157" i="1"/>
  <c r="CC157" i="1" s="1"/>
  <c r="CG157" i="1"/>
  <c r="CJ157" i="1" s="1"/>
  <c r="CB155" i="1"/>
  <c r="CC155" i="1" s="1"/>
  <c r="CG155" i="1"/>
  <c r="CJ155" i="1" s="1"/>
  <c r="CB138" i="1"/>
  <c r="CC138" i="1" s="1"/>
  <c r="CG138" i="1"/>
  <c r="CJ138" i="1" s="1"/>
  <c r="CB134" i="1"/>
  <c r="CC134" i="1" s="1"/>
  <c r="CG134" i="1"/>
  <c r="CJ134" i="1" s="1"/>
  <c r="CB132" i="1"/>
  <c r="CC132" i="1" s="1"/>
  <c r="CG132" i="1"/>
  <c r="CJ132" i="1" s="1"/>
  <c r="CB130" i="1"/>
  <c r="CC130" i="1" s="1"/>
  <c r="CG130" i="1"/>
  <c r="CJ130" i="1" s="1"/>
  <c r="CB124" i="1"/>
  <c r="CC124" i="1" s="1"/>
  <c r="CG124" i="1"/>
  <c r="CJ124" i="1" s="1"/>
  <c r="CB122" i="1"/>
  <c r="CC122" i="1" s="1"/>
  <c r="CG122" i="1"/>
  <c r="CJ122" i="1" s="1"/>
  <c r="CB118" i="1"/>
  <c r="CC118" i="1" s="1"/>
  <c r="CG118" i="1"/>
  <c r="CJ118" i="1" s="1"/>
  <c r="CB116" i="1"/>
  <c r="CC116" i="1" s="1"/>
  <c r="CG116" i="1"/>
  <c r="CJ116" i="1" s="1"/>
  <c r="CB114" i="1"/>
  <c r="CC114" i="1" s="1"/>
  <c r="CG114" i="1"/>
  <c r="CJ114" i="1" s="1"/>
  <c r="CB112" i="1"/>
  <c r="CC112" i="1" s="1"/>
  <c r="CG112" i="1"/>
  <c r="CJ112" i="1" s="1"/>
  <c r="CB110" i="1"/>
  <c r="CC110" i="1" s="1"/>
  <c r="CG110" i="1"/>
  <c r="CJ110" i="1" s="1"/>
  <c r="CB106" i="1"/>
  <c r="CC106" i="1" s="1"/>
  <c r="CG106" i="1"/>
  <c r="CJ106" i="1" s="1"/>
  <c r="CB103" i="1"/>
  <c r="CC103" i="1" s="1"/>
  <c r="CG103" i="1"/>
  <c r="CJ103" i="1" s="1"/>
  <c r="CB99" i="1"/>
  <c r="CC99" i="1" s="1"/>
  <c r="CG99" i="1"/>
  <c r="CJ99" i="1" s="1"/>
  <c r="CB96" i="1"/>
  <c r="CC96" i="1" s="1"/>
  <c r="CG96" i="1"/>
  <c r="CJ96" i="1" s="1"/>
  <c r="CB91" i="1"/>
  <c r="CC91" i="1" s="1"/>
  <c r="CG91" i="1"/>
  <c r="CJ91" i="1" s="1"/>
  <c r="CB89" i="1"/>
  <c r="CC89" i="1" s="1"/>
  <c r="CG89" i="1"/>
  <c r="CJ89" i="1" s="1"/>
  <c r="CB83" i="1"/>
  <c r="CC83" i="1" s="1"/>
  <c r="CG83" i="1"/>
  <c r="CJ83" i="1" s="1"/>
  <c r="CB79" i="1"/>
  <c r="CC79" i="1" s="1"/>
  <c r="CG79" i="1"/>
  <c r="CJ79" i="1" s="1"/>
  <c r="CB77" i="1"/>
  <c r="CC77" i="1" s="1"/>
  <c r="CG77" i="1"/>
  <c r="CJ77" i="1" s="1"/>
  <c r="CB59" i="1"/>
  <c r="CC59" i="1" s="1"/>
  <c r="CG59" i="1"/>
  <c r="CJ59" i="1" s="1"/>
  <c r="CB51" i="1"/>
  <c r="CC51" i="1" s="1"/>
  <c r="CG51" i="1"/>
  <c r="CJ51" i="1" s="1"/>
  <c r="CB49" i="1"/>
  <c r="CC49" i="1" s="1"/>
  <c r="CG49" i="1"/>
  <c r="CJ49" i="1" s="1"/>
  <c r="CB47" i="1"/>
  <c r="CC47" i="1" s="1"/>
  <c r="CG47" i="1"/>
  <c r="CJ47" i="1" s="1"/>
  <c r="CB45" i="1"/>
  <c r="CC45" i="1" s="1"/>
  <c r="CG45" i="1"/>
  <c r="CJ45" i="1" s="1"/>
  <c r="CB43" i="1"/>
  <c r="CC43" i="1" s="1"/>
  <c r="CG43" i="1"/>
  <c r="CJ43" i="1" s="1"/>
  <c r="CB41" i="1"/>
  <c r="CC41" i="1" s="1"/>
  <c r="CG41" i="1"/>
  <c r="CJ41" i="1" s="1"/>
  <c r="CB219" i="1"/>
  <c r="CC219" i="1" s="1"/>
  <c r="CG219" i="1"/>
  <c r="CJ219" i="1" s="1"/>
  <c r="CB39" i="1"/>
  <c r="CC39" i="1" s="1"/>
  <c r="CG39" i="1"/>
  <c r="CJ39" i="1" s="1"/>
  <c r="CB363" i="1"/>
  <c r="CC363" i="1" s="1"/>
  <c r="CG363" i="1"/>
  <c r="CJ363" i="1" s="1"/>
  <c r="CB36" i="1"/>
  <c r="CC36" i="1" s="1"/>
  <c r="CG36" i="1"/>
  <c r="CJ36" i="1" s="1"/>
  <c r="CB34" i="1"/>
  <c r="CC34" i="1" s="1"/>
  <c r="CG34" i="1"/>
  <c r="CJ34" i="1" s="1"/>
  <c r="CB25" i="1"/>
  <c r="CC25" i="1" s="1"/>
  <c r="CG25" i="1"/>
  <c r="CJ25" i="1" s="1"/>
  <c r="CB15" i="1"/>
  <c r="CC15" i="1" s="1"/>
  <c r="CG15" i="1"/>
  <c r="CJ15" i="1" s="1"/>
  <c r="CB7" i="1"/>
  <c r="CC7" i="1" s="1"/>
  <c r="CG7" i="1"/>
  <c r="CJ7" i="1" s="1"/>
  <c r="CB5" i="1"/>
  <c r="CC5" i="1" s="1"/>
  <c r="CG5" i="1"/>
  <c r="CJ5" i="1" s="1"/>
  <c r="CG1121" i="1"/>
  <c r="CJ1121" i="1" s="1"/>
  <c r="CG1120" i="1"/>
  <c r="CJ1120" i="1" s="1"/>
  <c r="CG1119" i="1"/>
  <c r="CJ1119" i="1" s="1"/>
  <c r="CG1118" i="1"/>
  <c r="CJ1118" i="1" s="1"/>
  <c r="CG1117" i="1"/>
  <c r="CJ1117" i="1" s="1"/>
  <c r="CG1116" i="1"/>
  <c r="CJ1116" i="1" s="1"/>
  <c r="CG1115" i="1"/>
  <c r="CJ1115" i="1" s="1"/>
  <c r="CG1114" i="1"/>
  <c r="CJ1114" i="1" s="1"/>
  <c r="CG1113" i="1"/>
  <c r="CJ1113" i="1" s="1"/>
  <c r="CG1112" i="1"/>
  <c r="CJ1112" i="1" s="1"/>
  <c r="CG1111" i="1"/>
  <c r="CJ1111" i="1" s="1"/>
  <c r="CG1110" i="1"/>
  <c r="CJ1110" i="1" s="1"/>
  <c r="CG1109" i="1"/>
  <c r="CJ1109" i="1" s="1"/>
  <c r="CG1108" i="1"/>
  <c r="CJ1108" i="1" s="1"/>
  <c r="CG1107" i="1"/>
  <c r="CJ1107" i="1" s="1"/>
  <c r="CG1106" i="1"/>
  <c r="CJ1106" i="1" s="1"/>
  <c r="CG1105" i="1"/>
  <c r="CJ1105" i="1" s="1"/>
  <c r="CG1104" i="1"/>
  <c r="CJ1104" i="1" s="1"/>
  <c r="CG1103" i="1"/>
  <c r="CJ1103" i="1" s="1"/>
  <c r="CG1102" i="1"/>
  <c r="CJ1102" i="1" s="1"/>
  <c r="CG1101" i="1"/>
  <c r="CJ1101" i="1" s="1"/>
  <c r="CG1100" i="1"/>
  <c r="CJ1100" i="1" s="1"/>
  <c r="CG1099" i="1"/>
  <c r="CJ1099" i="1" s="1"/>
  <c r="CG1098" i="1"/>
  <c r="CJ1098" i="1" s="1"/>
  <c r="CG1097" i="1"/>
  <c r="CJ1097" i="1" s="1"/>
  <c r="CG1096" i="1"/>
  <c r="CJ1096" i="1" s="1"/>
  <c r="CG1095" i="1"/>
  <c r="CJ1095" i="1" s="1"/>
  <c r="CG1094" i="1"/>
  <c r="CJ1094" i="1" s="1"/>
  <c r="CG1093" i="1"/>
  <c r="CJ1093" i="1" s="1"/>
  <c r="CG1092" i="1"/>
  <c r="CJ1092" i="1" s="1"/>
  <c r="CG1091" i="1"/>
  <c r="CJ1091" i="1" s="1"/>
  <c r="CG1090" i="1"/>
  <c r="CJ1090" i="1" s="1"/>
  <c r="CG1089" i="1"/>
  <c r="CJ1089" i="1" s="1"/>
  <c r="CG1088" i="1"/>
  <c r="CJ1088" i="1" s="1"/>
  <c r="CG1087" i="1"/>
  <c r="CJ1087" i="1" s="1"/>
  <c r="CG1085" i="1"/>
  <c r="CJ1085" i="1" s="1"/>
  <c r="CG1084" i="1"/>
  <c r="CJ1084" i="1" s="1"/>
  <c r="CG1083" i="1"/>
  <c r="CJ1083" i="1" s="1"/>
  <c r="CG1082" i="1"/>
  <c r="CJ1082" i="1" s="1"/>
  <c r="CG1081" i="1"/>
  <c r="CJ1081" i="1" s="1"/>
  <c r="CG1080" i="1"/>
  <c r="CJ1080" i="1" s="1"/>
  <c r="CG1079" i="1"/>
  <c r="CJ1079" i="1" s="1"/>
  <c r="CG1078" i="1"/>
  <c r="CJ1078" i="1" s="1"/>
  <c r="CG1077" i="1"/>
  <c r="CJ1077" i="1" s="1"/>
  <c r="CG1076" i="1"/>
  <c r="CJ1076" i="1" s="1"/>
  <c r="CG1075" i="1"/>
  <c r="CJ1075" i="1" s="1"/>
  <c r="CG1074" i="1"/>
  <c r="CJ1074" i="1" s="1"/>
  <c r="CG1072" i="1"/>
  <c r="CJ1072" i="1" s="1"/>
  <c r="CG1071" i="1"/>
  <c r="CJ1071" i="1" s="1"/>
  <c r="CG1070" i="1"/>
  <c r="CJ1070" i="1" s="1"/>
  <c r="CG1069" i="1"/>
  <c r="CJ1069" i="1" s="1"/>
  <c r="CG1068" i="1"/>
  <c r="CJ1068" i="1" s="1"/>
  <c r="CG1067" i="1"/>
  <c r="CJ1067" i="1" s="1"/>
  <c r="CG1066" i="1"/>
  <c r="CJ1066" i="1" s="1"/>
  <c r="CG1065" i="1"/>
  <c r="CJ1065" i="1" s="1"/>
  <c r="CG1064" i="1"/>
  <c r="CJ1064" i="1" s="1"/>
  <c r="CG1063" i="1"/>
  <c r="CJ1063" i="1" s="1"/>
  <c r="CG1062" i="1"/>
  <c r="CJ1062" i="1" s="1"/>
  <c r="CG1061" i="1"/>
  <c r="CJ1061" i="1" s="1"/>
  <c r="CG1060" i="1"/>
  <c r="CJ1060" i="1" s="1"/>
  <c r="CG1059" i="1"/>
  <c r="CJ1059" i="1" s="1"/>
  <c r="CG1058" i="1"/>
  <c r="CJ1058" i="1" s="1"/>
  <c r="CG1057" i="1"/>
  <c r="CJ1057" i="1" s="1"/>
  <c r="CG1056" i="1"/>
  <c r="CJ1056" i="1" s="1"/>
  <c r="CG1055" i="1"/>
  <c r="CJ1055" i="1" s="1"/>
  <c r="CG1054" i="1"/>
  <c r="CJ1054" i="1" s="1"/>
  <c r="CG1053" i="1"/>
  <c r="CJ1053" i="1" s="1"/>
  <c r="CG1052" i="1"/>
  <c r="CJ1052" i="1" s="1"/>
  <c r="CG1051" i="1"/>
  <c r="CJ1051" i="1" s="1"/>
  <c r="CG1050" i="1"/>
  <c r="CJ1050" i="1" s="1"/>
  <c r="CG1049" i="1"/>
  <c r="CJ1049" i="1" s="1"/>
  <c r="CG1048" i="1"/>
  <c r="CJ1048" i="1" s="1"/>
  <c r="CG1047" i="1"/>
  <c r="CJ1047" i="1" s="1"/>
  <c r="CG1046" i="1"/>
  <c r="CJ1046" i="1" s="1"/>
  <c r="CG1045" i="1"/>
  <c r="CJ1045" i="1" s="1"/>
  <c r="CG1044" i="1"/>
  <c r="CJ1044" i="1" s="1"/>
  <c r="CG1043" i="1"/>
  <c r="CJ1043" i="1" s="1"/>
  <c r="CG1042" i="1"/>
  <c r="CJ1042" i="1" s="1"/>
  <c r="CG1041" i="1"/>
  <c r="CJ1041" i="1" s="1"/>
  <c r="CG1040" i="1"/>
  <c r="CJ1040" i="1" s="1"/>
  <c r="CG1039" i="1"/>
  <c r="CJ1039" i="1" s="1"/>
  <c r="CG1038" i="1"/>
  <c r="CJ1038" i="1" s="1"/>
  <c r="CG1037" i="1"/>
  <c r="CJ1037" i="1" s="1"/>
  <c r="CG1030" i="1"/>
  <c r="CJ1030" i="1" s="1"/>
  <c r="CG1029" i="1"/>
  <c r="CJ1029" i="1" s="1"/>
  <c r="CG1028" i="1"/>
  <c r="CJ1028" i="1" s="1"/>
  <c r="CG1027" i="1"/>
  <c r="CJ1027" i="1" s="1"/>
  <c r="CG1026" i="1"/>
  <c r="CJ1026" i="1" s="1"/>
  <c r="CG1025" i="1"/>
  <c r="CJ1025" i="1" s="1"/>
  <c r="CG1024" i="1"/>
  <c r="CJ1024" i="1" s="1"/>
  <c r="CG1023" i="1"/>
  <c r="CJ1023" i="1" s="1"/>
  <c r="CG1022" i="1"/>
  <c r="CJ1022" i="1" s="1"/>
  <c r="CG1021" i="1"/>
  <c r="CJ1021" i="1" s="1"/>
  <c r="CG1020" i="1"/>
  <c r="CJ1020" i="1" s="1"/>
  <c r="CG1019" i="1"/>
  <c r="CJ1019" i="1" s="1"/>
  <c r="CG1018" i="1"/>
  <c r="CJ1018" i="1" s="1"/>
  <c r="CG1017" i="1"/>
  <c r="CJ1017" i="1" s="1"/>
  <c r="CG1015" i="1"/>
  <c r="CJ1015" i="1" s="1"/>
  <c r="CG1014" i="1"/>
  <c r="CJ1014" i="1" s="1"/>
  <c r="CG1013" i="1"/>
  <c r="CJ1013" i="1" s="1"/>
  <c r="CG1011" i="1"/>
  <c r="CJ1011" i="1" s="1"/>
  <c r="CG1010" i="1"/>
  <c r="CJ1010" i="1" s="1"/>
  <c r="CG1008" i="1"/>
  <c r="CJ1008" i="1" s="1"/>
  <c r="CG1007" i="1"/>
  <c r="CJ1007" i="1" s="1"/>
  <c r="CG1005" i="1"/>
  <c r="CJ1005" i="1" s="1"/>
  <c r="CG1004" i="1"/>
  <c r="CJ1004" i="1" s="1"/>
  <c r="CG1003" i="1"/>
  <c r="CJ1003" i="1" s="1"/>
  <c r="CG1002" i="1"/>
  <c r="CJ1002" i="1" s="1"/>
  <c r="CG1001" i="1"/>
  <c r="CJ1001" i="1" s="1"/>
  <c r="CG1000" i="1"/>
  <c r="CJ1000" i="1" s="1"/>
  <c r="CG999" i="1"/>
  <c r="CJ999" i="1" s="1"/>
  <c r="CG998" i="1"/>
  <c r="CJ998" i="1" s="1"/>
  <c r="CG997" i="1"/>
  <c r="CJ997" i="1" s="1"/>
  <c r="CG996" i="1"/>
  <c r="CJ996" i="1" s="1"/>
  <c r="CG995" i="1"/>
  <c r="CJ995" i="1" s="1"/>
  <c r="CG994" i="1"/>
  <c r="CJ994" i="1" s="1"/>
  <c r="CG993" i="1"/>
  <c r="CJ993" i="1" s="1"/>
  <c r="CG992" i="1"/>
  <c r="CJ992" i="1" s="1"/>
  <c r="CG991" i="1"/>
  <c r="CJ991" i="1" s="1"/>
  <c r="CG990" i="1"/>
  <c r="CJ990" i="1" s="1"/>
  <c r="CG989" i="1"/>
  <c r="CJ989" i="1" s="1"/>
  <c r="CG988" i="1"/>
  <c r="CJ988" i="1" s="1"/>
  <c r="CG987" i="1"/>
  <c r="CJ987" i="1" s="1"/>
  <c r="CG986" i="1"/>
  <c r="CJ986" i="1" s="1"/>
  <c r="CG985" i="1"/>
  <c r="CJ985" i="1" s="1"/>
  <c r="CG984" i="1"/>
  <c r="CJ984" i="1" s="1"/>
  <c r="CG983" i="1"/>
  <c r="CJ983" i="1" s="1"/>
  <c r="CG982" i="1"/>
  <c r="CJ982" i="1" s="1"/>
  <c r="CG981" i="1"/>
  <c r="CJ981" i="1" s="1"/>
  <c r="CG980" i="1"/>
  <c r="CJ980" i="1" s="1"/>
  <c r="CG979" i="1"/>
  <c r="CJ979" i="1" s="1"/>
  <c r="CG978" i="1"/>
  <c r="CJ978" i="1" s="1"/>
  <c r="CG977" i="1"/>
  <c r="CJ977" i="1" s="1"/>
  <c r="CG976" i="1"/>
  <c r="CJ976" i="1" s="1"/>
  <c r="CG975" i="1"/>
  <c r="CJ975" i="1" s="1"/>
  <c r="CG974" i="1"/>
  <c r="CJ974" i="1" s="1"/>
  <c r="CG973" i="1"/>
  <c r="CJ973" i="1" s="1"/>
  <c r="CG972" i="1"/>
  <c r="CJ972" i="1" s="1"/>
  <c r="CG971" i="1"/>
  <c r="CJ971" i="1" s="1"/>
  <c r="CG970" i="1"/>
  <c r="CJ970" i="1" s="1"/>
  <c r="CG969" i="1"/>
  <c r="CJ969" i="1" s="1"/>
  <c r="CG968" i="1"/>
  <c r="CJ968" i="1" s="1"/>
  <c r="CG967" i="1"/>
  <c r="CJ967" i="1" s="1"/>
  <c r="CG966" i="1"/>
  <c r="CJ966" i="1" s="1"/>
  <c r="CG965" i="1"/>
  <c r="CJ965" i="1" s="1"/>
  <c r="CG964" i="1"/>
  <c r="CJ964" i="1" s="1"/>
  <c r="CG963" i="1"/>
  <c r="CJ963" i="1" s="1"/>
  <c r="CG962" i="1"/>
  <c r="CJ962" i="1" s="1"/>
  <c r="CG961" i="1"/>
  <c r="CJ961" i="1" s="1"/>
  <c r="CG960" i="1"/>
  <c r="CJ960" i="1" s="1"/>
  <c r="CG959" i="1"/>
  <c r="CJ959" i="1" s="1"/>
  <c r="CG958" i="1"/>
  <c r="CJ958" i="1" s="1"/>
  <c r="CG957" i="1"/>
  <c r="CJ957" i="1" s="1"/>
  <c r="CG956" i="1"/>
  <c r="CJ956" i="1" s="1"/>
  <c r="CG955" i="1"/>
  <c r="CJ955" i="1" s="1"/>
  <c r="CG954" i="1"/>
  <c r="CJ954" i="1" s="1"/>
  <c r="CG953" i="1"/>
  <c r="CJ953" i="1" s="1"/>
  <c r="CG952" i="1"/>
  <c r="CJ952" i="1" s="1"/>
  <c r="CG951" i="1"/>
  <c r="CJ951" i="1" s="1"/>
  <c r="CG950" i="1"/>
  <c r="CJ950" i="1" s="1"/>
  <c r="CG949" i="1"/>
  <c r="CJ949" i="1" s="1"/>
  <c r="CG948" i="1"/>
  <c r="CJ948" i="1" s="1"/>
  <c r="CG947" i="1"/>
  <c r="CJ947" i="1" s="1"/>
  <c r="CG946" i="1"/>
  <c r="CJ946" i="1" s="1"/>
  <c r="CG945" i="1"/>
  <c r="CJ945" i="1" s="1"/>
  <c r="CG944" i="1"/>
  <c r="CJ944" i="1" s="1"/>
  <c r="CG929" i="1"/>
  <c r="CJ929" i="1" s="1"/>
  <c r="CG909" i="1"/>
  <c r="CJ909" i="1" s="1"/>
  <c r="CG908" i="1"/>
  <c r="CJ908" i="1" s="1"/>
  <c r="CG907" i="1"/>
  <c r="CJ907" i="1" s="1"/>
  <c r="CG869" i="1"/>
  <c r="CJ869" i="1" s="1"/>
  <c r="CG868" i="1"/>
  <c r="CJ868" i="1" s="1"/>
  <c r="CG867" i="1"/>
  <c r="CJ867" i="1" s="1"/>
  <c r="CG866" i="1"/>
  <c r="CJ866" i="1" s="1"/>
  <c r="CG865" i="1"/>
  <c r="CJ865" i="1" s="1"/>
  <c r="CG864" i="1"/>
  <c r="CJ864" i="1" s="1"/>
  <c r="CG863" i="1"/>
  <c r="CJ863" i="1" s="1"/>
  <c r="CG862" i="1"/>
  <c r="CJ862" i="1" s="1"/>
  <c r="CG836" i="1"/>
  <c r="CJ836" i="1" s="1"/>
  <c r="CG834" i="1"/>
  <c r="CJ834" i="1" s="1"/>
  <c r="CG832" i="1"/>
  <c r="CJ832" i="1" s="1"/>
  <c r="CG830" i="1"/>
  <c r="CJ830" i="1" s="1"/>
  <c r="CG814" i="1"/>
  <c r="CJ814" i="1" s="1"/>
  <c r="CG812" i="1"/>
  <c r="CJ812" i="1" s="1"/>
  <c r="CG810" i="1"/>
  <c r="CJ810" i="1" s="1"/>
  <c r="CG808" i="1"/>
  <c r="CJ808" i="1" s="1"/>
  <c r="CG806" i="1"/>
  <c r="CJ806" i="1" s="1"/>
  <c r="CG804" i="1"/>
  <c r="CJ804" i="1" s="1"/>
  <c r="CG802" i="1"/>
  <c r="CJ802" i="1" s="1"/>
  <c r="CG800" i="1"/>
  <c r="CJ800" i="1" s="1"/>
  <c r="CG798" i="1"/>
  <c r="CJ798" i="1" s="1"/>
  <c r="CG784" i="1"/>
  <c r="CJ784" i="1" s="1"/>
  <c r="CG782" i="1"/>
  <c r="CJ782" i="1" s="1"/>
  <c r="CG780" i="1"/>
  <c r="CJ780" i="1" s="1"/>
  <c r="CG778" i="1"/>
  <c r="CJ778" i="1" s="1"/>
  <c r="CG776" i="1"/>
  <c r="CJ776" i="1" s="1"/>
  <c r="CG774" i="1"/>
  <c r="CJ774" i="1" s="1"/>
  <c r="CG772" i="1"/>
  <c r="CJ772" i="1" s="1"/>
  <c r="CG770" i="1"/>
  <c r="CJ770" i="1" s="1"/>
  <c r="CG768" i="1"/>
  <c r="CJ768" i="1" s="1"/>
  <c r="K1036" i="1"/>
  <c r="CB1036" i="1"/>
  <c r="CC1036" i="1" s="1"/>
  <c r="K1034" i="1"/>
  <c r="CB1034" i="1"/>
  <c r="CC1034" i="1" s="1"/>
  <c r="AN1032" i="1"/>
  <c r="CB1032" i="1"/>
  <c r="CC1032" i="1" s="1"/>
  <c r="AN1016" i="1"/>
  <c r="CB1016" i="1"/>
  <c r="CC1016" i="1" s="1"/>
  <c r="AN1012" i="1"/>
  <c r="CB1012" i="1"/>
  <c r="CC1012" i="1" s="1"/>
  <c r="AN1006" i="1"/>
  <c r="CB1006" i="1"/>
  <c r="CC1006" i="1" s="1"/>
  <c r="AN942" i="1"/>
  <c r="CB942" i="1"/>
  <c r="CC942" i="1" s="1"/>
  <c r="AN940" i="1"/>
  <c r="CB940" i="1"/>
  <c r="CC940" i="1" s="1"/>
  <c r="AN938" i="1"/>
  <c r="CB938" i="1"/>
  <c r="CC938" i="1" s="1"/>
  <c r="O936" i="1"/>
  <c r="AA936" i="1" s="1"/>
  <c r="Z936" i="1" s="1"/>
  <c r="AC936" i="1" s="1"/>
  <c r="CB936" i="1"/>
  <c r="CC936" i="1" s="1"/>
  <c r="AN934" i="1"/>
  <c r="CB934" i="1"/>
  <c r="CC934" i="1" s="1"/>
  <c r="AN932" i="1"/>
  <c r="CB932" i="1"/>
  <c r="CC932" i="1" s="1"/>
  <c r="AN930" i="1"/>
  <c r="CB930" i="1"/>
  <c r="CC930" i="1" s="1"/>
  <c r="AN928" i="1"/>
  <c r="CB928" i="1"/>
  <c r="CC928" i="1" s="1"/>
  <c r="AN926" i="1"/>
  <c r="CB926" i="1"/>
  <c r="CC926" i="1" s="1"/>
  <c r="AN924" i="1"/>
  <c r="CB924" i="1"/>
  <c r="CC924" i="1" s="1"/>
  <c r="AN922" i="1"/>
  <c r="CB922" i="1"/>
  <c r="CC922" i="1" s="1"/>
  <c r="AN920" i="1"/>
  <c r="CB920" i="1"/>
  <c r="CC920" i="1" s="1"/>
  <c r="AN918" i="1"/>
  <c r="CB918" i="1"/>
  <c r="CC918" i="1" s="1"/>
  <c r="AN916" i="1"/>
  <c r="CB916" i="1"/>
  <c r="CC916" i="1" s="1"/>
  <c r="AN914" i="1"/>
  <c r="CB914" i="1"/>
  <c r="CC914" i="1" s="1"/>
  <c r="AN912" i="1"/>
  <c r="CB912" i="1"/>
  <c r="CC912" i="1" s="1"/>
  <c r="AN910" i="1"/>
  <c r="CB910" i="1"/>
  <c r="CC910" i="1" s="1"/>
  <c r="AN906" i="1"/>
  <c r="CB906" i="1"/>
  <c r="CC906" i="1" s="1"/>
  <c r="AN904" i="1"/>
  <c r="CB904" i="1"/>
  <c r="CC904" i="1" s="1"/>
  <c r="AN902" i="1"/>
  <c r="CB902" i="1"/>
  <c r="CC902" i="1" s="1"/>
  <c r="AN900" i="1"/>
  <c r="CB900" i="1"/>
  <c r="CC900" i="1" s="1"/>
  <c r="AN898" i="1"/>
  <c r="CB898" i="1"/>
  <c r="CC898" i="1" s="1"/>
  <c r="AN896" i="1"/>
  <c r="CB896" i="1"/>
  <c r="CC896" i="1" s="1"/>
  <c r="AN894" i="1"/>
  <c r="CB894" i="1"/>
  <c r="CC894" i="1" s="1"/>
  <c r="AN892" i="1"/>
  <c r="CB892" i="1"/>
  <c r="CC892" i="1" s="1"/>
  <c r="AN890" i="1"/>
  <c r="CB890" i="1"/>
  <c r="CC890" i="1" s="1"/>
  <c r="AN888" i="1"/>
  <c r="CB888" i="1"/>
  <c r="CC888" i="1" s="1"/>
  <c r="AN886" i="1"/>
  <c r="CB886" i="1"/>
  <c r="CC886" i="1" s="1"/>
  <c r="AN884" i="1"/>
  <c r="CB884" i="1"/>
  <c r="CC884" i="1" s="1"/>
  <c r="AN882" i="1"/>
  <c r="CB882" i="1"/>
  <c r="CC882" i="1" s="1"/>
  <c r="V880" i="1"/>
  <c r="CB880" i="1"/>
  <c r="CC880" i="1" s="1"/>
  <c r="AN878" i="1"/>
  <c r="CB878" i="1"/>
  <c r="CC878" i="1" s="1"/>
  <c r="V876" i="1"/>
  <c r="CB876" i="1"/>
  <c r="CC876" i="1" s="1"/>
  <c r="AN874" i="1"/>
  <c r="CB874" i="1"/>
  <c r="CC874" i="1" s="1"/>
  <c r="V872" i="1"/>
  <c r="CB872" i="1"/>
  <c r="CC872" i="1" s="1"/>
  <c r="AN870" i="1"/>
  <c r="CB870" i="1"/>
  <c r="CC870" i="1" s="1"/>
  <c r="BX811" i="1"/>
  <c r="CB811" i="1"/>
  <c r="CC811" i="1" s="1"/>
  <c r="BX807" i="1"/>
  <c r="CB807" i="1"/>
  <c r="CC807" i="1" s="1"/>
  <c r="BX803" i="1"/>
  <c r="CB803" i="1"/>
  <c r="CC803" i="1" s="1"/>
  <c r="BX799" i="1"/>
  <c r="CB799" i="1"/>
  <c r="CC799" i="1" s="1"/>
  <c r="BN714" i="1"/>
  <c r="CB714" i="1"/>
  <c r="CC714" i="1" s="1"/>
  <c r="BR712" i="1"/>
  <c r="CB712" i="1"/>
  <c r="CC712" i="1" s="1"/>
  <c r="BR710" i="1"/>
  <c r="CB710" i="1"/>
  <c r="CC710" i="1" s="1"/>
  <c r="BN705" i="1"/>
  <c r="CB705" i="1"/>
  <c r="CC705" i="1" s="1"/>
  <c r="BR703" i="1"/>
  <c r="CB703" i="1"/>
  <c r="CC703" i="1" s="1"/>
  <c r="BR701" i="1"/>
  <c r="CB701" i="1"/>
  <c r="CC701" i="1" s="1"/>
  <c r="BR700" i="1"/>
  <c r="CB700" i="1"/>
  <c r="CC700" i="1" s="1"/>
  <c r="BN698" i="1"/>
  <c r="CB698" i="1"/>
  <c r="CC698" i="1" s="1"/>
  <c r="BR696" i="1"/>
  <c r="CB696" i="1"/>
  <c r="CC696" i="1" s="1"/>
  <c r="BR695" i="1"/>
  <c r="CB695" i="1"/>
  <c r="CC695" i="1" s="1"/>
  <c r="BR693" i="1"/>
  <c r="CB693" i="1"/>
  <c r="CC693" i="1" s="1"/>
  <c r="BR687" i="1"/>
  <c r="CB687" i="1"/>
  <c r="CC687" i="1" s="1"/>
  <c r="BR685" i="1"/>
  <c r="CB685" i="1"/>
  <c r="CC685" i="1" s="1"/>
  <c r="BN681" i="1"/>
  <c r="CB681" i="1"/>
  <c r="CC681" i="1" s="1"/>
  <c r="BN671" i="1"/>
  <c r="CB671" i="1"/>
  <c r="CC671" i="1" s="1"/>
  <c r="BN665" i="1"/>
  <c r="CB665" i="1"/>
  <c r="CC665" i="1" s="1"/>
  <c r="BN657" i="1"/>
  <c r="CB657" i="1"/>
  <c r="CC657" i="1" s="1"/>
  <c r="BN649" i="1"/>
  <c r="CB649" i="1"/>
  <c r="CC649" i="1" s="1"/>
  <c r="BN641" i="1"/>
  <c r="CB641" i="1"/>
  <c r="CC641" i="1" s="1"/>
  <c r="BN633" i="1"/>
  <c r="CB633" i="1"/>
  <c r="CC633" i="1" s="1"/>
  <c r="BN625" i="1"/>
  <c r="CB625" i="1"/>
  <c r="CC625" i="1" s="1"/>
  <c r="AN605" i="1"/>
  <c r="CB605" i="1"/>
  <c r="CC605" i="1" s="1"/>
  <c r="BN543" i="1"/>
  <c r="CB543" i="1"/>
  <c r="CC543" i="1" s="1"/>
  <c r="AN541" i="1"/>
  <c r="CB541" i="1"/>
  <c r="CC541" i="1" s="1"/>
  <c r="AN535" i="1"/>
  <c r="CB535" i="1"/>
  <c r="CC535" i="1" s="1"/>
  <c r="BN533" i="1"/>
  <c r="CB533" i="1"/>
  <c r="CC533" i="1" s="1"/>
  <c r="AN531" i="1"/>
  <c r="CB531" i="1"/>
  <c r="CC531" i="1" s="1"/>
  <c r="BN527" i="1"/>
  <c r="CB527" i="1"/>
  <c r="CC527" i="1" s="1"/>
  <c r="BN523" i="1"/>
  <c r="CB523" i="1"/>
  <c r="CC523" i="1" s="1"/>
  <c r="BR521" i="1"/>
  <c r="CB521" i="1"/>
  <c r="CC521" i="1" s="1"/>
  <c r="BR507" i="1"/>
  <c r="CB507" i="1"/>
  <c r="CC507" i="1" s="1"/>
  <c r="BR503" i="1"/>
  <c r="CB503" i="1"/>
  <c r="CC503" i="1" s="1"/>
  <c r="BR501" i="1"/>
  <c r="CB501" i="1"/>
  <c r="CC501" i="1" s="1"/>
  <c r="BR497" i="1"/>
  <c r="CB497" i="1"/>
  <c r="CC497" i="1" s="1"/>
  <c r="BR483" i="1"/>
  <c r="CB483" i="1"/>
  <c r="CC483" i="1" s="1"/>
  <c r="BR470" i="1"/>
  <c r="CB470" i="1"/>
  <c r="CC470" i="1" s="1"/>
  <c r="BR20" i="1"/>
  <c r="CB20" i="1"/>
  <c r="CC20" i="1" s="1"/>
  <c r="BR464" i="1"/>
  <c r="CB464" i="1"/>
  <c r="CC464" i="1" s="1"/>
  <c r="BN455" i="1"/>
  <c r="CB455" i="1"/>
  <c r="CC455" i="1" s="1"/>
  <c r="BR448" i="1"/>
  <c r="CB448" i="1"/>
  <c r="CC448" i="1" s="1"/>
  <c r="BR440" i="1"/>
  <c r="CB440" i="1"/>
  <c r="CC440" i="1" s="1"/>
  <c r="BN433" i="1"/>
  <c r="CB433" i="1"/>
  <c r="CC433" i="1" s="1"/>
  <c r="BN432" i="1"/>
  <c r="CB432" i="1"/>
  <c r="CC432" i="1" s="1"/>
  <c r="BN426" i="1"/>
  <c r="CB426" i="1"/>
  <c r="CC426" i="1" s="1"/>
  <c r="BN422" i="1"/>
  <c r="CB422" i="1"/>
  <c r="CC422" i="1" s="1"/>
  <c r="BN420" i="1"/>
  <c r="CB420" i="1"/>
  <c r="CC420" i="1" s="1"/>
  <c r="BN418" i="1"/>
  <c r="CB418" i="1"/>
  <c r="CC418" i="1" s="1"/>
  <c r="BN415" i="1"/>
  <c r="CB415" i="1"/>
  <c r="CC415" i="1" s="1"/>
  <c r="BN413" i="1"/>
  <c r="CB413" i="1"/>
  <c r="CC413" i="1" s="1"/>
  <c r="BN411" i="1"/>
  <c r="CB411" i="1"/>
  <c r="CC411" i="1" s="1"/>
  <c r="BN408" i="1"/>
  <c r="CB408" i="1"/>
  <c r="CC408" i="1" s="1"/>
  <c r="BN406" i="1"/>
  <c r="CB406" i="1"/>
  <c r="CC406" i="1" s="1"/>
  <c r="BN404" i="1"/>
  <c r="CB404" i="1"/>
  <c r="CC404" i="1" s="1"/>
  <c r="BN402" i="1"/>
  <c r="CB402" i="1"/>
  <c r="CC402" i="1" s="1"/>
  <c r="BN400" i="1"/>
  <c r="CB400" i="1"/>
  <c r="CC400" i="1" s="1"/>
  <c r="BR398" i="1"/>
  <c r="CB398" i="1"/>
  <c r="CC398" i="1" s="1"/>
  <c r="BN396" i="1"/>
  <c r="CB396" i="1"/>
  <c r="CC396" i="1" s="1"/>
  <c r="BR394" i="1"/>
  <c r="CB394" i="1"/>
  <c r="CC394" i="1" s="1"/>
  <c r="BR386" i="1"/>
  <c r="CB386" i="1"/>
  <c r="CC386" i="1" s="1"/>
  <c r="BN378" i="1"/>
  <c r="CB378" i="1"/>
  <c r="CC378" i="1" s="1"/>
  <c r="BN374" i="1"/>
  <c r="CB374" i="1"/>
  <c r="CC374" i="1" s="1"/>
  <c r="BN370" i="1"/>
  <c r="CB370" i="1"/>
  <c r="CC370" i="1" s="1"/>
  <c r="BN716" i="1"/>
  <c r="CB716" i="1"/>
  <c r="CC716" i="1" s="1"/>
  <c r="BR360" i="1"/>
  <c r="CB360" i="1"/>
  <c r="CC360" i="1" s="1"/>
  <c r="BR352" i="1"/>
  <c r="CB352" i="1"/>
  <c r="CC352" i="1" s="1"/>
  <c r="BR350" i="1"/>
  <c r="CB350" i="1"/>
  <c r="CC350" i="1" s="1"/>
  <c r="BR348" i="1"/>
  <c r="CB348" i="1"/>
  <c r="CC348" i="1" s="1"/>
  <c r="BR345" i="1"/>
  <c r="CB345" i="1"/>
  <c r="CC345" i="1" s="1"/>
  <c r="BR340" i="1"/>
  <c r="CB340" i="1"/>
  <c r="CC340" i="1" s="1"/>
  <c r="BR333" i="1"/>
  <c r="CB333" i="1"/>
  <c r="CC333" i="1" s="1"/>
  <c r="BN329" i="1"/>
  <c r="CB329" i="1"/>
  <c r="CC329" i="1" s="1"/>
  <c r="BN327" i="1"/>
  <c r="CB327" i="1"/>
  <c r="CC327" i="1" s="1"/>
  <c r="BN323" i="1"/>
  <c r="CB323" i="1"/>
  <c r="CC323" i="1" s="1"/>
  <c r="BN318" i="1"/>
  <c r="CB318" i="1"/>
  <c r="CC318" i="1" s="1"/>
  <c r="BR314" i="1"/>
  <c r="CB314" i="1"/>
  <c r="CC314" i="1" s="1"/>
  <c r="BR312" i="1"/>
  <c r="CB312" i="1"/>
  <c r="CC312" i="1" s="1"/>
  <c r="BR310" i="1"/>
  <c r="CB310" i="1"/>
  <c r="CC310" i="1" s="1"/>
  <c r="BR306" i="1"/>
  <c r="CB306" i="1"/>
  <c r="CC306" i="1" s="1"/>
  <c r="BR304" i="1"/>
  <c r="CB304" i="1"/>
  <c r="CC304" i="1" s="1"/>
  <c r="BR302" i="1"/>
  <c r="CB302" i="1"/>
  <c r="CC302" i="1" s="1"/>
  <c r="BR298" i="1"/>
  <c r="CB298" i="1"/>
  <c r="CC298" i="1" s="1"/>
  <c r="BR296" i="1"/>
  <c r="CB296" i="1"/>
  <c r="CC296" i="1" s="1"/>
  <c r="BR294" i="1"/>
  <c r="CB294" i="1"/>
  <c r="CC294" i="1" s="1"/>
  <c r="BR292" i="1"/>
  <c r="CB292" i="1"/>
  <c r="CC292" i="1" s="1"/>
  <c r="BR287" i="1"/>
  <c r="CB287" i="1"/>
  <c r="CC287" i="1" s="1"/>
  <c r="BR285" i="1"/>
  <c r="CB285" i="1"/>
  <c r="CC285" i="1" s="1"/>
  <c r="BN281" i="1"/>
  <c r="CB281" i="1"/>
  <c r="CC281" i="1" s="1"/>
  <c r="BR262" i="1"/>
  <c r="CB262" i="1"/>
  <c r="CC262" i="1" s="1"/>
  <c r="BR260" i="1"/>
  <c r="CB260" i="1"/>
  <c r="CC260" i="1" s="1"/>
  <c r="BR256" i="1"/>
  <c r="CB256" i="1"/>
  <c r="CC256" i="1" s="1"/>
  <c r="BR254" i="1"/>
  <c r="CB254" i="1"/>
  <c r="CC254" i="1" s="1"/>
  <c r="BR205" i="1"/>
  <c r="CB205" i="1"/>
  <c r="CC205" i="1" s="1"/>
  <c r="BR481" i="1"/>
  <c r="CB481" i="1"/>
  <c r="CC481" i="1" s="1"/>
  <c r="BR248" i="1"/>
  <c r="CB248" i="1"/>
  <c r="CC248" i="1" s="1"/>
  <c r="BR246" i="1"/>
  <c r="CB246" i="1"/>
  <c r="CC246" i="1" s="1"/>
  <c r="BR244" i="1"/>
  <c r="CB244" i="1"/>
  <c r="CC244" i="1" s="1"/>
  <c r="BR289" i="1"/>
  <c r="CB289" i="1"/>
  <c r="CC289" i="1" s="1"/>
  <c r="BR241" i="1"/>
  <c r="CB241" i="1"/>
  <c r="CC241" i="1" s="1"/>
  <c r="BR235" i="1"/>
  <c r="CB235" i="1"/>
  <c r="CC235" i="1" s="1"/>
  <c r="BN221" i="1"/>
  <c r="CB221" i="1"/>
  <c r="CC221" i="1" s="1"/>
  <c r="BR218" i="1"/>
  <c r="CB218" i="1"/>
  <c r="CC218" i="1" s="1"/>
  <c r="BN216" i="1"/>
  <c r="CB216" i="1"/>
  <c r="CC216" i="1" s="1"/>
  <c r="BR214" i="1"/>
  <c r="CB214" i="1"/>
  <c r="CC214" i="1" s="1"/>
  <c r="BR208" i="1"/>
  <c r="CB208" i="1"/>
  <c r="CC208" i="1" s="1"/>
  <c r="BR206" i="1"/>
  <c r="CB206" i="1"/>
  <c r="CC206" i="1" s="1"/>
  <c r="BR203" i="1"/>
  <c r="CB203" i="1"/>
  <c r="CC203" i="1" s="1"/>
  <c r="BR202" i="1"/>
  <c r="CB202" i="1"/>
  <c r="CC202" i="1" s="1"/>
  <c r="BR198" i="1"/>
  <c r="CB198" i="1"/>
  <c r="CC198" i="1" s="1"/>
  <c r="BR196" i="1"/>
  <c r="CB196" i="1"/>
  <c r="CC196" i="1" s="1"/>
  <c r="BR194" i="1"/>
  <c r="CB194" i="1"/>
  <c r="CC194" i="1" s="1"/>
  <c r="BR192" i="1"/>
  <c r="CB192" i="1"/>
  <c r="CC192" i="1" s="1"/>
  <c r="BR190" i="1"/>
  <c r="CB190" i="1"/>
  <c r="CC190" i="1" s="1"/>
  <c r="BN172" i="1"/>
  <c r="CB172" i="1"/>
  <c r="CC172" i="1" s="1"/>
  <c r="BR170" i="1"/>
  <c r="CB170" i="1"/>
  <c r="CC170" i="1" s="1"/>
  <c r="BR168" i="1"/>
  <c r="CB168" i="1"/>
  <c r="CC168" i="1" s="1"/>
  <c r="BR166" i="1"/>
  <c r="CB166" i="1"/>
  <c r="CC166" i="1" s="1"/>
  <c r="BN162" i="1"/>
  <c r="CB162" i="1"/>
  <c r="CC162" i="1" s="1"/>
  <c r="BR153" i="1"/>
  <c r="CB153" i="1"/>
  <c r="CC153" i="1" s="1"/>
  <c r="BR151" i="1"/>
  <c r="CB151" i="1"/>
  <c r="CC151" i="1" s="1"/>
  <c r="BR149" i="1"/>
  <c r="CB149" i="1"/>
  <c r="CC149" i="1" s="1"/>
  <c r="BR147" i="1"/>
  <c r="CB147" i="1"/>
  <c r="CC147" i="1" s="1"/>
  <c r="BR144" i="1"/>
  <c r="CB144" i="1"/>
  <c r="CC144" i="1" s="1"/>
  <c r="BR143" i="1"/>
  <c r="CB143" i="1"/>
  <c r="CC143" i="1" s="1"/>
  <c r="BN141" i="1"/>
  <c r="CB141" i="1"/>
  <c r="CC141" i="1" s="1"/>
  <c r="BR140" i="1"/>
  <c r="CB140" i="1"/>
  <c r="CC140" i="1" s="1"/>
  <c r="BN136" i="1"/>
  <c r="CB136" i="1"/>
  <c r="CC136" i="1" s="1"/>
  <c r="BN128" i="1"/>
  <c r="CB128" i="1"/>
  <c r="CC128" i="1" s="1"/>
  <c r="BN126" i="1"/>
  <c r="CB126" i="1"/>
  <c r="CC126" i="1" s="1"/>
  <c r="BN120" i="1"/>
  <c r="CB120" i="1"/>
  <c r="CC120" i="1" s="1"/>
  <c r="BR68" i="1"/>
  <c r="CB68" i="1"/>
  <c r="CC68" i="1" s="1"/>
  <c r="BR108" i="1"/>
  <c r="CB108" i="1"/>
  <c r="CC108" i="1" s="1"/>
  <c r="BR341" i="1"/>
  <c r="CB341" i="1"/>
  <c r="CC341" i="1" s="1"/>
  <c r="BR101" i="1"/>
  <c r="CB101" i="1"/>
  <c r="CC101" i="1" s="1"/>
  <c r="BR98" i="1"/>
  <c r="CB98" i="1"/>
  <c r="CC98" i="1" s="1"/>
  <c r="BN87" i="1"/>
  <c r="CB87" i="1"/>
  <c r="CC87" i="1" s="1"/>
  <c r="BN85" i="1"/>
  <c r="CB85" i="1"/>
  <c r="CC85" i="1" s="1"/>
  <c r="BR81" i="1"/>
  <c r="CB81" i="1"/>
  <c r="CC81" i="1" s="1"/>
  <c r="BR75" i="1"/>
  <c r="CB75" i="1"/>
  <c r="CC75" i="1" s="1"/>
  <c r="BR73" i="1"/>
  <c r="CB73" i="1"/>
  <c r="CC73" i="1" s="1"/>
  <c r="BR71" i="1"/>
  <c r="CB71" i="1"/>
  <c r="CC71" i="1" s="1"/>
  <c r="BR67" i="1"/>
  <c r="CB67" i="1"/>
  <c r="CC67" i="1" s="1"/>
  <c r="BR65" i="1"/>
  <c r="CB65" i="1"/>
  <c r="CC65" i="1" s="1"/>
  <c r="BR63" i="1"/>
  <c r="CB63" i="1"/>
  <c r="CC63" i="1" s="1"/>
  <c r="BR61" i="1"/>
  <c r="CB61" i="1"/>
  <c r="CC61" i="1" s="1"/>
  <c r="BR57" i="1"/>
  <c r="CB57" i="1"/>
  <c r="CC57" i="1" s="1"/>
  <c r="BR55" i="1"/>
  <c r="CB55" i="1"/>
  <c r="CC55" i="1" s="1"/>
  <c r="BR53" i="1"/>
  <c r="CB53" i="1"/>
  <c r="CC53" i="1" s="1"/>
  <c r="BR29" i="1"/>
  <c r="CB29" i="1"/>
  <c r="CC29" i="1" s="1"/>
  <c r="BR27" i="1"/>
  <c r="CB27" i="1"/>
  <c r="CC27" i="1" s="1"/>
  <c r="BR23" i="1"/>
  <c r="CB23" i="1"/>
  <c r="CC23" i="1" s="1"/>
  <c r="BR22" i="1"/>
  <c r="CB22" i="1"/>
  <c r="CC22" i="1" s="1"/>
  <c r="BR19" i="1"/>
  <c r="CB19" i="1"/>
  <c r="CC19" i="1" s="1"/>
  <c r="BR17" i="1"/>
  <c r="CB17" i="1"/>
  <c r="CC17" i="1" s="1"/>
  <c r="BR13" i="1"/>
  <c r="CB13" i="1"/>
  <c r="CC13" i="1" s="1"/>
  <c r="BR11" i="1"/>
  <c r="CB11" i="1"/>
  <c r="CC11" i="1" s="1"/>
  <c r="BR9" i="1"/>
  <c r="CB9" i="1"/>
  <c r="CC9" i="1" s="1"/>
  <c r="CB1120" i="1"/>
  <c r="CC1120" i="1" s="1"/>
  <c r="CB1118" i="1"/>
  <c r="CC1118" i="1" s="1"/>
  <c r="CB1116" i="1"/>
  <c r="CC1116" i="1" s="1"/>
  <c r="CB1114" i="1"/>
  <c r="CC1114" i="1" s="1"/>
  <c r="CB1112" i="1"/>
  <c r="CC1112" i="1" s="1"/>
  <c r="CB1110" i="1"/>
  <c r="CC1110" i="1" s="1"/>
  <c r="CB1108" i="1"/>
  <c r="CC1108" i="1" s="1"/>
  <c r="CB1106" i="1"/>
  <c r="CC1106" i="1" s="1"/>
  <c r="CB1048" i="1"/>
  <c r="CC1048" i="1" s="1"/>
  <c r="CB1046" i="1"/>
  <c r="CC1046" i="1" s="1"/>
  <c r="CB1044" i="1"/>
  <c r="CC1044" i="1" s="1"/>
  <c r="CB1042" i="1"/>
  <c r="CC1042" i="1" s="1"/>
  <c r="CB1040" i="1"/>
  <c r="CC1040" i="1" s="1"/>
  <c r="CB1038" i="1"/>
  <c r="CC1038" i="1" s="1"/>
  <c r="O1035" i="1"/>
  <c r="AA1035" i="1" s="1"/>
  <c r="Z1035" i="1" s="1"/>
  <c r="AC1035" i="1" s="1"/>
  <c r="CB1035" i="1"/>
  <c r="CC1035" i="1" s="1"/>
  <c r="AN1033" i="1"/>
  <c r="CB1033" i="1"/>
  <c r="CC1033" i="1" s="1"/>
  <c r="AN1031" i="1"/>
  <c r="CB1031" i="1"/>
  <c r="CC1031" i="1" s="1"/>
  <c r="AN1009" i="1"/>
  <c r="CB1009" i="1"/>
  <c r="CC1009" i="1" s="1"/>
  <c r="AN943" i="1"/>
  <c r="CB943" i="1"/>
  <c r="CC943" i="1" s="1"/>
  <c r="AN941" i="1"/>
  <c r="CB941" i="1"/>
  <c r="CC941" i="1" s="1"/>
  <c r="AN939" i="1"/>
  <c r="CB939" i="1"/>
  <c r="CC939" i="1" s="1"/>
  <c r="AN937" i="1"/>
  <c r="CB937" i="1"/>
  <c r="CC937" i="1" s="1"/>
  <c r="AN935" i="1"/>
  <c r="CB935" i="1"/>
  <c r="CC935" i="1" s="1"/>
  <c r="AN933" i="1"/>
  <c r="CB933" i="1"/>
  <c r="CC933" i="1" s="1"/>
  <c r="AN931" i="1"/>
  <c r="CB931" i="1"/>
  <c r="CC931" i="1" s="1"/>
  <c r="AN927" i="1"/>
  <c r="CB927" i="1"/>
  <c r="CC927" i="1" s="1"/>
  <c r="AN925" i="1"/>
  <c r="CB925" i="1"/>
  <c r="CC925" i="1" s="1"/>
  <c r="AN923" i="1"/>
  <c r="CB923" i="1"/>
  <c r="CC923" i="1" s="1"/>
  <c r="AN921" i="1"/>
  <c r="CB921" i="1"/>
  <c r="CC921" i="1" s="1"/>
  <c r="AN919" i="1"/>
  <c r="CB919" i="1"/>
  <c r="CC919" i="1" s="1"/>
  <c r="AN917" i="1"/>
  <c r="CB917" i="1"/>
  <c r="CC917" i="1" s="1"/>
  <c r="AN915" i="1"/>
  <c r="CB915" i="1"/>
  <c r="CC915" i="1" s="1"/>
  <c r="AN913" i="1"/>
  <c r="CB913" i="1"/>
  <c r="CC913" i="1" s="1"/>
  <c r="AN911" i="1"/>
  <c r="CB911" i="1"/>
  <c r="CC911" i="1" s="1"/>
  <c r="AN905" i="1"/>
  <c r="CB905" i="1"/>
  <c r="CC905" i="1" s="1"/>
  <c r="AN903" i="1"/>
  <c r="CB903" i="1"/>
  <c r="CC903" i="1" s="1"/>
  <c r="AN901" i="1"/>
  <c r="CB901" i="1"/>
  <c r="CC901" i="1" s="1"/>
  <c r="AN899" i="1"/>
  <c r="CB899" i="1"/>
  <c r="CC899" i="1" s="1"/>
  <c r="AN897" i="1"/>
  <c r="CB897" i="1"/>
  <c r="CC897" i="1" s="1"/>
  <c r="AN895" i="1"/>
  <c r="CB895" i="1"/>
  <c r="CC895" i="1" s="1"/>
  <c r="AN893" i="1"/>
  <c r="CB893" i="1"/>
  <c r="CC893" i="1" s="1"/>
  <c r="AN891" i="1"/>
  <c r="CB891" i="1"/>
  <c r="CC891" i="1" s="1"/>
  <c r="AN889" i="1"/>
  <c r="CB889" i="1"/>
  <c r="CC889" i="1" s="1"/>
  <c r="AN887" i="1"/>
  <c r="CB887" i="1"/>
  <c r="CC887" i="1" s="1"/>
  <c r="AN885" i="1"/>
  <c r="CB885" i="1"/>
  <c r="CC885" i="1" s="1"/>
  <c r="AN883" i="1"/>
  <c r="CB883" i="1"/>
  <c r="CC883" i="1" s="1"/>
  <c r="AN881" i="1"/>
  <c r="CB881" i="1"/>
  <c r="CC881" i="1" s="1"/>
  <c r="V879" i="1"/>
  <c r="CB879" i="1"/>
  <c r="CC879" i="1" s="1"/>
  <c r="AN877" i="1"/>
  <c r="CB877" i="1"/>
  <c r="CC877" i="1" s="1"/>
  <c r="AN875" i="1"/>
  <c r="CB875" i="1"/>
  <c r="CC875" i="1" s="1"/>
  <c r="AN873" i="1"/>
  <c r="CB873" i="1"/>
  <c r="CC873" i="1" s="1"/>
  <c r="V871" i="1"/>
  <c r="CB871" i="1"/>
  <c r="CC871" i="1" s="1"/>
  <c r="BR715" i="1"/>
  <c r="CB715" i="1"/>
  <c r="CC715" i="1" s="1"/>
  <c r="BR713" i="1"/>
  <c r="CB713" i="1"/>
  <c r="CC713" i="1" s="1"/>
  <c r="BR711" i="1"/>
  <c r="CB711" i="1"/>
  <c r="CC711" i="1" s="1"/>
  <c r="BR706" i="1"/>
  <c r="CB706" i="1"/>
  <c r="CC706" i="1" s="1"/>
  <c r="BR704" i="1"/>
  <c r="CB704" i="1"/>
  <c r="CC704" i="1" s="1"/>
  <c r="BR702" i="1"/>
  <c r="CB702" i="1"/>
  <c r="CC702" i="1" s="1"/>
  <c r="BR509" i="1"/>
  <c r="CB509" i="1"/>
  <c r="CC509" i="1" s="1"/>
  <c r="BR508" i="1"/>
  <c r="CB508" i="1"/>
  <c r="CC508" i="1" s="1"/>
  <c r="BR697" i="1"/>
  <c r="CB697" i="1"/>
  <c r="CC697" i="1" s="1"/>
  <c r="BR505" i="1"/>
  <c r="CB505" i="1"/>
  <c r="CC505" i="1" s="1"/>
  <c r="BR694" i="1"/>
  <c r="CB694" i="1"/>
  <c r="CC694" i="1" s="1"/>
  <c r="BR692" i="1"/>
  <c r="CB692" i="1"/>
  <c r="CC692" i="1" s="1"/>
  <c r="BR688" i="1"/>
  <c r="CB688" i="1"/>
  <c r="CC688" i="1" s="1"/>
  <c r="BR686" i="1"/>
  <c r="CB686" i="1"/>
  <c r="CC686" i="1" s="1"/>
  <c r="AN608" i="1"/>
  <c r="CB608" i="1"/>
  <c r="CC608" i="1" s="1"/>
  <c r="AN568" i="1"/>
  <c r="CB568" i="1"/>
  <c r="CC568" i="1" s="1"/>
  <c r="AN542" i="1"/>
  <c r="CB542" i="1"/>
  <c r="CC542" i="1" s="1"/>
  <c r="BN540" i="1"/>
  <c r="CB540" i="1"/>
  <c r="CC540" i="1" s="1"/>
  <c r="AN536" i="1"/>
  <c r="CB536" i="1"/>
  <c r="CC536" i="1" s="1"/>
  <c r="BN534" i="1"/>
  <c r="CB534" i="1"/>
  <c r="CC534" i="1" s="1"/>
  <c r="BN532" i="1"/>
  <c r="CB532" i="1"/>
  <c r="CC532" i="1" s="1"/>
  <c r="BN526" i="1"/>
  <c r="CB526" i="1"/>
  <c r="CC526" i="1" s="1"/>
  <c r="BN522" i="1"/>
  <c r="CB522" i="1"/>
  <c r="CC522" i="1" s="1"/>
  <c r="BR506" i="1"/>
  <c r="CB506" i="1"/>
  <c r="CC506" i="1" s="1"/>
  <c r="BR500" i="1"/>
  <c r="CB500" i="1"/>
  <c r="CC500" i="1" s="1"/>
  <c r="BR498" i="1"/>
  <c r="CB498" i="1"/>
  <c r="CC498" i="1" s="1"/>
  <c r="BR496" i="1"/>
  <c r="CB496" i="1"/>
  <c r="CC496" i="1" s="1"/>
  <c r="BR471" i="1"/>
  <c r="CB471" i="1"/>
  <c r="CC471" i="1" s="1"/>
  <c r="BR482" i="1"/>
  <c r="CB482" i="1"/>
  <c r="CC482" i="1" s="1"/>
  <c r="BR472" i="1"/>
  <c r="CB472" i="1"/>
  <c r="CC472" i="1" s="1"/>
  <c r="BR463" i="1"/>
  <c r="CB463" i="1"/>
  <c r="CC463" i="1" s="1"/>
  <c r="BR462" i="1"/>
  <c r="CB462" i="1"/>
  <c r="CC462" i="1" s="1"/>
  <c r="BN454" i="1"/>
  <c r="CB454" i="1"/>
  <c r="CC454" i="1" s="1"/>
  <c r="BN450" i="1"/>
  <c r="CB450" i="1"/>
  <c r="CC450" i="1" s="1"/>
  <c r="BR449" i="1"/>
  <c r="CB449" i="1"/>
  <c r="CC449" i="1" s="1"/>
  <c r="BR441" i="1"/>
  <c r="CB441" i="1"/>
  <c r="CC441" i="1" s="1"/>
  <c r="BR434" i="1"/>
  <c r="CB434" i="1"/>
  <c r="CC434" i="1" s="1"/>
  <c r="BN186" i="1"/>
  <c r="CB186" i="1"/>
  <c r="CC186" i="1" s="1"/>
  <c r="BN431" i="1"/>
  <c r="CB431" i="1"/>
  <c r="CC431" i="1" s="1"/>
  <c r="BN427" i="1"/>
  <c r="CB427" i="1"/>
  <c r="CC427" i="1" s="1"/>
  <c r="BN425" i="1"/>
  <c r="CB425" i="1"/>
  <c r="CC425" i="1" s="1"/>
  <c r="BN423" i="1"/>
  <c r="CB423" i="1"/>
  <c r="CC423" i="1" s="1"/>
  <c r="BN419" i="1"/>
  <c r="CB419" i="1"/>
  <c r="CC419" i="1" s="1"/>
  <c r="BN407" i="1"/>
  <c r="CB407" i="1"/>
  <c r="CC407" i="1" s="1"/>
  <c r="BN405" i="1"/>
  <c r="CB405" i="1"/>
  <c r="CC405" i="1" s="1"/>
  <c r="BN403" i="1"/>
  <c r="CB403" i="1"/>
  <c r="CC403" i="1" s="1"/>
  <c r="BR399" i="1"/>
  <c r="CB399" i="1"/>
  <c r="CC399" i="1" s="1"/>
  <c r="BN397" i="1"/>
  <c r="CB397" i="1"/>
  <c r="CC397" i="1" s="1"/>
  <c r="BR395" i="1"/>
  <c r="CB395" i="1"/>
  <c r="CC395" i="1" s="1"/>
  <c r="BR391" i="1"/>
  <c r="CB391" i="1"/>
  <c r="CC391" i="1" s="1"/>
  <c r="BR389" i="1"/>
  <c r="CB389" i="1"/>
  <c r="CC389" i="1" s="1"/>
  <c r="BR385" i="1"/>
  <c r="CB385" i="1"/>
  <c r="CC385" i="1" s="1"/>
  <c r="BN383" i="1"/>
  <c r="CB383" i="1"/>
  <c r="CC383" i="1" s="1"/>
  <c r="BN381" i="1"/>
  <c r="CB381" i="1"/>
  <c r="CC381" i="1" s="1"/>
  <c r="BN377" i="1"/>
  <c r="CB377" i="1"/>
  <c r="CC377" i="1" s="1"/>
  <c r="BN375" i="1"/>
  <c r="CB375" i="1"/>
  <c r="CC375" i="1" s="1"/>
  <c r="BN373" i="1"/>
  <c r="CB373" i="1"/>
  <c r="CC373" i="1" s="1"/>
  <c r="BN371" i="1"/>
  <c r="CB371" i="1"/>
  <c r="CC371" i="1" s="1"/>
  <c r="BN369" i="1"/>
  <c r="CB369" i="1"/>
  <c r="CC369" i="1" s="1"/>
  <c r="BR361" i="1"/>
  <c r="CB361" i="1"/>
  <c r="CC361" i="1" s="1"/>
  <c r="BR359" i="1"/>
  <c r="CB359" i="1"/>
  <c r="CC359" i="1" s="1"/>
  <c r="BR357" i="1"/>
  <c r="CB357" i="1"/>
  <c r="CC357" i="1" s="1"/>
  <c r="BR355" i="1"/>
  <c r="CB355" i="1"/>
  <c r="CC355" i="1" s="1"/>
  <c r="BR351" i="1"/>
  <c r="CB351" i="1"/>
  <c r="CC351" i="1" s="1"/>
  <c r="BR349" i="1"/>
  <c r="CB349" i="1"/>
  <c r="CC349" i="1" s="1"/>
  <c r="BR347" i="1"/>
  <c r="CB347" i="1"/>
  <c r="CC347" i="1" s="1"/>
  <c r="BR346" i="1"/>
  <c r="CB346" i="1"/>
  <c r="CC346" i="1" s="1"/>
  <c r="BR344" i="1"/>
  <c r="CB344" i="1"/>
  <c r="CC344" i="1" s="1"/>
  <c r="BR342" i="1"/>
  <c r="CB342" i="1"/>
  <c r="CC342" i="1" s="1"/>
  <c r="BR339" i="1"/>
  <c r="CB339" i="1"/>
  <c r="CC339" i="1" s="1"/>
  <c r="BR689" i="1"/>
  <c r="CB689" i="1"/>
  <c r="CC689" i="1" s="1"/>
  <c r="BR336" i="1"/>
  <c r="CB336" i="1"/>
  <c r="CC336" i="1" s="1"/>
  <c r="BR334" i="1"/>
  <c r="CB334" i="1"/>
  <c r="CC334" i="1" s="1"/>
  <c r="BR332" i="1"/>
  <c r="CB332" i="1"/>
  <c r="CC332" i="1" s="1"/>
  <c r="BR315" i="1"/>
  <c r="CB315" i="1"/>
  <c r="CC315" i="1" s="1"/>
  <c r="BR313" i="1"/>
  <c r="CB313" i="1"/>
  <c r="CC313" i="1" s="1"/>
  <c r="BR309" i="1"/>
  <c r="CB309" i="1"/>
  <c r="CC309" i="1" s="1"/>
  <c r="BR307" i="1"/>
  <c r="CB307" i="1"/>
  <c r="CC307" i="1" s="1"/>
  <c r="BR305" i="1"/>
  <c r="CB305" i="1"/>
  <c r="CC305" i="1" s="1"/>
  <c r="BR303" i="1"/>
  <c r="CB303" i="1"/>
  <c r="CC303" i="1" s="1"/>
  <c r="BR301" i="1"/>
  <c r="CB301" i="1"/>
  <c r="CC301" i="1" s="1"/>
  <c r="BR299" i="1"/>
  <c r="CB299" i="1"/>
  <c r="CC299" i="1" s="1"/>
  <c r="BR297" i="1"/>
  <c r="CB297" i="1"/>
  <c r="CC297" i="1" s="1"/>
  <c r="BR295" i="1"/>
  <c r="CB295" i="1"/>
  <c r="CC295" i="1" s="1"/>
  <c r="BR291" i="1"/>
  <c r="CB291" i="1"/>
  <c r="CC291" i="1" s="1"/>
  <c r="BR288" i="1"/>
  <c r="CB288" i="1"/>
  <c r="CC288" i="1" s="1"/>
  <c r="BR286" i="1"/>
  <c r="CB286" i="1"/>
  <c r="CC286" i="1" s="1"/>
  <c r="BN272" i="1"/>
  <c r="CB272" i="1"/>
  <c r="CC272" i="1" s="1"/>
  <c r="BN271" i="1"/>
  <c r="CB271" i="1"/>
  <c r="CC271" i="1" s="1"/>
  <c r="BR263" i="1"/>
  <c r="CB263" i="1"/>
  <c r="CC263" i="1" s="1"/>
  <c r="BR261" i="1"/>
  <c r="CB261" i="1"/>
  <c r="CC261" i="1" s="1"/>
  <c r="BR259" i="1"/>
  <c r="CB259" i="1"/>
  <c r="CC259" i="1" s="1"/>
  <c r="BR258" i="1"/>
  <c r="CB258" i="1"/>
  <c r="CC258" i="1" s="1"/>
  <c r="BR255" i="1"/>
  <c r="CB255" i="1"/>
  <c r="CC255" i="1" s="1"/>
  <c r="BR253" i="1"/>
  <c r="CB253" i="1"/>
  <c r="CC253" i="1" s="1"/>
  <c r="BR250" i="1"/>
  <c r="CB250" i="1"/>
  <c r="CC250" i="1" s="1"/>
  <c r="BR249" i="1"/>
  <c r="CB249" i="1"/>
  <c r="CC249" i="1" s="1"/>
  <c r="BR247" i="1"/>
  <c r="CB247" i="1"/>
  <c r="CC247" i="1" s="1"/>
  <c r="BR245" i="1"/>
  <c r="CB245" i="1"/>
  <c r="CC245" i="1" s="1"/>
  <c r="BR243" i="1"/>
  <c r="CB243" i="1"/>
  <c r="CC243" i="1" s="1"/>
  <c r="BR242" i="1"/>
  <c r="CB242" i="1"/>
  <c r="CC242" i="1" s="1"/>
  <c r="BR239" i="1"/>
  <c r="CB239" i="1"/>
  <c r="CC239" i="1" s="1"/>
  <c r="BR236" i="1"/>
  <c r="CB236" i="1"/>
  <c r="CC236" i="1" s="1"/>
  <c r="BR213" i="1"/>
  <c r="CB213" i="1"/>
  <c r="CC213" i="1" s="1"/>
  <c r="BR207" i="1"/>
  <c r="CB207" i="1"/>
  <c r="CC207" i="1" s="1"/>
  <c r="BR204" i="1"/>
  <c r="CB204" i="1"/>
  <c r="CC204" i="1" s="1"/>
  <c r="BR691" i="1"/>
  <c r="CB691" i="1"/>
  <c r="CC691" i="1" s="1"/>
  <c r="BR201" i="1"/>
  <c r="CB201" i="1"/>
  <c r="CC201" i="1" s="1"/>
  <c r="BR199" i="1"/>
  <c r="CB199" i="1"/>
  <c r="CC199" i="1" s="1"/>
  <c r="BR197" i="1"/>
  <c r="CB197" i="1"/>
  <c r="CC197" i="1" s="1"/>
  <c r="BR195" i="1"/>
  <c r="CB195" i="1"/>
  <c r="CC195" i="1" s="1"/>
  <c r="BR193" i="1"/>
  <c r="CB193" i="1"/>
  <c r="CC193" i="1" s="1"/>
  <c r="BR191" i="1"/>
  <c r="CB191" i="1"/>
  <c r="CC191" i="1" s="1"/>
  <c r="BN181" i="1"/>
  <c r="CB181" i="1"/>
  <c r="CC181" i="1" s="1"/>
  <c r="BN175" i="1"/>
  <c r="CB175" i="1"/>
  <c r="CC175" i="1" s="1"/>
  <c r="BR169" i="1"/>
  <c r="CB169" i="1"/>
  <c r="CC169" i="1" s="1"/>
  <c r="BN167" i="1"/>
  <c r="CB167" i="1"/>
  <c r="CC167" i="1" s="1"/>
  <c r="BN163" i="1"/>
  <c r="CB163" i="1"/>
  <c r="CC163" i="1" s="1"/>
  <c r="BR158" i="1"/>
  <c r="CB158" i="1"/>
  <c r="CC158" i="1" s="1"/>
  <c r="BR154" i="1"/>
  <c r="CB154" i="1"/>
  <c r="CC154" i="1" s="1"/>
  <c r="BR152" i="1"/>
  <c r="CB152" i="1"/>
  <c r="CC152" i="1" s="1"/>
  <c r="BR150" i="1"/>
  <c r="CB150" i="1"/>
  <c r="CC150" i="1" s="1"/>
  <c r="BR148" i="1"/>
  <c r="CB148" i="1"/>
  <c r="CC148" i="1" s="1"/>
  <c r="BR145" i="1"/>
  <c r="CB145" i="1"/>
  <c r="CC145" i="1" s="1"/>
  <c r="BR142" i="1"/>
  <c r="CB142" i="1"/>
  <c r="CC142" i="1" s="1"/>
  <c r="BR113" i="1"/>
  <c r="CB113" i="1"/>
  <c r="CC113" i="1" s="1"/>
  <c r="BR107" i="1"/>
  <c r="CB107" i="1"/>
  <c r="CC107" i="1" s="1"/>
  <c r="BR105" i="1"/>
  <c r="CB105" i="1"/>
  <c r="CC105" i="1" s="1"/>
  <c r="BR104" i="1"/>
  <c r="CB104" i="1"/>
  <c r="CC104" i="1" s="1"/>
  <c r="BR102" i="1"/>
  <c r="CB102" i="1"/>
  <c r="CC102" i="1" s="1"/>
  <c r="BR100" i="1"/>
  <c r="CB100" i="1"/>
  <c r="CC100" i="1" s="1"/>
  <c r="BR240" i="1"/>
  <c r="CB240" i="1"/>
  <c r="CC240" i="1" s="1"/>
  <c r="BN97" i="1"/>
  <c r="CB97" i="1"/>
  <c r="CC97" i="1" s="1"/>
  <c r="BN95" i="1"/>
  <c r="CB95" i="1"/>
  <c r="CC95" i="1" s="1"/>
  <c r="BN86" i="1"/>
  <c r="CB86" i="1"/>
  <c r="CC86" i="1" s="1"/>
  <c r="BN82" i="1"/>
  <c r="CB82" i="1"/>
  <c r="CC82" i="1" s="1"/>
  <c r="BN80" i="1"/>
  <c r="CB80" i="1"/>
  <c r="CC80" i="1" s="1"/>
  <c r="BR76" i="1"/>
  <c r="CB76" i="1"/>
  <c r="CC76" i="1" s="1"/>
  <c r="BR72" i="1"/>
  <c r="CB72" i="1"/>
  <c r="CC72" i="1" s="1"/>
  <c r="BR70" i="1"/>
  <c r="CB70" i="1"/>
  <c r="CC70" i="1" s="1"/>
  <c r="BR64" i="1"/>
  <c r="CB64" i="1"/>
  <c r="CC64" i="1" s="1"/>
  <c r="BR62" i="1"/>
  <c r="CB62" i="1"/>
  <c r="CC62" i="1" s="1"/>
  <c r="BR60" i="1"/>
  <c r="CB60" i="1"/>
  <c r="CC60" i="1" s="1"/>
  <c r="BR58" i="1"/>
  <c r="CB58" i="1"/>
  <c r="CC58" i="1" s="1"/>
  <c r="BR56" i="1"/>
  <c r="CB56" i="1"/>
  <c r="CC56" i="1" s="1"/>
  <c r="BR52" i="1"/>
  <c r="CB52" i="1"/>
  <c r="CC52" i="1" s="1"/>
  <c r="BN40" i="1"/>
  <c r="CB40" i="1"/>
  <c r="CC40" i="1" s="1"/>
  <c r="BR37" i="1"/>
  <c r="CB37" i="1"/>
  <c r="CC37" i="1" s="1"/>
  <c r="BR28" i="1"/>
  <c r="CB28" i="1"/>
  <c r="CC28" i="1" s="1"/>
  <c r="BR26" i="1"/>
  <c r="CB26" i="1"/>
  <c r="CC26" i="1" s="1"/>
  <c r="BR24" i="1"/>
  <c r="CB24" i="1"/>
  <c r="CC24" i="1" s="1"/>
  <c r="BR257" i="1"/>
  <c r="CB257" i="1"/>
  <c r="CC257" i="1" s="1"/>
  <c r="BR21" i="1"/>
  <c r="CB21" i="1"/>
  <c r="CC21" i="1" s="1"/>
  <c r="BR18" i="1"/>
  <c r="CB18" i="1"/>
  <c r="CC18" i="1" s="1"/>
  <c r="BR16" i="1"/>
  <c r="CB16" i="1"/>
  <c r="CC16" i="1" s="1"/>
  <c r="BR12" i="1"/>
  <c r="CB12" i="1"/>
  <c r="CC12" i="1" s="1"/>
  <c r="BR10" i="1"/>
  <c r="CB10" i="1"/>
  <c r="CC10" i="1" s="1"/>
  <c r="BR8" i="1"/>
  <c r="CB8" i="1"/>
  <c r="CC8" i="1" s="1"/>
  <c r="CB1121" i="1"/>
  <c r="CC1121" i="1" s="1"/>
  <c r="CB1119" i="1"/>
  <c r="CC1119" i="1" s="1"/>
  <c r="CB1117" i="1"/>
  <c r="CC1117" i="1" s="1"/>
  <c r="CB1115" i="1"/>
  <c r="CC1115" i="1" s="1"/>
  <c r="CB1113" i="1"/>
  <c r="CC1113" i="1" s="1"/>
  <c r="CB1111" i="1"/>
  <c r="CC1111" i="1" s="1"/>
  <c r="CB1109" i="1"/>
  <c r="CC1109" i="1" s="1"/>
  <c r="CB1107" i="1"/>
  <c r="CC1107" i="1" s="1"/>
  <c r="CB1061" i="1"/>
  <c r="CC1061" i="1" s="1"/>
  <c r="CB1047" i="1"/>
  <c r="CC1047" i="1" s="1"/>
  <c r="CB1045" i="1"/>
  <c r="CC1045" i="1" s="1"/>
  <c r="CB1043" i="1"/>
  <c r="CC1043" i="1" s="1"/>
  <c r="CB1041" i="1"/>
  <c r="CC1041" i="1" s="1"/>
  <c r="CB1039" i="1"/>
  <c r="CC1039" i="1" s="1"/>
  <c r="CB1037" i="1"/>
  <c r="CC1037" i="1" s="1"/>
  <c r="V868" i="1"/>
  <c r="BX868" i="1"/>
  <c r="AN866" i="1"/>
  <c r="BX866" i="1"/>
  <c r="V864" i="1"/>
  <c r="BX864" i="1"/>
  <c r="AN862" i="1"/>
  <c r="BX862" i="1"/>
  <c r="V860" i="1"/>
  <c r="BX860" i="1"/>
  <c r="AN858" i="1"/>
  <c r="BX858" i="1"/>
  <c r="V856" i="1"/>
  <c r="BX856" i="1"/>
  <c r="AN854" i="1"/>
  <c r="BX854" i="1"/>
  <c r="V852" i="1"/>
  <c r="BX852" i="1"/>
  <c r="AN850" i="1"/>
  <c r="BX850" i="1"/>
  <c r="V848" i="1"/>
  <c r="BX848" i="1"/>
  <c r="AN846" i="1"/>
  <c r="BX846" i="1"/>
  <c r="V844" i="1"/>
  <c r="BX844" i="1"/>
  <c r="AN842" i="1"/>
  <c r="BX842" i="1"/>
  <c r="V840" i="1"/>
  <c r="BX840" i="1"/>
  <c r="AN838" i="1"/>
  <c r="BX838" i="1"/>
  <c r="V837" i="1"/>
  <c r="BX837" i="1"/>
  <c r="AN835" i="1"/>
  <c r="BX835" i="1"/>
  <c r="V833" i="1"/>
  <c r="BX833" i="1"/>
  <c r="AN831" i="1"/>
  <c r="BX831" i="1"/>
  <c r="V829" i="1"/>
  <c r="BX829" i="1"/>
  <c r="AN819" i="1"/>
  <c r="BX819" i="1"/>
  <c r="V816" i="1"/>
  <c r="BX816" i="1"/>
  <c r="AN813" i="1"/>
  <c r="BX813" i="1"/>
  <c r="AN809" i="1"/>
  <c r="BX809" i="1"/>
  <c r="AN805" i="1"/>
  <c r="BX805" i="1"/>
  <c r="AN801" i="1"/>
  <c r="BX801" i="1"/>
  <c r="AN827" i="1"/>
  <c r="BX827" i="1"/>
  <c r="AN824" i="1"/>
  <c r="BX824" i="1"/>
  <c r="AN788" i="1"/>
  <c r="BX788" i="1"/>
  <c r="AN785" i="1"/>
  <c r="BX785" i="1"/>
  <c r="AY783" i="1"/>
  <c r="AZ783" i="1" s="1"/>
  <c r="BX783" i="1"/>
  <c r="AN781" i="1"/>
  <c r="BX781" i="1"/>
  <c r="AY779" i="1"/>
  <c r="AZ779" i="1" s="1"/>
  <c r="BX779" i="1"/>
  <c r="AN777" i="1"/>
  <c r="BX777" i="1"/>
  <c r="AY775" i="1"/>
  <c r="AZ775" i="1" s="1"/>
  <c r="BX775" i="1"/>
  <c r="AN773" i="1"/>
  <c r="BX773" i="1"/>
  <c r="AY771" i="1"/>
  <c r="AZ771" i="1" s="1"/>
  <c r="BX771" i="1"/>
  <c r="AN769" i="1"/>
  <c r="BX769" i="1"/>
  <c r="AY767" i="1"/>
  <c r="AZ767" i="1" s="1"/>
  <c r="BX767" i="1"/>
  <c r="AN765" i="1"/>
  <c r="BX765" i="1"/>
  <c r="AY763" i="1"/>
  <c r="AZ763" i="1" s="1"/>
  <c r="BX763" i="1"/>
  <c r="AN761" i="1"/>
  <c r="BX761" i="1"/>
  <c r="AY759" i="1"/>
  <c r="AZ759" i="1" s="1"/>
  <c r="BX759" i="1"/>
  <c r="AN757" i="1"/>
  <c r="BX757" i="1"/>
  <c r="AY755" i="1"/>
  <c r="AZ755" i="1" s="1"/>
  <c r="BX755" i="1"/>
  <c r="AN753" i="1"/>
  <c r="BX753" i="1"/>
  <c r="AY751" i="1"/>
  <c r="AZ751" i="1" s="1"/>
  <c r="BX751" i="1"/>
  <c r="AN749" i="1"/>
  <c r="BX749" i="1"/>
  <c r="AY747" i="1"/>
  <c r="AZ747" i="1" s="1"/>
  <c r="BX747" i="1"/>
  <c r="AN745" i="1"/>
  <c r="BX745" i="1"/>
  <c r="AY743" i="1"/>
  <c r="AZ743" i="1" s="1"/>
  <c r="BX743" i="1"/>
  <c r="AN741" i="1"/>
  <c r="BX741" i="1"/>
  <c r="AY739" i="1"/>
  <c r="AZ739" i="1" s="1"/>
  <c r="BX739" i="1"/>
  <c r="AN737" i="1"/>
  <c r="BX737" i="1"/>
  <c r="AY735" i="1"/>
  <c r="AZ735" i="1" s="1"/>
  <c r="BX735" i="1"/>
  <c r="AN733" i="1"/>
  <c r="BX733" i="1"/>
  <c r="AY731" i="1"/>
  <c r="AZ731" i="1" s="1"/>
  <c r="BX731" i="1"/>
  <c r="AN729" i="1"/>
  <c r="BX729" i="1"/>
  <c r="AN727" i="1"/>
  <c r="BX727" i="1"/>
  <c r="AN725" i="1"/>
  <c r="BX725" i="1"/>
  <c r="AY723" i="1"/>
  <c r="AZ723" i="1" s="1"/>
  <c r="BX723" i="1"/>
  <c r="AN721" i="1"/>
  <c r="BX721" i="1"/>
  <c r="AN719" i="1"/>
  <c r="BX719" i="1"/>
  <c r="BX1043" i="1"/>
  <c r="BX1041" i="1"/>
  <c r="BX1039" i="1"/>
  <c r="BX1037" i="1"/>
  <c r="BX1035" i="1"/>
  <c r="BX1033" i="1"/>
  <c r="BX1031" i="1"/>
  <c r="BX943" i="1"/>
  <c r="BX941" i="1"/>
  <c r="BX939" i="1"/>
  <c r="BX937" i="1"/>
  <c r="BX935" i="1"/>
  <c r="BX933" i="1"/>
  <c r="BX931" i="1"/>
  <c r="BX927" i="1"/>
  <c r="BX925" i="1"/>
  <c r="BX923" i="1"/>
  <c r="BX921" i="1"/>
  <c r="BX919" i="1"/>
  <c r="BX917" i="1"/>
  <c r="BX915" i="1"/>
  <c r="BX913" i="1"/>
  <c r="BX911" i="1"/>
  <c r="BX905" i="1"/>
  <c r="BX903" i="1"/>
  <c r="BX901" i="1"/>
  <c r="BX899" i="1"/>
  <c r="BX897" i="1"/>
  <c r="BX895" i="1"/>
  <c r="BX893" i="1"/>
  <c r="BX891" i="1"/>
  <c r="BX889" i="1"/>
  <c r="BX887" i="1"/>
  <c r="BX885" i="1"/>
  <c r="BX883" i="1"/>
  <c r="BX881" i="1"/>
  <c r="BX879" i="1"/>
  <c r="BX877" i="1"/>
  <c r="BX875" i="1"/>
  <c r="BX873" i="1"/>
  <c r="BX871" i="1"/>
  <c r="AN869" i="1"/>
  <c r="BX869" i="1"/>
  <c r="AN867" i="1"/>
  <c r="BX867" i="1"/>
  <c r="AN865" i="1"/>
  <c r="BX865" i="1"/>
  <c r="V863" i="1"/>
  <c r="BX863" i="1"/>
  <c r="AN861" i="1"/>
  <c r="BX861" i="1"/>
  <c r="AN859" i="1"/>
  <c r="BX859" i="1"/>
  <c r="AN857" i="1"/>
  <c r="BX857" i="1"/>
  <c r="AN855" i="1"/>
  <c r="BX855" i="1"/>
  <c r="AN853" i="1"/>
  <c r="BX853" i="1"/>
  <c r="AN851" i="1"/>
  <c r="BX851" i="1"/>
  <c r="AN849" i="1"/>
  <c r="BX849" i="1"/>
  <c r="V847" i="1"/>
  <c r="BX847" i="1"/>
  <c r="AN845" i="1"/>
  <c r="BX845" i="1"/>
  <c r="AN843" i="1"/>
  <c r="BX843" i="1"/>
  <c r="AN841" i="1"/>
  <c r="BX841" i="1"/>
  <c r="V839" i="1"/>
  <c r="BX839" i="1"/>
  <c r="AN836" i="1"/>
  <c r="BX836" i="1"/>
  <c r="AN834" i="1"/>
  <c r="BX834" i="1"/>
  <c r="AN832" i="1"/>
  <c r="BX832" i="1"/>
  <c r="AN830" i="1"/>
  <c r="BX830" i="1"/>
  <c r="AN820" i="1"/>
  <c r="BX820" i="1"/>
  <c r="AN818" i="1"/>
  <c r="BX818" i="1"/>
  <c r="AN814" i="1"/>
  <c r="BX814" i="1"/>
  <c r="AN812" i="1"/>
  <c r="BX812" i="1"/>
  <c r="AN810" i="1"/>
  <c r="BX810" i="1"/>
  <c r="AN808" i="1"/>
  <c r="BX808" i="1"/>
  <c r="AN806" i="1"/>
  <c r="BX806" i="1"/>
  <c r="AN804" i="1"/>
  <c r="BX804" i="1"/>
  <c r="AN802" i="1"/>
  <c r="BX802" i="1"/>
  <c r="AN800" i="1"/>
  <c r="BX800" i="1"/>
  <c r="AN798" i="1"/>
  <c r="BX798" i="1"/>
  <c r="AN828" i="1"/>
  <c r="BX828" i="1"/>
  <c r="AN789" i="1"/>
  <c r="BX789" i="1"/>
  <c r="AN825" i="1"/>
  <c r="BX825" i="1"/>
  <c r="AN823" i="1"/>
  <c r="BX823" i="1"/>
  <c r="AN821" i="1"/>
  <c r="BX821" i="1"/>
  <c r="AN817" i="1"/>
  <c r="BX817" i="1"/>
  <c r="AN784" i="1"/>
  <c r="BX784" i="1"/>
  <c r="AN782" i="1"/>
  <c r="BX782" i="1"/>
  <c r="AN780" i="1"/>
  <c r="BX780" i="1"/>
  <c r="AN778" i="1"/>
  <c r="BX778" i="1"/>
  <c r="AN776" i="1"/>
  <c r="BX776" i="1"/>
  <c r="AN774" i="1"/>
  <c r="BX774" i="1"/>
  <c r="AN772" i="1"/>
  <c r="BX772" i="1"/>
  <c r="AN770" i="1"/>
  <c r="BX770" i="1"/>
  <c r="AN768" i="1"/>
  <c r="BX768" i="1"/>
  <c r="AN766" i="1"/>
  <c r="BX766" i="1"/>
  <c r="AN764" i="1"/>
  <c r="BX764" i="1"/>
  <c r="AN762" i="1"/>
  <c r="BX762" i="1"/>
  <c r="AN760" i="1"/>
  <c r="BX760" i="1"/>
  <c r="AN758" i="1"/>
  <c r="BX758" i="1"/>
  <c r="AN756" i="1"/>
  <c r="BX756" i="1"/>
  <c r="AN754" i="1"/>
  <c r="BX754" i="1"/>
  <c r="AN752" i="1"/>
  <c r="BX752" i="1"/>
  <c r="AN750" i="1"/>
  <c r="BX750" i="1"/>
  <c r="AN748" i="1"/>
  <c r="BX748" i="1"/>
  <c r="AN746" i="1"/>
  <c r="BX746" i="1"/>
  <c r="AN744" i="1"/>
  <c r="BX744" i="1"/>
  <c r="AN742" i="1"/>
  <c r="BX742" i="1"/>
  <c r="AN740" i="1"/>
  <c r="BX740" i="1"/>
  <c r="AN738" i="1"/>
  <c r="BX738" i="1"/>
  <c r="AN736" i="1"/>
  <c r="BX736" i="1"/>
  <c r="AN734" i="1"/>
  <c r="BX734" i="1"/>
  <c r="AN732" i="1"/>
  <c r="BX732" i="1"/>
  <c r="AN730" i="1"/>
  <c r="BX730" i="1"/>
  <c r="AN728" i="1"/>
  <c r="BX728" i="1"/>
  <c r="AN726" i="1"/>
  <c r="BX726" i="1"/>
  <c r="AN724" i="1"/>
  <c r="BX724" i="1"/>
  <c r="AN722" i="1"/>
  <c r="BX722" i="1"/>
  <c r="AN720" i="1"/>
  <c r="BX720" i="1"/>
  <c r="AN718" i="1"/>
  <c r="BX718" i="1"/>
  <c r="BX1044" i="1"/>
  <c r="BX1042" i="1"/>
  <c r="BX1040" i="1"/>
  <c r="BX1038" i="1"/>
  <c r="BX1036" i="1"/>
  <c r="BX1034" i="1"/>
  <c r="BX1032" i="1"/>
  <c r="BX942" i="1"/>
  <c r="BX940" i="1"/>
  <c r="BX938" i="1"/>
  <c r="BX936" i="1"/>
  <c r="BX934" i="1"/>
  <c r="BX932" i="1"/>
  <c r="BX930" i="1"/>
  <c r="BX928" i="1"/>
  <c r="BX926" i="1"/>
  <c r="BX924" i="1"/>
  <c r="BX922" i="1"/>
  <c r="BX920" i="1"/>
  <c r="BX918" i="1"/>
  <c r="BX916" i="1"/>
  <c r="BX914" i="1"/>
  <c r="BX912" i="1"/>
  <c r="BX910" i="1"/>
  <c r="BX906" i="1"/>
  <c r="BX904" i="1"/>
  <c r="BX902" i="1"/>
  <c r="BX900" i="1"/>
  <c r="BX898" i="1"/>
  <c r="BX896" i="1"/>
  <c r="BX894" i="1"/>
  <c r="BX892" i="1"/>
  <c r="BX890" i="1"/>
  <c r="BX888" i="1"/>
  <c r="BX886" i="1"/>
  <c r="BX884" i="1"/>
  <c r="BX882" i="1"/>
  <c r="BX880" i="1"/>
  <c r="BX878" i="1"/>
  <c r="BX876" i="1"/>
  <c r="BX874" i="1"/>
  <c r="BX872" i="1"/>
  <c r="BX870" i="1"/>
  <c r="BN447" i="1"/>
  <c r="BR447" i="1"/>
  <c r="BN445" i="1"/>
  <c r="BR445" i="1"/>
  <c r="BN443" i="1"/>
  <c r="BR443" i="1"/>
  <c r="BN438" i="1"/>
  <c r="BR438" i="1"/>
  <c r="BN436" i="1"/>
  <c r="BR436" i="1"/>
  <c r="BN212" i="1"/>
  <c r="BR212" i="1"/>
  <c r="BN393" i="1"/>
  <c r="BR393" i="1"/>
  <c r="BN387" i="1"/>
  <c r="BR387" i="1"/>
  <c r="BN353" i="1"/>
  <c r="BR353" i="1"/>
  <c r="BN293" i="1"/>
  <c r="BR293" i="1"/>
  <c r="BN284" i="1"/>
  <c r="BR284" i="1"/>
  <c r="BN251" i="1"/>
  <c r="BR251" i="1"/>
  <c r="BN234" i="1"/>
  <c r="BR234" i="1"/>
  <c r="BN189" i="1"/>
  <c r="BR189" i="1"/>
  <c r="BN187" i="1"/>
  <c r="BR187" i="1"/>
  <c r="BN160" i="1"/>
  <c r="BR160" i="1"/>
  <c r="BN156" i="1"/>
  <c r="BR156" i="1"/>
  <c r="BN146" i="1"/>
  <c r="BR146" i="1"/>
  <c r="BN237" i="1"/>
  <c r="BR237" i="1"/>
  <c r="BN127" i="1"/>
  <c r="BR127" i="1"/>
  <c r="BN69" i="1"/>
  <c r="BR69" i="1"/>
  <c r="AN111" i="1"/>
  <c r="BR111" i="1"/>
  <c r="BN109" i="1"/>
  <c r="BR109" i="1"/>
  <c r="BN74" i="1"/>
  <c r="BR74" i="1"/>
  <c r="BN54" i="1"/>
  <c r="BR54" i="1"/>
  <c r="BR714" i="1"/>
  <c r="BR705" i="1"/>
  <c r="BR698" i="1"/>
  <c r="BN690" i="1"/>
  <c r="BR690" i="1"/>
  <c r="BN446" i="1"/>
  <c r="BR446" i="1"/>
  <c r="BN444" i="1"/>
  <c r="BR444" i="1"/>
  <c r="BN442" i="1"/>
  <c r="BR442" i="1"/>
  <c r="BN437" i="1"/>
  <c r="BR437" i="1"/>
  <c r="BN435" i="1"/>
  <c r="BR435" i="1"/>
  <c r="BN392" i="1"/>
  <c r="BR392" i="1"/>
  <c r="BN390" i="1"/>
  <c r="BR390" i="1"/>
  <c r="BN388" i="1"/>
  <c r="BR388" i="1"/>
  <c r="BN384" i="1"/>
  <c r="BR384" i="1"/>
  <c r="BN354" i="1"/>
  <c r="BR354" i="1"/>
  <c r="BN699" i="1"/>
  <c r="BR699" i="1"/>
  <c r="BN343" i="1"/>
  <c r="BR343" i="1"/>
  <c r="BN338" i="1"/>
  <c r="BR338" i="1"/>
  <c r="BN337" i="1"/>
  <c r="BR337" i="1"/>
  <c r="BN335" i="1"/>
  <c r="BR335" i="1"/>
  <c r="BN331" i="1"/>
  <c r="BR331" i="1"/>
  <c r="BN308" i="1"/>
  <c r="BR308" i="1"/>
  <c r="BN300" i="1"/>
  <c r="BR300" i="1"/>
  <c r="BN290" i="1"/>
  <c r="BR290" i="1"/>
  <c r="BN252" i="1"/>
  <c r="BR252" i="1"/>
  <c r="BN238" i="1"/>
  <c r="BR238" i="1"/>
  <c r="BN200" i="1"/>
  <c r="BR200" i="1"/>
  <c r="BN188" i="1"/>
  <c r="BR188" i="1"/>
  <c r="BN157" i="1"/>
  <c r="BR157" i="1"/>
  <c r="BN112" i="1"/>
  <c r="BR112" i="1"/>
  <c r="BN110" i="1"/>
  <c r="BR110" i="1"/>
  <c r="BN106" i="1"/>
  <c r="BR106" i="1"/>
  <c r="BN103" i="1"/>
  <c r="BR103" i="1"/>
  <c r="BN99" i="1"/>
  <c r="BR99" i="1"/>
  <c r="BN51" i="1"/>
  <c r="BR51" i="1"/>
  <c r="AG1105" i="1"/>
  <c r="BN1105" i="1"/>
  <c r="AG1101" i="1"/>
  <c r="BN1101" i="1"/>
  <c r="O1099" i="1"/>
  <c r="AA1099" i="1" s="1"/>
  <c r="Z1099" i="1" s="1"/>
  <c r="AC1099" i="1" s="1"/>
  <c r="BN1099" i="1"/>
  <c r="AG1097" i="1"/>
  <c r="BN1097" i="1"/>
  <c r="O1095" i="1"/>
  <c r="AA1095" i="1" s="1"/>
  <c r="Z1095" i="1" s="1"/>
  <c r="AC1095" i="1" s="1"/>
  <c r="BN1095" i="1"/>
  <c r="AG1093" i="1"/>
  <c r="BN1093" i="1"/>
  <c r="O1091" i="1"/>
  <c r="AA1091" i="1" s="1"/>
  <c r="Z1091" i="1" s="1"/>
  <c r="AC1091" i="1" s="1"/>
  <c r="BN1091" i="1"/>
  <c r="AG1089" i="1"/>
  <c r="BN1089" i="1"/>
  <c r="O1087" i="1"/>
  <c r="AA1087" i="1" s="1"/>
  <c r="Z1087" i="1" s="1"/>
  <c r="AC1087" i="1" s="1"/>
  <c r="BN1087" i="1"/>
  <c r="AG1085" i="1"/>
  <c r="BN1085" i="1"/>
  <c r="O1083" i="1"/>
  <c r="AA1083" i="1" s="1"/>
  <c r="Z1083" i="1" s="1"/>
  <c r="AC1083" i="1" s="1"/>
  <c r="BN1083" i="1"/>
  <c r="AG1081" i="1"/>
  <c r="BN1081" i="1"/>
  <c r="O1079" i="1"/>
  <c r="AA1079" i="1" s="1"/>
  <c r="Z1079" i="1" s="1"/>
  <c r="AC1079" i="1" s="1"/>
  <c r="BN1079" i="1"/>
  <c r="AG1077" i="1"/>
  <c r="BN1077" i="1"/>
  <c r="O1075" i="1"/>
  <c r="AA1075" i="1" s="1"/>
  <c r="Z1075" i="1" s="1"/>
  <c r="AC1075" i="1" s="1"/>
  <c r="BN1075" i="1"/>
  <c r="AG1073" i="1"/>
  <c r="BN1073" i="1"/>
  <c r="O1071" i="1"/>
  <c r="AA1071" i="1" s="1"/>
  <c r="Z1071" i="1" s="1"/>
  <c r="AC1071" i="1" s="1"/>
  <c r="BN1071" i="1"/>
  <c r="AN1069" i="1"/>
  <c r="BN1069" i="1"/>
  <c r="O1067" i="1"/>
  <c r="AA1067" i="1" s="1"/>
  <c r="Z1067" i="1" s="1"/>
  <c r="AC1067" i="1" s="1"/>
  <c r="BN1067" i="1"/>
  <c r="AG1065" i="1"/>
  <c r="BN1065" i="1"/>
  <c r="O1063" i="1"/>
  <c r="AA1063" i="1" s="1"/>
  <c r="Z1063" i="1" s="1"/>
  <c r="AC1063" i="1" s="1"/>
  <c r="BN1063" i="1"/>
  <c r="O1059" i="1"/>
  <c r="AA1059" i="1" s="1"/>
  <c r="Z1059" i="1" s="1"/>
  <c r="AC1059" i="1" s="1"/>
  <c r="BN1059" i="1"/>
  <c r="AN1057" i="1"/>
  <c r="BN1057" i="1"/>
  <c r="O1055" i="1"/>
  <c r="AA1055" i="1" s="1"/>
  <c r="Z1055" i="1" s="1"/>
  <c r="AC1055" i="1" s="1"/>
  <c r="BN1055" i="1"/>
  <c r="AN1053" i="1"/>
  <c r="BN1053" i="1"/>
  <c r="O1051" i="1"/>
  <c r="AA1051" i="1" s="1"/>
  <c r="Z1051" i="1" s="1"/>
  <c r="AC1051" i="1" s="1"/>
  <c r="BN1051" i="1"/>
  <c r="O1049" i="1"/>
  <c r="AA1049" i="1" s="1"/>
  <c r="Z1049" i="1" s="1"/>
  <c r="AC1049" i="1" s="1"/>
  <c r="BN1049" i="1"/>
  <c r="AN1029" i="1"/>
  <c r="BN1029" i="1"/>
  <c r="AN1027" i="1"/>
  <c r="BN1027" i="1"/>
  <c r="AN1025" i="1"/>
  <c r="BN1025" i="1"/>
  <c r="AN1023" i="1"/>
  <c r="BN1023" i="1"/>
  <c r="AN1021" i="1"/>
  <c r="BN1021" i="1"/>
  <c r="AN1019" i="1"/>
  <c r="BN1019" i="1"/>
  <c r="AN1017" i="1"/>
  <c r="BN1017" i="1"/>
  <c r="AN1015" i="1"/>
  <c r="BN1015" i="1"/>
  <c r="AN1013" i="1"/>
  <c r="BN1013" i="1"/>
  <c r="AN1011" i="1"/>
  <c r="BN1011" i="1"/>
  <c r="AN1007" i="1"/>
  <c r="BN1007" i="1"/>
  <c r="AN1005" i="1"/>
  <c r="BN1005" i="1"/>
  <c r="AN1003" i="1"/>
  <c r="BN1003" i="1"/>
  <c r="AN1001" i="1"/>
  <c r="BN1001" i="1"/>
  <c r="AN999" i="1"/>
  <c r="BN999" i="1"/>
  <c r="AN997" i="1"/>
  <c r="BN997" i="1"/>
  <c r="AN995" i="1"/>
  <c r="BN995" i="1"/>
  <c r="AN993" i="1"/>
  <c r="BN993" i="1"/>
  <c r="AN991" i="1"/>
  <c r="BN991" i="1"/>
  <c r="AN989" i="1"/>
  <c r="BN989" i="1"/>
  <c r="AN987" i="1"/>
  <c r="BN987" i="1"/>
  <c r="AN985" i="1"/>
  <c r="BN985" i="1"/>
  <c r="AN983" i="1"/>
  <c r="BN983" i="1"/>
  <c r="AN981" i="1"/>
  <c r="BN981" i="1"/>
  <c r="AN979" i="1"/>
  <c r="BN979" i="1"/>
  <c r="AN977" i="1"/>
  <c r="BN977" i="1"/>
  <c r="AN975" i="1"/>
  <c r="BN975" i="1"/>
  <c r="AN973" i="1"/>
  <c r="BN973" i="1"/>
  <c r="AN971" i="1"/>
  <c r="BN971" i="1"/>
  <c r="AN969" i="1"/>
  <c r="BN969" i="1"/>
  <c r="AN967" i="1"/>
  <c r="BN967" i="1"/>
  <c r="AN965" i="1"/>
  <c r="BN965" i="1"/>
  <c r="AN963" i="1"/>
  <c r="BN963" i="1"/>
  <c r="AN961" i="1"/>
  <c r="BN961" i="1"/>
  <c r="AN959" i="1"/>
  <c r="BN959" i="1"/>
  <c r="AN957" i="1"/>
  <c r="BN957" i="1"/>
  <c r="AN955" i="1"/>
  <c r="BN955" i="1"/>
  <c r="AN953" i="1"/>
  <c r="BN953" i="1"/>
  <c r="AN951" i="1"/>
  <c r="BN951" i="1"/>
  <c r="AN949" i="1"/>
  <c r="BN949" i="1"/>
  <c r="AN947" i="1"/>
  <c r="BN947" i="1"/>
  <c r="AN945" i="1"/>
  <c r="BN945" i="1"/>
  <c r="AN929" i="1"/>
  <c r="BN929" i="1"/>
  <c r="AN909" i="1"/>
  <c r="BN909" i="1"/>
  <c r="AN907" i="1"/>
  <c r="BN907" i="1"/>
  <c r="AN715" i="1"/>
  <c r="BN715" i="1"/>
  <c r="AN713" i="1"/>
  <c r="BN713" i="1"/>
  <c r="AN711" i="1"/>
  <c r="BN711" i="1"/>
  <c r="AN708" i="1"/>
  <c r="BN708" i="1"/>
  <c r="AN706" i="1"/>
  <c r="BN706" i="1"/>
  <c r="AN704" i="1"/>
  <c r="BN704" i="1"/>
  <c r="AN702" i="1"/>
  <c r="BN702" i="1"/>
  <c r="AN509" i="1"/>
  <c r="BN509" i="1"/>
  <c r="AN508" i="1"/>
  <c r="BN508" i="1"/>
  <c r="AN697" i="1"/>
  <c r="BN697" i="1"/>
  <c r="AN505" i="1"/>
  <c r="BN505" i="1"/>
  <c r="AN694" i="1"/>
  <c r="BN694" i="1"/>
  <c r="AN692" i="1"/>
  <c r="BN692" i="1"/>
  <c r="AN688" i="1"/>
  <c r="BN688" i="1"/>
  <c r="AN686" i="1"/>
  <c r="BN686" i="1"/>
  <c r="AN684" i="1"/>
  <c r="BN684" i="1"/>
  <c r="AN682" i="1"/>
  <c r="BN682" i="1"/>
  <c r="AN680" i="1"/>
  <c r="BN680" i="1"/>
  <c r="AN678" i="1"/>
  <c r="BN678" i="1"/>
  <c r="AN676" i="1"/>
  <c r="BN676" i="1"/>
  <c r="AN673" i="1"/>
  <c r="BN673" i="1"/>
  <c r="AN670" i="1"/>
  <c r="BN670" i="1"/>
  <c r="AN487" i="1"/>
  <c r="BN487" i="1"/>
  <c r="AN668" i="1"/>
  <c r="BN668" i="1"/>
  <c r="AN666" i="1"/>
  <c r="BN666" i="1"/>
  <c r="AN664" i="1"/>
  <c r="BN664" i="1"/>
  <c r="AN662" i="1"/>
  <c r="BN662" i="1"/>
  <c r="AN660" i="1"/>
  <c r="BN660" i="1"/>
  <c r="AN658" i="1"/>
  <c r="BN658" i="1"/>
  <c r="AN656" i="1"/>
  <c r="BN656" i="1"/>
  <c r="AN654" i="1"/>
  <c r="BN654" i="1"/>
  <c r="AN652" i="1"/>
  <c r="BN652" i="1"/>
  <c r="AN650" i="1"/>
  <c r="BN650" i="1"/>
  <c r="AN648" i="1"/>
  <c r="BN648" i="1"/>
  <c r="AN646" i="1"/>
  <c r="BN646" i="1"/>
  <c r="AN644" i="1"/>
  <c r="BN644" i="1"/>
  <c r="AN642" i="1"/>
  <c r="BN642" i="1"/>
  <c r="AN640" i="1"/>
  <c r="BN640" i="1"/>
  <c r="AN638" i="1"/>
  <c r="BN638" i="1"/>
  <c r="AN636" i="1"/>
  <c r="BN636" i="1"/>
  <c r="AN634" i="1"/>
  <c r="BN634" i="1"/>
  <c r="AN632" i="1"/>
  <c r="BN632" i="1"/>
  <c r="AN630" i="1"/>
  <c r="BN630" i="1"/>
  <c r="AN628" i="1"/>
  <c r="BN628" i="1"/>
  <c r="AN626" i="1"/>
  <c r="BN626" i="1"/>
  <c r="AN624" i="1"/>
  <c r="BN624" i="1"/>
  <c r="AN622" i="1"/>
  <c r="BN622" i="1"/>
  <c r="AN620" i="1"/>
  <c r="BN620" i="1"/>
  <c r="AN618" i="1"/>
  <c r="BN618" i="1"/>
  <c r="AN616" i="1"/>
  <c r="BN616" i="1"/>
  <c r="AN614" i="1"/>
  <c r="BN614" i="1"/>
  <c r="AN612" i="1"/>
  <c r="BN612" i="1"/>
  <c r="AN610" i="1"/>
  <c r="BN610" i="1"/>
  <c r="AN606" i="1"/>
  <c r="BN606" i="1"/>
  <c r="AN604" i="1"/>
  <c r="BN604" i="1"/>
  <c r="AN602" i="1"/>
  <c r="BN602" i="1"/>
  <c r="AN600" i="1"/>
  <c r="BN600" i="1"/>
  <c r="AN598" i="1"/>
  <c r="BN598" i="1"/>
  <c r="AN596" i="1"/>
  <c r="BN596" i="1"/>
  <c r="AN594" i="1"/>
  <c r="BN594" i="1"/>
  <c r="AN592" i="1"/>
  <c r="BN592" i="1"/>
  <c r="AN590" i="1"/>
  <c r="BN590" i="1"/>
  <c r="AN588" i="1"/>
  <c r="BN588" i="1"/>
  <c r="AN586" i="1"/>
  <c r="BN586" i="1"/>
  <c r="AN584" i="1"/>
  <c r="BN584" i="1"/>
  <c r="AN582" i="1"/>
  <c r="BN582" i="1"/>
  <c r="AN580" i="1"/>
  <c r="BN580" i="1"/>
  <c r="AN578" i="1"/>
  <c r="BN578" i="1"/>
  <c r="AN576" i="1"/>
  <c r="BN576" i="1"/>
  <c r="AN574" i="1"/>
  <c r="BN574" i="1"/>
  <c r="AN572" i="1"/>
  <c r="BN572" i="1"/>
  <c r="AN570" i="1"/>
  <c r="BN570" i="1"/>
  <c r="AN566" i="1"/>
  <c r="BN566" i="1"/>
  <c r="AN564" i="1"/>
  <c r="BN564" i="1"/>
  <c r="AN562" i="1"/>
  <c r="BN562" i="1"/>
  <c r="AN515" i="1"/>
  <c r="BN515" i="1"/>
  <c r="AN559" i="1"/>
  <c r="BN559" i="1"/>
  <c r="AN557" i="1"/>
  <c r="BN557" i="1"/>
  <c r="AN555" i="1"/>
  <c r="BN555" i="1"/>
  <c r="AN513" i="1"/>
  <c r="BN513" i="1"/>
  <c r="AN553" i="1"/>
  <c r="BN553" i="1"/>
  <c r="AN551" i="1"/>
  <c r="BN551" i="1"/>
  <c r="AN511" i="1"/>
  <c r="BN511" i="1"/>
  <c r="AN548" i="1"/>
  <c r="BN548" i="1"/>
  <c r="AN546" i="1"/>
  <c r="BN546" i="1"/>
  <c r="AN544" i="1"/>
  <c r="BN544" i="1"/>
  <c r="AN538" i="1"/>
  <c r="BN538" i="1"/>
  <c r="AN530" i="1"/>
  <c r="BN530" i="1"/>
  <c r="AN528" i="1"/>
  <c r="BN528" i="1"/>
  <c r="AN524" i="1"/>
  <c r="BN524" i="1"/>
  <c r="AN520" i="1"/>
  <c r="BN520" i="1"/>
  <c r="AN518" i="1"/>
  <c r="BN518" i="1"/>
  <c r="AN516" i="1"/>
  <c r="BN516" i="1"/>
  <c r="AN510" i="1"/>
  <c r="BN510" i="1"/>
  <c r="AN506" i="1"/>
  <c r="BN506" i="1"/>
  <c r="AN504" i="1"/>
  <c r="BN504" i="1"/>
  <c r="AN502" i="1"/>
  <c r="BN502" i="1"/>
  <c r="AN500" i="1"/>
  <c r="BN500" i="1"/>
  <c r="AN498" i="1"/>
  <c r="BN498" i="1"/>
  <c r="AN496" i="1"/>
  <c r="BN496" i="1"/>
  <c r="AN494" i="1"/>
  <c r="BN494" i="1"/>
  <c r="AN493" i="1"/>
  <c r="BN493" i="1"/>
  <c r="AN491" i="1"/>
  <c r="BN491" i="1"/>
  <c r="AN489" i="1"/>
  <c r="BN489" i="1"/>
  <c r="AN484" i="1"/>
  <c r="BN484" i="1"/>
  <c r="AN471" i="1"/>
  <c r="BN471" i="1"/>
  <c r="AN482" i="1"/>
  <c r="BN482" i="1"/>
  <c r="AN479" i="1"/>
  <c r="BN479" i="1"/>
  <c r="AN477" i="1"/>
  <c r="BN477" i="1"/>
  <c r="AN476" i="1"/>
  <c r="BN476" i="1"/>
  <c r="AN474" i="1"/>
  <c r="BN474" i="1"/>
  <c r="AN472" i="1"/>
  <c r="BN472" i="1"/>
  <c r="AN469" i="1"/>
  <c r="BN469" i="1"/>
  <c r="AN467" i="1"/>
  <c r="BN467" i="1"/>
  <c r="AN465" i="1"/>
  <c r="BN465" i="1"/>
  <c r="AN463" i="1"/>
  <c r="BN463" i="1"/>
  <c r="AN462" i="1"/>
  <c r="BN462" i="1"/>
  <c r="AN460" i="1"/>
  <c r="BN460" i="1"/>
  <c r="AN379" i="1"/>
  <c r="BN379" i="1"/>
  <c r="AN93" i="1"/>
  <c r="BN93" i="1"/>
  <c r="AN456" i="1"/>
  <c r="BN456" i="1"/>
  <c r="AN452" i="1"/>
  <c r="BN452" i="1"/>
  <c r="AN449" i="1"/>
  <c r="BN449" i="1"/>
  <c r="AN441" i="1"/>
  <c r="BN441" i="1"/>
  <c r="AN434" i="1"/>
  <c r="BN434" i="1"/>
  <c r="AN429" i="1"/>
  <c r="BN429" i="1"/>
  <c r="AN421" i="1"/>
  <c r="BN421" i="1"/>
  <c r="AN417" i="1"/>
  <c r="BN417" i="1"/>
  <c r="AN416" i="1"/>
  <c r="BN416" i="1"/>
  <c r="AN414" i="1"/>
  <c r="BN414" i="1"/>
  <c r="AN412" i="1"/>
  <c r="BN412" i="1"/>
  <c r="AN410" i="1"/>
  <c r="BN410" i="1"/>
  <c r="AN401" i="1"/>
  <c r="BN401" i="1"/>
  <c r="AN399" i="1"/>
  <c r="BN399" i="1"/>
  <c r="AN395" i="1"/>
  <c r="BN395" i="1"/>
  <c r="AN391" i="1"/>
  <c r="BN391" i="1"/>
  <c r="AN389" i="1"/>
  <c r="BN389" i="1"/>
  <c r="AN385" i="1"/>
  <c r="BN385" i="1"/>
  <c r="AN367" i="1"/>
  <c r="BN367" i="1"/>
  <c r="AN365" i="1"/>
  <c r="BN365" i="1"/>
  <c r="AN362" i="1"/>
  <c r="BN362" i="1"/>
  <c r="AN361" i="1"/>
  <c r="BN361" i="1"/>
  <c r="AN359" i="1"/>
  <c r="BN359" i="1"/>
  <c r="AN357" i="1"/>
  <c r="BN357" i="1"/>
  <c r="AN355" i="1"/>
  <c r="BN355" i="1"/>
  <c r="AN351" i="1"/>
  <c r="BN351" i="1"/>
  <c r="AN349" i="1"/>
  <c r="BN349" i="1"/>
  <c r="AN347" i="1"/>
  <c r="BN347" i="1"/>
  <c r="AN346" i="1"/>
  <c r="BN346" i="1"/>
  <c r="AN344" i="1"/>
  <c r="BN344" i="1"/>
  <c r="AN342" i="1"/>
  <c r="BN342" i="1"/>
  <c r="AN339" i="1"/>
  <c r="BN339" i="1"/>
  <c r="AN689" i="1"/>
  <c r="BN689" i="1"/>
  <c r="AN336" i="1"/>
  <c r="BN336" i="1"/>
  <c r="AN334" i="1"/>
  <c r="BN334" i="1"/>
  <c r="AN332" i="1"/>
  <c r="BN332" i="1"/>
  <c r="AN330" i="1"/>
  <c r="BN330" i="1"/>
  <c r="AN328" i="1"/>
  <c r="BN328" i="1"/>
  <c r="AN326" i="1"/>
  <c r="BN326" i="1"/>
  <c r="AN324" i="1"/>
  <c r="BN324" i="1"/>
  <c r="AN322" i="1"/>
  <c r="BN322" i="1"/>
  <c r="AN320" i="1"/>
  <c r="BN320" i="1"/>
  <c r="AN317" i="1"/>
  <c r="BN317" i="1"/>
  <c r="AN315" i="1"/>
  <c r="BN315" i="1"/>
  <c r="AN313" i="1"/>
  <c r="BN313" i="1"/>
  <c r="AN311" i="1"/>
  <c r="BN311" i="1"/>
  <c r="AN309" i="1"/>
  <c r="BN309" i="1"/>
  <c r="AN307" i="1"/>
  <c r="BN307" i="1"/>
  <c r="AN305" i="1"/>
  <c r="BN305" i="1"/>
  <c r="AN303" i="1"/>
  <c r="BN303" i="1"/>
  <c r="AN301" i="1"/>
  <c r="BN301" i="1"/>
  <c r="AN299" i="1"/>
  <c r="BN299" i="1"/>
  <c r="AN297" i="1"/>
  <c r="BN297" i="1"/>
  <c r="AN295" i="1"/>
  <c r="BN295" i="1"/>
  <c r="AN291" i="1"/>
  <c r="BN291" i="1"/>
  <c r="AN288" i="1"/>
  <c r="BN288" i="1"/>
  <c r="AN286" i="1"/>
  <c r="BN286" i="1"/>
  <c r="AN282" i="1"/>
  <c r="BN282" i="1"/>
  <c r="BK280" i="1"/>
  <c r="BN280" i="1"/>
  <c r="AN278" i="1"/>
  <c r="BN278" i="1"/>
  <c r="AN276" i="1"/>
  <c r="BN276" i="1"/>
  <c r="AN274" i="1"/>
  <c r="BN274" i="1"/>
  <c r="AN269" i="1"/>
  <c r="BN269" i="1"/>
  <c r="AN267" i="1"/>
  <c r="BN267" i="1"/>
  <c r="AN265" i="1"/>
  <c r="BN265" i="1"/>
  <c r="AN263" i="1"/>
  <c r="BN263" i="1"/>
  <c r="AN261" i="1"/>
  <c r="BN261" i="1"/>
  <c r="AN259" i="1"/>
  <c r="BN259" i="1"/>
  <c r="AN258" i="1"/>
  <c r="BN258" i="1"/>
  <c r="AN255" i="1"/>
  <c r="BN255" i="1"/>
  <c r="AN253" i="1"/>
  <c r="BN253" i="1"/>
  <c r="AN250" i="1"/>
  <c r="BN250" i="1"/>
  <c r="AN249" i="1"/>
  <c r="BN249" i="1"/>
  <c r="AN247" i="1"/>
  <c r="BN247" i="1"/>
  <c r="AN245" i="1"/>
  <c r="BN245" i="1"/>
  <c r="AN243" i="1"/>
  <c r="BN243" i="1"/>
  <c r="AN242" i="1"/>
  <c r="BN242" i="1"/>
  <c r="AN239" i="1"/>
  <c r="BN239" i="1"/>
  <c r="AN236" i="1"/>
  <c r="BN236" i="1"/>
  <c r="AN232" i="1"/>
  <c r="BN232" i="1"/>
  <c r="AN230" i="1"/>
  <c r="BN230" i="1"/>
  <c r="AN228" i="1"/>
  <c r="BN228" i="1"/>
  <c r="AN226" i="1"/>
  <c r="BN226" i="1"/>
  <c r="AN224" i="1"/>
  <c r="BN224" i="1"/>
  <c r="AN222" i="1"/>
  <c r="BN222" i="1"/>
  <c r="AN220" i="1"/>
  <c r="BN220" i="1"/>
  <c r="AN217" i="1"/>
  <c r="BN217" i="1"/>
  <c r="AN215" i="1"/>
  <c r="BN215" i="1"/>
  <c r="AN213" i="1"/>
  <c r="BN213" i="1"/>
  <c r="AN211" i="1"/>
  <c r="BN211" i="1"/>
  <c r="AN209" i="1"/>
  <c r="BN209" i="1"/>
  <c r="AN207" i="1"/>
  <c r="BN207" i="1"/>
  <c r="AN204" i="1"/>
  <c r="BN204" i="1"/>
  <c r="AN691" i="1"/>
  <c r="BN691" i="1"/>
  <c r="AN201" i="1"/>
  <c r="BN201" i="1"/>
  <c r="AN199" i="1"/>
  <c r="BN199" i="1"/>
  <c r="AN197" i="1"/>
  <c r="BN197" i="1"/>
  <c r="AN195" i="1"/>
  <c r="BN195" i="1"/>
  <c r="AN193" i="1"/>
  <c r="BN193" i="1"/>
  <c r="AN191" i="1"/>
  <c r="BN191" i="1"/>
  <c r="AN184" i="1"/>
  <c r="BN184" i="1"/>
  <c r="AN182" i="1"/>
  <c r="BN182" i="1"/>
  <c r="AN179" i="1"/>
  <c r="BN179" i="1"/>
  <c r="AN675" i="1"/>
  <c r="BN675" i="1"/>
  <c r="AN173" i="1"/>
  <c r="BN173" i="1"/>
  <c r="AN171" i="1"/>
  <c r="BN171" i="1"/>
  <c r="AN169" i="1"/>
  <c r="BN169" i="1"/>
  <c r="AN165" i="1"/>
  <c r="BN165" i="1"/>
  <c r="AN158" i="1"/>
  <c r="BN158" i="1"/>
  <c r="AN154" i="1"/>
  <c r="BN154" i="1"/>
  <c r="AN152" i="1"/>
  <c r="BN152" i="1"/>
  <c r="AN150" i="1"/>
  <c r="BN150" i="1"/>
  <c r="AN148" i="1"/>
  <c r="BN148" i="1"/>
  <c r="AN145" i="1"/>
  <c r="BN145" i="1"/>
  <c r="AN142" i="1"/>
  <c r="BN142" i="1"/>
  <c r="AN139" i="1"/>
  <c r="BN139" i="1"/>
  <c r="AN137" i="1"/>
  <c r="BN137" i="1"/>
  <c r="AN135" i="1"/>
  <c r="BN135" i="1"/>
  <c r="AN133" i="1"/>
  <c r="BN133" i="1"/>
  <c r="AN131" i="1"/>
  <c r="BN131" i="1"/>
  <c r="AN129" i="1"/>
  <c r="BN129" i="1"/>
  <c r="AN125" i="1"/>
  <c r="BN125" i="1"/>
  <c r="AN123" i="1"/>
  <c r="BN123" i="1"/>
  <c r="AN121" i="1"/>
  <c r="BN121" i="1"/>
  <c r="AN119" i="1"/>
  <c r="BN119" i="1"/>
  <c r="AN117" i="1"/>
  <c r="BN117" i="1"/>
  <c r="AN115" i="1"/>
  <c r="BN115" i="1"/>
  <c r="AN113" i="1"/>
  <c r="BN113" i="1"/>
  <c r="AN107" i="1"/>
  <c r="BN107" i="1"/>
  <c r="AN105" i="1"/>
  <c r="BN105" i="1"/>
  <c r="AN104" i="1"/>
  <c r="BN104" i="1"/>
  <c r="AN102" i="1"/>
  <c r="BN102" i="1"/>
  <c r="AN100" i="1"/>
  <c r="BN100" i="1"/>
  <c r="AN240" i="1"/>
  <c r="BN240" i="1"/>
  <c r="AN92" i="1"/>
  <c r="BN92" i="1"/>
  <c r="AN90" i="1"/>
  <c r="BN90" i="1"/>
  <c r="AN88" i="1"/>
  <c r="BN88" i="1"/>
  <c r="AN84" i="1"/>
  <c r="BN84" i="1"/>
  <c r="AN78" i="1"/>
  <c r="BN78" i="1"/>
  <c r="BK76" i="1"/>
  <c r="BN76" i="1"/>
  <c r="AN72" i="1"/>
  <c r="BN72" i="1"/>
  <c r="AN70" i="1"/>
  <c r="BN70" i="1"/>
  <c r="AN66" i="1"/>
  <c r="BN66" i="1"/>
  <c r="AN64" i="1"/>
  <c r="BN64" i="1"/>
  <c r="BK62" i="1"/>
  <c r="BN62" i="1"/>
  <c r="BK60" i="1"/>
  <c r="BN60" i="1"/>
  <c r="AN58" i="1"/>
  <c r="BN58" i="1"/>
  <c r="AN56" i="1"/>
  <c r="BN56" i="1"/>
  <c r="AN52" i="1"/>
  <c r="BN52" i="1"/>
  <c r="AN50" i="1"/>
  <c r="BN50" i="1"/>
  <c r="AN48" i="1"/>
  <c r="BN48" i="1"/>
  <c r="BK46" i="1"/>
  <c r="BN46" i="1"/>
  <c r="AN44" i="1"/>
  <c r="BN44" i="1"/>
  <c r="BK42" i="1"/>
  <c r="BN42" i="1"/>
  <c r="AN319" i="1"/>
  <c r="BN319" i="1"/>
  <c r="BK38" i="1"/>
  <c r="BN38" i="1"/>
  <c r="AN37" i="1"/>
  <c r="BN37" i="1"/>
  <c r="BK35" i="1"/>
  <c r="BN35" i="1"/>
  <c r="AN33" i="1"/>
  <c r="BN33" i="1"/>
  <c r="AN30" i="1"/>
  <c r="BN30" i="1"/>
  <c r="AN28" i="1"/>
  <c r="BN28" i="1"/>
  <c r="BK26" i="1"/>
  <c r="BN26" i="1"/>
  <c r="BK24" i="1"/>
  <c r="BN24" i="1"/>
  <c r="AN257" i="1"/>
  <c r="BN257" i="1"/>
  <c r="AN21" i="1"/>
  <c r="BN21" i="1"/>
  <c r="AN18" i="1"/>
  <c r="BN18" i="1"/>
  <c r="BK16" i="1"/>
  <c r="BN16" i="1"/>
  <c r="BK14" i="1"/>
  <c r="BN14" i="1"/>
  <c r="BK12" i="1"/>
  <c r="BN12" i="1"/>
  <c r="AN10" i="1"/>
  <c r="BN10" i="1"/>
  <c r="AN8" i="1"/>
  <c r="BN8" i="1"/>
  <c r="AN6" i="1"/>
  <c r="BN6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O1103" i="1"/>
  <c r="AA1103" i="1" s="1"/>
  <c r="Z1103" i="1" s="1"/>
  <c r="AC1103" i="1" s="1"/>
  <c r="BN1103" i="1"/>
  <c r="K1104" i="1"/>
  <c r="BN1104" i="1"/>
  <c r="K1102" i="1"/>
  <c r="BN1102" i="1"/>
  <c r="K1100" i="1"/>
  <c r="BN1100" i="1"/>
  <c r="K1098" i="1"/>
  <c r="BN1098" i="1"/>
  <c r="K1096" i="1"/>
  <c r="BN1096" i="1"/>
  <c r="K1094" i="1"/>
  <c r="BN1094" i="1"/>
  <c r="K1092" i="1"/>
  <c r="BN1092" i="1"/>
  <c r="K1090" i="1"/>
  <c r="BN1090" i="1"/>
  <c r="K1088" i="1"/>
  <c r="BN1088" i="1"/>
  <c r="K1086" i="1"/>
  <c r="BN1086" i="1"/>
  <c r="K1084" i="1"/>
  <c r="BN1084" i="1"/>
  <c r="K1082" i="1"/>
  <c r="BN1082" i="1"/>
  <c r="K1080" i="1"/>
  <c r="BN1080" i="1"/>
  <c r="K1078" i="1"/>
  <c r="BN1078" i="1"/>
  <c r="K1076" i="1"/>
  <c r="BN1076" i="1"/>
  <c r="K1074" i="1"/>
  <c r="BN1074" i="1"/>
  <c r="K1072" i="1"/>
  <c r="BN1072" i="1"/>
  <c r="K1070" i="1"/>
  <c r="BN1070" i="1"/>
  <c r="K1068" i="1"/>
  <c r="BN1068" i="1"/>
  <c r="K1066" i="1"/>
  <c r="BN1066" i="1"/>
  <c r="K1064" i="1"/>
  <c r="BN1064" i="1"/>
  <c r="K1062" i="1"/>
  <c r="BN1062" i="1"/>
  <c r="K1060" i="1"/>
  <c r="BN1060" i="1"/>
  <c r="K1058" i="1"/>
  <c r="BN1058" i="1"/>
  <c r="K1056" i="1"/>
  <c r="BN1056" i="1"/>
  <c r="K1054" i="1"/>
  <c r="BN1054" i="1"/>
  <c r="K1052" i="1"/>
  <c r="BN1052" i="1"/>
  <c r="K1050" i="1"/>
  <c r="BN1050" i="1"/>
  <c r="AN1030" i="1"/>
  <c r="BN1030" i="1"/>
  <c r="AN1028" i="1"/>
  <c r="BN1028" i="1"/>
  <c r="AN1026" i="1"/>
  <c r="BN1026" i="1"/>
  <c r="AN1024" i="1"/>
  <c r="BN1024" i="1"/>
  <c r="AN1022" i="1"/>
  <c r="BN1022" i="1"/>
  <c r="AN1020" i="1"/>
  <c r="BN1020" i="1"/>
  <c r="AN1018" i="1"/>
  <c r="BN1018" i="1"/>
  <c r="AN1014" i="1"/>
  <c r="BN1014" i="1"/>
  <c r="AN1010" i="1"/>
  <c r="BN1010" i="1"/>
  <c r="AN1008" i="1"/>
  <c r="BN1008" i="1"/>
  <c r="AN1004" i="1"/>
  <c r="BN1004" i="1"/>
  <c r="AN1002" i="1"/>
  <c r="BN1002" i="1"/>
  <c r="AN1000" i="1"/>
  <c r="BN1000" i="1"/>
  <c r="AN998" i="1"/>
  <c r="BN998" i="1"/>
  <c r="AN996" i="1"/>
  <c r="BN996" i="1"/>
  <c r="AN994" i="1"/>
  <c r="BN994" i="1"/>
  <c r="AN992" i="1"/>
  <c r="BN992" i="1"/>
  <c r="AN990" i="1"/>
  <c r="BN990" i="1"/>
  <c r="AN988" i="1"/>
  <c r="BN988" i="1"/>
  <c r="AN986" i="1"/>
  <c r="BN986" i="1"/>
  <c r="AN984" i="1"/>
  <c r="BN984" i="1"/>
  <c r="AN982" i="1"/>
  <c r="BN982" i="1"/>
  <c r="AN980" i="1"/>
  <c r="BN980" i="1"/>
  <c r="AN978" i="1"/>
  <c r="BN978" i="1"/>
  <c r="AN976" i="1"/>
  <c r="BN976" i="1"/>
  <c r="AN974" i="1"/>
  <c r="BN974" i="1"/>
  <c r="AN972" i="1"/>
  <c r="BN972" i="1"/>
  <c r="AN970" i="1"/>
  <c r="BN970" i="1"/>
  <c r="AN968" i="1"/>
  <c r="BN968" i="1"/>
  <c r="AN966" i="1"/>
  <c r="BN966" i="1"/>
  <c r="AN964" i="1"/>
  <c r="BN964" i="1"/>
  <c r="AN962" i="1"/>
  <c r="BN962" i="1"/>
  <c r="AN960" i="1"/>
  <c r="BN960" i="1"/>
  <c r="AN958" i="1"/>
  <c r="BN958" i="1"/>
  <c r="AN956" i="1"/>
  <c r="BN956" i="1"/>
  <c r="AN954" i="1"/>
  <c r="BN954" i="1"/>
  <c r="AN952" i="1"/>
  <c r="BN952" i="1"/>
  <c r="AN950" i="1"/>
  <c r="BN950" i="1"/>
  <c r="AN948" i="1"/>
  <c r="BN948" i="1"/>
  <c r="AN946" i="1"/>
  <c r="BN946" i="1"/>
  <c r="AN944" i="1"/>
  <c r="BN944" i="1"/>
  <c r="AN908" i="1"/>
  <c r="BN908" i="1"/>
  <c r="AN717" i="1"/>
  <c r="BN717" i="1"/>
  <c r="AN712" i="1"/>
  <c r="BN712" i="1"/>
  <c r="AN710" i="1"/>
  <c r="BN710" i="1"/>
  <c r="AN707" i="1"/>
  <c r="BN707" i="1"/>
  <c r="AN703" i="1"/>
  <c r="BN703" i="1"/>
  <c r="AN701" i="1"/>
  <c r="BN701" i="1"/>
  <c r="AN700" i="1"/>
  <c r="BN700" i="1"/>
  <c r="AN696" i="1"/>
  <c r="BN696" i="1"/>
  <c r="AN695" i="1"/>
  <c r="BN695" i="1"/>
  <c r="AN693" i="1"/>
  <c r="BN693" i="1"/>
  <c r="AN687" i="1"/>
  <c r="BN687" i="1"/>
  <c r="AN685" i="1"/>
  <c r="BN685" i="1"/>
  <c r="AN683" i="1"/>
  <c r="BN683" i="1"/>
  <c r="AN679" i="1"/>
  <c r="BN679" i="1"/>
  <c r="AN677" i="1"/>
  <c r="BN677" i="1"/>
  <c r="AN674" i="1"/>
  <c r="BN674" i="1"/>
  <c r="AN488" i="1"/>
  <c r="BN488" i="1"/>
  <c r="AN669" i="1"/>
  <c r="BN669" i="1"/>
  <c r="AN667" i="1"/>
  <c r="BN667" i="1"/>
  <c r="AN663" i="1"/>
  <c r="BN663" i="1"/>
  <c r="AN661" i="1"/>
  <c r="BN661" i="1"/>
  <c r="AN659" i="1"/>
  <c r="BN659" i="1"/>
  <c r="AN655" i="1"/>
  <c r="BN655" i="1"/>
  <c r="AN653" i="1"/>
  <c r="BN653" i="1"/>
  <c r="AN651" i="1"/>
  <c r="BN651" i="1"/>
  <c r="AN647" i="1"/>
  <c r="BN647" i="1"/>
  <c r="AN645" i="1"/>
  <c r="BN645" i="1"/>
  <c r="AN643" i="1"/>
  <c r="BN643" i="1"/>
  <c r="AN639" i="1"/>
  <c r="BN639" i="1"/>
  <c r="AN637" i="1"/>
  <c r="BN637" i="1"/>
  <c r="AN635" i="1"/>
  <c r="BN635" i="1"/>
  <c r="AN631" i="1"/>
  <c r="BN631" i="1"/>
  <c r="AN629" i="1"/>
  <c r="BN629" i="1"/>
  <c r="AN627" i="1"/>
  <c r="BN627" i="1"/>
  <c r="AN623" i="1"/>
  <c r="BN623" i="1"/>
  <c r="AN621" i="1"/>
  <c r="BN621" i="1"/>
  <c r="AN619" i="1"/>
  <c r="BN619" i="1"/>
  <c r="AN615" i="1"/>
  <c r="BN615" i="1"/>
  <c r="AN613" i="1"/>
  <c r="BN613" i="1"/>
  <c r="AN611" i="1"/>
  <c r="BN611" i="1"/>
  <c r="AN609" i="1"/>
  <c r="BN609" i="1"/>
  <c r="AN607" i="1"/>
  <c r="BN607" i="1"/>
  <c r="AN603" i="1"/>
  <c r="BN603" i="1"/>
  <c r="AN601" i="1"/>
  <c r="BN601" i="1"/>
  <c r="AN599" i="1"/>
  <c r="BN599" i="1"/>
  <c r="AN597" i="1"/>
  <c r="BN597" i="1"/>
  <c r="AN595" i="1"/>
  <c r="BN595" i="1"/>
  <c r="AN593" i="1"/>
  <c r="BN593" i="1"/>
  <c r="AN591" i="1"/>
  <c r="BN591" i="1"/>
  <c r="AN589" i="1"/>
  <c r="BN589" i="1"/>
  <c r="AN587" i="1"/>
  <c r="BN587" i="1"/>
  <c r="AN585" i="1"/>
  <c r="BN585" i="1"/>
  <c r="AN583" i="1"/>
  <c r="BN583" i="1"/>
  <c r="AN581" i="1"/>
  <c r="BN581" i="1"/>
  <c r="AN579" i="1"/>
  <c r="BN579" i="1"/>
  <c r="AN577" i="1"/>
  <c r="BN577" i="1"/>
  <c r="AN575" i="1"/>
  <c r="BN575" i="1"/>
  <c r="AN573" i="1"/>
  <c r="BN573" i="1"/>
  <c r="AN571" i="1"/>
  <c r="BN571" i="1"/>
  <c r="AN569" i="1"/>
  <c r="BN569" i="1"/>
  <c r="AN567" i="1"/>
  <c r="BN567" i="1"/>
  <c r="AN565" i="1"/>
  <c r="BN565" i="1"/>
  <c r="AN563" i="1"/>
  <c r="BN563" i="1"/>
  <c r="AN561" i="1"/>
  <c r="BN561" i="1"/>
  <c r="AN560" i="1"/>
  <c r="BN560" i="1"/>
  <c r="AN558" i="1"/>
  <c r="BN558" i="1"/>
  <c r="AN556" i="1"/>
  <c r="BN556" i="1"/>
  <c r="AN554" i="1"/>
  <c r="BN554" i="1"/>
  <c r="AN512" i="1"/>
  <c r="BN512" i="1"/>
  <c r="AN552" i="1"/>
  <c r="BN552" i="1"/>
  <c r="AN550" i="1"/>
  <c r="BN550" i="1"/>
  <c r="AN549" i="1"/>
  <c r="BN549" i="1"/>
  <c r="AN547" i="1"/>
  <c r="BN547" i="1"/>
  <c r="AN545" i="1"/>
  <c r="BN545" i="1"/>
  <c r="AN539" i="1"/>
  <c r="BN539" i="1"/>
  <c r="AN537" i="1"/>
  <c r="BN537" i="1"/>
  <c r="AN529" i="1"/>
  <c r="BN529" i="1"/>
  <c r="AN525" i="1"/>
  <c r="BN525" i="1"/>
  <c r="AN521" i="1"/>
  <c r="BN521" i="1"/>
  <c r="AN519" i="1"/>
  <c r="BN519" i="1"/>
  <c r="AN517" i="1"/>
  <c r="BN517" i="1"/>
  <c r="AN514" i="1"/>
  <c r="BN514" i="1"/>
  <c r="AN507" i="1"/>
  <c r="BN507" i="1"/>
  <c r="AN468" i="1"/>
  <c r="BN468" i="1"/>
  <c r="AN503" i="1"/>
  <c r="BN503" i="1"/>
  <c r="AN501" i="1"/>
  <c r="BN501" i="1"/>
  <c r="AN499" i="1"/>
  <c r="BN499" i="1"/>
  <c r="AN497" i="1"/>
  <c r="BN497" i="1"/>
  <c r="AN495" i="1"/>
  <c r="BN495" i="1"/>
  <c r="AN459" i="1"/>
  <c r="BN459" i="1"/>
  <c r="AN492" i="1"/>
  <c r="BN492" i="1"/>
  <c r="AN490" i="1"/>
  <c r="BN490" i="1"/>
  <c r="AN486" i="1"/>
  <c r="BN486" i="1"/>
  <c r="AN475" i="1"/>
  <c r="BN475" i="1"/>
  <c r="AN483" i="1"/>
  <c r="BN483" i="1"/>
  <c r="AN480" i="1"/>
  <c r="BN480" i="1"/>
  <c r="AN478" i="1"/>
  <c r="BN478" i="1"/>
  <c r="AN32" i="1"/>
  <c r="BN32" i="1"/>
  <c r="AN31" i="1"/>
  <c r="BN31" i="1"/>
  <c r="AN473" i="1"/>
  <c r="BN473" i="1"/>
  <c r="AN470" i="1"/>
  <c r="BN470" i="1"/>
  <c r="AN20" i="1"/>
  <c r="BN20" i="1"/>
  <c r="AN466" i="1"/>
  <c r="BN466" i="1"/>
  <c r="AN464" i="1"/>
  <c r="BN464" i="1"/>
  <c r="AN439" i="1"/>
  <c r="BN439" i="1"/>
  <c r="AN461" i="1"/>
  <c r="BN461" i="1"/>
  <c r="AN380" i="1"/>
  <c r="BN380" i="1"/>
  <c r="AN458" i="1"/>
  <c r="BN458" i="1"/>
  <c r="AN457" i="1"/>
  <c r="BN457" i="1"/>
  <c r="AN453" i="1"/>
  <c r="BN453" i="1"/>
  <c r="AN451" i="1"/>
  <c r="BN451" i="1"/>
  <c r="AN448" i="1"/>
  <c r="BN448" i="1"/>
  <c r="AN440" i="1"/>
  <c r="BN440" i="1"/>
  <c r="AN430" i="1"/>
  <c r="BN430" i="1"/>
  <c r="AN428" i="1"/>
  <c r="BN428" i="1"/>
  <c r="AN424" i="1"/>
  <c r="BN424" i="1"/>
  <c r="AN177" i="1"/>
  <c r="BN177" i="1"/>
  <c r="AN409" i="1"/>
  <c r="BN409" i="1"/>
  <c r="AN398" i="1"/>
  <c r="BN398" i="1"/>
  <c r="AN394" i="1"/>
  <c r="BN394" i="1"/>
  <c r="AN386" i="1"/>
  <c r="BN386" i="1"/>
  <c r="AN382" i="1"/>
  <c r="BN382" i="1"/>
  <c r="AN376" i="1"/>
  <c r="BN376" i="1"/>
  <c r="AN372" i="1"/>
  <c r="BN372" i="1"/>
  <c r="AN368" i="1"/>
  <c r="BN368" i="1"/>
  <c r="AN366" i="1"/>
  <c r="BN366" i="1"/>
  <c r="AN364" i="1"/>
  <c r="BN364" i="1"/>
  <c r="AN360" i="1"/>
  <c r="BN360" i="1"/>
  <c r="BK358" i="1"/>
  <c r="BN358" i="1"/>
  <c r="AN356" i="1"/>
  <c r="BN356" i="1"/>
  <c r="AN352" i="1"/>
  <c r="BN352" i="1"/>
  <c r="AN350" i="1"/>
  <c r="BN350" i="1"/>
  <c r="AN348" i="1"/>
  <c r="BN348" i="1"/>
  <c r="AN345" i="1"/>
  <c r="BN345" i="1"/>
  <c r="AN340" i="1"/>
  <c r="BN340" i="1"/>
  <c r="AN333" i="1"/>
  <c r="BN333" i="1"/>
  <c r="AN325" i="1"/>
  <c r="BN325" i="1"/>
  <c r="AN321" i="1"/>
  <c r="BN321" i="1"/>
  <c r="AN316" i="1"/>
  <c r="BN316" i="1"/>
  <c r="BK314" i="1"/>
  <c r="BN314" i="1"/>
  <c r="AN312" i="1"/>
  <c r="BN312" i="1"/>
  <c r="AN310" i="1"/>
  <c r="BN310" i="1"/>
  <c r="AN306" i="1"/>
  <c r="BN306" i="1"/>
  <c r="AN304" i="1"/>
  <c r="BN304" i="1"/>
  <c r="AN302" i="1"/>
  <c r="BN302" i="1"/>
  <c r="AN298" i="1"/>
  <c r="BN298" i="1"/>
  <c r="AN296" i="1"/>
  <c r="BN296" i="1"/>
  <c r="AN294" i="1"/>
  <c r="BN294" i="1"/>
  <c r="AN292" i="1"/>
  <c r="BN292" i="1"/>
  <c r="AN287" i="1"/>
  <c r="BN287" i="1"/>
  <c r="AN285" i="1"/>
  <c r="BN285" i="1"/>
  <c r="AN283" i="1"/>
  <c r="BN283" i="1"/>
  <c r="AN279" i="1"/>
  <c r="BN279" i="1"/>
  <c r="AN277" i="1"/>
  <c r="BN277" i="1"/>
  <c r="AN275" i="1"/>
  <c r="BN275" i="1"/>
  <c r="BK273" i="1"/>
  <c r="BN273" i="1"/>
  <c r="AN223" i="1"/>
  <c r="BN223" i="1"/>
  <c r="AN270" i="1"/>
  <c r="BN270" i="1"/>
  <c r="AN268" i="1"/>
  <c r="BN268" i="1"/>
  <c r="AN266" i="1"/>
  <c r="BN266" i="1"/>
  <c r="AN264" i="1"/>
  <c r="BN264" i="1"/>
  <c r="AN262" i="1"/>
  <c r="BN262" i="1"/>
  <c r="AN260" i="1"/>
  <c r="BN260" i="1"/>
  <c r="AN709" i="1"/>
  <c r="BN709" i="1"/>
  <c r="AN256" i="1"/>
  <c r="BN256" i="1"/>
  <c r="AN254" i="1"/>
  <c r="BN254" i="1"/>
  <c r="AN205" i="1"/>
  <c r="BN205" i="1"/>
  <c r="AN481" i="1"/>
  <c r="BN481" i="1"/>
  <c r="AN248" i="1"/>
  <c r="BN248" i="1"/>
  <c r="AN246" i="1"/>
  <c r="BN246" i="1"/>
  <c r="AN244" i="1"/>
  <c r="BN244" i="1"/>
  <c r="AN289" i="1"/>
  <c r="BN289" i="1"/>
  <c r="AN241" i="1"/>
  <c r="BN241" i="1"/>
  <c r="AN235" i="1"/>
  <c r="BN235" i="1"/>
  <c r="AN233" i="1"/>
  <c r="BN233" i="1"/>
  <c r="AN231" i="1"/>
  <c r="BN231" i="1"/>
  <c r="AN229" i="1"/>
  <c r="BN229" i="1"/>
  <c r="AN227" i="1"/>
  <c r="BN227" i="1"/>
  <c r="AN225" i="1"/>
  <c r="BN225" i="1"/>
  <c r="AN672" i="1"/>
  <c r="BN672" i="1"/>
  <c r="AN218" i="1"/>
  <c r="BN218" i="1"/>
  <c r="AN214" i="1"/>
  <c r="BN214" i="1"/>
  <c r="AN485" i="1"/>
  <c r="BN485" i="1"/>
  <c r="AN210" i="1"/>
  <c r="BN210" i="1"/>
  <c r="AN208" i="1"/>
  <c r="BN208" i="1"/>
  <c r="AN206" i="1"/>
  <c r="BN206" i="1"/>
  <c r="AN203" i="1"/>
  <c r="BN203" i="1"/>
  <c r="AN202" i="1"/>
  <c r="BN202" i="1"/>
  <c r="AN198" i="1"/>
  <c r="BN198" i="1"/>
  <c r="AN196" i="1"/>
  <c r="BN196" i="1"/>
  <c r="AN194" i="1"/>
  <c r="BN194" i="1"/>
  <c r="AN192" i="1"/>
  <c r="BN192" i="1"/>
  <c r="AN190" i="1"/>
  <c r="BN190" i="1"/>
  <c r="AN185" i="1"/>
  <c r="BN185" i="1"/>
  <c r="AN183" i="1"/>
  <c r="BN183" i="1"/>
  <c r="AN180" i="1"/>
  <c r="BN180" i="1"/>
  <c r="AN178" i="1"/>
  <c r="BN178" i="1"/>
  <c r="AN176" i="1"/>
  <c r="BN176" i="1"/>
  <c r="AN174" i="1"/>
  <c r="BN174" i="1"/>
  <c r="AN170" i="1"/>
  <c r="BN170" i="1"/>
  <c r="AN168" i="1"/>
  <c r="BN168" i="1"/>
  <c r="AN166" i="1"/>
  <c r="BN166" i="1"/>
  <c r="AN164" i="1"/>
  <c r="BN164" i="1"/>
  <c r="AN159" i="1"/>
  <c r="BN159" i="1"/>
  <c r="AN155" i="1"/>
  <c r="BN155" i="1"/>
  <c r="AN153" i="1"/>
  <c r="BN153" i="1"/>
  <c r="AN151" i="1"/>
  <c r="BN151" i="1"/>
  <c r="AN149" i="1"/>
  <c r="BN149" i="1"/>
  <c r="AN147" i="1"/>
  <c r="BN147" i="1"/>
  <c r="AN144" i="1"/>
  <c r="BN144" i="1"/>
  <c r="AN143" i="1"/>
  <c r="BN143" i="1"/>
  <c r="AN140" i="1"/>
  <c r="BN140" i="1"/>
  <c r="AN138" i="1"/>
  <c r="BN138" i="1"/>
  <c r="AN134" i="1"/>
  <c r="BN134" i="1"/>
  <c r="AN132" i="1"/>
  <c r="BN132" i="1"/>
  <c r="AN130" i="1"/>
  <c r="BN130" i="1"/>
  <c r="AN124" i="1"/>
  <c r="BN124" i="1"/>
  <c r="AN122" i="1"/>
  <c r="BN122" i="1"/>
  <c r="AN118" i="1"/>
  <c r="BN118" i="1"/>
  <c r="AN116" i="1"/>
  <c r="BN116" i="1"/>
  <c r="AN114" i="1"/>
  <c r="BN114" i="1"/>
  <c r="AN68" i="1"/>
  <c r="BN68" i="1"/>
  <c r="AN108" i="1"/>
  <c r="BN108" i="1"/>
  <c r="AN341" i="1"/>
  <c r="BN341" i="1"/>
  <c r="AN101" i="1"/>
  <c r="BN101" i="1"/>
  <c r="AN98" i="1"/>
  <c r="BN98" i="1"/>
  <c r="AN96" i="1"/>
  <c r="BN96" i="1"/>
  <c r="AN94" i="1"/>
  <c r="BN94" i="1"/>
  <c r="AN91" i="1"/>
  <c r="BN91" i="1"/>
  <c r="AN89" i="1"/>
  <c r="BN89" i="1"/>
  <c r="AN83" i="1"/>
  <c r="BN83" i="1"/>
  <c r="BK81" i="1"/>
  <c r="BN81" i="1"/>
  <c r="AN79" i="1"/>
  <c r="BN79" i="1"/>
  <c r="AN77" i="1"/>
  <c r="BN77" i="1"/>
  <c r="AN75" i="1"/>
  <c r="BN75" i="1"/>
  <c r="BK73" i="1"/>
  <c r="BN73" i="1"/>
  <c r="BK71" i="1"/>
  <c r="BN71" i="1"/>
  <c r="AN67" i="1"/>
  <c r="BN67" i="1"/>
  <c r="AN65" i="1"/>
  <c r="BN65" i="1"/>
  <c r="AN63" i="1"/>
  <c r="BN63" i="1"/>
  <c r="AN61" i="1"/>
  <c r="BN61" i="1"/>
  <c r="BK59" i="1"/>
  <c r="BN59" i="1"/>
  <c r="BK57" i="1"/>
  <c r="BN57" i="1"/>
  <c r="AN55" i="1"/>
  <c r="BN55" i="1"/>
  <c r="AN53" i="1"/>
  <c r="BN53" i="1"/>
  <c r="AN49" i="1"/>
  <c r="BN49" i="1"/>
  <c r="AN47" i="1"/>
  <c r="BN47" i="1"/>
  <c r="AN45" i="1"/>
  <c r="BN45" i="1"/>
  <c r="BK43" i="1"/>
  <c r="BN43" i="1"/>
  <c r="AN41" i="1"/>
  <c r="BN41" i="1"/>
  <c r="AN219" i="1"/>
  <c r="BN219" i="1"/>
  <c r="AN39" i="1"/>
  <c r="BN39" i="1"/>
  <c r="AN363" i="1"/>
  <c r="BN363" i="1"/>
  <c r="BK36" i="1"/>
  <c r="BN36" i="1"/>
  <c r="BK34" i="1"/>
  <c r="BN34" i="1"/>
  <c r="AN161" i="1"/>
  <c r="BN161" i="1"/>
  <c r="BK29" i="1"/>
  <c r="BN29" i="1"/>
  <c r="AN27" i="1"/>
  <c r="BN27" i="1"/>
  <c r="AN25" i="1"/>
  <c r="BN25" i="1"/>
  <c r="AN23" i="1"/>
  <c r="BN23" i="1"/>
  <c r="AN22" i="1"/>
  <c r="BN22" i="1"/>
  <c r="AN19" i="1"/>
  <c r="BN19" i="1"/>
  <c r="AN17" i="1"/>
  <c r="BN17" i="1"/>
  <c r="AN15" i="1"/>
  <c r="BN15" i="1"/>
  <c r="BK13" i="1"/>
  <c r="BN13" i="1"/>
  <c r="AN11" i="1"/>
  <c r="BN11" i="1"/>
  <c r="BK9" i="1"/>
  <c r="BN9" i="1"/>
  <c r="AN7" i="1"/>
  <c r="BN7" i="1"/>
  <c r="AN5" i="1"/>
  <c r="BN5" i="1"/>
  <c r="BK292" i="1"/>
  <c r="BK264" i="1"/>
  <c r="BK241" i="1"/>
  <c r="BK77" i="1"/>
  <c r="BK67" i="1"/>
  <c r="BK65" i="1"/>
  <c r="BK39" i="1"/>
  <c r="BK363" i="1"/>
  <c r="BK27" i="1"/>
  <c r="BK23" i="1"/>
  <c r="BK22" i="1"/>
  <c r="BK19" i="1"/>
  <c r="BK17" i="1"/>
  <c r="BK15" i="1"/>
  <c r="BK11" i="1"/>
  <c r="BK7" i="1"/>
  <c r="BK5" i="1"/>
  <c r="BK245" i="1"/>
  <c r="BK70" i="1"/>
  <c r="BK48" i="1"/>
  <c r="BK44" i="1"/>
  <c r="BK319" i="1"/>
  <c r="BK37" i="1"/>
  <c r="BK33" i="1"/>
  <c r="BK30" i="1"/>
  <c r="BK28" i="1"/>
  <c r="BK257" i="1"/>
  <c r="BK21" i="1"/>
  <c r="BK10" i="1"/>
  <c r="BK8" i="1"/>
  <c r="BK6" i="1"/>
  <c r="BE785" i="1"/>
  <c r="BE783" i="1"/>
  <c r="BE781" i="1"/>
  <c r="BE779" i="1"/>
  <c r="BE777" i="1"/>
  <c r="BE775" i="1"/>
  <c r="BE773" i="1"/>
  <c r="BE771" i="1"/>
  <c r="BE769" i="1"/>
  <c r="BE767" i="1"/>
  <c r="BE765" i="1"/>
  <c r="BE763" i="1"/>
  <c r="BE761" i="1"/>
  <c r="BE759" i="1"/>
  <c r="BE757" i="1"/>
  <c r="BE755" i="1"/>
  <c r="BE753" i="1"/>
  <c r="BE751" i="1"/>
  <c r="BE749" i="1"/>
  <c r="BE747" i="1"/>
  <c r="BE745" i="1"/>
  <c r="BE743" i="1"/>
  <c r="BE741" i="1"/>
  <c r="BE739" i="1"/>
  <c r="BE737" i="1"/>
  <c r="BE735" i="1"/>
  <c r="BE733" i="1"/>
  <c r="BE731" i="1"/>
  <c r="BE729" i="1"/>
  <c r="BE727" i="1"/>
  <c r="BE725" i="1"/>
  <c r="BE723" i="1"/>
  <c r="BE721" i="1"/>
  <c r="BE719" i="1"/>
  <c r="BE784" i="1"/>
  <c r="BE782" i="1"/>
  <c r="BE780" i="1"/>
  <c r="BE778" i="1"/>
  <c r="BE776" i="1"/>
  <c r="BE774" i="1"/>
  <c r="BE772" i="1"/>
  <c r="BE770" i="1"/>
  <c r="BE768" i="1"/>
  <c r="BE766" i="1"/>
  <c r="BE764" i="1"/>
  <c r="BE762" i="1"/>
  <c r="BE760" i="1"/>
  <c r="BE758" i="1"/>
  <c r="BE756" i="1"/>
  <c r="BE754" i="1"/>
  <c r="BE752" i="1"/>
  <c r="BE750" i="1"/>
  <c r="BE748" i="1"/>
  <c r="BE746" i="1"/>
  <c r="BE744" i="1"/>
  <c r="BE742" i="1"/>
  <c r="BE740" i="1"/>
  <c r="BE738" i="1"/>
  <c r="BE736" i="1"/>
  <c r="BE734" i="1"/>
  <c r="BE732" i="1"/>
  <c r="BE730" i="1"/>
  <c r="BE728" i="1"/>
  <c r="BE726" i="1"/>
  <c r="BE724" i="1"/>
  <c r="BE722" i="1"/>
  <c r="BE720" i="1"/>
  <c r="BE718" i="1"/>
  <c r="AY785" i="1"/>
  <c r="AZ785" i="1" s="1"/>
  <c r="AY781" i="1"/>
  <c r="AZ781" i="1" s="1"/>
  <c r="AY777" i="1"/>
  <c r="AZ777" i="1" s="1"/>
  <c r="AY773" i="1"/>
  <c r="AZ773" i="1" s="1"/>
  <c r="AY769" i="1"/>
  <c r="AZ769" i="1" s="1"/>
  <c r="AY765" i="1"/>
  <c r="AZ765" i="1" s="1"/>
  <c r="AY761" i="1"/>
  <c r="AZ761" i="1" s="1"/>
  <c r="AY757" i="1"/>
  <c r="AZ757" i="1" s="1"/>
  <c r="AY753" i="1"/>
  <c r="AZ753" i="1" s="1"/>
  <c r="AY749" i="1"/>
  <c r="AZ749" i="1" s="1"/>
  <c r="AY745" i="1"/>
  <c r="AZ745" i="1" s="1"/>
  <c r="AY741" i="1"/>
  <c r="AZ741" i="1" s="1"/>
  <c r="AY737" i="1"/>
  <c r="AZ737" i="1" s="1"/>
  <c r="AY733" i="1"/>
  <c r="AZ733" i="1" s="1"/>
  <c r="AY729" i="1"/>
  <c r="AZ729" i="1" s="1"/>
  <c r="AY727" i="1"/>
  <c r="AZ727" i="1" s="1"/>
  <c r="AY725" i="1"/>
  <c r="AZ725" i="1" s="1"/>
  <c r="AY721" i="1"/>
  <c r="AZ721" i="1" s="1"/>
  <c r="AY719" i="1"/>
  <c r="AZ719" i="1" s="1"/>
  <c r="AY784" i="1"/>
  <c r="AZ784" i="1" s="1"/>
  <c r="AY782" i="1"/>
  <c r="AZ782" i="1" s="1"/>
  <c r="AY780" i="1"/>
  <c r="AZ780" i="1" s="1"/>
  <c r="AY778" i="1"/>
  <c r="AZ778" i="1" s="1"/>
  <c r="AY776" i="1"/>
  <c r="AZ776" i="1" s="1"/>
  <c r="AY774" i="1"/>
  <c r="AZ774" i="1" s="1"/>
  <c r="AY772" i="1"/>
  <c r="AZ772" i="1" s="1"/>
  <c r="AY770" i="1"/>
  <c r="AZ770" i="1" s="1"/>
  <c r="AY768" i="1"/>
  <c r="AZ768" i="1" s="1"/>
  <c r="AY766" i="1"/>
  <c r="AZ766" i="1" s="1"/>
  <c r="AY764" i="1"/>
  <c r="AZ764" i="1" s="1"/>
  <c r="AY762" i="1"/>
  <c r="AZ762" i="1" s="1"/>
  <c r="AY760" i="1"/>
  <c r="AZ760" i="1" s="1"/>
  <c r="AY758" i="1"/>
  <c r="AZ758" i="1" s="1"/>
  <c r="AY756" i="1"/>
  <c r="AZ756" i="1" s="1"/>
  <c r="AY754" i="1"/>
  <c r="AZ754" i="1" s="1"/>
  <c r="AY752" i="1"/>
  <c r="AZ752" i="1" s="1"/>
  <c r="AY750" i="1"/>
  <c r="AZ750" i="1" s="1"/>
  <c r="AY748" i="1"/>
  <c r="AZ748" i="1" s="1"/>
  <c r="AY746" i="1"/>
  <c r="AZ746" i="1" s="1"/>
  <c r="AY744" i="1"/>
  <c r="AZ744" i="1" s="1"/>
  <c r="AY742" i="1"/>
  <c r="AZ742" i="1" s="1"/>
  <c r="AY740" i="1"/>
  <c r="AZ740" i="1" s="1"/>
  <c r="AY738" i="1"/>
  <c r="AZ738" i="1" s="1"/>
  <c r="AY736" i="1"/>
  <c r="AZ736" i="1" s="1"/>
  <c r="AY734" i="1"/>
  <c r="AZ734" i="1" s="1"/>
  <c r="AY732" i="1"/>
  <c r="AZ732" i="1" s="1"/>
  <c r="AY730" i="1"/>
  <c r="AZ730" i="1" s="1"/>
  <c r="AY728" i="1"/>
  <c r="AZ728" i="1" s="1"/>
  <c r="AY726" i="1"/>
  <c r="AZ726" i="1" s="1"/>
  <c r="AY724" i="1"/>
  <c r="AZ724" i="1" s="1"/>
  <c r="AY722" i="1"/>
  <c r="AZ722" i="1" s="1"/>
  <c r="AY720" i="1"/>
  <c r="AZ720" i="1" s="1"/>
  <c r="AY718" i="1"/>
  <c r="AZ718" i="1" s="1"/>
  <c r="AG540" i="1"/>
  <c r="AN540" i="1"/>
  <c r="AG534" i="1"/>
  <c r="AN534" i="1"/>
  <c r="AG532" i="1"/>
  <c r="AN532" i="1"/>
  <c r="AG526" i="1"/>
  <c r="AN526" i="1"/>
  <c r="AG522" i="1"/>
  <c r="AN522" i="1"/>
  <c r="AG454" i="1"/>
  <c r="AN454" i="1"/>
  <c r="AG450" i="1"/>
  <c r="AN450" i="1"/>
  <c r="AG447" i="1"/>
  <c r="AN447" i="1"/>
  <c r="AG445" i="1"/>
  <c r="AN445" i="1"/>
  <c r="AG443" i="1"/>
  <c r="AN443" i="1"/>
  <c r="AG438" i="1"/>
  <c r="AN438" i="1"/>
  <c r="AG436" i="1"/>
  <c r="AN436" i="1"/>
  <c r="AG186" i="1"/>
  <c r="AN186" i="1"/>
  <c r="AG431" i="1"/>
  <c r="AN431" i="1"/>
  <c r="AG427" i="1"/>
  <c r="AN427" i="1"/>
  <c r="AG425" i="1"/>
  <c r="AN425" i="1"/>
  <c r="AG423" i="1"/>
  <c r="AN423" i="1"/>
  <c r="AG419" i="1"/>
  <c r="AN419" i="1"/>
  <c r="AG212" i="1"/>
  <c r="AN212" i="1"/>
  <c r="AG407" i="1"/>
  <c r="AN407" i="1"/>
  <c r="AG405" i="1"/>
  <c r="AN405" i="1"/>
  <c r="AG403" i="1"/>
  <c r="AN403" i="1"/>
  <c r="AG397" i="1"/>
  <c r="AN397" i="1"/>
  <c r="AG393" i="1"/>
  <c r="AN393" i="1"/>
  <c r="AG387" i="1"/>
  <c r="AN387" i="1"/>
  <c r="AG383" i="1"/>
  <c r="AN383" i="1"/>
  <c r="AG381" i="1"/>
  <c r="AN381" i="1"/>
  <c r="AG377" i="1"/>
  <c r="AN377" i="1"/>
  <c r="AG375" i="1"/>
  <c r="AN375" i="1"/>
  <c r="AG373" i="1"/>
  <c r="AN373" i="1"/>
  <c r="AG371" i="1"/>
  <c r="AN371" i="1"/>
  <c r="AG369" i="1"/>
  <c r="AN369" i="1"/>
  <c r="AG353" i="1"/>
  <c r="AN353" i="1"/>
  <c r="AG293" i="1"/>
  <c r="AN293" i="1"/>
  <c r="AG284" i="1"/>
  <c r="AN284" i="1"/>
  <c r="AG280" i="1"/>
  <c r="AN280" i="1"/>
  <c r="AG272" i="1"/>
  <c r="AN272" i="1"/>
  <c r="AG271" i="1"/>
  <c r="AN271" i="1"/>
  <c r="AG251" i="1"/>
  <c r="AN251" i="1"/>
  <c r="AG234" i="1"/>
  <c r="AN234" i="1"/>
  <c r="AG189" i="1"/>
  <c r="AN189" i="1"/>
  <c r="AG187" i="1"/>
  <c r="AN187" i="1"/>
  <c r="AG181" i="1"/>
  <c r="AN181" i="1"/>
  <c r="AG175" i="1"/>
  <c r="AN175" i="1"/>
  <c r="AG167" i="1"/>
  <c r="AN167" i="1"/>
  <c r="AG163" i="1"/>
  <c r="AN163" i="1"/>
  <c r="AG160" i="1"/>
  <c r="AN160" i="1"/>
  <c r="AG156" i="1"/>
  <c r="AN156" i="1"/>
  <c r="AG146" i="1"/>
  <c r="AN146" i="1"/>
  <c r="AG237" i="1"/>
  <c r="AN237" i="1"/>
  <c r="AG127" i="1"/>
  <c r="AN127" i="1"/>
  <c r="AG69" i="1"/>
  <c r="AN69" i="1"/>
  <c r="AG109" i="1"/>
  <c r="AN109" i="1"/>
  <c r="AG97" i="1"/>
  <c r="AN97" i="1"/>
  <c r="AG95" i="1"/>
  <c r="AN95" i="1"/>
  <c r="AG86" i="1"/>
  <c r="AN86" i="1"/>
  <c r="AG82" i="1"/>
  <c r="AN82" i="1"/>
  <c r="AG80" i="1"/>
  <c r="AN80" i="1"/>
  <c r="AG76" i="1"/>
  <c r="AN76" i="1"/>
  <c r="AG74" i="1"/>
  <c r="AN74" i="1"/>
  <c r="AG62" i="1"/>
  <c r="AN62" i="1"/>
  <c r="AG60" i="1"/>
  <c r="AN60" i="1"/>
  <c r="AG54" i="1"/>
  <c r="AN54" i="1"/>
  <c r="AG46" i="1"/>
  <c r="AN46" i="1"/>
  <c r="AG42" i="1"/>
  <c r="AN42" i="1"/>
  <c r="AG40" i="1"/>
  <c r="AN40" i="1"/>
  <c r="AG38" i="1"/>
  <c r="AN38" i="1"/>
  <c r="AG35" i="1"/>
  <c r="AN35" i="1"/>
  <c r="AG26" i="1"/>
  <c r="AN26" i="1"/>
  <c r="AG24" i="1"/>
  <c r="AN24" i="1"/>
  <c r="AG16" i="1"/>
  <c r="AN16" i="1"/>
  <c r="AG14" i="1"/>
  <c r="AN14" i="1"/>
  <c r="AG12" i="1"/>
  <c r="AN12" i="1"/>
  <c r="AN1120" i="1"/>
  <c r="AN1118" i="1"/>
  <c r="AN1116" i="1"/>
  <c r="AN1114" i="1"/>
  <c r="AN1112" i="1"/>
  <c r="AN1110" i="1"/>
  <c r="AN1108" i="1"/>
  <c r="AN1106" i="1"/>
  <c r="AN1104" i="1"/>
  <c r="AN1102" i="1"/>
  <c r="AN1100" i="1"/>
  <c r="AN1098" i="1"/>
  <c r="AN1096" i="1"/>
  <c r="AN1094" i="1"/>
  <c r="AN1092" i="1"/>
  <c r="AN1090" i="1"/>
  <c r="AN1088" i="1"/>
  <c r="AN1086" i="1"/>
  <c r="AN1084" i="1"/>
  <c r="AN1082" i="1"/>
  <c r="AN1080" i="1"/>
  <c r="AN1078" i="1"/>
  <c r="AN1076" i="1"/>
  <c r="AN1074" i="1"/>
  <c r="AN1072" i="1"/>
  <c r="AN1070" i="1"/>
  <c r="AN1068" i="1"/>
  <c r="AN1066" i="1"/>
  <c r="AN1064" i="1"/>
  <c r="AN1062" i="1"/>
  <c r="AN1060" i="1"/>
  <c r="AN1058" i="1"/>
  <c r="AN1056" i="1"/>
  <c r="AN1054" i="1"/>
  <c r="AN1052" i="1"/>
  <c r="AN1050" i="1"/>
  <c r="AN1048" i="1"/>
  <c r="AN1046" i="1"/>
  <c r="AN1044" i="1"/>
  <c r="AN1042" i="1"/>
  <c r="AN1040" i="1"/>
  <c r="AN1038" i="1"/>
  <c r="AN1036" i="1"/>
  <c r="AN1034" i="1"/>
  <c r="AN936" i="1"/>
  <c r="AN880" i="1"/>
  <c r="AN876" i="1"/>
  <c r="AN872" i="1"/>
  <c r="AN868" i="1"/>
  <c r="AN864" i="1"/>
  <c r="AN860" i="1"/>
  <c r="AN856" i="1"/>
  <c r="AN852" i="1"/>
  <c r="AN848" i="1"/>
  <c r="AN844" i="1"/>
  <c r="AN840" i="1"/>
  <c r="AN837" i="1"/>
  <c r="AN833" i="1"/>
  <c r="AN829" i="1"/>
  <c r="AN816" i="1"/>
  <c r="V811" i="1"/>
  <c r="AN811" i="1"/>
  <c r="V807" i="1"/>
  <c r="AN807" i="1"/>
  <c r="V803" i="1"/>
  <c r="AN803" i="1"/>
  <c r="V799" i="1"/>
  <c r="AN799" i="1"/>
  <c r="V794" i="1"/>
  <c r="AN794" i="1"/>
  <c r="V790" i="1"/>
  <c r="AN790" i="1"/>
  <c r="V826" i="1"/>
  <c r="AN826" i="1"/>
  <c r="V822" i="1"/>
  <c r="AN822" i="1"/>
  <c r="V815" i="1"/>
  <c r="AN815" i="1"/>
  <c r="V783" i="1"/>
  <c r="AN783" i="1"/>
  <c r="V779" i="1"/>
  <c r="AN779" i="1"/>
  <c r="V775" i="1"/>
  <c r="AN775" i="1"/>
  <c r="V771" i="1"/>
  <c r="AN771" i="1"/>
  <c r="V767" i="1"/>
  <c r="AN767" i="1"/>
  <c r="V763" i="1"/>
  <c r="AN763" i="1"/>
  <c r="V759" i="1"/>
  <c r="AN759" i="1"/>
  <c r="V755" i="1"/>
  <c r="AN755" i="1"/>
  <c r="V751" i="1"/>
  <c r="AN751" i="1"/>
  <c r="V747" i="1"/>
  <c r="AN747" i="1"/>
  <c r="V743" i="1"/>
  <c r="AN743" i="1"/>
  <c r="V739" i="1"/>
  <c r="AN739" i="1"/>
  <c r="V735" i="1"/>
  <c r="AN735" i="1"/>
  <c r="V731" i="1"/>
  <c r="AN731" i="1"/>
  <c r="V723" i="1"/>
  <c r="AN723" i="1"/>
  <c r="V714" i="1"/>
  <c r="AN714" i="1"/>
  <c r="V705" i="1"/>
  <c r="AN705" i="1"/>
  <c r="V698" i="1"/>
  <c r="AN698" i="1"/>
  <c r="V690" i="1"/>
  <c r="AN690" i="1"/>
  <c r="V681" i="1"/>
  <c r="AN681" i="1"/>
  <c r="V671" i="1"/>
  <c r="AN671" i="1"/>
  <c r="V665" i="1"/>
  <c r="AN665" i="1"/>
  <c r="V657" i="1"/>
  <c r="AN657" i="1"/>
  <c r="V649" i="1"/>
  <c r="AN649" i="1"/>
  <c r="V641" i="1"/>
  <c r="AN641" i="1"/>
  <c r="V633" i="1"/>
  <c r="AN633" i="1"/>
  <c r="V625" i="1"/>
  <c r="AN625" i="1"/>
  <c r="V617" i="1"/>
  <c r="AN617" i="1"/>
  <c r="AG543" i="1"/>
  <c r="AN543" i="1"/>
  <c r="AG533" i="1"/>
  <c r="AN533" i="1"/>
  <c r="AG527" i="1"/>
  <c r="AN527" i="1"/>
  <c r="AG523" i="1"/>
  <c r="AN523" i="1"/>
  <c r="AG455" i="1"/>
  <c r="AN455" i="1"/>
  <c r="AG446" i="1"/>
  <c r="AN446" i="1"/>
  <c r="AG444" i="1"/>
  <c r="AN444" i="1"/>
  <c r="AG442" i="1"/>
  <c r="AN442" i="1"/>
  <c r="AG437" i="1"/>
  <c r="AN437" i="1"/>
  <c r="AG435" i="1"/>
  <c r="AN435" i="1"/>
  <c r="AG433" i="1"/>
  <c r="AN433" i="1"/>
  <c r="AG432" i="1"/>
  <c r="AN432" i="1"/>
  <c r="AG426" i="1"/>
  <c r="AN426" i="1"/>
  <c r="V422" i="1"/>
  <c r="AN422" i="1"/>
  <c r="AG420" i="1"/>
  <c r="AN420" i="1"/>
  <c r="V418" i="1"/>
  <c r="AN418" i="1"/>
  <c r="V415" i="1"/>
  <c r="AN415" i="1"/>
  <c r="AG413" i="1"/>
  <c r="AN413" i="1"/>
  <c r="V411" i="1"/>
  <c r="AN411" i="1"/>
  <c r="V408" i="1"/>
  <c r="AN408" i="1"/>
  <c r="AG406" i="1"/>
  <c r="AN406" i="1"/>
  <c r="V404" i="1"/>
  <c r="AN404" i="1"/>
  <c r="AG402" i="1"/>
  <c r="AN402" i="1"/>
  <c r="V400" i="1"/>
  <c r="AN400" i="1"/>
  <c r="V396" i="1"/>
  <c r="AN396" i="1"/>
  <c r="V392" i="1"/>
  <c r="AN392" i="1"/>
  <c r="AG390" i="1"/>
  <c r="AN390" i="1"/>
  <c r="V388" i="1"/>
  <c r="AN388" i="1"/>
  <c r="V384" i="1"/>
  <c r="AN384" i="1"/>
  <c r="V378" i="1"/>
  <c r="AN378" i="1"/>
  <c r="V374" i="1"/>
  <c r="AN374" i="1"/>
  <c r="V370" i="1"/>
  <c r="AN370" i="1"/>
  <c r="V716" i="1"/>
  <c r="AN716" i="1"/>
  <c r="V358" i="1"/>
  <c r="AN358" i="1"/>
  <c r="V354" i="1"/>
  <c r="AN354" i="1"/>
  <c r="V699" i="1"/>
  <c r="AN699" i="1"/>
  <c r="V343" i="1"/>
  <c r="AN343" i="1"/>
  <c r="V338" i="1"/>
  <c r="AN338" i="1"/>
  <c r="AG337" i="1"/>
  <c r="AN337" i="1"/>
  <c r="V335" i="1"/>
  <c r="AN335" i="1"/>
  <c r="V331" i="1"/>
  <c r="AN331" i="1"/>
  <c r="AG329" i="1"/>
  <c r="AN329" i="1"/>
  <c r="V327" i="1"/>
  <c r="AN327" i="1"/>
  <c r="V323" i="1"/>
  <c r="AN323" i="1"/>
  <c r="V318" i="1"/>
  <c r="AN318" i="1"/>
  <c r="V314" i="1"/>
  <c r="AN314" i="1"/>
  <c r="AG308" i="1"/>
  <c r="AN308" i="1"/>
  <c r="V300" i="1"/>
  <c r="AN300" i="1"/>
  <c r="AG290" i="1"/>
  <c r="AN290" i="1"/>
  <c r="AG281" i="1"/>
  <c r="AN281" i="1"/>
  <c r="AG273" i="1"/>
  <c r="AN273" i="1"/>
  <c r="V252" i="1"/>
  <c r="AN252" i="1"/>
  <c r="V238" i="1"/>
  <c r="AN238" i="1"/>
  <c r="V221" i="1"/>
  <c r="AN221" i="1"/>
  <c r="AG216" i="1"/>
  <c r="AN216" i="1"/>
  <c r="AG200" i="1"/>
  <c r="AN200" i="1"/>
  <c r="V188" i="1"/>
  <c r="AN188" i="1"/>
  <c r="V172" i="1"/>
  <c r="AN172" i="1"/>
  <c r="AG162" i="1"/>
  <c r="AN162" i="1"/>
  <c r="AG157" i="1"/>
  <c r="AN157" i="1"/>
  <c r="AG141" i="1"/>
  <c r="AN141" i="1"/>
  <c r="AG136" i="1"/>
  <c r="AN136" i="1"/>
  <c r="AG128" i="1"/>
  <c r="AN128" i="1"/>
  <c r="AG126" i="1"/>
  <c r="AN126" i="1"/>
  <c r="AG120" i="1"/>
  <c r="AN120" i="1"/>
  <c r="AG112" i="1"/>
  <c r="AN112" i="1"/>
  <c r="AG110" i="1"/>
  <c r="AN110" i="1"/>
  <c r="AG106" i="1"/>
  <c r="AN106" i="1"/>
  <c r="AG103" i="1"/>
  <c r="AN103" i="1"/>
  <c r="AG99" i="1"/>
  <c r="AN99" i="1"/>
  <c r="AG87" i="1"/>
  <c r="AN87" i="1"/>
  <c r="AG85" i="1"/>
  <c r="AN85" i="1"/>
  <c r="AG81" i="1"/>
  <c r="AN81" i="1"/>
  <c r="AG73" i="1"/>
  <c r="AN73" i="1"/>
  <c r="AG71" i="1"/>
  <c r="AN71" i="1"/>
  <c r="AG59" i="1"/>
  <c r="AN59" i="1"/>
  <c r="AG57" i="1"/>
  <c r="AN57" i="1"/>
  <c r="AG51" i="1"/>
  <c r="AN51" i="1"/>
  <c r="AG43" i="1"/>
  <c r="AN43" i="1"/>
  <c r="AG36" i="1"/>
  <c r="AN36" i="1"/>
  <c r="AG34" i="1"/>
  <c r="AN34" i="1"/>
  <c r="AG29" i="1"/>
  <c r="AN29" i="1"/>
  <c r="AG13" i="1"/>
  <c r="AN13" i="1"/>
  <c r="AG9" i="1"/>
  <c r="AN9" i="1"/>
  <c r="AN1121" i="1"/>
  <c r="AN1119" i="1"/>
  <c r="AN1117" i="1"/>
  <c r="AN1115" i="1"/>
  <c r="AN1113" i="1"/>
  <c r="AN1111" i="1"/>
  <c r="AN1109" i="1"/>
  <c r="AN1107" i="1"/>
  <c r="AN1105" i="1"/>
  <c r="AN1103" i="1"/>
  <c r="AN1101" i="1"/>
  <c r="AN1099" i="1"/>
  <c r="AN1097" i="1"/>
  <c r="AN1095" i="1"/>
  <c r="AN1093" i="1"/>
  <c r="AN1091" i="1"/>
  <c r="AN1089" i="1"/>
  <c r="AN1087" i="1"/>
  <c r="AN1085" i="1"/>
  <c r="AN1083" i="1"/>
  <c r="AN1081" i="1"/>
  <c r="AN1079" i="1"/>
  <c r="AN1077" i="1"/>
  <c r="AN1075" i="1"/>
  <c r="AN1073" i="1"/>
  <c r="AN1071" i="1"/>
  <c r="AN1067" i="1"/>
  <c r="AN1065" i="1"/>
  <c r="AN1063" i="1"/>
  <c r="AN1059" i="1"/>
  <c r="AN1055" i="1"/>
  <c r="AN1051" i="1"/>
  <c r="AN1049" i="1"/>
  <c r="AN1047" i="1"/>
  <c r="AN1045" i="1"/>
  <c r="AN1043" i="1"/>
  <c r="AN1041" i="1"/>
  <c r="AN1039" i="1"/>
  <c r="AN1037" i="1"/>
  <c r="AN1035" i="1"/>
  <c r="AN879" i="1"/>
  <c r="AN871" i="1"/>
  <c r="AN863" i="1"/>
  <c r="AN847" i="1"/>
  <c r="AN839" i="1"/>
  <c r="AG1118" i="1"/>
  <c r="AG1108" i="1"/>
  <c r="AG1100" i="1"/>
  <c r="AG1092" i="1"/>
  <c r="AG1082" i="1"/>
  <c r="AG1066" i="1"/>
  <c r="AG1116" i="1"/>
  <c r="AG1104" i="1"/>
  <c r="AG1096" i="1"/>
  <c r="AG1088" i="1"/>
  <c r="AG1086" i="1"/>
  <c r="AG1076" i="1"/>
  <c r="AG1072" i="1"/>
  <c r="AG1114" i="1"/>
  <c r="AG1110" i="1"/>
  <c r="AG1106" i="1"/>
  <c r="AG1102" i="1"/>
  <c r="AG1098" i="1"/>
  <c r="AG1094" i="1"/>
  <c r="AG1090" i="1"/>
  <c r="AG1084" i="1"/>
  <c r="AG1080" i="1"/>
  <c r="AG1078" i="1"/>
  <c r="AG1074" i="1"/>
  <c r="AG1070" i="1"/>
  <c r="AG1068" i="1"/>
  <c r="AG1064" i="1"/>
  <c r="AG1071" i="1"/>
  <c r="AG1067" i="1"/>
  <c r="V366" i="1"/>
  <c r="AG366" i="1"/>
  <c r="V350" i="1"/>
  <c r="AG350" i="1"/>
  <c r="V283" i="1"/>
  <c r="AG283" i="1"/>
  <c r="V268" i="1"/>
  <c r="AG268" i="1"/>
  <c r="V203" i="1"/>
  <c r="AG203" i="1"/>
  <c r="AG1119" i="1"/>
  <c r="AG1115" i="1"/>
  <c r="AG1113" i="1"/>
  <c r="AG1111" i="1"/>
  <c r="AG1107" i="1"/>
  <c r="AG1103" i="1"/>
  <c r="AG1099" i="1"/>
  <c r="AG1095" i="1"/>
  <c r="AG1091" i="1"/>
  <c r="AG1083" i="1"/>
  <c r="AG1075" i="1"/>
  <c r="AG418" i="1"/>
  <c r="AG400" i="1"/>
  <c r="AG396" i="1"/>
  <c r="AG392" i="1"/>
  <c r="AA1121" i="1"/>
  <c r="Z1121" i="1" s="1"/>
  <c r="AC1121" i="1" s="1"/>
  <c r="AE1121" i="1"/>
  <c r="AP1121" i="1" s="1"/>
  <c r="AA1119" i="1"/>
  <c r="Z1119" i="1" s="1"/>
  <c r="AC1119" i="1" s="1"/>
  <c r="AE1119" i="1"/>
  <c r="AP1119" i="1" s="1"/>
  <c r="AA1117" i="1"/>
  <c r="Z1117" i="1" s="1"/>
  <c r="AC1117" i="1" s="1"/>
  <c r="AE1117" i="1"/>
  <c r="AP1117" i="1" s="1"/>
  <c r="AA1115" i="1"/>
  <c r="Z1115" i="1" s="1"/>
  <c r="AC1115" i="1" s="1"/>
  <c r="AE1115" i="1"/>
  <c r="AP1115" i="1" s="1"/>
  <c r="AA1113" i="1"/>
  <c r="Z1113" i="1" s="1"/>
  <c r="AC1113" i="1" s="1"/>
  <c r="AE1113" i="1"/>
  <c r="AP1113" i="1" s="1"/>
  <c r="AA1111" i="1"/>
  <c r="Z1111" i="1" s="1"/>
  <c r="AC1111" i="1" s="1"/>
  <c r="AE1111" i="1"/>
  <c r="AP1111" i="1" s="1"/>
  <c r="AA1107" i="1"/>
  <c r="Z1107" i="1" s="1"/>
  <c r="AC1107" i="1" s="1"/>
  <c r="AE1107" i="1"/>
  <c r="AP1107" i="1" s="1"/>
  <c r="AA1047" i="1"/>
  <c r="Z1047" i="1" s="1"/>
  <c r="AC1047" i="1" s="1"/>
  <c r="AE1047" i="1"/>
  <c r="AP1047" i="1" s="1"/>
  <c r="AA1045" i="1"/>
  <c r="Z1045" i="1" s="1"/>
  <c r="AC1045" i="1" s="1"/>
  <c r="AE1045" i="1"/>
  <c r="AP1045" i="1" s="1"/>
  <c r="AE1043" i="1"/>
  <c r="AP1043" i="1" s="1"/>
  <c r="AE1041" i="1"/>
  <c r="AP1041" i="1" s="1"/>
  <c r="AE1039" i="1"/>
  <c r="AP1039" i="1" s="1"/>
  <c r="AE1037" i="1"/>
  <c r="AP1037" i="1" s="1"/>
  <c r="K1030" i="1"/>
  <c r="V1030" i="1"/>
  <c r="K1026" i="1"/>
  <c r="V1026" i="1"/>
  <c r="K1022" i="1"/>
  <c r="V1022" i="1"/>
  <c r="K1018" i="1"/>
  <c r="V1018" i="1"/>
  <c r="K1014" i="1"/>
  <c r="V1014" i="1"/>
  <c r="K1010" i="1"/>
  <c r="V1010" i="1"/>
  <c r="K1006" i="1"/>
  <c r="V1006" i="1"/>
  <c r="K1002" i="1"/>
  <c r="V1002" i="1"/>
  <c r="K998" i="1"/>
  <c r="V998" i="1"/>
  <c r="K994" i="1"/>
  <c r="V994" i="1"/>
  <c r="K988" i="1"/>
  <c r="V988" i="1"/>
  <c r="K984" i="1"/>
  <c r="V984" i="1"/>
  <c r="K980" i="1"/>
  <c r="V980" i="1"/>
  <c r="K976" i="1"/>
  <c r="V976" i="1"/>
  <c r="K972" i="1"/>
  <c r="V972" i="1"/>
  <c r="K968" i="1"/>
  <c r="V968" i="1"/>
  <c r="K964" i="1"/>
  <c r="V964" i="1"/>
  <c r="K960" i="1"/>
  <c r="V960" i="1"/>
  <c r="K956" i="1"/>
  <c r="V956" i="1"/>
  <c r="K952" i="1"/>
  <c r="V952" i="1"/>
  <c r="K950" i="1"/>
  <c r="V950" i="1"/>
  <c r="K946" i="1"/>
  <c r="V946" i="1"/>
  <c r="K942" i="1"/>
  <c r="V942" i="1"/>
  <c r="K940" i="1"/>
  <c r="V940" i="1"/>
  <c r="K938" i="1"/>
  <c r="V938" i="1"/>
  <c r="K934" i="1"/>
  <c r="V934" i="1"/>
  <c r="K932" i="1"/>
  <c r="V932" i="1"/>
  <c r="K930" i="1"/>
  <c r="V930" i="1"/>
  <c r="K928" i="1"/>
  <c r="V928" i="1"/>
  <c r="K926" i="1"/>
  <c r="V926" i="1"/>
  <c r="K924" i="1"/>
  <c r="V924" i="1"/>
  <c r="K922" i="1"/>
  <c r="V922" i="1"/>
  <c r="K920" i="1"/>
  <c r="V920" i="1"/>
  <c r="K918" i="1"/>
  <c r="V918" i="1"/>
  <c r="K916" i="1"/>
  <c r="V916" i="1"/>
  <c r="K914" i="1"/>
  <c r="V914" i="1"/>
  <c r="K912" i="1"/>
  <c r="V912" i="1"/>
  <c r="K910" i="1"/>
  <c r="V910" i="1"/>
  <c r="K908" i="1"/>
  <c r="V908" i="1"/>
  <c r="K906" i="1"/>
  <c r="V906" i="1"/>
  <c r="K904" i="1"/>
  <c r="V904" i="1"/>
  <c r="K902" i="1"/>
  <c r="V902" i="1"/>
  <c r="K900" i="1"/>
  <c r="V900" i="1"/>
  <c r="K898" i="1"/>
  <c r="V898" i="1"/>
  <c r="K896" i="1"/>
  <c r="V896" i="1"/>
  <c r="K894" i="1"/>
  <c r="V894" i="1"/>
  <c r="K892" i="1"/>
  <c r="V892" i="1"/>
  <c r="K890" i="1"/>
  <c r="V890" i="1"/>
  <c r="K888" i="1"/>
  <c r="V888" i="1"/>
  <c r="K886" i="1"/>
  <c r="V886" i="1"/>
  <c r="K884" i="1"/>
  <c r="V884" i="1"/>
  <c r="O882" i="1"/>
  <c r="V882" i="1"/>
  <c r="O878" i="1"/>
  <c r="V878" i="1"/>
  <c r="O874" i="1"/>
  <c r="V874" i="1"/>
  <c r="O870" i="1"/>
  <c r="V870" i="1"/>
  <c r="O866" i="1"/>
  <c r="V866" i="1"/>
  <c r="O862" i="1"/>
  <c r="V862" i="1"/>
  <c r="O858" i="1"/>
  <c r="V858" i="1"/>
  <c r="O854" i="1"/>
  <c r="V854" i="1"/>
  <c r="O850" i="1"/>
  <c r="V850" i="1"/>
  <c r="O846" i="1"/>
  <c r="V846" i="1"/>
  <c r="O842" i="1"/>
  <c r="V842" i="1"/>
  <c r="O838" i="1"/>
  <c r="V838" i="1"/>
  <c r="O835" i="1"/>
  <c r="V835" i="1"/>
  <c r="O831" i="1"/>
  <c r="V831" i="1"/>
  <c r="O819" i="1"/>
  <c r="V819" i="1"/>
  <c r="O813" i="1"/>
  <c r="V813" i="1"/>
  <c r="O809" i="1"/>
  <c r="V809" i="1"/>
  <c r="O805" i="1"/>
  <c r="V805" i="1"/>
  <c r="O801" i="1"/>
  <c r="V801" i="1"/>
  <c r="O796" i="1"/>
  <c r="V796" i="1"/>
  <c r="O792" i="1"/>
  <c r="V792" i="1"/>
  <c r="O827" i="1"/>
  <c r="V827" i="1"/>
  <c r="O824" i="1"/>
  <c r="V824" i="1"/>
  <c r="O788" i="1"/>
  <c r="V788" i="1"/>
  <c r="O785" i="1"/>
  <c r="V785" i="1"/>
  <c r="O781" i="1"/>
  <c r="V781" i="1"/>
  <c r="O777" i="1"/>
  <c r="V777" i="1"/>
  <c r="O773" i="1"/>
  <c r="V773" i="1"/>
  <c r="O769" i="1"/>
  <c r="V769" i="1"/>
  <c r="O765" i="1"/>
  <c r="V765" i="1"/>
  <c r="O761" i="1"/>
  <c r="V761" i="1"/>
  <c r="O757" i="1"/>
  <c r="V757" i="1"/>
  <c r="O753" i="1"/>
  <c r="V753" i="1"/>
  <c r="O749" i="1"/>
  <c r="V749" i="1"/>
  <c r="O745" i="1"/>
  <c r="V745" i="1"/>
  <c r="O741" i="1"/>
  <c r="V741" i="1"/>
  <c r="O737" i="1"/>
  <c r="V737" i="1"/>
  <c r="O733" i="1"/>
  <c r="V733" i="1"/>
  <c r="O729" i="1"/>
  <c r="V729" i="1"/>
  <c r="V727" i="1"/>
  <c r="O727" i="1"/>
  <c r="O725" i="1"/>
  <c r="V725" i="1"/>
  <c r="O721" i="1"/>
  <c r="V721" i="1"/>
  <c r="V719" i="1"/>
  <c r="O719" i="1"/>
  <c r="O717" i="1"/>
  <c r="V717" i="1"/>
  <c r="O712" i="1"/>
  <c r="V712" i="1"/>
  <c r="V710" i="1"/>
  <c r="O710" i="1"/>
  <c r="O707" i="1"/>
  <c r="V707" i="1"/>
  <c r="O703" i="1"/>
  <c r="V703" i="1"/>
  <c r="V701" i="1"/>
  <c r="O701" i="1"/>
  <c r="O700" i="1"/>
  <c r="V700" i="1"/>
  <c r="O696" i="1"/>
  <c r="V696" i="1"/>
  <c r="V695" i="1"/>
  <c r="O695" i="1"/>
  <c r="O693" i="1"/>
  <c r="V693" i="1"/>
  <c r="O687" i="1"/>
  <c r="V687" i="1"/>
  <c r="V685" i="1"/>
  <c r="O685" i="1"/>
  <c r="O683" i="1"/>
  <c r="V683" i="1"/>
  <c r="O679" i="1"/>
  <c r="V679" i="1"/>
  <c r="V677" i="1"/>
  <c r="O677" i="1"/>
  <c r="O674" i="1"/>
  <c r="V674" i="1"/>
  <c r="O488" i="1"/>
  <c r="V488" i="1"/>
  <c r="V669" i="1"/>
  <c r="O669" i="1"/>
  <c r="O667" i="1"/>
  <c r="V667" i="1"/>
  <c r="O663" i="1"/>
  <c r="V663" i="1"/>
  <c r="V661" i="1"/>
  <c r="O661" i="1"/>
  <c r="O659" i="1"/>
  <c r="V659" i="1"/>
  <c r="O655" i="1"/>
  <c r="V655" i="1"/>
  <c r="V653" i="1"/>
  <c r="O653" i="1"/>
  <c r="O651" i="1"/>
  <c r="V651" i="1"/>
  <c r="O647" i="1"/>
  <c r="V647" i="1"/>
  <c r="V645" i="1"/>
  <c r="O645" i="1"/>
  <c r="O643" i="1"/>
  <c r="V643" i="1"/>
  <c r="O639" i="1"/>
  <c r="V639" i="1"/>
  <c r="V637" i="1"/>
  <c r="O637" i="1"/>
  <c r="O635" i="1"/>
  <c r="V635" i="1"/>
  <c r="O631" i="1"/>
  <c r="V631" i="1"/>
  <c r="V629" i="1"/>
  <c r="O629" i="1"/>
  <c r="O627" i="1"/>
  <c r="V627" i="1"/>
  <c r="O623" i="1"/>
  <c r="V623" i="1"/>
  <c r="V621" i="1"/>
  <c r="O621" i="1"/>
  <c r="O619" i="1"/>
  <c r="V619" i="1"/>
  <c r="O615" i="1"/>
  <c r="V615" i="1"/>
  <c r="K613" i="1"/>
  <c r="V613" i="1"/>
  <c r="O613" i="1"/>
  <c r="K611" i="1"/>
  <c r="V611" i="1"/>
  <c r="K609" i="1"/>
  <c r="V609" i="1"/>
  <c r="K607" i="1"/>
  <c r="V607" i="1"/>
  <c r="K605" i="1"/>
  <c r="V605" i="1"/>
  <c r="O605" i="1"/>
  <c r="K603" i="1"/>
  <c r="V603" i="1"/>
  <c r="K601" i="1"/>
  <c r="V601" i="1"/>
  <c r="K599" i="1"/>
  <c r="V599" i="1"/>
  <c r="K597" i="1"/>
  <c r="V597" i="1"/>
  <c r="O597" i="1"/>
  <c r="K595" i="1"/>
  <c r="V595" i="1"/>
  <c r="K593" i="1"/>
  <c r="V593" i="1"/>
  <c r="K591" i="1"/>
  <c r="V591" i="1"/>
  <c r="K589" i="1"/>
  <c r="V589" i="1"/>
  <c r="O589" i="1"/>
  <c r="K587" i="1"/>
  <c r="V587" i="1"/>
  <c r="K585" i="1"/>
  <c r="V585" i="1"/>
  <c r="K583" i="1"/>
  <c r="V583" i="1"/>
  <c r="K581" i="1"/>
  <c r="V581" i="1"/>
  <c r="O581" i="1"/>
  <c r="K579" i="1"/>
  <c r="V579" i="1"/>
  <c r="K577" i="1"/>
  <c r="V577" i="1"/>
  <c r="K575" i="1"/>
  <c r="V575" i="1"/>
  <c r="K573" i="1"/>
  <c r="V573" i="1"/>
  <c r="O573" i="1"/>
  <c r="K571" i="1"/>
  <c r="V571" i="1"/>
  <c r="K569" i="1"/>
  <c r="V569" i="1"/>
  <c r="K567" i="1"/>
  <c r="V567" i="1"/>
  <c r="K565" i="1"/>
  <c r="V565" i="1"/>
  <c r="O565" i="1"/>
  <c r="K563" i="1"/>
  <c r="V563" i="1"/>
  <c r="K561" i="1"/>
  <c r="V561" i="1"/>
  <c r="K560" i="1"/>
  <c r="V560" i="1"/>
  <c r="K558" i="1"/>
  <c r="V558" i="1"/>
  <c r="O558" i="1"/>
  <c r="K556" i="1"/>
  <c r="V556" i="1"/>
  <c r="K554" i="1"/>
  <c r="V554" i="1"/>
  <c r="K512" i="1"/>
  <c r="V512" i="1"/>
  <c r="K552" i="1"/>
  <c r="V552" i="1"/>
  <c r="O552" i="1"/>
  <c r="K550" i="1"/>
  <c r="V550" i="1"/>
  <c r="K549" i="1"/>
  <c r="V549" i="1"/>
  <c r="K547" i="1"/>
  <c r="V547" i="1"/>
  <c r="K545" i="1"/>
  <c r="V545" i="1"/>
  <c r="O545" i="1"/>
  <c r="K543" i="1"/>
  <c r="V543" i="1"/>
  <c r="K541" i="1"/>
  <c r="V541" i="1"/>
  <c r="K539" i="1"/>
  <c r="V539" i="1"/>
  <c r="K537" i="1"/>
  <c r="V537" i="1"/>
  <c r="O537" i="1"/>
  <c r="K535" i="1"/>
  <c r="V535" i="1"/>
  <c r="K533" i="1"/>
  <c r="V533" i="1"/>
  <c r="K531" i="1"/>
  <c r="V531" i="1"/>
  <c r="K529" i="1"/>
  <c r="V529" i="1"/>
  <c r="O529" i="1"/>
  <c r="K527" i="1"/>
  <c r="V527" i="1"/>
  <c r="K525" i="1"/>
  <c r="V525" i="1"/>
  <c r="K523" i="1"/>
  <c r="V523" i="1"/>
  <c r="K521" i="1"/>
  <c r="V521" i="1"/>
  <c r="O521" i="1"/>
  <c r="K519" i="1"/>
  <c r="V519" i="1"/>
  <c r="K517" i="1"/>
  <c r="V517" i="1"/>
  <c r="K514" i="1"/>
  <c r="V514" i="1"/>
  <c r="K507" i="1"/>
  <c r="V507" i="1"/>
  <c r="O507" i="1"/>
  <c r="K468" i="1"/>
  <c r="V468" i="1"/>
  <c r="K503" i="1"/>
  <c r="V503" i="1"/>
  <c r="K501" i="1"/>
  <c r="V501" i="1"/>
  <c r="K499" i="1"/>
  <c r="V499" i="1"/>
  <c r="O499" i="1"/>
  <c r="K497" i="1"/>
  <c r="V497" i="1"/>
  <c r="K495" i="1"/>
  <c r="V495" i="1"/>
  <c r="K459" i="1"/>
  <c r="V459" i="1"/>
  <c r="K492" i="1"/>
  <c r="V492" i="1"/>
  <c r="O492" i="1"/>
  <c r="K490" i="1"/>
  <c r="V490" i="1"/>
  <c r="K486" i="1"/>
  <c r="V486" i="1"/>
  <c r="K475" i="1"/>
  <c r="V475" i="1"/>
  <c r="K483" i="1"/>
  <c r="V483" i="1"/>
  <c r="O483" i="1"/>
  <c r="K480" i="1"/>
  <c r="V480" i="1"/>
  <c r="K478" i="1"/>
  <c r="V478" i="1"/>
  <c r="K32" i="1"/>
  <c r="V32" i="1"/>
  <c r="K31" i="1"/>
  <c r="V31" i="1"/>
  <c r="O31" i="1"/>
  <c r="K473" i="1"/>
  <c r="V473" i="1"/>
  <c r="K470" i="1"/>
  <c r="V470" i="1"/>
  <c r="K20" i="1"/>
  <c r="V20" i="1"/>
  <c r="K466" i="1"/>
  <c r="V466" i="1"/>
  <c r="O466" i="1"/>
  <c r="K464" i="1"/>
  <c r="V464" i="1"/>
  <c r="K439" i="1"/>
  <c r="V439" i="1"/>
  <c r="K461" i="1"/>
  <c r="V461" i="1"/>
  <c r="K380" i="1"/>
  <c r="V380" i="1"/>
  <c r="O380" i="1"/>
  <c r="K458" i="1"/>
  <c r="V458" i="1"/>
  <c r="K457" i="1"/>
  <c r="V457" i="1"/>
  <c r="K455" i="1"/>
  <c r="V455" i="1"/>
  <c r="K453" i="1"/>
  <c r="V453" i="1"/>
  <c r="O453" i="1"/>
  <c r="K451" i="1"/>
  <c r="V451" i="1"/>
  <c r="K448" i="1"/>
  <c r="V448" i="1"/>
  <c r="K446" i="1"/>
  <c r="V446" i="1"/>
  <c r="O446" i="1"/>
  <c r="K444" i="1"/>
  <c r="V444" i="1"/>
  <c r="K442" i="1"/>
  <c r="V442" i="1"/>
  <c r="K440" i="1"/>
  <c r="V440" i="1"/>
  <c r="K437" i="1"/>
  <c r="V437" i="1"/>
  <c r="O437" i="1"/>
  <c r="K435" i="1"/>
  <c r="V435" i="1"/>
  <c r="K433" i="1"/>
  <c r="V433" i="1"/>
  <c r="K432" i="1"/>
  <c r="V432" i="1"/>
  <c r="K430" i="1"/>
  <c r="V430" i="1"/>
  <c r="O430" i="1"/>
  <c r="K428" i="1"/>
  <c r="V428" i="1"/>
  <c r="K426" i="1"/>
  <c r="V426" i="1"/>
  <c r="K424" i="1"/>
  <c r="V424" i="1"/>
  <c r="K420" i="1"/>
  <c r="V420" i="1"/>
  <c r="O420" i="1"/>
  <c r="K177" i="1"/>
  <c r="V177" i="1"/>
  <c r="K413" i="1"/>
  <c r="V413" i="1"/>
  <c r="K409" i="1"/>
  <c r="V409" i="1"/>
  <c r="K406" i="1"/>
  <c r="V406" i="1"/>
  <c r="O406" i="1"/>
  <c r="K402" i="1"/>
  <c r="V402" i="1"/>
  <c r="K398" i="1"/>
  <c r="V398" i="1"/>
  <c r="K394" i="1"/>
  <c r="V394" i="1"/>
  <c r="K390" i="1"/>
  <c r="V390" i="1"/>
  <c r="O390" i="1"/>
  <c r="K386" i="1"/>
  <c r="V386" i="1"/>
  <c r="K382" i="1"/>
  <c r="V382" i="1"/>
  <c r="K376" i="1"/>
  <c r="V376" i="1"/>
  <c r="K372" i="1"/>
  <c r="V372" i="1"/>
  <c r="O372" i="1"/>
  <c r="K368" i="1"/>
  <c r="V368" i="1"/>
  <c r="K364" i="1"/>
  <c r="V364" i="1"/>
  <c r="K360" i="1"/>
  <c r="V360" i="1"/>
  <c r="K356" i="1"/>
  <c r="V356" i="1"/>
  <c r="O356" i="1"/>
  <c r="K352" i="1"/>
  <c r="V352" i="1"/>
  <c r="K348" i="1"/>
  <c r="V348" i="1"/>
  <c r="K345" i="1"/>
  <c r="V345" i="1"/>
  <c r="K340" i="1"/>
  <c r="V340" i="1"/>
  <c r="O340" i="1"/>
  <c r="K337" i="1"/>
  <c r="V337" i="1"/>
  <c r="K333" i="1"/>
  <c r="V333" i="1"/>
  <c r="K329" i="1"/>
  <c r="V329" i="1"/>
  <c r="K325" i="1"/>
  <c r="V325" i="1"/>
  <c r="O325" i="1"/>
  <c r="K321" i="1"/>
  <c r="V321" i="1"/>
  <c r="K316" i="1"/>
  <c r="V316" i="1"/>
  <c r="K312" i="1"/>
  <c r="V312" i="1"/>
  <c r="O310" i="1"/>
  <c r="V310" i="1"/>
  <c r="V308" i="1"/>
  <c r="O308" i="1"/>
  <c r="O306" i="1"/>
  <c r="V306" i="1"/>
  <c r="O304" i="1"/>
  <c r="V304" i="1"/>
  <c r="O302" i="1"/>
  <c r="V302" i="1"/>
  <c r="O298" i="1"/>
  <c r="V298" i="1"/>
  <c r="O296" i="1"/>
  <c r="V296" i="1"/>
  <c r="O294" i="1"/>
  <c r="V294" i="1"/>
  <c r="V292" i="1"/>
  <c r="O292" i="1"/>
  <c r="O290" i="1"/>
  <c r="V290" i="1"/>
  <c r="O287" i="1"/>
  <c r="V287" i="1"/>
  <c r="O285" i="1"/>
  <c r="V285" i="1"/>
  <c r="O281" i="1"/>
  <c r="V281" i="1"/>
  <c r="O279" i="1"/>
  <c r="V279" i="1"/>
  <c r="O277" i="1"/>
  <c r="V277" i="1"/>
  <c r="V275" i="1"/>
  <c r="O275" i="1"/>
  <c r="O273" i="1"/>
  <c r="V273" i="1"/>
  <c r="O223" i="1"/>
  <c r="V223" i="1"/>
  <c r="O270" i="1"/>
  <c r="V270" i="1"/>
  <c r="O266" i="1"/>
  <c r="V266" i="1"/>
  <c r="O264" i="1"/>
  <c r="V264" i="1"/>
  <c r="O262" i="1"/>
  <c r="V262" i="1"/>
  <c r="V260" i="1"/>
  <c r="O260" i="1"/>
  <c r="O709" i="1"/>
  <c r="V709" i="1"/>
  <c r="O256" i="1"/>
  <c r="V256" i="1"/>
  <c r="O254" i="1"/>
  <c r="V254" i="1"/>
  <c r="O205" i="1"/>
  <c r="V205" i="1"/>
  <c r="O481" i="1"/>
  <c r="V481" i="1"/>
  <c r="O248" i="1"/>
  <c r="V248" i="1"/>
  <c r="V246" i="1"/>
  <c r="O246" i="1"/>
  <c r="O244" i="1"/>
  <c r="V244" i="1"/>
  <c r="O289" i="1"/>
  <c r="V289" i="1"/>
  <c r="O241" i="1"/>
  <c r="V241" i="1"/>
  <c r="O235" i="1"/>
  <c r="V235" i="1"/>
  <c r="O233" i="1"/>
  <c r="V233" i="1"/>
  <c r="O231" i="1"/>
  <c r="V231" i="1"/>
  <c r="V229" i="1"/>
  <c r="O229" i="1"/>
  <c r="O227" i="1"/>
  <c r="V227" i="1"/>
  <c r="O225" i="1"/>
  <c r="V225" i="1"/>
  <c r="O672" i="1"/>
  <c r="V672" i="1"/>
  <c r="O218" i="1"/>
  <c r="V218" i="1"/>
  <c r="O216" i="1"/>
  <c r="V216" i="1"/>
  <c r="O214" i="1"/>
  <c r="V214" i="1"/>
  <c r="V485" i="1"/>
  <c r="O485" i="1"/>
  <c r="O210" i="1"/>
  <c r="V210" i="1"/>
  <c r="O208" i="1"/>
  <c r="V208" i="1"/>
  <c r="O206" i="1"/>
  <c r="V206" i="1"/>
  <c r="O202" i="1"/>
  <c r="V202" i="1"/>
  <c r="O200" i="1"/>
  <c r="V200" i="1"/>
  <c r="O198" i="1"/>
  <c r="V198" i="1"/>
  <c r="V196" i="1"/>
  <c r="O196" i="1"/>
  <c r="O194" i="1"/>
  <c r="V194" i="1"/>
  <c r="O192" i="1"/>
  <c r="V192" i="1"/>
  <c r="O190" i="1"/>
  <c r="V190" i="1"/>
  <c r="O185" i="1"/>
  <c r="V185" i="1"/>
  <c r="O183" i="1"/>
  <c r="V183" i="1"/>
  <c r="V180" i="1"/>
  <c r="O180" i="1"/>
  <c r="O178" i="1"/>
  <c r="V178" i="1"/>
  <c r="O176" i="1"/>
  <c r="V176" i="1"/>
  <c r="O174" i="1"/>
  <c r="V174" i="1"/>
  <c r="O170" i="1"/>
  <c r="V170" i="1"/>
  <c r="O168" i="1"/>
  <c r="V168" i="1"/>
  <c r="O166" i="1"/>
  <c r="V166" i="1"/>
  <c r="O164" i="1"/>
  <c r="V164" i="1"/>
  <c r="O162" i="1"/>
  <c r="V162" i="1"/>
  <c r="O159" i="1"/>
  <c r="V159" i="1"/>
  <c r="O157" i="1"/>
  <c r="V157" i="1"/>
  <c r="O155" i="1"/>
  <c r="V155" i="1"/>
  <c r="O153" i="1"/>
  <c r="V153" i="1"/>
  <c r="O151" i="1"/>
  <c r="V151" i="1"/>
  <c r="O149" i="1"/>
  <c r="V149" i="1"/>
  <c r="O147" i="1"/>
  <c r="V147" i="1"/>
  <c r="O144" i="1"/>
  <c r="V144" i="1"/>
  <c r="O143" i="1"/>
  <c r="V143" i="1"/>
  <c r="O141" i="1"/>
  <c r="V141" i="1"/>
  <c r="O140" i="1"/>
  <c r="V140" i="1"/>
  <c r="O138" i="1"/>
  <c r="V138" i="1"/>
  <c r="O136" i="1"/>
  <c r="V136" i="1"/>
  <c r="O134" i="1"/>
  <c r="V134" i="1"/>
  <c r="O132" i="1"/>
  <c r="V132" i="1"/>
  <c r="O130" i="1"/>
  <c r="V130" i="1"/>
  <c r="O128" i="1"/>
  <c r="V128" i="1"/>
  <c r="O126" i="1"/>
  <c r="V126" i="1"/>
  <c r="O124" i="1"/>
  <c r="V124" i="1"/>
  <c r="O122" i="1"/>
  <c r="V122" i="1"/>
  <c r="O120" i="1"/>
  <c r="V120" i="1"/>
  <c r="O118" i="1"/>
  <c r="V118" i="1"/>
  <c r="O116" i="1"/>
  <c r="V116" i="1"/>
  <c r="O114" i="1"/>
  <c r="V114" i="1"/>
  <c r="O112" i="1"/>
  <c r="V112" i="1"/>
  <c r="O68" i="1"/>
  <c r="V68" i="1"/>
  <c r="O110" i="1"/>
  <c r="V110" i="1"/>
  <c r="O108" i="1"/>
  <c r="V108" i="1"/>
  <c r="O106" i="1"/>
  <c r="V106" i="1"/>
  <c r="O341" i="1"/>
  <c r="V341" i="1"/>
  <c r="O103" i="1"/>
  <c r="V103" i="1"/>
  <c r="O101" i="1"/>
  <c r="V101" i="1"/>
  <c r="O99" i="1"/>
  <c r="V99" i="1"/>
  <c r="O98" i="1"/>
  <c r="V98" i="1"/>
  <c r="O96" i="1"/>
  <c r="V96" i="1"/>
  <c r="O94" i="1"/>
  <c r="V94" i="1"/>
  <c r="O91" i="1"/>
  <c r="V91" i="1"/>
  <c r="O89" i="1"/>
  <c r="V89" i="1"/>
  <c r="O87" i="1"/>
  <c r="V87" i="1"/>
  <c r="O85" i="1"/>
  <c r="V85" i="1"/>
  <c r="O83" i="1"/>
  <c r="V83" i="1"/>
  <c r="O81" i="1"/>
  <c r="V81" i="1"/>
  <c r="O79" i="1"/>
  <c r="V79" i="1"/>
  <c r="O77" i="1"/>
  <c r="V77" i="1"/>
  <c r="O75" i="1"/>
  <c r="V75" i="1"/>
  <c r="O73" i="1"/>
  <c r="V73" i="1"/>
  <c r="O71" i="1"/>
  <c r="V71" i="1"/>
  <c r="O67" i="1"/>
  <c r="V67" i="1"/>
  <c r="O65" i="1"/>
  <c r="V65" i="1"/>
  <c r="O63" i="1"/>
  <c r="V63" i="1"/>
  <c r="O61" i="1"/>
  <c r="V61" i="1"/>
  <c r="O59" i="1"/>
  <c r="V59" i="1"/>
  <c r="O57" i="1"/>
  <c r="V57" i="1"/>
  <c r="O55" i="1"/>
  <c r="V55" i="1"/>
  <c r="O53" i="1"/>
  <c r="V53" i="1"/>
  <c r="O51" i="1"/>
  <c r="V51" i="1"/>
  <c r="O49" i="1"/>
  <c r="V49" i="1"/>
  <c r="O47" i="1"/>
  <c r="V47" i="1"/>
  <c r="O45" i="1"/>
  <c r="V45" i="1"/>
  <c r="O43" i="1"/>
  <c r="V43" i="1"/>
  <c r="O41" i="1"/>
  <c r="V41" i="1"/>
  <c r="O219" i="1"/>
  <c r="V219" i="1"/>
  <c r="O39" i="1"/>
  <c r="V39" i="1"/>
  <c r="O363" i="1"/>
  <c r="V363" i="1"/>
  <c r="O36" i="1"/>
  <c r="V36" i="1"/>
  <c r="O34" i="1"/>
  <c r="V34" i="1"/>
  <c r="O161" i="1"/>
  <c r="V161" i="1"/>
  <c r="O29" i="1"/>
  <c r="V29" i="1"/>
  <c r="O27" i="1"/>
  <c r="V27" i="1"/>
  <c r="O25" i="1"/>
  <c r="V25" i="1"/>
  <c r="O23" i="1"/>
  <c r="V23" i="1"/>
  <c r="O22" i="1"/>
  <c r="V22" i="1"/>
  <c r="O19" i="1"/>
  <c r="V19" i="1"/>
  <c r="O17" i="1"/>
  <c r="V17" i="1"/>
  <c r="O15" i="1"/>
  <c r="V15" i="1"/>
  <c r="O13" i="1"/>
  <c r="V13" i="1"/>
  <c r="O11" i="1"/>
  <c r="V11" i="1"/>
  <c r="O9" i="1"/>
  <c r="V9" i="1"/>
  <c r="O7" i="1"/>
  <c r="V7" i="1"/>
  <c r="O5" i="1"/>
  <c r="V5" i="1"/>
  <c r="J611" i="1"/>
  <c r="J603" i="1"/>
  <c r="J595" i="1"/>
  <c r="J587" i="1"/>
  <c r="J579" i="1"/>
  <c r="J571" i="1"/>
  <c r="J563" i="1"/>
  <c r="J556" i="1"/>
  <c r="J550" i="1"/>
  <c r="J543" i="1"/>
  <c r="J535" i="1"/>
  <c r="J527" i="1"/>
  <c r="J519" i="1"/>
  <c r="J468" i="1"/>
  <c r="J497" i="1"/>
  <c r="J490" i="1"/>
  <c r="J480" i="1"/>
  <c r="J473" i="1"/>
  <c r="J464" i="1"/>
  <c r="J458" i="1"/>
  <c r="J451" i="1"/>
  <c r="J444" i="1"/>
  <c r="J435" i="1"/>
  <c r="J428" i="1"/>
  <c r="J420" i="1"/>
  <c r="J413" i="1"/>
  <c r="J406" i="1"/>
  <c r="J398" i="1"/>
  <c r="J390" i="1"/>
  <c r="J382" i="1"/>
  <c r="J372" i="1"/>
  <c r="J364" i="1"/>
  <c r="J356" i="1"/>
  <c r="J348" i="1"/>
  <c r="J340" i="1"/>
  <c r="J333" i="1"/>
  <c r="J325" i="1"/>
  <c r="J316" i="1"/>
  <c r="K302" i="1"/>
  <c r="K270" i="1"/>
  <c r="K241" i="1"/>
  <c r="K206" i="1"/>
  <c r="K174" i="1"/>
  <c r="K143" i="1"/>
  <c r="K85" i="1"/>
  <c r="J25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3" i="1"/>
  <c r="O816" i="1"/>
  <c r="O807" i="1"/>
  <c r="O799" i="1"/>
  <c r="O790" i="1"/>
  <c r="O822" i="1"/>
  <c r="O783" i="1"/>
  <c r="O775" i="1"/>
  <c r="O767" i="1"/>
  <c r="O759" i="1"/>
  <c r="O751" i="1"/>
  <c r="O743" i="1"/>
  <c r="O735" i="1"/>
  <c r="O723" i="1"/>
  <c r="O705" i="1"/>
  <c r="O690" i="1"/>
  <c r="O671" i="1"/>
  <c r="O657" i="1"/>
  <c r="O641" i="1"/>
  <c r="O625" i="1"/>
  <c r="O609" i="1"/>
  <c r="O593" i="1"/>
  <c r="O577" i="1"/>
  <c r="O561" i="1"/>
  <c r="O549" i="1"/>
  <c r="O533" i="1"/>
  <c r="O517" i="1"/>
  <c r="O495" i="1"/>
  <c r="O478" i="1"/>
  <c r="O439" i="1"/>
  <c r="O433" i="1"/>
  <c r="O413" i="1"/>
  <c r="O382" i="1"/>
  <c r="O348" i="1"/>
  <c r="O316" i="1"/>
  <c r="O283" i="1"/>
  <c r="O252" i="1"/>
  <c r="O221" i="1"/>
  <c r="O188" i="1"/>
  <c r="V1120" i="1"/>
  <c r="V1118" i="1"/>
  <c r="V1116" i="1"/>
  <c r="V1114" i="1"/>
  <c r="V1112" i="1"/>
  <c r="V1110" i="1"/>
  <c r="V1108" i="1"/>
  <c r="V1106" i="1"/>
  <c r="V1104" i="1"/>
  <c r="V1102" i="1"/>
  <c r="V1100" i="1"/>
  <c r="V1098" i="1"/>
  <c r="V1096" i="1"/>
  <c r="V1094" i="1"/>
  <c r="V1092" i="1"/>
  <c r="V1090" i="1"/>
  <c r="V1088" i="1"/>
  <c r="V1086" i="1"/>
  <c r="V1084" i="1"/>
  <c r="V1082" i="1"/>
  <c r="V1080" i="1"/>
  <c r="V1078" i="1"/>
  <c r="V1076" i="1"/>
  <c r="V1074" i="1"/>
  <c r="V1072" i="1"/>
  <c r="V1070" i="1"/>
  <c r="V1068" i="1"/>
  <c r="V1066" i="1"/>
  <c r="V1064" i="1"/>
  <c r="V1062" i="1"/>
  <c r="V1060" i="1"/>
  <c r="V1058" i="1"/>
  <c r="V1056" i="1"/>
  <c r="V1054" i="1"/>
  <c r="V1052" i="1"/>
  <c r="V1050" i="1"/>
  <c r="V1048" i="1"/>
  <c r="V1046" i="1"/>
  <c r="V1044" i="1"/>
  <c r="V1042" i="1"/>
  <c r="V1040" i="1"/>
  <c r="V1038" i="1"/>
  <c r="V1036" i="1"/>
  <c r="V1034" i="1"/>
  <c r="K1032" i="1"/>
  <c r="V1032" i="1"/>
  <c r="K1028" i="1"/>
  <c r="V1028" i="1"/>
  <c r="K1024" i="1"/>
  <c r="V1024" i="1"/>
  <c r="K1020" i="1"/>
  <c r="V1020" i="1"/>
  <c r="K1016" i="1"/>
  <c r="V1016" i="1"/>
  <c r="K1012" i="1"/>
  <c r="V1012" i="1"/>
  <c r="K1008" i="1"/>
  <c r="V1008" i="1"/>
  <c r="K1004" i="1"/>
  <c r="V1004" i="1"/>
  <c r="K1000" i="1"/>
  <c r="V1000" i="1"/>
  <c r="K996" i="1"/>
  <c r="V996" i="1"/>
  <c r="K992" i="1"/>
  <c r="V992" i="1"/>
  <c r="K990" i="1"/>
  <c r="V990" i="1"/>
  <c r="K986" i="1"/>
  <c r="V986" i="1"/>
  <c r="K982" i="1"/>
  <c r="V982" i="1"/>
  <c r="K978" i="1"/>
  <c r="V978" i="1"/>
  <c r="K974" i="1"/>
  <c r="V974" i="1"/>
  <c r="K970" i="1"/>
  <c r="V970" i="1"/>
  <c r="K966" i="1"/>
  <c r="V966" i="1"/>
  <c r="K962" i="1"/>
  <c r="V962" i="1"/>
  <c r="K958" i="1"/>
  <c r="V958" i="1"/>
  <c r="K954" i="1"/>
  <c r="V954" i="1"/>
  <c r="K948" i="1"/>
  <c r="V948" i="1"/>
  <c r="K944" i="1"/>
  <c r="V944" i="1"/>
  <c r="K936" i="1"/>
  <c r="V936" i="1"/>
  <c r="O1033" i="1"/>
  <c r="V1033" i="1"/>
  <c r="O1031" i="1"/>
  <c r="V1031" i="1"/>
  <c r="O1029" i="1"/>
  <c r="V1029" i="1"/>
  <c r="O1027" i="1"/>
  <c r="V1027" i="1"/>
  <c r="O1025" i="1"/>
  <c r="V1025" i="1"/>
  <c r="O1023" i="1"/>
  <c r="V1023" i="1"/>
  <c r="O1021" i="1"/>
  <c r="V1021" i="1"/>
  <c r="O1019" i="1"/>
  <c r="V1019" i="1"/>
  <c r="O1017" i="1"/>
  <c r="V1017" i="1"/>
  <c r="O1015" i="1"/>
  <c r="V1015" i="1"/>
  <c r="O1013" i="1"/>
  <c r="V1013" i="1"/>
  <c r="O1011" i="1"/>
  <c r="V1011" i="1"/>
  <c r="O1009" i="1"/>
  <c r="V1009" i="1"/>
  <c r="O1007" i="1"/>
  <c r="V1007" i="1"/>
  <c r="O1005" i="1"/>
  <c r="V1005" i="1"/>
  <c r="O1003" i="1"/>
  <c r="V1003" i="1"/>
  <c r="O1001" i="1"/>
  <c r="V1001" i="1"/>
  <c r="O999" i="1"/>
  <c r="V999" i="1"/>
  <c r="O997" i="1"/>
  <c r="V997" i="1"/>
  <c r="O995" i="1"/>
  <c r="V995" i="1"/>
  <c r="O993" i="1"/>
  <c r="V993" i="1"/>
  <c r="O991" i="1"/>
  <c r="V991" i="1"/>
  <c r="O989" i="1"/>
  <c r="V989" i="1"/>
  <c r="O987" i="1"/>
  <c r="V987" i="1"/>
  <c r="O985" i="1"/>
  <c r="V985" i="1"/>
  <c r="O983" i="1"/>
  <c r="V983" i="1"/>
  <c r="O981" i="1"/>
  <c r="V981" i="1"/>
  <c r="O979" i="1"/>
  <c r="V979" i="1"/>
  <c r="O977" i="1"/>
  <c r="V977" i="1"/>
  <c r="O975" i="1"/>
  <c r="V975" i="1"/>
  <c r="O973" i="1"/>
  <c r="V973" i="1"/>
  <c r="O971" i="1"/>
  <c r="V971" i="1"/>
  <c r="O969" i="1"/>
  <c r="V969" i="1"/>
  <c r="O967" i="1"/>
  <c r="V967" i="1"/>
  <c r="O965" i="1"/>
  <c r="V965" i="1"/>
  <c r="O963" i="1"/>
  <c r="V963" i="1"/>
  <c r="O961" i="1"/>
  <c r="V961" i="1"/>
  <c r="O959" i="1"/>
  <c r="V959" i="1"/>
  <c r="O957" i="1"/>
  <c r="V957" i="1"/>
  <c r="O955" i="1"/>
  <c r="V955" i="1"/>
  <c r="O953" i="1"/>
  <c r="V953" i="1"/>
  <c r="O951" i="1"/>
  <c r="V951" i="1"/>
  <c r="O949" i="1"/>
  <c r="V949" i="1"/>
  <c r="O947" i="1"/>
  <c r="V947" i="1"/>
  <c r="O945" i="1"/>
  <c r="V945" i="1"/>
  <c r="O943" i="1"/>
  <c r="V943" i="1"/>
  <c r="O941" i="1"/>
  <c r="V941" i="1"/>
  <c r="O939" i="1"/>
  <c r="V939" i="1"/>
  <c r="O937" i="1"/>
  <c r="V937" i="1"/>
  <c r="O935" i="1"/>
  <c r="V935" i="1"/>
  <c r="O933" i="1"/>
  <c r="V933" i="1"/>
  <c r="O931" i="1"/>
  <c r="V931" i="1"/>
  <c r="O929" i="1"/>
  <c r="V929" i="1"/>
  <c r="O927" i="1"/>
  <c r="V927" i="1"/>
  <c r="O925" i="1"/>
  <c r="V925" i="1"/>
  <c r="O923" i="1"/>
  <c r="V923" i="1"/>
  <c r="O921" i="1"/>
  <c r="V921" i="1"/>
  <c r="O919" i="1"/>
  <c r="V919" i="1"/>
  <c r="O917" i="1"/>
  <c r="V917" i="1"/>
  <c r="O915" i="1"/>
  <c r="V915" i="1"/>
  <c r="O913" i="1"/>
  <c r="V913" i="1"/>
  <c r="O911" i="1"/>
  <c r="V911" i="1"/>
  <c r="O909" i="1"/>
  <c r="V909" i="1"/>
  <c r="O907" i="1"/>
  <c r="V907" i="1"/>
  <c r="O905" i="1"/>
  <c r="V905" i="1"/>
  <c r="O903" i="1"/>
  <c r="V903" i="1"/>
  <c r="O901" i="1"/>
  <c r="V901" i="1"/>
  <c r="O899" i="1"/>
  <c r="V899" i="1"/>
  <c r="O897" i="1"/>
  <c r="V897" i="1"/>
  <c r="O895" i="1"/>
  <c r="V895" i="1"/>
  <c r="O893" i="1"/>
  <c r="V893" i="1"/>
  <c r="O891" i="1"/>
  <c r="V891" i="1"/>
  <c r="O889" i="1"/>
  <c r="V889" i="1"/>
  <c r="O887" i="1"/>
  <c r="V887" i="1"/>
  <c r="O885" i="1"/>
  <c r="V885" i="1"/>
  <c r="O883" i="1"/>
  <c r="V883" i="1"/>
  <c r="O881" i="1"/>
  <c r="V881" i="1"/>
  <c r="O877" i="1"/>
  <c r="V877" i="1"/>
  <c r="O875" i="1"/>
  <c r="V875" i="1"/>
  <c r="O873" i="1"/>
  <c r="V873" i="1"/>
  <c r="O869" i="1"/>
  <c r="V869" i="1"/>
  <c r="O867" i="1"/>
  <c r="V867" i="1"/>
  <c r="O865" i="1"/>
  <c r="V865" i="1"/>
  <c r="O861" i="1"/>
  <c r="V861" i="1"/>
  <c r="O859" i="1"/>
  <c r="V859" i="1"/>
  <c r="O857" i="1"/>
  <c r="V857" i="1"/>
  <c r="O855" i="1"/>
  <c r="V855" i="1"/>
  <c r="O853" i="1"/>
  <c r="V853" i="1"/>
  <c r="O851" i="1"/>
  <c r="V851" i="1"/>
  <c r="O849" i="1"/>
  <c r="V849" i="1"/>
  <c r="O845" i="1"/>
  <c r="V845" i="1"/>
  <c r="O843" i="1"/>
  <c r="V843" i="1"/>
  <c r="O841" i="1"/>
  <c r="V841" i="1"/>
  <c r="O836" i="1"/>
  <c r="V836" i="1"/>
  <c r="O834" i="1"/>
  <c r="V834" i="1"/>
  <c r="O832" i="1"/>
  <c r="V832" i="1"/>
  <c r="O830" i="1"/>
  <c r="V830" i="1"/>
  <c r="O820" i="1"/>
  <c r="V820" i="1"/>
  <c r="O818" i="1"/>
  <c r="V818" i="1"/>
  <c r="O814" i="1"/>
  <c r="V814" i="1"/>
  <c r="O812" i="1"/>
  <c r="V812" i="1"/>
  <c r="O810" i="1"/>
  <c r="V810" i="1"/>
  <c r="O808" i="1"/>
  <c r="V808" i="1"/>
  <c r="O806" i="1"/>
  <c r="V806" i="1"/>
  <c r="O804" i="1"/>
  <c r="V804" i="1"/>
  <c r="O802" i="1"/>
  <c r="V802" i="1"/>
  <c r="O800" i="1"/>
  <c r="V800" i="1"/>
  <c r="O798" i="1"/>
  <c r="V798" i="1"/>
  <c r="O795" i="1"/>
  <c r="V795" i="1"/>
  <c r="O793" i="1"/>
  <c r="V793" i="1"/>
  <c r="O791" i="1"/>
  <c r="V791" i="1"/>
  <c r="O828" i="1"/>
  <c r="V828" i="1"/>
  <c r="O789" i="1"/>
  <c r="V789" i="1"/>
  <c r="O825" i="1"/>
  <c r="V825" i="1"/>
  <c r="O823" i="1"/>
  <c r="V823" i="1"/>
  <c r="O821" i="1"/>
  <c r="V821" i="1"/>
  <c r="O817" i="1"/>
  <c r="V817" i="1"/>
  <c r="O784" i="1"/>
  <c r="V784" i="1"/>
  <c r="O782" i="1"/>
  <c r="V782" i="1"/>
  <c r="O780" i="1"/>
  <c r="V780" i="1"/>
  <c r="O778" i="1"/>
  <c r="V778" i="1"/>
  <c r="O776" i="1"/>
  <c r="V776" i="1"/>
  <c r="O774" i="1"/>
  <c r="V774" i="1"/>
  <c r="O772" i="1"/>
  <c r="V772" i="1"/>
  <c r="O770" i="1"/>
  <c r="V770" i="1"/>
  <c r="O768" i="1"/>
  <c r="V768" i="1"/>
  <c r="O766" i="1"/>
  <c r="V766" i="1"/>
  <c r="O764" i="1"/>
  <c r="V764" i="1"/>
  <c r="O762" i="1"/>
  <c r="V762" i="1"/>
  <c r="O760" i="1"/>
  <c r="V760" i="1"/>
  <c r="O758" i="1"/>
  <c r="V758" i="1"/>
  <c r="O756" i="1"/>
  <c r="V756" i="1"/>
  <c r="O754" i="1"/>
  <c r="V754" i="1"/>
  <c r="O752" i="1"/>
  <c r="V752" i="1"/>
  <c r="O750" i="1"/>
  <c r="V750" i="1"/>
  <c r="O748" i="1"/>
  <c r="V748" i="1"/>
  <c r="O746" i="1"/>
  <c r="V746" i="1"/>
  <c r="O744" i="1"/>
  <c r="V744" i="1"/>
  <c r="O742" i="1"/>
  <c r="V742" i="1"/>
  <c r="O740" i="1"/>
  <c r="V740" i="1"/>
  <c r="O738" i="1"/>
  <c r="V738" i="1"/>
  <c r="O736" i="1"/>
  <c r="V736" i="1"/>
  <c r="O734" i="1"/>
  <c r="V734" i="1"/>
  <c r="O732" i="1"/>
  <c r="V732" i="1"/>
  <c r="O730" i="1"/>
  <c r="V730" i="1"/>
  <c r="O728" i="1"/>
  <c r="V728" i="1"/>
  <c r="O726" i="1"/>
  <c r="V726" i="1"/>
  <c r="O724" i="1"/>
  <c r="V724" i="1"/>
  <c r="O722" i="1"/>
  <c r="V722" i="1"/>
  <c r="O720" i="1"/>
  <c r="V720" i="1"/>
  <c r="O718" i="1"/>
  <c r="V718" i="1"/>
  <c r="O715" i="1"/>
  <c r="V715" i="1"/>
  <c r="O713" i="1"/>
  <c r="V713" i="1"/>
  <c r="O711" i="1"/>
  <c r="V711" i="1"/>
  <c r="O708" i="1"/>
  <c r="V708" i="1"/>
  <c r="O706" i="1"/>
  <c r="V706" i="1"/>
  <c r="O704" i="1"/>
  <c r="V704" i="1"/>
  <c r="O702" i="1"/>
  <c r="V702" i="1"/>
  <c r="O509" i="1"/>
  <c r="V509" i="1"/>
  <c r="O508" i="1"/>
  <c r="V508" i="1"/>
  <c r="O697" i="1"/>
  <c r="V697" i="1"/>
  <c r="O505" i="1"/>
  <c r="V505" i="1"/>
  <c r="O694" i="1"/>
  <c r="V694" i="1"/>
  <c r="O692" i="1"/>
  <c r="V692" i="1"/>
  <c r="O688" i="1"/>
  <c r="V688" i="1"/>
  <c r="O686" i="1"/>
  <c r="V686" i="1"/>
  <c r="O684" i="1"/>
  <c r="V684" i="1"/>
  <c r="O682" i="1"/>
  <c r="V682" i="1"/>
  <c r="O680" i="1"/>
  <c r="V680" i="1"/>
  <c r="O678" i="1"/>
  <c r="V678" i="1"/>
  <c r="O676" i="1"/>
  <c r="V676" i="1"/>
  <c r="O673" i="1"/>
  <c r="V673" i="1"/>
  <c r="O670" i="1"/>
  <c r="V670" i="1"/>
  <c r="O487" i="1"/>
  <c r="V487" i="1"/>
  <c r="O668" i="1"/>
  <c r="V668" i="1"/>
  <c r="O666" i="1"/>
  <c r="V666" i="1"/>
  <c r="O664" i="1"/>
  <c r="V664" i="1"/>
  <c r="O662" i="1"/>
  <c r="V662" i="1"/>
  <c r="O660" i="1"/>
  <c r="V660" i="1"/>
  <c r="O658" i="1"/>
  <c r="V658" i="1"/>
  <c r="O656" i="1"/>
  <c r="V656" i="1"/>
  <c r="O654" i="1"/>
  <c r="V654" i="1"/>
  <c r="O652" i="1"/>
  <c r="V652" i="1"/>
  <c r="O650" i="1"/>
  <c r="V650" i="1"/>
  <c r="O648" i="1"/>
  <c r="V648" i="1"/>
  <c r="O646" i="1"/>
  <c r="V646" i="1"/>
  <c r="O644" i="1"/>
  <c r="V644" i="1"/>
  <c r="O642" i="1"/>
  <c r="V642" i="1"/>
  <c r="O640" i="1"/>
  <c r="V640" i="1"/>
  <c r="O638" i="1"/>
  <c r="V638" i="1"/>
  <c r="O636" i="1"/>
  <c r="V636" i="1"/>
  <c r="O634" i="1"/>
  <c r="V634" i="1"/>
  <c r="O632" i="1"/>
  <c r="V632" i="1"/>
  <c r="O630" i="1"/>
  <c r="V630" i="1"/>
  <c r="O628" i="1"/>
  <c r="V628" i="1"/>
  <c r="O626" i="1"/>
  <c r="V626" i="1"/>
  <c r="O624" i="1"/>
  <c r="V624" i="1"/>
  <c r="O622" i="1"/>
  <c r="V622" i="1"/>
  <c r="O620" i="1"/>
  <c r="V620" i="1"/>
  <c r="O618" i="1"/>
  <c r="V618" i="1"/>
  <c r="O616" i="1"/>
  <c r="V616" i="1"/>
  <c r="O614" i="1"/>
  <c r="V614" i="1"/>
  <c r="O612" i="1"/>
  <c r="V612" i="1"/>
  <c r="O610" i="1"/>
  <c r="V610" i="1"/>
  <c r="O608" i="1"/>
  <c r="V608" i="1"/>
  <c r="O606" i="1"/>
  <c r="V606" i="1"/>
  <c r="O604" i="1"/>
  <c r="V604" i="1"/>
  <c r="O602" i="1"/>
  <c r="V602" i="1"/>
  <c r="O600" i="1"/>
  <c r="V600" i="1"/>
  <c r="O598" i="1"/>
  <c r="V598" i="1"/>
  <c r="O596" i="1"/>
  <c r="V596" i="1"/>
  <c r="O594" i="1"/>
  <c r="V594" i="1"/>
  <c r="O592" i="1"/>
  <c r="V592" i="1"/>
  <c r="O590" i="1"/>
  <c r="V590" i="1"/>
  <c r="O588" i="1"/>
  <c r="V588" i="1"/>
  <c r="O586" i="1"/>
  <c r="V586" i="1"/>
  <c r="O584" i="1"/>
  <c r="V584" i="1"/>
  <c r="O582" i="1"/>
  <c r="V582" i="1"/>
  <c r="O580" i="1"/>
  <c r="V580" i="1"/>
  <c r="O578" i="1"/>
  <c r="V578" i="1"/>
  <c r="O576" i="1"/>
  <c r="V576" i="1"/>
  <c r="O574" i="1"/>
  <c r="V574" i="1"/>
  <c r="O572" i="1"/>
  <c r="V572" i="1"/>
  <c r="O570" i="1"/>
  <c r="V570" i="1"/>
  <c r="O568" i="1"/>
  <c r="V568" i="1"/>
  <c r="O566" i="1"/>
  <c r="V566" i="1"/>
  <c r="O564" i="1"/>
  <c r="V564" i="1"/>
  <c r="O562" i="1"/>
  <c r="V562" i="1"/>
  <c r="O515" i="1"/>
  <c r="V515" i="1"/>
  <c r="O559" i="1"/>
  <c r="V559" i="1"/>
  <c r="O557" i="1"/>
  <c r="V557" i="1"/>
  <c r="O555" i="1"/>
  <c r="V555" i="1"/>
  <c r="O513" i="1"/>
  <c r="V513" i="1"/>
  <c r="O553" i="1"/>
  <c r="V553" i="1"/>
  <c r="O551" i="1"/>
  <c r="V551" i="1"/>
  <c r="O511" i="1"/>
  <c r="V511" i="1"/>
  <c r="O548" i="1"/>
  <c r="V548" i="1"/>
  <c r="O546" i="1"/>
  <c r="V546" i="1"/>
  <c r="O544" i="1"/>
  <c r="V544" i="1"/>
  <c r="O542" i="1"/>
  <c r="V542" i="1"/>
  <c r="O540" i="1"/>
  <c r="V540" i="1"/>
  <c r="O538" i="1"/>
  <c r="V538" i="1"/>
  <c r="O536" i="1"/>
  <c r="V536" i="1"/>
  <c r="O534" i="1"/>
  <c r="V534" i="1"/>
  <c r="O532" i="1"/>
  <c r="V532" i="1"/>
  <c r="O530" i="1"/>
  <c r="V530" i="1"/>
  <c r="O528" i="1"/>
  <c r="V528" i="1"/>
  <c r="O526" i="1"/>
  <c r="V526" i="1"/>
  <c r="O524" i="1"/>
  <c r="V524" i="1"/>
  <c r="O522" i="1"/>
  <c r="V522" i="1"/>
  <c r="O520" i="1"/>
  <c r="V520" i="1"/>
  <c r="O518" i="1"/>
  <c r="V518" i="1"/>
  <c r="O516" i="1"/>
  <c r="V516" i="1"/>
  <c r="O510" i="1"/>
  <c r="V510" i="1"/>
  <c r="O506" i="1"/>
  <c r="V506" i="1"/>
  <c r="O504" i="1"/>
  <c r="V504" i="1"/>
  <c r="O502" i="1"/>
  <c r="V502" i="1"/>
  <c r="O500" i="1"/>
  <c r="V500" i="1"/>
  <c r="O498" i="1"/>
  <c r="V498" i="1"/>
  <c r="O496" i="1"/>
  <c r="V496" i="1"/>
  <c r="O494" i="1"/>
  <c r="V494" i="1"/>
  <c r="O493" i="1"/>
  <c r="V493" i="1"/>
  <c r="O491" i="1"/>
  <c r="V491" i="1"/>
  <c r="O489" i="1"/>
  <c r="V489" i="1"/>
  <c r="O484" i="1"/>
  <c r="V484" i="1"/>
  <c r="O471" i="1"/>
  <c r="V471" i="1"/>
  <c r="O482" i="1"/>
  <c r="V482" i="1"/>
  <c r="O479" i="1"/>
  <c r="V479" i="1"/>
  <c r="O477" i="1"/>
  <c r="V477" i="1"/>
  <c r="O476" i="1"/>
  <c r="V476" i="1"/>
  <c r="O474" i="1"/>
  <c r="V474" i="1"/>
  <c r="O472" i="1"/>
  <c r="V472" i="1"/>
  <c r="O469" i="1"/>
  <c r="V469" i="1"/>
  <c r="O467" i="1"/>
  <c r="V467" i="1"/>
  <c r="O465" i="1"/>
  <c r="V465" i="1"/>
  <c r="O463" i="1"/>
  <c r="V463" i="1"/>
  <c r="O462" i="1"/>
  <c r="V462" i="1"/>
  <c r="O460" i="1"/>
  <c r="V460" i="1"/>
  <c r="O379" i="1"/>
  <c r="V379" i="1"/>
  <c r="O93" i="1"/>
  <c r="V93" i="1"/>
  <c r="O456" i="1"/>
  <c r="V456" i="1"/>
  <c r="O454" i="1"/>
  <c r="V454" i="1"/>
  <c r="O452" i="1"/>
  <c r="V452" i="1"/>
  <c r="O450" i="1"/>
  <c r="V450" i="1"/>
  <c r="O449" i="1"/>
  <c r="V449" i="1"/>
  <c r="O447" i="1"/>
  <c r="V447" i="1"/>
  <c r="O445" i="1"/>
  <c r="V445" i="1"/>
  <c r="O443" i="1"/>
  <c r="V443" i="1"/>
  <c r="O441" i="1"/>
  <c r="V441" i="1"/>
  <c r="O438" i="1"/>
  <c r="V438" i="1"/>
  <c r="O436" i="1"/>
  <c r="V436" i="1"/>
  <c r="O434" i="1"/>
  <c r="V434" i="1"/>
  <c r="O186" i="1"/>
  <c r="V186" i="1"/>
  <c r="O431" i="1"/>
  <c r="V431" i="1"/>
  <c r="O429" i="1"/>
  <c r="V429" i="1"/>
  <c r="O427" i="1"/>
  <c r="V427" i="1"/>
  <c r="O425" i="1"/>
  <c r="V425" i="1"/>
  <c r="O423" i="1"/>
  <c r="V423" i="1"/>
  <c r="O421" i="1"/>
  <c r="V421" i="1"/>
  <c r="O419" i="1"/>
  <c r="V419" i="1"/>
  <c r="O417" i="1"/>
  <c r="V417" i="1"/>
  <c r="O416" i="1"/>
  <c r="V416" i="1"/>
  <c r="O414" i="1"/>
  <c r="V414" i="1"/>
  <c r="O412" i="1"/>
  <c r="V412" i="1"/>
  <c r="O410" i="1"/>
  <c r="V410" i="1"/>
  <c r="O212" i="1"/>
  <c r="V212" i="1"/>
  <c r="O407" i="1"/>
  <c r="V407" i="1"/>
  <c r="O405" i="1"/>
  <c r="V405" i="1"/>
  <c r="O403" i="1"/>
  <c r="V403" i="1"/>
  <c r="O401" i="1"/>
  <c r="V401" i="1"/>
  <c r="O399" i="1"/>
  <c r="V399" i="1"/>
  <c r="O397" i="1"/>
  <c r="V397" i="1"/>
  <c r="O395" i="1"/>
  <c r="V395" i="1"/>
  <c r="O393" i="1"/>
  <c r="V393" i="1"/>
  <c r="O391" i="1"/>
  <c r="V391" i="1"/>
  <c r="O389" i="1"/>
  <c r="V389" i="1"/>
  <c r="O387" i="1"/>
  <c r="V387" i="1"/>
  <c r="O385" i="1"/>
  <c r="V385" i="1"/>
  <c r="O383" i="1"/>
  <c r="V383" i="1"/>
  <c r="O381" i="1"/>
  <c r="V381" i="1"/>
  <c r="O377" i="1"/>
  <c r="V377" i="1"/>
  <c r="O375" i="1"/>
  <c r="V375" i="1"/>
  <c r="O373" i="1"/>
  <c r="V373" i="1"/>
  <c r="O371" i="1"/>
  <c r="V371" i="1"/>
  <c r="O369" i="1"/>
  <c r="V369" i="1"/>
  <c r="O367" i="1"/>
  <c r="V367" i="1"/>
  <c r="O365" i="1"/>
  <c r="V365" i="1"/>
  <c r="O362" i="1"/>
  <c r="V362" i="1"/>
  <c r="O361" i="1"/>
  <c r="V361" i="1"/>
  <c r="O359" i="1"/>
  <c r="V359" i="1"/>
  <c r="O357" i="1"/>
  <c r="V357" i="1"/>
  <c r="O355" i="1"/>
  <c r="V355" i="1"/>
  <c r="O353" i="1"/>
  <c r="V353" i="1"/>
  <c r="O351" i="1"/>
  <c r="V351" i="1"/>
  <c r="O349" i="1"/>
  <c r="V349" i="1"/>
  <c r="O347" i="1"/>
  <c r="V347" i="1"/>
  <c r="O346" i="1"/>
  <c r="V346" i="1"/>
  <c r="O344" i="1"/>
  <c r="V344" i="1"/>
  <c r="O342" i="1"/>
  <c r="V342" i="1"/>
  <c r="O339" i="1"/>
  <c r="V339" i="1"/>
  <c r="O689" i="1"/>
  <c r="V689" i="1"/>
  <c r="O336" i="1"/>
  <c r="V336" i="1"/>
  <c r="O334" i="1"/>
  <c r="V334" i="1"/>
  <c r="O332" i="1"/>
  <c r="V332" i="1"/>
  <c r="O330" i="1"/>
  <c r="V330" i="1"/>
  <c r="O328" i="1"/>
  <c r="V328" i="1"/>
  <c r="O326" i="1"/>
  <c r="V326" i="1"/>
  <c r="O324" i="1"/>
  <c r="V324" i="1"/>
  <c r="O322" i="1"/>
  <c r="V322" i="1"/>
  <c r="O320" i="1"/>
  <c r="V320" i="1"/>
  <c r="O317" i="1"/>
  <c r="V317" i="1"/>
  <c r="O315" i="1"/>
  <c r="V315" i="1"/>
  <c r="O313" i="1"/>
  <c r="V313" i="1"/>
  <c r="O311" i="1"/>
  <c r="V311" i="1"/>
  <c r="O309" i="1"/>
  <c r="V309" i="1"/>
  <c r="O307" i="1"/>
  <c r="V307" i="1"/>
  <c r="O305" i="1"/>
  <c r="V305" i="1"/>
  <c r="O303" i="1"/>
  <c r="V303" i="1"/>
  <c r="O301" i="1"/>
  <c r="V301" i="1"/>
  <c r="O299" i="1"/>
  <c r="V299" i="1"/>
  <c r="O297" i="1"/>
  <c r="V297" i="1"/>
  <c r="O295" i="1"/>
  <c r="V295" i="1"/>
  <c r="O293" i="1"/>
  <c r="V293" i="1"/>
  <c r="O291" i="1"/>
  <c r="V291" i="1"/>
  <c r="O288" i="1"/>
  <c r="V288" i="1"/>
  <c r="O286" i="1"/>
  <c r="V286" i="1"/>
  <c r="O284" i="1"/>
  <c r="V284" i="1"/>
  <c r="O282" i="1"/>
  <c r="V282" i="1"/>
  <c r="O280" i="1"/>
  <c r="V280" i="1"/>
  <c r="O278" i="1"/>
  <c r="V278" i="1"/>
  <c r="O276" i="1"/>
  <c r="V276" i="1"/>
  <c r="O274" i="1"/>
  <c r="V274" i="1"/>
  <c r="O272" i="1"/>
  <c r="V272" i="1"/>
  <c r="O271" i="1"/>
  <c r="V271" i="1"/>
  <c r="O269" i="1"/>
  <c r="V269" i="1"/>
  <c r="O267" i="1"/>
  <c r="V267" i="1"/>
  <c r="O265" i="1"/>
  <c r="V265" i="1"/>
  <c r="O263" i="1"/>
  <c r="V263" i="1"/>
  <c r="O261" i="1"/>
  <c r="V261" i="1"/>
  <c r="O259" i="1"/>
  <c r="V259" i="1"/>
  <c r="O258" i="1"/>
  <c r="V258" i="1"/>
  <c r="O255" i="1"/>
  <c r="V255" i="1"/>
  <c r="O253" i="1"/>
  <c r="V253" i="1"/>
  <c r="O251" i="1"/>
  <c r="V251" i="1"/>
  <c r="O250" i="1"/>
  <c r="V250" i="1"/>
  <c r="O249" i="1"/>
  <c r="V249" i="1"/>
  <c r="O247" i="1"/>
  <c r="V247" i="1"/>
  <c r="O245" i="1"/>
  <c r="V245" i="1"/>
  <c r="O243" i="1"/>
  <c r="V243" i="1"/>
  <c r="O242" i="1"/>
  <c r="V242" i="1"/>
  <c r="O239" i="1"/>
  <c r="V239" i="1"/>
  <c r="O236" i="1"/>
  <c r="V236" i="1"/>
  <c r="O234" i="1"/>
  <c r="V234" i="1"/>
  <c r="O232" i="1"/>
  <c r="V232" i="1"/>
  <c r="O230" i="1"/>
  <c r="V230" i="1"/>
  <c r="O228" i="1"/>
  <c r="V228" i="1"/>
  <c r="O226" i="1"/>
  <c r="V226" i="1"/>
  <c r="O224" i="1"/>
  <c r="V224" i="1"/>
  <c r="O222" i="1"/>
  <c r="V222" i="1"/>
  <c r="O220" i="1"/>
  <c r="V220" i="1"/>
  <c r="O217" i="1"/>
  <c r="V217" i="1"/>
  <c r="O215" i="1"/>
  <c r="V215" i="1"/>
  <c r="O213" i="1"/>
  <c r="V213" i="1"/>
  <c r="O211" i="1"/>
  <c r="V211" i="1"/>
  <c r="O209" i="1"/>
  <c r="V209" i="1"/>
  <c r="O207" i="1"/>
  <c r="V207" i="1"/>
  <c r="O204" i="1"/>
  <c r="V204" i="1"/>
  <c r="O691" i="1"/>
  <c r="V691" i="1"/>
  <c r="O201" i="1"/>
  <c r="V201" i="1"/>
  <c r="O199" i="1"/>
  <c r="V199" i="1"/>
  <c r="O197" i="1"/>
  <c r="V197" i="1"/>
  <c r="O195" i="1"/>
  <c r="V195" i="1"/>
  <c r="O193" i="1"/>
  <c r="V193" i="1"/>
  <c r="O191" i="1"/>
  <c r="V191" i="1"/>
  <c r="O189" i="1"/>
  <c r="V189" i="1"/>
  <c r="O187" i="1"/>
  <c r="V187" i="1"/>
  <c r="O184" i="1"/>
  <c r="V184" i="1"/>
  <c r="O182" i="1"/>
  <c r="V182" i="1"/>
  <c r="O181" i="1"/>
  <c r="V181" i="1"/>
  <c r="O179" i="1"/>
  <c r="V179" i="1"/>
  <c r="O675" i="1"/>
  <c r="V675" i="1"/>
  <c r="O175" i="1"/>
  <c r="V175" i="1"/>
  <c r="O173" i="1"/>
  <c r="V173" i="1"/>
  <c r="O171" i="1"/>
  <c r="V171" i="1"/>
  <c r="O169" i="1"/>
  <c r="V169" i="1"/>
  <c r="O167" i="1"/>
  <c r="V167" i="1"/>
  <c r="O165" i="1"/>
  <c r="V165" i="1"/>
  <c r="O163" i="1"/>
  <c r="V163" i="1"/>
  <c r="O160" i="1"/>
  <c r="V160" i="1"/>
  <c r="O158" i="1"/>
  <c r="V158" i="1"/>
  <c r="O156" i="1"/>
  <c r="V156" i="1"/>
  <c r="O154" i="1"/>
  <c r="V154" i="1"/>
  <c r="O152" i="1"/>
  <c r="V152" i="1"/>
  <c r="O150" i="1"/>
  <c r="V150" i="1"/>
  <c r="O148" i="1"/>
  <c r="V148" i="1"/>
  <c r="O146" i="1"/>
  <c r="V146" i="1"/>
  <c r="O145" i="1"/>
  <c r="V145" i="1"/>
  <c r="O142" i="1"/>
  <c r="V142" i="1"/>
  <c r="O237" i="1"/>
  <c r="V237" i="1"/>
  <c r="O139" i="1"/>
  <c r="V139" i="1"/>
  <c r="O137" i="1"/>
  <c r="V137" i="1"/>
  <c r="O135" i="1"/>
  <c r="V135" i="1"/>
  <c r="O133" i="1"/>
  <c r="V133" i="1"/>
  <c r="O131" i="1"/>
  <c r="V131" i="1"/>
  <c r="O129" i="1"/>
  <c r="V129" i="1"/>
  <c r="O127" i="1"/>
  <c r="V127" i="1"/>
  <c r="O125" i="1"/>
  <c r="V125" i="1"/>
  <c r="O123" i="1"/>
  <c r="V123" i="1"/>
  <c r="O121" i="1"/>
  <c r="V121" i="1"/>
  <c r="O119" i="1"/>
  <c r="V119" i="1"/>
  <c r="O117" i="1"/>
  <c r="V117" i="1"/>
  <c r="O115" i="1"/>
  <c r="V115" i="1"/>
  <c r="O113" i="1"/>
  <c r="V113" i="1"/>
  <c r="O69" i="1"/>
  <c r="V69" i="1"/>
  <c r="O111" i="1"/>
  <c r="V111" i="1"/>
  <c r="O109" i="1"/>
  <c r="V109" i="1"/>
  <c r="O107" i="1"/>
  <c r="V107" i="1"/>
  <c r="O105" i="1"/>
  <c r="V105" i="1"/>
  <c r="O104" i="1"/>
  <c r="V104" i="1"/>
  <c r="O102" i="1"/>
  <c r="V102" i="1"/>
  <c r="O100" i="1"/>
  <c r="V100" i="1"/>
  <c r="O240" i="1"/>
  <c r="V240" i="1"/>
  <c r="O97" i="1"/>
  <c r="V97" i="1"/>
  <c r="O95" i="1"/>
  <c r="V95" i="1"/>
  <c r="O92" i="1"/>
  <c r="V92" i="1"/>
  <c r="O90" i="1"/>
  <c r="V90" i="1"/>
  <c r="O88" i="1"/>
  <c r="V88" i="1"/>
  <c r="O86" i="1"/>
  <c r="V86" i="1"/>
  <c r="O84" i="1"/>
  <c r="V84" i="1"/>
  <c r="O82" i="1"/>
  <c r="V82" i="1"/>
  <c r="O80" i="1"/>
  <c r="V80" i="1"/>
  <c r="O78" i="1"/>
  <c r="V78" i="1"/>
  <c r="O76" i="1"/>
  <c r="V76" i="1"/>
  <c r="O74" i="1"/>
  <c r="V74" i="1"/>
  <c r="O72" i="1"/>
  <c r="V72" i="1"/>
  <c r="O70" i="1"/>
  <c r="V70" i="1"/>
  <c r="O66" i="1"/>
  <c r="V66" i="1"/>
  <c r="O64" i="1"/>
  <c r="V64" i="1"/>
  <c r="O62" i="1"/>
  <c r="V62" i="1"/>
  <c r="O60" i="1"/>
  <c r="V60" i="1"/>
  <c r="O58" i="1"/>
  <c r="V58" i="1"/>
  <c r="O56" i="1"/>
  <c r="V56" i="1"/>
  <c r="O54" i="1"/>
  <c r="V54" i="1"/>
  <c r="O52" i="1"/>
  <c r="V52" i="1"/>
  <c r="O50" i="1"/>
  <c r="V50" i="1"/>
  <c r="O48" i="1"/>
  <c r="V48" i="1"/>
  <c r="O46" i="1"/>
  <c r="V46" i="1"/>
  <c r="O44" i="1"/>
  <c r="V44" i="1"/>
  <c r="O42" i="1"/>
  <c r="V42" i="1"/>
  <c r="O319" i="1"/>
  <c r="V319" i="1"/>
  <c r="O40" i="1"/>
  <c r="V40" i="1"/>
  <c r="O38" i="1"/>
  <c r="V38" i="1"/>
  <c r="O37" i="1"/>
  <c r="V37" i="1"/>
  <c r="O35" i="1"/>
  <c r="V35" i="1"/>
  <c r="O33" i="1"/>
  <c r="V33" i="1"/>
  <c r="O30" i="1"/>
  <c r="V30" i="1"/>
  <c r="O28" i="1"/>
  <c r="V28" i="1"/>
  <c r="O26" i="1"/>
  <c r="V26" i="1"/>
  <c r="O24" i="1"/>
  <c r="V24" i="1"/>
  <c r="O257" i="1"/>
  <c r="V257" i="1"/>
  <c r="O21" i="1"/>
  <c r="V21" i="1"/>
  <c r="O18" i="1"/>
  <c r="V18" i="1"/>
  <c r="O16" i="1"/>
  <c r="V16" i="1"/>
  <c r="O14" i="1"/>
  <c r="V14" i="1"/>
  <c r="O12" i="1"/>
  <c r="V12" i="1"/>
  <c r="O10" i="1"/>
  <c r="V10" i="1"/>
  <c r="O8" i="1"/>
  <c r="V8" i="1"/>
  <c r="O6" i="1"/>
  <c r="V6" i="1"/>
  <c r="J607" i="1"/>
  <c r="J599" i="1"/>
  <c r="J591" i="1"/>
  <c r="J583" i="1"/>
  <c r="J575" i="1"/>
  <c r="J567" i="1"/>
  <c r="J560" i="1"/>
  <c r="J512" i="1"/>
  <c r="J547" i="1"/>
  <c r="J539" i="1"/>
  <c r="J531" i="1"/>
  <c r="J523" i="1"/>
  <c r="J514" i="1"/>
  <c r="J501" i="1"/>
  <c r="J459" i="1"/>
  <c r="J475" i="1"/>
  <c r="J32" i="1"/>
  <c r="J20" i="1"/>
  <c r="J461" i="1"/>
  <c r="J455" i="1"/>
  <c r="J448" i="1"/>
  <c r="J440" i="1"/>
  <c r="J432" i="1"/>
  <c r="J424" i="1"/>
  <c r="J177" i="1"/>
  <c r="J409" i="1"/>
  <c r="J402" i="1"/>
  <c r="J394" i="1"/>
  <c r="J386" i="1"/>
  <c r="J376" i="1"/>
  <c r="J368" i="1"/>
  <c r="J360" i="1"/>
  <c r="J352" i="1"/>
  <c r="J345" i="1"/>
  <c r="J337" i="1"/>
  <c r="J329" i="1"/>
  <c r="J321" i="1"/>
  <c r="J312" i="1"/>
  <c r="K285" i="1"/>
  <c r="K254" i="1"/>
  <c r="K672" i="1"/>
  <c r="K190" i="1"/>
  <c r="K157" i="1"/>
  <c r="K114" i="1"/>
  <c r="J55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7" i="1"/>
  <c r="O829" i="1"/>
  <c r="O811" i="1"/>
  <c r="O803" i="1"/>
  <c r="O794" i="1"/>
  <c r="O826" i="1"/>
  <c r="O815" i="1"/>
  <c r="O779" i="1"/>
  <c r="O771" i="1"/>
  <c r="O763" i="1"/>
  <c r="O755" i="1"/>
  <c r="O747" i="1"/>
  <c r="O739" i="1"/>
  <c r="O731" i="1"/>
  <c r="O714" i="1"/>
  <c r="O698" i="1"/>
  <c r="O681" i="1"/>
  <c r="O665" i="1"/>
  <c r="O649" i="1"/>
  <c r="O633" i="1"/>
  <c r="O617" i="1"/>
  <c r="O601" i="1"/>
  <c r="O585" i="1"/>
  <c r="O569" i="1"/>
  <c r="O554" i="1"/>
  <c r="O541" i="1"/>
  <c r="O525" i="1"/>
  <c r="O503" i="1"/>
  <c r="O486" i="1"/>
  <c r="O470" i="1"/>
  <c r="O457" i="1"/>
  <c r="O442" i="1"/>
  <c r="O426" i="1"/>
  <c r="O398" i="1"/>
  <c r="O364" i="1"/>
  <c r="O333" i="1"/>
  <c r="O300" i="1"/>
  <c r="O268" i="1"/>
  <c r="O238" i="1"/>
  <c r="O203" i="1"/>
  <c r="O172" i="1"/>
  <c r="V1121" i="1"/>
  <c r="V1119" i="1"/>
  <c r="V1117" i="1"/>
  <c r="V1115" i="1"/>
  <c r="V1113" i="1"/>
  <c r="V1111" i="1"/>
  <c r="V1109" i="1"/>
  <c r="V1107" i="1"/>
  <c r="V1105" i="1"/>
  <c r="V1103" i="1"/>
  <c r="V1101" i="1"/>
  <c r="V1099" i="1"/>
  <c r="V1097" i="1"/>
  <c r="V1095" i="1"/>
  <c r="V1093" i="1"/>
  <c r="V1091" i="1"/>
  <c r="V1089" i="1"/>
  <c r="V1087" i="1"/>
  <c r="V1085" i="1"/>
  <c r="V1083" i="1"/>
  <c r="V1081" i="1"/>
  <c r="V1079" i="1"/>
  <c r="V1077" i="1"/>
  <c r="V1075" i="1"/>
  <c r="V1073" i="1"/>
  <c r="V1071" i="1"/>
  <c r="V1069" i="1"/>
  <c r="V1067" i="1"/>
  <c r="V1065" i="1"/>
  <c r="V1063" i="1"/>
  <c r="V1061" i="1"/>
  <c r="V1059" i="1"/>
  <c r="V1057" i="1"/>
  <c r="V1055" i="1"/>
  <c r="V1053" i="1"/>
  <c r="V1051" i="1"/>
  <c r="V1049" i="1"/>
  <c r="V1047" i="1"/>
  <c r="V1045" i="1"/>
  <c r="V1043" i="1"/>
  <c r="V1041" i="1"/>
  <c r="V1039" i="1"/>
  <c r="V1037" i="1"/>
  <c r="V1035" i="1"/>
  <c r="K1109" i="1"/>
  <c r="O1109" i="1"/>
  <c r="K1101" i="1"/>
  <c r="O1101" i="1"/>
  <c r="K1093" i="1"/>
  <c r="O1093" i="1"/>
  <c r="K1085" i="1"/>
  <c r="O1085" i="1"/>
  <c r="K1077" i="1"/>
  <c r="O1077" i="1"/>
  <c r="K1065" i="1"/>
  <c r="O1065" i="1"/>
  <c r="K1057" i="1"/>
  <c r="O1057" i="1"/>
  <c r="K879" i="1"/>
  <c r="O879" i="1"/>
  <c r="K847" i="1"/>
  <c r="O847" i="1"/>
  <c r="K1105" i="1"/>
  <c r="O1105" i="1"/>
  <c r="K1097" i="1"/>
  <c r="O1097" i="1"/>
  <c r="K1089" i="1"/>
  <c r="O1089" i="1"/>
  <c r="K1081" i="1"/>
  <c r="O1081" i="1"/>
  <c r="K1073" i="1"/>
  <c r="O1073" i="1"/>
  <c r="K1069" i="1"/>
  <c r="O1069" i="1"/>
  <c r="K1061" i="1"/>
  <c r="O1061" i="1"/>
  <c r="K1053" i="1"/>
  <c r="O1053" i="1"/>
  <c r="K871" i="1"/>
  <c r="O871" i="1"/>
  <c r="K863" i="1"/>
  <c r="O863" i="1"/>
  <c r="K839" i="1"/>
  <c r="O839" i="1"/>
  <c r="K422" i="1"/>
  <c r="O422" i="1"/>
  <c r="K418" i="1"/>
  <c r="O418" i="1"/>
  <c r="K415" i="1"/>
  <c r="O415" i="1"/>
  <c r="K411" i="1"/>
  <c r="O411" i="1"/>
  <c r="K408" i="1"/>
  <c r="O408" i="1"/>
  <c r="K404" i="1"/>
  <c r="O404" i="1"/>
  <c r="K400" i="1"/>
  <c r="O400" i="1"/>
  <c r="K396" i="1"/>
  <c r="O396" i="1"/>
  <c r="K392" i="1"/>
  <c r="O392" i="1"/>
  <c r="K388" i="1"/>
  <c r="O388" i="1"/>
  <c r="K384" i="1"/>
  <c r="O384" i="1"/>
  <c r="K378" i="1"/>
  <c r="O378" i="1"/>
  <c r="K374" i="1"/>
  <c r="O374" i="1"/>
  <c r="K370" i="1"/>
  <c r="O370" i="1"/>
  <c r="K366" i="1"/>
  <c r="O366" i="1"/>
  <c r="K716" i="1"/>
  <c r="O716" i="1"/>
  <c r="K358" i="1"/>
  <c r="O358" i="1"/>
  <c r="K354" i="1"/>
  <c r="O354" i="1"/>
  <c r="K350" i="1"/>
  <c r="O350" i="1"/>
  <c r="K699" i="1"/>
  <c r="O699" i="1"/>
  <c r="K343" i="1"/>
  <c r="O343" i="1"/>
  <c r="K338" i="1"/>
  <c r="O338" i="1"/>
  <c r="K335" i="1"/>
  <c r="O335" i="1"/>
  <c r="K331" i="1"/>
  <c r="O331" i="1"/>
  <c r="K327" i="1"/>
  <c r="O327" i="1"/>
  <c r="K323" i="1"/>
  <c r="O323" i="1"/>
  <c r="K318" i="1"/>
  <c r="O318" i="1"/>
  <c r="K314" i="1"/>
  <c r="O314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8" i="1"/>
  <c r="L554" i="1"/>
  <c r="L552" i="1"/>
  <c r="L549" i="1"/>
  <c r="L545" i="1"/>
  <c r="L541" i="1"/>
  <c r="L537" i="1"/>
  <c r="L533" i="1"/>
  <c r="L529" i="1"/>
  <c r="L525" i="1"/>
  <c r="L521" i="1"/>
  <c r="L517" i="1"/>
  <c r="L507" i="1"/>
  <c r="L503" i="1"/>
  <c r="L499" i="1"/>
  <c r="L495" i="1"/>
  <c r="L492" i="1"/>
  <c r="L486" i="1"/>
  <c r="L483" i="1"/>
  <c r="L478" i="1"/>
  <c r="L31" i="1"/>
  <c r="L470" i="1"/>
  <c r="L466" i="1"/>
  <c r="L439" i="1"/>
  <c r="L380" i="1"/>
  <c r="L457" i="1"/>
  <c r="L453" i="1"/>
  <c r="L446" i="1"/>
  <c r="L442" i="1"/>
  <c r="L437" i="1"/>
  <c r="L433" i="1"/>
  <c r="L430" i="1"/>
  <c r="L426" i="1"/>
  <c r="L422" i="1"/>
  <c r="L418" i="1"/>
  <c r="L415" i="1"/>
  <c r="L411" i="1"/>
  <c r="L408" i="1"/>
  <c r="L404" i="1"/>
  <c r="L400" i="1"/>
  <c r="L396" i="1"/>
  <c r="L392" i="1"/>
  <c r="L388" i="1"/>
  <c r="L384" i="1"/>
  <c r="L378" i="1"/>
  <c r="L374" i="1"/>
  <c r="L370" i="1"/>
  <c r="L366" i="1"/>
  <c r="L716" i="1"/>
  <c r="L358" i="1"/>
  <c r="L354" i="1"/>
  <c r="L350" i="1"/>
  <c r="L699" i="1"/>
  <c r="L343" i="1"/>
  <c r="L338" i="1"/>
  <c r="L335" i="1"/>
  <c r="L331" i="1"/>
  <c r="L327" i="1"/>
  <c r="L323" i="1"/>
  <c r="L318" i="1"/>
  <c r="L314" i="1"/>
  <c r="K310" i="1"/>
  <c r="K294" i="1"/>
  <c r="K277" i="1"/>
  <c r="K262" i="1"/>
  <c r="K248" i="1"/>
  <c r="K231" i="1"/>
  <c r="K214" i="1"/>
  <c r="K198" i="1"/>
  <c r="K166" i="1"/>
  <c r="K149" i="1"/>
  <c r="K130" i="1"/>
  <c r="K101" i="1"/>
  <c r="K67" i="1"/>
  <c r="L36" i="1"/>
  <c r="O1120" i="1"/>
  <c r="O1118" i="1"/>
  <c r="O1116" i="1"/>
  <c r="O1114" i="1"/>
  <c r="O1112" i="1"/>
  <c r="O1110" i="1"/>
  <c r="O1108" i="1"/>
  <c r="O1106" i="1"/>
  <c r="O1104" i="1"/>
  <c r="O1102" i="1"/>
  <c r="O1100" i="1"/>
  <c r="O1098" i="1"/>
  <c r="O1096" i="1"/>
  <c r="O1094" i="1"/>
  <c r="O1092" i="1"/>
  <c r="O1090" i="1"/>
  <c r="O1088" i="1"/>
  <c r="O1086" i="1"/>
  <c r="O1084" i="1"/>
  <c r="O1082" i="1"/>
  <c r="O1080" i="1"/>
  <c r="O1078" i="1"/>
  <c r="O1076" i="1"/>
  <c r="O1074" i="1"/>
  <c r="O1072" i="1"/>
  <c r="O1070" i="1"/>
  <c r="O1068" i="1"/>
  <c r="O1066" i="1"/>
  <c r="O1064" i="1"/>
  <c r="O1062" i="1"/>
  <c r="O1060" i="1"/>
  <c r="O1058" i="1"/>
  <c r="O1056" i="1"/>
  <c r="O1054" i="1"/>
  <c r="O1052" i="1"/>
  <c r="O1050" i="1"/>
  <c r="O1048" i="1"/>
  <c r="O1046" i="1"/>
  <c r="O1044" i="1"/>
  <c r="O1042" i="1"/>
  <c r="O1040" i="1"/>
  <c r="O1038" i="1"/>
  <c r="O1036" i="1"/>
  <c r="O1034" i="1"/>
  <c r="O1032" i="1"/>
  <c r="O1030" i="1"/>
  <c r="O1028" i="1"/>
  <c r="O1026" i="1"/>
  <c r="O1024" i="1"/>
  <c r="O1022" i="1"/>
  <c r="O1020" i="1"/>
  <c r="O1018" i="1"/>
  <c r="O1016" i="1"/>
  <c r="O1014" i="1"/>
  <c r="O1012" i="1"/>
  <c r="O1010" i="1"/>
  <c r="O1008" i="1"/>
  <c r="O1006" i="1"/>
  <c r="O1004" i="1"/>
  <c r="O1002" i="1"/>
  <c r="O1000" i="1"/>
  <c r="O998" i="1"/>
  <c r="O996" i="1"/>
  <c r="O994" i="1"/>
  <c r="O992" i="1"/>
  <c r="O990" i="1"/>
  <c r="O988" i="1"/>
  <c r="O986" i="1"/>
  <c r="O984" i="1"/>
  <c r="O982" i="1"/>
  <c r="O980" i="1"/>
  <c r="O978" i="1"/>
  <c r="O976" i="1"/>
  <c r="O974" i="1"/>
  <c r="O972" i="1"/>
  <c r="O970" i="1"/>
  <c r="O968" i="1"/>
  <c r="O966" i="1"/>
  <c r="O964" i="1"/>
  <c r="O962" i="1"/>
  <c r="O960" i="1"/>
  <c r="O958" i="1"/>
  <c r="O956" i="1"/>
  <c r="O954" i="1"/>
  <c r="O952" i="1"/>
  <c r="O950" i="1"/>
  <c r="O948" i="1"/>
  <c r="O946" i="1"/>
  <c r="O944" i="1"/>
  <c r="O942" i="1"/>
  <c r="O940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60" i="1"/>
  <c r="O556" i="1"/>
  <c r="O512" i="1"/>
  <c r="O550" i="1"/>
  <c r="O547" i="1"/>
  <c r="O543" i="1"/>
  <c r="O539" i="1"/>
  <c r="O535" i="1"/>
  <c r="O531" i="1"/>
  <c r="O527" i="1"/>
  <c r="O523" i="1"/>
  <c r="O519" i="1"/>
  <c r="O514" i="1"/>
  <c r="O468" i="1"/>
  <c r="O501" i="1"/>
  <c r="O497" i="1"/>
  <c r="O459" i="1"/>
  <c r="O490" i="1"/>
  <c r="O475" i="1"/>
  <c r="O480" i="1"/>
  <c r="O32" i="1"/>
  <c r="O473" i="1"/>
  <c r="O20" i="1"/>
  <c r="O464" i="1"/>
  <c r="O461" i="1"/>
  <c r="O458" i="1"/>
  <c r="O455" i="1"/>
  <c r="O451" i="1"/>
  <c r="O448" i="1"/>
  <c r="O444" i="1"/>
  <c r="O440" i="1"/>
  <c r="O435" i="1"/>
  <c r="O432" i="1"/>
  <c r="O428" i="1"/>
  <c r="O424" i="1"/>
  <c r="O177" i="1"/>
  <c r="O409" i="1"/>
  <c r="O402" i="1"/>
  <c r="O394" i="1"/>
  <c r="O386" i="1"/>
  <c r="O376" i="1"/>
  <c r="O368" i="1"/>
  <c r="O360" i="1"/>
  <c r="O352" i="1"/>
  <c r="O345" i="1"/>
  <c r="O337" i="1"/>
  <c r="O329" i="1"/>
  <c r="O321" i="1"/>
  <c r="O312" i="1"/>
  <c r="J1121" i="1"/>
  <c r="L1121" i="1"/>
  <c r="J1117" i="1"/>
  <c r="L1117" i="1"/>
  <c r="J1113" i="1"/>
  <c r="L1113" i="1"/>
  <c r="J1111" i="1"/>
  <c r="L1111" i="1"/>
  <c r="J1107" i="1"/>
  <c r="L1107" i="1"/>
  <c r="J1103" i="1"/>
  <c r="L1103" i="1"/>
  <c r="J1099" i="1"/>
  <c r="L1099" i="1"/>
  <c r="J1095" i="1"/>
  <c r="L1095" i="1"/>
  <c r="J1091" i="1"/>
  <c r="L1091" i="1"/>
  <c r="J1087" i="1"/>
  <c r="L1087" i="1"/>
  <c r="J1083" i="1"/>
  <c r="L1083" i="1"/>
  <c r="J1079" i="1"/>
  <c r="L1079" i="1"/>
  <c r="J1075" i="1"/>
  <c r="L1075" i="1"/>
  <c r="J1071" i="1"/>
  <c r="L1071" i="1"/>
  <c r="J1067" i="1"/>
  <c r="L1067" i="1"/>
  <c r="J1063" i="1"/>
  <c r="L1063" i="1"/>
  <c r="J1059" i="1"/>
  <c r="L1059" i="1"/>
  <c r="J1055" i="1"/>
  <c r="L1055" i="1"/>
  <c r="J1051" i="1"/>
  <c r="L1051" i="1"/>
  <c r="J1049" i="1"/>
  <c r="L1049" i="1"/>
  <c r="J1045" i="1"/>
  <c r="L1045" i="1"/>
  <c r="J1041" i="1"/>
  <c r="L1041" i="1"/>
  <c r="J1037" i="1"/>
  <c r="L1037" i="1"/>
  <c r="J1033" i="1"/>
  <c r="L1033" i="1"/>
  <c r="J1029" i="1"/>
  <c r="L1029" i="1"/>
  <c r="J1025" i="1"/>
  <c r="L1025" i="1"/>
  <c r="J1021" i="1"/>
  <c r="L1021" i="1"/>
  <c r="J1017" i="1"/>
  <c r="L1017" i="1"/>
  <c r="J1013" i="1"/>
  <c r="L1013" i="1"/>
  <c r="J1009" i="1"/>
  <c r="L1009" i="1"/>
  <c r="J1005" i="1"/>
  <c r="L1005" i="1"/>
  <c r="J1001" i="1"/>
  <c r="L1001" i="1"/>
  <c r="J997" i="1"/>
  <c r="L997" i="1"/>
  <c r="J993" i="1"/>
  <c r="L993" i="1"/>
  <c r="J989" i="1"/>
  <c r="L989" i="1"/>
  <c r="J985" i="1"/>
  <c r="L985" i="1"/>
  <c r="J981" i="1"/>
  <c r="L981" i="1"/>
  <c r="J977" i="1"/>
  <c r="L977" i="1"/>
  <c r="J973" i="1"/>
  <c r="L973" i="1"/>
  <c r="J969" i="1"/>
  <c r="L969" i="1"/>
  <c r="J965" i="1"/>
  <c r="L965" i="1"/>
  <c r="J961" i="1"/>
  <c r="L961" i="1"/>
  <c r="J957" i="1"/>
  <c r="L957" i="1"/>
  <c r="J953" i="1"/>
  <c r="L953" i="1"/>
  <c r="J949" i="1"/>
  <c r="L949" i="1"/>
  <c r="J945" i="1"/>
  <c r="L945" i="1"/>
  <c r="J941" i="1"/>
  <c r="L941" i="1"/>
  <c r="J937" i="1"/>
  <c r="L937" i="1"/>
  <c r="J933" i="1"/>
  <c r="L933" i="1"/>
  <c r="J929" i="1"/>
  <c r="L929" i="1"/>
  <c r="J925" i="1"/>
  <c r="L925" i="1"/>
  <c r="J921" i="1"/>
  <c r="L921" i="1"/>
  <c r="J917" i="1"/>
  <c r="L917" i="1"/>
  <c r="J913" i="1"/>
  <c r="L913" i="1"/>
  <c r="J909" i="1"/>
  <c r="L909" i="1"/>
  <c r="J905" i="1"/>
  <c r="L905" i="1"/>
  <c r="J901" i="1"/>
  <c r="L901" i="1"/>
  <c r="J897" i="1"/>
  <c r="L897" i="1"/>
  <c r="J893" i="1"/>
  <c r="L893" i="1"/>
  <c r="J889" i="1"/>
  <c r="L889" i="1"/>
  <c r="J885" i="1"/>
  <c r="L885" i="1"/>
  <c r="J881" i="1"/>
  <c r="L881" i="1"/>
  <c r="K881" i="1"/>
  <c r="J877" i="1"/>
  <c r="L877" i="1"/>
  <c r="K877" i="1"/>
  <c r="J873" i="1"/>
  <c r="L873" i="1"/>
  <c r="K873" i="1"/>
  <c r="J869" i="1"/>
  <c r="L869" i="1"/>
  <c r="K869" i="1"/>
  <c r="J865" i="1"/>
  <c r="L865" i="1"/>
  <c r="K865" i="1"/>
  <c r="J861" i="1"/>
  <c r="L861" i="1"/>
  <c r="K861" i="1"/>
  <c r="J857" i="1"/>
  <c r="L857" i="1"/>
  <c r="K857" i="1"/>
  <c r="J855" i="1"/>
  <c r="L855" i="1"/>
  <c r="J849" i="1"/>
  <c r="L849" i="1"/>
  <c r="K849" i="1"/>
  <c r="J845" i="1"/>
  <c r="L845" i="1"/>
  <c r="K845" i="1"/>
  <c r="J841" i="1"/>
  <c r="L841" i="1"/>
  <c r="K841" i="1"/>
  <c r="J836" i="1"/>
  <c r="L836" i="1"/>
  <c r="J830" i="1"/>
  <c r="L830" i="1"/>
  <c r="K830" i="1"/>
  <c r="J818" i="1"/>
  <c r="L818" i="1"/>
  <c r="K818" i="1"/>
  <c r="J812" i="1"/>
  <c r="L812" i="1"/>
  <c r="K812" i="1"/>
  <c r="J808" i="1"/>
  <c r="L808" i="1"/>
  <c r="K808" i="1"/>
  <c r="J804" i="1"/>
  <c r="L804" i="1"/>
  <c r="K804" i="1"/>
  <c r="J800" i="1"/>
  <c r="L800" i="1"/>
  <c r="K800" i="1"/>
  <c r="J795" i="1"/>
  <c r="L795" i="1"/>
  <c r="K795" i="1"/>
  <c r="J793" i="1"/>
  <c r="L793" i="1"/>
  <c r="K793" i="1"/>
  <c r="J828" i="1"/>
  <c r="L828" i="1"/>
  <c r="K828" i="1"/>
  <c r="J825" i="1"/>
  <c r="L825" i="1"/>
  <c r="K825" i="1"/>
  <c r="J821" i="1"/>
  <c r="L821" i="1"/>
  <c r="K821" i="1"/>
  <c r="J782" i="1"/>
  <c r="L782" i="1"/>
  <c r="K782" i="1"/>
  <c r="J778" i="1"/>
  <c r="L778" i="1"/>
  <c r="K778" i="1"/>
  <c r="J774" i="1"/>
  <c r="L774" i="1"/>
  <c r="K774" i="1"/>
  <c r="J770" i="1"/>
  <c r="L770" i="1"/>
  <c r="K770" i="1"/>
  <c r="J766" i="1"/>
  <c r="L766" i="1"/>
  <c r="K766" i="1"/>
  <c r="J762" i="1"/>
  <c r="L762" i="1"/>
  <c r="K762" i="1"/>
  <c r="J758" i="1"/>
  <c r="L758" i="1"/>
  <c r="K758" i="1"/>
  <c r="J754" i="1"/>
  <c r="L754" i="1"/>
  <c r="K754" i="1"/>
  <c r="J750" i="1"/>
  <c r="L750" i="1"/>
  <c r="K750" i="1"/>
  <c r="J746" i="1"/>
  <c r="L746" i="1"/>
  <c r="K746" i="1"/>
  <c r="J742" i="1"/>
  <c r="L742" i="1"/>
  <c r="K742" i="1"/>
  <c r="J738" i="1"/>
  <c r="L738" i="1"/>
  <c r="K738" i="1"/>
  <c r="J734" i="1"/>
  <c r="L734" i="1"/>
  <c r="K734" i="1"/>
  <c r="J730" i="1"/>
  <c r="L730" i="1"/>
  <c r="K730" i="1"/>
  <c r="J726" i="1"/>
  <c r="L726" i="1"/>
  <c r="K726" i="1"/>
  <c r="J722" i="1"/>
  <c r="L722" i="1"/>
  <c r="K722" i="1"/>
  <c r="J718" i="1"/>
  <c r="L718" i="1"/>
  <c r="K718" i="1"/>
  <c r="J713" i="1"/>
  <c r="L713" i="1"/>
  <c r="K713" i="1"/>
  <c r="J708" i="1"/>
  <c r="L708" i="1"/>
  <c r="K708" i="1"/>
  <c r="J704" i="1"/>
  <c r="L704" i="1"/>
  <c r="K704" i="1"/>
  <c r="J509" i="1"/>
  <c r="L509" i="1"/>
  <c r="K509" i="1"/>
  <c r="J688" i="1"/>
  <c r="L688" i="1"/>
  <c r="K688" i="1"/>
  <c r="K882" i="1"/>
  <c r="L882" i="1"/>
  <c r="K880" i="1"/>
  <c r="J880" i="1"/>
  <c r="K878" i="1"/>
  <c r="L878" i="1"/>
  <c r="K876" i="1"/>
  <c r="J876" i="1"/>
  <c r="K874" i="1"/>
  <c r="L874" i="1"/>
  <c r="K872" i="1"/>
  <c r="J872" i="1"/>
  <c r="K870" i="1"/>
  <c r="L870" i="1"/>
  <c r="K868" i="1"/>
  <c r="J868" i="1"/>
  <c r="K866" i="1"/>
  <c r="L866" i="1"/>
  <c r="K864" i="1"/>
  <c r="J864" i="1"/>
  <c r="K862" i="1"/>
  <c r="L862" i="1"/>
  <c r="K860" i="1"/>
  <c r="J860" i="1"/>
  <c r="K858" i="1"/>
  <c r="L858" i="1"/>
  <c r="K856" i="1"/>
  <c r="J856" i="1"/>
  <c r="K854" i="1"/>
  <c r="L854" i="1"/>
  <c r="K852" i="1"/>
  <c r="J852" i="1"/>
  <c r="K850" i="1"/>
  <c r="L850" i="1"/>
  <c r="K848" i="1"/>
  <c r="J848" i="1"/>
  <c r="K846" i="1"/>
  <c r="L846" i="1"/>
  <c r="K844" i="1"/>
  <c r="J844" i="1"/>
  <c r="K842" i="1"/>
  <c r="L842" i="1"/>
  <c r="K840" i="1"/>
  <c r="J840" i="1"/>
  <c r="K838" i="1"/>
  <c r="L838" i="1"/>
  <c r="K837" i="1"/>
  <c r="J837" i="1"/>
  <c r="K835" i="1"/>
  <c r="L835" i="1"/>
  <c r="K833" i="1"/>
  <c r="J833" i="1"/>
  <c r="K831" i="1"/>
  <c r="L831" i="1"/>
  <c r="J831" i="1"/>
  <c r="K829" i="1"/>
  <c r="J829" i="1"/>
  <c r="L829" i="1"/>
  <c r="K819" i="1"/>
  <c r="L819" i="1"/>
  <c r="J819" i="1"/>
  <c r="K816" i="1"/>
  <c r="J816" i="1"/>
  <c r="L816" i="1"/>
  <c r="K813" i="1"/>
  <c r="L813" i="1"/>
  <c r="J813" i="1"/>
  <c r="K811" i="1"/>
  <c r="J811" i="1"/>
  <c r="L811" i="1"/>
  <c r="K809" i="1"/>
  <c r="L809" i="1"/>
  <c r="J809" i="1"/>
  <c r="K807" i="1"/>
  <c r="J807" i="1"/>
  <c r="L807" i="1"/>
  <c r="K805" i="1"/>
  <c r="L805" i="1"/>
  <c r="J805" i="1"/>
  <c r="K803" i="1"/>
  <c r="J803" i="1"/>
  <c r="L803" i="1"/>
  <c r="K801" i="1"/>
  <c r="L801" i="1"/>
  <c r="J801" i="1"/>
  <c r="K799" i="1"/>
  <c r="J799" i="1"/>
  <c r="L799" i="1"/>
  <c r="K796" i="1"/>
  <c r="L796" i="1"/>
  <c r="J796" i="1"/>
  <c r="K794" i="1"/>
  <c r="J794" i="1"/>
  <c r="L794" i="1"/>
  <c r="K792" i="1"/>
  <c r="L792" i="1"/>
  <c r="J792" i="1"/>
  <c r="K790" i="1"/>
  <c r="J790" i="1"/>
  <c r="L790" i="1"/>
  <c r="K827" i="1"/>
  <c r="L827" i="1"/>
  <c r="J827" i="1"/>
  <c r="K826" i="1"/>
  <c r="J826" i="1"/>
  <c r="L826" i="1"/>
  <c r="K824" i="1"/>
  <c r="L824" i="1"/>
  <c r="J824" i="1"/>
  <c r="K822" i="1"/>
  <c r="J822" i="1"/>
  <c r="L822" i="1"/>
  <c r="K788" i="1"/>
  <c r="L788" i="1"/>
  <c r="J788" i="1"/>
  <c r="K815" i="1"/>
  <c r="J815" i="1"/>
  <c r="L815" i="1"/>
  <c r="K785" i="1"/>
  <c r="L785" i="1"/>
  <c r="J785" i="1"/>
  <c r="K783" i="1"/>
  <c r="J783" i="1"/>
  <c r="L783" i="1"/>
  <c r="K781" i="1"/>
  <c r="L781" i="1"/>
  <c r="J781" i="1"/>
  <c r="K779" i="1"/>
  <c r="J779" i="1"/>
  <c r="L779" i="1"/>
  <c r="K777" i="1"/>
  <c r="L777" i="1"/>
  <c r="J777" i="1"/>
  <c r="K775" i="1"/>
  <c r="J775" i="1"/>
  <c r="L775" i="1"/>
  <c r="K773" i="1"/>
  <c r="L773" i="1"/>
  <c r="J773" i="1"/>
  <c r="K771" i="1"/>
  <c r="J771" i="1"/>
  <c r="L771" i="1"/>
  <c r="K769" i="1"/>
  <c r="L769" i="1"/>
  <c r="J769" i="1"/>
  <c r="K767" i="1"/>
  <c r="J767" i="1"/>
  <c r="L767" i="1"/>
  <c r="K765" i="1"/>
  <c r="L765" i="1"/>
  <c r="J765" i="1"/>
  <c r="K763" i="1"/>
  <c r="J763" i="1"/>
  <c r="L763" i="1"/>
  <c r="K761" i="1"/>
  <c r="L761" i="1"/>
  <c r="J761" i="1"/>
  <c r="K759" i="1"/>
  <c r="J759" i="1"/>
  <c r="L759" i="1"/>
  <c r="K757" i="1"/>
  <c r="L757" i="1"/>
  <c r="J757" i="1"/>
  <c r="K755" i="1"/>
  <c r="J755" i="1"/>
  <c r="L755" i="1"/>
  <c r="K753" i="1"/>
  <c r="L753" i="1"/>
  <c r="J753" i="1"/>
  <c r="K751" i="1"/>
  <c r="J751" i="1"/>
  <c r="L751" i="1"/>
  <c r="K749" i="1"/>
  <c r="L749" i="1"/>
  <c r="J749" i="1"/>
  <c r="K747" i="1"/>
  <c r="J747" i="1"/>
  <c r="L747" i="1"/>
  <c r="K745" i="1"/>
  <c r="L745" i="1"/>
  <c r="J745" i="1"/>
  <c r="K743" i="1"/>
  <c r="J743" i="1"/>
  <c r="L743" i="1"/>
  <c r="K741" i="1"/>
  <c r="L741" i="1"/>
  <c r="J741" i="1"/>
  <c r="K739" i="1"/>
  <c r="J739" i="1"/>
  <c r="L739" i="1"/>
  <c r="K737" i="1"/>
  <c r="L737" i="1"/>
  <c r="J737" i="1"/>
  <c r="K735" i="1"/>
  <c r="J735" i="1"/>
  <c r="L735" i="1"/>
  <c r="K733" i="1"/>
  <c r="L733" i="1"/>
  <c r="J733" i="1"/>
  <c r="K731" i="1"/>
  <c r="J731" i="1"/>
  <c r="L731" i="1"/>
  <c r="K729" i="1"/>
  <c r="L729" i="1"/>
  <c r="J729" i="1"/>
  <c r="K727" i="1"/>
  <c r="J727" i="1"/>
  <c r="L727" i="1"/>
  <c r="K725" i="1"/>
  <c r="L725" i="1"/>
  <c r="J725" i="1"/>
  <c r="K723" i="1"/>
  <c r="J723" i="1"/>
  <c r="L723" i="1"/>
  <c r="K721" i="1"/>
  <c r="L721" i="1"/>
  <c r="J721" i="1"/>
  <c r="K719" i="1"/>
  <c r="J719" i="1"/>
  <c r="L719" i="1"/>
  <c r="K717" i="1"/>
  <c r="L717" i="1"/>
  <c r="J717" i="1"/>
  <c r="K714" i="1"/>
  <c r="J714" i="1"/>
  <c r="L714" i="1"/>
  <c r="K712" i="1"/>
  <c r="L712" i="1"/>
  <c r="J712" i="1"/>
  <c r="K710" i="1"/>
  <c r="J710" i="1"/>
  <c r="L710" i="1"/>
  <c r="K707" i="1"/>
  <c r="L707" i="1"/>
  <c r="J707" i="1"/>
  <c r="K705" i="1"/>
  <c r="J705" i="1"/>
  <c r="L705" i="1"/>
  <c r="K703" i="1"/>
  <c r="L703" i="1"/>
  <c r="J703" i="1"/>
  <c r="K701" i="1"/>
  <c r="J701" i="1"/>
  <c r="L701" i="1"/>
  <c r="K700" i="1"/>
  <c r="L700" i="1"/>
  <c r="J700" i="1"/>
  <c r="K698" i="1"/>
  <c r="J698" i="1"/>
  <c r="L698" i="1"/>
  <c r="K696" i="1"/>
  <c r="L696" i="1"/>
  <c r="J696" i="1"/>
  <c r="K695" i="1"/>
  <c r="J695" i="1"/>
  <c r="L695" i="1"/>
  <c r="K693" i="1"/>
  <c r="L693" i="1"/>
  <c r="J693" i="1"/>
  <c r="K690" i="1"/>
  <c r="J690" i="1"/>
  <c r="L690" i="1"/>
  <c r="K687" i="1"/>
  <c r="L687" i="1"/>
  <c r="J687" i="1"/>
  <c r="K685" i="1"/>
  <c r="J685" i="1"/>
  <c r="L685" i="1"/>
  <c r="K683" i="1"/>
  <c r="L683" i="1"/>
  <c r="J683" i="1"/>
  <c r="K681" i="1"/>
  <c r="J681" i="1"/>
  <c r="L681" i="1"/>
  <c r="K679" i="1"/>
  <c r="L679" i="1"/>
  <c r="J679" i="1"/>
  <c r="K677" i="1"/>
  <c r="J677" i="1"/>
  <c r="L677" i="1"/>
  <c r="K674" i="1"/>
  <c r="L674" i="1"/>
  <c r="J674" i="1"/>
  <c r="K671" i="1"/>
  <c r="J671" i="1"/>
  <c r="L671" i="1"/>
  <c r="K488" i="1"/>
  <c r="L488" i="1"/>
  <c r="J488" i="1"/>
  <c r="K669" i="1"/>
  <c r="J669" i="1"/>
  <c r="L669" i="1"/>
  <c r="K667" i="1"/>
  <c r="L667" i="1"/>
  <c r="J667" i="1"/>
  <c r="K665" i="1"/>
  <c r="J665" i="1"/>
  <c r="L665" i="1"/>
  <c r="K663" i="1"/>
  <c r="L663" i="1"/>
  <c r="J663" i="1"/>
  <c r="K661" i="1"/>
  <c r="J661" i="1"/>
  <c r="L661" i="1"/>
  <c r="K659" i="1"/>
  <c r="L659" i="1"/>
  <c r="J659" i="1"/>
  <c r="K657" i="1"/>
  <c r="J657" i="1"/>
  <c r="L657" i="1"/>
  <c r="K655" i="1"/>
  <c r="L655" i="1"/>
  <c r="J655" i="1"/>
  <c r="K653" i="1"/>
  <c r="J653" i="1"/>
  <c r="L653" i="1"/>
  <c r="K651" i="1"/>
  <c r="L651" i="1"/>
  <c r="J651" i="1"/>
  <c r="K649" i="1"/>
  <c r="J649" i="1"/>
  <c r="L649" i="1"/>
  <c r="K647" i="1"/>
  <c r="L647" i="1"/>
  <c r="J647" i="1"/>
  <c r="K645" i="1"/>
  <c r="J645" i="1"/>
  <c r="L645" i="1"/>
  <c r="K643" i="1"/>
  <c r="L643" i="1"/>
  <c r="J643" i="1"/>
  <c r="K641" i="1"/>
  <c r="J641" i="1"/>
  <c r="L641" i="1"/>
  <c r="K639" i="1"/>
  <c r="L639" i="1"/>
  <c r="J639" i="1"/>
  <c r="K637" i="1"/>
  <c r="J637" i="1"/>
  <c r="L637" i="1"/>
  <c r="K635" i="1"/>
  <c r="L635" i="1"/>
  <c r="J635" i="1"/>
  <c r="K633" i="1"/>
  <c r="J633" i="1"/>
  <c r="L633" i="1"/>
  <c r="K631" i="1"/>
  <c r="L631" i="1"/>
  <c r="J631" i="1"/>
  <c r="K629" i="1"/>
  <c r="J629" i="1"/>
  <c r="L629" i="1"/>
  <c r="K627" i="1"/>
  <c r="L627" i="1"/>
  <c r="J627" i="1"/>
  <c r="K625" i="1"/>
  <c r="J625" i="1"/>
  <c r="L625" i="1"/>
  <c r="K623" i="1"/>
  <c r="L623" i="1"/>
  <c r="J623" i="1"/>
  <c r="K621" i="1"/>
  <c r="J621" i="1"/>
  <c r="L621" i="1"/>
  <c r="K619" i="1"/>
  <c r="L619" i="1"/>
  <c r="J619" i="1"/>
  <c r="K617" i="1"/>
  <c r="J617" i="1"/>
  <c r="L617" i="1"/>
  <c r="K615" i="1"/>
  <c r="L615" i="1"/>
  <c r="J615" i="1"/>
  <c r="K1121" i="1"/>
  <c r="J1120" i="1"/>
  <c r="L1118" i="1"/>
  <c r="K1117" i="1"/>
  <c r="J1116" i="1"/>
  <c r="L1114" i="1"/>
  <c r="K1113" i="1"/>
  <c r="J1112" i="1"/>
  <c r="L1110" i="1"/>
  <c r="J1108" i="1"/>
  <c r="L1106" i="1"/>
  <c r="J1104" i="1"/>
  <c r="L1102" i="1"/>
  <c r="J1100" i="1"/>
  <c r="L1098" i="1"/>
  <c r="J1096" i="1"/>
  <c r="L1094" i="1"/>
  <c r="J1092" i="1"/>
  <c r="L1090" i="1"/>
  <c r="J1088" i="1"/>
  <c r="L1086" i="1"/>
  <c r="J1084" i="1"/>
  <c r="L1082" i="1"/>
  <c r="J1080" i="1"/>
  <c r="L1078" i="1"/>
  <c r="J1076" i="1"/>
  <c r="L1074" i="1"/>
  <c r="J1072" i="1"/>
  <c r="L1070" i="1"/>
  <c r="J1068" i="1"/>
  <c r="L1066" i="1"/>
  <c r="J1064" i="1"/>
  <c r="L1062" i="1"/>
  <c r="J1060" i="1"/>
  <c r="L1058" i="1"/>
  <c r="J1056" i="1"/>
  <c r="L1054" i="1"/>
  <c r="J1052" i="1"/>
  <c r="L1050" i="1"/>
  <c r="K1049" i="1"/>
  <c r="J1048" i="1"/>
  <c r="L1046" i="1"/>
  <c r="K1045" i="1"/>
  <c r="J1044" i="1"/>
  <c r="L1042" i="1"/>
  <c r="K1041" i="1"/>
  <c r="J1040" i="1"/>
  <c r="L1038" i="1"/>
  <c r="K1037" i="1"/>
  <c r="J1036" i="1"/>
  <c r="L1034" i="1"/>
  <c r="K1033" i="1"/>
  <c r="J1032" i="1"/>
  <c r="L1030" i="1"/>
  <c r="K1029" i="1"/>
  <c r="J1028" i="1"/>
  <c r="L1026" i="1"/>
  <c r="K1025" i="1"/>
  <c r="J1024" i="1"/>
  <c r="L1022" i="1"/>
  <c r="K1021" i="1"/>
  <c r="J1020" i="1"/>
  <c r="L1018" i="1"/>
  <c r="K1017" i="1"/>
  <c r="J1016" i="1"/>
  <c r="L1014" i="1"/>
  <c r="K1013" i="1"/>
  <c r="J1012" i="1"/>
  <c r="L1010" i="1"/>
  <c r="K1009" i="1"/>
  <c r="J1008" i="1"/>
  <c r="L1006" i="1"/>
  <c r="K1005" i="1"/>
  <c r="J1004" i="1"/>
  <c r="L1002" i="1"/>
  <c r="K1001" i="1"/>
  <c r="J1000" i="1"/>
  <c r="L998" i="1"/>
  <c r="K997" i="1"/>
  <c r="J996" i="1"/>
  <c r="L994" i="1"/>
  <c r="K993" i="1"/>
  <c r="J992" i="1"/>
  <c r="L990" i="1"/>
  <c r="K989" i="1"/>
  <c r="J988" i="1"/>
  <c r="L986" i="1"/>
  <c r="K985" i="1"/>
  <c r="J984" i="1"/>
  <c r="L982" i="1"/>
  <c r="K981" i="1"/>
  <c r="J980" i="1"/>
  <c r="L978" i="1"/>
  <c r="K977" i="1"/>
  <c r="J976" i="1"/>
  <c r="L974" i="1"/>
  <c r="K973" i="1"/>
  <c r="J972" i="1"/>
  <c r="L970" i="1"/>
  <c r="K969" i="1"/>
  <c r="J968" i="1"/>
  <c r="L966" i="1"/>
  <c r="K965" i="1"/>
  <c r="J964" i="1"/>
  <c r="L962" i="1"/>
  <c r="K961" i="1"/>
  <c r="J960" i="1"/>
  <c r="L958" i="1"/>
  <c r="K957" i="1"/>
  <c r="J956" i="1"/>
  <c r="L954" i="1"/>
  <c r="K953" i="1"/>
  <c r="J952" i="1"/>
  <c r="L950" i="1"/>
  <c r="K949" i="1"/>
  <c r="J948" i="1"/>
  <c r="L946" i="1"/>
  <c r="K945" i="1"/>
  <c r="J944" i="1"/>
  <c r="L942" i="1"/>
  <c r="K941" i="1"/>
  <c r="J940" i="1"/>
  <c r="L938" i="1"/>
  <c r="K937" i="1"/>
  <c r="J936" i="1"/>
  <c r="L934" i="1"/>
  <c r="K933" i="1"/>
  <c r="J932" i="1"/>
  <c r="L930" i="1"/>
  <c r="K929" i="1"/>
  <c r="J928" i="1"/>
  <c r="L926" i="1"/>
  <c r="K925" i="1"/>
  <c r="J924" i="1"/>
  <c r="L922" i="1"/>
  <c r="K921" i="1"/>
  <c r="J920" i="1"/>
  <c r="L918" i="1"/>
  <c r="K917" i="1"/>
  <c r="J916" i="1"/>
  <c r="L914" i="1"/>
  <c r="K913" i="1"/>
  <c r="J912" i="1"/>
  <c r="L910" i="1"/>
  <c r="K909" i="1"/>
  <c r="J908" i="1"/>
  <c r="L906" i="1"/>
  <c r="K905" i="1"/>
  <c r="J904" i="1"/>
  <c r="L902" i="1"/>
  <c r="K901" i="1"/>
  <c r="J900" i="1"/>
  <c r="L898" i="1"/>
  <c r="K897" i="1"/>
  <c r="J896" i="1"/>
  <c r="L894" i="1"/>
  <c r="K893" i="1"/>
  <c r="J892" i="1"/>
  <c r="L890" i="1"/>
  <c r="K889" i="1"/>
  <c r="J888" i="1"/>
  <c r="L886" i="1"/>
  <c r="K885" i="1"/>
  <c r="J884" i="1"/>
  <c r="J882" i="1"/>
  <c r="L876" i="1"/>
  <c r="J874" i="1"/>
  <c r="L868" i="1"/>
  <c r="J866" i="1"/>
  <c r="L860" i="1"/>
  <c r="J858" i="1"/>
  <c r="K855" i="1"/>
  <c r="L852" i="1"/>
  <c r="J850" i="1"/>
  <c r="L844" i="1"/>
  <c r="J842" i="1"/>
  <c r="L837" i="1"/>
  <c r="J835" i="1"/>
  <c r="J1119" i="1"/>
  <c r="L1119" i="1"/>
  <c r="J1115" i="1"/>
  <c r="L1115" i="1"/>
  <c r="J1109" i="1"/>
  <c r="L1109" i="1"/>
  <c r="J1105" i="1"/>
  <c r="L1105" i="1"/>
  <c r="J1101" i="1"/>
  <c r="L1101" i="1"/>
  <c r="J1097" i="1"/>
  <c r="L1097" i="1"/>
  <c r="J1093" i="1"/>
  <c r="L1093" i="1"/>
  <c r="J1089" i="1"/>
  <c r="L1089" i="1"/>
  <c r="J1085" i="1"/>
  <c r="L1085" i="1"/>
  <c r="J1081" i="1"/>
  <c r="L1081" i="1"/>
  <c r="J1077" i="1"/>
  <c r="L1077" i="1"/>
  <c r="J1073" i="1"/>
  <c r="L1073" i="1"/>
  <c r="J1069" i="1"/>
  <c r="L1069" i="1"/>
  <c r="J1065" i="1"/>
  <c r="L1065" i="1"/>
  <c r="J1061" i="1"/>
  <c r="L1061" i="1"/>
  <c r="J1057" i="1"/>
  <c r="L1057" i="1"/>
  <c r="J1053" i="1"/>
  <c r="L1053" i="1"/>
  <c r="J1047" i="1"/>
  <c r="L1047" i="1"/>
  <c r="J1043" i="1"/>
  <c r="L1043" i="1"/>
  <c r="J1039" i="1"/>
  <c r="L1039" i="1"/>
  <c r="J1035" i="1"/>
  <c r="L1035" i="1"/>
  <c r="J1031" i="1"/>
  <c r="L1031" i="1"/>
  <c r="J1027" i="1"/>
  <c r="L1027" i="1"/>
  <c r="J1023" i="1"/>
  <c r="L1023" i="1"/>
  <c r="J1019" i="1"/>
  <c r="L1019" i="1"/>
  <c r="J1015" i="1"/>
  <c r="L1015" i="1"/>
  <c r="J1011" i="1"/>
  <c r="L1011" i="1"/>
  <c r="J1007" i="1"/>
  <c r="L1007" i="1"/>
  <c r="J1003" i="1"/>
  <c r="L1003" i="1"/>
  <c r="J999" i="1"/>
  <c r="L999" i="1"/>
  <c r="J995" i="1"/>
  <c r="L995" i="1"/>
  <c r="J991" i="1"/>
  <c r="L991" i="1"/>
  <c r="J987" i="1"/>
  <c r="L987" i="1"/>
  <c r="J983" i="1"/>
  <c r="L983" i="1"/>
  <c r="J979" i="1"/>
  <c r="L979" i="1"/>
  <c r="J975" i="1"/>
  <c r="L975" i="1"/>
  <c r="J971" i="1"/>
  <c r="L971" i="1"/>
  <c r="J967" i="1"/>
  <c r="L967" i="1"/>
  <c r="J963" i="1"/>
  <c r="L963" i="1"/>
  <c r="J959" i="1"/>
  <c r="L959" i="1"/>
  <c r="J955" i="1"/>
  <c r="L955" i="1"/>
  <c r="J951" i="1"/>
  <c r="L951" i="1"/>
  <c r="J947" i="1"/>
  <c r="L947" i="1"/>
  <c r="J943" i="1"/>
  <c r="L943" i="1"/>
  <c r="J939" i="1"/>
  <c r="L939" i="1"/>
  <c r="J935" i="1"/>
  <c r="L935" i="1"/>
  <c r="J931" i="1"/>
  <c r="L931" i="1"/>
  <c r="J927" i="1"/>
  <c r="L927" i="1"/>
  <c r="J923" i="1"/>
  <c r="L923" i="1"/>
  <c r="J919" i="1"/>
  <c r="L919" i="1"/>
  <c r="J915" i="1"/>
  <c r="L915" i="1"/>
  <c r="J911" i="1"/>
  <c r="L911" i="1"/>
  <c r="J907" i="1"/>
  <c r="L907" i="1"/>
  <c r="J903" i="1"/>
  <c r="L903" i="1"/>
  <c r="J899" i="1"/>
  <c r="L899" i="1"/>
  <c r="J895" i="1"/>
  <c r="L895" i="1"/>
  <c r="J891" i="1"/>
  <c r="L891" i="1"/>
  <c r="J887" i="1"/>
  <c r="L887" i="1"/>
  <c r="J883" i="1"/>
  <c r="L883" i="1"/>
  <c r="J879" i="1"/>
  <c r="L879" i="1"/>
  <c r="J875" i="1"/>
  <c r="L875" i="1"/>
  <c r="J871" i="1"/>
  <c r="L871" i="1"/>
  <c r="J867" i="1"/>
  <c r="L867" i="1"/>
  <c r="J863" i="1"/>
  <c r="L863" i="1"/>
  <c r="J859" i="1"/>
  <c r="L859" i="1"/>
  <c r="J853" i="1"/>
  <c r="L853" i="1"/>
  <c r="K853" i="1"/>
  <c r="J851" i="1"/>
  <c r="L851" i="1"/>
  <c r="J847" i="1"/>
  <c r="L847" i="1"/>
  <c r="J843" i="1"/>
  <c r="L843" i="1"/>
  <c r="J839" i="1"/>
  <c r="L839" i="1"/>
  <c r="J834" i="1"/>
  <c r="L834" i="1"/>
  <c r="K834" i="1"/>
  <c r="J832" i="1"/>
  <c r="L832" i="1"/>
  <c r="K832" i="1"/>
  <c r="J820" i="1"/>
  <c r="L820" i="1"/>
  <c r="K820" i="1"/>
  <c r="J814" i="1"/>
  <c r="L814" i="1"/>
  <c r="K814" i="1"/>
  <c r="J810" i="1"/>
  <c r="L810" i="1"/>
  <c r="K810" i="1"/>
  <c r="J806" i="1"/>
  <c r="L806" i="1"/>
  <c r="K806" i="1"/>
  <c r="J802" i="1"/>
  <c r="L802" i="1"/>
  <c r="K802" i="1"/>
  <c r="J798" i="1"/>
  <c r="L798" i="1"/>
  <c r="K798" i="1"/>
  <c r="J791" i="1"/>
  <c r="L791" i="1"/>
  <c r="K791" i="1"/>
  <c r="J789" i="1"/>
  <c r="L789" i="1"/>
  <c r="K789" i="1"/>
  <c r="J823" i="1"/>
  <c r="L823" i="1"/>
  <c r="K823" i="1"/>
  <c r="J817" i="1"/>
  <c r="L817" i="1"/>
  <c r="K817" i="1"/>
  <c r="J784" i="1"/>
  <c r="L784" i="1"/>
  <c r="K784" i="1"/>
  <c r="J780" i="1"/>
  <c r="L780" i="1"/>
  <c r="K780" i="1"/>
  <c r="J776" i="1"/>
  <c r="L776" i="1"/>
  <c r="K776" i="1"/>
  <c r="J772" i="1"/>
  <c r="L772" i="1"/>
  <c r="K772" i="1"/>
  <c r="J768" i="1"/>
  <c r="L768" i="1"/>
  <c r="K768" i="1"/>
  <c r="J764" i="1"/>
  <c r="L764" i="1"/>
  <c r="K764" i="1"/>
  <c r="J760" i="1"/>
  <c r="L760" i="1"/>
  <c r="K760" i="1"/>
  <c r="J756" i="1"/>
  <c r="L756" i="1"/>
  <c r="K756" i="1"/>
  <c r="J752" i="1"/>
  <c r="L752" i="1"/>
  <c r="K752" i="1"/>
  <c r="J748" i="1"/>
  <c r="L748" i="1"/>
  <c r="K748" i="1"/>
  <c r="J744" i="1"/>
  <c r="L744" i="1"/>
  <c r="K744" i="1"/>
  <c r="J740" i="1"/>
  <c r="L740" i="1"/>
  <c r="K740" i="1"/>
  <c r="J736" i="1"/>
  <c r="L736" i="1"/>
  <c r="K736" i="1"/>
  <c r="J732" i="1"/>
  <c r="L732" i="1"/>
  <c r="K732" i="1"/>
  <c r="J728" i="1"/>
  <c r="L728" i="1"/>
  <c r="K728" i="1"/>
  <c r="J724" i="1"/>
  <c r="L724" i="1"/>
  <c r="K724" i="1"/>
  <c r="J720" i="1"/>
  <c r="L720" i="1"/>
  <c r="K720" i="1"/>
  <c r="J715" i="1"/>
  <c r="L715" i="1"/>
  <c r="K715" i="1"/>
  <c r="J711" i="1"/>
  <c r="L711" i="1"/>
  <c r="K711" i="1"/>
  <c r="J706" i="1"/>
  <c r="L706" i="1"/>
  <c r="K706" i="1"/>
  <c r="J702" i="1"/>
  <c r="L702" i="1"/>
  <c r="K702" i="1"/>
  <c r="J508" i="1"/>
  <c r="L508" i="1"/>
  <c r="K508" i="1"/>
  <c r="J697" i="1"/>
  <c r="L697" i="1"/>
  <c r="K697" i="1"/>
  <c r="J505" i="1"/>
  <c r="L505" i="1"/>
  <c r="K505" i="1"/>
  <c r="J694" i="1"/>
  <c r="L694" i="1"/>
  <c r="K694" i="1"/>
  <c r="J692" i="1"/>
  <c r="L692" i="1"/>
  <c r="K692" i="1"/>
  <c r="J686" i="1"/>
  <c r="L686" i="1"/>
  <c r="K686" i="1"/>
  <c r="J684" i="1"/>
  <c r="L684" i="1"/>
  <c r="K684" i="1"/>
  <c r="J682" i="1"/>
  <c r="L682" i="1"/>
  <c r="K682" i="1"/>
  <c r="J680" i="1"/>
  <c r="L680" i="1"/>
  <c r="K680" i="1"/>
  <c r="J678" i="1"/>
  <c r="L678" i="1"/>
  <c r="K678" i="1"/>
  <c r="J676" i="1"/>
  <c r="L676" i="1"/>
  <c r="K676" i="1"/>
  <c r="J673" i="1"/>
  <c r="L673" i="1"/>
  <c r="K673" i="1"/>
  <c r="J670" i="1"/>
  <c r="L670" i="1"/>
  <c r="K670" i="1"/>
  <c r="J487" i="1"/>
  <c r="L487" i="1"/>
  <c r="K487" i="1"/>
  <c r="J668" i="1"/>
  <c r="L668" i="1"/>
  <c r="K668" i="1"/>
  <c r="J666" i="1"/>
  <c r="L666" i="1"/>
  <c r="K666" i="1"/>
  <c r="J664" i="1"/>
  <c r="L664" i="1"/>
  <c r="K664" i="1"/>
  <c r="J662" i="1"/>
  <c r="L662" i="1"/>
  <c r="K662" i="1"/>
  <c r="J660" i="1"/>
  <c r="L660" i="1"/>
  <c r="K660" i="1"/>
  <c r="J658" i="1"/>
  <c r="L658" i="1"/>
  <c r="K658" i="1"/>
  <c r="J656" i="1"/>
  <c r="L656" i="1"/>
  <c r="K656" i="1"/>
  <c r="J654" i="1"/>
  <c r="L654" i="1"/>
  <c r="K654" i="1"/>
  <c r="J652" i="1"/>
  <c r="L652" i="1"/>
  <c r="K652" i="1"/>
  <c r="J650" i="1"/>
  <c r="L650" i="1"/>
  <c r="K650" i="1"/>
  <c r="J648" i="1"/>
  <c r="L648" i="1"/>
  <c r="K648" i="1"/>
  <c r="J646" i="1"/>
  <c r="L646" i="1"/>
  <c r="K646" i="1"/>
  <c r="J644" i="1"/>
  <c r="L644" i="1"/>
  <c r="K644" i="1"/>
  <c r="J642" i="1"/>
  <c r="L642" i="1"/>
  <c r="K642" i="1"/>
  <c r="J640" i="1"/>
  <c r="L640" i="1"/>
  <c r="K640" i="1"/>
  <c r="J638" i="1"/>
  <c r="L638" i="1"/>
  <c r="K638" i="1"/>
  <c r="J636" i="1"/>
  <c r="L636" i="1"/>
  <c r="K636" i="1"/>
  <c r="J634" i="1"/>
  <c r="L634" i="1"/>
  <c r="K634" i="1"/>
  <c r="J632" i="1"/>
  <c r="L632" i="1"/>
  <c r="K632" i="1"/>
  <c r="J630" i="1"/>
  <c r="L630" i="1"/>
  <c r="K630" i="1"/>
  <c r="J628" i="1"/>
  <c r="L628" i="1"/>
  <c r="K628" i="1"/>
  <c r="J626" i="1"/>
  <c r="L626" i="1"/>
  <c r="K626" i="1"/>
  <c r="J624" i="1"/>
  <c r="L624" i="1"/>
  <c r="K624" i="1"/>
  <c r="J622" i="1"/>
  <c r="L622" i="1"/>
  <c r="K622" i="1"/>
  <c r="J620" i="1"/>
  <c r="L620" i="1"/>
  <c r="K620" i="1"/>
  <c r="J618" i="1"/>
  <c r="L618" i="1"/>
  <c r="K618" i="1"/>
  <c r="J616" i="1"/>
  <c r="L616" i="1"/>
  <c r="K616" i="1"/>
  <c r="J614" i="1"/>
  <c r="L614" i="1"/>
  <c r="K614" i="1"/>
  <c r="J612" i="1"/>
  <c r="L612" i="1"/>
  <c r="K612" i="1"/>
  <c r="J610" i="1"/>
  <c r="L610" i="1"/>
  <c r="K610" i="1"/>
  <c r="J608" i="1"/>
  <c r="L608" i="1"/>
  <c r="K608" i="1"/>
  <c r="J606" i="1"/>
  <c r="L606" i="1"/>
  <c r="K606" i="1"/>
  <c r="J604" i="1"/>
  <c r="L604" i="1"/>
  <c r="K604" i="1"/>
  <c r="J602" i="1"/>
  <c r="L602" i="1"/>
  <c r="K602" i="1"/>
  <c r="J600" i="1"/>
  <c r="L600" i="1"/>
  <c r="K600" i="1"/>
  <c r="J598" i="1"/>
  <c r="L598" i="1"/>
  <c r="K598" i="1"/>
  <c r="J596" i="1"/>
  <c r="L596" i="1"/>
  <c r="K596" i="1"/>
  <c r="J594" i="1"/>
  <c r="L594" i="1"/>
  <c r="K594" i="1"/>
  <c r="J592" i="1"/>
  <c r="L592" i="1"/>
  <c r="K592" i="1"/>
  <c r="J590" i="1"/>
  <c r="L590" i="1"/>
  <c r="K590" i="1"/>
  <c r="J588" i="1"/>
  <c r="L588" i="1"/>
  <c r="K588" i="1"/>
  <c r="J586" i="1"/>
  <c r="L586" i="1"/>
  <c r="K586" i="1"/>
  <c r="J584" i="1"/>
  <c r="L584" i="1"/>
  <c r="K584" i="1"/>
  <c r="J582" i="1"/>
  <c r="L582" i="1"/>
  <c r="K582" i="1"/>
  <c r="J580" i="1"/>
  <c r="L580" i="1"/>
  <c r="K580" i="1"/>
  <c r="J578" i="1"/>
  <c r="L578" i="1"/>
  <c r="K578" i="1"/>
  <c r="J576" i="1"/>
  <c r="L576" i="1"/>
  <c r="K576" i="1"/>
  <c r="J574" i="1"/>
  <c r="L574" i="1"/>
  <c r="K574" i="1"/>
  <c r="J572" i="1"/>
  <c r="L572" i="1"/>
  <c r="K572" i="1"/>
  <c r="J570" i="1"/>
  <c r="L570" i="1"/>
  <c r="K570" i="1"/>
  <c r="J568" i="1"/>
  <c r="L568" i="1"/>
  <c r="K568" i="1"/>
  <c r="J566" i="1"/>
  <c r="L566" i="1"/>
  <c r="K566" i="1"/>
  <c r="J564" i="1"/>
  <c r="L564" i="1"/>
  <c r="K564" i="1"/>
  <c r="J562" i="1"/>
  <c r="L562" i="1"/>
  <c r="K562" i="1"/>
  <c r="J515" i="1"/>
  <c r="L515" i="1"/>
  <c r="K515" i="1"/>
  <c r="J559" i="1"/>
  <c r="L559" i="1"/>
  <c r="K559" i="1"/>
  <c r="J557" i="1"/>
  <c r="L557" i="1"/>
  <c r="K557" i="1"/>
  <c r="J555" i="1"/>
  <c r="L555" i="1"/>
  <c r="K555" i="1"/>
  <c r="J513" i="1"/>
  <c r="L513" i="1"/>
  <c r="K513" i="1"/>
  <c r="J553" i="1"/>
  <c r="L553" i="1"/>
  <c r="K553" i="1"/>
  <c r="J551" i="1"/>
  <c r="L551" i="1"/>
  <c r="K551" i="1"/>
  <c r="J511" i="1"/>
  <c r="L511" i="1"/>
  <c r="K511" i="1"/>
  <c r="J548" i="1"/>
  <c r="L548" i="1"/>
  <c r="K548" i="1"/>
  <c r="J546" i="1"/>
  <c r="L546" i="1"/>
  <c r="K546" i="1"/>
  <c r="J544" i="1"/>
  <c r="L544" i="1"/>
  <c r="K544" i="1"/>
  <c r="J542" i="1"/>
  <c r="L542" i="1"/>
  <c r="K542" i="1"/>
  <c r="J540" i="1"/>
  <c r="L540" i="1"/>
  <c r="K540" i="1"/>
  <c r="J538" i="1"/>
  <c r="L538" i="1"/>
  <c r="K538" i="1"/>
  <c r="J536" i="1"/>
  <c r="L536" i="1"/>
  <c r="K536" i="1"/>
  <c r="J534" i="1"/>
  <c r="L534" i="1"/>
  <c r="K534" i="1"/>
  <c r="J532" i="1"/>
  <c r="L532" i="1"/>
  <c r="K532" i="1"/>
  <c r="J530" i="1"/>
  <c r="L530" i="1"/>
  <c r="K530" i="1"/>
  <c r="J528" i="1"/>
  <c r="L528" i="1"/>
  <c r="K528" i="1"/>
  <c r="J526" i="1"/>
  <c r="L526" i="1"/>
  <c r="K526" i="1"/>
  <c r="J524" i="1"/>
  <c r="L524" i="1"/>
  <c r="K524" i="1"/>
  <c r="J522" i="1"/>
  <c r="L522" i="1"/>
  <c r="K522" i="1"/>
  <c r="J520" i="1"/>
  <c r="L520" i="1"/>
  <c r="K520" i="1"/>
  <c r="J518" i="1"/>
  <c r="L518" i="1"/>
  <c r="K518" i="1"/>
  <c r="J516" i="1"/>
  <c r="L516" i="1"/>
  <c r="K516" i="1"/>
  <c r="J510" i="1"/>
  <c r="L510" i="1"/>
  <c r="K510" i="1"/>
  <c r="J506" i="1"/>
  <c r="L506" i="1"/>
  <c r="K506" i="1"/>
  <c r="J504" i="1"/>
  <c r="L504" i="1"/>
  <c r="K504" i="1"/>
  <c r="J502" i="1"/>
  <c r="L502" i="1"/>
  <c r="K502" i="1"/>
  <c r="J500" i="1"/>
  <c r="L500" i="1"/>
  <c r="K500" i="1"/>
  <c r="J498" i="1"/>
  <c r="L498" i="1"/>
  <c r="K498" i="1"/>
  <c r="J496" i="1"/>
  <c r="L496" i="1"/>
  <c r="K496" i="1"/>
  <c r="J494" i="1"/>
  <c r="L494" i="1"/>
  <c r="K494" i="1"/>
  <c r="J493" i="1"/>
  <c r="L493" i="1"/>
  <c r="K493" i="1"/>
  <c r="J491" i="1"/>
  <c r="L491" i="1"/>
  <c r="K491" i="1"/>
  <c r="J489" i="1"/>
  <c r="L489" i="1"/>
  <c r="K489" i="1"/>
  <c r="J484" i="1"/>
  <c r="L484" i="1"/>
  <c r="K484" i="1"/>
  <c r="J471" i="1"/>
  <c r="L471" i="1"/>
  <c r="K471" i="1"/>
  <c r="J482" i="1"/>
  <c r="L482" i="1"/>
  <c r="K482" i="1"/>
  <c r="J479" i="1"/>
  <c r="L479" i="1"/>
  <c r="K479" i="1"/>
  <c r="J477" i="1"/>
  <c r="L477" i="1"/>
  <c r="K477" i="1"/>
  <c r="J476" i="1"/>
  <c r="L476" i="1"/>
  <c r="K476" i="1"/>
  <c r="J474" i="1"/>
  <c r="L474" i="1"/>
  <c r="K474" i="1"/>
  <c r="J472" i="1"/>
  <c r="L472" i="1"/>
  <c r="K472" i="1"/>
  <c r="J469" i="1"/>
  <c r="L469" i="1"/>
  <c r="K469" i="1"/>
  <c r="J467" i="1"/>
  <c r="L467" i="1"/>
  <c r="K467" i="1"/>
  <c r="J465" i="1"/>
  <c r="L465" i="1"/>
  <c r="K465" i="1"/>
  <c r="J463" i="1"/>
  <c r="L463" i="1"/>
  <c r="K463" i="1"/>
  <c r="J462" i="1"/>
  <c r="L462" i="1"/>
  <c r="K462" i="1"/>
  <c r="J460" i="1"/>
  <c r="L460" i="1"/>
  <c r="K460" i="1"/>
  <c r="J379" i="1"/>
  <c r="L379" i="1"/>
  <c r="K379" i="1"/>
  <c r="J93" i="1"/>
  <c r="L93" i="1"/>
  <c r="K93" i="1"/>
  <c r="J456" i="1"/>
  <c r="L456" i="1"/>
  <c r="K456" i="1"/>
  <c r="J454" i="1"/>
  <c r="L454" i="1"/>
  <c r="K454" i="1"/>
  <c r="J452" i="1"/>
  <c r="L452" i="1"/>
  <c r="K452" i="1"/>
  <c r="J450" i="1"/>
  <c r="L450" i="1"/>
  <c r="K450" i="1"/>
  <c r="J449" i="1"/>
  <c r="L449" i="1"/>
  <c r="K449" i="1"/>
  <c r="J447" i="1"/>
  <c r="L447" i="1"/>
  <c r="K447" i="1"/>
  <c r="J445" i="1"/>
  <c r="L445" i="1"/>
  <c r="K445" i="1"/>
  <c r="J443" i="1"/>
  <c r="L443" i="1"/>
  <c r="K443" i="1"/>
  <c r="J441" i="1"/>
  <c r="L441" i="1"/>
  <c r="K441" i="1"/>
  <c r="J438" i="1"/>
  <c r="L438" i="1"/>
  <c r="K438" i="1"/>
  <c r="J436" i="1"/>
  <c r="L436" i="1"/>
  <c r="K436" i="1"/>
  <c r="J434" i="1"/>
  <c r="L434" i="1"/>
  <c r="K434" i="1"/>
  <c r="J186" i="1"/>
  <c r="L186" i="1"/>
  <c r="K186" i="1"/>
  <c r="J431" i="1"/>
  <c r="L431" i="1"/>
  <c r="K431" i="1"/>
  <c r="J429" i="1"/>
  <c r="L429" i="1"/>
  <c r="K429" i="1"/>
  <c r="J427" i="1"/>
  <c r="L427" i="1"/>
  <c r="K427" i="1"/>
  <c r="J425" i="1"/>
  <c r="L425" i="1"/>
  <c r="K425" i="1"/>
  <c r="J423" i="1"/>
  <c r="L423" i="1"/>
  <c r="K423" i="1"/>
  <c r="J421" i="1"/>
  <c r="L421" i="1"/>
  <c r="K421" i="1"/>
  <c r="J419" i="1"/>
  <c r="L419" i="1"/>
  <c r="K419" i="1"/>
  <c r="J417" i="1"/>
  <c r="L417" i="1"/>
  <c r="K417" i="1"/>
  <c r="J416" i="1"/>
  <c r="L416" i="1"/>
  <c r="K416" i="1"/>
  <c r="J414" i="1"/>
  <c r="L414" i="1"/>
  <c r="K414" i="1"/>
  <c r="J412" i="1"/>
  <c r="L412" i="1"/>
  <c r="K412" i="1"/>
  <c r="J410" i="1"/>
  <c r="L410" i="1"/>
  <c r="K410" i="1"/>
  <c r="J212" i="1"/>
  <c r="L212" i="1"/>
  <c r="K212" i="1"/>
  <c r="J407" i="1"/>
  <c r="L407" i="1"/>
  <c r="K407" i="1"/>
  <c r="J405" i="1"/>
  <c r="L405" i="1"/>
  <c r="K405" i="1"/>
  <c r="J403" i="1"/>
  <c r="L403" i="1"/>
  <c r="K403" i="1"/>
  <c r="J401" i="1"/>
  <c r="L401" i="1"/>
  <c r="K401" i="1"/>
  <c r="J399" i="1"/>
  <c r="L399" i="1"/>
  <c r="K399" i="1"/>
  <c r="J397" i="1"/>
  <c r="L397" i="1"/>
  <c r="K397" i="1"/>
  <c r="J395" i="1"/>
  <c r="L395" i="1"/>
  <c r="K395" i="1"/>
  <c r="J393" i="1"/>
  <c r="L393" i="1"/>
  <c r="K393" i="1"/>
  <c r="J391" i="1"/>
  <c r="L391" i="1"/>
  <c r="K391" i="1"/>
  <c r="J389" i="1"/>
  <c r="L389" i="1"/>
  <c r="K389" i="1"/>
  <c r="J387" i="1"/>
  <c r="L387" i="1"/>
  <c r="K387" i="1"/>
  <c r="J385" i="1"/>
  <c r="L385" i="1"/>
  <c r="K385" i="1"/>
  <c r="J383" i="1"/>
  <c r="L383" i="1"/>
  <c r="K383" i="1"/>
  <c r="J381" i="1"/>
  <c r="L381" i="1"/>
  <c r="K381" i="1"/>
  <c r="J377" i="1"/>
  <c r="L377" i="1"/>
  <c r="K377" i="1"/>
  <c r="J375" i="1"/>
  <c r="L375" i="1"/>
  <c r="K375" i="1"/>
  <c r="J373" i="1"/>
  <c r="L373" i="1"/>
  <c r="K373" i="1"/>
  <c r="J371" i="1"/>
  <c r="L371" i="1"/>
  <c r="K371" i="1"/>
  <c r="J369" i="1"/>
  <c r="L369" i="1"/>
  <c r="K369" i="1"/>
  <c r="J367" i="1"/>
  <c r="L367" i="1"/>
  <c r="K367" i="1"/>
  <c r="J365" i="1"/>
  <c r="L365" i="1"/>
  <c r="K365" i="1"/>
  <c r="J362" i="1"/>
  <c r="L362" i="1"/>
  <c r="K362" i="1"/>
  <c r="J361" i="1"/>
  <c r="L361" i="1"/>
  <c r="K361" i="1"/>
  <c r="J359" i="1"/>
  <c r="L359" i="1"/>
  <c r="K359" i="1"/>
  <c r="J357" i="1"/>
  <c r="L357" i="1"/>
  <c r="K357" i="1"/>
  <c r="J355" i="1"/>
  <c r="L355" i="1"/>
  <c r="K355" i="1"/>
  <c r="J353" i="1"/>
  <c r="L353" i="1"/>
  <c r="K353" i="1"/>
  <c r="J351" i="1"/>
  <c r="L351" i="1"/>
  <c r="K351" i="1"/>
  <c r="J349" i="1"/>
  <c r="L349" i="1"/>
  <c r="K349" i="1"/>
  <c r="J347" i="1"/>
  <c r="L347" i="1"/>
  <c r="K347" i="1"/>
  <c r="J346" i="1"/>
  <c r="L346" i="1"/>
  <c r="K346" i="1"/>
  <c r="J344" i="1"/>
  <c r="L344" i="1"/>
  <c r="K344" i="1"/>
  <c r="J342" i="1"/>
  <c r="L342" i="1"/>
  <c r="K342" i="1"/>
  <c r="J339" i="1"/>
  <c r="L339" i="1"/>
  <c r="K339" i="1"/>
  <c r="J689" i="1"/>
  <c r="L689" i="1"/>
  <c r="K689" i="1"/>
  <c r="J336" i="1"/>
  <c r="L336" i="1"/>
  <c r="K336" i="1"/>
  <c r="J334" i="1"/>
  <c r="L334" i="1"/>
  <c r="K334" i="1"/>
  <c r="J332" i="1"/>
  <c r="L332" i="1"/>
  <c r="K332" i="1"/>
  <c r="J330" i="1"/>
  <c r="L330" i="1"/>
  <c r="K330" i="1"/>
  <c r="J328" i="1"/>
  <c r="L328" i="1"/>
  <c r="K328" i="1"/>
  <c r="J326" i="1"/>
  <c r="L326" i="1"/>
  <c r="K326" i="1"/>
  <c r="J324" i="1"/>
  <c r="L324" i="1"/>
  <c r="K324" i="1"/>
  <c r="J322" i="1"/>
  <c r="L322" i="1"/>
  <c r="K322" i="1"/>
  <c r="J320" i="1"/>
  <c r="L320" i="1"/>
  <c r="K320" i="1"/>
  <c r="J317" i="1"/>
  <c r="L317" i="1"/>
  <c r="K317" i="1"/>
  <c r="J315" i="1"/>
  <c r="L315" i="1"/>
  <c r="K315" i="1"/>
  <c r="J313" i="1"/>
  <c r="L313" i="1"/>
  <c r="K313" i="1"/>
  <c r="J311" i="1"/>
  <c r="L311" i="1"/>
  <c r="K311" i="1"/>
  <c r="K309" i="1"/>
  <c r="L309" i="1"/>
  <c r="J309" i="1"/>
  <c r="K307" i="1"/>
  <c r="J307" i="1"/>
  <c r="L307" i="1"/>
  <c r="K305" i="1"/>
  <c r="L305" i="1"/>
  <c r="J305" i="1"/>
  <c r="K303" i="1"/>
  <c r="J303" i="1"/>
  <c r="L303" i="1"/>
  <c r="K301" i="1"/>
  <c r="L301" i="1"/>
  <c r="J301" i="1"/>
  <c r="K299" i="1"/>
  <c r="J299" i="1"/>
  <c r="L299" i="1"/>
  <c r="K297" i="1"/>
  <c r="L297" i="1"/>
  <c r="J297" i="1"/>
  <c r="K295" i="1"/>
  <c r="J295" i="1"/>
  <c r="L295" i="1"/>
  <c r="K293" i="1"/>
  <c r="L293" i="1"/>
  <c r="J293" i="1"/>
  <c r="K291" i="1"/>
  <c r="J291" i="1"/>
  <c r="L291" i="1"/>
  <c r="K288" i="1"/>
  <c r="L288" i="1"/>
  <c r="J288" i="1"/>
  <c r="K286" i="1"/>
  <c r="J286" i="1"/>
  <c r="L286" i="1"/>
  <c r="K284" i="1"/>
  <c r="L284" i="1"/>
  <c r="J284" i="1"/>
  <c r="K282" i="1"/>
  <c r="J282" i="1"/>
  <c r="L282" i="1"/>
  <c r="K280" i="1"/>
  <c r="L280" i="1"/>
  <c r="J280" i="1"/>
  <c r="K278" i="1"/>
  <c r="J278" i="1"/>
  <c r="L278" i="1"/>
  <c r="K276" i="1"/>
  <c r="L276" i="1"/>
  <c r="J276" i="1"/>
  <c r="K274" i="1"/>
  <c r="J274" i="1"/>
  <c r="L274" i="1"/>
  <c r="K272" i="1"/>
  <c r="L272" i="1"/>
  <c r="J272" i="1"/>
  <c r="K271" i="1"/>
  <c r="J271" i="1"/>
  <c r="L271" i="1"/>
  <c r="K269" i="1"/>
  <c r="L269" i="1"/>
  <c r="J269" i="1"/>
  <c r="K267" i="1"/>
  <c r="J267" i="1"/>
  <c r="L267" i="1"/>
  <c r="K265" i="1"/>
  <c r="L265" i="1"/>
  <c r="J265" i="1"/>
  <c r="K263" i="1"/>
  <c r="J263" i="1"/>
  <c r="L263" i="1"/>
  <c r="K261" i="1"/>
  <c r="L261" i="1"/>
  <c r="J261" i="1"/>
  <c r="K259" i="1"/>
  <c r="J259" i="1"/>
  <c r="L259" i="1"/>
  <c r="K258" i="1"/>
  <c r="L258" i="1"/>
  <c r="J258" i="1"/>
  <c r="K255" i="1"/>
  <c r="J255" i="1"/>
  <c r="L255" i="1"/>
  <c r="K253" i="1"/>
  <c r="L253" i="1"/>
  <c r="J253" i="1"/>
  <c r="K251" i="1"/>
  <c r="J251" i="1"/>
  <c r="L251" i="1"/>
  <c r="K250" i="1"/>
  <c r="L250" i="1"/>
  <c r="J250" i="1"/>
  <c r="K249" i="1"/>
  <c r="J249" i="1"/>
  <c r="L249" i="1"/>
  <c r="K247" i="1"/>
  <c r="L247" i="1"/>
  <c r="J247" i="1"/>
  <c r="K245" i="1"/>
  <c r="J245" i="1"/>
  <c r="L245" i="1"/>
  <c r="K243" i="1"/>
  <c r="L243" i="1"/>
  <c r="J243" i="1"/>
  <c r="K242" i="1"/>
  <c r="J242" i="1"/>
  <c r="L242" i="1"/>
  <c r="K239" i="1"/>
  <c r="L239" i="1"/>
  <c r="J239" i="1"/>
  <c r="K236" i="1"/>
  <c r="J236" i="1"/>
  <c r="L236" i="1"/>
  <c r="K234" i="1"/>
  <c r="L234" i="1"/>
  <c r="J234" i="1"/>
  <c r="K232" i="1"/>
  <c r="J232" i="1"/>
  <c r="L232" i="1"/>
  <c r="K230" i="1"/>
  <c r="L230" i="1"/>
  <c r="J230" i="1"/>
  <c r="K228" i="1"/>
  <c r="J228" i="1"/>
  <c r="L228" i="1"/>
  <c r="K226" i="1"/>
  <c r="L226" i="1"/>
  <c r="J226" i="1"/>
  <c r="K224" i="1"/>
  <c r="J224" i="1"/>
  <c r="L224" i="1"/>
  <c r="K222" i="1"/>
  <c r="L222" i="1"/>
  <c r="J222" i="1"/>
  <c r="K220" i="1"/>
  <c r="J220" i="1"/>
  <c r="L220" i="1"/>
  <c r="K217" i="1"/>
  <c r="L217" i="1"/>
  <c r="J217" i="1"/>
  <c r="K215" i="1"/>
  <c r="J215" i="1"/>
  <c r="L215" i="1"/>
  <c r="K213" i="1"/>
  <c r="L213" i="1"/>
  <c r="J213" i="1"/>
  <c r="K211" i="1"/>
  <c r="J211" i="1"/>
  <c r="L211" i="1"/>
  <c r="K209" i="1"/>
  <c r="L209" i="1"/>
  <c r="J209" i="1"/>
  <c r="K207" i="1"/>
  <c r="J207" i="1"/>
  <c r="L207" i="1"/>
  <c r="K204" i="1"/>
  <c r="L204" i="1"/>
  <c r="J204" i="1"/>
  <c r="K691" i="1"/>
  <c r="J691" i="1"/>
  <c r="L691" i="1"/>
  <c r="K201" i="1"/>
  <c r="L201" i="1"/>
  <c r="J201" i="1"/>
  <c r="K199" i="1"/>
  <c r="J199" i="1"/>
  <c r="L199" i="1"/>
  <c r="K197" i="1"/>
  <c r="L197" i="1"/>
  <c r="J197" i="1"/>
  <c r="K195" i="1"/>
  <c r="J195" i="1"/>
  <c r="L195" i="1"/>
  <c r="K193" i="1"/>
  <c r="L193" i="1"/>
  <c r="J193" i="1"/>
  <c r="K191" i="1"/>
  <c r="J191" i="1"/>
  <c r="L191" i="1"/>
  <c r="K189" i="1"/>
  <c r="L189" i="1"/>
  <c r="J189" i="1"/>
  <c r="K187" i="1"/>
  <c r="J187" i="1"/>
  <c r="L187" i="1"/>
  <c r="K184" i="1"/>
  <c r="L184" i="1"/>
  <c r="J184" i="1"/>
  <c r="K182" i="1"/>
  <c r="J182" i="1"/>
  <c r="L182" i="1"/>
  <c r="K181" i="1"/>
  <c r="L181" i="1"/>
  <c r="J181" i="1"/>
  <c r="K179" i="1"/>
  <c r="J179" i="1"/>
  <c r="L179" i="1"/>
  <c r="K675" i="1"/>
  <c r="L675" i="1"/>
  <c r="J675" i="1"/>
  <c r="K175" i="1"/>
  <c r="J175" i="1"/>
  <c r="L175" i="1"/>
  <c r="K173" i="1"/>
  <c r="L173" i="1"/>
  <c r="J173" i="1"/>
  <c r="K171" i="1"/>
  <c r="J171" i="1"/>
  <c r="L171" i="1"/>
  <c r="K169" i="1"/>
  <c r="L169" i="1"/>
  <c r="J169" i="1"/>
  <c r="K167" i="1"/>
  <c r="J167" i="1"/>
  <c r="L167" i="1"/>
  <c r="K165" i="1"/>
  <c r="L165" i="1"/>
  <c r="J165" i="1"/>
  <c r="K163" i="1"/>
  <c r="J163" i="1"/>
  <c r="L163" i="1"/>
  <c r="K160" i="1"/>
  <c r="L160" i="1"/>
  <c r="J160" i="1"/>
  <c r="K158" i="1"/>
  <c r="J158" i="1"/>
  <c r="L158" i="1"/>
  <c r="K156" i="1"/>
  <c r="L156" i="1"/>
  <c r="J156" i="1"/>
  <c r="K154" i="1"/>
  <c r="J154" i="1"/>
  <c r="L154" i="1"/>
  <c r="K152" i="1"/>
  <c r="L152" i="1"/>
  <c r="J152" i="1"/>
  <c r="K150" i="1"/>
  <c r="J150" i="1"/>
  <c r="L150" i="1"/>
  <c r="K148" i="1"/>
  <c r="L148" i="1"/>
  <c r="J148" i="1"/>
  <c r="K146" i="1"/>
  <c r="J146" i="1"/>
  <c r="L146" i="1"/>
  <c r="K145" i="1"/>
  <c r="L145" i="1"/>
  <c r="J145" i="1"/>
  <c r="K142" i="1"/>
  <c r="L142" i="1"/>
  <c r="J142" i="1"/>
  <c r="K237" i="1"/>
  <c r="L237" i="1"/>
  <c r="J237" i="1"/>
  <c r="K139" i="1"/>
  <c r="J139" i="1"/>
  <c r="L139" i="1"/>
  <c r="K137" i="1"/>
  <c r="L137" i="1"/>
  <c r="J137" i="1"/>
  <c r="K135" i="1"/>
  <c r="J135" i="1"/>
  <c r="L135" i="1"/>
  <c r="K133" i="1"/>
  <c r="L133" i="1"/>
  <c r="J133" i="1"/>
  <c r="K131" i="1"/>
  <c r="J131" i="1"/>
  <c r="L131" i="1"/>
  <c r="K129" i="1"/>
  <c r="L129" i="1"/>
  <c r="J129" i="1"/>
  <c r="K127" i="1"/>
  <c r="J127" i="1"/>
  <c r="L127" i="1"/>
  <c r="K125" i="1"/>
  <c r="L125" i="1"/>
  <c r="J125" i="1"/>
  <c r="K123" i="1"/>
  <c r="J123" i="1"/>
  <c r="L123" i="1"/>
  <c r="K121" i="1"/>
  <c r="L121" i="1"/>
  <c r="J121" i="1"/>
  <c r="K119" i="1"/>
  <c r="J119" i="1"/>
  <c r="L119" i="1"/>
  <c r="K117" i="1"/>
  <c r="L117" i="1"/>
  <c r="J117" i="1"/>
  <c r="K115" i="1"/>
  <c r="J115" i="1"/>
  <c r="L115" i="1"/>
  <c r="K113" i="1"/>
  <c r="L113" i="1"/>
  <c r="J113" i="1"/>
  <c r="K69" i="1"/>
  <c r="J69" i="1"/>
  <c r="L69" i="1"/>
  <c r="K111" i="1"/>
  <c r="L111" i="1"/>
  <c r="J111" i="1"/>
  <c r="K109" i="1"/>
  <c r="J109" i="1"/>
  <c r="L109" i="1"/>
  <c r="K107" i="1"/>
  <c r="L107" i="1"/>
  <c r="J107" i="1"/>
  <c r="K105" i="1"/>
  <c r="J105" i="1"/>
  <c r="L105" i="1"/>
  <c r="K104" i="1"/>
  <c r="L104" i="1"/>
  <c r="J104" i="1"/>
  <c r="K102" i="1"/>
  <c r="J102" i="1"/>
  <c r="L102" i="1"/>
  <c r="K100" i="1"/>
  <c r="L100" i="1"/>
  <c r="J100" i="1"/>
  <c r="K240" i="1"/>
  <c r="J240" i="1"/>
  <c r="L240" i="1"/>
  <c r="K97" i="1"/>
  <c r="L97" i="1"/>
  <c r="J97" i="1"/>
  <c r="K95" i="1"/>
  <c r="J95" i="1"/>
  <c r="L95" i="1"/>
  <c r="K92" i="1"/>
  <c r="L92" i="1"/>
  <c r="J92" i="1"/>
  <c r="K90" i="1"/>
  <c r="J90" i="1"/>
  <c r="L90" i="1"/>
  <c r="K88" i="1"/>
  <c r="L88" i="1"/>
  <c r="J88" i="1"/>
  <c r="K86" i="1"/>
  <c r="J86" i="1"/>
  <c r="L86" i="1"/>
  <c r="K84" i="1"/>
  <c r="L84" i="1"/>
  <c r="J84" i="1"/>
  <c r="K82" i="1"/>
  <c r="J82" i="1"/>
  <c r="L82" i="1"/>
  <c r="K80" i="1"/>
  <c r="L80" i="1"/>
  <c r="J80" i="1"/>
  <c r="K78" i="1"/>
  <c r="J78" i="1"/>
  <c r="L78" i="1"/>
  <c r="K76" i="1"/>
  <c r="L76" i="1"/>
  <c r="J76" i="1"/>
  <c r="K74" i="1"/>
  <c r="J74" i="1"/>
  <c r="L74" i="1"/>
  <c r="K72" i="1"/>
  <c r="L72" i="1"/>
  <c r="J72" i="1"/>
  <c r="K70" i="1"/>
  <c r="J70" i="1"/>
  <c r="L70" i="1"/>
  <c r="K66" i="1"/>
  <c r="L66" i="1"/>
  <c r="J66" i="1"/>
  <c r="K64" i="1"/>
  <c r="J64" i="1"/>
  <c r="L64" i="1"/>
  <c r="K62" i="1"/>
  <c r="L62" i="1"/>
  <c r="J62" i="1"/>
  <c r="K60" i="1"/>
  <c r="J60" i="1"/>
  <c r="L60" i="1"/>
  <c r="J58" i="1"/>
  <c r="K58" i="1"/>
  <c r="L58" i="1"/>
  <c r="J56" i="1"/>
  <c r="L56" i="1"/>
  <c r="K56" i="1"/>
  <c r="J54" i="1"/>
  <c r="L54" i="1"/>
  <c r="K54" i="1"/>
  <c r="J52" i="1"/>
  <c r="L52" i="1"/>
  <c r="K52" i="1"/>
  <c r="J50" i="1"/>
  <c r="L50" i="1"/>
  <c r="K50" i="1"/>
  <c r="J48" i="1"/>
  <c r="L48" i="1"/>
  <c r="K48" i="1"/>
  <c r="J46" i="1"/>
  <c r="L46" i="1"/>
  <c r="K46" i="1"/>
  <c r="J44" i="1"/>
  <c r="L44" i="1"/>
  <c r="K44" i="1"/>
  <c r="J42" i="1"/>
  <c r="L42" i="1"/>
  <c r="K42" i="1"/>
  <c r="J319" i="1"/>
  <c r="L319" i="1"/>
  <c r="K319" i="1"/>
  <c r="J40" i="1"/>
  <c r="L40" i="1"/>
  <c r="K40" i="1"/>
  <c r="J38" i="1"/>
  <c r="L38" i="1"/>
  <c r="K38" i="1"/>
  <c r="J37" i="1"/>
  <c r="L37" i="1"/>
  <c r="K37" i="1"/>
  <c r="J35" i="1"/>
  <c r="L35" i="1"/>
  <c r="K35" i="1"/>
  <c r="J33" i="1"/>
  <c r="L33" i="1"/>
  <c r="K33" i="1"/>
  <c r="J30" i="1"/>
  <c r="L30" i="1"/>
  <c r="K30" i="1"/>
  <c r="J28" i="1"/>
  <c r="L28" i="1"/>
  <c r="K28" i="1"/>
  <c r="J26" i="1"/>
  <c r="L26" i="1"/>
  <c r="K26" i="1"/>
  <c r="J24" i="1"/>
  <c r="L24" i="1"/>
  <c r="K24" i="1"/>
  <c r="J257" i="1"/>
  <c r="L257" i="1"/>
  <c r="K257" i="1"/>
  <c r="J21" i="1"/>
  <c r="L21" i="1"/>
  <c r="K21" i="1"/>
  <c r="J18" i="1"/>
  <c r="L18" i="1"/>
  <c r="K18" i="1"/>
  <c r="J16" i="1"/>
  <c r="L16" i="1"/>
  <c r="K16" i="1"/>
  <c r="J14" i="1"/>
  <c r="L14" i="1"/>
  <c r="K14" i="1"/>
  <c r="J12" i="1"/>
  <c r="L12" i="1"/>
  <c r="K12" i="1"/>
  <c r="J10" i="1"/>
  <c r="L10" i="1"/>
  <c r="K10" i="1"/>
  <c r="J8" i="1"/>
  <c r="L8" i="1"/>
  <c r="K8" i="1"/>
  <c r="J6" i="1"/>
  <c r="L6" i="1"/>
  <c r="K6" i="1"/>
  <c r="L1120" i="1"/>
  <c r="K1119" i="1"/>
  <c r="J1118" i="1"/>
  <c r="L1116" i="1"/>
  <c r="K1115" i="1"/>
  <c r="J1114" i="1"/>
  <c r="L1112" i="1"/>
  <c r="K1111" i="1"/>
  <c r="J1110" i="1"/>
  <c r="L1108" i="1"/>
  <c r="K1107" i="1"/>
  <c r="J1106" i="1"/>
  <c r="L1104" i="1"/>
  <c r="K1103" i="1"/>
  <c r="J1102" i="1"/>
  <c r="L1100" i="1"/>
  <c r="K1099" i="1"/>
  <c r="J1098" i="1"/>
  <c r="L1096" i="1"/>
  <c r="K1095" i="1"/>
  <c r="J1094" i="1"/>
  <c r="L1092" i="1"/>
  <c r="K1091" i="1"/>
  <c r="J1090" i="1"/>
  <c r="L1088" i="1"/>
  <c r="K1087" i="1"/>
  <c r="J1086" i="1"/>
  <c r="L1084" i="1"/>
  <c r="K1083" i="1"/>
  <c r="J1082" i="1"/>
  <c r="L1080" i="1"/>
  <c r="K1079" i="1"/>
  <c r="J1078" i="1"/>
  <c r="L1076" i="1"/>
  <c r="K1075" i="1"/>
  <c r="J1074" i="1"/>
  <c r="L1072" i="1"/>
  <c r="K1071" i="1"/>
  <c r="J1070" i="1"/>
  <c r="L1068" i="1"/>
  <c r="K1067" i="1"/>
  <c r="J1066" i="1"/>
  <c r="L1064" i="1"/>
  <c r="K1063" i="1"/>
  <c r="J1062" i="1"/>
  <c r="L1060" i="1"/>
  <c r="K1059" i="1"/>
  <c r="J1058" i="1"/>
  <c r="L1056" i="1"/>
  <c r="K1055" i="1"/>
  <c r="J1054" i="1"/>
  <c r="L1052" i="1"/>
  <c r="K1051" i="1"/>
  <c r="J1050" i="1"/>
  <c r="L1048" i="1"/>
  <c r="K1047" i="1"/>
  <c r="J1046" i="1"/>
  <c r="L1044" i="1"/>
  <c r="K1043" i="1"/>
  <c r="J1042" i="1"/>
  <c r="L1040" i="1"/>
  <c r="K1039" i="1"/>
  <c r="J1038" i="1"/>
  <c r="L1036" i="1"/>
  <c r="K1035" i="1"/>
  <c r="J1034" i="1"/>
  <c r="L1032" i="1"/>
  <c r="K1031" i="1"/>
  <c r="J1030" i="1"/>
  <c r="L1028" i="1"/>
  <c r="K1027" i="1"/>
  <c r="J1026" i="1"/>
  <c r="L1024" i="1"/>
  <c r="K1023" i="1"/>
  <c r="J1022" i="1"/>
  <c r="L1020" i="1"/>
  <c r="K1019" i="1"/>
  <c r="J1018" i="1"/>
  <c r="L1016" i="1"/>
  <c r="K1015" i="1"/>
  <c r="J1014" i="1"/>
  <c r="L1012" i="1"/>
  <c r="K1011" i="1"/>
  <c r="J1010" i="1"/>
  <c r="L1008" i="1"/>
  <c r="K1007" i="1"/>
  <c r="J1006" i="1"/>
  <c r="L1004" i="1"/>
  <c r="K1003" i="1"/>
  <c r="J1002" i="1"/>
  <c r="L1000" i="1"/>
  <c r="K999" i="1"/>
  <c r="J998" i="1"/>
  <c r="L996" i="1"/>
  <c r="K995" i="1"/>
  <c r="J994" i="1"/>
  <c r="L992" i="1"/>
  <c r="K991" i="1"/>
  <c r="J990" i="1"/>
  <c r="L988" i="1"/>
  <c r="K987" i="1"/>
  <c r="J986" i="1"/>
  <c r="L984" i="1"/>
  <c r="K983" i="1"/>
  <c r="J982" i="1"/>
  <c r="L980" i="1"/>
  <c r="K979" i="1"/>
  <c r="J978" i="1"/>
  <c r="L976" i="1"/>
  <c r="K975" i="1"/>
  <c r="J974" i="1"/>
  <c r="L972" i="1"/>
  <c r="K971" i="1"/>
  <c r="J970" i="1"/>
  <c r="L968" i="1"/>
  <c r="K967" i="1"/>
  <c r="J966" i="1"/>
  <c r="L964" i="1"/>
  <c r="K963" i="1"/>
  <c r="J962" i="1"/>
  <c r="L960" i="1"/>
  <c r="K959" i="1"/>
  <c r="J958" i="1"/>
  <c r="L956" i="1"/>
  <c r="K955" i="1"/>
  <c r="J954" i="1"/>
  <c r="L952" i="1"/>
  <c r="K951" i="1"/>
  <c r="J950" i="1"/>
  <c r="L948" i="1"/>
  <c r="K947" i="1"/>
  <c r="J946" i="1"/>
  <c r="L944" i="1"/>
  <c r="K943" i="1"/>
  <c r="J942" i="1"/>
  <c r="L940" i="1"/>
  <c r="K939" i="1"/>
  <c r="J938" i="1"/>
  <c r="L936" i="1"/>
  <c r="K935" i="1"/>
  <c r="J934" i="1"/>
  <c r="L932" i="1"/>
  <c r="K931" i="1"/>
  <c r="J930" i="1"/>
  <c r="L928" i="1"/>
  <c r="K927" i="1"/>
  <c r="J926" i="1"/>
  <c r="L924" i="1"/>
  <c r="K923" i="1"/>
  <c r="J922" i="1"/>
  <c r="L920" i="1"/>
  <c r="K919" i="1"/>
  <c r="J918" i="1"/>
  <c r="L916" i="1"/>
  <c r="K915" i="1"/>
  <c r="J914" i="1"/>
  <c r="L912" i="1"/>
  <c r="K911" i="1"/>
  <c r="J910" i="1"/>
  <c r="L908" i="1"/>
  <c r="K907" i="1"/>
  <c r="J906" i="1"/>
  <c r="L904" i="1"/>
  <c r="K903" i="1"/>
  <c r="J902" i="1"/>
  <c r="L900" i="1"/>
  <c r="K899" i="1"/>
  <c r="J898" i="1"/>
  <c r="L896" i="1"/>
  <c r="K895" i="1"/>
  <c r="J894" i="1"/>
  <c r="L892" i="1"/>
  <c r="K891" i="1"/>
  <c r="J890" i="1"/>
  <c r="L888" i="1"/>
  <c r="K887" i="1"/>
  <c r="J886" i="1"/>
  <c r="L884" i="1"/>
  <c r="K883" i="1"/>
  <c r="L880" i="1"/>
  <c r="J878" i="1"/>
  <c r="K875" i="1"/>
  <c r="L872" i="1"/>
  <c r="J870" i="1"/>
  <c r="K867" i="1"/>
  <c r="L864" i="1"/>
  <c r="J862" i="1"/>
  <c r="K859" i="1"/>
  <c r="L856" i="1"/>
  <c r="J854" i="1"/>
  <c r="K851" i="1"/>
  <c r="L848" i="1"/>
  <c r="J846" i="1"/>
  <c r="K843" i="1"/>
  <c r="L840" i="1"/>
  <c r="J838" i="1"/>
  <c r="K836" i="1"/>
  <c r="L833" i="1"/>
  <c r="J310" i="1"/>
  <c r="L310" i="1"/>
  <c r="J308" i="1"/>
  <c r="L308" i="1"/>
  <c r="K308" i="1"/>
  <c r="J306" i="1"/>
  <c r="L306" i="1"/>
  <c r="J304" i="1"/>
  <c r="L304" i="1"/>
  <c r="K304" i="1"/>
  <c r="J302" i="1"/>
  <c r="L302" i="1"/>
  <c r="J300" i="1"/>
  <c r="L300" i="1"/>
  <c r="K300" i="1"/>
  <c r="J298" i="1"/>
  <c r="L298" i="1"/>
  <c r="J296" i="1"/>
  <c r="L296" i="1"/>
  <c r="K296" i="1"/>
  <c r="J294" i="1"/>
  <c r="L294" i="1"/>
  <c r="J292" i="1"/>
  <c r="L292" i="1"/>
  <c r="K292" i="1"/>
  <c r="J290" i="1"/>
  <c r="L290" i="1"/>
  <c r="J287" i="1"/>
  <c r="L287" i="1"/>
  <c r="K287" i="1"/>
  <c r="J285" i="1"/>
  <c r="L285" i="1"/>
  <c r="J283" i="1"/>
  <c r="L283" i="1"/>
  <c r="K283" i="1"/>
  <c r="J281" i="1"/>
  <c r="L281" i="1"/>
  <c r="J279" i="1"/>
  <c r="L279" i="1"/>
  <c r="K279" i="1"/>
  <c r="J277" i="1"/>
  <c r="L277" i="1"/>
  <c r="J275" i="1"/>
  <c r="L275" i="1"/>
  <c r="K275" i="1"/>
  <c r="J273" i="1"/>
  <c r="L273" i="1"/>
  <c r="J223" i="1"/>
  <c r="L223" i="1"/>
  <c r="K223" i="1"/>
  <c r="J270" i="1"/>
  <c r="L270" i="1"/>
  <c r="J268" i="1"/>
  <c r="L268" i="1"/>
  <c r="K268" i="1"/>
  <c r="J266" i="1"/>
  <c r="L266" i="1"/>
  <c r="J264" i="1"/>
  <c r="L264" i="1"/>
  <c r="K264" i="1"/>
  <c r="J262" i="1"/>
  <c r="L262" i="1"/>
  <c r="J260" i="1"/>
  <c r="L260" i="1"/>
  <c r="K260" i="1"/>
  <c r="J709" i="1"/>
  <c r="L709" i="1"/>
  <c r="J256" i="1"/>
  <c r="L256" i="1"/>
  <c r="K256" i="1"/>
  <c r="J254" i="1"/>
  <c r="L254" i="1"/>
  <c r="J252" i="1"/>
  <c r="L252" i="1"/>
  <c r="K252" i="1"/>
  <c r="J205" i="1"/>
  <c r="L205" i="1"/>
  <c r="J481" i="1"/>
  <c r="L481" i="1"/>
  <c r="K481" i="1"/>
  <c r="J248" i="1"/>
  <c r="L248" i="1"/>
  <c r="J246" i="1"/>
  <c r="L246" i="1"/>
  <c r="K246" i="1"/>
  <c r="J244" i="1"/>
  <c r="L244" i="1"/>
  <c r="J289" i="1"/>
  <c r="L289" i="1"/>
  <c r="K289" i="1"/>
  <c r="J241" i="1"/>
  <c r="L241" i="1"/>
  <c r="J238" i="1"/>
  <c r="L238" i="1"/>
  <c r="K238" i="1"/>
  <c r="J235" i="1"/>
  <c r="L235" i="1"/>
  <c r="J233" i="1"/>
  <c r="L233" i="1"/>
  <c r="K233" i="1"/>
  <c r="J231" i="1"/>
  <c r="L231" i="1"/>
  <c r="J229" i="1"/>
  <c r="L229" i="1"/>
  <c r="K229" i="1"/>
  <c r="J227" i="1"/>
  <c r="L227" i="1"/>
  <c r="J225" i="1"/>
  <c r="L225" i="1"/>
  <c r="K225" i="1"/>
  <c r="J672" i="1"/>
  <c r="L672" i="1"/>
  <c r="J221" i="1"/>
  <c r="L221" i="1"/>
  <c r="K221" i="1"/>
  <c r="J218" i="1"/>
  <c r="L218" i="1"/>
  <c r="J216" i="1"/>
  <c r="L216" i="1"/>
  <c r="K216" i="1"/>
  <c r="J214" i="1"/>
  <c r="L214" i="1"/>
  <c r="J485" i="1"/>
  <c r="L485" i="1"/>
  <c r="K485" i="1"/>
  <c r="J210" i="1"/>
  <c r="L210" i="1"/>
  <c r="J208" i="1"/>
  <c r="L208" i="1"/>
  <c r="K208" i="1"/>
  <c r="J206" i="1"/>
  <c r="L206" i="1"/>
  <c r="J203" i="1"/>
  <c r="L203" i="1"/>
  <c r="K203" i="1"/>
  <c r="J202" i="1"/>
  <c r="L202" i="1"/>
  <c r="J200" i="1"/>
  <c r="L200" i="1"/>
  <c r="K200" i="1"/>
  <c r="J198" i="1"/>
  <c r="L198" i="1"/>
  <c r="J196" i="1"/>
  <c r="L196" i="1"/>
  <c r="K196" i="1"/>
  <c r="J194" i="1"/>
  <c r="L194" i="1"/>
  <c r="J192" i="1"/>
  <c r="L192" i="1"/>
  <c r="K192" i="1"/>
  <c r="J190" i="1"/>
  <c r="L190" i="1"/>
  <c r="J188" i="1"/>
  <c r="L188" i="1"/>
  <c r="K188" i="1"/>
  <c r="J185" i="1"/>
  <c r="L185" i="1"/>
  <c r="J183" i="1"/>
  <c r="L183" i="1"/>
  <c r="K183" i="1"/>
  <c r="J180" i="1"/>
  <c r="L180" i="1"/>
  <c r="K180" i="1"/>
  <c r="J178" i="1"/>
  <c r="L178" i="1"/>
  <c r="J176" i="1"/>
  <c r="L176" i="1"/>
  <c r="K176" i="1"/>
  <c r="J174" i="1"/>
  <c r="L174" i="1"/>
  <c r="J172" i="1"/>
  <c r="L172" i="1"/>
  <c r="K172" i="1"/>
  <c r="J170" i="1"/>
  <c r="L170" i="1"/>
  <c r="J168" i="1"/>
  <c r="L168" i="1"/>
  <c r="K168" i="1"/>
  <c r="J166" i="1"/>
  <c r="L166" i="1"/>
  <c r="J164" i="1"/>
  <c r="L164" i="1"/>
  <c r="K164" i="1"/>
  <c r="J162" i="1"/>
  <c r="L162" i="1"/>
  <c r="J159" i="1"/>
  <c r="L159" i="1"/>
  <c r="K159" i="1"/>
  <c r="J157" i="1"/>
  <c r="L157" i="1"/>
  <c r="J155" i="1"/>
  <c r="L155" i="1"/>
  <c r="K155" i="1"/>
  <c r="J153" i="1"/>
  <c r="L153" i="1"/>
  <c r="J151" i="1"/>
  <c r="L151" i="1"/>
  <c r="K151" i="1"/>
  <c r="J149" i="1"/>
  <c r="L149" i="1"/>
  <c r="J147" i="1"/>
  <c r="L147" i="1"/>
  <c r="K147" i="1"/>
  <c r="J144" i="1"/>
  <c r="L144" i="1"/>
  <c r="K144" i="1"/>
  <c r="J143" i="1"/>
  <c r="L143" i="1"/>
  <c r="J141" i="1"/>
  <c r="L141" i="1"/>
  <c r="K141" i="1"/>
  <c r="J140" i="1"/>
  <c r="L140" i="1"/>
  <c r="K140" i="1"/>
  <c r="J138" i="1"/>
  <c r="L138" i="1"/>
  <c r="J136" i="1"/>
  <c r="L136" i="1"/>
  <c r="K136" i="1"/>
  <c r="J134" i="1"/>
  <c r="L134" i="1"/>
  <c r="K134" i="1"/>
  <c r="J132" i="1"/>
  <c r="L132" i="1"/>
  <c r="K132" i="1"/>
  <c r="J130" i="1"/>
  <c r="L130" i="1"/>
  <c r="J128" i="1"/>
  <c r="L128" i="1"/>
  <c r="K128" i="1"/>
  <c r="J126" i="1"/>
  <c r="L126" i="1"/>
  <c r="K126" i="1"/>
  <c r="J124" i="1"/>
  <c r="L124" i="1"/>
  <c r="K124" i="1"/>
  <c r="J122" i="1"/>
  <c r="L122" i="1"/>
  <c r="J120" i="1"/>
  <c r="L120" i="1"/>
  <c r="K120" i="1"/>
  <c r="J118" i="1"/>
  <c r="L118" i="1"/>
  <c r="K118" i="1"/>
  <c r="J116" i="1"/>
  <c r="L116" i="1"/>
  <c r="K116" i="1"/>
  <c r="J114" i="1"/>
  <c r="L114" i="1"/>
  <c r="J112" i="1"/>
  <c r="L112" i="1"/>
  <c r="K112" i="1"/>
  <c r="J68" i="1"/>
  <c r="L68" i="1"/>
  <c r="K68" i="1"/>
  <c r="J110" i="1"/>
  <c r="L110" i="1"/>
  <c r="K110" i="1"/>
  <c r="J108" i="1"/>
  <c r="L108" i="1"/>
  <c r="J106" i="1"/>
  <c r="L106" i="1"/>
  <c r="K106" i="1"/>
  <c r="J341" i="1"/>
  <c r="L341" i="1"/>
  <c r="K341" i="1"/>
  <c r="J103" i="1"/>
  <c r="L103" i="1"/>
  <c r="K103" i="1"/>
  <c r="J101" i="1"/>
  <c r="L101" i="1"/>
  <c r="J99" i="1"/>
  <c r="L99" i="1"/>
  <c r="K99" i="1"/>
  <c r="J98" i="1"/>
  <c r="L98" i="1"/>
  <c r="K98" i="1"/>
  <c r="J96" i="1"/>
  <c r="L96" i="1"/>
  <c r="K96" i="1"/>
  <c r="J94" i="1"/>
  <c r="L94" i="1"/>
  <c r="J91" i="1"/>
  <c r="L91" i="1"/>
  <c r="K91" i="1"/>
  <c r="J89" i="1"/>
  <c r="L89" i="1"/>
  <c r="K89" i="1"/>
  <c r="J87" i="1"/>
  <c r="L87" i="1"/>
  <c r="K87" i="1"/>
  <c r="J85" i="1"/>
  <c r="L85" i="1"/>
  <c r="J83" i="1"/>
  <c r="L83" i="1"/>
  <c r="K83" i="1"/>
  <c r="J81" i="1"/>
  <c r="L81" i="1"/>
  <c r="K81" i="1"/>
  <c r="J79" i="1"/>
  <c r="L79" i="1"/>
  <c r="K79" i="1"/>
  <c r="J77" i="1"/>
  <c r="L77" i="1"/>
  <c r="J75" i="1"/>
  <c r="L75" i="1"/>
  <c r="K75" i="1"/>
  <c r="J73" i="1"/>
  <c r="L73" i="1"/>
  <c r="K73" i="1"/>
  <c r="J71" i="1"/>
  <c r="L71" i="1"/>
  <c r="K71" i="1"/>
  <c r="J67" i="1"/>
  <c r="L67" i="1"/>
  <c r="J65" i="1"/>
  <c r="L65" i="1"/>
  <c r="K65" i="1"/>
  <c r="J63" i="1"/>
  <c r="L63" i="1"/>
  <c r="K63" i="1"/>
  <c r="J61" i="1"/>
  <c r="L61" i="1"/>
  <c r="K61" i="1"/>
  <c r="J59" i="1"/>
  <c r="L59" i="1"/>
  <c r="K57" i="1"/>
  <c r="J57" i="1"/>
  <c r="L57" i="1"/>
  <c r="K55" i="1"/>
  <c r="L55" i="1"/>
  <c r="K53" i="1"/>
  <c r="J53" i="1"/>
  <c r="L53" i="1"/>
  <c r="K51" i="1"/>
  <c r="L51" i="1"/>
  <c r="J51" i="1"/>
  <c r="K49" i="1"/>
  <c r="J49" i="1"/>
  <c r="K47" i="1"/>
  <c r="L47" i="1"/>
  <c r="J47" i="1"/>
  <c r="K45" i="1"/>
  <c r="J45" i="1"/>
  <c r="L45" i="1"/>
  <c r="K43" i="1"/>
  <c r="L43" i="1"/>
  <c r="J43" i="1"/>
  <c r="K41" i="1"/>
  <c r="J41" i="1"/>
  <c r="L41" i="1"/>
  <c r="K219" i="1"/>
  <c r="L219" i="1"/>
  <c r="K39" i="1"/>
  <c r="J39" i="1"/>
  <c r="L39" i="1"/>
  <c r="K363" i="1"/>
  <c r="L363" i="1"/>
  <c r="J363" i="1"/>
  <c r="K36" i="1"/>
  <c r="J36" i="1"/>
  <c r="K34" i="1"/>
  <c r="L34" i="1"/>
  <c r="J34" i="1"/>
  <c r="K161" i="1"/>
  <c r="J161" i="1"/>
  <c r="L161" i="1"/>
  <c r="K29" i="1"/>
  <c r="L29" i="1"/>
  <c r="J29" i="1"/>
  <c r="K27" i="1"/>
  <c r="J27" i="1"/>
  <c r="L27" i="1"/>
  <c r="K25" i="1"/>
  <c r="L25" i="1"/>
  <c r="K23" i="1"/>
  <c r="J23" i="1"/>
  <c r="L23" i="1"/>
  <c r="K22" i="1"/>
  <c r="L22" i="1"/>
  <c r="J22" i="1"/>
  <c r="K19" i="1"/>
  <c r="J19" i="1"/>
  <c r="K17" i="1"/>
  <c r="L17" i="1"/>
  <c r="J17" i="1"/>
  <c r="K15" i="1"/>
  <c r="J15" i="1"/>
  <c r="L15" i="1"/>
  <c r="K13" i="1"/>
  <c r="L13" i="1"/>
  <c r="J13" i="1"/>
  <c r="K11" i="1"/>
  <c r="J11" i="1"/>
  <c r="L11" i="1"/>
  <c r="K9" i="1"/>
  <c r="L9" i="1"/>
  <c r="K7" i="1"/>
  <c r="J7" i="1"/>
  <c r="L7" i="1"/>
  <c r="K5" i="1"/>
  <c r="L5" i="1"/>
  <c r="J5" i="1"/>
  <c r="J613" i="1"/>
  <c r="L611" i="1"/>
  <c r="J609" i="1"/>
  <c r="L607" i="1"/>
  <c r="J605" i="1"/>
  <c r="L603" i="1"/>
  <c r="J601" i="1"/>
  <c r="L599" i="1"/>
  <c r="J597" i="1"/>
  <c r="L595" i="1"/>
  <c r="J593" i="1"/>
  <c r="L591" i="1"/>
  <c r="J589" i="1"/>
  <c r="L587" i="1"/>
  <c r="J585" i="1"/>
  <c r="L583" i="1"/>
  <c r="J581" i="1"/>
  <c r="L579" i="1"/>
  <c r="J577" i="1"/>
  <c r="L575" i="1"/>
  <c r="J573" i="1"/>
  <c r="L571" i="1"/>
  <c r="J569" i="1"/>
  <c r="L567" i="1"/>
  <c r="J565" i="1"/>
  <c r="L563" i="1"/>
  <c r="J561" i="1"/>
  <c r="L560" i="1"/>
  <c r="J558" i="1"/>
  <c r="L556" i="1"/>
  <c r="J554" i="1"/>
  <c r="L512" i="1"/>
  <c r="J552" i="1"/>
  <c r="L550" i="1"/>
  <c r="J549" i="1"/>
  <c r="L547" i="1"/>
  <c r="J545" i="1"/>
  <c r="L543" i="1"/>
  <c r="J541" i="1"/>
  <c r="L539" i="1"/>
  <c r="J537" i="1"/>
  <c r="L535" i="1"/>
  <c r="J533" i="1"/>
  <c r="L531" i="1"/>
  <c r="J529" i="1"/>
  <c r="L527" i="1"/>
  <c r="J525" i="1"/>
  <c r="L523" i="1"/>
  <c r="J521" i="1"/>
  <c r="L519" i="1"/>
  <c r="J517" i="1"/>
  <c r="L514" i="1"/>
  <c r="J507" i="1"/>
  <c r="L468" i="1"/>
  <c r="J503" i="1"/>
  <c r="L501" i="1"/>
  <c r="J499" i="1"/>
  <c r="L497" i="1"/>
  <c r="J495" i="1"/>
  <c r="L459" i="1"/>
  <c r="J492" i="1"/>
  <c r="L490" i="1"/>
  <c r="J486" i="1"/>
  <c r="L475" i="1"/>
  <c r="J483" i="1"/>
  <c r="L480" i="1"/>
  <c r="J478" i="1"/>
  <c r="L32" i="1"/>
  <c r="J31" i="1"/>
  <c r="L473" i="1"/>
  <c r="J470" i="1"/>
  <c r="L20" i="1"/>
  <c r="J466" i="1"/>
  <c r="L464" i="1"/>
  <c r="J439" i="1"/>
  <c r="L461" i="1"/>
  <c r="J380" i="1"/>
  <c r="L458" i="1"/>
  <c r="J457" i="1"/>
  <c r="L455" i="1"/>
  <c r="J453" i="1"/>
  <c r="L451" i="1"/>
  <c r="L448" i="1"/>
  <c r="J446" i="1"/>
  <c r="L444" i="1"/>
  <c r="J442" i="1"/>
  <c r="L440" i="1"/>
  <c r="J437" i="1"/>
  <c r="L435" i="1"/>
  <c r="J433" i="1"/>
  <c r="L432" i="1"/>
  <c r="J430" i="1"/>
  <c r="L428" i="1"/>
  <c r="J426" i="1"/>
  <c r="L424" i="1"/>
  <c r="J422" i="1"/>
  <c r="L420" i="1"/>
  <c r="J418" i="1"/>
  <c r="L177" i="1"/>
  <c r="J415" i="1"/>
  <c r="L413" i="1"/>
  <c r="J411" i="1"/>
  <c r="L409" i="1"/>
  <c r="J408" i="1"/>
  <c r="L406" i="1"/>
  <c r="J404" i="1"/>
  <c r="L402" i="1"/>
  <c r="J400" i="1"/>
  <c r="L398" i="1"/>
  <c r="J396" i="1"/>
  <c r="L394" i="1"/>
  <c r="J392" i="1"/>
  <c r="L390" i="1"/>
  <c r="J388" i="1"/>
  <c r="L386" i="1"/>
  <c r="J384" i="1"/>
  <c r="L382" i="1"/>
  <c r="J378" i="1"/>
  <c r="L376" i="1"/>
  <c r="J374" i="1"/>
  <c r="L372" i="1"/>
  <c r="J370" i="1"/>
  <c r="L368" i="1"/>
  <c r="J366" i="1"/>
  <c r="L364" i="1"/>
  <c r="J716" i="1"/>
  <c r="L360" i="1"/>
  <c r="J358" i="1"/>
  <c r="L356" i="1"/>
  <c r="J354" i="1"/>
  <c r="L352" i="1"/>
  <c r="J350" i="1"/>
  <c r="L348" i="1"/>
  <c r="J699" i="1"/>
  <c r="L345" i="1"/>
  <c r="J343" i="1"/>
  <c r="L340" i="1"/>
  <c r="J338" i="1"/>
  <c r="L337" i="1"/>
  <c r="J335" i="1"/>
  <c r="L333" i="1"/>
  <c r="J331" i="1"/>
  <c r="L329" i="1"/>
  <c r="J327" i="1"/>
  <c r="L325" i="1"/>
  <c r="J323" i="1"/>
  <c r="L321" i="1"/>
  <c r="J318" i="1"/>
  <c r="L316" i="1"/>
  <c r="J314" i="1"/>
  <c r="L312" i="1"/>
  <c r="K306" i="1"/>
  <c r="K298" i="1"/>
  <c r="K290" i="1"/>
  <c r="K281" i="1"/>
  <c r="K273" i="1"/>
  <c r="K266" i="1"/>
  <c r="K709" i="1"/>
  <c r="K205" i="1"/>
  <c r="K244" i="1"/>
  <c r="K235" i="1"/>
  <c r="K227" i="1"/>
  <c r="K218" i="1"/>
  <c r="K210" i="1"/>
  <c r="K202" i="1"/>
  <c r="K194" i="1"/>
  <c r="K185" i="1"/>
  <c r="K178" i="1"/>
  <c r="K170" i="1"/>
  <c r="K162" i="1"/>
  <c r="K153" i="1"/>
  <c r="K138" i="1"/>
  <c r="K122" i="1"/>
  <c r="K108" i="1"/>
  <c r="K94" i="1"/>
  <c r="K77" i="1"/>
  <c r="K59" i="1"/>
  <c r="L49" i="1"/>
  <c r="J219" i="1"/>
  <c r="L19" i="1"/>
  <c r="J9" i="1"/>
  <c r="L3" i="17"/>
  <c r="J2" i="17"/>
  <c r="V2" i="17"/>
  <c r="J3" i="17"/>
  <c r="V3" i="17"/>
  <c r="J4" i="17"/>
  <c r="V4" i="17"/>
  <c r="J5" i="17"/>
  <c r="V5" i="17"/>
  <c r="J6" i="17"/>
  <c r="V6" i="17"/>
  <c r="J7" i="17"/>
  <c r="V7" i="17"/>
  <c r="L2" i="17"/>
  <c r="L4" i="17"/>
  <c r="L5" i="17"/>
  <c r="L6" i="17"/>
  <c r="L7" i="17"/>
  <c r="AE3" i="17"/>
  <c r="AA3" i="17"/>
  <c r="Z3" i="17" s="1"/>
  <c r="AC3" i="17" s="1"/>
  <c r="AE5" i="17"/>
  <c r="AA5" i="17"/>
  <c r="Z5" i="17" s="1"/>
  <c r="AC5" i="17" s="1"/>
  <c r="AE7" i="17"/>
  <c r="AA7" i="17"/>
  <c r="Z7" i="17" s="1"/>
  <c r="AC7" i="17" s="1"/>
  <c r="AE2" i="17"/>
  <c r="AA2" i="17"/>
  <c r="Z2" i="17" s="1"/>
  <c r="AC2" i="17" s="1"/>
  <c r="AE4" i="17"/>
  <c r="AA4" i="17"/>
  <c r="Z4" i="17" s="1"/>
  <c r="AC4" i="17" s="1"/>
  <c r="AE6" i="17"/>
  <c r="AA6" i="17"/>
  <c r="Z6" i="17" s="1"/>
  <c r="AC6" i="17" s="1"/>
  <c r="K2" i="17"/>
  <c r="K3" i="17"/>
  <c r="K4" i="17"/>
  <c r="K5" i="17"/>
  <c r="K6" i="17"/>
  <c r="K7" i="17"/>
  <c r="AE1071" i="1" l="1"/>
  <c r="AP1071" i="1" s="1"/>
  <c r="AE1055" i="1"/>
  <c r="AP1055" i="1" s="1"/>
  <c r="AE1087" i="1"/>
  <c r="AP1087" i="1" s="1"/>
  <c r="AE1049" i="1"/>
  <c r="AP1049" i="1" s="1"/>
  <c r="AE1063" i="1"/>
  <c r="AP1063" i="1" s="1"/>
  <c r="AE1079" i="1"/>
  <c r="AP1079" i="1" s="1"/>
  <c r="AE1095" i="1"/>
  <c r="AP1095" i="1" s="1"/>
  <c r="AE1103" i="1"/>
  <c r="AP1103" i="1" s="1"/>
  <c r="AE1051" i="1"/>
  <c r="AP1051" i="1" s="1"/>
  <c r="AE1059" i="1"/>
  <c r="AP1059" i="1" s="1"/>
  <c r="AE1067" i="1"/>
  <c r="AP1067" i="1" s="1"/>
  <c r="AE1075" i="1"/>
  <c r="AP1075" i="1" s="1"/>
  <c r="AE1083" i="1"/>
  <c r="AP1083" i="1" s="1"/>
  <c r="AE1091" i="1"/>
  <c r="AP1091" i="1" s="1"/>
  <c r="AE1099" i="1"/>
  <c r="AP1099" i="1" s="1"/>
  <c r="AE936" i="1"/>
  <c r="AP936" i="1" s="1"/>
  <c r="AE1035" i="1"/>
  <c r="AP1035" i="1" s="1"/>
  <c r="CO847" i="1"/>
  <c r="DA847" i="1"/>
  <c r="CO871" i="1"/>
  <c r="DA871" i="1"/>
  <c r="CO1035" i="1"/>
  <c r="DA1035" i="1"/>
  <c r="CO1039" i="1"/>
  <c r="DA1039" i="1"/>
  <c r="CO1043" i="1"/>
  <c r="DA1043" i="1"/>
  <c r="CO1047" i="1"/>
  <c r="DA1047" i="1"/>
  <c r="CO1051" i="1"/>
  <c r="DA1051" i="1"/>
  <c r="CO1059" i="1"/>
  <c r="DA1059" i="1"/>
  <c r="CO1065" i="1"/>
  <c r="DA1065" i="1"/>
  <c r="CO1071" i="1"/>
  <c r="DA1071" i="1"/>
  <c r="CO1075" i="1"/>
  <c r="DA1075" i="1"/>
  <c r="CO1079" i="1"/>
  <c r="DA1079" i="1"/>
  <c r="CO1083" i="1"/>
  <c r="DA1083" i="1"/>
  <c r="CO1087" i="1"/>
  <c r="DA1087" i="1"/>
  <c r="CO1091" i="1"/>
  <c r="DA1091" i="1"/>
  <c r="CO1095" i="1"/>
  <c r="DA1095" i="1"/>
  <c r="CO1099" i="1"/>
  <c r="DA1099" i="1"/>
  <c r="CO1103" i="1"/>
  <c r="DA1103" i="1"/>
  <c r="CO1107" i="1"/>
  <c r="DA1107" i="1"/>
  <c r="CO1111" i="1"/>
  <c r="DA1111" i="1"/>
  <c r="CO1115" i="1"/>
  <c r="DA1115" i="1"/>
  <c r="CO1119" i="1"/>
  <c r="DA1119" i="1"/>
  <c r="CO9" i="1"/>
  <c r="DA9" i="1"/>
  <c r="CO13" i="1"/>
  <c r="DA13" i="1"/>
  <c r="CO29" i="1"/>
  <c r="DA29" i="1"/>
  <c r="CO34" i="1"/>
  <c r="DA34" i="1"/>
  <c r="CO36" i="1"/>
  <c r="DA36" i="1"/>
  <c r="CO43" i="1"/>
  <c r="DA43" i="1"/>
  <c r="CO51" i="1"/>
  <c r="DA51" i="1"/>
  <c r="CO57" i="1"/>
  <c r="DA57" i="1"/>
  <c r="CO59" i="1"/>
  <c r="DA59" i="1"/>
  <c r="CO71" i="1"/>
  <c r="DA71" i="1"/>
  <c r="CO73" i="1"/>
  <c r="DA73" i="1"/>
  <c r="CO81" i="1"/>
  <c r="DA81" i="1"/>
  <c r="CO85" i="1"/>
  <c r="DA85" i="1"/>
  <c r="CO87" i="1"/>
  <c r="DA87" i="1"/>
  <c r="CO99" i="1"/>
  <c r="DA99" i="1"/>
  <c r="CO103" i="1"/>
  <c r="DA103" i="1"/>
  <c r="CO106" i="1"/>
  <c r="DA106" i="1"/>
  <c r="CO110" i="1"/>
  <c r="DA110" i="1"/>
  <c r="CO112" i="1"/>
  <c r="DA112" i="1"/>
  <c r="CO120" i="1"/>
  <c r="DA120" i="1"/>
  <c r="CO126" i="1"/>
  <c r="DA126" i="1"/>
  <c r="CO128" i="1"/>
  <c r="DA128" i="1"/>
  <c r="CO136" i="1"/>
  <c r="DA136" i="1"/>
  <c r="CO141" i="1"/>
  <c r="DA141" i="1"/>
  <c r="CO157" i="1"/>
  <c r="DA157" i="1"/>
  <c r="CO162" i="1"/>
  <c r="DA162" i="1"/>
  <c r="CO172" i="1"/>
  <c r="DA172" i="1"/>
  <c r="CO188" i="1"/>
  <c r="DA188" i="1"/>
  <c r="CO200" i="1"/>
  <c r="DA200" i="1"/>
  <c r="CO216" i="1"/>
  <c r="DA216" i="1"/>
  <c r="CO221" i="1"/>
  <c r="DA221" i="1"/>
  <c r="CO238" i="1"/>
  <c r="DA238" i="1"/>
  <c r="CO252" i="1"/>
  <c r="DA252" i="1"/>
  <c r="CO273" i="1"/>
  <c r="DA273" i="1"/>
  <c r="CO281" i="1"/>
  <c r="DA281" i="1"/>
  <c r="CO290" i="1"/>
  <c r="DA290" i="1"/>
  <c r="CO300" i="1"/>
  <c r="DA300" i="1"/>
  <c r="CO308" i="1"/>
  <c r="DA308" i="1"/>
  <c r="CO314" i="1"/>
  <c r="DA314" i="1"/>
  <c r="CO318" i="1"/>
  <c r="DA318" i="1"/>
  <c r="CO323" i="1"/>
  <c r="DA323" i="1"/>
  <c r="CO327" i="1"/>
  <c r="DA327" i="1"/>
  <c r="CO329" i="1"/>
  <c r="DA329" i="1"/>
  <c r="CO331" i="1"/>
  <c r="DA331" i="1"/>
  <c r="CO335" i="1"/>
  <c r="DA335" i="1"/>
  <c r="CO337" i="1"/>
  <c r="DA337" i="1"/>
  <c r="CO338" i="1"/>
  <c r="DA338" i="1"/>
  <c r="CO343" i="1"/>
  <c r="DA343" i="1"/>
  <c r="CO699" i="1"/>
  <c r="DA699" i="1"/>
  <c r="CO354" i="1"/>
  <c r="DA354" i="1"/>
  <c r="CO358" i="1"/>
  <c r="DA358" i="1"/>
  <c r="CO716" i="1"/>
  <c r="DA716" i="1"/>
  <c r="CO370" i="1"/>
  <c r="DA370" i="1"/>
  <c r="CO374" i="1"/>
  <c r="DA374" i="1"/>
  <c r="CO378" i="1"/>
  <c r="DA378" i="1"/>
  <c r="CO384" i="1"/>
  <c r="DA384" i="1"/>
  <c r="CO388" i="1"/>
  <c r="DA388" i="1"/>
  <c r="CO390" i="1"/>
  <c r="DA390" i="1"/>
  <c r="CO392" i="1"/>
  <c r="DA392" i="1"/>
  <c r="CO396" i="1"/>
  <c r="DA396" i="1"/>
  <c r="CO400" i="1"/>
  <c r="DA400" i="1"/>
  <c r="CO402" i="1"/>
  <c r="DA402" i="1"/>
  <c r="CO404" i="1"/>
  <c r="DA404" i="1"/>
  <c r="CO406" i="1"/>
  <c r="DA406" i="1"/>
  <c r="CO408" i="1"/>
  <c r="DA408" i="1"/>
  <c r="CO411" i="1"/>
  <c r="DA411" i="1"/>
  <c r="CO413" i="1"/>
  <c r="DA413" i="1"/>
  <c r="CO415" i="1"/>
  <c r="DA415" i="1"/>
  <c r="CO418" i="1"/>
  <c r="DA418" i="1"/>
  <c r="CO420" i="1"/>
  <c r="DA420" i="1"/>
  <c r="CO422" i="1"/>
  <c r="DA422" i="1"/>
  <c r="CO426" i="1"/>
  <c r="DA426" i="1"/>
  <c r="CO432" i="1"/>
  <c r="DA432" i="1"/>
  <c r="CO433" i="1"/>
  <c r="DA433" i="1"/>
  <c r="CO435" i="1"/>
  <c r="DA435" i="1"/>
  <c r="CO437" i="1"/>
  <c r="DA437" i="1"/>
  <c r="CO442" i="1"/>
  <c r="DA442" i="1"/>
  <c r="CO444" i="1"/>
  <c r="DA444" i="1"/>
  <c r="CO446" i="1"/>
  <c r="DA446" i="1"/>
  <c r="CO455" i="1"/>
  <c r="DA455" i="1"/>
  <c r="CO523" i="1"/>
  <c r="DA523" i="1"/>
  <c r="CO527" i="1"/>
  <c r="DA527" i="1"/>
  <c r="CO533" i="1"/>
  <c r="DA533" i="1"/>
  <c r="CO543" i="1"/>
  <c r="DA543" i="1"/>
  <c r="CO617" i="1"/>
  <c r="DA617" i="1"/>
  <c r="CO625" i="1"/>
  <c r="DA625" i="1"/>
  <c r="CO633" i="1"/>
  <c r="DA633" i="1"/>
  <c r="CO641" i="1"/>
  <c r="DA641" i="1"/>
  <c r="CO649" i="1"/>
  <c r="DA649" i="1"/>
  <c r="CO657" i="1"/>
  <c r="DA657" i="1"/>
  <c r="CO665" i="1"/>
  <c r="DA665" i="1"/>
  <c r="CO671" i="1"/>
  <c r="DA671" i="1"/>
  <c r="CO681" i="1"/>
  <c r="DA681" i="1"/>
  <c r="CO690" i="1"/>
  <c r="DA690" i="1"/>
  <c r="CO698" i="1"/>
  <c r="DA698" i="1"/>
  <c r="CO705" i="1"/>
  <c r="DA705" i="1"/>
  <c r="CO714" i="1"/>
  <c r="DA714" i="1"/>
  <c r="CO723" i="1"/>
  <c r="DA723" i="1"/>
  <c r="CO731" i="1"/>
  <c r="DA731" i="1"/>
  <c r="CO735" i="1"/>
  <c r="DA735" i="1"/>
  <c r="CO739" i="1"/>
  <c r="DA739" i="1"/>
  <c r="CO743" i="1"/>
  <c r="DA743" i="1"/>
  <c r="CO747" i="1"/>
  <c r="DA747" i="1"/>
  <c r="CO751" i="1"/>
  <c r="DA751" i="1"/>
  <c r="CO755" i="1"/>
  <c r="DA755" i="1"/>
  <c r="CO759" i="1"/>
  <c r="DA759" i="1"/>
  <c r="CO763" i="1"/>
  <c r="DA763" i="1"/>
  <c r="CO767" i="1"/>
  <c r="DA767" i="1"/>
  <c r="CO771" i="1"/>
  <c r="DA771" i="1"/>
  <c r="CO775" i="1"/>
  <c r="DA775" i="1"/>
  <c r="CO779" i="1"/>
  <c r="DA779" i="1"/>
  <c r="CO783" i="1"/>
  <c r="DA783" i="1"/>
  <c r="CO815" i="1"/>
  <c r="DA815" i="1"/>
  <c r="CO822" i="1"/>
  <c r="DA822" i="1"/>
  <c r="CO826" i="1"/>
  <c r="DA826" i="1"/>
  <c r="CO790" i="1"/>
  <c r="DA790" i="1"/>
  <c r="CO794" i="1"/>
  <c r="DA794" i="1"/>
  <c r="CO799" i="1"/>
  <c r="DA799" i="1"/>
  <c r="CO803" i="1"/>
  <c r="DA803" i="1"/>
  <c r="CO807" i="1"/>
  <c r="DA807" i="1"/>
  <c r="CO811" i="1"/>
  <c r="DA811" i="1"/>
  <c r="CO816" i="1"/>
  <c r="DA816" i="1"/>
  <c r="CO833" i="1"/>
  <c r="DA833" i="1"/>
  <c r="CO840" i="1"/>
  <c r="DA840" i="1"/>
  <c r="CO848" i="1"/>
  <c r="DA848" i="1"/>
  <c r="CO856" i="1"/>
  <c r="DA856" i="1"/>
  <c r="CO864" i="1"/>
  <c r="DA864" i="1"/>
  <c r="CO872" i="1"/>
  <c r="DA872" i="1"/>
  <c r="CO880" i="1"/>
  <c r="DA880" i="1"/>
  <c r="CO1034" i="1"/>
  <c r="DA1034" i="1"/>
  <c r="CO1038" i="1"/>
  <c r="DA1038" i="1"/>
  <c r="CO1042" i="1"/>
  <c r="DA1042" i="1"/>
  <c r="CO1046" i="1"/>
  <c r="DA1046" i="1"/>
  <c r="CO1050" i="1"/>
  <c r="DA1050" i="1"/>
  <c r="CO1054" i="1"/>
  <c r="DA1054" i="1"/>
  <c r="CO1058" i="1"/>
  <c r="DA1058" i="1"/>
  <c r="CO1062" i="1"/>
  <c r="DA1062" i="1"/>
  <c r="CO1066" i="1"/>
  <c r="DA1066" i="1"/>
  <c r="CO1070" i="1"/>
  <c r="DA1070" i="1"/>
  <c r="CO1074" i="1"/>
  <c r="DA1074" i="1"/>
  <c r="CO1078" i="1"/>
  <c r="DA1078" i="1"/>
  <c r="CO1082" i="1"/>
  <c r="DA1082" i="1"/>
  <c r="CO1086" i="1"/>
  <c r="DA1086" i="1"/>
  <c r="CO1090" i="1"/>
  <c r="DA1090" i="1"/>
  <c r="CO1094" i="1"/>
  <c r="DA1094" i="1"/>
  <c r="CO1098" i="1"/>
  <c r="DA1098" i="1"/>
  <c r="CO1102" i="1"/>
  <c r="DA1102" i="1"/>
  <c r="CO1106" i="1"/>
  <c r="DA1106" i="1"/>
  <c r="CO1110" i="1"/>
  <c r="DA1110" i="1"/>
  <c r="CO1114" i="1"/>
  <c r="DA1114" i="1"/>
  <c r="CO1118" i="1"/>
  <c r="DA1118" i="1"/>
  <c r="CO12" i="1"/>
  <c r="DA12" i="1"/>
  <c r="CO14" i="1"/>
  <c r="DA14" i="1"/>
  <c r="CO16" i="1"/>
  <c r="DA16" i="1"/>
  <c r="CO24" i="1"/>
  <c r="DA24" i="1"/>
  <c r="CO26" i="1"/>
  <c r="DA26" i="1"/>
  <c r="CO35" i="1"/>
  <c r="DA35" i="1"/>
  <c r="CO38" i="1"/>
  <c r="DA38" i="1"/>
  <c r="CO40" i="1"/>
  <c r="DA40" i="1"/>
  <c r="CO42" i="1"/>
  <c r="DA42" i="1"/>
  <c r="CO46" i="1"/>
  <c r="DA46" i="1"/>
  <c r="CO54" i="1"/>
  <c r="DA54" i="1"/>
  <c r="CO60" i="1"/>
  <c r="DA60" i="1"/>
  <c r="CO62" i="1"/>
  <c r="DA62" i="1"/>
  <c r="CO74" i="1"/>
  <c r="DA74" i="1"/>
  <c r="CO76" i="1"/>
  <c r="DA76" i="1"/>
  <c r="CO80" i="1"/>
  <c r="DA80" i="1"/>
  <c r="CO82" i="1"/>
  <c r="DA82" i="1"/>
  <c r="CO86" i="1"/>
  <c r="DA86" i="1"/>
  <c r="CO95" i="1"/>
  <c r="DA95" i="1"/>
  <c r="CO97" i="1"/>
  <c r="DA97" i="1"/>
  <c r="CO109" i="1"/>
  <c r="DA109" i="1"/>
  <c r="CO69" i="1"/>
  <c r="DA69" i="1"/>
  <c r="CO127" i="1"/>
  <c r="DA127" i="1"/>
  <c r="CO237" i="1"/>
  <c r="DA237" i="1"/>
  <c r="CO146" i="1"/>
  <c r="DA146" i="1"/>
  <c r="CO156" i="1"/>
  <c r="DA156" i="1"/>
  <c r="CO160" i="1"/>
  <c r="DA160" i="1"/>
  <c r="CO163" i="1"/>
  <c r="DA163" i="1"/>
  <c r="CO167" i="1"/>
  <c r="DA167" i="1"/>
  <c r="CO175" i="1"/>
  <c r="DA175" i="1"/>
  <c r="CO181" i="1"/>
  <c r="DA181" i="1"/>
  <c r="CO187" i="1"/>
  <c r="DA187" i="1"/>
  <c r="CO189" i="1"/>
  <c r="DA189" i="1"/>
  <c r="CO234" i="1"/>
  <c r="DA234" i="1"/>
  <c r="CO251" i="1"/>
  <c r="DA251" i="1"/>
  <c r="CO271" i="1"/>
  <c r="DA271" i="1"/>
  <c r="CO272" i="1"/>
  <c r="DA272" i="1"/>
  <c r="CO280" i="1"/>
  <c r="DA280" i="1"/>
  <c r="CO284" i="1"/>
  <c r="DA284" i="1"/>
  <c r="CO293" i="1"/>
  <c r="DA293" i="1"/>
  <c r="CO353" i="1"/>
  <c r="DA353" i="1"/>
  <c r="CO369" i="1"/>
  <c r="DA369" i="1"/>
  <c r="CO371" i="1"/>
  <c r="DA371" i="1"/>
  <c r="CO373" i="1"/>
  <c r="DA373" i="1"/>
  <c r="CO375" i="1"/>
  <c r="DA375" i="1"/>
  <c r="CO377" i="1"/>
  <c r="DA377" i="1"/>
  <c r="CO381" i="1"/>
  <c r="DA381" i="1"/>
  <c r="CO383" i="1"/>
  <c r="DA383" i="1"/>
  <c r="CO387" i="1"/>
  <c r="DA387" i="1"/>
  <c r="CO393" i="1"/>
  <c r="DA393" i="1"/>
  <c r="CO397" i="1"/>
  <c r="DA397" i="1"/>
  <c r="CO403" i="1"/>
  <c r="DA403" i="1"/>
  <c r="CO405" i="1"/>
  <c r="DA405" i="1"/>
  <c r="CO407" i="1"/>
  <c r="DA407" i="1"/>
  <c r="CO212" i="1"/>
  <c r="DA212" i="1"/>
  <c r="CO419" i="1"/>
  <c r="DA419" i="1"/>
  <c r="CO423" i="1"/>
  <c r="DA423" i="1"/>
  <c r="CO425" i="1"/>
  <c r="DA425" i="1"/>
  <c r="CO427" i="1"/>
  <c r="DA427" i="1"/>
  <c r="CO431" i="1"/>
  <c r="DA431" i="1"/>
  <c r="CO186" i="1"/>
  <c r="DA186" i="1"/>
  <c r="CO436" i="1"/>
  <c r="DA436" i="1"/>
  <c r="CO438" i="1"/>
  <c r="DA438" i="1"/>
  <c r="CO443" i="1"/>
  <c r="DA443" i="1"/>
  <c r="CO445" i="1"/>
  <c r="DA445" i="1"/>
  <c r="CO447" i="1"/>
  <c r="DA447" i="1"/>
  <c r="CO450" i="1"/>
  <c r="DA450" i="1"/>
  <c r="CO454" i="1"/>
  <c r="DA454" i="1"/>
  <c r="CO522" i="1"/>
  <c r="DA522" i="1"/>
  <c r="CO526" i="1"/>
  <c r="DA526" i="1"/>
  <c r="CO532" i="1"/>
  <c r="DA532" i="1"/>
  <c r="CO534" i="1"/>
  <c r="DA534" i="1"/>
  <c r="CO540" i="1"/>
  <c r="DA540" i="1"/>
  <c r="CO111" i="1"/>
  <c r="DA111" i="1"/>
  <c r="CO719" i="1"/>
  <c r="DA719" i="1"/>
  <c r="CO721" i="1"/>
  <c r="DA721" i="1"/>
  <c r="CO725" i="1"/>
  <c r="DA725" i="1"/>
  <c r="CO727" i="1"/>
  <c r="DA727" i="1"/>
  <c r="CO729" i="1"/>
  <c r="DA729" i="1"/>
  <c r="CO733" i="1"/>
  <c r="DA733" i="1"/>
  <c r="CO737" i="1"/>
  <c r="DA737" i="1"/>
  <c r="CO741" i="1"/>
  <c r="DA741" i="1"/>
  <c r="CO745" i="1"/>
  <c r="DA745" i="1"/>
  <c r="CO749" i="1"/>
  <c r="DA749" i="1"/>
  <c r="CO753" i="1"/>
  <c r="DA753" i="1"/>
  <c r="CO757" i="1"/>
  <c r="DA757" i="1"/>
  <c r="CO761" i="1"/>
  <c r="DA761" i="1"/>
  <c r="CO765" i="1"/>
  <c r="DA765" i="1"/>
  <c r="CO769" i="1"/>
  <c r="DA769" i="1"/>
  <c r="CO773" i="1"/>
  <c r="DA773" i="1"/>
  <c r="CO777" i="1"/>
  <c r="DA777" i="1"/>
  <c r="CO781" i="1"/>
  <c r="DA781" i="1"/>
  <c r="CO785" i="1"/>
  <c r="DA785" i="1"/>
  <c r="CO788" i="1"/>
  <c r="DA788" i="1"/>
  <c r="CO824" i="1"/>
  <c r="DA824" i="1"/>
  <c r="CO827" i="1"/>
  <c r="DA827" i="1"/>
  <c r="CO801" i="1"/>
  <c r="DA801" i="1"/>
  <c r="CO805" i="1"/>
  <c r="DA805" i="1"/>
  <c r="CO809" i="1"/>
  <c r="DA809" i="1"/>
  <c r="CO813" i="1"/>
  <c r="DA813" i="1"/>
  <c r="CO819" i="1"/>
  <c r="DA819" i="1"/>
  <c r="CO831" i="1"/>
  <c r="DA831" i="1"/>
  <c r="CO835" i="1"/>
  <c r="DA835" i="1"/>
  <c r="CO838" i="1"/>
  <c r="DA838" i="1"/>
  <c r="CO842" i="1"/>
  <c r="DA842" i="1"/>
  <c r="CO846" i="1"/>
  <c r="DA846" i="1"/>
  <c r="CO850" i="1"/>
  <c r="DA850" i="1"/>
  <c r="CO854" i="1"/>
  <c r="DA854" i="1"/>
  <c r="CO858" i="1"/>
  <c r="DA858" i="1"/>
  <c r="CO862" i="1"/>
  <c r="DA862" i="1"/>
  <c r="CO866" i="1"/>
  <c r="DA866" i="1"/>
  <c r="CO839" i="1"/>
  <c r="DA839" i="1"/>
  <c r="CO863" i="1"/>
  <c r="DA863" i="1"/>
  <c r="CO879" i="1"/>
  <c r="DA879" i="1"/>
  <c r="CO1037" i="1"/>
  <c r="DA1037" i="1"/>
  <c r="CO1041" i="1"/>
  <c r="DA1041" i="1"/>
  <c r="CO1045" i="1"/>
  <c r="DA1045" i="1"/>
  <c r="CO1049" i="1"/>
  <c r="DA1049" i="1"/>
  <c r="CO1055" i="1"/>
  <c r="DA1055" i="1"/>
  <c r="CO1063" i="1"/>
  <c r="DA1063" i="1"/>
  <c r="CO1067" i="1"/>
  <c r="DA1067" i="1"/>
  <c r="CO1073" i="1"/>
  <c r="DA1073" i="1"/>
  <c r="CO1077" i="1"/>
  <c r="DA1077" i="1"/>
  <c r="CO1081" i="1"/>
  <c r="DA1081" i="1"/>
  <c r="CO1085" i="1"/>
  <c r="DA1085" i="1"/>
  <c r="CO1089" i="1"/>
  <c r="DA1089" i="1"/>
  <c r="CO1093" i="1"/>
  <c r="DA1093" i="1"/>
  <c r="CO1097" i="1"/>
  <c r="DA1097" i="1"/>
  <c r="CO1101" i="1"/>
  <c r="DA1101" i="1"/>
  <c r="CO1105" i="1"/>
  <c r="DA1105" i="1"/>
  <c r="CO1109" i="1"/>
  <c r="DA1109" i="1"/>
  <c r="CO1113" i="1"/>
  <c r="DA1113" i="1"/>
  <c r="CO1117" i="1"/>
  <c r="DA1117" i="1"/>
  <c r="CO1121" i="1"/>
  <c r="DA1121" i="1"/>
  <c r="CO829" i="1"/>
  <c r="DA829" i="1"/>
  <c r="CO837" i="1"/>
  <c r="DA837" i="1"/>
  <c r="CO844" i="1"/>
  <c r="DA844" i="1"/>
  <c r="CO852" i="1"/>
  <c r="DA852" i="1"/>
  <c r="CO860" i="1"/>
  <c r="DA860" i="1"/>
  <c r="CO868" i="1"/>
  <c r="DA868" i="1"/>
  <c r="CO876" i="1"/>
  <c r="DA876" i="1"/>
  <c r="CO936" i="1"/>
  <c r="DA936" i="1"/>
  <c r="CO1036" i="1"/>
  <c r="DA1036" i="1"/>
  <c r="CO1040" i="1"/>
  <c r="DA1040" i="1"/>
  <c r="CO1044" i="1"/>
  <c r="DA1044" i="1"/>
  <c r="CO1048" i="1"/>
  <c r="DA1048" i="1"/>
  <c r="CO1052" i="1"/>
  <c r="DA1052" i="1"/>
  <c r="CO1056" i="1"/>
  <c r="DA1056" i="1"/>
  <c r="CO1060" i="1"/>
  <c r="DA1060" i="1"/>
  <c r="CO1064" i="1"/>
  <c r="DA1064" i="1"/>
  <c r="CO1068" i="1"/>
  <c r="DA1068" i="1"/>
  <c r="CO1072" i="1"/>
  <c r="DA1072" i="1"/>
  <c r="CO1076" i="1"/>
  <c r="DA1076" i="1"/>
  <c r="CO1080" i="1"/>
  <c r="DA1080" i="1"/>
  <c r="CO1084" i="1"/>
  <c r="DA1084" i="1"/>
  <c r="CO1088" i="1"/>
  <c r="DA1088" i="1"/>
  <c r="CO1092" i="1"/>
  <c r="DA1092" i="1"/>
  <c r="CO1096" i="1"/>
  <c r="DA1096" i="1"/>
  <c r="CO1100" i="1"/>
  <c r="DA1100" i="1"/>
  <c r="CO1104" i="1"/>
  <c r="DA1104" i="1"/>
  <c r="CO1108" i="1"/>
  <c r="DA1108" i="1"/>
  <c r="CO1112" i="1"/>
  <c r="DA1112" i="1"/>
  <c r="CO1116" i="1"/>
  <c r="DA1116" i="1"/>
  <c r="CO1120" i="1"/>
  <c r="DA1120" i="1"/>
  <c r="CO5" i="1"/>
  <c r="DA5" i="1"/>
  <c r="CO7" i="1"/>
  <c r="DA7" i="1"/>
  <c r="CO11" i="1"/>
  <c r="DA11" i="1"/>
  <c r="CO15" i="1"/>
  <c r="DA15" i="1"/>
  <c r="CO17" i="1"/>
  <c r="DA17" i="1"/>
  <c r="CO19" i="1"/>
  <c r="DA19" i="1"/>
  <c r="CO22" i="1"/>
  <c r="DA22" i="1"/>
  <c r="CO23" i="1"/>
  <c r="DA23" i="1"/>
  <c r="CO25" i="1"/>
  <c r="DA25" i="1"/>
  <c r="CO27" i="1"/>
  <c r="DA27" i="1"/>
  <c r="CO161" i="1"/>
  <c r="DA161" i="1"/>
  <c r="CO363" i="1"/>
  <c r="DA363" i="1"/>
  <c r="CO39" i="1"/>
  <c r="DA39" i="1"/>
  <c r="CO219" i="1"/>
  <c r="DA219" i="1"/>
  <c r="CO41" i="1"/>
  <c r="DA41" i="1"/>
  <c r="CO45" i="1"/>
  <c r="DA45" i="1"/>
  <c r="CO47" i="1"/>
  <c r="DA47" i="1"/>
  <c r="CO49" i="1"/>
  <c r="DA49" i="1"/>
  <c r="CO53" i="1"/>
  <c r="DA53" i="1"/>
  <c r="CO55" i="1"/>
  <c r="DA55" i="1"/>
  <c r="CO61" i="1"/>
  <c r="DA61" i="1"/>
  <c r="CO63" i="1"/>
  <c r="DA63" i="1"/>
  <c r="CO65" i="1"/>
  <c r="DA65" i="1"/>
  <c r="CO67" i="1"/>
  <c r="DA67" i="1"/>
  <c r="CO75" i="1"/>
  <c r="DA75" i="1"/>
  <c r="CO77" i="1"/>
  <c r="DA77" i="1"/>
  <c r="CO79" i="1"/>
  <c r="DA79" i="1"/>
  <c r="CO83" i="1"/>
  <c r="DA83" i="1"/>
  <c r="CO89" i="1"/>
  <c r="DA89" i="1"/>
  <c r="CO91" i="1"/>
  <c r="DA91" i="1"/>
  <c r="CO94" i="1"/>
  <c r="DA94" i="1"/>
  <c r="CO96" i="1"/>
  <c r="DA96" i="1"/>
  <c r="CO98" i="1"/>
  <c r="DA98" i="1"/>
  <c r="CO101" i="1"/>
  <c r="DA101" i="1"/>
  <c r="CO341" i="1"/>
  <c r="DA341" i="1"/>
  <c r="CO108" i="1"/>
  <c r="DA108" i="1"/>
  <c r="CO68" i="1"/>
  <c r="DA68" i="1"/>
  <c r="CO114" i="1"/>
  <c r="DA114" i="1"/>
  <c r="CO116" i="1"/>
  <c r="DA116" i="1"/>
  <c r="CO118" i="1"/>
  <c r="DA118" i="1"/>
  <c r="CO122" i="1"/>
  <c r="DA122" i="1"/>
  <c r="CO124" i="1"/>
  <c r="DA124" i="1"/>
  <c r="CO130" i="1"/>
  <c r="DA130" i="1"/>
  <c r="CO132" i="1"/>
  <c r="DA132" i="1"/>
  <c r="CO134" i="1"/>
  <c r="DA134" i="1"/>
  <c r="CO138" i="1"/>
  <c r="DA138" i="1"/>
  <c r="CO140" i="1"/>
  <c r="DA140" i="1"/>
  <c r="CO143" i="1"/>
  <c r="DA143" i="1"/>
  <c r="CO144" i="1"/>
  <c r="DA144" i="1"/>
  <c r="CO147" i="1"/>
  <c r="DA147" i="1"/>
  <c r="CO149" i="1"/>
  <c r="DA149" i="1"/>
  <c r="CO151" i="1"/>
  <c r="DA151" i="1"/>
  <c r="CO153" i="1"/>
  <c r="DA153" i="1"/>
  <c r="CO155" i="1"/>
  <c r="DA155" i="1"/>
  <c r="CO159" i="1"/>
  <c r="DA159" i="1"/>
  <c r="CO164" i="1"/>
  <c r="DA164" i="1"/>
  <c r="CO166" i="1"/>
  <c r="DA166" i="1"/>
  <c r="CO168" i="1"/>
  <c r="DA168" i="1"/>
  <c r="CO170" i="1"/>
  <c r="DA170" i="1"/>
  <c r="CO174" i="1"/>
  <c r="DA174" i="1"/>
  <c r="CO176" i="1"/>
  <c r="DA176" i="1"/>
  <c r="CO178" i="1"/>
  <c r="DA178" i="1"/>
  <c r="CO180" i="1"/>
  <c r="DA180" i="1"/>
  <c r="CO183" i="1"/>
  <c r="DA183" i="1"/>
  <c r="CO185" i="1"/>
  <c r="DA185" i="1"/>
  <c r="CO190" i="1"/>
  <c r="DA190" i="1"/>
  <c r="CO192" i="1"/>
  <c r="DA192" i="1"/>
  <c r="CO194" i="1"/>
  <c r="DA194" i="1"/>
  <c r="CO196" i="1"/>
  <c r="DA196" i="1"/>
  <c r="CO198" i="1"/>
  <c r="DA198" i="1"/>
  <c r="CO202" i="1"/>
  <c r="DA202" i="1"/>
  <c r="CO203" i="1"/>
  <c r="DA203" i="1"/>
  <c r="CO206" i="1"/>
  <c r="DA206" i="1"/>
  <c r="CO208" i="1"/>
  <c r="DA208" i="1"/>
  <c r="CO210" i="1"/>
  <c r="DA210" i="1"/>
  <c r="CO485" i="1"/>
  <c r="DA485" i="1"/>
  <c r="CO214" i="1"/>
  <c r="DA214" i="1"/>
  <c r="CO218" i="1"/>
  <c r="DA218" i="1"/>
  <c r="CO672" i="1"/>
  <c r="DA672" i="1"/>
  <c r="CO225" i="1"/>
  <c r="DA225" i="1"/>
  <c r="CO227" i="1"/>
  <c r="DA227" i="1"/>
  <c r="CO229" i="1"/>
  <c r="DA229" i="1"/>
  <c r="CO231" i="1"/>
  <c r="DA231" i="1"/>
  <c r="CO233" i="1"/>
  <c r="DA233" i="1"/>
  <c r="CO235" i="1"/>
  <c r="DA235" i="1"/>
  <c r="CO241" i="1"/>
  <c r="DA241" i="1"/>
  <c r="CO289" i="1"/>
  <c r="DA289" i="1"/>
  <c r="CO244" i="1"/>
  <c r="DA244" i="1"/>
  <c r="CO246" i="1"/>
  <c r="DA246" i="1"/>
  <c r="CO248" i="1"/>
  <c r="DA248" i="1"/>
  <c r="CO481" i="1"/>
  <c r="DA481" i="1"/>
  <c r="CO205" i="1"/>
  <c r="DA205" i="1"/>
  <c r="CO254" i="1"/>
  <c r="DA254" i="1"/>
  <c r="CO256" i="1"/>
  <c r="DA256" i="1"/>
  <c r="CO709" i="1"/>
  <c r="DA709" i="1"/>
  <c r="CO260" i="1"/>
  <c r="DA260" i="1"/>
  <c r="CO262" i="1"/>
  <c r="DA262" i="1"/>
  <c r="CO264" i="1"/>
  <c r="DA264" i="1"/>
  <c r="CO266" i="1"/>
  <c r="DA266" i="1"/>
  <c r="CO268" i="1"/>
  <c r="DA268" i="1"/>
  <c r="CO270" i="1"/>
  <c r="DA270" i="1"/>
  <c r="CO223" i="1"/>
  <c r="DA223" i="1"/>
  <c r="CO275" i="1"/>
  <c r="DA275" i="1"/>
  <c r="CO277" i="1"/>
  <c r="DA277" i="1"/>
  <c r="CO279" i="1"/>
  <c r="DA279" i="1"/>
  <c r="CO283" i="1"/>
  <c r="DA283" i="1"/>
  <c r="CO285" i="1"/>
  <c r="DA285" i="1"/>
  <c r="CO287" i="1"/>
  <c r="DA287" i="1"/>
  <c r="CO292" i="1"/>
  <c r="DA292" i="1"/>
  <c r="CO294" i="1"/>
  <c r="DA294" i="1"/>
  <c r="CO296" i="1"/>
  <c r="DA296" i="1"/>
  <c r="CO298" i="1"/>
  <c r="DA298" i="1"/>
  <c r="CO302" i="1"/>
  <c r="DA302" i="1"/>
  <c r="CO304" i="1"/>
  <c r="DA304" i="1"/>
  <c r="CO306" i="1"/>
  <c r="DA306" i="1"/>
  <c r="CO310" i="1"/>
  <c r="DA310" i="1"/>
  <c r="CO312" i="1"/>
  <c r="DA312" i="1"/>
  <c r="CO316" i="1"/>
  <c r="DA316" i="1"/>
  <c r="CO321" i="1"/>
  <c r="DA321" i="1"/>
  <c r="CO325" i="1"/>
  <c r="DA325" i="1"/>
  <c r="CO333" i="1"/>
  <c r="DA333" i="1"/>
  <c r="CO340" i="1"/>
  <c r="DA340" i="1"/>
  <c r="CO345" i="1"/>
  <c r="DA345" i="1"/>
  <c r="CO348" i="1"/>
  <c r="DA348" i="1"/>
  <c r="CO350" i="1"/>
  <c r="DA350" i="1"/>
  <c r="CO352" i="1"/>
  <c r="DA352" i="1"/>
  <c r="CO356" i="1"/>
  <c r="DA356" i="1"/>
  <c r="CO360" i="1"/>
  <c r="DA360" i="1"/>
  <c r="CO364" i="1"/>
  <c r="DA364" i="1"/>
  <c r="CO366" i="1"/>
  <c r="DA366" i="1"/>
  <c r="CO368" i="1"/>
  <c r="DA368" i="1"/>
  <c r="CO372" i="1"/>
  <c r="DA372" i="1"/>
  <c r="CO376" i="1"/>
  <c r="DA376" i="1"/>
  <c r="CO382" i="1"/>
  <c r="DA382" i="1"/>
  <c r="CO386" i="1"/>
  <c r="DA386" i="1"/>
  <c r="CO394" i="1"/>
  <c r="DA394" i="1"/>
  <c r="CO398" i="1"/>
  <c r="DA398" i="1"/>
  <c r="CO409" i="1"/>
  <c r="DA409" i="1"/>
  <c r="CO177" i="1"/>
  <c r="DA177" i="1"/>
  <c r="CO424" i="1"/>
  <c r="DA424" i="1"/>
  <c r="CO428" i="1"/>
  <c r="DA428" i="1"/>
  <c r="CO430" i="1"/>
  <c r="DA430" i="1"/>
  <c r="CO440" i="1"/>
  <c r="DA440" i="1"/>
  <c r="CO448" i="1"/>
  <c r="DA448" i="1"/>
  <c r="CO451" i="1"/>
  <c r="DA451" i="1"/>
  <c r="CO453" i="1"/>
  <c r="DA453" i="1"/>
  <c r="CO457" i="1"/>
  <c r="DA457" i="1"/>
  <c r="CO458" i="1"/>
  <c r="DA458" i="1"/>
  <c r="CO380" i="1"/>
  <c r="DA380" i="1"/>
  <c r="CO461" i="1"/>
  <c r="DA461" i="1"/>
  <c r="CO439" i="1"/>
  <c r="DA439" i="1"/>
  <c r="CO464" i="1"/>
  <c r="DA464" i="1"/>
  <c r="CO466" i="1"/>
  <c r="DA466" i="1"/>
  <c r="CO20" i="1"/>
  <c r="DA20" i="1"/>
  <c r="CO470" i="1"/>
  <c r="DA470" i="1"/>
  <c r="CO473" i="1"/>
  <c r="DA473" i="1"/>
  <c r="CO31" i="1"/>
  <c r="DA31" i="1"/>
  <c r="CO32" i="1"/>
  <c r="DA32" i="1"/>
  <c r="CO478" i="1"/>
  <c r="DA478" i="1"/>
  <c r="CO480" i="1"/>
  <c r="DA480" i="1"/>
  <c r="CO483" i="1"/>
  <c r="DA483" i="1"/>
  <c r="CO475" i="1"/>
  <c r="DA475" i="1"/>
  <c r="CO486" i="1"/>
  <c r="DA486" i="1"/>
  <c r="CO490" i="1"/>
  <c r="DA490" i="1"/>
  <c r="CO492" i="1"/>
  <c r="DA492" i="1"/>
  <c r="CO459" i="1"/>
  <c r="DA459" i="1"/>
  <c r="CO495" i="1"/>
  <c r="DA495" i="1"/>
  <c r="CO497" i="1"/>
  <c r="DA497" i="1"/>
  <c r="CO499" i="1"/>
  <c r="DA499" i="1"/>
  <c r="CO501" i="1"/>
  <c r="DA501" i="1"/>
  <c r="CO503" i="1"/>
  <c r="DA503" i="1"/>
  <c r="CO468" i="1"/>
  <c r="DA468" i="1"/>
  <c r="CO507" i="1"/>
  <c r="DA507" i="1"/>
  <c r="CO514" i="1"/>
  <c r="DA514" i="1"/>
  <c r="CO517" i="1"/>
  <c r="DA517" i="1"/>
  <c r="CO519" i="1"/>
  <c r="DA519" i="1"/>
  <c r="CO521" i="1"/>
  <c r="DA521" i="1"/>
  <c r="CO525" i="1"/>
  <c r="DA525" i="1"/>
  <c r="CO529" i="1"/>
  <c r="DA529" i="1"/>
  <c r="CO537" i="1"/>
  <c r="DA537" i="1"/>
  <c r="CO539" i="1"/>
  <c r="DA539" i="1"/>
  <c r="CO545" i="1"/>
  <c r="DA545" i="1"/>
  <c r="CO547" i="1"/>
  <c r="DA547" i="1"/>
  <c r="CO549" i="1"/>
  <c r="DA549" i="1"/>
  <c r="CO550" i="1"/>
  <c r="DA550" i="1"/>
  <c r="CO552" i="1"/>
  <c r="DA552" i="1"/>
  <c r="CO512" i="1"/>
  <c r="DA512" i="1"/>
  <c r="CO554" i="1"/>
  <c r="DA554" i="1"/>
  <c r="CO556" i="1"/>
  <c r="DA556" i="1"/>
  <c r="CO558" i="1"/>
  <c r="DA558" i="1"/>
  <c r="CO560" i="1"/>
  <c r="DA560" i="1"/>
  <c r="CO561" i="1"/>
  <c r="DA561" i="1"/>
  <c r="CO563" i="1"/>
  <c r="DA563" i="1"/>
  <c r="CO565" i="1"/>
  <c r="DA565" i="1"/>
  <c r="CO567" i="1"/>
  <c r="DA567" i="1"/>
  <c r="CO569" i="1"/>
  <c r="DA569" i="1"/>
  <c r="CO571" i="1"/>
  <c r="DA571" i="1"/>
  <c r="CO573" i="1"/>
  <c r="DA573" i="1"/>
  <c r="CO575" i="1"/>
  <c r="DA575" i="1"/>
  <c r="CO577" i="1"/>
  <c r="DA577" i="1"/>
  <c r="CO579" i="1"/>
  <c r="DA579" i="1"/>
  <c r="CO581" i="1"/>
  <c r="DA581" i="1"/>
  <c r="CO583" i="1"/>
  <c r="DA583" i="1"/>
  <c r="CO585" i="1"/>
  <c r="DA585" i="1"/>
  <c r="CO587" i="1"/>
  <c r="DA587" i="1"/>
  <c r="CO589" i="1"/>
  <c r="DA589" i="1"/>
  <c r="CO591" i="1"/>
  <c r="DA591" i="1"/>
  <c r="CO593" i="1"/>
  <c r="DA593" i="1"/>
  <c r="CO595" i="1"/>
  <c r="DA595" i="1"/>
  <c r="CO597" i="1"/>
  <c r="DA597" i="1"/>
  <c r="CO599" i="1"/>
  <c r="DA599" i="1"/>
  <c r="CO601" i="1"/>
  <c r="DA601" i="1"/>
  <c r="CO603" i="1"/>
  <c r="DA603" i="1"/>
  <c r="CO607" i="1"/>
  <c r="DA607" i="1"/>
  <c r="CO609" i="1"/>
  <c r="DA609" i="1"/>
  <c r="CO611" i="1"/>
  <c r="DA611" i="1"/>
  <c r="CO613" i="1"/>
  <c r="DA613" i="1"/>
  <c r="CO615" i="1"/>
  <c r="DA615" i="1"/>
  <c r="CO619" i="1"/>
  <c r="DA619" i="1"/>
  <c r="CO621" i="1"/>
  <c r="DA621" i="1"/>
  <c r="CO623" i="1"/>
  <c r="DA623" i="1"/>
  <c r="CO627" i="1"/>
  <c r="DA627" i="1"/>
  <c r="CO629" i="1"/>
  <c r="DA629" i="1"/>
  <c r="CO631" i="1"/>
  <c r="DA631" i="1"/>
  <c r="CO635" i="1"/>
  <c r="DA635" i="1"/>
  <c r="CO637" i="1"/>
  <c r="DA637" i="1"/>
  <c r="CO639" i="1"/>
  <c r="DA639" i="1"/>
  <c r="CO643" i="1"/>
  <c r="DA643" i="1"/>
  <c r="CO645" i="1"/>
  <c r="DA645" i="1"/>
  <c r="CO647" i="1"/>
  <c r="DA647" i="1"/>
  <c r="CO651" i="1"/>
  <c r="DA651" i="1"/>
  <c r="CO653" i="1"/>
  <c r="DA653" i="1"/>
  <c r="CO655" i="1"/>
  <c r="DA655" i="1"/>
  <c r="CO659" i="1"/>
  <c r="DA659" i="1"/>
  <c r="CO661" i="1"/>
  <c r="DA661" i="1"/>
  <c r="CO663" i="1"/>
  <c r="DA663" i="1"/>
  <c r="CO667" i="1"/>
  <c r="DA667" i="1"/>
  <c r="CO669" i="1"/>
  <c r="DA669" i="1"/>
  <c r="CO488" i="1"/>
  <c r="DA488" i="1"/>
  <c r="CO674" i="1"/>
  <c r="DA674" i="1"/>
  <c r="CO677" i="1"/>
  <c r="DA677" i="1"/>
  <c r="CO679" i="1"/>
  <c r="DA679" i="1"/>
  <c r="CO683" i="1"/>
  <c r="DA683" i="1"/>
  <c r="CO685" i="1"/>
  <c r="DA685" i="1"/>
  <c r="CO687" i="1"/>
  <c r="DA687" i="1"/>
  <c r="CO693" i="1"/>
  <c r="DA693" i="1"/>
  <c r="CO695" i="1"/>
  <c r="DA695" i="1"/>
  <c r="CO696" i="1"/>
  <c r="DA696" i="1"/>
  <c r="CO700" i="1"/>
  <c r="DA700" i="1"/>
  <c r="CO701" i="1"/>
  <c r="DA701" i="1"/>
  <c r="CO703" i="1"/>
  <c r="DA703" i="1"/>
  <c r="CO707" i="1"/>
  <c r="DA707" i="1"/>
  <c r="CO710" i="1"/>
  <c r="DA710" i="1"/>
  <c r="CO712" i="1"/>
  <c r="DA712" i="1"/>
  <c r="CO717" i="1"/>
  <c r="DA717" i="1"/>
  <c r="CO908" i="1"/>
  <c r="DA908" i="1"/>
  <c r="CO944" i="1"/>
  <c r="DA944" i="1"/>
  <c r="CO946" i="1"/>
  <c r="DA946" i="1"/>
  <c r="CO948" i="1"/>
  <c r="DA948" i="1"/>
  <c r="CO950" i="1"/>
  <c r="DA950" i="1"/>
  <c r="CO952" i="1"/>
  <c r="DA952" i="1"/>
  <c r="CO954" i="1"/>
  <c r="DA954" i="1"/>
  <c r="CO956" i="1"/>
  <c r="DA956" i="1"/>
  <c r="CO958" i="1"/>
  <c r="DA958" i="1"/>
  <c r="CO960" i="1"/>
  <c r="DA960" i="1"/>
  <c r="CO962" i="1"/>
  <c r="DA962" i="1"/>
  <c r="CO964" i="1"/>
  <c r="DA964" i="1"/>
  <c r="CO966" i="1"/>
  <c r="DA966" i="1"/>
  <c r="CO968" i="1"/>
  <c r="DA968" i="1"/>
  <c r="CO970" i="1"/>
  <c r="DA970" i="1"/>
  <c r="CO972" i="1"/>
  <c r="DA972" i="1"/>
  <c r="CO974" i="1"/>
  <c r="DA974" i="1"/>
  <c r="CO976" i="1"/>
  <c r="DA976" i="1"/>
  <c r="CO978" i="1"/>
  <c r="DA978" i="1"/>
  <c r="CO980" i="1"/>
  <c r="DA980" i="1"/>
  <c r="CO982" i="1"/>
  <c r="DA982" i="1"/>
  <c r="CO984" i="1"/>
  <c r="DA984" i="1"/>
  <c r="CO986" i="1"/>
  <c r="DA986" i="1"/>
  <c r="CO988" i="1"/>
  <c r="DA988" i="1"/>
  <c r="CO990" i="1"/>
  <c r="DA990" i="1"/>
  <c r="CO992" i="1"/>
  <c r="DA992" i="1"/>
  <c r="CO994" i="1"/>
  <c r="DA994" i="1"/>
  <c r="CO996" i="1"/>
  <c r="DA996" i="1"/>
  <c r="CO998" i="1"/>
  <c r="DA998" i="1"/>
  <c r="CO1000" i="1"/>
  <c r="DA1000" i="1"/>
  <c r="CO1002" i="1"/>
  <c r="DA1002" i="1"/>
  <c r="CO1004" i="1"/>
  <c r="DA1004" i="1"/>
  <c r="CO1008" i="1"/>
  <c r="DA1008" i="1"/>
  <c r="CO1010" i="1"/>
  <c r="DA1010" i="1"/>
  <c r="CO1014" i="1"/>
  <c r="DA1014" i="1"/>
  <c r="CO1018" i="1"/>
  <c r="DA1018" i="1"/>
  <c r="CO1020" i="1"/>
  <c r="DA1020" i="1"/>
  <c r="CO1022" i="1"/>
  <c r="DA1022" i="1"/>
  <c r="CO1024" i="1"/>
  <c r="DA1024" i="1"/>
  <c r="CO1026" i="1"/>
  <c r="DA1026" i="1"/>
  <c r="CO1028" i="1"/>
  <c r="DA1028" i="1"/>
  <c r="CO1030" i="1"/>
  <c r="DA1030" i="1"/>
  <c r="CO6" i="1"/>
  <c r="DA6" i="1"/>
  <c r="CO8" i="1"/>
  <c r="DA8" i="1"/>
  <c r="CO10" i="1"/>
  <c r="DA10" i="1"/>
  <c r="CO18" i="1"/>
  <c r="DA18" i="1"/>
  <c r="CO21" i="1"/>
  <c r="DA21" i="1"/>
  <c r="CO257" i="1"/>
  <c r="DA257" i="1"/>
  <c r="CO28" i="1"/>
  <c r="DA28" i="1"/>
  <c r="CO30" i="1"/>
  <c r="DA30" i="1"/>
  <c r="CO33" i="1"/>
  <c r="DA33" i="1"/>
  <c r="CO37" i="1"/>
  <c r="DA37" i="1"/>
  <c r="CO319" i="1"/>
  <c r="DA319" i="1"/>
  <c r="CO44" i="1"/>
  <c r="DA44" i="1"/>
  <c r="CO48" i="1"/>
  <c r="DA48" i="1"/>
  <c r="CO50" i="1"/>
  <c r="DA50" i="1"/>
  <c r="CO52" i="1"/>
  <c r="DA52" i="1"/>
  <c r="CO56" i="1"/>
  <c r="DA56" i="1"/>
  <c r="CO58" i="1"/>
  <c r="DA58" i="1"/>
  <c r="CO64" i="1"/>
  <c r="DA64" i="1"/>
  <c r="CO66" i="1"/>
  <c r="DA66" i="1"/>
  <c r="CO70" i="1"/>
  <c r="DA70" i="1"/>
  <c r="CO72" i="1"/>
  <c r="DA72" i="1"/>
  <c r="CO78" i="1"/>
  <c r="DA78" i="1"/>
  <c r="CO84" i="1"/>
  <c r="DA84" i="1"/>
  <c r="CO88" i="1"/>
  <c r="DA88" i="1"/>
  <c r="CO90" i="1"/>
  <c r="DA90" i="1"/>
  <c r="CO92" i="1"/>
  <c r="DA92" i="1"/>
  <c r="CO240" i="1"/>
  <c r="DA240" i="1"/>
  <c r="CO100" i="1"/>
  <c r="DA100" i="1"/>
  <c r="CO102" i="1"/>
  <c r="DA102" i="1"/>
  <c r="CO104" i="1"/>
  <c r="DA104" i="1"/>
  <c r="CO105" i="1"/>
  <c r="DA105" i="1"/>
  <c r="CO107" i="1"/>
  <c r="DA107" i="1"/>
  <c r="CO113" i="1"/>
  <c r="DA113" i="1"/>
  <c r="CO115" i="1"/>
  <c r="DA115" i="1"/>
  <c r="CO117" i="1"/>
  <c r="DA117" i="1"/>
  <c r="CO119" i="1"/>
  <c r="DA119" i="1"/>
  <c r="CO121" i="1"/>
  <c r="DA121" i="1"/>
  <c r="CO123" i="1"/>
  <c r="DA123" i="1"/>
  <c r="CO125" i="1"/>
  <c r="DA125" i="1"/>
  <c r="CO129" i="1"/>
  <c r="DA129" i="1"/>
  <c r="CO131" i="1"/>
  <c r="DA131" i="1"/>
  <c r="CO133" i="1"/>
  <c r="DA133" i="1"/>
  <c r="CO135" i="1"/>
  <c r="DA135" i="1"/>
  <c r="CO137" i="1"/>
  <c r="DA137" i="1"/>
  <c r="CO139" i="1"/>
  <c r="DA139" i="1"/>
  <c r="CO142" i="1"/>
  <c r="DA142" i="1"/>
  <c r="CO145" i="1"/>
  <c r="DA145" i="1"/>
  <c r="CO148" i="1"/>
  <c r="DA148" i="1"/>
  <c r="CO150" i="1"/>
  <c r="DA150" i="1"/>
  <c r="CO152" i="1"/>
  <c r="DA152" i="1"/>
  <c r="CO154" i="1"/>
  <c r="DA154" i="1"/>
  <c r="CO158" i="1"/>
  <c r="DA158" i="1"/>
  <c r="CO165" i="1"/>
  <c r="DA165" i="1"/>
  <c r="CO169" i="1"/>
  <c r="DA169" i="1"/>
  <c r="CO171" i="1"/>
  <c r="DA171" i="1"/>
  <c r="CO173" i="1"/>
  <c r="DA173" i="1"/>
  <c r="CO675" i="1"/>
  <c r="DA675" i="1"/>
  <c r="CO179" i="1"/>
  <c r="DA179" i="1"/>
  <c r="CO182" i="1"/>
  <c r="DA182" i="1"/>
  <c r="CO184" i="1"/>
  <c r="DA184" i="1"/>
  <c r="CO191" i="1"/>
  <c r="DA191" i="1"/>
  <c r="CO193" i="1"/>
  <c r="DA193" i="1"/>
  <c r="CO195" i="1"/>
  <c r="DA195" i="1"/>
  <c r="CO197" i="1"/>
  <c r="DA197" i="1"/>
  <c r="CO199" i="1"/>
  <c r="DA199" i="1"/>
  <c r="CO201" i="1"/>
  <c r="DA201" i="1"/>
  <c r="CO691" i="1"/>
  <c r="DA691" i="1"/>
  <c r="CO204" i="1"/>
  <c r="DA204" i="1"/>
  <c r="CO207" i="1"/>
  <c r="DA207" i="1"/>
  <c r="CO209" i="1"/>
  <c r="DA209" i="1"/>
  <c r="CO211" i="1"/>
  <c r="DA211" i="1"/>
  <c r="CO213" i="1"/>
  <c r="DA213" i="1"/>
  <c r="CO215" i="1"/>
  <c r="DA215" i="1"/>
  <c r="CO217" i="1"/>
  <c r="DA217" i="1"/>
  <c r="CO220" i="1"/>
  <c r="DA220" i="1"/>
  <c r="CO222" i="1"/>
  <c r="DA222" i="1"/>
  <c r="CO224" i="1"/>
  <c r="DA224" i="1"/>
  <c r="CO226" i="1"/>
  <c r="DA226" i="1"/>
  <c r="CO228" i="1"/>
  <c r="DA228" i="1"/>
  <c r="CO230" i="1"/>
  <c r="DA230" i="1"/>
  <c r="CO232" i="1"/>
  <c r="DA232" i="1"/>
  <c r="CO236" i="1"/>
  <c r="DA236" i="1"/>
  <c r="CO239" i="1"/>
  <c r="DA239" i="1"/>
  <c r="CO242" i="1"/>
  <c r="DA242" i="1"/>
  <c r="CO243" i="1"/>
  <c r="DA243" i="1"/>
  <c r="CO245" i="1"/>
  <c r="DA245" i="1"/>
  <c r="CO247" i="1"/>
  <c r="DA247" i="1"/>
  <c r="CO249" i="1"/>
  <c r="DA249" i="1"/>
  <c r="CO250" i="1"/>
  <c r="DA250" i="1"/>
  <c r="CO253" i="1"/>
  <c r="DA253" i="1"/>
  <c r="CO255" i="1"/>
  <c r="DA255" i="1"/>
  <c r="CO258" i="1"/>
  <c r="DA258" i="1"/>
  <c r="CO259" i="1"/>
  <c r="DA259" i="1"/>
  <c r="CO261" i="1"/>
  <c r="DA261" i="1"/>
  <c r="CO263" i="1"/>
  <c r="DA263" i="1"/>
  <c r="CO265" i="1"/>
  <c r="DA265" i="1"/>
  <c r="CO267" i="1"/>
  <c r="DA267" i="1"/>
  <c r="CO269" i="1"/>
  <c r="DA269" i="1"/>
  <c r="CO274" i="1"/>
  <c r="DA274" i="1"/>
  <c r="CO276" i="1"/>
  <c r="DA276" i="1"/>
  <c r="CO278" i="1"/>
  <c r="DA278" i="1"/>
  <c r="CO282" i="1"/>
  <c r="DA282" i="1"/>
  <c r="CO286" i="1"/>
  <c r="DA286" i="1"/>
  <c r="CO288" i="1"/>
  <c r="DA288" i="1"/>
  <c r="CO291" i="1"/>
  <c r="DA291" i="1"/>
  <c r="CO295" i="1"/>
  <c r="DA295" i="1"/>
  <c r="CO297" i="1"/>
  <c r="DA297" i="1"/>
  <c r="CO299" i="1"/>
  <c r="DA299" i="1"/>
  <c r="CO301" i="1"/>
  <c r="DA301" i="1"/>
  <c r="CO303" i="1"/>
  <c r="DA303" i="1"/>
  <c r="CO305" i="1"/>
  <c r="DA305" i="1"/>
  <c r="CO307" i="1"/>
  <c r="DA307" i="1"/>
  <c r="CO309" i="1"/>
  <c r="DA309" i="1"/>
  <c r="CO311" i="1"/>
  <c r="DA311" i="1"/>
  <c r="CO313" i="1"/>
  <c r="DA313" i="1"/>
  <c r="CO315" i="1"/>
  <c r="DA315" i="1"/>
  <c r="CO317" i="1"/>
  <c r="DA317" i="1"/>
  <c r="CO320" i="1"/>
  <c r="DA320" i="1"/>
  <c r="CO322" i="1"/>
  <c r="DA322" i="1"/>
  <c r="CO324" i="1"/>
  <c r="DA324" i="1"/>
  <c r="CO326" i="1"/>
  <c r="DA326" i="1"/>
  <c r="CO328" i="1"/>
  <c r="DA328" i="1"/>
  <c r="CO330" i="1"/>
  <c r="DA330" i="1"/>
  <c r="CO332" i="1"/>
  <c r="DA332" i="1"/>
  <c r="CO334" i="1"/>
  <c r="DA334" i="1"/>
  <c r="CO336" i="1"/>
  <c r="DA336" i="1"/>
  <c r="CO689" i="1"/>
  <c r="DA689" i="1"/>
  <c r="CO339" i="1"/>
  <c r="DA339" i="1"/>
  <c r="CO342" i="1"/>
  <c r="DA342" i="1"/>
  <c r="CO344" i="1"/>
  <c r="DA344" i="1"/>
  <c r="CO346" i="1"/>
  <c r="DA346" i="1"/>
  <c r="CO347" i="1"/>
  <c r="DA347" i="1"/>
  <c r="CO349" i="1"/>
  <c r="DA349" i="1"/>
  <c r="CO351" i="1"/>
  <c r="DA351" i="1"/>
  <c r="CO355" i="1"/>
  <c r="DA355" i="1"/>
  <c r="CO357" i="1"/>
  <c r="DA357" i="1"/>
  <c r="CO359" i="1"/>
  <c r="DA359" i="1"/>
  <c r="CO361" i="1"/>
  <c r="DA361" i="1"/>
  <c r="CO362" i="1"/>
  <c r="DA362" i="1"/>
  <c r="CO365" i="1"/>
  <c r="DA365" i="1"/>
  <c r="CO367" i="1"/>
  <c r="DA367" i="1"/>
  <c r="CO385" i="1"/>
  <c r="DA385" i="1"/>
  <c r="CO389" i="1"/>
  <c r="DA389" i="1"/>
  <c r="CO391" i="1"/>
  <c r="DA391" i="1"/>
  <c r="CO395" i="1"/>
  <c r="DA395" i="1"/>
  <c r="CO399" i="1"/>
  <c r="DA399" i="1"/>
  <c r="CO401" i="1"/>
  <c r="DA401" i="1"/>
  <c r="CO410" i="1"/>
  <c r="DA410" i="1"/>
  <c r="CO412" i="1"/>
  <c r="DA412" i="1"/>
  <c r="CO414" i="1"/>
  <c r="DA414" i="1"/>
  <c r="CO416" i="1"/>
  <c r="DA416" i="1"/>
  <c r="CO417" i="1"/>
  <c r="DA417" i="1"/>
  <c r="CO421" i="1"/>
  <c r="DA421" i="1"/>
  <c r="CO429" i="1"/>
  <c r="DA429" i="1"/>
  <c r="CO434" i="1"/>
  <c r="DA434" i="1"/>
  <c r="CO441" i="1"/>
  <c r="DA441" i="1"/>
  <c r="CO449" i="1"/>
  <c r="DA449" i="1"/>
  <c r="CO452" i="1"/>
  <c r="DA452" i="1"/>
  <c r="CO456" i="1"/>
  <c r="DA456" i="1"/>
  <c r="CO93" i="1"/>
  <c r="DA93" i="1"/>
  <c r="CO379" i="1"/>
  <c r="DA379" i="1"/>
  <c r="CO460" i="1"/>
  <c r="DA460" i="1"/>
  <c r="CO462" i="1"/>
  <c r="DA462" i="1"/>
  <c r="CO463" i="1"/>
  <c r="DA463" i="1"/>
  <c r="CO465" i="1"/>
  <c r="DA465" i="1"/>
  <c r="CO467" i="1"/>
  <c r="DA467" i="1"/>
  <c r="CO469" i="1"/>
  <c r="DA469" i="1"/>
  <c r="CO472" i="1"/>
  <c r="DA472" i="1"/>
  <c r="CO474" i="1"/>
  <c r="DA474" i="1"/>
  <c r="CO476" i="1"/>
  <c r="DA476" i="1"/>
  <c r="CO477" i="1"/>
  <c r="DA477" i="1"/>
  <c r="CO479" i="1"/>
  <c r="DA479" i="1"/>
  <c r="CO482" i="1"/>
  <c r="DA482" i="1"/>
  <c r="CO471" i="1"/>
  <c r="DA471" i="1"/>
  <c r="CO484" i="1"/>
  <c r="DA484" i="1"/>
  <c r="CO489" i="1"/>
  <c r="DA489" i="1"/>
  <c r="CO491" i="1"/>
  <c r="DA491" i="1"/>
  <c r="CO493" i="1"/>
  <c r="DA493" i="1"/>
  <c r="CO494" i="1"/>
  <c r="DA494" i="1"/>
  <c r="CO496" i="1"/>
  <c r="DA496" i="1"/>
  <c r="CO498" i="1"/>
  <c r="DA498" i="1"/>
  <c r="CO500" i="1"/>
  <c r="DA500" i="1"/>
  <c r="CO502" i="1"/>
  <c r="DA502" i="1"/>
  <c r="CO504" i="1"/>
  <c r="DA504" i="1"/>
  <c r="CO506" i="1"/>
  <c r="DA506" i="1"/>
  <c r="CO510" i="1"/>
  <c r="DA510" i="1"/>
  <c r="CO516" i="1"/>
  <c r="DA516" i="1"/>
  <c r="CO518" i="1"/>
  <c r="DA518" i="1"/>
  <c r="CO520" i="1"/>
  <c r="DA520" i="1"/>
  <c r="CO524" i="1"/>
  <c r="DA524" i="1"/>
  <c r="CO528" i="1"/>
  <c r="DA528" i="1"/>
  <c r="CO530" i="1"/>
  <c r="DA530" i="1"/>
  <c r="CO538" i="1"/>
  <c r="DA538" i="1"/>
  <c r="CO544" i="1"/>
  <c r="DA544" i="1"/>
  <c r="CO546" i="1"/>
  <c r="DA546" i="1"/>
  <c r="CO548" i="1"/>
  <c r="DA548" i="1"/>
  <c r="CO511" i="1"/>
  <c r="DA511" i="1"/>
  <c r="CO551" i="1"/>
  <c r="DA551" i="1"/>
  <c r="CO553" i="1"/>
  <c r="DA553" i="1"/>
  <c r="CO513" i="1"/>
  <c r="DA513" i="1"/>
  <c r="CO555" i="1"/>
  <c r="DA555" i="1"/>
  <c r="CO557" i="1"/>
  <c r="DA557" i="1"/>
  <c r="CO559" i="1"/>
  <c r="DA559" i="1"/>
  <c r="CO515" i="1"/>
  <c r="DA515" i="1"/>
  <c r="CO562" i="1"/>
  <c r="DA562" i="1"/>
  <c r="CO564" i="1"/>
  <c r="DA564" i="1"/>
  <c r="CO566" i="1"/>
  <c r="DA566" i="1"/>
  <c r="CO570" i="1"/>
  <c r="DA570" i="1"/>
  <c r="CO572" i="1"/>
  <c r="DA572" i="1"/>
  <c r="CO574" i="1"/>
  <c r="DA574" i="1"/>
  <c r="CO576" i="1"/>
  <c r="DA576" i="1"/>
  <c r="CO578" i="1"/>
  <c r="DA578" i="1"/>
  <c r="CO580" i="1"/>
  <c r="DA580" i="1"/>
  <c r="CO582" i="1"/>
  <c r="DA582" i="1"/>
  <c r="CO584" i="1"/>
  <c r="DA584" i="1"/>
  <c r="CO586" i="1"/>
  <c r="DA586" i="1"/>
  <c r="CO588" i="1"/>
  <c r="DA588" i="1"/>
  <c r="CO590" i="1"/>
  <c r="DA590" i="1"/>
  <c r="CO592" i="1"/>
  <c r="DA592" i="1"/>
  <c r="CO594" i="1"/>
  <c r="DA594" i="1"/>
  <c r="CO596" i="1"/>
  <c r="DA596" i="1"/>
  <c r="CO598" i="1"/>
  <c r="DA598" i="1"/>
  <c r="CO600" i="1"/>
  <c r="DA600" i="1"/>
  <c r="CO602" i="1"/>
  <c r="DA602" i="1"/>
  <c r="CO604" i="1"/>
  <c r="DA604" i="1"/>
  <c r="CO606" i="1"/>
  <c r="DA606" i="1"/>
  <c r="CO610" i="1"/>
  <c r="DA610" i="1"/>
  <c r="CO612" i="1"/>
  <c r="DA612" i="1"/>
  <c r="CO614" i="1"/>
  <c r="DA614" i="1"/>
  <c r="CO616" i="1"/>
  <c r="DA616" i="1"/>
  <c r="CO618" i="1"/>
  <c r="DA618" i="1"/>
  <c r="CO620" i="1"/>
  <c r="DA620" i="1"/>
  <c r="CO622" i="1"/>
  <c r="DA622" i="1"/>
  <c r="CO624" i="1"/>
  <c r="DA624" i="1"/>
  <c r="CO626" i="1"/>
  <c r="DA626" i="1"/>
  <c r="CO628" i="1"/>
  <c r="DA628" i="1"/>
  <c r="CO630" i="1"/>
  <c r="DA630" i="1"/>
  <c r="CO632" i="1"/>
  <c r="DA632" i="1"/>
  <c r="CO634" i="1"/>
  <c r="DA634" i="1"/>
  <c r="CO636" i="1"/>
  <c r="DA636" i="1"/>
  <c r="CO638" i="1"/>
  <c r="DA638" i="1"/>
  <c r="CO640" i="1"/>
  <c r="DA640" i="1"/>
  <c r="CO642" i="1"/>
  <c r="DA642" i="1"/>
  <c r="CO644" i="1"/>
  <c r="DA644" i="1"/>
  <c r="CO646" i="1"/>
  <c r="DA646" i="1"/>
  <c r="CO648" i="1"/>
  <c r="DA648" i="1"/>
  <c r="CO650" i="1"/>
  <c r="DA650" i="1"/>
  <c r="CO652" i="1"/>
  <c r="DA652" i="1"/>
  <c r="CO654" i="1"/>
  <c r="DA654" i="1"/>
  <c r="CO656" i="1"/>
  <c r="DA656" i="1"/>
  <c r="CO658" i="1"/>
  <c r="DA658" i="1"/>
  <c r="CO660" i="1"/>
  <c r="DA660" i="1"/>
  <c r="CO662" i="1"/>
  <c r="DA662" i="1"/>
  <c r="CO664" i="1"/>
  <c r="DA664" i="1"/>
  <c r="CO666" i="1"/>
  <c r="DA666" i="1"/>
  <c r="CO668" i="1"/>
  <c r="DA668" i="1"/>
  <c r="CO487" i="1"/>
  <c r="DA487" i="1"/>
  <c r="CO670" i="1"/>
  <c r="DA670" i="1"/>
  <c r="CO673" i="1"/>
  <c r="DA673" i="1"/>
  <c r="CO676" i="1"/>
  <c r="DA676" i="1"/>
  <c r="CO678" i="1"/>
  <c r="DA678" i="1"/>
  <c r="CO680" i="1"/>
  <c r="DA680" i="1"/>
  <c r="CO682" i="1"/>
  <c r="DA682" i="1"/>
  <c r="CO684" i="1"/>
  <c r="DA684" i="1"/>
  <c r="CO686" i="1"/>
  <c r="DA686" i="1"/>
  <c r="CO688" i="1"/>
  <c r="DA688" i="1"/>
  <c r="CO692" i="1"/>
  <c r="DA692" i="1"/>
  <c r="CO694" i="1"/>
  <c r="DA694" i="1"/>
  <c r="CO505" i="1"/>
  <c r="DA505" i="1"/>
  <c r="CO697" i="1"/>
  <c r="DA697" i="1"/>
  <c r="CO508" i="1"/>
  <c r="DA508" i="1"/>
  <c r="CO509" i="1"/>
  <c r="DA509" i="1"/>
  <c r="CO702" i="1"/>
  <c r="DA702" i="1"/>
  <c r="CO704" i="1"/>
  <c r="DA704" i="1"/>
  <c r="CO706" i="1"/>
  <c r="DA706" i="1"/>
  <c r="CO708" i="1"/>
  <c r="DA708" i="1"/>
  <c r="CO711" i="1"/>
  <c r="DA711" i="1"/>
  <c r="CO713" i="1"/>
  <c r="DA713" i="1"/>
  <c r="CO715" i="1"/>
  <c r="DA715" i="1"/>
  <c r="CO907" i="1"/>
  <c r="DA907" i="1"/>
  <c r="CO909" i="1"/>
  <c r="DA909" i="1"/>
  <c r="CO929" i="1"/>
  <c r="DA929" i="1"/>
  <c r="CO945" i="1"/>
  <c r="DA945" i="1"/>
  <c r="CO947" i="1"/>
  <c r="DA947" i="1"/>
  <c r="CO949" i="1"/>
  <c r="DA949" i="1"/>
  <c r="CO951" i="1"/>
  <c r="DA951" i="1"/>
  <c r="CO953" i="1"/>
  <c r="DA953" i="1"/>
  <c r="CO955" i="1"/>
  <c r="DA955" i="1"/>
  <c r="CO957" i="1"/>
  <c r="DA957" i="1"/>
  <c r="CO959" i="1"/>
  <c r="DA959" i="1"/>
  <c r="CO961" i="1"/>
  <c r="DA961" i="1"/>
  <c r="CO963" i="1"/>
  <c r="DA963" i="1"/>
  <c r="CO965" i="1"/>
  <c r="DA965" i="1"/>
  <c r="CO967" i="1"/>
  <c r="DA967" i="1"/>
  <c r="CO969" i="1"/>
  <c r="DA969" i="1"/>
  <c r="CO971" i="1"/>
  <c r="DA971" i="1"/>
  <c r="CO973" i="1"/>
  <c r="DA973" i="1"/>
  <c r="CO975" i="1"/>
  <c r="DA975" i="1"/>
  <c r="CO977" i="1"/>
  <c r="DA977" i="1"/>
  <c r="CO979" i="1"/>
  <c r="DA979" i="1"/>
  <c r="CO981" i="1"/>
  <c r="DA981" i="1"/>
  <c r="CO983" i="1"/>
  <c r="DA983" i="1"/>
  <c r="CO985" i="1"/>
  <c r="DA985" i="1"/>
  <c r="CO987" i="1"/>
  <c r="DA987" i="1"/>
  <c r="CO989" i="1"/>
  <c r="DA989" i="1"/>
  <c r="CO991" i="1"/>
  <c r="DA991" i="1"/>
  <c r="CO993" i="1"/>
  <c r="DA993" i="1"/>
  <c r="CO995" i="1"/>
  <c r="DA995" i="1"/>
  <c r="CO997" i="1"/>
  <c r="DA997" i="1"/>
  <c r="CO999" i="1"/>
  <c r="DA999" i="1"/>
  <c r="CO1001" i="1"/>
  <c r="DA1001" i="1"/>
  <c r="CO1003" i="1"/>
  <c r="DA1003" i="1"/>
  <c r="CO1005" i="1"/>
  <c r="DA1005" i="1"/>
  <c r="CO1007" i="1"/>
  <c r="DA1007" i="1"/>
  <c r="CO1011" i="1"/>
  <c r="DA1011" i="1"/>
  <c r="CO1013" i="1"/>
  <c r="DA1013" i="1"/>
  <c r="CO1015" i="1"/>
  <c r="DA1015" i="1"/>
  <c r="CO1017" i="1"/>
  <c r="DA1017" i="1"/>
  <c r="CO1019" i="1"/>
  <c r="DA1019" i="1"/>
  <c r="CO1021" i="1"/>
  <c r="DA1021" i="1"/>
  <c r="CO1023" i="1"/>
  <c r="DA1023" i="1"/>
  <c r="CO1025" i="1"/>
  <c r="DA1025" i="1"/>
  <c r="CO1027" i="1"/>
  <c r="DA1027" i="1"/>
  <c r="CO1029" i="1"/>
  <c r="DA1029" i="1"/>
  <c r="CO1053" i="1"/>
  <c r="DA1053" i="1"/>
  <c r="CO1057" i="1"/>
  <c r="DA1057" i="1"/>
  <c r="CO1069" i="1"/>
  <c r="DA1069" i="1"/>
  <c r="CO718" i="1"/>
  <c r="DA718" i="1"/>
  <c r="CO720" i="1"/>
  <c r="DA720" i="1"/>
  <c r="CO722" i="1"/>
  <c r="DA722" i="1"/>
  <c r="CO724" i="1"/>
  <c r="DA724" i="1"/>
  <c r="CO726" i="1"/>
  <c r="DA726" i="1"/>
  <c r="CO728" i="1"/>
  <c r="DA728" i="1"/>
  <c r="CO730" i="1"/>
  <c r="DA730" i="1"/>
  <c r="CO732" i="1"/>
  <c r="DA732" i="1"/>
  <c r="CO734" i="1"/>
  <c r="DA734" i="1"/>
  <c r="CO736" i="1"/>
  <c r="DA736" i="1"/>
  <c r="CO738" i="1"/>
  <c r="DA738" i="1"/>
  <c r="CO740" i="1"/>
  <c r="DA740" i="1"/>
  <c r="CO742" i="1"/>
  <c r="DA742" i="1"/>
  <c r="CO744" i="1"/>
  <c r="DA744" i="1"/>
  <c r="CO746" i="1"/>
  <c r="DA746" i="1"/>
  <c r="CO748" i="1"/>
  <c r="DA748" i="1"/>
  <c r="CO750" i="1"/>
  <c r="DA750" i="1"/>
  <c r="CO752" i="1"/>
  <c r="DA752" i="1"/>
  <c r="CO754" i="1"/>
  <c r="DA754" i="1"/>
  <c r="CO756" i="1"/>
  <c r="DA756" i="1"/>
  <c r="CO758" i="1"/>
  <c r="DA758" i="1"/>
  <c r="CO760" i="1"/>
  <c r="DA760" i="1"/>
  <c r="CO762" i="1"/>
  <c r="DA762" i="1"/>
  <c r="CO764" i="1"/>
  <c r="DA764" i="1"/>
  <c r="CO766" i="1"/>
  <c r="DA766" i="1"/>
  <c r="CO768" i="1"/>
  <c r="DA768" i="1"/>
  <c r="CO770" i="1"/>
  <c r="DA770" i="1"/>
  <c r="CO772" i="1"/>
  <c r="DA772" i="1"/>
  <c r="CO774" i="1"/>
  <c r="DA774" i="1"/>
  <c r="CO776" i="1"/>
  <c r="DA776" i="1"/>
  <c r="CO778" i="1"/>
  <c r="DA778" i="1"/>
  <c r="CO780" i="1"/>
  <c r="DA780" i="1"/>
  <c r="CO782" i="1"/>
  <c r="DA782" i="1"/>
  <c r="CO784" i="1"/>
  <c r="DA784" i="1"/>
  <c r="CO817" i="1"/>
  <c r="DA817" i="1"/>
  <c r="CO821" i="1"/>
  <c r="DA821" i="1"/>
  <c r="CO823" i="1"/>
  <c r="DA823" i="1"/>
  <c r="CO825" i="1"/>
  <c r="DA825" i="1"/>
  <c r="CO789" i="1"/>
  <c r="DA789" i="1"/>
  <c r="CO828" i="1"/>
  <c r="DA828" i="1"/>
  <c r="CO798" i="1"/>
  <c r="DA798" i="1"/>
  <c r="CO800" i="1"/>
  <c r="DA800" i="1"/>
  <c r="CO802" i="1"/>
  <c r="DA802" i="1"/>
  <c r="CO804" i="1"/>
  <c r="DA804" i="1"/>
  <c r="CO806" i="1"/>
  <c r="DA806" i="1"/>
  <c r="CO808" i="1"/>
  <c r="DA808" i="1"/>
  <c r="CO810" i="1"/>
  <c r="DA810" i="1"/>
  <c r="CO812" i="1"/>
  <c r="DA812" i="1"/>
  <c r="CO814" i="1"/>
  <c r="DA814" i="1"/>
  <c r="CO818" i="1"/>
  <c r="DA818" i="1"/>
  <c r="CO820" i="1"/>
  <c r="DA820" i="1"/>
  <c r="CO830" i="1"/>
  <c r="DA830" i="1"/>
  <c r="CO832" i="1"/>
  <c r="DA832" i="1"/>
  <c r="CO834" i="1"/>
  <c r="DA834" i="1"/>
  <c r="CO836" i="1"/>
  <c r="DA836" i="1"/>
  <c r="CO841" i="1"/>
  <c r="DA841" i="1"/>
  <c r="CO843" i="1"/>
  <c r="DA843" i="1"/>
  <c r="CO845" i="1"/>
  <c r="DA845" i="1"/>
  <c r="CO849" i="1"/>
  <c r="DA849" i="1"/>
  <c r="CO851" i="1"/>
  <c r="DA851" i="1"/>
  <c r="CO853" i="1"/>
  <c r="DA853" i="1"/>
  <c r="CO855" i="1"/>
  <c r="DA855" i="1"/>
  <c r="CO857" i="1"/>
  <c r="DA857" i="1"/>
  <c r="CO859" i="1"/>
  <c r="DA859" i="1"/>
  <c r="CO861" i="1"/>
  <c r="DA861" i="1"/>
  <c r="CO865" i="1"/>
  <c r="DA865" i="1"/>
  <c r="CO867" i="1"/>
  <c r="DA867" i="1"/>
  <c r="CO869" i="1"/>
  <c r="DA869" i="1"/>
  <c r="CO536" i="1"/>
  <c r="DA536" i="1"/>
  <c r="CO542" i="1"/>
  <c r="DA542" i="1"/>
  <c r="CO568" i="1"/>
  <c r="DA568" i="1"/>
  <c r="CO608" i="1"/>
  <c r="DA608" i="1"/>
  <c r="CO873" i="1"/>
  <c r="DA873" i="1"/>
  <c r="CO875" i="1"/>
  <c r="DA875" i="1"/>
  <c r="CO877" i="1"/>
  <c r="DA877" i="1"/>
  <c r="CO881" i="1"/>
  <c r="DA881" i="1"/>
  <c r="CO883" i="1"/>
  <c r="DA883" i="1"/>
  <c r="CO885" i="1"/>
  <c r="DA885" i="1"/>
  <c r="CO887" i="1"/>
  <c r="DA887" i="1"/>
  <c r="CO889" i="1"/>
  <c r="DA889" i="1"/>
  <c r="CO891" i="1"/>
  <c r="DA891" i="1"/>
  <c r="CO893" i="1"/>
  <c r="DA893" i="1"/>
  <c r="CO895" i="1"/>
  <c r="DA895" i="1"/>
  <c r="CO897" i="1"/>
  <c r="DA897" i="1"/>
  <c r="CO899" i="1"/>
  <c r="DA899" i="1"/>
  <c r="CO901" i="1"/>
  <c r="DA901" i="1"/>
  <c r="CO903" i="1"/>
  <c r="DA903" i="1"/>
  <c r="CO905" i="1"/>
  <c r="DA905" i="1"/>
  <c r="CO911" i="1"/>
  <c r="DA911" i="1"/>
  <c r="CO913" i="1"/>
  <c r="DA913" i="1"/>
  <c r="CO915" i="1"/>
  <c r="DA915" i="1"/>
  <c r="CO917" i="1"/>
  <c r="DA917" i="1"/>
  <c r="CO919" i="1"/>
  <c r="DA919" i="1"/>
  <c r="CO921" i="1"/>
  <c r="DA921" i="1"/>
  <c r="CO923" i="1"/>
  <c r="DA923" i="1"/>
  <c r="CO925" i="1"/>
  <c r="DA925" i="1"/>
  <c r="CO927" i="1"/>
  <c r="DA927" i="1"/>
  <c r="CO931" i="1"/>
  <c r="DA931" i="1"/>
  <c r="CO933" i="1"/>
  <c r="DA933" i="1"/>
  <c r="CO935" i="1"/>
  <c r="DA935" i="1"/>
  <c r="CO937" i="1"/>
  <c r="DA937" i="1"/>
  <c r="CO939" i="1"/>
  <c r="DA939" i="1"/>
  <c r="CO941" i="1"/>
  <c r="DA941" i="1"/>
  <c r="CO943" i="1"/>
  <c r="DA943" i="1"/>
  <c r="CO1009" i="1"/>
  <c r="DA1009" i="1"/>
  <c r="CO1031" i="1"/>
  <c r="DA1031" i="1"/>
  <c r="CO1033" i="1"/>
  <c r="DA1033" i="1"/>
  <c r="CO531" i="1"/>
  <c r="DA531" i="1"/>
  <c r="CO535" i="1"/>
  <c r="DA535" i="1"/>
  <c r="CO541" i="1"/>
  <c r="DA541" i="1"/>
  <c r="CO605" i="1"/>
  <c r="DA605" i="1"/>
  <c r="CO870" i="1"/>
  <c r="DA870" i="1"/>
  <c r="CO874" i="1"/>
  <c r="DA874" i="1"/>
  <c r="CO878" i="1"/>
  <c r="DA878" i="1"/>
  <c r="CO882" i="1"/>
  <c r="DA882" i="1"/>
  <c r="CO884" i="1"/>
  <c r="DA884" i="1"/>
  <c r="CO886" i="1"/>
  <c r="DA886" i="1"/>
  <c r="CO888" i="1"/>
  <c r="DA888" i="1"/>
  <c r="CO890" i="1"/>
  <c r="DA890" i="1"/>
  <c r="CO892" i="1"/>
  <c r="DA892" i="1"/>
  <c r="CO894" i="1"/>
  <c r="DA894" i="1"/>
  <c r="CO896" i="1"/>
  <c r="DA896" i="1"/>
  <c r="CO898" i="1"/>
  <c r="DA898" i="1"/>
  <c r="CO900" i="1"/>
  <c r="DA900" i="1"/>
  <c r="CO902" i="1"/>
  <c r="DA902" i="1"/>
  <c r="CO904" i="1"/>
  <c r="DA904" i="1"/>
  <c r="CO906" i="1"/>
  <c r="DA906" i="1"/>
  <c r="CO910" i="1"/>
  <c r="DA910" i="1"/>
  <c r="CO912" i="1"/>
  <c r="DA912" i="1"/>
  <c r="CO914" i="1"/>
  <c r="DA914" i="1"/>
  <c r="CO916" i="1"/>
  <c r="DA916" i="1"/>
  <c r="CO918" i="1"/>
  <c r="DA918" i="1"/>
  <c r="CO920" i="1"/>
  <c r="DA920" i="1"/>
  <c r="CO922" i="1"/>
  <c r="DA922" i="1"/>
  <c r="CO924" i="1"/>
  <c r="DA924" i="1"/>
  <c r="CO926" i="1"/>
  <c r="DA926" i="1"/>
  <c r="CO928" i="1"/>
  <c r="DA928" i="1"/>
  <c r="CO930" i="1"/>
  <c r="DA930" i="1"/>
  <c r="CO932" i="1"/>
  <c r="DA932" i="1"/>
  <c r="CO934" i="1"/>
  <c r="DA934" i="1"/>
  <c r="CO938" i="1"/>
  <c r="DA938" i="1"/>
  <c r="CO940" i="1"/>
  <c r="DA940" i="1"/>
  <c r="CO942" i="1"/>
  <c r="DA942" i="1"/>
  <c r="CO1006" i="1"/>
  <c r="DA1006" i="1"/>
  <c r="CO1012" i="1"/>
  <c r="DA1012" i="1"/>
  <c r="CO1016" i="1"/>
  <c r="DA1016" i="1"/>
  <c r="CO1032" i="1"/>
  <c r="DA1032" i="1"/>
  <c r="BT19" i="1"/>
  <c r="BY19" i="1"/>
  <c r="BT316" i="1"/>
  <c r="BY316" i="1"/>
  <c r="BT329" i="1"/>
  <c r="BY329" i="1"/>
  <c r="BT337" i="1"/>
  <c r="BY337" i="1"/>
  <c r="BT345" i="1"/>
  <c r="BY345" i="1"/>
  <c r="BT352" i="1"/>
  <c r="BY352" i="1"/>
  <c r="BT360" i="1"/>
  <c r="BY360" i="1"/>
  <c r="BT368" i="1"/>
  <c r="BY368" i="1"/>
  <c r="BT376" i="1"/>
  <c r="BY376" i="1"/>
  <c r="BT386" i="1"/>
  <c r="BY386" i="1"/>
  <c r="BT390" i="1"/>
  <c r="BY390" i="1"/>
  <c r="BT394" i="1"/>
  <c r="BY394" i="1"/>
  <c r="BT402" i="1"/>
  <c r="BY402" i="1"/>
  <c r="BT406" i="1"/>
  <c r="BY406" i="1"/>
  <c r="BT409" i="1"/>
  <c r="BY409" i="1"/>
  <c r="BT413" i="1"/>
  <c r="BY413" i="1"/>
  <c r="BT177" i="1"/>
  <c r="BY177" i="1"/>
  <c r="BT420" i="1"/>
  <c r="BY420" i="1"/>
  <c r="BT432" i="1"/>
  <c r="BY432" i="1"/>
  <c r="BT440" i="1"/>
  <c r="BY440" i="1"/>
  <c r="BT448" i="1"/>
  <c r="BY448" i="1"/>
  <c r="BT458" i="1"/>
  <c r="BY458" i="1"/>
  <c r="BT464" i="1"/>
  <c r="BY464" i="1"/>
  <c r="BT32" i="1"/>
  <c r="BY32" i="1"/>
  <c r="BT490" i="1"/>
  <c r="BY490" i="1"/>
  <c r="BT497" i="1"/>
  <c r="BY497" i="1"/>
  <c r="BT468" i="1"/>
  <c r="BY468" i="1"/>
  <c r="BT523" i="1"/>
  <c r="BY523" i="1"/>
  <c r="BT535" i="1"/>
  <c r="BY535" i="1"/>
  <c r="BT547" i="1"/>
  <c r="BY547" i="1"/>
  <c r="BT512" i="1"/>
  <c r="BY512" i="1"/>
  <c r="BT560" i="1"/>
  <c r="BY560" i="1"/>
  <c r="BT567" i="1"/>
  <c r="BY567" i="1"/>
  <c r="BT579" i="1"/>
  <c r="BY579" i="1"/>
  <c r="BT591" i="1"/>
  <c r="BY591" i="1"/>
  <c r="BT599" i="1"/>
  <c r="BY599" i="1"/>
  <c r="BT607" i="1"/>
  <c r="BY607" i="1"/>
  <c r="BT9" i="1"/>
  <c r="BY9" i="1"/>
  <c r="BT13" i="1"/>
  <c r="BY13" i="1"/>
  <c r="BT27" i="1"/>
  <c r="BY27" i="1"/>
  <c r="BT161" i="1"/>
  <c r="BY161" i="1"/>
  <c r="BT34" i="1"/>
  <c r="BY34" i="1"/>
  <c r="BT219" i="1"/>
  <c r="BY219" i="1"/>
  <c r="BT43" i="1"/>
  <c r="BY43" i="1"/>
  <c r="BT55" i="1"/>
  <c r="BY55" i="1"/>
  <c r="BT65" i="1"/>
  <c r="BY65" i="1"/>
  <c r="BT73" i="1"/>
  <c r="BY73" i="1"/>
  <c r="BT79" i="1"/>
  <c r="BY79" i="1"/>
  <c r="BT83" i="1"/>
  <c r="BY83" i="1"/>
  <c r="BT89" i="1"/>
  <c r="BY89" i="1"/>
  <c r="BT99" i="1"/>
  <c r="BY99" i="1"/>
  <c r="BT341" i="1"/>
  <c r="BY341" i="1"/>
  <c r="BT112" i="1"/>
  <c r="BY112" i="1"/>
  <c r="BT128" i="1"/>
  <c r="BY128" i="1"/>
  <c r="BT134" i="1"/>
  <c r="BY134" i="1"/>
  <c r="BT153" i="1"/>
  <c r="BY153" i="1"/>
  <c r="BT162" i="1"/>
  <c r="BY162" i="1"/>
  <c r="BT168" i="1"/>
  <c r="BY168" i="1"/>
  <c r="BT183" i="1"/>
  <c r="BY183" i="1"/>
  <c r="BT218" i="1"/>
  <c r="BY218" i="1"/>
  <c r="BT227" i="1"/>
  <c r="BY227" i="1"/>
  <c r="BT235" i="1"/>
  <c r="BY235" i="1"/>
  <c r="BT244" i="1"/>
  <c r="BY244" i="1"/>
  <c r="BT264" i="1"/>
  <c r="BY264" i="1"/>
  <c r="BT273" i="1"/>
  <c r="BY273" i="1"/>
  <c r="BT279" i="1"/>
  <c r="BY279" i="1"/>
  <c r="BT281" i="1"/>
  <c r="BY281" i="1"/>
  <c r="BT287" i="1"/>
  <c r="BY287" i="1"/>
  <c r="BT290" i="1"/>
  <c r="BY290" i="1"/>
  <c r="BT296" i="1"/>
  <c r="BY296" i="1"/>
  <c r="BT298" i="1"/>
  <c r="BY298" i="1"/>
  <c r="BT304" i="1"/>
  <c r="BY304" i="1"/>
  <c r="BT306" i="1"/>
  <c r="BY306" i="1"/>
  <c r="BT840" i="1"/>
  <c r="BY840" i="1"/>
  <c r="BT856" i="1"/>
  <c r="BY856" i="1"/>
  <c r="BT872" i="1"/>
  <c r="BY872" i="1"/>
  <c r="BT888" i="1"/>
  <c r="BY888" i="1"/>
  <c r="BT896" i="1"/>
  <c r="BY896" i="1"/>
  <c r="BT904" i="1"/>
  <c r="BY904" i="1"/>
  <c r="BT912" i="1"/>
  <c r="BY912" i="1"/>
  <c r="BT920" i="1"/>
  <c r="BY920" i="1"/>
  <c r="BT928" i="1"/>
  <c r="BY928" i="1"/>
  <c r="BT936" i="1"/>
  <c r="BY936" i="1"/>
  <c r="BT944" i="1"/>
  <c r="BY944" i="1"/>
  <c r="BT952" i="1"/>
  <c r="BY952" i="1"/>
  <c r="BT960" i="1"/>
  <c r="BY960" i="1"/>
  <c r="BT968" i="1"/>
  <c r="BY968" i="1"/>
  <c r="BT976" i="1"/>
  <c r="BY976" i="1"/>
  <c r="BT984" i="1"/>
  <c r="BY984" i="1"/>
  <c r="BT992" i="1"/>
  <c r="BY992" i="1"/>
  <c r="BT1000" i="1"/>
  <c r="BY1000" i="1"/>
  <c r="BT1008" i="1"/>
  <c r="BY1008" i="1"/>
  <c r="BT1016" i="1"/>
  <c r="BY1016" i="1"/>
  <c r="BT1024" i="1"/>
  <c r="BY1024" i="1"/>
  <c r="BT1032" i="1"/>
  <c r="BY1032" i="1"/>
  <c r="BT1040" i="1"/>
  <c r="BY1040" i="1"/>
  <c r="BT1048" i="1"/>
  <c r="BY1048" i="1"/>
  <c r="BT1056" i="1"/>
  <c r="BY1056" i="1"/>
  <c r="BT1064" i="1"/>
  <c r="BY1064" i="1"/>
  <c r="BT1072" i="1"/>
  <c r="BY1072" i="1"/>
  <c r="BT1080" i="1"/>
  <c r="BY1080" i="1"/>
  <c r="BT1088" i="1"/>
  <c r="BY1088" i="1"/>
  <c r="BT1096" i="1"/>
  <c r="BY1096" i="1"/>
  <c r="BT1104" i="1"/>
  <c r="BY1104" i="1"/>
  <c r="BT1112" i="1"/>
  <c r="BY1112" i="1"/>
  <c r="BT1120" i="1"/>
  <c r="BY1120" i="1"/>
  <c r="BT6" i="1"/>
  <c r="BY6" i="1"/>
  <c r="BT10" i="1"/>
  <c r="BY10" i="1"/>
  <c r="BT14" i="1"/>
  <c r="BY14" i="1"/>
  <c r="BT18" i="1"/>
  <c r="BY18" i="1"/>
  <c r="BT257" i="1"/>
  <c r="BY257" i="1"/>
  <c r="BT26" i="1"/>
  <c r="BY26" i="1"/>
  <c r="BT30" i="1"/>
  <c r="BY30" i="1"/>
  <c r="BT35" i="1"/>
  <c r="BY35" i="1"/>
  <c r="BT38" i="1"/>
  <c r="BY38" i="1"/>
  <c r="BT319" i="1"/>
  <c r="BY319" i="1"/>
  <c r="BT44" i="1"/>
  <c r="BY44" i="1"/>
  <c r="BT48" i="1"/>
  <c r="BY48" i="1"/>
  <c r="BT52" i="1"/>
  <c r="BY52" i="1"/>
  <c r="BT56" i="1"/>
  <c r="BY56" i="1"/>
  <c r="BT58" i="1"/>
  <c r="BY58" i="1"/>
  <c r="BT142" i="1"/>
  <c r="BY142" i="1"/>
  <c r="BT145" i="1"/>
  <c r="BY145" i="1"/>
  <c r="BT146" i="1"/>
  <c r="BY146" i="1"/>
  <c r="BT148" i="1"/>
  <c r="BY148" i="1"/>
  <c r="BT150" i="1"/>
  <c r="BY150" i="1"/>
  <c r="BT152" i="1"/>
  <c r="BY152" i="1"/>
  <c r="BT154" i="1"/>
  <c r="BY154" i="1"/>
  <c r="BT156" i="1"/>
  <c r="BY156" i="1"/>
  <c r="BT158" i="1"/>
  <c r="BY158" i="1"/>
  <c r="BT160" i="1"/>
  <c r="BY160" i="1"/>
  <c r="BT163" i="1"/>
  <c r="BY163" i="1"/>
  <c r="BT165" i="1"/>
  <c r="BY165" i="1"/>
  <c r="BT167" i="1"/>
  <c r="BY167" i="1"/>
  <c r="BT169" i="1"/>
  <c r="BY169" i="1"/>
  <c r="BT171" i="1"/>
  <c r="BY171" i="1"/>
  <c r="BT173" i="1"/>
  <c r="BY173" i="1"/>
  <c r="BT175" i="1"/>
  <c r="BY175" i="1"/>
  <c r="BT675" i="1"/>
  <c r="BY675" i="1"/>
  <c r="BT179" i="1"/>
  <c r="BY179" i="1"/>
  <c r="BT181" i="1"/>
  <c r="BY181" i="1"/>
  <c r="BT182" i="1"/>
  <c r="BY182" i="1"/>
  <c r="BT184" i="1"/>
  <c r="BY184" i="1"/>
  <c r="BT187" i="1"/>
  <c r="BY187" i="1"/>
  <c r="BT189" i="1"/>
  <c r="BY189" i="1"/>
  <c r="BT191" i="1"/>
  <c r="BY191" i="1"/>
  <c r="BT193" i="1"/>
  <c r="BY193" i="1"/>
  <c r="BT195" i="1"/>
  <c r="BY195" i="1"/>
  <c r="BT197" i="1"/>
  <c r="BY197" i="1"/>
  <c r="BT199" i="1"/>
  <c r="BY199" i="1"/>
  <c r="BT201" i="1"/>
  <c r="BY201" i="1"/>
  <c r="BT691" i="1"/>
  <c r="BY691" i="1"/>
  <c r="BT204" i="1"/>
  <c r="BY204" i="1"/>
  <c r="BT207" i="1"/>
  <c r="BY207" i="1"/>
  <c r="BT209" i="1"/>
  <c r="BY209" i="1"/>
  <c r="BT211" i="1"/>
  <c r="BY211" i="1"/>
  <c r="BT213" i="1"/>
  <c r="BY213" i="1"/>
  <c r="BT215" i="1"/>
  <c r="BY215" i="1"/>
  <c r="BT217" i="1"/>
  <c r="BY217" i="1"/>
  <c r="BT220" i="1"/>
  <c r="BY220" i="1"/>
  <c r="BT222" i="1"/>
  <c r="BY222" i="1"/>
  <c r="BT224" i="1"/>
  <c r="BY224" i="1"/>
  <c r="BT226" i="1"/>
  <c r="BY226" i="1"/>
  <c r="BT228" i="1"/>
  <c r="BY228" i="1"/>
  <c r="BT230" i="1"/>
  <c r="BY230" i="1"/>
  <c r="BT232" i="1"/>
  <c r="BY232" i="1"/>
  <c r="BT234" i="1"/>
  <c r="BY234" i="1"/>
  <c r="BT236" i="1"/>
  <c r="BY236" i="1"/>
  <c r="BT239" i="1"/>
  <c r="BY239" i="1"/>
  <c r="BT242" i="1"/>
  <c r="BY242" i="1"/>
  <c r="BT243" i="1"/>
  <c r="BY243" i="1"/>
  <c r="BT245" i="1"/>
  <c r="BY245" i="1"/>
  <c r="BT247" i="1"/>
  <c r="BY247" i="1"/>
  <c r="BT249" i="1"/>
  <c r="BY249" i="1"/>
  <c r="BT250" i="1"/>
  <c r="BY250" i="1"/>
  <c r="BT251" i="1"/>
  <c r="BY251" i="1"/>
  <c r="BT253" i="1"/>
  <c r="BY253" i="1"/>
  <c r="BT255" i="1"/>
  <c r="BY255" i="1"/>
  <c r="BT258" i="1"/>
  <c r="BY258" i="1"/>
  <c r="BT259" i="1"/>
  <c r="BY259" i="1"/>
  <c r="BT261" i="1"/>
  <c r="BY261" i="1"/>
  <c r="BT263" i="1"/>
  <c r="BY263" i="1"/>
  <c r="BT265" i="1"/>
  <c r="BY265" i="1"/>
  <c r="BT267" i="1"/>
  <c r="BY267" i="1"/>
  <c r="BT269" i="1"/>
  <c r="BY269" i="1"/>
  <c r="BT271" i="1"/>
  <c r="BY271" i="1"/>
  <c r="BT272" i="1"/>
  <c r="BY272" i="1"/>
  <c r="BT274" i="1"/>
  <c r="BY274" i="1"/>
  <c r="BT276" i="1"/>
  <c r="BY276" i="1"/>
  <c r="BT278" i="1"/>
  <c r="BY278" i="1"/>
  <c r="BT280" i="1"/>
  <c r="BY280" i="1"/>
  <c r="BT282" i="1"/>
  <c r="BY282" i="1"/>
  <c r="BT284" i="1"/>
  <c r="BY284" i="1"/>
  <c r="BT286" i="1"/>
  <c r="BY286" i="1"/>
  <c r="BT288" i="1"/>
  <c r="BY288" i="1"/>
  <c r="BT291" i="1"/>
  <c r="BY291" i="1"/>
  <c r="BT293" i="1"/>
  <c r="BY293" i="1"/>
  <c r="BT295" i="1"/>
  <c r="BY295" i="1"/>
  <c r="BT297" i="1"/>
  <c r="BY297" i="1"/>
  <c r="BT299" i="1"/>
  <c r="BY299" i="1"/>
  <c r="BT301" i="1"/>
  <c r="BY301" i="1"/>
  <c r="BT303" i="1"/>
  <c r="BY303" i="1"/>
  <c r="BT305" i="1"/>
  <c r="BY305" i="1"/>
  <c r="BT307" i="1"/>
  <c r="BY307" i="1"/>
  <c r="BT309" i="1"/>
  <c r="BY309" i="1"/>
  <c r="BT313" i="1"/>
  <c r="BY313" i="1"/>
  <c r="BT317" i="1"/>
  <c r="BY317" i="1"/>
  <c r="BT322" i="1"/>
  <c r="BY322" i="1"/>
  <c r="BT326" i="1"/>
  <c r="BY326" i="1"/>
  <c r="BT330" i="1"/>
  <c r="BY330" i="1"/>
  <c r="BT334" i="1"/>
  <c r="BY334" i="1"/>
  <c r="BT689" i="1"/>
  <c r="BY689" i="1"/>
  <c r="BT342" i="1"/>
  <c r="BY342" i="1"/>
  <c r="BT346" i="1"/>
  <c r="BY346" i="1"/>
  <c r="BT349" i="1"/>
  <c r="BY349" i="1"/>
  <c r="BT353" i="1"/>
  <c r="BY353" i="1"/>
  <c r="BT357" i="1"/>
  <c r="BY357" i="1"/>
  <c r="BT361" i="1"/>
  <c r="BY361" i="1"/>
  <c r="BT365" i="1"/>
  <c r="BY365" i="1"/>
  <c r="BT369" i="1"/>
  <c r="BY369" i="1"/>
  <c r="BT373" i="1"/>
  <c r="BY373" i="1"/>
  <c r="BT377" i="1"/>
  <c r="BY377" i="1"/>
  <c r="BT383" i="1"/>
  <c r="BY383" i="1"/>
  <c r="BT387" i="1"/>
  <c r="BY387" i="1"/>
  <c r="BT391" i="1"/>
  <c r="BY391" i="1"/>
  <c r="BT395" i="1"/>
  <c r="BY395" i="1"/>
  <c r="BT399" i="1"/>
  <c r="BY399" i="1"/>
  <c r="BT403" i="1"/>
  <c r="BY403" i="1"/>
  <c r="BT407" i="1"/>
  <c r="BY407" i="1"/>
  <c r="BT410" i="1"/>
  <c r="BY410" i="1"/>
  <c r="BT414" i="1"/>
  <c r="BY414" i="1"/>
  <c r="BT417" i="1"/>
  <c r="BY417" i="1"/>
  <c r="BT421" i="1"/>
  <c r="BY421" i="1"/>
  <c r="BT425" i="1"/>
  <c r="BY425" i="1"/>
  <c r="BT429" i="1"/>
  <c r="BY429" i="1"/>
  <c r="BT186" i="1"/>
  <c r="BY186" i="1"/>
  <c r="BT436" i="1"/>
  <c r="BY436" i="1"/>
  <c r="BT441" i="1"/>
  <c r="BY441" i="1"/>
  <c r="BT445" i="1"/>
  <c r="BY445" i="1"/>
  <c r="BT449" i="1"/>
  <c r="BY449" i="1"/>
  <c r="BT452" i="1"/>
  <c r="BY452" i="1"/>
  <c r="BT456" i="1"/>
  <c r="BY456" i="1"/>
  <c r="BT379" i="1"/>
  <c r="BY379" i="1"/>
  <c r="BT462" i="1"/>
  <c r="BY462" i="1"/>
  <c r="BT465" i="1"/>
  <c r="BY465" i="1"/>
  <c r="BT469" i="1"/>
  <c r="BY469" i="1"/>
  <c r="BT474" i="1"/>
  <c r="BY474" i="1"/>
  <c r="BT477" i="1"/>
  <c r="BY477" i="1"/>
  <c r="BT482" i="1"/>
  <c r="BY482" i="1"/>
  <c r="BT484" i="1"/>
  <c r="BY484" i="1"/>
  <c r="BT491" i="1"/>
  <c r="BY491" i="1"/>
  <c r="BT494" i="1"/>
  <c r="BY494" i="1"/>
  <c r="BT498" i="1"/>
  <c r="BY498" i="1"/>
  <c r="BT502" i="1"/>
  <c r="BY502" i="1"/>
  <c r="BT506" i="1"/>
  <c r="BY506" i="1"/>
  <c r="BT516" i="1"/>
  <c r="BY516" i="1"/>
  <c r="BT520" i="1"/>
  <c r="BY520" i="1"/>
  <c r="BT524" i="1"/>
  <c r="BY524" i="1"/>
  <c r="BT528" i="1"/>
  <c r="BY528" i="1"/>
  <c r="BT532" i="1"/>
  <c r="BY532" i="1"/>
  <c r="BT536" i="1"/>
  <c r="BY536" i="1"/>
  <c r="BT540" i="1"/>
  <c r="BY540" i="1"/>
  <c r="BT544" i="1"/>
  <c r="BY544" i="1"/>
  <c r="BT548" i="1"/>
  <c r="BY548" i="1"/>
  <c r="BT551" i="1"/>
  <c r="BY551" i="1"/>
  <c r="BT513" i="1"/>
  <c r="BY513" i="1"/>
  <c r="BT557" i="1"/>
  <c r="BY557" i="1"/>
  <c r="BT515" i="1"/>
  <c r="BY515" i="1"/>
  <c r="BT564" i="1"/>
  <c r="BY564" i="1"/>
  <c r="BT568" i="1"/>
  <c r="BY568" i="1"/>
  <c r="BT572" i="1"/>
  <c r="BY572" i="1"/>
  <c r="BT576" i="1"/>
  <c r="BY576" i="1"/>
  <c r="BT580" i="1"/>
  <c r="BY580" i="1"/>
  <c r="BT584" i="1"/>
  <c r="BY584" i="1"/>
  <c r="BT588" i="1"/>
  <c r="BY588" i="1"/>
  <c r="BT592" i="1"/>
  <c r="BY592" i="1"/>
  <c r="BT596" i="1"/>
  <c r="BY596" i="1"/>
  <c r="BT600" i="1"/>
  <c r="BY600" i="1"/>
  <c r="BT604" i="1"/>
  <c r="BY604" i="1"/>
  <c r="BT608" i="1"/>
  <c r="BY608" i="1"/>
  <c r="BT612" i="1"/>
  <c r="BY612" i="1"/>
  <c r="BT616" i="1"/>
  <c r="BY616" i="1"/>
  <c r="BT620" i="1"/>
  <c r="BY620" i="1"/>
  <c r="BT624" i="1"/>
  <c r="BY624" i="1"/>
  <c r="BT628" i="1"/>
  <c r="BY628" i="1"/>
  <c r="BT632" i="1"/>
  <c r="BY632" i="1"/>
  <c r="BT636" i="1"/>
  <c r="BY636" i="1"/>
  <c r="BT640" i="1"/>
  <c r="BY640" i="1"/>
  <c r="BT644" i="1"/>
  <c r="BY644" i="1"/>
  <c r="BT648" i="1"/>
  <c r="BY648" i="1"/>
  <c r="BT652" i="1"/>
  <c r="BY652" i="1"/>
  <c r="BT656" i="1"/>
  <c r="BY656" i="1"/>
  <c r="BT660" i="1"/>
  <c r="BY660" i="1"/>
  <c r="BT664" i="1"/>
  <c r="BY664" i="1"/>
  <c r="BT668" i="1"/>
  <c r="BY668" i="1"/>
  <c r="BT670" i="1"/>
  <c r="BY670" i="1"/>
  <c r="BT676" i="1"/>
  <c r="BY676" i="1"/>
  <c r="BT680" i="1"/>
  <c r="BY680" i="1"/>
  <c r="BT684" i="1"/>
  <c r="BY684" i="1"/>
  <c r="BT692" i="1"/>
  <c r="BY692" i="1"/>
  <c r="BT505" i="1"/>
  <c r="BY505" i="1"/>
  <c r="BT508" i="1"/>
  <c r="BY508" i="1"/>
  <c r="BT706" i="1"/>
  <c r="BY706" i="1"/>
  <c r="BT715" i="1"/>
  <c r="BY715" i="1"/>
  <c r="BT724" i="1"/>
  <c r="BY724" i="1"/>
  <c r="BT732" i="1"/>
  <c r="BY732" i="1"/>
  <c r="BT740" i="1"/>
  <c r="BY740" i="1"/>
  <c r="BT748" i="1"/>
  <c r="BY748" i="1"/>
  <c r="BT756" i="1"/>
  <c r="BY756" i="1"/>
  <c r="BT764" i="1"/>
  <c r="BY764" i="1"/>
  <c r="BT772" i="1"/>
  <c r="BY772" i="1"/>
  <c r="BT780" i="1"/>
  <c r="BY780" i="1"/>
  <c r="BT817" i="1"/>
  <c r="BY817" i="1"/>
  <c r="BT789" i="1"/>
  <c r="BY789" i="1"/>
  <c r="BT798" i="1"/>
  <c r="BY798" i="1"/>
  <c r="BT806" i="1"/>
  <c r="BY806" i="1"/>
  <c r="BT814" i="1"/>
  <c r="BY814" i="1"/>
  <c r="BT832" i="1"/>
  <c r="BY832" i="1"/>
  <c r="BT853" i="1"/>
  <c r="BY853" i="1"/>
  <c r="BT859" i="1"/>
  <c r="BY859" i="1"/>
  <c r="BT863" i="1"/>
  <c r="BY863" i="1"/>
  <c r="BT867" i="1"/>
  <c r="BY867" i="1"/>
  <c r="BT871" i="1"/>
  <c r="BY871" i="1"/>
  <c r="BT875" i="1"/>
  <c r="BY875" i="1"/>
  <c r="BT879" i="1"/>
  <c r="BY879" i="1"/>
  <c r="BT883" i="1"/>
  <c r="BY883" i="1"/>
  <c r="BT887" i="1"/>
  <c r="BY887" i="1"/>
  <c r="BT891" i="1"/>
  <c r="BY891" i="1"/>
  <c r="BT895" i="1"/>
  <c r="BY895" i="1"/>
  <c r="BT899" i="1"/>
  <c r="BY899" i="1"/>
  <c r="BT903" i="1"/>
  <c r="BY903" i="1"/>
  <c r="BT907" i="1"/>
  <c r="BY907" i="1"/>
  <c r="BT911" i="1"/>
  <c r="BY911" i="1"/>
  <c r="BT915" i="1"/>
  <c r="BY915" i="1"/>
  <c r="BT919" i="1"/>
  <c r="BY919" i="1"/>
  <c r="BT923" i="1"/>
  <c r="BY923" i="1"/>
  <c r="BT927" i="1"/>
  <c r="BY927" i="1"/>
  <c r="BT931" i="1"/>
  <c r="BY931" i="1"/>
  <c r="BT935" i="1"/>
  <c r="BY935" i="1"/>
  <c r="BT939" i="1"/>
  <c r="BY939" i="1"/>
  <c r="BT943" i="1"/>
  <c r="BY943" i="1"/>
  <c r="BT947" i="1"/>
  <c r="BY947" i="1"/>
  <c r="BT951" i="1"/>
  <c r="BY951" i="1"/>
  <c r="BT955" i="1"/>
  <c r="BY955" i="1"/>
  <c r="BT959" i="1"/>
  <c r="BY959" i="1"/>
  <c r="BT963" i="1"/>
  <c r="BY963" i="1"/>
  <c r="BT967" i="1"/>
  <c r="BY967" i="1"/>
  <c r="BT971" i="1"/>
  <c r="BY971" i="1"/>
  <c r="BT975" i="1"/>
  <c r="BY975" i="1"/>
  <c r="BT979" i="1"/>
  <c r="BY979" i="1"/>
  <c r="BT983" i="1"/>
  <c r="BY983" i="1"/>
  <c r="BT987" i="1"/>
  <c r="BY987" i="1"/>
  <c r="BT991" i="1"/>
  <c r="BY991" i="1"/>
  <c r="BT995" i="1"/>
  <c r="BY995" i="1"/>
  <c r="BT999" i="1"/>
  <c r="BY999" i="1"/>
  <c r="BT1003" i="1"/>
  <c r="BY1003" i="1"/>
  <c r="BT1007" i="1"/>
  <c r="BY1007" i="1"/>
  <c r="BT1011" i="1"/>
  <c r="BY1011" i="1"/>
  <c r="BT1015" i="1"/>
  <c r="BY1015" i="1"/>
  <c r="BT1019" i="1"/>
  <c r="BY1019" i="1"/>
  <c r="BT1023" i="1"/>
  <c r="BY1023" i="1"/>
  <c r="BT1027" i="1"/>
  <c r="BY1027" i="1"/>
  <c r="BT1031" i="1"/>
  <c r="BY1031" i="1"/>
  <c r="BT1035" i="1"/>
  <c r="BY1035" i="1"/>
  <c r="BT1039" i="1"/>
  <c r="BY1039" i="1"/>
  <c r="BT1043" i="1"/>
  <c r="BY1043" i="1"/>
  <c r="BT1047" i="1"/>
  <c r="BY1047" i="1"/>
  <c r="BT1053" i="1"/>
  <c r="BY1053" i="1"/>
  <c r="BT1057" i="1"/>
  <c r="BY1057" i="1"/>
  <c r="BT1061" i="1"/>
  <c r="BY1061" i="1"/>
  <c r="BT1065" i="1"/>
  <c r="BY1065" i="1"/>
  <c r="BT1069" i="1"/>
  <c r="BY1069" i="1"/>
  <c r="BT1073" i="1"/>
  <c r="BY1073" i="1"/>
  <c r="BT1077" i="1"/>
  <c r="BY1077" i="1"/>
  <c r="BT1081" i="1"/>
  <c r="BY1081" i="1"/>
  <c r="BT1085" i="1"/>
  <c r="BY1085" i="1"/>
  <c r="BT1089" i="1"/>
  <c r="BY1089" i="1"/>
  <c r="BT1093" i="1"/>
  <c r="BY1093" i="1"/>
  <c r="BT1097" i="1"/>
  <c r="BY1097" i="1"/>
  <c r="BT1101" i="1"/>
  <c r="BY1101" i="1"/>
  <c r="BT1105" i="1"/>
  <c r="BY1105" i="1"/>
  <c r="BT1109" i="1"/>
  <c r="BY1109" i="1"/>
  <c r="BT1115" i="1"/>
  <c r="BY1115" i="1"/>
  <c r="BT1119" i="1"/>
  <c r="BY1119" i="1"/>
  <c r="BT860" i="1"/>
  <c r="BY860" i="1"/>
  <c r="BT868" i="1"/>
  <c r="BY868" i="1"/>
  <c r="BT876" i="1"/>
  <c r="BY876" i="1"/>
  <c r="BT886" i="1"/>
  <c r="BY886" i="1"/>
  <c r="BT894" i="1"/>
  <c r="BY894" i="1"/>
  <c r="BT902" i="1"/>
  <c r="BY902" i="1"/>
  <c r="BT910" i="1"/>
  <c r="BY910" i="1"/>
  <c r="BT918" i="1"/>
  <c r="BY918" i="1"/>
  <c r="BT926" i="1"/>
  <c r="BY926" i="1"/>
  <c r="BT934" i="1"/>
  <c r="BY934" i="1"/>
  <c r="BT942" i="1"/>
  <c r="BY942" i="1"/>
  <c r="BT950" i="1"/>
  <c r="BY950" i="1"/>
  <c r="BT958" i="1"/>
  <c r="BY958" i="1"/>
  <c r="BT966" i="1"/>
  <c r="BY966" i="1"/>
  <c r="BT974" i="1"/>
  <c r="BY974" i="1"/>
  <c r="BT982" i="1"/>
  <c r="BY982" i="1"/>
  <c r="BT990" i="1"/>
  <c r="BY990" i="1"/>
  <c r="BT998" i="1"/>
  <c r="BY998" i="1"/>
  <c r="BT1006" i="1"/>
  <c r="BY1006" i="1"/>
  <c r="BT1014" i="1"/>
  <c r="BY1014" i="1"/>
  <c r="BT1022" i="1"/>
  <c r="BY1022" i="1"/>
  <c r="BT1030" i="1"/>
  <c r="BY1030" i="1"/>
  <c r="BT1038" i="1"/>
  <c r="BY1038" i="1"/>
  <c r="BT1046" i="1"/>
  <c r="BY1046" i="1"/>
  <c r="BT1114" i="1"/>
  <c r="BY1114" i="1"/>
  <c r="BT688" i="1"/>
  <c r="BY688" i="1"/>
  <c r="BT704" i="1"/>
  <c r="BY704" i="1"/>
  <c r="BT713" i="1"/>
  <c r="BY713" i="1"/>
  <c r="BT722" i="1"/>
  <c r="BY722" i="1"/>
  <c r="BT730" i="1"/>
  <c r="BY730" i="1"/>
  <c r="BT738" i="1"/>
  <c r="BY738" i="1"/>
  <c r="BT746" i="1"/>
  <c r="BY746" i="1"/>
  <c r="BT754" i="1"/>
  <c r="BY754" i="1"/>
  <c r="BT762" i="1"/>
  <c r="BY762" i="1"/>
  <c r="BT770" i="1"/>
  <c r="BY770" i="1"/>
  <c r="BT778" i="1"/>
  <c r="BY778" i="1"/>
  <c r="BT825" i="1"/>
  <c r="BY825" i="1"/>
  <c r="BT793" i="1"/>
  <c r="BY793" i="1"/>
  <c r="BT800" i="1"/>
  <c r="BY800" i="1"/>
  <c r="BT808" i="1"/>
  <c r="BY808" i="1"/>
  <c r="BT818" i="1"/>
  <c r="BY818" i="1"/>
  <c r="BT845" i="1"/>
  <c r="BY845" i="1"/>
  <c r="BT857" i="1"/>
  <c r="BY857" i="1"/>
  <c r="BT865" i="1"/>
  <c r="BY865" i="1"/>
  <c r="BT873" i="1"/>
  <c r="BY873" i="1"/>
  <c r="BT881" i="1"/>
  <c r="BY881" i="1"/>
  <c r="BT885" i="1"/>
  <c r="BY885" i="1"/>
  <c r="BT889" i="1"/>
  <c r="BY889" i="1"/>
  <c r="BT893" i="1"/>
  <c r="BY893" i="1"/>
  <c r="BT897" i="1"/>
  <c r="BY897" i="1"/>
  <c r="BT901" i="1"/>
  <c r="BY901" i="1"/>
  <c r="BT905" i="1"/>
  <c r="BY905" i="1"/>
  <c r="BT909" i="1"/>
  <c r="BY909" i="1"/>
  <c r="BT913" i="1"/>
  <c r="BY913" i="1"/>
  <c r="BT917" i="1"/>
  <c r="BY917" i="1"/>
  <c r="BT921" i="1"/>
  <c r="BY921" i="1"/>
  <c r="BT925" i="1"/>
  <c r="BY925" i="1"/>
  <c r="BT929" i="1"/>
  <c r="BY929" i="1"/>
  <c r="BT933" i="1"/>
  <c r="BY933" i="1"/>
  <c r="BT937" i="1"/>
  <c r="BY937" i="1"/>
  <c r="BT941" i="1"/>
  <c r="BY941" i="1"/>
  <c r="BT945" i="1"/>
  <c r="BY945" i="1"/>
  <c r="BT949" i="1"/>
  <c r="BY949" i="1"/>
  <c r="BT953" i="1"/>
  <c r="BY953" i="1"/>
  <c r="BT957" i="1"/>
  <c r="BY957" i="1"/>
  <c r="BT961" i="1"/>
  <c r="BY961" i="1"/>
  <c r="BT965" i="1"/>
  <c r="BY965" i="1"/>
  <c r="BT969" i="1"/>
  <c r="BY969" i="1"/>
  <c r="BT973" i="1"/>
  <c r="BY973" i="1"/>
  <c r="BT977" i="1"/>
  <c r="BY977" i="1"/>
  <c r="BT981" i="1"/>
  <c r="BY981" i="1"/>
  <c r="BT985" i="1"/>
  <c r="BY985" i="1"/>
  <c r="BT989" i="1"/>
  <c r="BY989" i="1"/>
  <c r="BT993" i="1"/>
  <c r="BY993" i="1"/>
  <c r="BT997" i="1"/>
  <c r="BY997" i="1"/>
  <c r="BT1001" i="1"/>
  <c r="BY1001" i="1"/>
  <c r="BT1005" i="1"/>
  <c r="BY1005" i="1"/>
  <c r="BT1009" i="1"/>
  <c r="BY1009" i="1"/>
  <c r="BT1013" i="1"/>
  <c r="BY1013" i="1"/>
  <c r="BT1017" i="1"/>
  <c r="BY1017" i="1"/>
  <c r="BT1021" i="1"/>
  <c r="BY1021" i="1"/>
  <c r="BT1025" i="1"/>
  <c r="BY1025" i="1"/>
  <c r="BT1029" i="1"/>
  <c r="BY1029" i="1"/>
  <c r="BT1033" i="1"/>
  <c r="BY1033" i="1"/>
  <c r="BT1037" i="1"/>
  <c r="BY1037" i="1"/>
  <c r="BT1041" i="1"/>
  <c r="BY1041" i="1"/>
  <c r="BT1045" i="1"/>
  <c r="BY1045" i="1"/>
  <c r="BT1049" i="1"/>
  <c r="BY1049" i="1"/>
  <c r="BT1051" i="1"/>
  <c r="BY1051" i="1"/>
  <c r="BT1055" i="1"/>
  <c r="BY1055" i="1"/>
  <c r="BT1059" i="1"/>
  <c r="BY1059" i="1"/>
  <c r="BT1063" i="1"/>
  <c r="BY1063" i="1"/>
  <c r="BT1067" i="1"/>
  <c r="BY1067" i="1"/>
  <c r="BT1071" i="1"/>
  <c r="BY1071" i="1"/>
  <c r="BT1075" i="1"/>
  <c r="BY1075" i="1"/>
  <c r="BT1079" i="1"/>
  <c r="BY1079" i="1"/>
  <c r="BT1083" i="1"/>
  <c r="BY1083" i="1"/>
  <c r="BT1087" i="1"/>
  <c r="BY1087" i="1"/>
  <c r="BT1091" i="1"/>
  <c r="BY1091" i="1"/>
  <c r="BT1095" i="1"/>
  <c r="BY1095" i="1"/>
  <c r="BT1099" i="1"/>
  <c r="BY1099" i="1"/>
  <c r="BT1103" i="1"/>
  <c r="BY1103" i="1"/>
  <c r="BT1107" i="1"/>
  <c r="BY1107" i="1"/>
  <c r="BT1111" i="1"/>
  <c r="BY1111" i="1"/>
  <c r="BT1113" i="1"/>
  <c r="BY1113" i="1"/>
  <c r="BT1117" i="1"/>
  <c r="BY1117" i="1"/>
  <c r="BT1121" i="1"/>
  <c r="BY1121" i="1"/>
  <c r="BT314" i="1"/>
  <c r="BY314" i="1"/>
  <c r="BT323" i="1"/>
  <c r="BY323" i="1"/>
  <c r="BT331" i="1"/>
  <c r="BY331" i="1"/>
  <c r="BT338" i="1"/>
  <c r="BY338" i="1"/>
  <c r="BT699" i="1"/>
  <c r="BY699" i="1"/>
  <c r="BT354" i="1"/>
  <c r="BY354" i="1"/>
  <c r="BT716" i="1"/>
  <c r="BY716" i="1"/>
  <c r="BT370" i="1"/>
  <c r="BY370" i="1"/>
  <c r="BT378" i="1"/>
  <c r="BY378" i="1"/>
  <c r="BT388" i="1"/>
  <c r="BY388" i="1"/>
  <c r="BT396" i="1"/>
  <c r="BY396" i="1"/>
  <c r="BT404" i="1"/>
  <c r="BY404" i="1"/>
  <c r="BT411" i="1"/>
  <c r="BY411" i="1"/>
  <c r="BT418" i="1"/>
  <c r="BY418" i="1"/>
  <c r="BT426" i="1"/>
  <c r="BY426" i="1"/>
  <c r="BT433" i="1"/>
  <c r="BY433" i="1"/>
  <c r="BT442" i="1"/>
  <c r="BY442" i="1"/>
  <c r="BT457" i="1"/>
  <c r="BY457" i="1"/>
  <c r="BT439" i="1"/>
  <c r="BY439" i="1"/>
  <c r="BT470" i="1"/>
  <c r="BY470" i="1"/>
  <c r="BT478" i="1"/>
  <c r="BY478" i="1"/>
  <c r="BT486" i="1"/>
  <c r="BY486" i="1"/>
  <c r="BT495" i="1"/>
  <c r="BY495" i="1"/>
  <c r="BT503" i="1"/>
  <c r="BY503" i="1"/>
  <c r="BT517" i="1"/>
  <c r="BY517" i="1"/>
  <c r="BT525" i="1"/>
  <c r="BY525" i="1"/>
  <c r="BT533" i="1"/>
  <c r="BY533" i="1"/>
  <c r="BT541" i="1"/>
  <c r="BY541" i="1"/>
  <c r="BT549" i="1"/>
  <c r="BY549" i="1"/>
  <c r="BT554" i="1"/>
  <c r="BY554" i="1"/>
  <c r="BT561" i="1"/>
  <c r="BY561" i="1"/>
  <c r="BT569" i="1"/>
  <c r="BY569" i="1"/>
  <c r="BT577" i="1"/>
  <c r="BY577" i="1"/>
  <c r="BT585" i="1"/>
  <c r="BY585" i="1"/>
  <c r="BT593" i="1"/>
  <c r="BY593" i="1"/>
  <c r="BT601" i="1"/>
  <c r="BY601" i="1"/>
  <c r="BT609" i="1"/>
  <c r="BY609" i="1"/>
  <c r="BT49" i="1"/>
  <c r="BY49" i="1"/>
  <c r="BT312" i="1"/>
  <c r="BY312" i="1"/>
  <c r="BT321" i="1"/>
  <c r="BY321" i="1"/>
  <c r="BT325" i="1"/>
  <c r="BY325" i="1"/>
  <c r="BT333" i="1"/>
  <c r="BY333" i="1"/>
  <c r="BT340" i="1"/>
  <c r="BY340" i="1"/>
  <c r="BT348" i="1"/>
  <c r="BY348" i="1"/>
  <c r="BT356" i="1"/>
  <c r="BY356" i="1"/>
  <c r="BT364" i="1"/>
  <c r="BY364" i="1"/>
  <c r="BT372" i="1"/>
  <c r="BY372" i="1"/>
  <c r="BT382" i="1"/>
  <c r="BY382" i="1"/>
  <c r="BT398" i="1"/>
  <c r="BY398" i="1"/>
  <c r="BT424" i="1"/>
  <c r="BY424" i="1"/>
  <c r="BT428" i="1"/>
  <c r="BY428" i="1"/>
  <c r="BT435" i="1"/>
  <c r="BY435" i="1"/>
  <c r="BT444" i="1"/>
  <c r="BY444" i="1"/>
  <c r="BT451" i="1"/>
  <c r="BY451" i="1"/>
  <c r="BT455" i="1"/>
  <c r="BY455" i="1"/>
  <c r="BT461" i="1"/>
  <c r="BY461" i="1"/>
  <c r="BT20" i="1"/>
  <c r="BY20" i="1"/>
  <c r="BT473" i="1"/>
  <c r="BY473" i="1"/>
  <c r="BT480" i="1"/>
  <c r="BY480" i="1"/>
  <c r="BT475" i="1"/>
  <c r="BY475" i="1"/>
  <c r="BT459" i="1"/>
  <c r="BY459" i="1"/>
  <c r="BT501" i="1"/>
  <c r="BY501" i="1"/>
  <c r="BT514" i="1"/>
  <c r="BY514" i="1"/>
  <c r="BT519" i="1"/>
  <c r="BY519" i="1"/>
  <c r="BT527" i="1"/>
  <c r="BY527" i="1"/>
  <c r="BT531" i="1"/>
  <c r="BY531" i="1"/>
  <c r="BT539" i="1"/>
  <c r="BY539" i="1"/>
  <c r="BT543" i="1"/>
  <c r="BY543" i="1"/>
  <c r="BT550" i="1"/>
  <c r="BY550" i="1"/>
  <c r="BT556" i="1"/>
  <c r="BY556" i="1"/>
  <c r="BT563" i="1"/>
  <c r="BY563" i="1"/>
  <c r="BT571" i="1"/>
  <c r="BY571" i="1"/>
  <c r="BT575" i="1"/>
  <c r="BY575" i="1"/>
  <c r="BT583" i="1"/>
  <c r="BY583" i="1"/>
  <c r="BT587" i="1"/>
  <c r="BY587" i="1"/>
  <c r="BT595" i="1"/>
  <c r="BY595" i="1"/>
  <c r="BT603" i="1"/>
  <c r="BY603" i="1"/>
  <c r="BT611" i="1"/>
  <c r="BY611" i="1"/>
  <c r="BT11" i="1"/>
  <c r="BY11" i="1"/>
  <c r="BT15" i="1"/>
  <c r="BY15" i="1"/>
  <c r="BT17" i="1"/>
  <c r="BY17" i="1"/>
  <c r="BT25" i="1"/>
  <c r="BY25" i="1"/>
  <c r="BT29" i="1"/>
  <c r="BY29" i="1"/>
  <c r="BT41" i="1"/>
  <c r="BY41" i="1"/>
  <c r="BT45" i="1"/>
  <c r="BY45" i="1"/>
  <c r="BT47" i="1"/>
  <c r="BY47" i="1"/>
  <c r="BT57" i="1"/>
  <c r="BY57" i="1"/>
  <c r="BT61" i="1"/>
  <c r="BY61" i="1"/>
  <c r="BT67" i="1"/>
  <c r="BY67" i="1"/>
  <c r="BT85" i="1"/>
  <c r="BY85" i="1"/>
  <c r="BT96" i="1"/>
  <c r="BY96" i="1"/>
  <c r="BT101" i="1"/>
  <c r="BY101" i="1"/>
  <c r="BT110" i="1"/>
  <c r="BY110" i="1"/>
  <c r="BT114" i="1"/>
  <c r="BY114" i="1"/>
  <c r="BT118" i="1"/>
  <c r="BY118" i="1"/>
  <c r="BT124" i="1"/>
  <c r="BY124" i="1"/>
  <c r="BT130" i="1"/>
  <c r="BY130" i="1"/>
  <c r="BT140" i="1"/>
  <c r="BY140" i="1"/>
  <c r="BT144" i="1"/>
  <c r="BY144" i="1"/>
  <c r="BT151" i="1"/>
  <c r="BY151" i="1"/>
  <c r="BT159" i="1"/>
  <c r="BY159" i="1"/>
  <c r="BT170" i="1"/>
  <c r="BY170" i="1"/>
  <c r="BT176" i="1"/>
  <c r="BY176" i="1"/>
  <c r="BT178" i="1"/>
  <c r="BY178" i="1"/>
  <c r="BT185" i="1"/>
  <c r="BY185" i="1"/>
  <c r="BT192" i="1"/>
  <c r="BY192" i="1"/>
  <c r="BT194" i="1"/>
  <c r="BY194" i="1"/>
  <c r="BT200" i="1"/>
  <c r="BY200" i="1"/>
  <c r="BT202" i="1"/>
  <c r="BY202" i="1"/>
  <c r="BT208" i="1"/>
  <c r="BY208" i="1"/>
  <c r="BT210" i="1"/>
  <c r="BY210" i="1"/>
  <c r="BT216" i="1"/>
  <c r="BY216" i="1"/>
  <c r="BT225" i="1"/>
  <c r="BY225" i="1"/>
  <c r="BT233" i="1"/>
  <c r="BY233" i="1"/>
  <c r="BT289" i="1"/>
  <c r="BY289" i="1"/>
  <c r="BT481" i="1"/>
  <c r="BY481" i="1"/>
  <c r="BT205" i="1"/>
  <c r="BY205" i="1"/>
  <c r="BT256" i="1"/>
  <c r="BY256" i="1"/>
  <c r="BT709" i="1"/>
  <c r="BY709" i="1"/>
  <c r="BT266" i="1"/>
  <c r="BY266" i="1"/>
  <c r="BT223" i="1"/>
  <c r="BY223" i="1"/>
  <c r="BT5" i="1"/>
  <c r="BY5" i="1"/>
  <c r="BT7" i="1"/>
  <c r="BY7" i="1"/>
  <c r="BT22" i="1"/>
  <c r="BY22" i="1"/>
  <c r="BT23" i="1"/>
  <c r="BY23" i="1"/>
  <c r="BT363" i="1"/>
  <c r="BY363" i="1"/>
  <c r="BT39" i="1"/>
  <c r="BY39" i="1"/>
  <c r="BT51" i="1"/>
  <c r="BY51" i="1"/>
  <c r="BT53" i="1"/>
  <c r="BY53" i="1"/>
  <c r="BT59" i="1"/>
  <c r="BY59" i="1"/>
  <c r="BT63" i="1"/>
  <c r="BY63" i="1"/>
  <c r="BT71" i="1"/>
  <c r="BY71" i="1"/>
  <c r="BT75" i="1"/>
  <c r="BY75" i="1"/>
  <c r="BT77" i="1"/>
  <c r="BY77" i="1"/>
  <c r="BT81" i="1"/>
  <c r="BY81" i="1"/>
  <c r="BT87" i="1"/>
  <c r="BY87" i="1"/>
  <c r="BT91" i="1"/>
  <c r="BY91" i="1"/>
  <c r="BT94" i="1"/>
  <c r="BY94" i="1"/>
  <c r="BT98" i="1"/>
  <c r="BY98" i="1"/>
  <c r="BT103" i="1"/>
  <c r="BY103" i="1"/>
  <c r="BT106" i="1"/>
  <c r="BY106" i="1"/>
  <c r="BT108" i="1"/>
  <c r="BY108" i="1"/>
  <c r="BT68" i="1"/>
  <c r="BY68" i="1"/>
  <c r="BT116" i="1"/>
  <c r="BY116" i="1"/>
  <c r="BT120" i="1"/>
  <c r="BY120" i="1"/>
  <c r="BT122" i="1"/>
  <c r="BY122" i="1"/>
  <c r="BT126" i="1"/>
  <c r="BY126" i="1"/>
  <c r="BT132" i="1"/>
  <c r="BY132" i="1"/>
  <c r="BT136" i="1"/>
  <c r="BY136" i="1"/>
  <c r="BT138" i="1"/>
  <c r="BY138" i="1"/>
  <c r="BT141" i="1"/>
  <c r="BY141" i="1"/>
  <c r="BT143" i="1"/>
  <c r="BY143" i="1"/>
  <c r="BT147" i="1"/>
  <c r="BY147" i="1"/>
  <c r="BT149" i="1"/>
  <c r="BY149" i="1"/>
  <c r="BT155" i="1"/>
  <c r="BY155" i="1"/>
  <c r="BT157" i="1"/>
  <c r="BY157" i="1"/>
  <c r="BT164" i="1"/>
  <c r="BY164" i="1"/>
  <c r="BT166" i="1"/>
  <c r="BY166" i="1"/>
  <c r="BT172" i="1"/>
  <c r="BY172" i="1"/>
  <c r="BT174" i="1"/>
  <c r="BY174" i="1"/>
  <c r="BT180" i="1"/>
  <c r="BY180" i="1"/>
  <c r="BT188" i="1"/>
  <c r="BY188" i="1"/>
  <c r="BT190" i="1"/>
  <c r="BY190" i="1"/>
  <c r="BT196" i="1"/>
  <c r="BY196" i="1"/>
  <c r="BT198" i="1"/>
  <c r="BY198" i="1"/>
  <c r="BT203" i="1"/>
  <c r="BY203" i="1"/>
  <c r="BT206" i="1"/>
  <c r="BY206" i="1"/>
  <c r="BT485" i="1"/>
  <c r="BY485" i="1"/>
  <c r="BT214" i="1"/>
  <c r="BY214" i="1"/>
  <c r="BT221" i="1"/>
  <c r="BY221" i="1"/>
  <c r="BT672" i="1"/>
  <c r="BY672" i="1"/>
  <c r="BT229" i="1"/>
  <c r="BY229" i="1"/>
  <c r="BT231" i="1"/>
  <c r="BY231" i="1"/>
  <c r="BT238" i="1"/>
  <c r="BY238" i="1"/>
  <c r="BT241" i="1"/>
  <c r="BY241" i="1"/>
  <c r="BT246" i="1"/>
  <c r="BY246" i="1"/>
  <c r="BT248" i="1"/>
  <c r="BY248" i="1"/>
  <c r="BT252" i="1"/>
  <c r="BY252" i="1"/>
  <c r="BT254" i="1"/>
  <c r="BY254" i="1"/>
  <c r="BT260" i="1"/>
  <c r="BY260" i="1"/>
  <c r="BT262" i="1"/>
  <c r="BY262" i="1"/>
  <c r="BT268" i="1"/>
  <c r="BY268" i="1"/>
  <c r="BT270" i="1"/>
  <c r="BY270" i="1"/>
  <c r="BT275" i="1"/>
  <c r="BY275" i="1"/>
  <c r="BT277" i="1"/>
  <c r="BY277" i="1"/>
  <c r="BT283" i="1"/>
  <c r="BY283" i="1"/>
  <c r="BT285" i="1"/>
  <c r="BY285" i="1"/>
  <c r="BT292" i="1"/>
  <c r="BY292" i="1"/>
  <c r="BT294" i="1"/>
  <c r="BY294" i="1"/>
  <c r="BT300" i="1"/>
  <c r="BY300" i="1"/>
  <c r="BT302" i="1"/>
  <c r="BY302" i="1"/>
  <c r="BT308" i="1"/>
  <c r="BY308" i="1"/>
  <c r="BT310" i="1"/>
  <c r="BY310" i="1"/>
  <c r="BT833" i="1"/>
  <c r="BY833" i="1"/>
  <c r="BT848" i="1"/>
  <c r="BY848" i="1"/>
  <c r="BT864" i="1"/>
  <c r="BY864" i="1"/>
  <c r="BT880" i="1"/>
  <c r="BY880" i="1"/>
  <c r="BT884" i="1"/>
  <c r="BY884" i="1"/>
  <c r="BT892" i="1"/>
  <c r="BY892" i="1"/>
  <c r="BT900" i="1"/>
  <c r="BY900" i="1"/>
  <c r="BT908" i="1"/>
  <c r="BY908" i="1"/>
  <c r="BT916" i="1"/>
  <c r="BY916" i="1"/>
  <c r="BT924" i="1"/>
  <c r="BY924" i="1"/>
  <c r="BT932" i="1"/>
  <c r="BY932" i="1"/>
  <c r="BT940" i="1"/>
  <c r="BY940" i="1"/>
  <c r="BT948" i="1"/>
  <c r="BY948" i="1"/>
  <c r="BT956" i="1"/>
  <c r="BY956" i="1"/>
  <c r="BT964" i="1"/>
  <c r="BY964" i="1"/>
  <c r="BT972" i="1"/>
  <c r="BY972" i="1"/>
  <c r="BT980" i="1"/>
  <c r="BY980" i="1"/>
  <c r="BT988" i="1"/>
  <c r="BY988" i="1"/>
  <c r="BT996" i="1"/>
  <c r="BY996" i="1"/>
  <c r="BT1004" i="1"/>
  <c r="BY1004" i="1"/>
  <c r="BT1012" i="1"/>
  <c r="BY1012" i="1"/>
  <c r="BT1020" i="1"/>
  <c r="BY1020" i="1"/>
  <c r="BT1028" i="1"/>
  <c r="BY1028" i="1"/>
  <c r="BT1036" i="1"/>
  <c r="BY1036" i="1"/>
  <c r="BT1044" i="1"/>
  <c r="BY1044" i="1"/>
  <c r="BT1052" i="1"/>
  <c r="BY1052" i="1"/>
  <c r="BT1060" i="1"/>
  <c r="BY1060" i="1"/>
  <c r="BT1068" i="1"/>
  <c r="BY1068" i="1"/>
  <c r="BT1076" i="1"/>
  <c r="BY1076" i="1"/>
  <c r="BT1084" i="1"/>
  <c r="BY1084" i="1"/>
  <c r="BT1092" i="1"/>
  <c r="BY1092" i="1"/>
  <c r="BT1100" i="1"/>
  <c r="BY1100" i="1"/>
  <c r="BT1108" i="1"/>
  <c r="BY1108" i="1"/>
  <c r="BT1116" i="1"/>
  <c r="BY1116" i="1"/>
  <c r="BT8" i="1"/>
  <c r="BY8" i="1"/>
  <c r="BT12" i="1"/>
  <c r="BY12" i="1"/>
  <c r="BT16" i="1"/>
  <c r="BY16" i="1"/>
  <c r="BT21" i="1"/>
  <c r="BY21" i="1"/>
  <c r="BT24" i="1"/>
  <c r="BY24" i="1"/>
  <c r="BT28" i="1"/>
  <c r="BY28" i="1"/>
  <c r="BT33" i="1"/>
  <c r="BY33" i="1"/>
  <c r="BT37" i="1"/>
  <c r="BY37" i="1"/>
  <c r="BT40" i="1"/>
  <c r="BY40" i="1"/>
  <c r="BT42" i="1"/>
  <c r="BY42" i="1"/>
  <c r="BT46" i="1"/>
  <c r="BY46" i="1"/>
  <c r="BT50" i="1"/>
  <c r="BY50" i="1"/>
  <c r="BT54" i="1"/>
  <c r="BY54" i="1"/>
  <c r="BT60" i="1"/>
  <c r="BY60" i="1"/>
  <c r="BT62" i="1"/>
  <c r="BY62" i="1"/>
  <c r="BT64" i="1"/>
  <c r="BY64" i="1"/>
  <c r="BT66" i="1"/>
  <c r="BY66" i="1"/>
  <c r="BT70" i="1"/>
  <c r="BY70" i="1"/>
  <c r="BT72" i="1"/>
  <c r="BY72" i="1"/>
  <c r="BT74" i="1"/>
  <c r="BY74" i="1"/>
  <c r="BT76" i="1"/>
  <c r="BY76" i="1"/>
  <c r="BT78" i="1"/>
  <c r="BY78" i="1"/>
  <c r="BT80" i="1"/>
  <c r="BY80" i="1"/>
  <c r="BT82" i="1"/>
  <c r="BY82" i="1"/>
  <c r="BT84" i="1"/>
  <c r="BY84" i="1"/>
  <c r="BT86" i="1"/>
  <c r="BY86" i="1"/>
  <c r="BT88" i="1"/>
  <c r="BY88" i="1"/>
  <c r="BT90" i="1"/>
  <c r="BY90" i="1"/>
  <c r="BT92" i="1"/>
  <c r="BY92" i="1"/>
  <c r="BT95" i="1"/>
  <c r="BY95" i="1"/>
  <c r="BT97" i="1"/>
  <c r="BY97" i="1"/>
  <c r="BT240" i="1"/>
  <c r="BY240" i="1"/>
  <c r="BT100" i="1"/>
  <c r="BY100" i="1"/>
  <c r="BT102" i="1"/>
  <c r="BY102" i="1"/>
  <c r="BT104" i="1"/>
  <c r="BY104" i="1"/>
  <c r="BT105" i="1"/>
  <c r="BY105" i="1"/>
  <c r="BT107" i="1"/>
  <c r="BY107" i="1"/>
  <c r="BT109" i="1"/>
  <c r="BY109" i="1"/>
  <c r="BT111" i="1"/>
  <c r="BY111" i="1"/>
  <c r="BT69" i="1"/>
  <c r="BY69" i="1"/>
  <c r="BT113" i="1"/>
  <c r="BY113" i="1"/>
  <c r="BT115" i="1"/>
  <c r="BY115" i="1"/>
  <c r="BT117" i="1"/>
  <c r="BY117" i="1"/>
  <c r="BT119" i="1"/>
  <c r="BY119" i="1"/>
  <c r="BT121" i="1"/>
  <c r="BY121" i="1"/>
  <c r="BT123" i="1"/>
  <c r="BY123" i="1"/>
  <c r="BT125" i="1"/>
  <c r="BY125" i="1"/>
  <c r="BT127" i="1"/>
  <c r="BY127" i="1"/>
  <c r="BT129" i="1"/>
  <c r="BY129" i="1"/>
  <c r="BT131" i="1"/>
  <c r="BY131" i="1"/>
  <c r="BT133" i="1"/>
  <c r="BY133" i="1"/>
  <c r="BT135" i="1"/>
  <c r="BY135" i="1"/>
  <c r="BT137" i="1"/>
  <c r="BY137" i="1"/>
  <c r="BT139" i="1"/>
  <c r="BY139" i="1"/>
  <c r="BT237" i="1"/>
  <c r="BY237" i="1"/>
  <c r="BT311" i="1"/>
  <c r="BY311" i="1"/>
  <c r="BT315" i="1"/>
  <c r="BY315" i="1"/>
  <c r="BT320" i="1"/>
  <c r="BY320" i="1"/>
  <c r="BT324" i="1"/>
  <c r="BY324" i="1"/>
  <c r="BT328" i="1"/>
  <c r="BY328" i="1"/>
  <c r="BT332" i="1"/>
  <c r="BY332" i="1"/>
  <c r="BT336" i="1"/>
  <c r="BY336" i="1"/>
  <c r="BT339" i="1"/>
  <c r="BY339" i="1"/>
  <c r="BT344" i="1"/>
  <c r="BY344" i="1"/>
  <c r="BT347" i="1"/>
  <c r="BY347" i="1"/>
  <c r="BT351" i="1"/>
  <c r="BY351" i="1"/>
  <c r="BT355" i="1"/>
  <c r="BY355" i="1"/>
  <c r="BT359" i="1"/>
  <c r="BY359" i="1"/>
  <c r="BT362" i="1"/>
  <c r="BY362" i="1"/>
  <c r="BT367" i="1"/>
  <c r="BY367" i="1"/>
  <c r="BT371" i="1"/>
  <c r="BY371" i="1"/>
  <c r="BT375" i="1"/>
  <c r="BY375" i="1"/>
  <c r="BT381" i="1"/>
  <c r="BY381" i="1"/>
  <c r="BT385" i="1"/>
  <c r="BY385" i="1"/>
  <c r="BT389" i="1"/>
  <c r="BY389" i="1"/>
  <c r="BT393" i="1"/>
  <c r="BY393" i="1"/>
  <c r="BT397" i="1"/>
  <c r="BY397" i="1"/>
  <c r="BT401" i="1"/>
  <c r="BY401" i="1"/>
  <c r="BT405" i="1"/>
  <c r="BY405" i="1"/>
  <c r="BT212" i="1"/>
  <c r="BY212" i="1"/>
  <c r="BT412" i="1"/>
  <c r="BY412" i="1"/>
  <c r="BT416" i="1"/>
  <c r="BY416" i="1"/>
  <c r="BT419" i="1"/>
  <c r="BY419" i="1"/>
  <c r="BT423" i="1"/>
  <c r="BY423" i="1"/>
  <c r="BT427" i="1"/>
  <c r="BY427" i="1"/>
  <c r="BT431" i="1"/>
  <c r="BY431" i="1"/>
  <c r="BT434" i="1"/>
  <c r="BY434" i="1"/>
  <c r="BT438" i="1"/>
  <c r="BY438" i="1"/>
  <c r="BT443" i="1"/>
  <c r="BY443" i="1"/>
  <c r="BT447" i="1"/>
  <c r="BY447" i="1"/>
  <c r="BT450" i="1"/>
  <c r="BY450" i="1"/>
  <c r="BT454" i="1"/>
  <c r="BY454" i="1"/>
  <c r="BT93" i="1"/>
  <c r="BY93" i="1"/>
  <c r="BT460" i="1"/>
  <c r="BY460" i="1"/>
  <c r="BT463" i="1"/>
  <c r="BY463" i="1"/>
  <c r="BT467" i="1"/>
  <c r="BY467" i="1"/>
  <c r="BT472" i="1"/>
  <c r="BY472" i="1"/>
  <c r="BT476" i="1"/>
  <c r="BY476" i="1"/>
  <c r="BT479" i="1"/>
  <c r="BY479" i="1"/>
  <c r="BT471" i="1"/>
  <c r="BY471" i="1"/>
  <c r="BT489" i="1"/>
  <c r="BY489" i="1"/>
  <c r="BT493" i="1"/>
  <c r="BY493" i="1"/>
  <c r="BT496" i="1"/>
  <c r="BY496" i="1"/>
  <c r="BT500" i="1"/>
  <c r="BY500" i="1"/>
  <c r="BT504" i="1"/>
  <c r="BY504" i="1"/>
  <c r="BT510" i="1"/>
  <c r="BY510" i="1"/>
  <c r="BT518" i="1"/>
  <c r="BY518" i="1"/>
  <c r="BT522" i="1"/>
  <c r="BY522" i="1"/>
  <c r="BT526" i="1"/>
  <c r="BY526" i="1"/>
  <c r="BT530" i="1"/>
  <c r="BY530" i="1"/>
  <c r="BT534" i="1"/>
  <c r="BY534" i="1"/>
  <c r="BT538" i="1"/>
  <c r="BY538" i="1"/>
  <c r="BT542" i="1"/>
  <c r="BY542" i="1"/>
  <c r="BT546" i="1"/>
  <c r="BY546" i="1"/>
  <c r="BT511" i="1"/>
  <c r="BY511" i="1"/>
  <c r="BT553" i="1"/>
  <c r="BY553" i="1"/>
  <c r="BT555" i="1"/>
  <c r="BY555" i="1"/>
  <c r="BT559" i="1"/>
  <c r="BY559" i="1"/>
  <c r="BT562" i="1"/>
  <c r="BY562" i="1"/>
  <c r="BT566" i="1"/>
  <c r="BY566" i="1"/>
  <c r="BT570" i="1"/>
  <c r="BY570" i="1"/>
  <c r="BT574" i="1"/>
  <c r="BY574" i="1"/>
  <c r="BT578" i="1"/>
  <c r="BY578" i="1"/>
  <c r="BT582" i="1"/>
  <c r="BY582" i="1"/>
  <c r="BT586" i="1"/>
  <c r="BY586" i="1"/>
  <c r="BT590" i="1"/>
  <c r="BY590" i="1"/>
  <c r="BT594" i="1"/>
  <c r="BY594" i="1"/>
  <c r="BT598" i="1"/>
  <c r="BY598" i="1"/>
  <c r="BT602" i="1"/>
  <c r="BY602" i="1"/>
  <c r="BT606" i="1"/>
  <c r="BY606" i="1"/>
  <c r="BT610" i="1"/>
  <c r="BY610" i="1"/>
  <c r="BT614" i="1"/>
  <c r="BY614" i="1"/>
  <c r="BT618" i="1"/>
  <c r="BY618" i="1"/>
  <c r="BT622" i="1"/>
  <c r="BY622" i="1"/>
  <c r="BT626" i="1"/>
  <c r="BY626" i="1"/>
  <c r="BT630" i="1"/>
  <c r="BY630" i="1"/>
  <c r="BT634" i="1"/>
  <c r="BY634" i="1"/>
  <c r="BT638" i="1"/>
  <c r="BY638" i="1"/>
  <c r="BT642" i="1"/>
  <c r="BY642" i="1"/>
  <c r="BT646" i="1"/>
  <c r="BY646" i="1"/>
  <c r="BT650" i="1"/>
  <c r="BY650" i="1"/>
  <c r="BT654" i="1"/>
  <c r="BY654" i="1"/>
  <c r="BT658" i="1"/>
  <c r="BY658" i="1"/>
  <c r="BT662" i="1"/>
  <c r="BY662" i="1"/>
  <c r="BT666" i="1"/>
  <c r="BY666" i="1"/>
  <c r="BT487" i="1"/>
  <c r="BY487" i="1"/>
  <c r="BT673" i="1"/>
  <c r="BY673" i="1"/>
  <c r="BT678" i="1"/>
  <c r="BY678" i="1"/>
  <c r="BT682" i="1"/>
  <c r="BY682" i="1"/>
  <c r="BT686" i="1"/>
  <c r="BY686" i="1"/>
  <c r="BT694" i="1"/>
  <c r="BY694" i="1"/>
  <c r="BT697" i="1"/>
  <c r="BY697" i="1"/>
  <c r="BT702" i="1"/>
  <c r="BY702" i="1"/>
  <c r="BT711" i="1"/>
  <c r="BY711" i="1"/>
  <c r="BT720" i="1"/>
  <c r="BY720" i="1"/>
  <c r="BT728" i="1"/>
  <c r="BY728" i="1"/>
  <c r="BT736" i="1"/>
  <c r="BY736" i="1"/>
  <c r="BT744" i="1"/>
  <c r="BY744" i="1"/>
  <c r="BT752" i="1"/>
  <c r="BY752" i="1"/>
  <c r="BT760" i="1"/>
  <c r="BY760" i="1"/>
  <c r="BT768" i="1"/>
  <c r="BY768" i="1"/>
  <c r="BT776" i="1"/>
  <c r="BY776" i="1"/>
  <c r="BT784" i="1"/>
  <c r="BY784" i="1"/>
  <c r="BT823" i="1"/>
  <c r="BY823" i="1"/>
  <c r="BT791" i="1"/>
  <c r="BY791" i="1"/>
  <c r="BT802" i="1"/>
  <c r="BY802" i="1"/>
  <c r="BT810" i="1"/>
  <c r="BY810" i="1"/>
  <c r="BT820" i="1"/>
  <c r="BY820" i="1"/>
  <c r="BT834" i="1"/>
  <c r="BY834" i="1"/>
  <c r="BT839" i="1"/>
  <c r="BY839" i="1"/>
  <c r="BT843" i="1"/>
  <c r="BY843" i="1"/>
  <c r="BT847" i="1"/>
  <c r="BY847" i="1"/>
  <c r="BT851" i="1"/>
  <c r="BY851" i="1"/>
  <c r="BT837" i="1"/>
  <c r="BY837" i="1"/>
  <c r="BT844" i="1"/>
  <c r="BY844" i="1"/>
  <c r="BT852" i="1"/>
  <c r="BY852" i="1"/>
  <c r="BT890" i="1"/>
  <c r="BY890" i="1"/>
  <c r="BT898" i="1"/>
  <c r="BY898" i="1"/>
  <c r="BT906" i="1"/>
  <c r="BY906" i="1"/>
  <c r="BT914" i="1"/>
  <c r="BY914" i="1"/>
  <c r="BT922" i="1"/>
  <c r="BY922" i="1"/>
  <c r="BT930" i="1"/>
  <c r="BY930" i="1"/>
  <c r="BT938" i="1"/>
  <c r="BY938" i="1"/>
  <c r="BT946" i="1"/>
  <c r="BY946" i="1"/>
  <c r="BT954" i="1"/>
  <c r="BY954" i="1"/>
  <c r="BT962" i="1"/>
  <c r="BY962" i="1"/>
  <c r="BT970" i="1"/>
  <c r="BY970" i="1"/>
  <c r="BT978" i="1"/>
  <c r="BY978" i="1"/>
  <c r="BT986" i="1"/>
  <c r="BY986" i="1"/>
  <c r="BT994" i="1"/>
  <c r="BY994" i="1"/>
  <c r="BT1002" i="1"/>
  <c r="BY1002" i="1"/>
  <c r="BT1010" i="1"/>
  <c r="BY1010" i="1"/>
  <c r="BT1018" i="1"/>
  <c r="BY1018" i="1"/>
  <c r="BT1026" i="1"/>
  <c r="BY1026" i="1"/>
  <c r="BT1034" i="1"/>
  <c r="BY1034" i="1"/>
  <c r="BT1042" i="1"/>
  <c r="BY1042" i="1"/>
  <c r="BT1050" i="1"/>
  <c r="BY1050" i="1"/>
  <c r="BT1054" i="1"/>
  <c r="BY1054" i="1"/>
  <c r="BT1058" i="1"/>
  <c r="BY1058" i="1"/>
  <c r="BT1062" i="1"/>
  <c r="BY1062" i="1"/>
  <c r="BT1066" i="1"/>
  <c r="BY1066" i="1"/>
  <c r="BT1070" i="1"/>
  <c r="BY1070" i="1"/>
  <c r="BT1074" i="1"/>
  <c r="BY1074" i="1"/>
  <c r="BT1078" i="1"/>
  <c r="BY1078" i="1"/>
  <c r="BT1082" i="1"/>
  <c r="BY1082" i="1"/>
  <c r="BT1086" i="1"/>
  <c r="BY1086" i="1"/>
  <c r="BT1090" i="1"/>
  <c r="BY1090" i="1"/>
  <c r="BT1094" i="1"/>
  <c r="BY1094" i="1"/>
  <c r="BT1098" i="1"/>
  <c r="BY1098" i="1"/>
  <c r="BT1102" i="1"/>
  <c r="BY1102" i="1"/>
  <c r="BT1106" i="1"/>
  <c r="BY1106" i="1"/>
  <c r="BT1110" i="1"/>
  <c r="BY1110" i="1"/>
  <c r="BT1118" i="1"/>
  <c r="BY1118" i="1"/>
  <c r="BT615" i="1"/>
  <c r="BY615" i="1"/>
  <c r="BT617" i="1"/>
  <c r="BY617" i="1"/>
  <c r="BT619" i="1"/>
  <c r="BY619" i="1"/>
  <c r="BT621" i="1"/>
  <c r="BY621" i="1"/>
  <c r="BT623" i="1"/>
  <c r="BY623" i="1"/>
  <c r="BT625" i="1"/>
  <c r="BY625" i="1"/>
  <c r="BT627" i="1"/>
  <c r="BY627" i="1"/>
  <c r="BT629" i="1"/>
  <c r="BY629" i="1"/>
  <c r="BT631" i="1"/>
  <c r="BY631" i="1"/>
  <c r="BT633" i="1"/>
  <c r="BY633" i="1"/>
  <c r="BT635" i="1"/>
  <c r="BY635" i="1"/>
  <c r="BT637" i="1"/>
  <c r="BY637" i="1"/>
  <c r="BT639" i="1"/>
  <c r="BY639" i="1"/>
  <c r="BT641" i="1"/>
  <c r="BY641" i="1"/>
  <c r="BT643" i="1"/>
  <c r="BY643" i="1"/>
  <c r="BT645" i="1"/>
  <c r="BY645" i="1"/>
  <c r="BT647" i="1"/>
  <c r="BY647" i="1"/>
  <c r="BT649" i="1"/>
  <c r="BY649" i="1"/>
  <c r="BT651" i="1"/>
  <c r="BY651" i="1"/>
  <c r="BT653" i="1"/>
  <c r="BY653" i="1"/>
  <c r="BT655" i="1"/>
  <c r="BY655" i="1"/>
  <c r="BT657" i="1"/>
  <c r="BY657" i="1"/>
  <c r="BT659" i="1"/>
  <c r="BY659" i="1"/>
  <c r="BT661" i="1"/>
  <c r="BY661" i="1"/>
  <c r="BT663" i="1"/>
  <c r="BY663" i="1"/>
  <c r="BT665" i="1"/>
  <c r="BY665" i="1"/>
  <c r="BT667" i="1"/>
  <c r="BY667" i="1"/>
  <c r="BT669" i="1"/>
  <c r="BY669" i="1"/>
  <c r="BT488" i="1"/>
  <c r="BY488" i="1"/>
  <c r="BT671" i="1"/>
  <c r="BY671" i="1"/>
  <c r="BT674" i="1"/>
  <c r="BY674" i="1"/>
  <c r="BT677" i="1"/>
  <c r="BY677" i="1"/>
  <c r="BT679" i="1"/>
  <c r="BY679" i="1"/>
  <c r="BT681" i="1"/>
  <c r="BY681" i="1"/>
  <c r="BT683" i="1"/>
  <c r="BY683" i="1"/>
  <c r="BT685" i="1"/>
  <c r="BY685" i="1"/>
  <c r="BT687" i="1"/>
  <c r="BY687" i="1"/>
  <c r="BT690" i="1"/>
  <c r="BY690" i="1"/>
  <c r="BT693" i="1"/>
  <c r="BY693" i="1"/>
  <c r="BT695" i="1"/>
  <c r="BY695" i="1"/>
  <c r="BT696" i="1"/>
  <c r="BY696" i="1"/>
  <c r="BT698" i="1"/>
  <c r="BY698" i="1"/>
  <c r="BT700" i="1"/>
  <c r="BY700" i="1"/>
  <c r="BT701" i="1"/>
  <c r="BY701" i="1"/>
  <c r="BT703" i="1"/>
  <c r="BY703" i="1"/>
  <c r="BT705" i="1"/>
  <c r="BY705" i="1"/>
  <c r="BT707" i="1"/>
  <c r="BY707" i="1"/>
  <c r="BT710" i="1"/>
  <c r="BY710" i="1"/>
  <c r="BT712" i="1"/>
  <c r="BY712" i="1"/>
  <c r="BT714" i="1"/>
  <c r="BY714" i="1"/>
  <c r="BT717" i="1"/>
  <c r="BY717" i="1"/>
  <c r="BT719" i="1"/>
  <c r="BY719" i="1"/>
  <c r="BT721" i="1"/>
  <c r="BY721" i="1"/>
  <c r="BT723" i="1"/>
  <c r="BY723" i="1"/>
  <c r="BT725" i="1"/>
  <c r="BY725" i="1"/>
  <c r="BT727" i="1"/>
  <c r="BY727" i="1"/>
  <c r="BT729" i="1"/>
  <c r="BY729" i="1"/>
  <c r="BT731" i="1"/>
  <c r="BY731" i="1"/>
  <c r="BT733" i="1"/>
  <c r="BY733" i="1"/>
  <c r="BT735" i="1"/>
  <c r="BY735" i="1"/>
  <c r="BT737" i="1"/>
  <c r="BY737" i="1"/>
  <c r="BT739" i="1"/>
  <c r="BY739" i="1"/>
  <c r="BT741" i="1"/>
  <c r="BY741" i="1"/>
  <c r="BT743" i="1"/>
  <c r="BY743" i="1"/>
  <c r="BT745" i="1"/>
  <c r="BY745" i="1"/>
  <c r="BT747" i="1"/>
  <c r="BY747" i="1"/>
  <c r="BT749" i="1"/>
  <c r="BY749" i="1"/>
  <c r="BT751" i="1"/>
  <c r="BY751" i="1"/>
  <c r="BT753" i="1"/>
  <c r="BY753" i="1"/>
  <c r="BT755" i="1"/>
  <c r="BY755" i="1"/>
  <c r="BT757" i="1"/>
  <c r="BY757" i="1"/>
  <c r="BT759" i="1"/>
  <c r="BY759" i="1"/>
  <c r="BT761" i="1"/>
  <c r="BY761" i="1"/>
  <c r="BT763" i="1"/>
  <c r="BY763" i="1"/>
  <c r="BT765" i="1"/>
  <c r="BY765" i="1"/>
  <c r="BT767" i="1"/>
  <c r="BY767" i="1"/>
  <c r="BT769" i="1"/>
  <c r="BY769" i="1"/>
  <c r="BT771" i="1"/>
  <c r="BY771" i="1"/>
  <c r="BT773" i="1"/>
  <c r="BY773" i="1"/>
  <c r="BT775" i="1"/>
  <c r="BY775" i="1"/>
  <c r="BT777" i="1"/>
  <c r="BY777" i="1"/>
  <c r="BT779" i="1"/>
  <c r="BY779" i="1"/>
  <c r="BT781" i="1"/>
  <c r="BY781" i="1"/>
  <c r="BT783" i="1"/>
  <c r="BY783" i="1"/>
  <c r="BT785" i="1"/>
  <c r="BY785" i="1"/>
  <c r="BT815" i="1"/>
  <c r="BY815" i="1"/>
  <c r="BT788" i="1"/>
  <c r="BY788" i="1"/>
  <c r="BT822" i="1"/>
  <c r="BY822" i="1"/>
  <c r="BT824" i="1"/>
  <c r="BY824" i="1"/>
  <c r="BT826" i="1"/>
  <c r="BY826" i="1"/>
  <c r="BT827" i="1"/>
  <c r="BY827" i="1"/>
  <c r="BT790" i="1"/>
  <c r="BY790" i="1"/>
  <c r="BT792" i="1"/>
  <c r="BY792" i="1"/>
  <c r="BT794" i="1"/>
  <c r="BY794" i="1"/>
  <c r="BT796" i="1"/>
  <c r="BY796" i="1"/>
  <c r="BT799" i="1"/>
  <c r="BY799" i="1"/>
  <c r="BT801" i="1"/>
  <c r="BY801" i="1"/>
  <c r="BT803" i="1"/>
  <c r="BY803" i="1"/>
  <c r="BT805" i="1"/>
  <c r="BY805" i="1"/>
  <c r="BT807" i="1"/>
  <c r="BY807" i="1"/>
  <c r="BT809" i="1"/>
  <c r="BY809" i="1"/>
  <c r="BT811" i="1"/>
  <c r="BY811" i="1"/>
  <c r="BT813" i="1"/>
  <c r="BY813" i="1"/>
  <c r="BT816" i="1"/>
  <c r="BY816" i="1"/>
  <c r="BT819" i="1"/>
  <c r="BY819" i="1"/>
  <c r="BT829" i="1"/>
  <c r="BY829" i="1"/>
  <c r="BT831" i="1"/>
  <c r="BY831" i="1"/>
  <c r="BT835" i="1"/>
  <c r="BY835" i="1"/>
  <c r="BT838" i="1"/>
  <c r="BY838" i="1"/>
  <c r="BT842" i="1"/>
  <c r="BY842" i="1"/>
  <c r="BT846" i="1"/>
  <c r="BY846" i="1"/>
  <c r="BT850" i="1"/>
  <c r="BY850" i="1"/>
  <c r="BT854" i="1"/>
  <c r="BY854" i="1"/>
  <c r="BT858" i="1"/>
  <c r="BY858" i="1"/>
  <c r="BT862" i="1"/>
  <c r="BY862" i="1"/>
  <c r="BT866" i="1"/>
  <c r="BY866" i="1"/>
  <c r="BT870" i="1"/>
  <c r="BY870" i="1"/>
  <c r="BT874" i="1"/>
  <c r="BY874" i="1"/>
  <c r="BT878" i="1"/>
  <c r="BY878" i="1"/>
  <c r="BT882" i="1"/>
  <c r="BY882" i="1"/>
  <c r="BT509" i="1"/>
  <c r="BY509" i="1"/>
  <c r="BT708" i="1"/>
  <c r="BY708" i="1"/>
  <c r="BT718" i="1"/>
  <c r="BY718" i="1"/>
  <c r="BT726" i="1"/>
  <c r="BY726" i="1"/>
  <c r="BT734" i="1"/>
  <c r="BY734" i="1"/>
  <c r="BT742" i="1"/>
  <c r="BY742" i="1"/>
  <c r="BT750" i="1"/>
  <c r="BY750" i="1"/>
  <c r="BT758" i="1"/>
  <c r="BY758" i="1"/>
  <c r="BT766" i="1"/>
  <c r="BY766" i="1"/>
  <c r="BT774" i="1"/>
  <c r="BY774" i="1"/>
  <c r="BT782" i="1"/>
  <c r="BY782" i="1"/>
  <c r="BT821" i="1"/>
  <c r="BY821" i="1"/>
  <c r="BT828" i="1"/>
  <c r="BY828" i="1"/>
  <c r="BT795" i="1"/>
  <c r="BY795" i="1"/>
  <c r="BT804" i="1"/>
  <c r="BY804" i="1"/>
  <c r="BT812" i="1"/>
  <c r="BY812" i="1"/>
  <c r="BT830" i="1"/>
  <c r="BY830" i="1"/>
  <c r="BT836" i="1"/>
  <c r="BY836" i="1"/>
  <c r="BT841" i="1"/>
  <c r="BY841" i="1"/>
  <c r="BT849" i="1"/>
  <c r="BY849" i="1"/>
  <c r="BT855" i="1"/>
  <c r="BY855" i="1"/>
  <c r="BT861" i="1"/>
  <c r="BY861" i="1"/>
  <c r="BT869" i="1"/>
  <c r="BY869" i="1"/>
  <c r="BT877" i="1"/>
  <c r="BY877" i="1"/>
  <c r="BT36" i="1"/>
  <c r="BY36" i="1"/>
  <c r="BT318" i="1"/>
  <c r="BY318" i="1"/>
  <c r="BT327" i="1"/>
  <c r="BY327" i="1"/>
  <c r="BT335" i="1"/>
  <c r="BY335" i="1"/>
  <c r="BT343" i="1"/>
  <c r="BY343" i="1"/>
  <c r="BT350" i="1"/>
  <c r="BY350" i="1"/>
  <c r="BT358" i="1"/>
  <c r="BY358" i="1"/>
  <c r="BT366" i="1"/>
  <c r="BY366" i="1"/>
  <c r="BT374" i="1"/>
  <c r="BY374" i="1"/>
  <c r="BT384" i="1"/>
  <c r="BY384" i="1"/>
  <c r="BT392" i="1"/>
  <c r="BY392" i="1"/>
  <c r="BT400" i="1"/>
  <c r="BY400" i="1"/>
  <c r="BT408" i="1"/>
  <c r="BY408" i="1"/>
  <c r="BT415" i="1"/>
  <c r="BY415" i="1"/>
  <c r="BT422" i="1"/>
  <c r="BY422" i="1"/>
  <c r="BT430" i="1"/>
  <c r="BY430" i="1"/>
  <c r="BT437" i="1"/>
  <c r="BY437" i="1"/>
  <c r="BT446" i="1"/>
  <c r="BY446" i="1"/>
  <c r="BT453" i="1"/>
  <c r="BY453" i="1"/>
  <c r="BT380" i="1"/>
  <c r="BY380" i="1"/>
  <c r="BT466" i="1"/>
  <c r="BY466" i="1"/>
  <c r="BT31" i="1"/>
  <c r="BY31" i="1"/>
  <c r="BT483" i="1"/>
  <c r="BY483" i="1"/>
  <c r="BT492" i="1"/>
  <c r="BY492" i="1"/>
  <c r="BT499" i="1"/>
  <c r="BY499" i="1"/>
  <c r="BT507" i="1"/>
  <c r="BY507" i="1"/>
  <c r="BT521" i="1"/>
  <c r="BY521" i="1"/>
  <c r="BT529" i="1"/>
  <c r="BY529" i="1"/>
  <c r="BT537" i="1"/>
  <c r="BY537" i="1"/>
  <c r="BT545" i="1"/>
  <c r="BY545" i="1"/>
  <c r="BT552" i="1"/>
  <c r="BY552" i="1"/>
  <c r="BT558" i="1"/>
  <c r="BY558" i="1"/>
  <c r="BT565" i="1"/>
  <c r="BY565" i="1"/>
  <c r="BT573" i="1"/>
  <c r="BY573" i="1"/>
  <c r="BT581" i="1"/>
  <c r="BY581" i="1"/>
  <c r="BT589" i="1"/>
  <c r="BY589" i="1"/>
  <c r="BT597" i="1"/>
  <c r="BY597" i="1"/>
  <c r="BT605" i="1"/>
  <c r="BY605" i="1"/>
  <c r="BT613" i="1"/>
  <c r="BY613" i="1"/>
  <c r="AA312" i="1"/>
  <c r="Z312" i="1" s="1"/>
  <c r="AC312" i="1" s="1"/>
  <c r="AE312" i="1"/>
  <c r="AP312" i="1" s="1"/>
  <c r="AA329" i="1"/>
  <c r="Z329" i="1" s="1"/>
  <c r="AC329" i="1" s="1"/>
  <c r="AE329" i="1"/>
  <c r="AP329" i="1" s="1"/>
  <c r="AA345" i="1"/>
  <c r="Z345" i="1" s="1"/>
  <c r="AC345" i="1" s="1"/>
  <c r="AE345" i="1"/>
  <c r="AP345" i="1" s="1"/>
  <c r="AA360" i="1"/>
  <c r="Z360" i="1" s="1"/>
  <c r="AC360" i="1" s="1"/>
  <c r="AE360" i="1"/>
  <c r="AP360" i="1" s="1"/>
  <c r="AA376" i="1"/>
  <c r="Z376" i="1" s="1"/>
  <c r="AC376" i="1" s="1"/>
  <c r="AE376" i="1"/>
  <c r="AP376" i="1" s="1"/>
  <c r="AA394" i="1"/>
  <c r="Z394" i="1" s="1"/>
  <c r="AC394" i="1" s="1"/>
  <c r="AE394" i="1"/>
  <c r="AP394" i="1" s="1"/>
  <c r="AA409" i="1"/>
  <c r="Z409" i="1" s="1"/>
  <c r="AC409" i="1" s="1"/>
  <c r="AE409" i="1"/>
  <c r="AP409" i="1" s="1"/>
  <c r="AA424" i="1"/>
  <c r="Z424" i="1" s="1"/>
  <c r="AC424" i="1" s="1"/>
  <c r="AE424" i="1"/>
  <c r="AP424" i="1" s="1"/>
  <c r="AA432" i="1"/>
  <c r="Z432" i="1" s="1"/>
  <c r="AC432" i="1" s="1"/>
  <c r="AE432" i="1"/>
  <c r="AP432" i="1" s="1"/>
  <c r="AA440" i="1"/>
  <c r="Z440" i="1" s="1"/>
  <c r="AC440" i="1" s="1"/>
  <c r="AE440" i="1"/>
  <c r="AP440" i="1" s="1"/>
  <c r="AA448" i="1"/>
  <c r="Z448" i="1" s="1"/>
  <c r="AC448" i="1" s="1"/>
  <c r="AE448" i="1"/>
  <c r="AP448" i="1" s="1"/>
  <c r="AA455" i="1"/>
  <c r="Z455" i="1" s="1"/>
  <c r="AC455" i="1" s="1"/>
  <c r="AE455" i="1"/>
  <c r="AP455" i="1" s="1"/>
  <c r="AA461" i="1"/>
  <c r="Z461" i="1" s="1"/>
  <c r="AC461" i="1" s="1"/>
  <c r="AE461" i="1"/>
  <c r="AP461" i="1" s="1"/>
  <c r="AA20" i="1"/>
  <c r="Z20" i="1" s="1"/>
  <c r="AC20" i="1" s="1"/>
  <c r="AE20" i="1"/>
  <c r="AP20" i="1" s="1"/>
  <c r="AA32" i="1"/>
  <c r="Z32" i="1" s="1"/>
  <c r="AC32" i="1" s="1"/>
  <c r="AE32" i="1"/>
  <c r="AP32" i="1" s="1"/>
  <c r="AA475" i="1"/>
  <c r="Z475" i="1" s="1"/>
  <c r="AC475" i="1" s="1"/>
  <c r="AE475" i="1"/>
  <c r="AP475" i="1" s="1"/>
  <c r="AA459" i="1"/>
  <c r="Z459" i="1" s="1"/>
  <c r="AC459" i="1" s="1"/>
  <c r="AE459" i="1"/>
  <c r="AP459" i="1" s="1"/>
  <c r="AA501" i="1"/>
  <c r="Z501" i="1" s="1"/>
  <c r="AC501" i="1" s="1"/>
  <c r="AE501" i="1"/>
  <c r="AP501" i="1" s="1"/>
  <c r="AA514" i="1"/>
  <c r="Z514" i="1" s="1"/>
  <c r="AC514" i="1" s="1"/>
  <c r="AE514" i="1"/>
  <c r="AP514" i="1" s="1"/>
  <c r="AA523" i="1"/>
  <c r="Z523" i="1" s="1"/>
  <c r="AC523" i="1" s="1"/>
  <c r="AE523" i="1"/>
  <c r="AP523" i="1" s="1"/>
  <c r="AA531" i="1"/>
  <c r="Z531" i="1" s="1"/>
  <c r="AC531" i="1" s="1"/>
  <c r="AE531" i="1"/>
  <c r="AP531" i="1" s="1"/>
  <c r="AA539" i="1"/>
  <c r="Z539" i="1" s="1"/>
  <c r="AC539" i="1" s="1"/>
  <c r="AE539" i="1"/>
  <c r="AP539" i="1" s="1"/>
  <c r="AA547" i="1"/>
  <c r="Z547" i="1" s="1"/>
  <c r="AC547" i="1" s="1"/>
  <c r="AE547" i="1"/>
  <c r="AP547" i="1" s="1"/>
  <c r="AA512" i="1"/>
  <c r="Z512" i="1" s="1"/>
  <c r="AC512" i="1" s="1"/>
  <c r="AE512" i="1"/>
  <c r="AP512" i="1" s="1"/>
  <c r="AA560" i="1"/>
  <c r="Z560" i="1" s="1"/>
  <c r="AC560" i="1" s="1"/>
  <c r="AE560" i="1"/>
  <c r="AP560" i="1" s="1"/>
  <c r="AA567" i="1"/>
  <c r="Z567" i="1" s="1"/>
  <c r="AC567" i="1" s="1"/>
  <c r="AE567" i="1"/>
  <c r="AP567" i="1" s="1"/>
  <c r="AA575" i="1"/>
  <c r="Z575" i="1" s="1"/>
  <c r="AC575" i="1" s="1"/>
  <c r="AE575" i="1"/>
  <c r="AP575" i="1" s="1"/>
  <c r="AA583" i="1"/>
  <c r="Z583" i="1" s="1"/>
  <c r="AC583" i="1" s="1"/>
  <c r="AE583" i="1"/>
  <c r="AP583" i="1" s="1"/>
  <c r="AA591" i="1"/>
  <c r="Z591" i="1" s="1"/>
  <c r="AC591" i="1" s="1"/>
  <c r="AE591" i="1"/>
  <c r="AP591" i="1" s="1"/>
  <c r="AA599" i="1"/>
  <c r="Z599" i="1" s="1"/>
  <c r="AC599" i="1" s="1"/>
  <c r="AE599" i="1"/>
  <c r="AP599" i="1" s="1"/>
  <c r="AA607" i="1"/>
  <c r="Z607" i="1" s="1"/>
  <c r="AC607" i="1" s="1"/>
  <c r="AE607" i="1"/>
  <c r="AP607" i="1" s="1"/>
  <c r="AA886" i="1"/>
  <c r="Z886" i="1" s="1"/>
  <c r="AC886" i="1" s="1"/>
  <c r="AE886" i="1"/>
  <c r="AP886" i="1" s="1"/>
  <c r="AA894" i="1"/>
  <c r="Z894" i="1" s="1"/>
  <c r="AC894" i="1" s="1"/>
  <c r="AE894" i="1"/>
  <c r="AP894" i="1" s="1"/>
  <c r="AA902" i="1"/>
  <c r="Z902" i="1" s="1"/>
  <c r="AC902" i="1" s="1"/>
  <c r="AE902" i="1"/>
  <c r="AP902" i="1" s="1"/>
  <c r="AA910" i="1"/>
  <c r="Z910" i="1" s="1"/>
  <c r="AC910" i="1" s="1"/>
  <c r="AE910" i="1"/>
  <c r="AP910" i="1" s="1"/>
  <c r="AA918" i="1"/>
  <c r="Z918" i="1" s="1"/>
  <c r="AC918" i="1" s="1"/>
  <c r="AE918" i="1"/>
  <c r="AP918" i="1" s="1"/>
  <c r="AA926" i="1"/>
  <c r="Z926" i="1" s="1"/>
  <c r="AC926" i="1" s="1"/>
  <c r="AE926" i="1"/>
  <c r="AP926" i="1" s="1"/>
  <c r="AA934" i="1"/>
  <c r="Z934" i="1" s="1"/>
  <c r="AC934" i="1" s="1"/>
  <c r="AE934" i="1"/>
  <c r="AP934" i="1" s="1"/>
  <c r="AA940" i="1"/>
  <c r="Z940" i="1" s="1"/>
  <c r="AC940" i="1" s="1"/>
  <c r="AE940" i="1"/>
  <c r="AP940" i="1" s="1"/>
  <c r="AA944" i="1"/>
  <c r="Z944" i="1" s="1"/>
  <c r="AC944" i="1" s="1"/>
  <c r="AE944" i="1"/>
  <c r="AP944" i="1" s="1"/>
  <c r="AA948" i="1"/>
  <c r="Z948" i="1" s="1"/>
  <c r="AC948" i="1" s="1"/>
  <c r="AE948" i="1"/>
  <c r="AP948" i="1" s="1"/>
  <c r="AA952" i="1"/>
  <c r="Z952" i="1" s="1"/>
  <c r="AC952" i="1" s="1"/>
  <c r="AE952" i="1"/>
  <c r="AP952" i="1" s="1"/>
  <c r="AA956" i="1"/>
  <c r="Z956" i="1" s="1"/>
  <c r="AC956" i="1" s="1"/>
  <c r="AE956" i="1"/>
  <c r="AP956" i="1" s="1"/>
  <c r="AA960" i="1"/>
  <c r="Z960" i="1" s="1"/>
  <c r="AC960" i="1" s="1"/>
  <c r="AE960" i="1"/>
  <c r="AP960" i="1" s="1"/>
  <c r="AA964" i="1"/>
  <c r="Z964" i="1" s="1"/>
  <c r="AC964" i="1" s="1"/>
  <c r="AE964" i="1"/>
  <c r="AP964" i="1" s="1"/>
  <c r="AA968" i="1"/>
  <c r="Z968" i="1" s="1"/>
  <c r="AC968" i="1" s="1"/>
  <c r="AE968" i="1"/>
  <c r="AP968" i="1" s="1"/>
  <c r="AA972" i="1"/>
  <c r="Z972" i="1" s="1"/>
  <c r="AC972" i="1" s="1"/>
  <c r="AE972" i="1"/>
  <c r="AP972" i="1" s="1"/>
  <c r="AA976" i="1"/>
  <c r="Z976" i="1" s="1"/>
  <c r="AC976" i="1" s="1"/>
  <c r="AE976" i="1"/>
  <c r="AP976" i="1" s="1"/>
  <c r="AA980" i="1"/>
  <c r="Z980" i="1" s="1"/>
  <c r="AC980" i="1" s="1"/>
  <c r="AE980" i="1"/>
  <c r="AP980" i="1" s="1"/>
  <c r="AA984" i="1"/>
  <c r="Z984" i="1" s="1"/>
  <c r="AC984" i="1" s="1"/>
  <c r="AE984" i="1"/>
  <c r="AP984" i="1" s="1"/>
  <c r="AA988" i="1"/>
  <c r="Z988" i="1" s="1"/>
  <c r="AC988" i="1" s="1"/>
  <c r="AE988" i="1"/>
  <c r="AP988" i="1" s="1"/>
  <c r="AA992" i="1"/>
  <c r="Z992" i="1" s="1"/>
  <c r="AC992" i="1" s="1"/>
  <c r="AE992" i="1"/>
  <c r="AP992" i="1" s="1"/>
  <c r="AA996" i="1"/>
  <c r="Z996" i="1" s="1"/>
  <c r="AC996" i="1" s="1"/>
  <c r="AE996" i="1"/>
  <c r="AP996" i="1" s="1"/>
  <c r="AA1000" i="1"/>
  <c r="Z1000" i="1" s="1"/>
  <c r="AC1000" i="1" s="1"/>
  <c r="AE1000" i="1"/>
  <c r="AP1000" i="1" s="1"/>
  <c r="AA1004" i="1"/>
  <c r="Z1004" i="1" s="1"/>
  <c r="AC1004" i="1" s="1"/>
  <c r="AE1004" i="1"/>
  <c r="AP1004" i="1" s="1"/>
  <c r="AA1008" i="1"/>
  <c r="Z1008" i="1" s="1"/>
  <c r="AC1008" i="1" s="1"/>
  <c r="AE1008" i="1"/>
  <c r="AP1008" i="1" s="1"/>
  <c r="AA1012" i="1"/>
  <c r="Z1012" i="1" s="1"/>
  <c r="AC1012" i="1" s="1"/>
  <c r="AE1012" i="1"/>
  <c r="AP1012" i="1" s="1"/>
  <c r="AA1016" i="1"/>
  <c r="Z1016" i="1" s="1"/>
  <c r="AC1016" i="1" s="1"/>
  <c r="AE1016" i="1"/>
  <c r="AP1016" i="1" s="1"/>
  <c r="AA1020" i="1"/>
  <c r="Z1020" i="1" s="1"/>
  <c r="AC1020" i="1" s="1"/>
  <c r="AE1020" i="1"/>
  <c r="AP1020" i="1" s="1"/>
  <c r="AA1024" i="1"/>
  <c r="Z1024" i="1" s="1"/>
  <c r="AC1024" i="1" s="1"/>
  <c r="AE1024" i="1"/>
  <c r="AP1024" i="1" s="1"/>
  <c r="AA1028" i="1"/>
  <c r="Z1028" i="1" s="1"/>
  <c r="AC1028" i="1" s="1"/>
  <c r="AE1028" i="1"/>
  <c r="AP1028" i="1" s="1"/>
  <c r="AA1032" i="1"/>
  <c r="Z1032" i="1" s="1"/>
  <c r="AC1032" i="1" s="1"/>
  <c r="AE1032" i="1"/>
  <c r="AP1032" i="1" s="1"/>
  <c r="AA1036" i="1"/>
  <c r="Z1036" i="1" s="1"/>
  <c r="AC1036" i="1" s="1"/>
  <c r="AE1036" i="1"/>
  <c r="AP1036" i="1" s="1"/>
  <c r="AA1040" i="1"/>
  <c r="Z1040" i="1" s="1"/>
  <c r="AC1040" i="1" s="1"/>
  <c r="AE1040" i="1"/>
  <c r="AP1040" i="1" s="1"/>
  <c r="AA1044" i="1"/>
  <c r="Z1044" i="1" s="1"/>
  <c r="AC1044" i="1" s="1"/>
  <c r="AE1044" i="1"/>
  <c r="AP1044" i="1" s="1"/>
  <c r="AA1048" i="1"/>
  <c r="Z1048" i="1" s="1"/>
  <c r="AC1048" i="1" s="1"/>
  <c r="AE1048" i="1"/>
  <c r="AP1048" i="1" s="1"/>
  <c r="AA1052" i="1"/>
  <c r="Z1052" i="1" s="1"/>
  <c r="AC1052" i="1" s="1"/>
  <c r="AE1052" i="1"/>
  <c r="AP1052" i="1" s="1"/>
  <c r="AA1056" i="1"/>
  <c r="Z1056" i="1" s="1"/>
  <c r="AC1056" i="1" s="1"/>
  <c r="AE1056" i="1"/>
  <c r="AP1056" i="1" s="1"/>
  <c r="AA1060" i="1"/>
  <c r="Z1060" i="1" s="1"/>
  <c r="AC1060" i="1" s="1"/>
  <c r="AE1060" i="1"/>
  <c r="AP1060" i="1" s="1"/>
  <c r="AA1064" i="1"/>
  <c r="Z1064" i="1" s="1"/>
  <c r="AC1064" i="1" s="1"/>
  <c r="AE1064" i="1"/>
  <c r="AP1064" i="1" s="1"/>
  <c r="AA1068" i="1"/>
  <c r="Z1068" i="1" s="1"/>
  <c r="AC1068" i="1" s="1"/>
  <c r="AE1068" i="1"/>
  <c r="AP1068" i="1" s="1"/>
  <c r="AA1072" i="1"/>
  <c r="Z1072" i="1" s="1"/>
  <c r="AC1072" i="1" s="1"/>
  <c r="AE1072" i="1"/>
  <c r="AP1072" i="1" s="1"/>
  <c r="AA1076" i="1"/>
  <c r="Z1076" i="1" s="1"/>
  <c r="AC1076" i="1" s="1"/>
  <c r="AE1076" i="1"/>
  <c r="AP1076" i="1" s="1"/>
  <c r="AA1080" i="1"/>
  <c r="Z1080" i="1" s="1"/>
  <c r="AC1080" i="1" s="1"/>
  <c r="AE1080" i="1"/>
  <c r="AP1080" i="1" s="1"/>
  <c r="AA1084" i="1"/>
  <c r="Z1084" i="1" s="1"/>
  <c r="AC1084" i="1" s="1"/>
  <c r="AE1084" i="1"/>
  <c r="AP1084" i="1" s="1"/>
  <c r="AA1088" i="1"/>
  <c r="Z1088" i="1" s="1"/>
  <c r="AC1088" i="1" s="1"/>
  <c r="AE1088" i="1"/>
  <c r="AP1088" i="1" s="1"/>
  <c r="AA1092" i="1"/>
  <c r="Z1092" i="1" s="1"/>
  <c r="AC1092" i="1" s="1"/>
  <c r="AE1092" i="1"/>
  <c r="AP1092" i="1" s="1"/>
  <c r="AA1096" i="1"/>
  <c r="Z1096" i="1" s="1"/>
  <c r="AC1096" i="1" s="1"/>
  <c r="AE1096" i="1"/>
  <c r="AP1096" i="1" s="1"/>
  <c r="AA1100" i="1"/>
  <c r="Z1100" i="1" s="1"/>
  <c r="AC1100" i="1" s="1"/>
  <c r="AE1100" i="1"/>
  <c r="AP1100" i="1" s="1"/>
  <c r="AA1104" i="1"/>
  <c r="Z1104" i="1" s="1"/>
  <c r="AC1104" i="1" s="1"/>
  <c r="AE1104" i="1"/>
  <c r="AP1104" i="1" s="1"/>
  <c r="AA1108" i="1"/>
  <c r="Z1108" i="1" s="1"/>
  <c r="AC1108" i="1" s="1"/>
  <c r="AE1108" i="1"/>
  <c r="AP1108" i="1" s="1"/>
  <c r="AA1112" i="1"/>
  <c r="Z1112" i="1" s="1"/>
  <c r="AC1112" i="1" s="1"/>
  <c r="AE1112" i="1"/>
  <c r="AP1112" i="1" s="1"/>
  <c r="AA1116" i="1"/>
  <c r="Z1116" i="1" s="1"/>
  <c r="AC1116" i="1" s="1"/>
  <c r="AE1116" i="1"/>
  <c r="AP1116" i="1" s="1"/>
  <c r="AA1120" i="1"/>
  <c r="Z1120" i="1" s="1"/>
  <c r="AC1120" i="1" s="1"/>
  <c r="AE1120" i="1"/>
  <c r="AP1120" i="1" s="1"/>
  <c r="AA314" i="1"/>
  <c r="Z314" i="1" s="1"/>
  <c r="AC314" i="1" s="1"/>
  <c r="AE314" i="1"/>
  <c r="AP314" i="1" s="1"/>
  <c r="AA318" i="1"/>
  <c r="Z318" i="1" s="1"/>
  <c r="AC318" i="1" s="1"/>
  <c r="AE318" i="1"/>
  <c r="AP318" i="1" s="1"/>
  <c r="AA323" i="1"/>
  <c r="Z323" i="1" s="1"/>
  <c r="AC323" i="1" s="1"/>
  <c r="AE323" i="1"/>
  <c r="AP323" i="1" s="1"/>
  <c r="AA327" i="1"/>
  <c r="Z327" i="1" s="1"/>
  <c r="AC327" i="1" s="1"/>
  <c r="AE327" i="1"/>
  <c r="AP327" i="1" s="1"/>
  <c r="AA331" i="1"/>
  <c r="Z331" i="1" s="1"/>
  <c r="AC331" i="1" s="1"/>
  <c r="AE331" i="1"/>
  <c r="AP331" i="1" s="1"/>
  <c r="AA335" i="1"/>
  <c r="Z335" i="1" s="1"/>
  <c r="AC335" i="1" s="1"/>
  <c r="AE335" i="1"/>
  <c r="AP335" i="1" s="1"/>
  <c r="AA338" i="1"/>
  <c r="Z338" i="1" s="1"/>
  <c r="AC338" i="1" s="1"/>
  <c r="AE338" i="1"/>
  <c r="AP338" i="1" s="1"/>
  <c r="AA343" i="1"/>
  <c r="Z343" i="1" s="1"/>
  <c r="AC343" i="1" s="1"/>
  <c r="AE343" i="1"/>
  <c r="AP343" i="1" s="1"/>
  <c r="AA699" i="1"/>
  <c r="Z699" i="1" s="1"/>
  <c r="AC699" i="1" s="1"/>
  <c r="AE699" i="1"/>
  <c r="AP699" i="1" s="1"/>
  <c r="AA350" i="1"/>
  <c r="Z350" i="1" s="1"/>
  <c r="AC350" i="1" s="1"/>
  <c r="AE350" i="1"/>
  <c r="AP350" i="1" s="1"/>
  <c r="AA354" i="1"/>
  <c r="Z354" i="1" s="1"/>
  <c r="AC354" i="1" s="1"/>
  <c r="AE354" i="1"/>
  <c r="AP354" i="1" s="1"/>
  <c r="AA358" i="1"/>
  <c r="Z358" i="1" s="1"/>
  <c r="AC358" i="1" s="1"/>
  <c r="AE358" i="1"/>
  <c r="AP358" i="1" s="1"/>
  <c r="AA716" i="1"/>
  <c r="Z716" i="1" s="1"/>
  <c r="AC716" i="1" s="1"/>
  <c r="AE716" i="1"/>
  <c r="AP716" i="1" s="1"/>
  <c r="AA366" i="1"/>
  <c r="Z366" i="1" s="1"/>
  <c r="AC366" i="1" s="1"/>
  <c r="AE366" i="1"/>
  <c r="AP366" i="1" s="1"/>
  <c r="AA370" i="1"/>
  <c r="Z370" i="1" s="1"/>
  <c r="AC370" i="1" s="1"/>
  <c r="AE370" i="1"/>
  <c r="AP370" i="1" s="1"/>
  <c r="AA374" i="1"/>
  <c r="Z374" i="1" s="1"/>
  <c r="AC374" i="1" s="1"/>
  <c r="AE374" i="1"/>
  <c r="AP374" i="1" s="1"/>
  <c r="AA378" i="1"/>
  <c r="Z378" i="1" s="1"/>
  <c r="AC378" i="1" s="1"/>
  <c r="AE378" i="1"/>
  <c r="AP378" i="1" s="1"/>
  <c r="AA384" i="1"/>
  <c r="Z384" i="1" s="1"/>
  <c r="AC384" i="1" s="1"/>
  <c r="AE384" i="1"/>
  <c r="AP384" i="1" s="1"/>
  <c r="AA388" i="1"/>
  <c r="Z388" i="1" s="1"/>
  <c r="AC388" i="1" s="1"/>
  <c r="AE388" i="1"/>
  <c r="AP388" i="1" s="1"/>
  <c r="AA392" i="1"/>
  <c r="Z392" i="1" s="1"/>
  <c r="AC392" i="1" s="1"/>
  <c r="AE392" i="1"/>
  <c r="AP392" i="1" s="1"/>
  <c r="AA396" i="1"/>
  <c r="Z396" i="1" s="1"/>
  <c r="AC396" i="1" s="1"/>
  <c r="AE396" i="1"/>
  <c r="AP396" i="1" s="1"/>
  <c r="AA400" i="1"/>
  <c r="Z400" i="1" s="1"/>
  <c r="AC400" i="1" s="1"/>
  <c r="AE400" i="1"/>
  <c r="AP400" i="1" s="1"/>
  <c r="AA404" i="1"/>
  <c r="Z404" i="1" s="1"/>
  <c r="AC404" i="1" s="1"/>
  <c r="AE404" i="1"/>
  <c r="AP404" i="1" s="1"/>
  <c r="AA408" i="1"/>
  <c r="Z408" i="1" s="1"/>
  <c r="AC408" i="1" s="1"/>
  <c r="AE408" i="1"/>
  <c r="AP408" i="1" s="1"/>
  <c r="AA411" i="1"/>
  <c r="Z411" i="1" s="1"/>
  <c r="AC411" i="1" s="1"/>
  <c r="AE411" i="1"/>
  <c r="AP411" i="1" s="1"/>
  <c r="AA415" i="1"/>
  <c r="Z415" i="1" s="1"/>
  <c r="AC415" i="1" s="1"/>
  <c r="AE415" i="1"/>
  <c r="AP415" i="1" s="1"/>
  <c r="AA418" i="1"/>
  <c r="Z418" i="1" s="1"/>
  <c r="AC418" i="1" s="1"/>
  <c r="AE418" i="1"/>
  <c r="AP418" i="1" s="1"/>
  <c r="AA422" i="1"/>
  <c r="Z422" i="1" s="1"/>
  <c r="AC422" i="1" s="1"/>
  <c r="AE422" i="1"/>
  <c r="AP422" i="1" s="1"/>
  <c r="AA839" i="1"/>
  <c r="Z839" i="1" s="1"/>
  <c r="AC839" i="1" s="1"/>
  <c r="AE839" i="1"/>
  <c r="AP839" i="1" s="1"/>
  <c r="AA863" i="1"/>
  <c r="Z863" i="1" s="1"/>
  <c r="AC863" i="1" s="1"/>
  <c r="AE863" i="1"/>
  <c r="AP863" i="1" s="1"/>
  <c r="AA871" i="1"/>
  <c r="Z871" i="1" s="1"/>
  <c r="AC871" i="1" s="1"/>
  <c r="AE871" i="1"/>
  <c r="AP871" i="1" s="1"/>
  <c r="AA1053" i="1"/>
  <c r="Z1053" i="1" s="1"/>
  <c r="AC1053" i="1" s="1"/>
  <c r="AE1053" i="1"/>
  <c r="AP1053" i="1" s="1"/>
  <c r="AA1061" i="1"/>
  <c r="Z1061" i="1" s="1"/>
  <c r="AC1061" i="1" s="1"/>
  <c r="AE1061" i="1"/>
  <c r="AP1061" i="1" s="1"/>
  <c r="AA1069" i="1"/>
  <c r="Z1069" i="1" s="1"/>
  <c r="AC1069" i="1" s="1"/>
  <c r="AE1069" i="1"/>
  <c r="AP1069" i="1" s="1"/>
  <c r="AA1073" i="1"/>
  <c r="Z1073" i="1" s="1"/>
  <c r="AC1073" i="1" s="1"/>
  <c r="AE1073" i="1"/>
  <c r="AP1073" i="1" s="1"/>
  <c r="AA1081" i="1"/>
  <c r="Z1081" i="1" s="1"/>
  <c r="AC1081" i="1" s="1"/>
  <c r="AE1081" i="1"/>
  <c r="AP1081" i="1" s="1"/>
  <c r="AA1089" i="1"/>
  <c r="Z1089" i="1" s="1"/>
  <c r="AC1089" i="1" s="1"/>
  <c r="AE1089" i="1"/>
  <c r="AP1089" i="1" s="1"/>
  <c r="AA1097" i="1"/>
  <c r="Z1097" i="1" s="1"/>
  <c r="AC1097" i="1" s="1"/>
  <c r="AE1097" i="1"/>
  <c r="AP1097" i="1" s="1"/>
  <c r="AA1105" i="1"/>
  <c r="Z1105" i="1" s="1"/>
  <c r="AC1105" i="1" s="1"/>
  <c r="AE1105" i="1"/>
  <c r="AP1105" i="1" s="1"/>
  <c r="AA847" i="1"/>
  <c r="Z847" i="1" s="1"/>
  <c r="AC847" i="1" s="1"/>
  <c r="AE847" i="1"/>
  <c r="AP847" i="1" s="1"/>
  <c r="AA879" i="1"/>
  <c r="Z879" i="1" s="1"/>
  <c r="AC879" i="1" s="1"/>
  <c r="AE879" i="1"/>
  <c r="AP879" i="1" s="1"/>
  <c r="AA1057" i="1"/>
  <c r="Z1057" i="1" s="1"/>
  <c r="AC1057" i="1" s="1"/>
  <c r="AE1057" i="1"/>
  <c r="AP1057" i="1" s="1"/>
  <c r="AA1065" i="1"/>
  <c r="Z1065" i="1" s="1"/>
  <c r="AC1065" i="1" s="1"/>
  <c r="AE1065" i="1"/>
  <c r="AP1065" i="1" s="1"/>
  <c r="AA1077" i="1"/>
  <c r="Z1077" i="1" s="1"/>
  <c r="AC1077" i="1" s="1"/>
  <c r="AE1077" i="1"/>
  <c r="AP1077" i="1" s="1"/>
  <c r="AA1085" i="1"/>
  <c r="Z1085" i="1" s="1"/>
  <c r="AC1085" i="1" s="1"/>
  <c r="AE1085" i="1"/>
  <c r="AP1085" i="1" s="1"/>
  <c r="AA1093" i="1"/>
  <c r="Z1093" i="1" s="1"/>
  <c r="AC1093" i="1" s="1"/>
  <c r="AE1093" i="1"/>
  <c r="AP1093" i="1" s="1"/>
  <c r="AA1101" i="1"/>
  <c r="Z1101" i="1" s="1"/>
  <c r="AC1101" i="1" s="1"/>
  <c r="AE1101" i="1"/>
  <c r="AP1101" i="1" s="1"/>
  <c r="AA1109" i="1"/>
  <c r="Z1109" i="1" s="1"/>
  <c r="AC1109" i="1" s="1"/>
  <c r="AE1109" i="1"/>
  <c r="AP1109" i="1" s="1"/>
  <c r="AA172" i="1"/>
  <c r="Z172" i="1" s="1"/>
  <c r="AC172" i="1" s="1"/>
  <c r="AE172" i="1"/>
  <c r="AP172" i="1" s="1"/>
  <c r="AA238" i="1"/>
  <c r="Z238" i="1" s="1"/>
  <c r="AC238" i="1" s="1"/>
  <c r="AE238" i="1"/>
  <c r="AP238" i="1" s="1"/>
  <c r="AA300" i="1"/>
  <c r="Z300" i="1" s="1"/>
  <c r="AC300" i="1" s="1"/>
  <c r="AE300" i="1"/>
  <c r="AP300" i="1" s="1"/>
  <c r="AA364" i="1"/>
  <c r="Z364" i="1" s="1"/>
  <c r="AC364" i="1" s="1"/>
  <c r="AE364" i="1"/>
  <c r="AP364" i="1" s="1"/>
  <c r="AA426" i="1"/>
  <c r="Z426" i="1" s="1"/>
  <c r="AC426" i="1" s="1"/>
  <c r="AE426" i="1"/>
  <c r="AP426" i="1" s="1"/>
  <c r="AA457" i="1"/>
  <c r="Z457" i="1" s="1"/>
  <c r="AC457" i="1" s="1"/>
  <c r="AE457" i="1"/>
  <c r="AP457" i="1" s="1"/>
  <c r="AA486" i="1"/>
  <c r="Z486" i="1" s="1"/>
  <c r="AC486" i="1" s="1"/>
  <c r="AE486" i="1"/>
  <c r="AP486" i="1" s="1"/>
  <c r="AA525" i="1"/>
  <c r="Z525" i="1" s="1"/>
  <c r="AC525" i="1" s="1"/>
  <c r="AE525" i="1"/>
  <c r="AP525" i="1" s="1"/>
  <c r="AA554" i="1"/>
  <c r="Z554" i="1" s="1"/>
  <c r="AC554" i="1" s="1"/>
  <c r="AE554" i="1"/>
  <c r="AP554" i="1" s="1"/>
  <c r="AA585" i="1"/>
  <c r="Z585" i="1" s="1"/>
  <c r="AC585" i="1" s="1"/>
  <c r="AE585" i="1"/>
  <c r="AP585" i="1" s="1"/>
  <c r="AA617" i="1"/>
  <c r="Z617" i="1" s="1"/>
  <c r="AC617" i="1" s="1"/>
  <c r="AE617" i="1"/>
  <c r="AP617" i="1" s="1"/>
  <c r="AA649" i="1"/>
  <c r="Z649" i="1" s="1"/>
  <c r="AC649" i="1" s="1"/>
  <c r="AE649" i="1"/>
  <c r="AP649" i="1" s="1"/>
  <c r="AA681" i="1"/>
  <c r="Z681" i="1" s="1"/>
  <c r="AC681" i="1" s="1"/>
  <c r="AE681" i="1"/>
  <c r="AP681" i="1" s="1"/>
  <c r="AA714" i="1"/>
  <c r="Z714" i="1" s="1"/>
  <c r="AC714" i="1" s="1"/>
  <c r="AE714" i="1"/>
  <c r="AP714" i="1" s="1"/>
  <c r="AA739" i="1"/>
  <c r="Z739" i="1" s="1"/>
  <c r="AC739" i="1" s="1"/>
  <c r="AE739" i="1"/>
  <c r="AP739" i="1" s="1"/>
  <c r="AA755" i="1"/>
  <c r="Z755" i="1" s="1"/>
  <c r="AC755" i="1" s="1"/>
  <c r="AE755" i="1"/>
  <c r="AP755" i="1" s="1"/>
  <c r="AA771" i="1"/>
  <c r="Z771" i="1" s="1"/>
  <c r="AC771" i="1" s="1"/>
  <c r="AE771" i="1"/>
  <c r="AP771" i="1" s="1"/>
  <c r="AA815" i="1"/>
  <c r="Z815" i="1" s="1"/>
  <c r="AC815" i="1" s="1"/>
  <c r="AE815" i="1"/>
  <c r="AP815" i="1" s="1"/>
  <c r="AA794" i="1"/>
  <c r="Z794" i="1" s="1"/>
  <c r="AC794" i="1" s="1"/>
  <c r="AE794" i="1"/>
  <c r="AP794" i="1" s="1"/>
  <c r="AA811" i="1"/>
  <c r="Z811" i="1" s="1"/>
  <c r="AC811" i="1" s="1"/>
  <c r="AE811" i="1"/>
  <c r="AP811" i="1" s="1"/>
  <c r="AA837" i="1"/>
  <c r="Z837" i="1" s="1"/>
  <c r="AC837" i="1" s="1"/>
  <c r="AE837" i="1"/>
  <c r="AP837" i="1" s="1"/>
  <c r="AA852" i="1"/>
  <c r="Z852" i="1" s="1"/>
  <c r="AC852" i="1" s="1"/>
  <c r="AE852" i="1"/>
  <c r="AP852" i="1" s="1"/>
  <c r="AA868" i="1"/>
  <c r="Z868" i="1" s="1"/>
  <c r="AC868" i="1" s="1"/>
  <c r="AE868" i="1"/>
  <c r="AP868" i="1" s="1"/>
  <c r="AA884" i="1"/>
  <c r="Z884" i="1" s="1"/>
  <c r="AC884" i="1" s="1"/>
  <c r="AE884" i="1"/>
  <c r="AP884" i="1" s="1"/>
  <c r="AA900" i="1"/>
  <c r="Z900" i="1" s="1"/>
  <c r="AC900" i="1" s="1"/>
  <c r="AE900" i="1"/>
  <c r="AP900" i="1" s="1"/>
  <c r="AA916" i="1"/>
  <c r="Z916" i="1" s="1"/>
  <c r="AC916" i="1" s="1"/>
  <c r="AE916" i="1"/>
  <c r="AP916" i="1" s="1"/>
  <c r="AA932" i="1"/>
  <c r="Z932" i="1" s="1"/>
  <c r="AC932" i="1" s="1"/>
  <c r="AE932" i="1"/>
  <c r="AP932" i="1" s="1"/>
  <c r="AA188" i="1"/>
  <c r="Z188" i="1" s="1"/>
  <c r="AC188" i="1" s="1"/>
  <c r="AE188" i="1"/>
  <c r="AP188" i="1" s="1"/>
  <c r="AA252" i="1"/>
  <c r="Z252" i="1" s="1"/>
  <c r="AC252" i="1" s="1"/>
  <c r="AE252" i="1"/>
  <c r="AP252" i="1" s="1"/>
  <c r="AA316" i="1"/>
  <c r="Z316" i="1" s="1"/>
  <c r="AC316" i="1" s="1"/>
  <c r="AE316" i="1"/>
  <c r="AP316" i="1" s="1"/>
  <c r="AA382" i="1"/>
  <c r="Z382" i="1" s="1"/>
  <c r="AC382" i="1" s="1"/>
  <c r="AE382" i="1"/>
  <c r="AP382" i="1" s="1"/>
  <c r="AA433" i="1"/>
  <c r="Z433" i="1" s="1"/>
  <c r="AC433" i="1" s="1"/>
  <c r="AE433" i="1"/>
  <c r="AP433" i="1" s="1"/>
  <c r="AA439" i="1"/>
  <c r="Z439" i="1" s="1"/>
  <c r="AC439" i="1" s="1"/>
  <c r="AE439" i="1"/>
  <c r="AP439" i="1" s="1"/>
  <c r="AA495" i="1"/>
  <c r="Z495" i="1" s="1"/>
  <c r="AC495" i="1" s="1"/>
  <c r="AE495" i="1"/>
  <c r="AP495" i="1" s="1"/>
  <c r="AA533" i="1"/>
  <c r="Z533" i="1" s="1"/>
  <c r="AC533" i="1" s="1"/>
  <c r="AE533" i="1"/>
  <c r="AP533" i="1" s="1"/>
  <c r="AA561" i="1"/>
  <c r="Z561" i="1" s="1"/>
  <c r="AC561" i="1" s="1"/>
  <c r="AE561" i="1"/>
  <c r="AP561" i="1" s="1"/>
  <c r="AA593" i="1"/>
  <c r="Z593" i="1" s="1"/>
  <c r="AC593" i="1" s="1"/>
  <c r="AE593" i="1"/>
  <c r="AP593" i="1" s="1"/>
  <c r="AA625" i="1"/>
  <c r="Z625" i="1" s="1"/>
  <c r="AC625" i="1" s="1"/>
  <c r="AE625" i="1"/>
  <c r="AP625" i="1" s="1"/>
  <c r="AA657" i="1"/>
  <c r="Z657" i="1" s="1"/>
  <c r="AC657" i="1" s="1"/>
  <c r="AE657" i="1"/>
  <c r="AP657" i="1" s="1"/>
  <c r="AA690" i="1"/>
  <c r="Z690" i="1" s="1"/>
  <c r="AC690" i="1" s="1"/>
  <c r="AE690" i="1"/>
  <c r="AP690" i="1" s="1"/>
  <c r="AA723" i="1"/>
  <c r="Z723" i="1" s="1"/>
  <c r="AC723" i="1" s="1"/>
  <c r="AE723" i="1"/>
  <c r="AP723" i="1" s="1"/>
  <c r="AA743" i="1"/>
  <c r="Z743" i="1" s="1"/>
  <c r="AC743" i="1" s="1"/>
  <c r="AE743" i="1"/>
  <c r="AP743" i="1" s="1"/>
  <c r="AA759" i="1"/>
  <c r="Z759" i="1" s="1"/>
  <c r="AC759" i="1" s="1"/>
  <c r="AE759" i="1"/>
  <c r="AP759" i="1" s="1"/>
  <c r="AA775" i="1"/>
  <c r="Z775" i="1" s="1"/>
  <c r="AC775" i="1" s="1"/>
  <c r="AE775" i="1"/>
  <c r="AP775" i="1" s="1"/>
  <c r="AA822" i="1"/>
  <c r="Z822" i="1" s="1"/>
  <c r="AC822" i="1" s="1"/>
  <c r="AE822" i="1"/>
  <c r="AP822" i="1" s="1"/>
  <c r="AA799" i="1"/>
  <c r="Z799" i="1" s="1"/>
  <c r="AC799" i="1" s="1"/>
  <c r="AE799" i="1"/>
  <c r="AP799" i="1" s="1"/>
  <c r="AA816" i="1"/>
  <c r="Z816" i="1" s="1"/>
  <c r="AC816" i="1" s="1"/>
  <c r="AE816" i="1"/>
  <c r="AP816" i="1" s="1"/>
  <c r="AA840" i="1"/>
  <c r="Z840" i="1" s="1"/>
  <c r="AC840" i="1" s="1"/>
  <c r="AE840" i="1"/>
  <c r="AP840" i="1" s="1"/>
  <c r="AA856" i="1"/>
  <c r="Z856" i="1" s="1"/>
  <c r="AC856" i="1" s="1"/>
  <c r="AE856" i="1"/>
  <c r="AP856" i="1" s="1"/>
  <c r="AA872" i="1"/>
  <c r="Z872" i="1" s="1"/>
  <c r="AC872" i="1" s="1"/>
  <c r="AE872" i="1"/>
  <c r="AP872" i="1" s="1"/>
  <c r="AA888" i="1"/>
  <c r="Z888" i="1" s="1"/>
  <c r="AC888" i="1" s="1"/>
  <c r="AE888" i="1"/>
  <c r="AP888" i="1" s="1"/>
  <c r="AA904" i="1"/>
  <c r="Z904" i="1" s="1"/>
  <c r="AC904" i="1" s="1"/>
  <c r="AE904" i="1"/>
  <c r="AP904" i="1" s="1"/>
  <c r="AA920" i="1"/>
  <c r="Z920" i="1" s="1"/>
  <c r="AC920" i="1" s="1"/>
  <c r="AE920" i="1"/>
  <c r="AP920" i="1" s="1"/>
  <c r="AA180" i="1"/>
  <c r="Z180" i="1" s="1"/>
  <c r="AC180" i="1" s="1"/>
  <c r="AE180" i="1"/>
  <c r="AP180" i="1" s="1"/>
  <c r="AA196" i="1"/>
  <c r="Z196" i="1" s="1"/>
  <c r="AC196" i="1" s="1"/>
  <c r="AE196" i="1"/>
  <c r="AP196" i="1" s="1"/>
  <c r="AA485" i="1"/>
  <c r="Z485" i="1" s="1"/>
  <c r="AC485" i="1" s="1"/>
  <c r="AE485" i="1"/>
  <c r="AP485" i="1" s="1"/>
  <c r="AA229" i="1"/>
  <c r="Z229" i="1" s="1"/>
  <c r="AC229" i="1" s="1"/>
  <c r="AE229" i="1"/>
  <c r="AP229" i="1" s="1"/>
  <c r="AA246" i="1"/>
  <c r="Z246" i="1" s="1"/>
  <c r="AC246" i="1" s="1"/>
  <c r="AE246" i="1"/>
  <c r="AP246" i="1" s="1"/>
  <c r="AA260" i="1"/>
  <c r="Z260" i="1" s="1"/>
  <c r="AC260" i="1" s="1"/>
  <c r="AE260" i="1"/>
  <c r="AP260" i="1" s="1"/>
  <c r="AA275" i="1"/>
  <c r="Z275" i="1" s="1"/>
  <c r="AC275" i="1" s="1"/>
  <c r="AE275" i="1"/>
  <c r="AP275" i="1" s="1"/>
  <c r="AA292" i="1"/>
  <c r="Z292" i="1" s="1"/>
  <c r="AC292" i="1" s="1"/>
  <c r="AE292" i="1"/>
  <c r="AP292" i="1" s="1"/>
  <c r="AA308" i="1"/>
  <c r="Z308" i="1" s="1"/>
  <c r="AC308" i="1" s="1"/>
  <c r="AE308" i="1"/>
  <c r="AP308" i="1" s="1"/>
  <c r="AA325" i="1"/>
  <c r="Z325" i="1" s="1"/>
  <c r="AC325" i="1" s="1"/>
  <c r="AE325" i="1"/>
  <c r="AP325" i="1" s="1"/>
  <c r="AA356" i="1"/>
  <c r="Z356" i="1" s="1"/>
  <c r="AC356" i="1" s="1"/>
  <c r="AE356" i="1"/>
  <c r="AP356" i="1" s="1"/>
  <c r="AA390" i="1"/>
  <c r="Z390" i="1" s="1"/>
  <c r="AC390" i="1" s="1"/>
  <c r="AE390" i="1"/>
  <c r="AP390" i="1" s="1"/>
  <c r="AA420" i="1"/>
  <c r="Z420" i="1" s="1"/>
  <c r="AC420" i="1" s="1"/>
  <c r="AE420" i="1"/>
  <c r="AP420" i="1" s="1"/>
  <c r="AA437" i="1"/>
  <c r="Z437" i="1" s="1"/>
  <c r="AC437" i="1" s="1"/>
  <c r="AE437" i="1"/>
  <c r="AP437" i="1" s="1"/>
  <c r="AA453" i="1"/>
  <c r="Z453" i="1" s="1"/>
  <c r="AC453" i="1" s="1"/>
  <c r="AE453" i="1"/>
  <c r="AP453" i="1" s="1"/>
  <c r="AA466" i="1"/>
  <c r="Z466" i="1" s="1"/>
  <c r="AC466" i="1" s="1"/>
  <c r="AE466" i="1"/>
  <c r="AP466" i="1" s="1"/>
  <c r="AA483" i="1"/>
  <c r="Z483" i="1" s="1"/>
  <c r="AC483" i="1" s="1"/>
  <c r="AE483" i="1"/>
  <c r="AP483" i="1" s="1"/>
  <c r="AA499" i="1"/>
  <c r="Z499" i="1" s="1"/>
  <c r="AC499" i="1" s="1"/>
  <c r="AE499" i="1"/>
  <c r="AP499" i="1" s="1"/>
  <c r="AA521" i="1"/>
  <c r="Z521" i="1" s="1"/>
  <c r="AC521" i="1" s="1"/>
  <c r="AE521" i="1"/>
  <c r="AP521" i="1" s="1"/>
  <c r="AA537" i="1"/>
  <c r="Z537" i="1" s="1"/>
  <c r="AC537" i="1" s="1"/>
  <c r="AE537" i="1"/>
  <c r="AP537" i="1" s="1"/>
  <c r="AA552" i="1"/>
  <c r="Z552" i="1" s="1"/>
  <c r="AC552" i="1" s="1"/>
  <c r="AE552" i="1"/>
  <c r="AP552" i="1" s="1"/>
  <c r="AA565" i="1"/>
  <c r="Z565" i="1" s="1"/>
  <c r="AC565" i="1" s="1"/>
  <c r="AE565" i="1"/>
  <c r="AP565" i="1" s="1"/>
  <c r="AA581" i="1"/>
  <c r="Z581" i="1" s="1"/>
  <c r="AC581" i="1" s="1"/>
  <c r="AE581" i="1"/>
  <c r="AP581" i="1" s="1"/>
  <c r="AA597" i="1"/>
  <c r="Z597" i="1" s="1"/>
  <c r="AC597" i="1" s="1"/>
  <c r="AE597" i="1"/>
  <c r="AP597" i="1" s="1"/>
  <c r="AA613" i="1"/>
  <c r="Z613" i="1" s="1"/>
  <c r="AC613" i="1" s="1"/>
  <c r="AE613" i="1"/>
  <c r="AP613" i="1" s="1"/>
  <c r="AA615" i="1"/>
  <c r="Z615" i="1" s="1"/>
  <c r="AC615" i="1" s="1"/>
  <c r="AE615" i="1"/>
  <c r="AP615" i="1" s="1"/>
  <c r="AA619" i="1"/>
  <c r="Z619" i="1" s="1"/>
  <c r="AC619" i="1" s="1"/>
  <c r="AE619" i="1"/>
  <c r="AP619" i="1" s="1"/>
  <c r="AA623" i="1"/>
  <c r="Z623" i="1" s="1"/>
  <c r="AC623" i="1" s="1"/>
  <c r="AE623" i="1"/>
  <c r="AP623" i="1" s="1"/>
  <c r="AA627" i="1"/>
  <c r="Z627" i="1" s="1"/>
  <c r="AC627" i="1" s="1"/>
  <c r="AE627" i="1"/>
  <c r="AP627" i="1" s="1"/>
  <c r="AA631" i="1"/>
  <c r="Z631" i="1" s="1"/>
  <c r="AC631" i="1" s="1"/>
  <c r="AE631" i="1"/>
  <c r="AP631" i="1" s="1"/>
  <c r="AA635" i="1"/>
  <c r="Z635" i="1" s="1"/>
  <c r="AC635" i="1" s="1"/>
  <c r="AE635" i="1"/>
  <c r="AP635" i="1" s="1"/>
  <c r="AA639" i="1"/>
  <c r="Z639" i="1" s="1"/>
  <c r="AC639" i="1" s="1"/>
  <c r="AE639" i="1"/>
  <c r="AP639" i="1" s="1"/>
  <c r="AA643" i="1"/>
  <c r="Z643" i="1" s="1"/>
  <c r="AC643" i="1" s="1"/>
  <c r="AE643" i="1"/>
  <c r="AP643" i="1" s="1"/>
  <c r="AA647" i="1"/>
  <c r="Z647" i="1" s="1"/>
  <c r="AC647" i="1" s="1"/>
  <c r="AE647" i="1"/>
  <c r="AP647" i="1" s="1"/>
  <c r="AA651" i="1"/>
  <c r="Z651" i="1" s="1"/>
  <c r="AC651" i="1" s="1"/>
  <c r="AE651" i="1"/>
  <c r="AP651" i="1" s="1"/>
  <c r="AA655" i="1"/>
  <c r="Z655" i="1" s="1"/>
  <c r="AC655" i="1" s="1"/>
  <c r="AE655" i="1"/>
  <c r="AP655" i="1" s="1"/>
  <c r="AA659" i="1"/>
  <c r="Z659" i="1" s="1"/>
  <c r="AC659" i="1" s="1"/>
  <c r="AE659" i="1"/>
  <c r="AP659" i="1" s="1"/>
  <c r="AA663" i="1"/>
  <c r="Z663" i="1" s="1"/>
  <c r="AC663" i="1" s="1"/>
  <c r="AE663" i="1"/>
  <c r="AP663" i="1" s="1"/>
  <c r="AA667" i="1"/>
  <c r="Z667" i="1" s="1"/>
  <c r="AC667" i="1" s="1"/>
  <c r="AE667" i="1"/>
  <c r="AP667" i="1" s="1"/>
  <c r="AA488" i="1"/>
  <c r="Z488" i="1" s="1"/>
  <c r="AC488" i="1" s="1"/>
  <c r="AE488" i="1"/>
  <c r="AP488" i="1" s="1"/>
  <c r="AA674" i="1"/>
  <c r="Z674" i="1" s="1"/>
  <c r="AC674" i="1" s="1"/>
  <c r="AE674" i="1"/>
  <c r="AP674" i="1" s="1"/>
  <c r="AA679" i="1"/>
  <c r="Z679" i="1" s="1"/>
  <c r="AC679" i="1" s="1"/>
  <c r="AE679" i="1"/>
  <c r="AP679" i="1" s="1"/>
  <c r="AA683" i="1"/>
  <c r="Z683" i="1" s="1"/>
  <c r="AC683" i="1" s="1"/>
  <c r="AE683" i="1"/>
  <c r="AP683" i="1" s="1"/>
  <c r="AA687" i="1"/>
  <c r="Z687" i="1" s="1"/>
  <c r="AC687" i="1" s="1"/>
  <c r="AE687" i="1"/>
  <c r="AP687" i="1" s="1"/>
  <c r="AA693" i="1"/>
  <c r="Z693" i="1" s="1"/>
  <c r="AC693" i="1" s="1"/>
  <c r="AE693" i="1"/>
  <c r="AP693" i="1" s="1"/>
  <c r="AA696" i="1"/>
  <c r="Z696" i="1" s="1"/>
  <c r="AC696" i="1" s="1"/>
  <c r="AE696" i="1"/>
  <c r="AP696" i="1" s="1"/>
  <c r="AA700" i="1"/>
  <c r="Z700" i="1" s="1"/>
  <c r="AC700" i="1" s="1"/>
  <c r="AE700" i="1"/>
  <c r="AP700" i="1" s="1"/>
  <c r="AA703" i="1"/>
  <c r="Z703" i="1" s="1"/>
  <c r="AC703" i="1" s="1"/>
  <c r="AE703" i="1"/>
  <c r="AP703" i="1" s="1"/>
  <c r="AA707" i="1"/>
  <c r="Z707" i="1" s="1"/>
  <c r="AC707" i="1" s="1"/>
  <c r="AE707" i="1"/>
  <c r="AP707" i="1" s="1"/>
  <c r="AA712" i="1"/>
  <c r="Z712" i="1" s="1"/>
  <c r="AC712" i="1" s="1"/>
  <c r="AE712" i="1"/>
  <c r="AP712" i="1" s="1"/>
  <c r="AA717" i="1"/>
  <c r="Z717" i="1" s="1"/>
  <c r="AC717" i="1" s="1"/>
  <c r="AE717" i="1"/>
  <c r="AP717" i="1" s="1"/>
  <c r="AA721" i="1"/>
  <c r="Z721" i="1" s="1"/>
  <c r="AC721" i="1" s="1"/>
  <c r="AE721" i="1"/>
  <c r="AP721" i="1" s="1"/>
  <c r="AA725" i="1"/>
  <c r="Z725" i="1" s="1"/>
  <c r="AC725" i="1" s="1"/>
  <c r="AE725" i="1"/>
  <c r="AP725" i="1" s="1"/>
  <c r="AA729" i="1"/>
  <c r="Z729" i="1" s="1"/>
  <c r="AC729" i="1" s="1"/>
  <c r="AE729" i="1"/>
  <c r="AP729" i="1" s="1"/>
  <c r="AA733" i="1"/>
  <c r="Z733" i="1" s="1"/>
  <c r="AC733" i="1" s="1"/>
  <c r="AE733" i="1"/>
  <c r="AP733" i="1" s="1"/>
  <c r="AA737" i="1"/>
  <c r="Z737" i="1" s="1"/>
  <c r="AC737" i="1" s="1"/>
  <c r="AE737" i="1"/>
  <c r="AP737" i="1" s="1"/>
  <c r="AA741" i="1"/>
  <c r="Z741" i="1" s="1"/>
  <c r="AC741" i="1" s="1"/>
  <c r="AE741" i="1"/>
  <c r="AP741" i="1" s="1"/>
  <c r="AA745" i="1"/>
  <c r="Z745" i="1" s="1"/>
  <c r="AC745" i="1" s="1"/>
  <c r="AE745" i="1"/>
  <c r="AP745" i="1" s="1"/>
  <c r="AA749" i="1"/>
  <c r="Z749" i="1" s="1"/>
  <c r="AC749" i="1" s="1"/>
  <c r="AE749" i="1"/>
  <c r="AP749" i="1" s="1"/>
  <c r="AA753" i="1"/>
  <c r="Z753" i="1" s="1"/>
  <c r="AC753" i="1" s="1"/>
  <c r="AE753" i="1"/>
  <c r="AP753" i="1" s="1"/>
  <c r="AA757" i="1"/>
  <c r="Z757" i="1" s="1"/>
  <c r="AC757" i="1" s="1"/>
  <c r="AE757" i="1"/>
  <c r="AP757" i="1" s="1"/>
  <c r="AA761" i="1"/>
  <c r="Z761" i="1" s="1"/>
  <c r="AC761" i="1" s="1"/>
  <c r="AE761" i="1"/>
  <c r="AP761" i="1" s="1"/>
  <c r="AA765" i="1"/>
  <c r="Z765" i="1" s="1"/>
  <c r="AC765" i="1" s="1"/>
  <c r="AE765" i="1"/>
  <c r="AP765" i="1" s="1"/>
  <c r="AA769" i="1"/>
  <c r="Z769" i="1" s="1"/>
  <c r="AC769" i="1" s="1"/>
  <c r="AE769" i="1"/>
  <c r="AP769" i="1" s="1"/>
  <c r="AA773" i="1"/>
  <c r="Z773" i="1" s="1"/>
  <c r="AC773" i="1" s="1"/>
  <c r="AE773" i="1"/>
  <c r="AP773" i="1" s="1"/>
  <c r="AA777" i="1"/>
  <c r="Z777" i="1" s="1"/>
  <c r="AC777" i="1" s="1"/>
  <c r="AE777" i="1"/>
  <c r="AP777" i="1" s="1"/>
  <c r="AA781" i="1"/>
  <c r="Z781" i="1" s="1"/>
  <c r="AC781" i="1" s="1"/>
  <c r="AE781" i="1"/>
  <c r="AP781" i="1" s="1"/>
  <c r="AA785" i="1"/>
  <c r="Z785" i="1" s="1"/>
  <c r="AC785" i="1" s="1"/>
  <c r="AE785" i="1"/>
  <c r="AP785" i="1" s="1"/>
  <c r="AA788" i="1"/>
  <c r="Z788" i="1" s="1"/>
  <c r="AC788" i="1" s="1"/>
  <c r="AE788" i="1"/>
  <c r="AP788" i="1" s="1"/>
  <c r="AA824" i="1"/>
  <c r="Z824" i="1" s="1"/>
  <c r="AC824" i="1" s="1"/>
  <c r="AE824" i="1"/>
  <c r="AP824" i="1" s="1"/>
  <c r="AA827" i="1"/>
  <c r="Z827" i="1" s="1"/>
  <c r="AC827" i="1" s="1"/>
  <c r="AE827" i="1"/>
  <c r="AP827" i="1" s="1"/>
  <c r="AA792" i="1"/>
  <c r="Z792" i="1" s="1"/>
  <c r="AC792" i="1" s="1"/>
  <c r="AE792" i="1"/>
  <c r="AP792" i="1" s="1"/>
  <c r="AA796" i="1"/>
  <c r="Z796" i="1" s="1"/>
  <c r="AC796" i="1" s="1"/>
  <c r="AE796" i="1"/>
  <c r="AP796" i="1" s="1"/>
  <c r="AA801" i="1"/>
  <c r="Z801" i="1" s="1"/>
  <c r="AC801" i="1" s="1"/>
  <c r="AE801" i="1"/>
  <c r="AP801" i="1" s="1"/>
  <c r="AA805" i="1"/>
  <c r="Z805" i="1" s="1"/>
  <c r="AC805" i="1" s="1"/>
  <c r="AE805" i="1"/>
  <c r="AP805" i="1" s="1"/>
  <c r="AA809" i="1"/>
  <c r="Z809" i="1" s="1"/>
  <c r="AC809" i="1" s="1"/>
  <c r="AE809" i="1"/>
  <c r="AP809" i="1" s="1"/>
  <c r="AA813" i="1"/>
  <c r="Z813" i="1" s="1"/>
  <c r="AC813" i="1" s="1"/>
  <c r="AE813" i="1"/>
  <c r="AP813" i="1" s="1"/>
  <c r="AA819" i="1"/>
  <c r="Z819" i="1" s="1"/>
  <c r="AC819" i="1" s="1"/>
  <c r="AE819" i="1"/>
  <c r="AP819" i="1" s="1"/>
  <c r="AA831" i="1"/>
  <c r="Z831" i="1" s="1"/>
  <c r="AC831" i="1" s="1"/>
  <c r="AE831" i="1"/>
  <c r="AP831" i="1" s="1"/>
  <c r="AA835" i="1"/>
  <c r="Z835" i="1" s="1"/>
  <c r="AC835" i="1" s="1"/>
  <c r="AE835" i="1"/>
  <c r="AP835" i="1" s="1"/>
  <c r="AA838" i="1"/>
  <c r="Z838" i="1" s="1"/>
  <c r="AC838" i="1" s="1"/>
  <c r="AE838" i="1"/>
  <c r="AP838" i="1" s="1"/>
  <c r="AA842" i="1"/>
  <c r="Z842" i="1" s="1"/>
  <c r="AC842" i="1" s="1"/>
  <c r="AE842" i="1"/>
  <c r="AP842" i="1" s="1"/>
  <c r="AA846" i="1"/>
  <c r="Z846" i="1" s="1"/>
  <c r="AC846" i="1" s="1"/>
  <c r="AE846" i="1"/>
  <c r="AP846" i="1" s="1"/>
  <c r="AA850" i="1"/>
  <c r="Z850" i="1" s="1"/>
  <c r="AC850" i="1" s="1"/>
  <c r="AE850" i="1"/>
  <c r="AP850" i="1" s="1"/>
  <c r="AA854" i="1"/>
  <c r="Z854" i="1" s="1"/>
  <c r="AC854" i="1" s="1"/>
  <c r="AE854" i="1"/>
  <c r="AP854" i="1" s="1"/>
  <c r="AA858" i="1"/>
  <c r="Z858" i="1" s="1"/>
  <c r="AC858" i="1" s="1"/>
  <c r="AE858" i="1"/>
  <c r="AP858" i="1" s="1"/>
  <c r="AA862" i="1"/>
  <c r="Z862" i="1" s="1"/>
  <c r="AC862" i="1" s="1"/>
  <c r="AE862" i="1"/>
  <c r="AP862" i="1" s="1"/>
  <c r="AA866" i="1"/>
  <c r="Z866" i="1" s="1"/>
  <c r="AC866" i="1" s="1"/>
  <c r="AE866" i="1"/>
  <c r="AP866" i="1" s="1"/>
  <c r="AA870" i="1"/>
  <c r="Z870" i="1" s="1"/>
  <c r="AC870" i="1" s="1"/>
  <c r="AE870" i="1"/>
  <c r="AP870" i="1" s="1"/>
  <c r="AA874" i="1"/>
  <c r="Z874" i="1" s="1"/>
  <c r="AC874" i="1" s="1"/>
  <c r="AE874" i="1"/>
  <c r="AP874" i="1" s="1"/>
  <c r="AA878" i="1"/>
  <c r="Z878" i="1" s="1"/>
  <c r="AC878" i="1" s="1"/>
  <c r="AE878" i="1"/>
  <c r="AP878" i="1" s="1"/>
  <c r="AA882" i="1"/>
  <c r="Z882" i="1" s="1"/>
  <c r="AC882" i="1" s="1"/>
  <c r="AE882" i="1"/>
  <c r="AP882" i="1" s="1"/>
  <c r="AA321" i="1"/>
  <c r="Z321" i="1" s="1"/>
  <c r="AC321" i="1" s="1"/>
  <c r="AE321" i="1"/>
  <c r="AP321" i="1" s="1"/>
  <c r="AA337" i="1"/>
  <c r="Z337" i="1" s="1"/>
  <c r="AC337" i="1" s="1"/>
  <c r="AE337" i="1"/>
  <c r="AP337" i="1" s="1"/>
  <c r="AA352" i="1"/>
  <c r="Z352" i="1" s="1"/>
  <c r="AC352" i="1" s="1"/>
  <c r="AE352" i="1"/>
  <c r="AP352" i="1" s="1"/>
  <c r="AA368" i="1"/>
  <c r="Z368" i="1" s="1"/>
  <c r="AC368" i="1" s="1"/>
  <c r="AE368" i="1"/>
  <c r="AP368" i="1" s="1"/>
  <c r="AA386" i="1"/>
  <c r="Z386" i="1" s="1"/>
  <c r="AC386" i="1" s="1"/>
  <c r="AE386" i="1"/>
  <c r="AP386" i="1" s="1"/>
  <c r="AA402" i="1"/>
  <c r="Z402" i="1" s="1"/>
  <c r="AC402" i="1" s="1"/>
  <c r="AE402" i="1"/>
  <c r="AP402" i="1" s="1"/>
  <c r="AA177" i="1"/>
  <c r="Z177" i="1" s="1"/>
  <c r="AC177" i="1" s="1"/>
  <c r="AE177" i="1"/>
  <c r="AP177" i="1" s="1"/>
  <c r="AA428" i="1"/>
  <c r="Z428" i="1" s="1"/>
  <c r="AC428" i="1" s="1"/>
  <c r="AE428" i="1"/>
  <c r="AP428" i="1" s="1"/>
  <c r="AA435" i="1"/>
  <c r="Z435" i="1" s="1"/>
  <c r="AC435" i="1" s="1"/>
  <c r="AE435" i="1"/>
  <c r="AP435" i="1" s="1"/>
  <c r="AA444" i="1"/>
  <c r="Z444" i="1" s="1"/>
  <c r="AC444" i="1" s="1"/>
  <c r="AE444" i="1"/>
  <c r="AP444" i="1" s="1"/>
  <c r="AA451" i="1"/>
  <c r="Z451" i="1" s="1"/>
  <c r="AC451" i="1" s="1"/>
  <c r="AE451" i="1"/>
  <c r="AP451" i="1" s="1"/>
  <c r="AA458" i="1"/>
  <c r="Z458" i="1" s="1"/>
  <c r="AC458" i="1" s="1"/>
  <c r="AE458" i="1"/>
  <c r="AP458" i="1" s="1"/>
  <c r="AA464" i="1"/>
  <c r="Z464" i="1" s="1"/>
  <c r="AC464" i="1" s="1"/>
  <c r="AE464" i="1"/>
  <c r="AP464" i="1" s="1"/>
  <c r="AA473" i="1"/>
  <c r="Z473" i="1" s="1"/>
  <c r="AC473" i="1" s="1"/>
  <c r="AE473" i="1"/>
  <c r="AP473" i="1" s="1"/>
  <c r="AA480" i="1"/>
  <c r="Z480" i="1" s="1"/>
  <c r="AC480" i="1" s="1"/>
  <c r="AE480" i="1"/>
  <c r="AP480" i="1" s="1"/>
  <c r="AA490" i="1"/>
  <c r="Z490" i="1" s="1"/>
  <c r="AC490" i="1" s="1"/>
  <c r="AE490" i="1"/>
  <c r="AP490" i="1" s="1"/>
  <c r="AA497" i="1"/>
  <c r="Z497" i="1" s="1"/>
  <c r="AC497" i="1" s="1"/>
  <c r="AE497" i="1"/>
  <c r="AP497" i="1" s="1"/>
  <c r="AA468" i="1"/>
  <c r="Z468" i="1" s="1"/>
  <c r="AC468" i="1" s="1"/>
  <c r="AE468" i="1"/>
  <c r="AP468" i="1" s="1"/>
  <c r="AA519" i="1"/>
  <c r="Z519" i="1" s="1"/>
  <c r="AC519" i="1" s="1"/>
  <c r="AE519" i="1"/>
  <c r="AP519" i="1" s="1"/>
  <c r="AA527" i="1"/>
  <c r="Z527" i="1" s="1"/>
  <c r="AC527" i="1" s="1"/>
  <c r="AE527" i="1"/>
  <c r="AP527" i="1" s="1"/>
  <c r="AA535" i="1"/>
  <c r="Z535" i="1" s="1"/>
  <c r="AC535" i="1" s="1"/>
  <c r="AE535" i="1"/>
  <c r="AP535" i="1" s="1"/>
  <c r="AA543" i="1"/>
  <c r="Z543" i="1" s="1"/>
  <c r="AC543" i="1" s="1"/>
  <c r="AE543" i="1"/>
  <c r="AP543" i="1" s="1"/>
  <c r="AA550" i="1"/>
  <c r="Z550" i="1" s="1"/>
  <c r="AC550" i="1" s="1"/>
  <c r="AE550" i="1"/>
  <c r="AP550" i="1" s="1"/>
  <c r="AA556" i="1"/>
  <c r="Z556" i="1" s="1"/>
  <c r="AC556" i="1" s="1"/>
  <c r="AE556" i="1"/>
  <c r="AP556" i="1" s="1"/>
  <c r="AA563" i="1"/>
  <c r="Z563" i="1" s="1"/>
  <c r="AC563" i="1" s="1"/>
  <c r="AE563" i="1"/>
  <c r="AP563" i="1" s="1"/>
  <c r="AA571" i="1"/>
  <c r="Z571" i="1" s="1"/>
  <c r="AC571" i="1" s="1"/>
  <c r="AE571" i="1"/>
  <c r="AP571" i="1" s="1"/>
  <c r="AA579" i="1"/>
  <c r="Z579" i="1" s="1"/>
  <c r="AC579" i="1" s="1"/>
  <c r="AE579" i="1"/>
  <c r="AP579" i="1" s="1"/>
  <c r="AA587" i="1"/>
  <c r="Z587" i="1" s="1"/>
  <c r="AC587" i="1" s="1"/>
  <c r="AE587" i="1"/>
  <c r="AP587" i="1" s="1"/>
  <c r="AA595" i="1"/>
  <c r="Z595" i="1" s="1"/>
  <c r="AC595" i="1" s="1"/>
  <c r="AE595" i="1"/>
  <c r="AP595" i="1" s="1"/>
  <c r="AA603" i="1"/>
  <c r="Z603" i="1" s="1"/>
  <c r="AC603" i="1" s="1"/>
  <c r="AE603" i="1"/>
  <c r="AP603" i="1" s="1"/>
  <c r="AA611" i="1"/>
  <c r="Z611" i="1" s="1"/>
  <c r="AC611" i="1" s="1"/>
  <c r="AE611" i="1"/>
  <c r="AP611" i="1" s="1"/>
  <c r="AA890" i="1"/>
  <c r="Z890" i="1" s="1"/>
  <c r="AC890" i="1" s="1"/>
  <c r="AE890" i="1"/>
  <c r="AP890" i="1" s="1"/>
  <c r="AA898" i="1"/>
  <c r="Z898" i="1" s="1"/>
  <c r="AC898" i="1" s="1"/>
  <c r="AE898" i="1"/>
  <c r="AP898" i="1" s="1"/>
  <c r="AA906" i="1"/>
  <c r="Z906" i="1" s="1"/>
  <c r="AC906" i="1" s="1"/>
  <c r="AE906" i="1"/>
  <c r="AP906" i="1" s="1"/>
  <c r="AA914" i="1"/>
  <c r="Z914" i="1" s="1"/>
  <c r="AC914" i="1" s="1"/>
  <c r="AE914" i="1"/>
  <c r="AP914" i="1" s="1"/>
  <c r="AA922" i="1"/>
  <c r="Z922" i="1" s="1"/>
  <c r="AC922" i="1" s="1"/>
  <c r="AE922" i="1"/>
  <c r="AP922" i="1" s="1"/>
  <c r="AA930" i="1"/>
  <c r="Z930" i="1" s="1"/>
  <c r="AC930" i="1" s="1"/>
  <c r="AE930" i="1"/>
  <c r="AP930" i="1" s="1"/>
  <c r="AA938" i="1"/>
  <c r="Z938" i="1" s="1"/>
  <c r="AC938" i="1" s="1"/>
  <c r="AE938" i="1"/>
  <c r="AP938" i="1" s="1"/>
  <c r="AA942" i="1"/>
  <c r="Z942" i="1" s="1"/>
  <c r="AC942" i="1" s="1"/>
  <c r="AE942" i="1"/>
  <c r="AP942" i="1" s="1"/>
  <c r="AA946" i="1"/>
  <c r="Z946" i="1" s="1"/>
  <c r="AC946" i="1" s="1"/>
  <c r="AE946" i="1"/>
  <c r="AP946" i="1" s="1"/>
  <c r="AA950" i="1"/>
  <c r="Z950" i="1" s="1"/>
  <c r="AC950" i="1" s="1"/>
  <c r="AE950" i="1"/>
  <c r="AP950" i="1" s="1"/>
  <c r="AA954" i="1"/>
  <c r="Z954" i="1" s="1"/>
  <c r="AC954" i="1" s="1"/>
  <c r="AE954" i="1"/>
  <c r="AP954" i="1" s="1"/>
  <c r="AA958" i="1"/>
  <c r="Z958" i="1" s="1"/>
  <c r="AC958" i="1" s="1"/>
  <c r="AE958" i="1"/>
  <c r="AP958" i="1" s="1"/>
  <c r="AA962" i="1"/>
  <c r="Z962" i="1" s="1"/>
  <c r="AC962" i="1" s="1"/>
  <c r="AE962" i="1"/>
  <c r="AP962" i="1" s="1"/>
  <c r="AA966" i="1"/>
  <c r="Z966" i="1" s="1"/>
  <c r="AC966" i="1" s="1"/>
  <c r="AE966" i="1"/>
  <c r="AP966" i="1" s="1"/>
  <c r="AA970" i="1"/>
  <c r="Z970" i="1" s="1"/>
  <c r="AC970" i="1" s="1"/>
  <c r="AE970" i="1"/>
  <c r="AP970" i="1" s="1"/>
  <c r="AA974" i="1"/>
  <c r="Z974" i="1" s="1"/>
  <c r="AC974" i="1" s="1"/>
  <c r="AE974" i="1"/>
  <c r="AP974" i="1" s="1"/>
  <c r="AA978" i="1"/>
  <c r="Z978" i="1" s="1"/>
  <c r="AC978" i="1" s="1"/>
  <c r="AE978" i="1"/>
  <c r="AP978" i="1" s="1"/>
  <c r="AA982" i="1"/>
  <c r="Z982" i="1" s="1"/>
  <c r="AC982" i="1" s="1"/>
  <c r="AE982" i="1"/>
  <c r="AP982" i="1" s="1"/>
  <c r="AA986" i="1"/>
  <c r="Z986" i="1" s="1"/>
  <c r="AC986" i="1" s="1"/>
  <c r="AE986" i="1"/>
  <c r="AP986" i="1" s="1"/>
  <c r="AA990" i="1"/>
  <c r="Z990" i="1" s="1"/>
  <c r="AC990" i="1" s="1"/>
  <c r="AE990" i="1"/>
  <c r="AP990" i="1" s="1"/>
  <c r="AA994" i="1"/>
  <c r="Z994" i="1" s="1"/>
  <c r="AC994" i="1" s="1"/>
  <c r="AE994" i="1"/>
  <c r="AP994" i="1" s="1"/>
  <c r="AA998" i="1"/>
  <c r="Z998" i="1" s="1"/>
  <c r="AC998" i="1" s="1"/>
  <c r="AE998" i="1"/>
  <c r="AP998" i="1" s="1"/>
  <c r="AA1002" i="1"/>
  <c r="Z1002" i="1" s="1"/>
  <c r="AC1002" i="1" s="1"/>
  <c r="AE1002" i="1"/>
  <c r="AP1002" i="1" s="1"/>
  <c r="AA1006" i="1"/>
  <c r="Z1006" i="1" s="1"/>
  <c r="AC1006" i="1" s="1"/>
  <c r="AE1006" i="1"/>
  <c r="AP1006" i="1" s="1"/>
  <c r="AA1010" i="1"/>
  <c r="Z1010" i="1" s="1"/>
  <c r="AC1010" i="1" s="1"/>
  <c r="AE1010" i="1"/>
  <c r="AP1010" i="1" s="1"/>
  <c r="AA1014" i="1"/>
  <c r="Z1014" i="1" s="1"/>
  <c r="AC1014" i="1" s="1"/>
  <c r="AE1014" i="1"/>
  <c r="AP1014" i="1" s="1"/>
  <c r="AA1018" i="1"/>
  <c r="Z1018" i="1" s="1"/>
  <c r="AC1018" i="1" s="1"/>
  <c r="AE1018" i="1"/>
  <c r="AP1018" i="1" s="1"/>
  <c r="AA1022" i="1"/>
  <c r="Z1022" i="1" s="1"/>
  <c r="AC1022" i="1" s="1"/>
  <c r="AE1022" i="1"/>
  <c r="AP1022" i="1" s="1"/>
  <c r="AA1026" i="1"/>
  <c r="Z1026" i="1" s="1"/>
  <c r="AC1026" i="1" s="1"/>
  <c r="AE1026" i="1"/>
  <c r="AP1026" i="1" s="1"/>
  <c r="AA1030" i="1"/>
  <c r="Z1030" i="1" s="1"/>
  <c r="AC1030" i="1" s="1"/>
  <c r="AE1030" i="1"/>
  <c r="AP1030" i="1" s="1"/>
  <c r="AA1034" i="1"/>
  <c r="Z1034" i="1" s="1"/>
  <c r="AC1034" i="1" s="1"/>
  <c r="AE1034" i="1"/>
  <c r="AP1034" i="1" s="1"/>
  <c r="AA1038" i="1"/>
  <c r="Z1038" i="1" s="1"/>
  <c r="AC1038" i="1" s="1"/>
  <c r="AE1038" i="1"/>
  <c r="AP1038" i="1" s="1"/>
  <c r="AA1042" i="1"/>
  <c r="Z1042" i="1" s="1"/>
  <c r="AC1042" i="1" s="1"/>
  <c r="AE1042" i="1"/>
  <c r="AP1042" i="1" s="1"/>
  <c r="AA1046" i="1"/>
  <c r="Z1046" i="1" s="1"/>
  <c r="AC1046" i="1" s="1"/>
  <c r="AE1046" i="1"/>
  <c r="AP1046" i="1" s="1"/>
  <c r="AA1050" i="1"/>
  <c r="Z1050" i="1" s="1"/>
  <c r="AC1050" i="1" s="1"/>
  <c r="AE1050" i="1"/>
  <c r="AP1050" i="1" s="1"/>
  <c r="AA1054" i="1"/>
  <c r="Z1054" i="1" s="1"/>
  <c r="AC1054" i="1" s="1"/>
  <c r="AE1054" i="1"/>
  <c r="AP1054" i="1" s="1"/>
  <c r="AA1058" i="1"/>
  <c r="Z1058" i="1" s="1"/>
  <c r="AC1058" i="1" s="1"/>
  <c r="AE1058" i="1"/>
  <c r="AP1058" i="1" s="1"/>
  <c r="AA1062" i="1"/>
  <c r="Z1062" i="1" s="1"/>
  <c r="AC1062" i="1" s="1"/>
  <c r="AE1062" i="1"/>
  <c r="AP1062" i="1" s="1"/>
  <c r="AA1066" i="1"/>
  <c r="Z1066" i="1" s="1"/>
  <c r="AC1066" i="1" s="1"/>
  <c r="AE1066" i="1"/>
  <c r="AP1066" i="1" s="1"/>
  <c r="AA1070" i="1"/>
  <c r="Z1070" i="1" s="1"/>
  <c r="AC1070" i="1" s="1"/>
  <c r="AE1070" i="1"/>
  <c r="AP1070" i="1" s="1"/>
  <c r="AA1074" i="1"/>
  <c r="Z1074" i="1" s="1"/>
  <c r="AC1074" i="1" s="1"/>
  <c r="AE1074" i="1"/>
  <c r="AP1074" i="1" s="1"/>
  <c r="AA1078" i="1"/>
  <c r="Z1078" i="1" s="1"/>
  <c r="AC1078" i="1" s="1"/>
  <c r="AE1078" i="1"/>
  <c r="AP1078" i="1" s="1"/>
  <c r="AA1082" i="1"/>
  <c r="Z1082" i="1" s="1"/>
  <c r="AC1082" i="1" s="1"/>
  <c r="AE1082" i="1"/>
  <c r="AP1082" i="1" s="1"/>
  <c r="AA1086" i="1"/>
  <c r="Z1086" i="1" s="1"/>
  <c r="AC1086" i="1" s="1"/>
  <c r="AE1086" i="1"/>
  <c r="AP1086" i="1" s="1"/>
  <c r="AA1090" i="1"/>
  <c r="Z1090" i="1" s="1"/>
  <c r="AC1090" i="1" s="1"/>
  <c r="AE1090" i="1"/>
  <c r="AP1090" i="1" s="1"/>
  <c r="AA1094" i="1"/>
  <c r="Z1094" i="1" s="1"/>
  <c r="AC1094" i="1" s="1"/>
  <c r="AE1094" i="1"/>
  <c r="AP1094" i="1" s="1"/>
  <c r="AA1098" i="1"/>
  <c r="Z1098" i="1" s="1"/>
  <c r="AC1098" i="1" s="1"/>
  <c r="AE1098" i="1"/>
  <c r="AP1098" i="1" s="1"/>
  <c r="AA1102" i="1"/>
  <c r="Z1102" i="1" s="1"/>
  <c r="AC1102" i="1" s="1"/>
  <c r="AE1102" i="1"/>
  <c r="AP1102" i="1" s="1"/>
  <c r="AA1106" i="1"/>
  <c r="Z1106" i="1" s="1"/>
  <c r="AC1106" i="1" s="1"/>
  <c r="AE1106" i="1"/>
  <c r="AP1106" i="1" s="1"/>
  <c r="AA1110" i="1"/>
  <c r="Z1110" i="1" s="1"/>
  <c r="AC1110" i="1" s="1"/>
  <c r="AE1110" i="1"/>
  <c r="AP1110" i="1" s="1"/>
  <c r="AA1114" i="1"/>
  <c r="Z1114" i="1" s="1"/>
  <c r="AC1114" i="1" s="1"/>
  <c r="AE1114" i="1"/>
  <c r="AP1114" i="1" s="1"/>
  <c r="AA1118" i="1"/>
  <c r="Z1118" i="1" s="1"/>
  <c r="AC1118" i="1" s="1"/>
  <c r="AE1118" i="1"/>
  <c r="AP1118" i="1" s="1"/>
  <c r="AA203" i="1"/>
  <c r="Z203" i="1" s="1"/>
  <c r="AC203" i="1" s="1"/>
  <c r="AE203" i="1"/>
  <c r="AP203" i="1" s="1"/>
  <c r="AA268" i="1"/>
  <c r="Z268" i="1" s="1"/>
  <c r="AC268" i="1" s="1"/>
  <c r="AE268" i="1"/>
  <c r="AP268" i="1" s="1"/>
  <c r="AA333" i="1"/>
  <c r="Z333" i="1" s="1"/>
  <c r="AC333" i="1" s="1"/>
  <c r="AE333" i="1"/>
  <c r="AP333" i="1" s="1"/>
  <c r="AA398" i="1"/>
  <c r="Z398" i="1" s="1"/>
  <c r="AC398" i="1" s="1"/>
  <c r="AE398" i="1"/>
  <c r="AP398" i="1" s="1"/>
  <c r="AA442" i="1"/>
  <c r="Z442" i="1" s="1"/>
  <c r="AC442" i="1" s="1"/>
  <c r="AE442" i="1"/>
  <c r="AP442" i="1" s="1"/>
  <c r="AA470" i="1"/>
  <c r="Z470" i="1" s="1"/>
  <c r="AC470" i="1" s="1"/>
  <c r="AE470" i="1"/>
  <c r="AP470" i="1" s="1"/>
  <c r="AA503" i="1"/>
  <c r="Z503" i="1" s="1"/>
  <c r="AC503" i="1" s="1"/>
  <c r="AE503" i="1"/>
  <c r="AP503" i="1" s="1"/>
  <c r="AA541" i="1"/>
  <c r="Z541" i="1" s="1"/>
  <c r="AC541" i="1" s="1"/>
  <c r="AE541" i="1"/>
  <c r="AP541" i="1" s="1"/>
  <c r="AA569" i="1"/>
  <c r="Z569" i="1" s="1"/>
  <c r="AC569" i="1" s="1"/>
  <c r="AE569" i="1"/>
  <c r="AP569" i="1" s="1"/>
  <c r="AA601" i="1"/>
  <c r="Z601" i="1" s="1"/>
  <c r="AC601" i="1" s="1"/>
  <c r="AE601" i="1"/>
  <c r="AP601" i="1" s="1"/>
  <c r="AA633" i="1"/>
  <c r="Z633" i="1" s="1"/>
  <c r="AC633" i="1" s="1"/>
  <c r="AE633" i="1"/>
  <c r="AP633" i="1" s="1"/>
  <c r="AA665" i="1"/>
  <c r="Z665" i="1" s="1"/>
  <c r="AC665" i="1" s="1"/>
  <c r="AE665" i="1"/>
  <c r="AP665" i="1" s="1"/>
  <c r="AA698" i="1"/>
  <c r="Z698" i="1" s="1"/>
  <c r="AC698" i="1" s="1"/>
  <c r="AE698" i="1"/>
  <c r="AP698" i="1" s="1"/>
  <c r="AA731" i="1"/>
  <c r="Z731" i="1" s="1"/>
  <c r="AC731" i="1" s="1"/>
  <c r="AE731" i="1"/>
  <c r="AP731" i="1" s="1"/>
  <c r="AA747" i="1"/>
  <c r="Z747" i="1" s="1"/>
  <c r="AC747" i="1" s="1"/>
  <c r="AE747" i="1"/>
  <c r="AP747" i="1" s="1"/>
  <c r="AA763" i="1"/>
  <c r="Z763" i="1" s="1"/>
  <c r="AC763" i="1" s="1"/>
  <c r="AE763" i="1"/>
  <c r="AP763" i="1" s="1"/>
  <c r="AA779" i="1"/>
  <c r="Z779" i="1" s="1"/>
  <c r="AC779" i="1" s="1"/>
  <c r="AE779" i="1"/>
  <c r="AP779" i="1" s="1"/>
  <c r="AA826" i="1"/>
  <c r="Z826" i="1" s="1"/>
  <c r="AC826" i="1" s="1"/>
  <c r="AE826" i="1"/>
  <c r="AP826" i="1" s="1"/>
  <c r="AA803" i="1"/>
  <c r="Z803" i="1" s="1"/>
  <c r="AC803" i="1" s="1"/>
  <c r="AE803" i="1"/>
  <c r="AP803" i="1" s="1"/>
  <c r="AA829" i="1"/>
  <c r="Z829" i="1" s="1"/>
  <c r="AC829" i="1" s="1"/>
  <c r="AE829" i="1"/>
  <c r="AP829" i="1" s="1"/>
  <c r="AA844" i="1"/>
  <c r="Z844" i="1" s="1"/>
  <c r="AC844" i="1" s="1"/>
  <c r="AE844" i="1"/>
  <c r="AP844" i="1" s="1"/>
  <c r="AA860" i="1"/>
  <c r="Z860" i="1" s="1"/>
  <c r="AC860" i="1" s="1"/>
  <c r="AE860" i="1"/>
  <c r="AP860" i="1" s="1"/>
  <c r="AA876" i="1"/>
  <c r="Z876" i="1" s="1"/>
  <c r="AC876" i="1" s="1"/>
  <c r="AE876" i="1"/>
  <c r="AP876" i="1" s="1"/>
  <c r="AA892" i="1"/>
  <c r="Z892" i="1" s="1"/>
  <c r="AC892" i="1" s="1"/>
  <c r="AE892" i="1"/>
  <c r="AP892" i="1" s="1"/>
  <c r="AA908" i="1"/>
  <c r="Z908" i="1" s="1"/>
  <c r="AC908" i="1" s="1"/>
  <c r="AE908" i="1"/>
  <c r="AP908" i="1" s="1"/>
  <c r="AA924" i="1"/>
  <c r="Z924" i="1" s="1"/>
  <c r="AC924" i="1" s="1"/>
  <c r="AE924" i="1"/>
  <c r="AP924" i="1" s="1"/>
  <c r="AA6" i="1"/>
  <c r="Z6" i="1" s="1"/>
  <c r="AC6" i="1" s="1"/>
  <c r="AE6" i="1"/>
  <c r="AP6" i="1" s="1"/>
  <c r="AA8" i="1"/>
  <c r="Z8" i="1" s="1"/>
  <c r="AC8" i="1" s="1"/>
  <c r="AE8" i="1"/>
  <c r="AP8" i="1" s="1"/>
  <c r="AA10" i="1"/>
  <c r="Z10" i="1" s="1"/>
  <c r="AC10" i="1" s="1"/>
  <c r="AE10" i="1"/>
  <c r="AP10" i="1" s="1"/>
  <c r="AA12" i="1"/>
  <c r="Z12" i="1" s="1"/>
  <c r="AC12" i="1" s="1"/>
  <c r="AE12" i="1"/>
  <c r="AP12" i="1" s="1"/>
  <c r="AA14" i="1"/>
  <c r="Z14" i="1" s="1"/>
  <c r="AC14" i="1" s="1"/>
  <c r="AE14" i="1"/>
  <c r="AP14" i="1" s="1"/>
  <c r="AA16" i="1"/>
  <c r="Z16" i="1" s="1"/>
  <c r="AC16" i="1" s="1"/>
  <c r="AE16" i="1"/>
  <c r="AP16" i="1" s="1"/>
  <c r="AA18" i="1"/>
  <c r="Z18" i="1" s="1"/>
  <c r="AC18" i="1" s="1"/>
  <c r="AE18" i="1"/>
  <c r="AP18" i="1" s="1"/>
  <c r="AA21" i="1"/>
  <c r="Z21" i="1" s="1"/>
  <c r="AC21" i="1" s="1"/>
  <c r="AE21" i="1"/>
  <c r="AP21" i="1" s="1"/>
  <c r="AA257" i="1"/>
  <c r="Z257" i="1" s="1"/>
  <c r="AC257" i="1" s="1"/>
  <c r="AE257" i="1"/>
  <c r="AP257" i="1" s="1"/>
  <c r="AA24" i="1"/>
  <c r="Z24" i="1" s="1"/>
  <c r="AC24" i="1" s="1"/>
  <c r="AE24" i="1"/>
  <c r="AP24" i="1" s="1"/>
  <c r="AA26" i="1"/>
  <c r="Z26" i="1" s="1"/>
  <c r="AC26" i="1" s="1"/>
  <c r="AE26" i="1"/>
  <c r="AP26" i="1" s="1"/>
  <c r="AA28" i="1"/>
  <c r="Z28" i="1" s="1"/>
  <c r="AC28" i="1" s="1"/>
  <c r="AE28" i="1"/>
  <c r="AP28" i="1" s="1"/>
  <c r="AA30" i="1"/>
  <c r="Z30" i="1" s="1"/>
  <c r="AC30" i="1" s="1"/>
  <c r="AE30" i="1"/>
  <c r="AP30" i="1" s="1"/>
  <c r="AA33" i="1"/>
  <c r="Z33" i="1" s="1"/>
  <c r="AC33" i="1" s="1"/>
  <c r="AE33" i="1"/>
  <c r="AP33" i="1" s="1"/>
  <c r="AA35" i="1"/>
  <c r="Z35" i="1" s="1"/>
  <c r="AC35" i="1" s="1"/>
  <c r="AE35" i="1"/>
  <c r="AP35" i="1" s="1"/>
  <c r="AA37" i="1"/>
  <c r="Z37" i="1" s="1"/>
  <c r="AC37" i="1" s="1"/>
  <c r="AE37" i="1"/>
  <c r="AP37" i="1" s="1"/>
  <c r="AA38" i="1"/>
  <c r="Z38" i="1" s="1"/>
  <c r="AC38" i="1" s="1"/>
  <c r="AE38" i="1"/>
  <c r="AP38" i="1" s="1"/>
  <c r="AA40" i="1"/>
  <c r="Z40" i="1" s="1"/>
  <c r="AC40" i="1" s="1"/>
  <c r="AE40" i="1"/>
  <c r="AP40" i="1" s="1"/>
  <c r="AA319" i="1"/>
  <c r="Z319" i="1" s="1"/>
  <c r="AC319" i="1" s="1"/>
  <c r="AE319" i="1"/>
  <c r="AP319" i="1" s="1"/>
  <c r="AA42" i="1"/>
  <c r="Z42" i="1" s="1"/>
  <c r="AC42" i="1" s="1"/>
  <c r="AE42" i="1"/>
  <c r="AP42" i="1" s="1"/>
  <c r="AA44" i="1"/>
  <c r="Z44" i="1" s="1"/>
  <c r="AC44" i="1" s="1"/>
  <c r="AE44" i="1"/>
  <c r="AP44" i="1" s="1"/>
  <c r="AA46" i="1"/>
  <c r="Z46" i="1" s="1"/>
  <c r="AC46" i="1" s="1"/>
  <c r="AE46" i="1"/>
  <c r="AP46" i="1" s="1"/>
  <c r="AA48" i="1"/>
  <c r="Z48" i="1" s="1"/>
  <c r="AC48" i="1" s="1"/>
  <c r="AE48" i="1"/>
  <c r="AP48" i="1" s="1"/>
  <c r="AA50" i="1"/>
  <c r="Z50" i="1" s="1"/>
  <c r="AC50" i="1" s="1"/>
  <c r="AE50" i="1"/>
  <c r="AP50" i="1" s="1"/>
  <c r="AA52" i="1"/>
  <c r="Z52" i="1" s="1"/>
  <c r="AC52" i="1" s="1"/>
  <c r="AE52" i="1"/>
  <c r="AP52" i="1" s="1"/>
  <c r="AA54" i="1"/>
  <c r="Z54" i="1" s="1"/>
  <c r="AC54" i="1" s="1"/>
  <c r="AE54" i="1"/>
  <c r="AP54" i="1" s="1"/>
  <c r="AA56" i="1"/>
  <c r="Z56" i="1" s="1"/>
  <c r="AC56" i="1" s="1"/>
  <c r="AE56" i="1"/>
  <c r="AP56" i="1" s="1"/>
  <c r="AA58" i="1"/>
  <c r="Z58" i="1" s="1"/>
  <c r="AC58" i="1" s="1"/>
  <c r="AE58" i="1"/>
  <c r="AP58" i="1" s="1"/>
  <c r="AA60" i="1"/>
  <c r="Z60" i="1" s="1"/>
  <c r="AC60" i="1" s="1"/>
  <c r="AE60" i="1"/>
  <c r="AP60" i="1" s="1"/>
  <c r="AA62" i="1"/>
  <c r="Z62" i="1" s="1"/>
  <c r="AC62" i="1" s="1"/>
  <c r="AE62" i="1"/>
  <c r="AP62" i="1" s="1"/>
  <c r="AA64" i="1"/>
  <c r="Z64" i="1" s="1"/>
  <c r="AC64" i="1" s="1"/>
  <c r="AE64" i="1"/>
  <c r="AP64" i="1" s="1"/>
  <c r="AA66" i="1"/>
  <c r="Z66" i="1" s="1"/>
  <c r="AC66" i="1" s="1"/>
  <c r="AE66" i="1"/>
  <c r="AP66" i="1" s="1"/>
  <c r="AA70" i="1"/>
  <c r="Z70" i="1" s="1"/>
  <c r="AC70" i="1" s="1"/>
  <c r="AE70" i="1"/>
  <c r="AP70" i="1" s="1"/>
  <c r="AA72" i="1"/>
  <c r="Z72" i="1" s="1"/>
  <c r="AC72" i="1" s="1"/>
  <c r="AE72" i="1"/>
  <c r="AP72" i="1" s="1"/>
  <c r="AA74" i="1"/>
  <c r="Z74" i="1" s="1"/>
  <c r="AC74" i="1" s="1"/>
  <c r="AE74" i="1"/>
  <c r="AP74" i="1" s="1"/>
  <c r="AA76" i="1"/>
  <c r="Z76" i="1" s="1"/>
  <c r="AC76" i="1" s="1"/>
  <c r="AE76" i="1"/>
  <c r="AP76" i="1" s="1"/>
  <c r="AA78" i="1"/>
  <c r="Z78" i="1" s="1"/>
  <c r="AC78" i="1" s="1"/>
  <c r="AE78" i="1"/>
  <c r="AP78" i="1" s="1"/>
  <c r="AA80" i="1"/>
  <c r="Z80" i="1" s="1"/>
  <c r="AC80" i="1" s="1"/>
  <c r="AE80" i="1"/>
  <c r="AP80" i="1" s="1"/>
  <c r="AA82" i="1"/>
  <c r="Z82" i="1" s="1"/>
  <c r="AC82" i="1" s="1"/>
  <c r="AE82" i="1"/>
  <c r="AP82" i="1" s="1"/>
  <c r="AA84" i="1"/>
  <c r="Z84" i="1" s="1"/>
  <c r="AC84" i="1" s="1"/>
  <c r="AE84" i="1"/>
  <c r="AP84" i="1" s="1"/>
  <c r="AA86" i="1"/>
  <c r="Z86" i="1" s="1"/>
  <c r="AC86" i="1" s="1"/>
  <c r="AE86" i="1"/>
  <c r="AP86" i="1" s="1"/>
  <c r="AA88" i="1"/>
  <c r="Z88" i="1" s="1"/>
  <c r="AC88" i="1" s="1"/>
  <c r="AE88" i="1"/>
  <c r="AP88" i="1" s="1"/>
  <c r="AA90" i="1"/>
  <c r="Z90" i="1" s="1"/>
  <c r="AC90" i="1" s="1"/>
  <c r="AE90" i="1"/>
  <c r="AP90" i="1" s="1"/>
  <c r="AA92" i="1"/>
  <c r="Z92" i="1" s="1"/>
  <c r="AC92" i="1" s="1"/>
  <c r="AE92" i="1"/>
  <c r="AP92" i="1" s="1"/>
  <c r="AA95" i="1"/>
  <c r="Z95" i="1" s="1"/>
  <c r="AC95" i="1" s="1"/>
  <c r="AE95" i="1"/>
  <c r="AP95" i="1" s="1"/>
  <c r="AA97" i="1"/>
  <c r="Z97" i="1" s="1"/>
  <c r="AC97" i="1" s="1"/>
  <c r="AE97" i="1"/>
  <c r="AP97" i="1" s="1"/>
  <c r="AA240" i="1"/>
  <c r="Z240" i="1" s="1"/>
  <c r="AC240" i="1" s="1"/>
  <c r="AE240" i="1"/>
  <c r="AP240" i="1" s="1"/>
  <c r="AA100" i="1"/>
  <c r="Z100" i="1" s="1"/>
  <c r="AC100" i="1" s="1"/>
  <c r="AE100" i="1"/>
  <c r="AP100" i="1" s="1"/>
  <c r="AA102" i="1"/>
  <c r="Z102" i="1" s="1"/>
  <c r="AC102" i="1" s="1"/>
  <c r="AE102" i="1"/>
  <c r="AP102" i="1" s="1"/>
  <c r="AA104" i="1"/>
  <c r="Z104" i="1" s="1"/>
  <c r="AC104" i="1" s="1"/>
  <c r="AE104" i="1"/>
  <c r="AP104" i="1" s="1"/>
  <c r="AA105" i="1"/>
  <c r="Z105" i="1" s="1"/>
  <c r="AC105" i="1" s="1"/>
  <c r="AE105" i="1"/>
  <c r="AP105" i="1" s="1"/>
  <c r="AA107" i="1"/>
  <c r="Z107" i="1" s="1"/>
  <c r="AC107" i="1" s="1"/>
  <c r="AE107" i="1"/>
  <c r="AP107" i="1" s="1"/>
  <c r="AA109" i="1"/>
  <c r="Z109" i="1" s="1"/>
  <c r="AC109" i="1" s="1"/>
  <c r="AE109" i="1"/>
  <c r="AP109" i="1" s="1"/>
  <c r="AA111" i="1"/>
  <c r="Z111" i="1" s="1"/>
  <c r="AC111" i="1" s="1"/>
  <c r="AE111" i="1"/>
  <c r="AP111" i="1" s="1"/>
  <c r="AA69" i="1"/>
  <c r="Z69" i="1" s="1"/>
  <c r="AC69" i="1" s="1"/>
  <c r="AE69" i="1"/>
  <c r="AP69" i="1" s="1"/>
  <c r="AA113" i="1"/>
  <c r="Z113" i="1" s="1"/>
  <c r="AC113" i="1" s="1"/>
  <c r="AE113" i="1"/>
  <c r="AP113" i="1" s="1"/>
  <c r="AA115" i="1"/>
  <c r="Z115" i="1" s="1"/>
  <c r="AC115" i="1" s="1"/>
  <c r="AE115" i="1"/>
  <c r="AP115" i="1" s="1"/>
  <c r="AA117" i="1"/>
  <c r="Z117" i="1" s="1"/>
  <c r="AC117" i="1" s="1"/>
  <c r="AE117" i="1"/>
  <c r="AP117" i="1" s="1"/>
  <c r="AA119" i="1"/>
  <c r="Z119" i="1" s="1"/>
  <c r="AC119" i="1" s="1"/>
  <c r="AE119" i="1"/>
  <c r="AP119" i="1" s="1"/>
  <c r="AA121" i="1"/>
  <c r="Z121" i="1" s="1"/>
  <c r="AC121" i="1" s="1"/>
  <c r="AE121" i="1"/>
  <c r="AP121" i="1" s="1"/>
  <c r="AA123" i="1"/>
  <c r="Z123" i="1" s="1"/>
  <c r="AC123" i="1" s="1"/>
  <c r="AE123" i="1"/>
  <c r="AP123" i="1" s="1"/>
  <c r="AA125" i="1"/>
  <c r="Z125" i="1" s="1"/>
  <c r="AC125" i="1" s="1"/>
  <c r="AE125" i="1"/>
  <c r="AP125" i="1" s="1"/>
  <c r="AA127" i="1"/>
  <c r="Z127" i="1" s="1"/>
  <c r="AC127" i="1" s="1"/>
  <c r="AE127" i="1"/>
  <c r="AP127" i="1" s="1"/>
  <c r="AA129" i="1"/>
  <c r="Z129" i="1" s="1"/>
  <c r="AC129" i="1" s="1"/>
  <c r="AE129" i="1"/>
  <c r="AP129" i="1" s="1"/>
  <c r="AA131" i="1"/>
  <c r="Z131" i="1" s="1"/>
  <c r="AC131" i="1" s="1"/>
  <c r="AE131" i="1"/>
  <c r="AP131" i="1" s="1"/>
  <c r="AA133" i="1"/>
  <c r="Z133" i="1" s="1"/>
  <c r="AC133" i="1" s="1"/>
  <c r="AE133" i="1"/>
  <c r="AP133" i="1" s="1"/>
  <c r="AA135" i="1"/>
  <c r="Z135" i="1" s="1"/>
  <c r="AC135" i="1" s="1"/>
  <c r="AE135" i="1"/>
  <c r="AP135" i="1" s="1"/>
  <c r="AA137" i="1"/>
  <c r="Z137" i="1" s="1"/>
  <c r="AC137" i="1" s="1"/>
  <c r="AE137" i="1"/>
  <c r="AP137" i="1" s="1"/>
  <c r="AA139" i="1"/>
  <c r="Z139" i="1" s="1"/>
  <c r="AC139" i="1" s="1"/>
  <c r="AE139" i="1"/>
  <c r="AP139" i="1" s="1"/>
  <c r="AA237" i="1"/>
  <c r="Z237" i="1" s="1"/>
  <c r="AC237" i="1" s="1"/>
  <c r="AE237" i="1"/>
  <c r="AP237" i="1" s="1"/>
  <c r="AA142" i="1"/>
  <c r="Z142" i="1" s="1"/>
  <c r="AC142" i="1" s="1"/>
  <c r="AE142" i="1"/>
  <c r="AP142" i="1" s="1"/>
  <c r="AA145" i="1"/>
  <c r="Z145" i="1" s="1"/>
  <c r="AC145" i="1" s="1"/>
  <c r="AE145" i="1"/>
  <c r="AP145" i="1" s="1"/>
  <c r="AA146" i="1"/>
  <c r="Z146" i="1" s="1"/>
  <c r="AC146" i="1" s="1"/>
  <c r="AE146" i="1"/>
  <c r="AP146" i="1" s="1"/>
  <c r="AA148" i="1"/>
  <c r="Z148" i="1" s="1"/>
  <c r="AC148" i="1" s="1"/>
  <c r="AE148" i="1"/>
  <c r="AP148" i="1" s="1"/>
  <c r="AA150" i="1"/>
  <c r="Z150" i="1" s="1"/>
  <c r="AC150" i="1" s="1"/>
  <c r="AE150" i="1"/>
  <c r="AP150" i="1" s="1"/>
  <c r="AA152" i="1"/>
  <c r="Z152" i="1" s="1"/>
  <c r="AC152" i="1" s="1"/>
  <c r="AE152" i="1"/>
  <c r="AP152" i="1" s="1"/>
  <c r="AA154" i="1"/>
  <c r="Z154" i="1" s="1"/>
  <c r="AC154" i="1" s="1"/>
  <c r="AE154" i="1"/>
  <c r="AP154" i="1" s="1"/>
  <c r="AA156" i="1"/>
  <c r="Z156" i="1" s="1"/>
  <c r="AC156" i="1" s="1"/>
  <c r="AE156" i="1"/>
  <c r="AP156" i="1" s="1"/>
  <c r="AA158" i="1"/>
  <c r="Z158" i="1" s="1"/>
  <c r="AC158" i="1" s="1"/>
  <c r="AE158" i="1"/>
  <c r="AP158" i="1" s="1"/>
  <c r="AA160" i="1"/>
  <c r="Z160" i="1" s="1"/>
  <c r="AC160" i="1" s="1"/>
  <c r="AE160" i="1"/>
  <c r="AP160" i="1" s="1"/>
  <c r="AA163" i="1"/>
  <c r="Z163" i="1" s="1"/>
  <c r="AC163" i="1" s="1"/>
  <c r="AE163" i="1"/>
  <c r="AP163" i="1" s="1"/>
  <c r="AA165" i="1"/>
  <c r="Z165" i="1" s="1"/>
  <c r="AC165" i="1" s="1"/>
  <c r="AE165" i="1"/>
  <c r="AP165" i="1" s="1"/>
  <c r="AA167" i="1"/>
  <c r="Z167" i="1" s="1"/>
  <c r="AC167" i="1" s="1"/>
  <c r="AE167" i="1"/>
  <c r="AP167" i="1" s="1"/>
  <c r="AA169" i="1"/>
  <c r="Z169" i="1" s="1"/>
  <c r="AC169" i="1" s="1"/>
  <c r="AE169" i="1"/>
  <c r="AP169" i="1" s="1"/>
  <c r="AA171" i="1"/>
  <c r="Z171" i="1" s="1"/>
  <c r="AC171" i="1" s="1"/>
  <c r="AE171" i="1"/>
  <c r="AP171" i="1" s="1"/>
  <c r="AA173" i="1"/>
  <c r="Z173" i="1" s="1"/>
  <c r="AC173" i="1" s="1"/>
  <c r="AE173" i="1"/>
  <c r="AP173" i="1" s="1"/>
  <c r="AA175" i="1"/>
  <c r="Z175" i="1" s="1"/>
  <c r="AC175" i="1" s="1"/>
  <c r="AE175" i="1"/>
  <c r="AP175" i="1" s="1"/>
  <c r="AA675" i="1"/>
  <c r="Z675" i="1" s="1"/>
  <c r="AC675" i="1" s="1"/>
  <c r="AE675" i="1"/>
  <c r="AP675" i="1" s="1"/>
  <c r="AA179" i="1"/>
  <c r="Z179" i="1" s="1"/>
  <c r="AC179" i="1" s="1"/>
  <c r="AE179" i="1"/>
  <c r="AP179" i="1" s="1"/>
  <c r="AA181" i="1"/>
  <c r="Z181" i="1" s="1"/>
  <c r="AC181" i="1" s="1"/>
  <c r="AE181" i="1"/>
  <c r="AP181" i="1" s="1"/>
  <c r="AA182" i="1"/>
  <c r="Z182" i="1" s="1"/>
  <c r="AC182" i="1" s="1"/>
  <c r="AE182" i="1"/>
  <c r="AP182" i="1" s="1"/>
  <c r="AA184" i="1"/>
  <c r="Z184" i="1" s="1"/>
  <c r="AC184" i="1" s="1"/>
  <c r="AE184" i="1"/>
  <c r="AP184" i="1" s="1"/>
  <c r="AA187" i="1"/>
  <c r="Z187" i="1" s="1"/>
  <c r="AC187" i="1" s="1"/>
  <c r="AE187" i="1"/>
  <c r="AP187" i="1" s="1"/>
  <c r="AA189" i="1"/>
  <c r="Z189" i="1" s="1"/>
  <c r="AC189" i="1" s="1"/>
  <c r="AE189" i="1"/>
  <c r="AP189" i="1" s="1"/>
  <c r="AA191" i="1"/>
  <c r="Z191" i="1" s="1"/>
  <c r="AC191" i="1" s="1"/>
  <c r="AE191" i="1"/>
  <c r="AP191" i="1" s="1"/>
  <c r="AA193" i="1"/>
  <c r="Z193" i="1" s="1"/>
  <c r="AC193" i="1" s="1"/>
  <c r="AE193" i="1"/>
  <c r="AP193" i="1" s="1"/>
  <c r="AA195" i="1"/>
  <c r="Z195" i="1" s="1"/>
  <c r="AC195" i="1" s="1"/>
  <c r="AE195" i="1"/>
  <c r="AP195" i="1" s="1"/>
  <c r="AA197" i="1"/>
  <c r="Z197" i="1" s="1"/>
  <c r="AC197" i="1" s="1"/>
  <c r="AE197" i="1"/>
  <c r="AP197" i="1" s="1"/>
  <c r="AA199" i="1"/>
  <c r="Z199" i="1" s="1"/>
  <c r="AC199" i="1" s="1"/>
  <c r="AE199" i="1"/>
  <c r="AP199" i="1" s="1"/>
  <c r="AA201" i="1"/>
  <c r="Z201" i="1" s="1"/>
  <c r="AC201" i="1" s="1"/>
  <c r="AE201" i="1"/>
  <c r="AP201" i="1" s="1"/>
  <c r="AA691" i="1"/>
  <c r="Z691" i="1" s="1"/>
  <c r="AC691" i="1" s="1"/>
  <c r="AE691" i="1"/>
  <c r="AP691" i="1" s="1"/>
  <c r="AA204" i="1"/>
  <c r="Z204" i="1" s="1"/>
  <c r="AC204" i="1" s="1"/>
  <c r="AE204" i="1"/>
  <c r="AP204" i="1" s="1"/>
  <c r="AA207" i="1"/>
  <c r="Z207" i="1" s="1"/>
  <c r="AC207" i="1" s="1"/>
  <c r="AE207" i="1"/>
  <c r="AP207" i="1" s="1"/>
  <c r="AA209" i="1"/>
  <c r="Z209" i="1" s="1"/>
  <c r="AC209" i="1" s="1"/>
  <c r="AE209" i="1"/>
  <c r="AP209" i="1" s="1"/>
  <c r="AA211" i="1"/>
  <c r="Z211" i="1" s="1"/>
  <c r="AC211" i="1" s="1"/>
  <c r="AE211" i="1"/>
  <c r="AP211" i="1" s="1"/>
  <c r="AA213" i="1"/>
  <c r="Z213" i="1" s="1"/>
  <c r="AC213" i="1" s="1"/>
  <c r="AE213" i="1"/>
  <c r="AP213" i="1" s="1"/>
  <c r="AA215" i="1"/>
  <c r="Z215" i="1" s="1"/>
  <c r="AC215" i="1" s="1"/>
  <c r="AE215" i="1"/>
  <c r="AP215" i="1" s="1"/>
  <c r="AA217" i="1"/>
  <c r="Z217" i="1" s="1"/>
  <c r="AC217" i="1" s="1"/>
  <c r="AE217" i="1"/>
  <c r="AP217" i="1" s="1"/>
  <c r="AA220" i="1"/>
  <c r="Z220" i="1" s="1"/>
  <c r="AC220" i="1" s="1"/>
  <c r="AE220" i="1"/>
  <c r="AP220" i="1" s="1"/>
  <c r="AA222" i="1"/>
  <c r="Z222" i="1" s="1"/>
  <c r="AC222" i="1" s="1"/>
  <c r="AE222" i="1"/>
  <c r="AP222" i="1" s="1"/>
  <c r="AA224" i="1"/>
  <c r="Z224" i="1" s="1"/>
  <c r="AC224" i="1" s="1"/>
  <c r="AE224" i="1"/>
  <c r="AP224" i="1" s="1"/>
  <c r="AA226" i="1"/>
  <c r="Z226" i="1" s="1"/>
  <c r="AC226" i="1" s="1"/>
  <c r="AE226" i="1"/>
  <c r="AP226" i="1" s="1"/>
  <c r="AA228" i="1"/>
  <c r="Z228" i="1" s="1"/>
  <c r="AC228" i="1" s="1"/>
  <c r="AE228" i="1"/>
  <c r="AP228" i="1" s="1"/>
  <c r="AA230" i="1"/>
  <c r="Z230" i="1" s="1"/>
  <c r="AC230" i="1" s="1"/>
  <c r="AE230" i="1"/>
  <c r="AP230" i="1" s="1"/>
  <c r="AA232" i="1"/>
  <c r="Z232" i="1" s="1"/>
  <c r="AC232" i="1" s="1"/>
  <c r="AE232" i="1"/>
  <c r="AP232" i="1" s="1"/>
  <c r="AA234" i="1"/>
  <c r="Z234" i="1" s="1"/>
  <c r="AC234" i="1" s="1"/>
  <c r="AE234" i="1"/>
  <c r="AP234" i="1" s="1"/>
  <c r="AA236" i="1"/>
  <c r="Z236" i="1" s="1"/>
  <c r="AC236" i="1" s="1"/>
  <c r="AE236" i="1"/>
  <c r="AP236" i="1" s="1"/>
  <c r="AA239" i="1"/>
  <c r="Z239" i="1" s="1"/>
  <c r="AC239" i="1" s="1"/>
  <c r="AE239" i="1"/>
  <c r="AP239" i="1" s="1"/>
  <c r="AA242" i="1"/>
  <c r="Z242" i="1" s="1"/>
  <c r="AC242" i="1" s="1"/>
  <c r="AE242" i="1"/>
  <c r="AP242" i="1" s="1"/>
  <c r="AA243" i="1"/>
  <c r="Z243" i="1" s="1"/>
  <c r="AC243" i="1" s="1"/>
  <c r="AE243" i="1"/>
  <c r="AP243" i="1" s="1"/>
  <c r="AA245" i="1"/>
  <c r="Z245" i="1" s="1"/>
  <c r="AC245" i="1" s="1"/>
  <c r="AE245" i="1"/>
  <c r="AP245" i="1" s="1"/>
  <c r="AA247" i="1"/>
  <c r="Z247" i="1" s="1"/>
  <c r="AC247" i="1" s="1"/>
  <c r="AE247" i="1"/>
  <c r="AP247" i="1" s="1"/>
  <c r="AA249" i="1"/>
  <c r="Z249" i="1" s="1"/>
  <c r="AC249" i="1" s="1"/>
  <c r="AE249" i="1"/>
  <c r="AP249" i="1" s="1"/>
  <c r="AA250" i="1"/>
  <c r="Z250" i="1" s="1"/>
  <c r="AC250" i="1" s="1"/>
  <c r="AE250" i="1"/>
  <c r="AP250" i="1" s="1"/>
  <c r="AA251" i="1"/>
  <c r="Z251" i="1" s="1"/>
  <c r="AC251" i="1" s="1"/>
  <c r="AE251" i="1"/>
  <c r="AP251" i="1" s="1"/>
  <c r="AA253" i="1"/>
  <c r="Z253" i="1" s="1"/>
  <c r="AC253" i="1" s="1"/>
  <c r="AE253" i="1"/>
  <c r="AP253" i="1" s="1"/>
  <c r="AA255" i="1"/>
  <c r="Z255" i="1" s="1"/>
  <c r="AC255" i="1" s="1"/>
  <c r="AE255" i="1"/>
  <c r="AP255" i="1" s="1"/>
  <c r="AA258" i="1"/>
  <c r="Z258" i="1" s="1"/>
  <c r="AC258" i="1" s="1"/>
  <c r="AE258" i="1"/>
  <c r="AP258" i="1" s="1"/>
  <c r="AA259" i="1"/>
  <c r="Z259" i="1" s="1"/>
  <c r="AC259" i="1" s="1"/>
  <c r="AE259" i="1"/>
  <c r="AP259" i="1" s="1"/>
  <c r="AA261" i="1"/>
  <c r="Z261" i="1" s="1"/>
  <c r="AC261" i="1" s="1"/>
  <c r="AE261" i="1"/>
  <c r="AP261" i="1" s="1"/>
  <c r="AA263" i="1"/>
  <c r="Z263" i="1" s="1"/>
  <c r="AC263" i="1" s="1"/>
  <c r="AE263" i="1"/>
  <c r="AP263" i="1" s="1"/>
  <c r="AA265" i="1"/>
  <c r="Z265" i="1" s="1"/>
  <c r="AC265" i="1" s="1"/>
  <c r="AE265" i="1"/>
  <c r="AP265" i="1" s="1"/>
  <c r="AA267" i="1"/>
  <c r="Z267" i="1" s="1"/>
  <c r="AC267" i="1" s="1"/>
  <c r="AE267" i="1"/>
  <c r="AP267" i="1" s="1"/>
  <c r="AA269" i="1"/>
  <c r="Z269" i="1" s="1"/>
  <c r="AC269" i="1" s="1"/>
  <c r="AE269" i="1"/>
  <c r="AP269" i="1" s="1"/>
  <c r="AA271" i="1"/>
  <c r="Z271" i="1" s="1"/>
  <c r="AC271" i="1" s="1"/>
  <c r="AE271" i="1"/>
  <c r="AP271" i="1" s="1"/>
  <c r="AA272" i="1"/>
  <c r="Z272" i="1" s="1"/>
  <c r="AC272" i="1" s="1"/>
  <c r="AE272" i="1"/>
  <c r="AP272" i="1" s="1"/>
  <c r="AA274" i="1"/>
  <c r="Z274" i="1" s="1"/>
  <c r="AC274" i="1" s="1"/>
  <c r="AE274" i="1"/>
  <c r="AP274" i="1" s="1"/>
  <c r="AA276" i="1"/>
  <c r="Z276" i="1" s="1"/>
  <c r="AC276" i="1" s="1"/>
  <c r="AE276" i="1"/>
  <c r="AP276" i="1" s="1"/>
  <c r="AA278" i="1"/>
  <c r="Z278" i="1" s="1"/>
  <c r="AC278" i="1" s="1"/>
  <c r="AE278" i="1"/>
  <c r="AP278" i="1" s="1"/>
  <c r="AA280" i="1"/>
  <c r="Z280" i="1" s="1"/>
  <c r="AC280" i="1" s="1"/>
  <c r="AE280" i="1"/>
  <c r="AP280" i="1" s="1"/>
  <c r="AA282" i="1"/>
  <c r="Z282" i="1" s="1"/>
  <c r="AC282" i="1" s="1"/>
  <c r="AE282" i="1"/>
  <c r="AP282" i="1" s="1"/>
  <c r="AA284" i="1"/>
  <c r="Z284" i="1" s="1"/>
  <c r="AC284" i="1" s="1"/>
  <c r="AE284" i="1"/>
  <c r="AP284" i="1" s="1"/>
  <c r="AA286" i="1"/>
  <c r="Z286" i="1" s="1"/>
  <c r="AC286" i="1" s="1"/>
  <c r="AE286" i="1"/>
  <c r="AP286" i="1" s="1"/>
  <c r="AA288" i="1"/>
  <c r="Z288" i="1" s="1"/>
  <c r="AC288" i="1" s="1"/>
  <c r="AE288" i="1"/>
  <c r="AP288" i="1" s="1"/>
  <c r="AA291" i="1"/>
  <c r="Z291" i="1" s="1"/>
  <c r="AC291" i="1" s="1"/>
  <c r="AE291" i="1"/>
  <c r="AP291" i="1" s="1"/>
  <c r="AA293" i="1"/>
  <c r="Z293" i="1" s="1"/>
  <c r="AC293" i="1" s="1"/>
  <c r="AE293" i="1"/>
  <c r="AP293" i="1" s="1"/>
  <c r="AA295" i="1"/>
  <c r="Z295" i="1" s="1"/>
  <c r="AC295" i="1" s="1"/>
  <c r="AE295" i="1"/>
  <c r="AP295" i="1" s="1"/>
  <c r="AA297" i="1"/>
  <c r="Z297" i="1" s="1"/>
  <c r="AC297" i="1" s="1"/>
  <c r="AE297" i="1"/>
  <c r="AP297" i="1" s="1"/>
  <c r="AA299" i="1"/>
  <c r="Z299" i="1" s="1"/>
  <c r="AC299" i="1" s="1"/>
  <c r="AE299" i="1"/>
  <c r="AP299" i="1" s="1"/>
  <c r="AA301" i="1"/>
  <c r="Z301" i="1" s="1"/>
  <c r="AC301" i="1" s="1"/>
  <c r="AE301" i="1"/>
  <c r="AP301" i="1" s="1"/>
  <c r="AA303" i="1"/>
  <c r="Z303" i="1" s="1"/>
  <c r="AC303" i="1" s="1"/>
  <c r="AE303" i="1"/>
  <c r="AP303" i="1" s="1"/>
  <c r="AA305" i="1"/>
  <c r="Z305" i="1" s="1"/>
  <c r="AC305" i="1" s="1"/>
  <c r="AE305" i="1"/>
  <c r="AP305" i="1" s="1"/>
  <c r="AA307" i="1"/>
  <c r="Z307" i="1" s="1"/>
  <c r="AC307" i="1" s="1"/>
  <c r="AE307" i="1"/>
  <c r="AP307" i="1" s="1"/>
  <c r="AA309" i="1"/>
  <c r="Z309" i="1" s="1"/>
  <c r="AC309" i="1" s="1"/>
  <c r="AE309" i="1"/>
  <c r="AP309" i="1" s="1"/>
  <c r="AA311" i="1"/>
  <c r="Z311" i="1" s="1"/>
  <c r="AC311" i="1" s="1"/>
  <c r="AE311" i="1"/>
  <c r="AP311" i="1" s="1"/>
  <c r="AA313" i="1"/>
  <c r="Z313" i="1" s="1"/>
  <c r="AC313" i="1" s="1"/>
  <c r="AE313" i="1"/>
  <c r="AP313" i="1" s="1"/>
  <c r="AA315" i="1"/>
  <c r="Z315" i="1" s="1"/>
  <c r="AC315" i="1" s="1"/>
  <c r="AE315" i="1"/>
  <c r="AP315" i="1" s="1"/>
  <c r="AA317" i="1"/>
  <c r="Z317" i="1" s="1"/>
  <c r="AC317" i="1" s="1"/>
  <c r="AE317" i="1"/>
  <c r="AP317" i="1" s="1"/>
  <c r="AA320" i="1"/>
  <c r="Z320" i="1" s="1"/>
  <c r="AC320" i="1" s="1"/>
  <c r="AE320" i="1"/>
  <c r="AP320" i="1" s="1"/>
  <c r="AA322" i="1"/>
  <c r="Z322" i="1" s="1"/>
  <c r="AC322" i="1" s="1"/>
  <c r="AE322" i="1"/>
  <c r="AP322" i="1" s="1"/>
  <c r="AA324" i="1"/>
  <c r="Z324" i="1" s="1"/>
  <c r="AC324" i="1" s="1"/>
  <c r="AE324" i="1"/>
  <c r="AP324" i="1" s="1"/>
  <c r="AA326" i="1"/>
  <c r="Z326" i="1" s="1"/>
  <c r="AC326" i="1" s="1"/>
  <c r="AE326" i="1"/>
  <c r="AP326" i="1" s="1"/>
  <c r="AA328" i="1"/>
  <c r="Z328" i="1" s="1"/>
  <c r="AC328" i="1" s="1"/>
  <c r="AE328" i="1"/>
  <c r="AP328" i="1" s="1"/>
  <c r="AA330" i="1"/>
  <c r="Z330" i="1" s="1"/>
  <c r="AC330" i="1" s="1"/>
  <c r="AE330" i="1"/>
  <c r="AP330" i="1" s="1"/>
  <c r="AA332" i="1"/>
  <c r="Z332" i="1" s="1"/>
  <c r="AC332" i="1" s="1"/>
  <c r="AE332" i="1"/>
  <c r="AP332" i="1" s="1"/>
  <c r="AA334" i="1"/>
  <c r="Z334" i="1" s="1"/>
  <c r="AC334" i="1" s="1"/>
  <c r="AE334" i="1"/>
  <c r="AP334" i="1" s="1"/>
  <c r="AA336" i="1"/>
  <c r="Z336" i="1" s="1"/>
  <c r="AC336" i="1" s="1"/>
  <c r="AE336" i="1"/>
  <c r="AP336" i="1" s="1"/>
  <c r="AA689" i="1"/>
  <c r="Z689" i="1" s="1"/>
  <c r="AC689" i="1" s="1"/>
  <c r="AE689" i="1"/>
  <c r="AP689" i="1" s="1"/>
  <c r="AA339" i="1"/>
  <c r="Z339" i="1" s="1"/>
  <c r="AC339" i="1" s="1"/>
  <c r="AE339" i="1"/>
  <c r="AP339" i="1" s="1"/>
  <c r="AA342" i="1"/>
  <c r="Z342" i="1" s="1"/>
  <c r="AC342" i="1" s="1"/>
  <c r="AE342" i="1"/>
  <c r="AP342" i="1" s="1"/>
  <c r="AA344" i="1"/>
  <c r="Z344" i="1" s="1"/>
  <c r="AC344" i="1" s="1"/>
  <c r="AE344" i="1"/>
  <c r="AP344" i="1" s="1"/>
  <c r="AA346" i="1"/>
  <c r="Z346" i="1" s="1"/>
  <c r="AC346" i="1" s="1"/>
  <c r="AE346" i="1"/>
  <c r="AP346" i="1" s="1"/>
  <c r="AA347" i="1"/>
  <c r="Z347" i="1" s="1"/>
  <c r="AC347" i="1" s="1"/>
  <c r="AE347" i="1"/>
  <c r="AP347" i="1" s="1"/>
  <c r="AA349" i="1"/>
  <c r="Z349" i="1" s="1"/>
  <c r="AC349" i="1" s="1"/>
  <c r="AE349" i="1"/>
  <c r="AP349" i="1" s="1"/>
  <c r="AA351" i="1"/>
  <c r="Z351" i="1" s="1"/>
  <c r="AC351" i="1" s="1"/>
  <c r="AE351" i="1"/>
  <c r="AP351" i="1" s="1"/>
  <c r="AA353" i="1"/>
  <c r="Z353" i="1" s="1"/>
  <c r="AC353" i="1" s="1"/>
  <c r="AE353" i="1"/>
  <c r="AP353" i="1" s="1"/>
  <c r="AA355" i="1"/>
  <c r="Z355" i="1" s="1"/>
  <c r="AC355" i="1" s="1"/>
  <c r="AE355" i="1"/>
  <c r="AP355" i="1" s="1"/>
  <c r="AA357" i="1"/>
  <c r="Z357" i="1" s="1"/>
  <c r="AC357" i="1" s="1"/>
  <c r="AE357" i="1"/>
  <c r="AP357" i="1" s="1"/>
  <c r="AA359" i="1"/>
  <c r="Z359" i="1" s="1"/>
  <c r="AC359" i="1" s="1"/>
  <c r="AE359" i="1"/>
  <c r="AP359" i="1" s="1"/>
  <c r="AA361" i="1"/>
  <c r="Z361" i="1" s="1"/>
  <c r="AC361" i="1" s="1"/>
  <c r="AE361" i="1"/>
  <c r="AP361" i="1" s="1"/>
  <c r="AA362" i="1"/>
  <c r="Z362" i="1" s="1"/>
  <c r="AC362" i="1" s="1"/>
  <c r="AE362" i="1"/>
  <c r="AP362" i="1" s="1"/>
  <c r="AA365" i="1"/>
  <c r="Z365" i="1" s="1"/>
  <c r="AC365" i="1" s="1"/>
  <c r="AE365" i="1"/>
  <c r="AP365" i="1" s="1"/>
  <c r="AA367" i="1"/>
  <c r="Z367" i="1" s="1"/>
  <c r="AC367" i="1" s="1"/>
  <c r="AE367" i="1"/>
  <c r="AP367" i="1" s="1"/>
  <c r="AA369" i="1"/>
  <c r="Z369" i="1" s="1"/>
  <c r="AC369" i="1" s="1"/>
  <c r="AE369" i="1"/>
  <c r="AP369" i="1" s="1"/>
  <c r="AA371" i="1"/>
  <c r="Z371" i="1" s="1"/>
  <c r="AC371" i="1" s="1"/>
  <c r="AE371" i="1"/>
  <c r="AP371" i="1" s="1"/>
  <c r="AA373" i="1"/>
  <c r="Z373" i="1" s="1"/>
  <c r="AC373" i="1" s="1"/>
  <c r="AE373" i="1"/>
  <c r="AP373" i="1" s="1"/>
  <c r="AA375" i="1"/>
  <c r="Z375" i="1" s="1"/>
  <c r="AC375" i="1" s="1"/>
  <c r="AE375" i="1"/>
  <c r="AP375" i="1" s="1"/>
  <c r="AA377" i="1"/>
  <c r="Z377" i="1" s="1"/>
  <c r="AC377" i="1" s="1"/>
  <c r="AE377" i="1"/>
  <c r="AP377" i="1" s="1"/>
  <c r="AA381" i="1"/>
  <c r="Z381" i="1" s="1"/>
  <c r="AC381" i="1" s="1"/>
  <c r="AE381" i="1"/>
  <c r="AP381" i="1" s="1"/>
  <c r="AA383" i="1"/>
  <c r="Z383" i="1" s="1"/>
  <c r="AC383" i="1" s="1"/>
  <c r="AE383" i="1"/>
  <c r="AP383" i="1" s="1"/>
  <c r="AA385" i="1"/>
  <c r="Z385" i="1" s="1"/>
  <c r="AC385" i="1" s="1"/>
  <c r="AE385" i="1"/>
  <c r="AP385" i="1" s="1"/>
  <c r="AA387" i="1"/>
  <c r="Z387" i="1" s="1"/>
  <c r="AC387" i="1" s="1"/>
  <c r="AE387" i="1"/>
  <c r="AP387" i="1" s="1"/>
  <c r="AA389" i="1"/>
  <c r="Z389" i="1" s="1"/>
  <c r="AC389" i="1" s="1"/>
  <c r="AE389" i="1"/>
  <c r="AP389" i="1" s="1"/>
  <c r="AA391" i="1"/>
  <c r="Z391" i="1" s="1"/>
  <c r="AC391" i="1" s="1"/>
  <c r="AE391" i="1"/>
  <c r="AP391" i="1" s="1"/>
  <c r="AA393" i="1"/>
  <c r="Z393" i="1" s="1"/>
  <c r="AC393" i="1" s="1"/>
  <c r="AE393" i="1"/>
  <c r="AP393" i="1" s="1"/>
  <c r="AA395" i="1"/>
  <c r="Z395" i="1" s="1"/>
  <c r="AC395" i="1" s="1"/>
  <c r="AE395" i="1"/>
  <c r="AP395" i="1" s="1"/>
  <c r="AA397" i="1"/>
  <c r="Z397" i="1" s="1"/>
  <c r="AC397" i="1" s="1"/>
  <c r="AE397" i="1"/>
  <c r="AP397" i="1" s="1"/>
  <c r="AA399" i="1"/>
  <c r="Z399" i="1" s="1"/>
  <c r="AC399" i="1" s="1"/>
  <c r="AE399" i="1"/>
  <c r="AP399" i="1" s="1"/>
  <c r="AA401" i="1"/>
  <c r="Z401" i="1" s="1"/>
  <c r="AC401" i="1" s="1"/>
  <c r="AE401" i="1"/>
  <c r="AP401" i="1" s="1"/>
  <c r="AA403" i="1"/>
  <c r="Z403" i="1" s="1"/>
  <c r="AC403" i="1" s="1"/>
  <c r="AE403" i="1"/>
  <c r="AP403" i="1" s="1"/>
  <c r="AA405" i="1"/>
  <c r="Z405" i="1" s="1"/>
  <c r="AC405" i="1" s="1"/>
  <c r="AE405" i="1"/>
  <c r="AP405" i="1" s="1"/>
  <c r="AA407" i="1"/>
  <c r="Z407" i="1" s="1"/>
  <c r="AC407" i="1" s="1"/>
  <c r="AE407" i="1"/>
  <c r="AP407" i="1" s="1"/>
  <c r="AA212" i="1"/>
  <c r="Z212" i="1" s="1"/>
  <c r="AC212" i="1" s="1"/>
  <c r="AE212" i="1"/>
  <c r="AP212" i="1" s="1"/>
  <c r="AA410" i="1"/>
  <c r="Z410" i="1" s="1"/>
  <c r="AC410" i="1" s="1"/>
  <c r="AE410" i="1"/>
  <c r="AP410" i="1" s="1"/>
  <c r="AA412" i="1"/>
  <c r="Z412" i="1" s="1"/>
  <c r="AC412" i="1" s="1"/>
  <c r="AE412" i="1"/>
  <c r="AP412" i="1" s="1"/>
  <c r="AA414" i="1"/>
  <c r="Z414" i="1" s="1"/>
  <c r="AC414" i="1" s="1"/>
  <c r="AE414" i="1"/>
  <c r="AP414" i="1" s="1"/>
  <c r="AA416" i="1"/>
  <c r="Z416" i="1" s="1"/>
  <c r="AC416" i="1" s="1"/>
  <c r="AE416" i="1"/>
  <c r="AP416" i="1" s="1"/>
  <c r="AA417" i="1"/>
  <c r="Z417" i="1" s="1"/>
  <c r="AC417" i="1" s="1"/>
  <c r="AE417" i="1"/>
  <c r="AP417" i="1" s="1"/>
  <c r="AA419" i="1"/>
  <c r="Z419" i="1" s="1"/>
  <c r="AC419" i="1" s="1"/>
  <c r="AE419" i="1"/>
  <c r="AP419" i="1" s="1"/>
  <c r="AA421" i="1"/>
  <c r="Z421" i="1" s="1"/>
  <c r="AC421" i="1" s="1"/>
  <c r="AE421" i="1"/>
  <c r="AP421" i="1" s="1"/>
  <c r="AA423" i="1"/>
  <c r="Z423" i="1" s="1"/>
  <c r="AC423" i="1" s="1"/>
  <c r="AE423" i="1"/>
  <c r="AP423" i="1" s="1"/>
  <c r="AA425" i="1"/>
  <c r="Z425" i="1" s="1"/>
  <c r="AC425" i="1" s="1"/>
  <c r="AE425" i="1"/>
  <c r="AP425" i="1" s="1"/>
  <c r="AA427" i="1"/>
  <c r="Z427" i="1" s="1"/>
  <c r="AC427" i="1" s="1"/>
  <c r="AE427" i="1"/>
  <c r="AP427" i="1" s="1"/>
  <c r="AA429" i="1"/>
  <c r="Z429" i="1" s="1"/>
  <c r="AC429" i="1" s="1"/>
  <c r="AE429" i="1"/>
  <c r="AP429" i="1" s="1"/>
  <c r="AA431" i="1"/>
  <c r="Z431" i="1" s="1"/>
  <c r="AC431" i="1" s="1"/>
  <c r="AE431" i="1"/>
  <c r="AP431" i="1" s="1"/>
  <c r="AA186" i="1"/>
  <c r="Z186" i="1" s="1"/>
  <c r="AC186" i="1" s="1"/>
  <c r="AE186" i="1"/>
  <c r="AP186" i="1" s="1"/>
  <c r="AA434" i="1"/>
  <c r="Z434" i="1" s="1"/>
  <c r="AC434" i="1" s="1"/>
  <c r="AE434" i="1"/>
  <c r="AP434" i="1" s="1"/>
  <c r="AA436" i="1"/>
  <c r="Z436" i="1" s="1"/>
  <c r="AC436" i="1" s="1"/>
  <c r="AE436" i="1"/>
  <c r="AP436" i="1" s="1"/>
  <c r="AA438" i="1"/>
  <c r="Z438" i="1" s="1"/>
  <c r="AC438" i="1" s="1"/>
  <c r="AE438" i="1"/>
  <c r="AP438" i="1" s="1"/>
  <c r="AA441" i="1"/>
  <c r="Z441" i="1" s="1"/>
  <c r="AC441" i="1" s="1"/>
  <c r="AE441" i="1"/>
  <c r="AP441" i="1" s="1"/>
  <c r="AA443" i="1"/>
  <c r="Z443" i="1" s="1"/>
  <c r="AC443" i="1" s="1"/>
  <c r="AE443" i="1"/>
  <c r="AP443" i="1" s="1"/>
  <c r="AA445" i="1"/>
  <c r="Z445" i="1" s="1"/>
  <c r="AC445" i="1" s="1"/>
  <c r="AE445" i="1"/>
  <c r="AP445" i="1" s="1"/>
  <c r="AA447" i="1"/>
  <c r="Z447" i="1" s="1"/>
  <c r="AC447" i="1" s="1"/>
  <c r="AE447" i="1"/>
  <c r="AP447" i="1" s="1"/>
  <c r="AA449" i="1"/>
  <c r="Z449" i="1" s="1"/>
  <c r="AC449" i="1" s="1"/>
  <c r="AE449" i="1"/>
  <c r="AP449" i="1" s="1"/>
  <c r="AA450" i="1"/>
  <c r="Z450" i="1" s="1"/>
  <c r="AC450" i="1" s="1"/>
  <c r="AE450" i="1"/>
  <c r="AP450" i="1" s="1"/>
  <c r="AA452" i="1"/>
  <c r="Z452" i="1" s="1"/>
  <c r="AC452" i="1" s="1"/>
  <c r="AE452" i="1"/>
  <c r="AP452" i="1" s="1"/>
  <c r="AA454" i="1"/>
  <c r="Z454" i="1" s="1"/>
  <c r="AC454" i="1" s="1"/>
  <c r="AE454" i="1"/>
  <c r="AP454" i="1" s="1"/>
  <c r="AA456" i="1"/>
  <c r="Z456" i="1" s="1"/>
  <c r="AC456" i="1" s="1"/>
  <c r="AE456" i="1"/>
  <c r="AP456" i="1" s="1"/>
  <c r="AA93" i="1"/>
  <c r="Z93" i="1" s="1"/>
  <c r="AC93" i="1" s="1"/>
  <c r="AE93" i="1"/>
  <c r="AP93" i="1" s="1"/>
  <c r="AA379" i="1"/>
  <c r="Z379" i="1" s="1"/>
  <c r="AC379" i="1" s="1"/>
  <c r="AE379" i="1"/>
  <c r="AP379" i="1" s="1"/>
  <c r="AA460" i="1"/>
  <c r="Z460" i="1" s="1"/>
  <c r="AC460" i="1" s="1"/>
  <c r="AE460" i="1"/>
  <c r="AP460" i="1" s="1"/>
  <c r="AA462" i="1"/>
  <c r="Z462" i="1" s="1"/>
  <c r="AC462" i="1" s="1"/>
  <c r="AE462" i="1"/>
  <c r="AP462" i="1" s="1"/>
  <c r="AA463" i="1"/>
  <c r="Z463" i="1" s="1"/>
  <c r="AC463" i="1" s="1"/>
  <c r="AE463" i="1"/>
  <c r="AP463" i="1" s="1"/>
  <c r="AA465" i="1"/>
  <c r="Z465" i="1" s="1"/>
  <c r="AC465" i="1" s="1"/>
  <c r="AE465" i="1"/>
  <c r="AP465" i="1" s="1"/>
  <c r="AA467" i="1"/>
  <c r="Z467" i="1" s="1"/>
  <c r="AC467" i="1" s="1"/>
  <c r="AE467" i="1"/>
  <c r="AP467" i="1" s="1"/>
  <c r="AA469" i="1"/>
  <c r="Z469" i="1" s="1"/>
  <c r="AC469" i="1" s="1"/>
  <c r="AE469" i="1"/>
  <c r="AP469" i="1" s="1"/>
  <c r="AA472" i="1"/>
  <c r="Z472" i="1" s="1"/>
  <c r="AC472" i="1" s="1"/>
  <c r="AE472" i="1"/>
  <c r="AP472" i="1" s="1"/>
  <c r="AA474" i="1"/>
  <c r="Z474" i="1" s="1"/>
  <c r="AC474" i="1" s="1"/>
  <c r="AE474" i="1"/>
  <c r="AP474" i="1" s="1"/>
  <c r="AA476" i="1"/>
  <c r="Z476" i="1" s="1"/>
  <c r="AC476" i="1" s="1"/>
  <c r="AE476" i="1"/>
  <c r="AP476" i="1" s="1"/>
  <c r="AA477" i="1"/>
  <c r="Z477" i="1" s="1"/>
  <c r="AC477" i="1" s="1"/>
  <c r="AE477" i="1"/>
  <c r="AP477" i="1" s="1"/>
  <c r="AA479" i="1"/>
  <c r="Z479" i="1" s="1"/>
  <c r="AC479" i="1" s="1"/>
  <c r="AE479" i="1"/>
  <c r="AP479" i="1" s="1"/>
  <c r="AA482" i="1"/>
  <c r="Z482" i="1" s="1"/>
  <c r="AC482" i="1" s="1"/>
  <c r="AE482" i="1"/>
  <c r="AP482" i="1" s="1"/>
  <c r="AA471" i="1"/>
  <c r="Z471" i="1" s="1"/>
  <c r="AC471" i="1" s="1"/>
  <c r="AE471" i="1"/>
  <c r="AP471" i="1" s="1"/>
  <c r="AA484" i="1"/>
  <c r="Z484" i="1" s="1"/>
  <c r="AC484" i="1" s="1"/>
  <c r="AE484" i="1"/>
  <c r="AP484" i="1" s="1"/>
  <c r="AA489" i="1"/>
  <c r="Z489" i="1" s="1"/>
  <c r="AC489" i="1" s="1"/>
  <c r="AE489" i="1"/>
  <c r="AP489" i="1" s="1"/>
  <c r="AA491" i="1"/>
  <c r="Z491" i="1" s="1"/>
  <c r="AC491" i="1" s="1"/>
  <c r="AE491" i="1"/>
  <c r="AP491" i="1" s="1"/>
  <c r="AA493" i="1"/>
  <c r="Z493" i="1" s="1"/>
  <c r="AC493" i="1" s="1"/>
  <c r="AE493" i="1"/>
  <c r="AP493" i="1" s="1"/>
  <c r="AA494" i="1"/>
  <c r="Z494" i="1" s="1"/>
  <c r="AC494" i="1" s="1"/>
  <c r="AE494" i="1"/>
  <c r="AP494" i="1" s="1"/>
  <c r="AA496" i="1"/>
  <c r="Z496" i="1" s="1"/>
  <c r="AC496" i="1" s="1"/>
  <c r="AE496" i="1"/>
  <c r="AP496" i="1" s="1"/>
  <c r="AA498" i="1"/>
  <c r="Z498" i="1" s="1"/>
  <c r="AC498" i="1" s="1"/>
  <c r="AE498" i="1"/>
  <c r="AP498" i="1" s="1"/>
  <c r="AA500" i="1"/>
  <c r="Z500" i="1" s="1"/>
  <c r="AC500" i="1" s="1"/>
  <c r="AE500" i="1"/>
  <c r="AP500" i="1" s="1"/>
  <c r="AA502" i="1"/>
  <c r="Z502" i="1" s="1"/>
  <c r="AC502" i="1" s="1"/>
  <c r="AE502" i="1"/>
  <c r="AP502" i="1" s="1"/>
  <c r="AA504" i="1"/>
  <c r="Z504" i="1" s="1"/>
  <c r="AC504" i="1" s="1"/>
  <c r="AE504" i="1"/>
  <c r="AP504" i="1" s="1"/>
  <c r="AA506" i="1"/>
  <c r="Z506" i="1" s="1"/>
  <c r="AC506" i="1" s="1"/>
  <c r="AE506" i="1"/>
  <c r="AP506" i="1" s="1"/>
  <c r="AA510" i="1"/>
  <c r="Z510" i="1" s="1"/>
  <c r="AC510" i="1" s="1"/>
  <c r="AE510" i="1"/>
  <c r="AP510" i="1" s="1"/>
  <c r="AA516" i="1"/>
  <c r="Z516" i="1" s="1"/>
  <c r="AC516" i="1" s="1"/>
  <c r="AE516" i="1"/>
  <c r="AP516" i="1" s="1"/>
  <c r="AA518" i="1"/>
  <c r="Z518" i="1" s="1"/>
  <c r="AC518" i="1" s="1"/>
  <c r="AE518" i="1"/>
  <c r="AP518" i="1" s="1"/>
  <c r="AA520" i="1"/>
  <c r="Z520" i="1" s="1"/>
  <c r="AC520" i="1" s="1"/>
  <c r="AE520" i="1"/>
  <c r="AP520" i="1" s="1"/>
  <c r="AA522" i="1"/>
  <c r="Z522" i="1" s="1"/>
  <c r="AC522" i="1" s="1"/>
  <c r="AE522" i="1"/>
  <c r="AP522" i="1" s="1"/>
  <c r="AA524" i="1"/>
  <c r="Z524" i="1" s="1"/>
  <c r="AC524" i="1" s="1"/>
  <c r="AE524" i="1"/>
  <c r="AP524" i="1" s="1"/>
  <c r="AA526" i="1"/>
  <c r="Z526" i="1" s="1"/>
  <c r="AC526" i="1" s="1"/>
  <c r="AE526" i="1"/>
  <c r="AP526" i="1" s="1"/>
  <c r="AA528" i="1"/>
  <c r="Z528" i="1" s="1"/>
  <c r="AC528" i="1" s="1"/>
  <c r="AE528" i="1"/>
  <c r="AP528" i="1" s="1"/>
  <c r="AA530" i="1"/>
  <c r="Z530" i="1" s="1"/>
  <c r="AC530" i="1" s="1"/>
  <c r="AE530" i="1"/>
  <c r="AP530" i="1" s="1"/>
  <c r="AA532" i="1"/>
  <c r="Z532" i="1" s="1"/>
  <c r="AC532" i="1" s="1"/>
  <c r="AE532" i="1"/>
  <c r="AP532" i="1" s="1"/>
  <c r="AA534" i="1"/>
  <c r="Z534" i="1" s="1"/>
  <c r="AC534" i="1" s="1"/>
  <c r="AE534" i="1"/>
  <c r="AP534" i="1" s="1"/>
  <c r="AA536" i="1"/>
  <c r="Z536" i="1" s="1"/>
  <c r="AC536" i="1" s="1"/>
  <c r="AE536" i="1"/>
  <c r="AP536" i="1" s="1"/>
  <c r="AA538" i="1"/>
  <c r="Z538" i="1" s="1"/>
  <c r="AC538" i="1" s="1"/>
  <c r="AE538" i="1"/>
  <c r="AP538" i="1" s="1"/>
  <c r="AA540" i="1"/>
  <c r="Z540" i="1" s="1"/>
  <c r="AC540" i="1" s="1"/>
  <c r="AE540" i="1"/>
  <c r="AP540" i="1" s="1"/>
  <c r="AA542" i="1"/>
  <c r="Z542" i="1" s="1"/>
  <c r="AC542" i="1" s="1"/>
  <c r="AE542" i="1"/>
  <c r="AP542" i="1" s="1"/>
  <c r="AA544" i="1"/>
  <c r="Z544" i="1" s="1"/>
  <c r="AC544" i="1" s="1"/>
  <c r="AE544" i="1"/>
  <c r="AP544" i="1" s="1"/>
  <c r="AA546" i="1"/>
  <c r="Z546" i="1" s="1"/>
  <c r="AC546" i="1" s="1"/>
  <c r="AE546" i="1"/>
  <c r="AP546" i="1" s="1"/>
  <c r="AA548" i="1"/>
  <c r="Z548" i="1" s="1"/>
  <c r="AC548" i="1" s="1"/>
  <c r="AE548" i="1"/>
  <c r="AP548" i="1" s="1"/>
  <c r="AA511" i="1"/>
  <c r="Z511" i="1" s="1"/>
  <c r="AC511" i="1" s="1"/>
  <c r="AE511" i="1"/>
  <c r="AP511" i="1" s="1"/>
  <c r="AA551" i="1"/>
  <c r="Z551" i="1" s="1"/>
  <c r="AC551" i="1" s="1"/>
  <c r="AE551" i="1"/>
  <c r="AP551" i="1" s="1"/>
  <c r="AA553" i="1"/>
  <c r="Z553" i="1" s="1"/>
  <c r="AC553" i="1" s="1"/>
  <c r="AE553" i="1"/>
  <c r="AP553" i="1" s="1"/>
  <c r="AA513" i="1"/>
  <c r="Z513" i="1" s="1"/>
  <c r="AC513" i="1" s="1"/>
  <c r="AE513" i="1"/>
  <c r="AP513" i="1" s="1"/>
  <c r="AA555" i="1"/>
  <c r="Z555" i="1" s="1"/>
  <c r="AC555" i="1" s="1"/>
  <c r="AE555" i="1"/>
  <c r="AP555" i="1" s="1"/>
  <c r="AA557" i="1"/>
  <c r="Z557" i="1" s="1"/>
  <c r="AC557" i="1" s="1"/>
  <c r="AE557" i="1"/>
  <c r="AP557" i="1" s="1"/>
  <c r="AA559" i="1"/>
  <c r="Z559" i="1" s="1"/>
  <c r="AC559" i="1" s="1"/>
  <c r="AE559" i="1"/>
  <c r="AP559" i="1" s="1"/>
  <c r="AA515" i="1"/>
  <c r="Z515" i="1" s="1"/>
  <c r="AC515" i="1" s="1"/>
  <c r="AE515" i="1"/>
  <c r="AP515" i="1" s="1"/>
  <c r="AA562" i="1"/>
  <c r="Z562" i="1" s="1"/>
  <c r="AC562" i="1" s="1"/>
  <c r="AE562" i="1"/>
  <c r="AP562" i="1" s="1"/>
  <c r="AA564" i="1"/>
  <c r="Z564" i="1" s="1"/>
  <c r="AC564" i="1" s="1"/>
  <c r="AE564" i="1"/>
  <c r="AP564" i="1" s="1"/>
  <c r="AA566" i="1"/>
  <c r="Z566" i="1" s="1"/>
  <c r="AC566" i="1" s="1"/>
  <c r="AE566" i="1"/>
  <c r="AP566" i="1" s="1"/>
  <c r="AA568" i="1"/>
  <c r="Z568" i="1" s="1"/>
  <c r="AC568" i="1" s="1"/>
  <c r="AE568" i="1"/>
  <c r="AP568" i="1" s="1"/>
  <c r="AA570" i="1"/>
  <c r="Z570" i="1" s="1"/>
  <c r="AC570" i="1" s="1"/>
  <c r="AE570" i="1"/>
  <c r="AP570" i="1" s="1"/>
  <c r="AA572" i="1"/>
  <c r="Z572" i="1" s="1"/>
  <c r="AC572" i="1" s="1"/>
  <c r="AE572" i="1"/>
  <c r="AP572" i="1" s="1"/>
  <c r="AA574" i="1"/>
  <c r="Z574" i="1" s="1"/>
  <c r="AC574" i="1" s="1"/>
  <c r="AE574" i="1"/>
  <c r="AP574" i="1" s="1"/>
  <c r="AA576" i="1"/>
  <c r="Z576" i="1" s="1"/>
  <c r="AC576" i="1" s="1"/>
  <c r="AE576" i="1"/>
  <c r="AP576" i="1" s="1"/>
  <c r="AA578" i="1"/>
  <c r="Z578" i="1" s="1"/>
  <c r="AC578" i="1" s="1"/>
  <c r="AE578" i="1"/>
  <c r="AP578" i="1" s="1"/>
  <c r="AA580" i="1"/>
  <c r="Z580" i="1" s="1"/>
  <c r="AC580" i="1" s="1"/>
  <c r="AE580" i="1"/>
  <c r="AP580" i="1" s="1"/>
  <c r="AA582" i="1"/>
  <c r="Z582" i="1" s="1"/>
  <c r="AC582" i="1" s="1"/>
  <c r="AE582" i="1"/>
  <c r="AP582" i="1" s="1"/>
  <c r="AA584" i="1"/>
  <c r="Z584" i="1" s="1"/>
  <c r="AC584" i="1" s="1"/>
  <c r="AE584" i="1"/>
  <c r="AP584" i="1" s="1"/>
  <c r="AA586" i="1"/>
  <c r="Z586" i="1" s="1"/>
  <c r="AC586" i="1" s="1"/>
  <c r="AE586" i="1"/>
  <c r="AP586" i="1" s="1"/>
  <c r="AA588" i="1"/>
  <c r="Z588" i="1" s="1"/>
  <c r="AC588" i="1" s="1"/>
  <c r="AE588" i="1"/>
  <c r="AP588" i="1" s="1"/>
  <c r="AA590" i="1"/>
  <c r="Z590" i="1" s="1"/>
  <c r="AC590" i="1" s="1"/>
  <c r="AE590" i="1"/>
  <c r="AP590" i="1" s="1"/>
  <c r="AA592" i="1"/>
  <c r="Z592" i="1" s="1"/>
  <c r="AC592" i="1" s="1"/>
  <c r="AE592" i="1"/>
  <c r="AP592" i="1" s="1"/>
  <c r="AA594" i="1"/>
  <c r="Z594" i="1" s="1"/>
  <c r="AC594" i="1" s="1"/>
  <c r="AE594" i="1"/>
  <c r="AP594" i="1" s="1"/>
  <c r="AA596" i="1"/>
  <c r="Z596" i="1" s="1"/>
  <c r="AC596" i="1" s="1"/>
  <c r="AE596" i="1"/>
  <c r="AP596" i="1" s="1"/>
  <c r="AA598" i="1"/>
  <c r="Z598" i="1" s="1"/>
  <c r="AC598" i="1" s="1"/>
  <c r="AE598" i="1"/>
  <c r="AP598" i="1" s="1"/>
  <c r="AA600" i="1"/>
  <c r="Z600" i="1" s="1"/>
  <c r="AC600" i="1" s="1"/>
  <c r="AE600" i="1"/>
  <c r="AP600" i="1" s="1"/>
  <c r="AA602" i="1"/>
  <c r="Z602" i="1" s="1"/>
  <c r="AC602" i="1" s="1"/>
  <c r="AE602" i="1"/>
  <c r="AP602" i="1" s="1"/>
  <c r="AA604" i="1"/>
  <c r="Z604" i="1" s="1"/>
  <c r="AC604" i="1" s="1"/>
  <c r="AE604" i="1"/>
  <c r="AP604" i="1" s="1"/>
  <c r="AA606" i="1"/>
  <c r="Z606" i="1" s="1"/>
  <c r="AC606" i="1" s="1"/>
  <c r="AE606" i="1"/>
  <c r="AP606" i="1" s="1"/>
  <c r="AA608" i="1"/>
  <c r="Z608" i="1" s="1"/>
  <c r="AC608" i="1" s="1"/>
  <c r="AE608" i="1"/>
  <c r="AP608" i="1" s="1"/>
  <c r="AA610" i="1"/>
  <c r="Z610" i="1" s="1"/>
  <c r="AC610" i="1" s="1"/>
  <c r="AE610" i="1"/>
  <c r="AP610" i="1" s="1"/>
  <c r="AA612" i="1"/>
  <c r="Z612" i="1" s="1"/>
  <c r="AC612" i="1" s="1"/>
  <c r="AE612" i="1"/>
  <c r="AP612" i="1" s="1"/>
  <c r="AA614" i="1"/>
  <c r="Z614" i="1" s="1"/>
  <c r="AC614" i="1" s="1"/>
  <c r="AE614" i="1"/>
  <c r="AP614" i="1" s="1"/>
  <c r="AA616" i="1"/>
  <c r="Z616" i="1" s="1"/>
  <c r="AC616" i="1" s="1"/>
  <c r="AE616" i="1"/>
  <c r="AP616" i="1" s="1"/>
  <c r="AA618" i="1"/>
  <c r="Z618" i="1" s="1"/>
  <c r="AC618" i="1" s="1"/>
  <c r="AE618" i="1"/>
  <c r="AP618" i="1" s="1"/>
  <c r="AA620" i="1"/>
  <c r="Z620" i="1" s="1"/>
  <c r="AC620" i="1" s="1"/>
  <c r="AE620" i="1"/>
  <c r="AP620" i="1" s="1"/>
  <c r="AA622" i="1"/>
  <c r="Z622" i="1" s="1"/>
  <c r="AC622" i="1" s="1"/>
  <c r="AE622" i="1"/>
  <c r="AP622" i="1" s="1"/>
  <c r="AA624" i="1"/>
  <c r="Z624" i="1" s="1"/>
  <c r="AC624" i="1" s="1"/>
  <c r="AE624" i="1"/>
  <c r="AP624" i="1" s="1"/>
  <c r="AA626" i="1"/>
  <c r="Z626" i="1" s="1"/>
  <c r="AC626" i="1" s="1"/>
  <c r="AE626" i="1"/>
  <c r="AP626" i="1" s="1"/>
  <c r="AA628" i="1"/>
  <c r="Z628" i="1" s="1"/>
  <c r="AC628" i="1" s="1"/>
  <c r="AE628" i="1"/>
  <c r="AP628" i="1" s="1"/>
  <c r="AA630" i="1"/>
  <c r="Z630" i="1" s="1"/>
  <c r="AC630" i="1" s="1"/>
  <c r="AE630" i="1"/>
  <c r="AP630" i="1" s="1"/>
  <c r="AA632" i="1"/>
  <c r="Z632" i="1" s="1"/>
  <c r="AC632" i="1" s="1"/>
  <c r="AE632" i="1"/>
  <c r="AP632" i="1" s="1"/>
  <c r="AA634" i="1"/>
  <c r="Z634" i="1" s="1"/>
  <c r="AC634" i="1" s="1"/>
  <c r="AE634" i="1"/>
  <c r="AP634" i="1" s="1"/>
  <c r="AA636" i="1"/>
  <c r="Z636" i="1" s="1"/>
  <c r="AC636" i="1" s="1"/>
  <c r="AE636" i="1"/>
  <c r="AP636" i="1" s="1"/>
  <c r="AA638" i="1"/>
  <c r="Z638" i="1" s="1"/>
  <c r="AC638" i="1" s="1"/>
  <c r="AE638" i="1"/>
  <c r="AP638" i="1" s="1"/>
  <c r="AA640" i="1"/>
  <c r="Z640" i="1" s="1"/>
  <c r="AC640" i="1" s="1"/>
  <c r="AE640" i="1"/>
  <c r="AP640" i="1" s="1"/>
  <c r="AA642" i="1"/>
  <c r="Z642" i="1" s="1"/>
  <c r="AC642" i="1" s="1"/>
  <c r="AE642" i="1"/>
  <c r="AP642" i="1" s="1"/>
  <c r="AA644" i="1"/>
  <c r="Z644" i="1" s="1"/>
  <c r="AC644" i="1" s="1"/>
  <c r="AE644" i="1"/>
  <c r="AP644" i="1" s="1"/>
  <c r="AA646" i="1"/>
  <c r="Z646" i="1" s="1"/>
  <c r="AC646" i="1" s="1"/>
  <c r="AE646" i="1"/>
  <c r="AP646" i="1" s="1"/>
  <c r="AA648" i="1"/>
  <c r="Z648" i="1" s="1"/>
  <c r="AC648" i="1" s="1"/>
  <c r="AE648" i="1"/>
  <c r="AP648" i="1" s="1"/>
  <c r="AA650" i="1"/>
  <c r="Z650" i="1" s="1"/>
  <c r="AC650" i="1" s="1"/>
  <c r="AE650" i="1"/>
  <c r="AP650" i="1" s="1"/>
  <c r="AA652" i="1"/>
  <c r="Z652" i="1" s="1"/>
  <c r="AC652" i="1" s="1"/>
  <c r="AE652" i="1"/>
  <c r="AP652" i="1" s="1"/>
  <c r="AA654" i="1"/>
  <c r="Z654" i="1" s="1"/>
  <c r="AC654" i="1" s="1"/>
  <c r="AE654" i="1"/>
  <c r="AP654" i="1" s="1"/>
  <c r="AA656" i="1"/>
  <c r="Z656" i="1" s="1"/>
  <c r="AC656" i="1" s="1"/>
  <c r="AE656" i="1"/>
  <c r="AP656" i="1" s="1"/>
  <c r="AA658" i="1"/>
  <c r="Z658" i="1" s="1"/>
  <c r="AC658" i="1" s="1"/>
  <c r="AE658" i="1"/>
  <c r="AP658" i="1" s="1"/>
  <c r="AA660" i="1"/>
  <c r="Z660" i="1" s="1"/>
  <c r="AC660" i="1" s="1"/>
  <c r="AE660" i="1"/>
  <c r="AP660" i="1" s="1"/>
  <c r="AA662" i="1"/>
  <c r="Z662" i="1" s="1"/>
  <c r="AC662" i="1" s="1"/>
  <c r="AE662" i="1"/>
  <c r="AP662" i="1" s="1"/>
  <c r="AA664" i="1"/>
  <c r="Z664" i="1" s="1"/>
  <c r="AC664" i="1" s="1"/>
  <c r="AE664" i="1"/>
  <c r="AP664" i="1" s="1"/>
  <c r="AA666" i="1"/>
  <c r="Z666" i="1" s="1"/>
  <c r="AC666" i="1" s="1"/>
  <c r="AE666" i="1"/>
  <c r="AP666" i="1" s="1"/>
  <c r="AA668" i="1"/>
  <c r="Z668" i="1" s="1"/>
  <c r="AC668" i="1" s="1"/>
  <c r="AE668" i="1"/>
  <c r="AP668" i="1" s="1"/>
  <c r="AA487" i="1"/>
  <c r="Z487" i="1" s="1"/>
  <c r="AC487" i="1" s="1"/>
  <c r="AE487" i="1"/>
  <c r="AP487" i="1" s="1"/>
  <c r="AA670" i="1"/>
  <c r="Z670" i="1" s="1"/>
  <c r="AC670" i="1" s="1"/>
  <c r="AE670" i="1"/>
  <c r="AP670" i="1" s="1"/>
  <c r="AA673" i="1"/>
  <c r="Z673" i="1" s="1"/>
  <c r="AC673" i="1" s="1"/>
  <c r="AE673" i="1"/>
  <c r="AP673" i="1" s="1"/>
  <c r="AA676" i="1"/>
  <c r="Z676" i="1" s="1"/>
  <c r="AC676" i="1" s="1"/>
  <c r="AE676" i="1"/>
  <c r="AP676" i="1" s="1"/>
  <c r="AA678" i="1"/>
  <c r="Z678" i="1" s="1"/>
  <c r="AC678" i="1" s="1"/>
  <c r="AE678" i="1"/>
  <c r="AP678" i="1" s="1"/>
  <c r="AA680" i="1"/>
  <c r="Z680" i="1" s="1"/>
  <c r="AC680" i="1" s="1"/>
  <c r="AE680" i="1"/>
  <c r="AP680" i="1" s="1"/>
  <c r="AA682" i="1"/>
  <c r="Z682" i="1" s="1"/>
  <c r="AC682" i="1" s="1"/>
  <c r="AE682" i="1"/>
  <c r="AP682" i="1" s="1"/>
  <c r="AA684" i="1"/>
  <c r="Z684" i="1" s="1"/>
  <c r="AC684" i="1" s="1"/>
  <c r="AE684" i="1"/>
  <c r="AP684" i="1" s="1"/>
  <c r="AA686" i="1"/>
  <c r="Z686" i="1" s="1"/>
  <c r="AC686" i="1" s="1"/>
  <c r="AE686" i="1"/>
  <c r="AP686" i="1" s="1"/>
  <c r="AA688" i="1"/>
  <c r="Z688" i="1" s="1"/>
  <c r="AC688" i="1" s="1"/>
  <c r="AE688" i="1"/>
  <c r="AP688" i="1" s="1"/>
  <c r="AA692" i="1"/>
  <c r="Z692" i="1" s="1"/>
  <c r="AC692" i="1" s="1"/>
  <c r="AE692" i="1"/>
  <c r="AP692" i="1" s="1"/>
  <c r="AA694" i="1"/>
  <c r="Z694" i="1" s="1"/>
  <c r="AC694" i="1" s="1"/>
  <c r="AE694" i="1"/>
  <c r="AP694" i="1" s="1"/>
  <c r="AA505" i="1"/>
  <c r="Z505" i="1" s="1"/>
  <c r="AC505" i="1" s="1"/>
  <c r="AE505" i="1"/>
  <c r="AP505" i="1" s="1"/>
  <c r="AA697" i="1"/>
  <c r="Z697" i="1" s="1"/>
  <c r="AC697" i="1" s="1"/>
  <c r="AE697" i="1"/>
  <c r="AP697" i="1" s="1"/>
  <c r="AA508" i="1"/>
  <c r="Z508" i="1" s="1"/>
  <c r="AC508" i="1" s="1"/>
  <c r="AE508" i="1"/>
  <c r="AP508" i="1" s="1"/>
  <c r="AA509" i="1"/>
  <c r="Z509" i="1" s="1"/>
  <c r="AC509" i="1" s="1"/>
  <c r="AE509" i="1"/>
  <c r="AP509" i="1" s="1"/>
  <c r="AA702" i="1"/>
  <c r="Z702" i="1" s="1"/>
  <c r="AC702" i="1" s="1"/>
  <c r="AE702" i="1"/>
  <c r="AP702" i="1" s="1"/>
  <c r="AA704" i="1"/>
  <c r="Z704" i="1" s="1"/>
  <c r="AC704" i="1" s="1"/>
  <c r="AE704" i="1"/>
  <c r="AP704" i="1" s="1"/>
  <c r="AA706" i="1"/>
  <c r="Z706" i="1" s="1"/>
  <c r="AC706" i="1" s="1"/>
  <c r="AE706" i="1"/>
  <c r="AP706" i="1" s="1"/>
  <c r="AA708" i="1"/>
  <c r="Z708" i="1" s="1"/>
  <c r="AC708" i="1" s="1"/>
  <c r="AE708" i="1"/>
  <c r="AP708" i="1" s="1"/>
  <c r="AA711" i="1"/>
  <c r="Z711" i="1" s="1"/>
  <c r="AC711" i="1" s="1"/>
  <c r="AE711" i="1"/>
  <c r="AP711" i="1" s="1"/>
  <c r="AA713" i="1"/>
  <c r="Z713" i="1" s="1"/>
  <c r="AC713" i="1" s="1"/>
  <c r="AE713" i="1"/>
  <c r="AP713" i="1" s="1"/>
  <c r="AA715" i="1"/>
  <c r="Z715" i="1" s="1"/>
  <c r="AC715" i="1" s="1"/>
  <c r="AE715" i="1"/>
  <c r="AP715" i="1" s="1"/>
  <c r="AA718" i="1"/>
  <c r="Z718" i="1" s="1"/>
  <c r="AC718" i="1" s="1"/>
  <c r="AE718" i="1"/>
  <c r="AP718" i="1" s="1"/>
  <c r="AA720" i="1"/>
  <c r="Z720" i="1" s="1"/>
  <c r="AC720" i="1" s="1"/>
  <c r="AE720" i="1"/>
  <c r="AP720" i="1" s="1"/>
  <c r="AA722" i="1"/>
  <c r="Z722" i="1" s="1"/>
  <c r="AC722" i="1" s="1"/>
  <c r="AE722" i="1"/>
  <c r="AP722" i="1" s="1"/>
  <c r="AA724" i="1"/>
  <c r="Z724" i="1" s="1"/>
  <c r="AC724" i="1" s="1"/>
  <c r="AE724" i="1"/>
  <c r="AP724" i="1" s="1"/>
  <c r="AA726" i="1"/>
  <c r="Z726" i="1" s="1"/>
  <c r="AC726" i="1" s="1"/>
  <c r="AE726" i="1"/>
  <c r="AP726" i="1" s="1"/>
  <c r="AA728" i="1"/>
  <c r="Z728" i="1" s="1"/>
  <c r="AC728" i="1" s="1"/>
  <c r="AE728" i="1"/>
  <c r="AP728" i="1" s="1"/>
  <c r="AA730" i="1"/>
  <c r="Z730" i="1" s="1"/>
  <c r="AC730" i="1" s="1"/>
  <c r="AE730" i="1"/>
  <c r="AP730" i="1" s="1"/>
  <c r="AA732" i="1"/>
  <c r="Z732" i="1" s="1"/>
  <c r="AC732" i="1" s="1"/>
  <c r="AE732" i="1"/>
  <c r="AP732" i="1" s="1"/>
  <c r="AA734" i="1"/>
  <c r="Z734" i="1" s="1"/>
  <c r="AC734" i="1" s="1"/>
  <c r="AE734" i="1"/>
  <c r="AP734" i="1" s="1"/>
  <c r="AA736" i="1"/>
  <c r="Z736" i="1" s="1"/>
  <c r="AC736" i="1" s="1"/>
  <c r="AE736" i="1"/>
  <c r="AP736" i="1" s="1"/>
  <c r="AA738" i="1"/>
  <c r="Z738" i="1" s="1"/>
  <c r="AC738" i="1" s="1"/>
  <c r="AE738" i="1"/>
  <c r="AP738" i="1" s="1"/>
  <c r="AA740" i="1"/>
  <c r="Z740" i="1" s="1"/>
  <c r="AC740" i="1" s="1"/>
  <c r="AE740" i="1"/>
  <c r="AP740" i="1" s="1"/>
  <c r="AA742" i="1"/>
  <c r="Z742" i="1" s="1"/>
  <c r="AC742" i="1" s="1"/>
  <c r="AE742" i="1"/>
  <c r="AP742" i="1" s="1"/>
  <c r="AA744" i="1"/>
  <c r="Z744" i="1" s="1"/>
  <c r="AC744" i="1" s="1"/>
  <c r="AE744" i="1"/>
  <c r="AP744" i="1" s="1"/>
  <c r="AA746" i="1"/>
  <c r="Z746" i="1" s="1"/>
  <c r="AC746" i="1" s="1"/>
  <c r="AE746" i="1"/>
  <c r="AP746" i="1" s="1"/>
  <c r="AA748" i="1"/>
  <c r="Z748" i="1" s="1"/>
  <c r="AC748" i="1" s="1"/>
  <c r="AE748" i="1"/>
  <c r="AP748" i="1" s="1"/>
  <c r="AA750" i="1"/>
  <c r="Z750" i="1" s="1"/>
  <c r="AC750" i="1" s="1"/>
  <c r="AE750" i="1"/>
  <c r="AP750" i="1" s="1"/>
  <c r="AA752" i="1"/>
  <c r="Z752" i="1" s="1"/>
  <c r="AC752" i="1" s="1"/>
  <c r="AE752" i="1"/>
  <c r="AP752" i="1" s="1"/>
  <c r="AA754" i="1"/>
  <c r="Z754" i="1" s="1"/>
  <c r="AC754" i="1" s="1"/>
  <c r="AE754" i="1"/>
  <c r="AP754" i="1" s="1"/>
  <c r="AA756" i="1"/>
  <c r="Z756" i="1" s="1"/>
  <c r="AC756" i="1" s="1"/>
  <c r="AE756" i="1"/>
  <c r="AP756" i="1" s="1"/>
  <c r="AA758" i="1"/>
  <c r="Z758" i="1" s="1"/>
  <c r="AC758" i="1" s="1"/>
  <c r="AE758" i="1"/>
  <c r="AP758" i="1" s="1"/>
  <c r="AA760" i="1"/>
  <c r="Z760" i="1" s="1"/>
  <c r="AC760" i="1" s="1"/>
  <c r="AE760" i="1"/>
  <c r="AP760" i="1" s="1"/>
  <c r="AA762" i="1"/>
  <c r="Z762" i="1" s="1"/>
  <c r="AC762" i="1" s="1"/>
  <c r="AE762" i="1"/>
  <c r="AP762" i="1" s="1"/>
  <c r="AA764" i="1"/>
  <c r="Z764" i="1" s="1"/>
  <c r="AC764" i="1" s="1"/>
  <c r="AE764" i="1"/>
  <c r="AP764" i="1" s="1"/>
  <c r="AA766" i="1"/>
  <c r="Z766" i="1" s="1"/>
  <c r="AC766" i="1" s="1"/>
  <c r="AE766" i="1"/>
  <c r="AP766" i="1" s="1"/>
  <c r="AA768" i="1"/>
  <c r="Z768" i="1" s="1"/>
  <c r="AC768" i="1" s="1"/>
  <c r="AE768" i="1"/>
  <c r="AP768" i="1" s="1"/>
  <c r="AA770" i="1"/>
  <c r="Z770" i="1" s="1"/>
  <c r="AC770" i="1" s="1"/>
  <c r="AE770" i="1"/>
  <c r="AP770" i="1" s="1"/>
  <c r="AA772" i="1"/>
  <c r="Z772" i="1" s="1"/>
  <c r="AC772" i="1" s="1"/>
  <c r="AE772" i="1"/>
  <c r="AP772" i="1" s="1"/>
  <c r="AA774" i="1"/>
  <c r="Z774" i="1" s="1"/>
  <c r="AC774" i="1" s="1"/>
  <c r="AE774" i="1"/>
  <c r="AP774" i="1" s="1"/>
  <c r="AA776" i="1"/>
  <c r="Z776" i="1" s="1"/>
  <c r="AC776" i="1" s="1"/>
  <c r="AE776" i="1"/>
  <c r="AP776" i="1" s="1"/>
  <c r="AA778" i="1"/>
  <c r="Z778" i="1" s="1"/>
  <c r="AC778" i="1" s="1"/>
  <c r="AE778" i="1"/>
  <c r="AP778" i="1" s="1"/>
  <c r="AA780" i="1"/>
  <c r="Z780" i="1" s="1"/>
  <c r="AC780" i="1" s="1"/>
  <c r="AE780" i="1"/>
  <c r="AP780" i="1" s="1"/>
  <c r="AA782" i="1"/>
  <c r="Z782" i="1" s="1"/>
  <c r="AC782" i="1" s="1"/>
  <c r="AE782" i="1"/>
  <c r="AP782" i="1" s="1"/>
  <c r="AA784" i="1"/>
  <c r="Z784" i="1" s="1"/>
  <c r="AC784" i="1" s="1"/>
  <c r="AE784" i="1"/>
  <c r="AP784" i="1" s="1"/>
  <c r="AA817" i="1"/>
  <c r="Z817" i="1" s="1"/>
  <c r="AC817" i="1" s="1"/>
  <c r="AE817" i="1"/>
  <c r="AP817" i="1" s="1"/>
  <c r="AA821" i="1"/>
  <c r="Z821" i="1" s="1"/>
  <c r="AC821" i="1" s="1"/>
  <c r="AE821" i="1"/>
  <c r="AP821" i="1" s="1"/>
  <c r="AA823" i="1"/>
  <c r="Z823" i="1" s="1"/>
  <c r="AC823" i="1" s="1"/>
  <c r="AE823" i="1"/>
  <c r="AP823" i="1" s="1"/>
  <c r="AA825" i="1"/>
  <c r="Z825" i="1" s="1"/>
  <c r="AC825" i="1" s="1"/>
  <c r="AE825" i="1"/>
  <c r="AP825" i="1" s="1"/>
  <c r="AA789" i="1"/>
  <c r="Z789" i="1" s="1"/>
  <c r="AC789" i="1" s="1"/>
  <c r="AE789" i="1"/>
  <c r="AP789" i="1" s="1"/>
  <c r="AA828" i="1"/>
  <c r="Z828" i="1" s="1"/>
  <c r="AC828" i="1" s="1"/>
  <c r="AE828" i="1"/>
  <c r="AP828" i="1" s="1"/>
  <c r="AA791" i="1"/>
  <c r="Z791" i="1" s="1"/>
  <c r="AC791" i="1" s="1"/>
  <c r="AE791" i="1"/>
  <c r="AP791" i="1" s="1"/>
  <c r="AA793" i="1"/>
  <c r="Z793" i="1" s="1"/>
  <c r="AC793" i="1" s="1"/>
  <c r="AE793" i="1"/>
  <c r="AP793" i="1" s="1"/>
  <c r="AA795" i="1"/>
  <c r="Z795" i="1" s="1"/>
  <c r="AC795" i="1" s="1"/>
  <c r="AE795" i="1"/>
  <c r="AP795" i="1" s="1"/>
  <c r="AA798" i="1"/>
  <c r="Z798" i="1" s="1"/>
  <c r="AC798" i="1" s="1"/>
  <c r="AE798" i="1"/>
  <c r="AP798" i="1" s="1"/>
  <c r="AA800" i="1"/>
  <c r="Z800" i="1" s="1"/>
  <c r="AC800" i="1" s="1"/>
  <c r="AE800" i="1"/>
  <c r="AP800" i="1" s="1"/>
  <c r="AA802" i="1"/>
  <c r="Z802" i="1" s="1"/>
  <c r="AC802" i="1" s="1"/>
  <c r="AE802" i="1"/>
  <c r="AP802" i="1" s="1"/>
  <c r="AA804" i="1"/>
  <c r="Z804" i="1" s="1"/>
  <c r="AC804" i="1" s="1"/>
  <c r="AE804" i="1"/>
  <c r="AP804" i="1" s="1"/>
  <c r="AA806" i="1"/>
  <c r="Z806" i="1" s="1"/>
  <c r="AC806" i="1" s="1"/>
  <c r="AE806" i="1"/>
  <c r="AP806" i="1" s="1"/>
  <c r="AA808" i="1"/>
  <c r="Z808" i="1" s="1"/>
  <c r="AC808" i="1" s="1"/>
  <c r="AE808" i="1"/>
  <c r="AP808" i="1" s="1"/>
  <c r="AA810" i="1"/>
  <c r="Z810" i="1" s="1"/>
  <c r="AC810" i="1" s="1"/>
  <c r="AE810" i="1"/>
  <c r="AP810" i="1" s="1"/>
  <c r="AA812" i="1"/>
  <c r="Z812" i="1" s="1"/>
  <c r="AC812" i="1" s="1"/>
  <c r="AE812" i="1"/>
  <c r="AP812" i="1" s="1"/>
  <c r="AA814" i="1"/>
  <c r="Z814" i="1" s="1"/>
  <c r="AC814" i="1" s="1"/>
  <c r="AE814" i="1"/>
  <c r="AP814" i="1" s="1"/>
  <c r="AA818" i="1"/>
  <c r="Z818" i="1" s="1"/>
  <c r="AC818" i="1" s="1"/>
  <c r="AE818" i="1"/>
  <c r="AP818" i="1" s="1"/>
  <c r="AA820" i="1"/>
  <c r="Z820" i="1" s="1"/>
  <c r="AC820" i="1" s="1"/>
  <c r="AE820" i="1"/>
  <c r="AP820" i="1" s="1"/>
  <c r="AA830" i="1"/>
  <c r="Z830" i="1" s="1"/>
  <c r="AC830" i="1" s="1"/>
  <c r="AE830" i="1"/>
  <c r="AP830" i="1" s="1"/>
  <c r="AA832" i="1"/>
  <c r="Z832" i="1" s="1"/>
  <c r="AC832" i="1" s="1"/>
  <c r="AE832" i="1"/>
  <c r="AP832" i="1" s="1"/>
  <c r="AA834" i="1"/>
  <c r="Z834" i="1" s="1"/>
  <c r="AC834" i="1" s="1"/>
  <c r="AE834" i="1"/>
  <c r="AP834" i="1" s="1"/>
  <c r="AA836" i="1"/>
  <c r="Z836" i="1" s="1"/>
  <c r="AC836" i="1" s="1"/>
  <c r="AE836" i="1"/>
  <c r="AP836" i="1" s="1"/>
  <c r="AA841" i="1"/>
  <c r="Z841" i="1" s="1"/>
  <c r="AC841" i="1" s="1"/>
  <c r="AE841" i="1"/>
  <c r="AP841" i="1" s="1"/>
  <c r="AA843" i="1"/>
  <c r="Z843" i="1" s="1"/>
  <c r="AC843" i="1" s="1"/>
  <c r="AE843" i="1"/>
  <c r="AP843" i="1" s="1"/>
  <c r="AA845" i="1"/>
  <c r="Z845" i="1" s="1"/>
  <c r="AC845" i="1" s="1"/>
  <c r="AE845" i="1"/>
  <c r="AP845" i="1" s="1"/>
  <c r="AA849" i="1"/>
  <c r="Z849" i="1" s="1"/>
  <c r="AC849" i="1" s="1"/>
  <c r="AE849" i="1"/>
  <c r="AP849" i="1" s="1"/>
  <c r="AA851" i="1"/>
  <c r="Z851" i="1" s="1"/>
  <c r="AC851" i="1" s="1"/>
  <c r="AE851" i="1"/>
  <c r="AP851" i="1" s="1"/>
  <c r="AA853" i="1"/>
  <c r="Z853" i="1" s="1"/>
  <c r="AC853" i="1" s="1"/>
  <c r="AE853" i="1"/>
  <c r="AP853" i="1" s="1"/>
  <c r="AA855" i="1"/>
  <c r="Z855" i="1" s="1"/>
  <c r="AC855" i="1" s="1"/>
  <c r="AE855" i="1"/>
  <c r="AP855" i="1" s="1"/>
  <c r="AA857" i="1"/>
  <c r="Z857" i="1" s="1"/>
  <c r="AC857" i="1" s="1"/>
  <c r="AE857" i="1"/>
  <c r="AP857" i="1" s="1"/>
  <c r="AA859" i="1"/>
  <c r="Z859" i="1" s="1"/>
  <c r="AC859" i="1" s="1"/>
  <c r="AE859" i="1"/>
  <c r="AP859" i="1" s="1"/>
  <c r="AA861" i="1"/>
  <c r="Z861" i="1" s="1"/>
  <c r="AC861" i="1" s="1"/>
  <c r="AE861" i="1"/>
  <c r="AP861" i="1" s="1"/>
  <c r="AA865" i="1"/>
  <c r="Z865" i="1" s="1"/>
  <c r="AC865" i="1" s="1"/>
  <c r="AE865" i="1"/>
  <c r="AP865" i="1" s="1"/>
  <c r="AA867" i="1"/>
  <c r="Z867" i="1" s="1"/>
  <c r="AC867" i="1" s="1"/>
  <c r="AE867" i="1"/>
  <c r="AP867" i="1" s="1"/>
  <c r="AA869" i="1"/>
  <c r="Z869" i="1" s="1"/>
  <c r="AC869" i="1" s="1"/>
  <c r="AE869" i="1"/>
  <c r="AP869" i="1" s="1"/>
  <c r="AA873" i="1"/>
  <c r="Z873" i="1" s="1"/>
  <c r="AC873" i="1" s="1"/>
  <c r="AE873" i="1"/>
  <c r="AP873" i="1" s="1"/>
  <c r="AA875" i="1"/>
  <c r="Z875" i="1" s="1"/>
  <c r="AC875" i="1" s="1"/>
  <c r="AE875" i="1"/>
  <c r="AP875" i="1" s="1"/>
  <c r="AA877" i="1"/>
  <c r="Z877" i="1" s="1"/>
  <c r="AC877" i="1" s="1"/>
  <c r="AE877" i="1"/>
  <c r="AP877" i="1" s="1"/>
  <c r="AA881" i="1"/>
  <c r="Z881" i="1" s="1"/>
  <c r="AC881" i="1" s="1"/>
  <c r="AE881" i="1"/>
  <c r="AP881" i="1" s="1"/>
  <c r="AA883" i="1"/>
  <c r="Z883" i="1" s="1"/>
  <c r="AC883" i="1" s="1"/>
  <c r="AE883" i="1"/>
  <c r="AP883" i="1" s="1"/>
  <c r="AA885" i="1"/>
  <c r="Z885" i="1" s="1"/>
  <c r="AC885" i="1" s="1"/>
  <c r="AE885" i="1"/>
  <c r="AP885" i="1" s="1"/>
  <c r="AA887" i="1"/>
  <c r="Z887" i="1" s="1"/>
  <c r="AC887" i="1" s="1"/>
  <c r="AE887" i="1"/>
  <c r="AP887" i="1" s="1"/>
  <c r="AA889" i="1"/>
  <c r="Z889" i="1" s="1"/>
  <c r="AC889" i="1" s="1"/>
  <c r="AE889" i="1"/>
  <c r="AP889" i="1" s="1"/>
  <c r="AA891" i="1"/>
  <c r="Z891" i="1" s="1"/>
  <c r="AC891" i="1" s="1"/>
  <c r="AE891" i="1"/>
  <c r="AP891" i="1" s="1"/>
  <c r="AA893" i="1"/>
  <c r="Z893" i="1" s="1"/>
  <c r="AC893" i="1" s="1"/>
  <c r="AE893" i="1"/>
  <c r="AP893" i="1" s="1"/>
  <c r="AA895" i="1"/>
  <c r="Z895" i="1" s="1"/>
  <c r="AC895" i="1" s="1"/>
  <c r="AE895" i="1"/>
  <c r="AP895" i="1" s="1"/>
  <c r="AA897" i="1"/>
  <c r="Z897" i="1" s="1"/>
  <c r="AC897" i="1" s="1"/>
  <c r="AE897" i="1"/>
  <c r="AP897" i="1" s="1"/>
  <c r="AA899" i="1"/>
  <c r="Z899" i="1" s="1"/>
  <c r="AC899" i="1" s="1"/>
  <c r="AE899" i="1"/>
  <c r="AP899" i="1" s="1"/>
  <c r="AA901" i="1"/>
  <c r="Z901" i="1" s="1"/>
  <c r="AC901" i="1" s="1"/>
  <c r="AE901" i="1"/>
  <c r="AP901" i="1" s="1"/>
  <c r="AA903" i="1"/>
  <c r="Z903" i="1" s="1"/>
  <c r="AC903" i="1" s="1"/>
  <c r="AE903" i="1"/>
  <c r="AP903" i="1" s="1"/>
  <c r="AA905" i="1"/>
  <c r="Z905" i="1" s="1"/>
  <c r="AC905" i="1" s="1"/>
  <c r="AE905" i="1"/>
  <c r="AP905" i="1" s="1"/>
  <c r="AA907" i="1"/>
  <c r="Z907" i="1" s="1"/>
  <c r="AC907" i="1" s="1"/>
  <c r="AE907" i="1"/>
  <c r="AP907" i="1" s="1"/>
  <c r="AA909" i="1"/>
  <c r="Z909" i="1" s="1"/>
  <c r="AC909" i="1" s="1"/>
  <c r="AE909" i="1"/>
  <c r="AP909" i="1" s="1"/>
  <c r="AA911" i="1"/>
  <c r="Z911" i="1" s="1"/>
  <c r="AC911" i="1" s="1"/>
  <c r="AE911" i="1"/>
  <c r="AP911" i="1" s="1"/>
  <c r="AA913" i="1"/>
  <c r="Z913" i="1" s="1"/>
  <c r="AC913" i="1" s="1"/>
  <c r="AE913" i="1"/>
  <c r="AP913" i="1" s="1"/>
  <c r="AA915" i="1"/>
  <c r="Z915" i="1" s="1"/>
  <c r="AC915" i="1" s="1"/>
  <c r="AE915" i="1"/>
  <c r="AP915" i="1" s="1"/>
  <c r="AA917" i="1"/>
  <c r="Z917" i="1" s="1"/>
  <c r="AC917" i="1" s="1"/>
  <c r="AE917" i="1"/>
  <c r="AP917" i="1" s="1"/>
  <c r="AA919" i="1"/>
  <c r="Z919" i="1" s="1"/>
  <c r="AC919" i="1" s="1"/>
  <c r="AE919" i="1"/>
  <c r="AP919" i="1" s="1"/>
  <c r="AA921" i="1"/>
  <c r="Z921" i="1" s="1"/>
  <c r="AC921" i="1" s="1"/>
  <c r="AE921" i="1"/>
  <c r="AP921" i="1" s="1"/>
  <c r="AA923" i="1"/>
  <c r="Z923" i="1" s="1"/>
  <c r="AC923" i="1" s="1"/>
  <c r="AE923" i="1"/>
  <c r="AP923" i="1" s="1"/>
  <c r="AA925" i="1"/>
  <c r="Z925" i="1" s="1"/>
  <c r="AC925" i="1" s="1"/>
  <c r="AE925" i="1"/>
  <c r="AP925" i="1" s="1"/>
  <c r="AA927" i="1"/>
  <c r="Z927" i="1" s="1"/>
  <c r="AC927" i="1" s="1"/>
  <c r="AE927" i="1"/>
  <c r="AP927" i="1" s="1"/>
  <c r="AA929" i="1"/>
  <c r="Z929" i="1" s="1"/>
  <c r="AC929" i="1" s="1"/>
  <c r="AE929" i="1"/>
  <c r="AP929" i="1" s="1"/>
  <c r="AA931" i="1"/>
  <c r="Z931" i="1" s="1"/>
  <c r="AC931" i="1" s="1"/>
  <c r="AE931" i="1"/>
  <c r="AP931" i="1" s="1"/>
  <c r="AA933" i="1"/>
  <c r="Z933" i="1" s="1"/>
  <c r="AC933" i="1" s="1"/>
  <c r="AE933" i="1"/>
  <c r="AP933" i="1" s="1"/>
  <c r="AA935" i="1"/>
  <c r="Z935" i="1" s="1"/>
  <c r="AC935" i="1" s="1"/>
  <c r="AE935" i="1"/>
  <c r="AP935" i="1" s="1"/>
  <c r="AA937" i="1"/>
  <c r="Z937" i="1" s="1"/>
  <c r="AC937" i="1" s="1"/>
  <c r="AE937" i="1"/>
  <c r="AP937" i="1" s="1"/>
  <c r="AA939" i="1"/>
  <c r="Z939" i="1" s="1"/>
  <c r="AC939" i="1" s="1"/>
  <c r="AE939" i="1"/>
  <c r="AP939" i="1" s="1"/>
  <c r="AA941" i="1"/>
  <c r="Z941" i="1" s="1"/>
  <c r="AC941" i="1" s="1"/>
  <c r="AE941" i="1"/>
  <c r="AP941" i="1" s="1"/>
  <c r="AA943" i="1"/>
  <c r="Z943" i="1" s="1"/>
  <c r="AC943" i="1" s="1"/>
  <c r="AE943" i="1"/>
  <c r="AP943" i="1" s="1"/>
  <c r="AA945" i="1"/>
  <c r="Z945" i="1" s="1"/>
  <c r="AC945" i="1" s="1"/>
  <c r="AE945" i="1"/>
  <c r="AP945" i="1" s="1"/>
  <c r="AA947" i="1"/>
  <c r="Z947" i="1" s="1"/>
  <c r="AC947" i="1" s="1"/>
  <c r="AE947" i="1"/>
  <c r="AP947" i="1" s="1"/>
  <c r="AA949" i="1"/>
  <c r="Z949" i="1" s="1"/>
  <c r="AC949" i="1" s="1"/>
  <c r="AE949" i="1"/>
  <c r="AP949" i="1" s="1"/>
  <c r="AA951" i="1"/>
  <c r="Z951" i="1" s="1"/>
  <c r="AC951" i="1" s="1"/>
  <c r="AE951" i="1"/>
  <c r="AP951" i="1" s="1"/>
  <c r="AA953" i="1"/>
  <c r="Z953" i="1" s="1"/>
  <c r="AC953" i="1" s="1"/>
  <c r="AE953" i="1"/>
  <c r="AP953" i="1" s="1"/>
  <c r="AA955" i="1"/>
  <c r="Z955" i="1" s="1"/>
  <c r="AC955" i="1" s="1"/>
  <c r="AE955" i="1"/>
  <c r="AP955" i="1" s="1"/>
  <c r="AA957" i="1"/>
  <c r="Z957" i="1" s="1"/>
  <c r="AC957" i="1" s="1"/>
  <c r="AE957" i="1"/>
  <c r="AP957" i="1" s="1"/>
  <c r="AA959" i="1"/>
  <c r="Z959" i="1" s="1"/>
  <c r="AC959" i="1" s="1"/>
  <c r="AE959" i="1"/>
  <c r="AP959" i="1" s="1"/>
  <c r="AA961" i="1"/>
  <c r="Z961" i="1" s="1"/>
  <c r="AC961" i="1" s="1"/>
  <c r="AE961" i="1"/>
  <c r="AP961" i="1" s="1"/>
  <c r="AA963" i="1"/>
  <c r="Z963" i="1" s="1"/>
  <c r="AC963" i="1" s="1"/>
  <c r="AE963" i="1"/>
  <c r="AP963" i="1" s="1"/>
  <c r="AA965" i="1"/>
  <c r="Z965" i="1" s="1"/>
  <c r="AC965" i="1" s="1"/>
  <c r="AE965" i="1"/>
  <c r="AP965" i="1" s="1"/>
  <c r="AA967" i="1"/>
  <c r="Z967" i="1" s="1"/>
  <c r="AC967" i="1" s="1"/>
  <c r="AE967" i="1"/>
  <c r="AP967" i="1" s="1"/>
  <c r="AA969" i="1"/>
  <c r="Z969" i="1" s="1"/>
  <c r="AC969" i="1" s="1"/>
  <c r="AE969" i="1"/>
  <c r="AP969" i="1" s="1"/>
  <c r="AA971" i="1"/>
  <c r="Z971" i="1" s="1"/>
  <c r="AC971" i="1" s="1"/>
  <c r="AE971" i="1"/>
  <c r="AP971" i="1" s="1"/>
  <c r="AA973" i="1"/>
  <c r="Z973" i="1" s="1"/>
  <c r="AC973" i="1" s="1"/>
  <c r="AE973" i="1"/>
  <c r="AP973" i="1" s="1"/>
  <c r="AA975" i="1"/>
  <c r="Z975" i="1" s="1"/>
  <c r="AC975" i="1" s="1"/>
  <c r="AE975" i="1"/>
  <c r="AP975" i="1" s="1"/>
  <c r="AA977" i="1"/>
  <c r="Z977" i="1" s="1"/>
  <c r="AC977" i="1" s="1"/>
  <c r="AE977" i="1"/>
  <c r="AP977" i="1" s="1"/>
  <c r="AA979" i="1"/>
  <c r="Z979" i="1" s="1"/>
  <c r="AC979" i="1" s="1"/>
  <c r="AE979" i="1"/>
  <c r="AP979" i="1" s="1"/>
  <c r="AA981" i="1"/>
  <c r="Z981" i="1" s="1"/>
  <c r="AC981" i="1" s="1"/>
  <c r="AE981" i="1"/>
  <c r="AP981" i="1" s="1"/>
  <c r="AA983" i="1"/>
  <c r="Z983" i="1" s="1"/>
  <c r="AC983" i="1" s="1"/>
  <c r="AE983" i="1"/>
  <c r="AP983" i="1" s="1"/>
  <c r="AA985" i="1"/>
  <c r="Z985" i="1" s="1"/>
  <c r="AC985" i="1" s="1"/>
  <c r="AE985" i="1"/>
  <c r="AP985" i="1" s="1"/>
  <c r="AA987" i="1"/>
  <c r="Z987" i="1" s="1"/>
  <c r="AC987" i="1" s="1"/>
  <c r="AE987" i="1"/>
  <c r="AP987" i="1" s="1"/>
  <c r="AA989" i="1"/>
  <c r="Z989" i="1" s="1"/>
  <c r="AC989" i="1" s="1"/>
  <c r="AE989" i="1"/>
  <c r="AP989" i="1" s="1"/>
  <c r="AA991" i="1"/>
  <c r="Z991" i="1" s="1"/>
  <c r="AC991" i="1" s="1"/>
  <c r="AE991" i="1"/>
  <c r="AP991" i="1" s="1"/>
  <c r="AA993" i="1"/>
  <c r="Z993" i="1" s="1"/>
  <c r="AC993" i="1" s="1"/>
  <c r="AE993" i="1"/>
  <c r="AP993" i="1" s="1"/>
  <c r="AA995" i="1"/>
  <c r="Z995" i="1" s="1"/>
  <c r="AC995" i="1" s="1"/>
  <c r="AE995" i="1"/>
  <c r="AP995" i="1" s="1"/>
  <c r="AA997" i="1"/>
  <c r="Z997" i="1" s="1"/>
  <c r="AC997" i="1" s="1"/>
  <c r="AE997" i="1"/>
  <c r="AP997" i="1" s="1"/>
  <c r="AA999" i="1"/>
  <c r="Z999" i="1" s="1"/>
  <c r="AC999" i="1" s="1"/>
  <c r="AE999" i="1"/>
  <c r="AP999" i="1" s="1"/>
  <c r="AA1001" i="1"/>
  <c r="Z1001" i="1" s="1"/>
  <c r="AC1001" i="1" s="1"/>
  <c r="AE1001" i="1"/>
  <c r="AP1001" i="1" s="1"/>
  <c r="AA1003" i="1"/>
  <c r="Z1003" i="1" s="1"/>
  <c r="AC1003" i="1" s="1"/>
  <c r="AE1003" i="1"/>
  <c r="AP1003" i="1" s="1"/>
  <c r="AA1005" i="1"/>
  <c r="Z1005" i="1" s="1"/>
  <c r="AC1005" i="1" s="1"/>
  <c r="AE1005" i="1"/>
  <c r="AP1005" i="1" s="1"/>
  <c r="AA1007" i="1"/>
  <c r="Z1007" i="1" s="1"/>
  <c r="AC1007" i="1" s="1"/>
  <c r="AE1007" i="1"/>
  <c r="AP1007" i="1" s="1"/>
  <c r="AA1009" i="1"/>
  <c r="Z1009" i="1" s="1"/>
  <c r="AC1009" i="1" s="1"/>
  <c r="AE1009" i="1"/>
  <c r="AP1009" i="1" s="1"/>
  <c r="AA1011" i="1"/>
  <c r="Z1011" i="1" s="1"/>
  <c r="AC1011" i="1" s="1"/>
  <c r="AE1011" i="1"/>
  <c r="AP1011" i="1" s="1"/>
  <c r="AA1013" i="1"/>
  <c r="Z1013" i="1" s="1"/>
  <c r="AC1013" i="1" s="1"/>
  <c r="AE1013" i="1"/>
  <c r="AP1013" i="1" s="1"/>
  <c r="AA1015" i="1"/>
  <c r="Z1015" i="1" s="1"/>
  <c r="AC1015" i="1" s="1"/>
  <c r="AE1015" i="1"/>
  <c r="AP1015" i="1" s="1"/>
  <c r="AA1017" i="1"/>
  <c r="Z1017" i="1" s="1"/>
  <c r="AC1017" i="1" s="1"/>
  <c r="AE1017" i="1"/>
  <c r="AP1017" i="1" s="1"/>
  <c r="AA1019" i="1"/>
  <c r="Z1019" i="1" s="1"/>
  <c r="AC1019" i="1" s="1"/>
  <c r="AE1019" i="1"/>
  <c r="AP1019" i="1" s="1"/>
  <c r="AA1021" i="1"/>
  <c r="Z1021" i="1" s="1"/>
  <c r="AC1021" i="1" s="1"/>
  <c r="AE1021" i="1"/>
  <c r="AP1021" i="1" s="1"/>
  <c r="AA1023" i="1"/>
  <c r="Z1023" i="1" s="1"/>
  <c r="AC1023" i="1" s="1"/>
  <c r="AE1023" i="1"/>
  <c r="AP1023" i="1" s="1"/>
  <c r="AA1025" i="1"/>
  <c r="Z1025" i="1" s="1"/>
  <c r="AC1025" i="1" s="1"/>
  <c r="AE1025" i="1"/>
  <c r="AP1025" i="1" s="1"/>
  <c r="AA1027" i="1"/>
  <c r="Z1027" i="1" s="1"/>
  <c r="AC1027" i="1" s="1"/>
  <c r="AE1027" i="1"/>
  <c r="AP1027" i="1" s="1"/>
  <c r="AA1029" i="1"/>
  <c r="Z1029" i="1" s="1"/>
  <c r="AC1029" i="1" s="1"/>
  <c r="AE1029" i="1"/>
  <c r="AP1029" i="1" s="1"/>
  <c r="AA1031" i="1"/>
  <c r="Z1031" i="1" s="1"/>
  <c r="AC1031" i="1" s="1"/>
  <c r="AE1031" i="1"/>
  <c r="AP1031" i="1" s="1"/>
  <c r="AA1033" i="1"/>
  <c r="Z1033" i="1" s="1"/>
  <c r="AC1033" i="1" s="1"/>
  <c r="AE1033" i="1"/>
  <c r="AP1033" i="1" s="1"/>
  <c r="AA221" i="1"/>
  <c r="Z221" i="1" s="1"/>
  <c r="AC221" i="1" s="1"/>
  <c r="AE221" i="1"/>
  <c r="AP221" i="1" s="1"/>
  <c r="AA283" i="1"/>
  <c r="Z283" i="1" s="1"/>
  <c r="AC283" i="1" s="1"/>
  <c r="AE283" i="1"/>
  <c r="AP283" i="1" s="1"/>
  <c r="AA348" i="1"/>
  <c r="Z348" i="1" s="1"/>
  <c r="AC348" i="1" s="1"/>
  <c r="AE348" i="1"/>
  <c r="AP348" i="1" s="1"/>
  <c r="AA413" i="1"/>
  <c r="Z413" i="1" s="1"/>
  <c r="AC413" i="1" s="1"/>
  <c r="AE413" i="1"/>
  <c r="AP413" i="1" s="1"/>
  <c r="AA478" i="1"/>
  <c r="Z478" i="1" s="1"/>
  <c r="AC478" i="1" s="1"/>
  <c r="AE478" i="1"/>
  <c r="AP478" i="1" s="1"/>
  <c r="AA517" i="1"/>
  <c r="Z517" i="1" s="1"/>
  <c r="AC517" i="1" s="1"/>
  <c r="AE517" i="1"/>
  <c r="AP517" i="1" s="1"/>
  <c r="AA549" i="1"/>
  <c r="Z549" i="1" s="1"/>
  <c r="AC549" i="1" s="1"/>
  <c r="AE549" i="1"/>
  <c r="AP549" i="1" s="1"/>
  <c r="AA577" i="1"/>
  <c r="Z577" i="1" s="1"/>
  <c r="AC577" i="1" s="1"/>
  <c r="AE577" i="1"/>
  <c r="AP577" i="1" s="1"/>
  <c r="AA609" i="1"/>
  <c r="Z609" i="1" s="1"/>
  <c r="AC609" i="1" s="1"/>
  <c r="AE609" i="1"/>
  <c r="AP609" i="1" s="1"/>
  <c r="AA641" i="1"/>
  <c r="Z641" i="1" s="1"/>
  <c r="AC641" i="1" s="1"/>
  <c r="AE641" i="1"/>
  <c r="AP641" i="1" s="1"/>
  <c r="AA671" i="1"/>
  <c r="Z671" i="1" s="1"/>
  <c r="AC671" i="1" s="1"/>
  <c r="AE671" i="1"/>
  <c r="AP671" i="1" s="1"/>
  <c r="AA705" i="1"/>
  <c r="Z705" i="1" s="1"/>
  <c r="AC705" i="1" s="1"/>
  <c r="AE705" i="1"/>
  <c r="AP705" i="1" s="1"/>
  <c r="AA735" i="1"/>
  <c r="Z735" i="1" s="1"/>
  <c r="AC735" i="1" s="1"/>
  <c r="AE735" i="1"/>
  <c r="AP735" i="1" s="1"/>
  <c r="AA751" i="1"/>
  <c r="Z751" i="1" s="1"/>
  <c r="AC751" i="1" s="1"/>
  <c r="AE751" i="1"/>
  <c r="AP751" i="1" s="1"/>
  <c r="AA767" i="1"/>
  <c r="Z767" i="1" s="1"/>
  <c r="AC767" i="1" s="1"/>
  <c r="AE767" i="1"/>
  <c r="AP767" i="1" s="1"/>
  <c r="AA783" i="1"/>
  <c r="Z783" i="1" s="1"/>
  <c r="AC783" i="1" s="1"/>
  <c r="AE783" i="1"/>
  <c r="AP783" i="1" s="1"/>
  <c r="AA790" i="1"/>
  <c r="Z790" i="1" s="1"/>
  <c r="AC790" i="1" s="1"/>
  <c r="AE790" i="1"/>
  <c r="AP790" i="1" s="1"/>
  <c r="AA807" i="1"/>
  <c r="Z807" i="1" s="1"/>
  <c r="AC807" i="1" s="1"/>
  <c r="AE807" i="1"/>
  <c r="AP807" i="1" s="1"/>
  <c r="AA833" i="1"/>
  <c r="Z833" i="1" s="1"/>
  <c r="AC833" i="1" s="1"/>
  <c r="AE833" i="1"/>
  <c r="AP833" i="1" s="1"/>
  <c r="AA848" i="1"/>
  <c r="Z848" i="1" s="1"/>
  <c r="AC848" i="1" s="1"/>
  <c r="AE848" i="1"/>
  <c r="AP848" i="1" s="1"/>
  <c r="AA864" i="1"/>
  <c r="Z864" i="1" s="1"/>
  <c r="AC864" i="1" s="1"/>
  <c r="AE864" i="1"/>
  <c r="AP864" i="1" s="1"/>
  <c r="AA880" i="1"/>
  <c r="Z880" i="1" s="1"/>
  <c r="AC880" i="1" s="1"/>
  <c r="AE880" i="1"/>
  <c r="AP880" i="1" s="1"/>
  <c r="AA896" i="1"/>
  <c r="Z896" i="1" s="1"/>
  <c r="AC896" i="1" s="1"/>
  <c r="AE896" i="1"/>
  <c r="AP896" i="1" s="1"/>
  <c r="AA912" i="1"/>
  <c r="Z912" i="1" s="1"/>
  <c r="AC912" i="1" s="1"/>
  <c r="AE912" i="1"/>
  <c r="AP912" i="1" s="1"/>
  <c r="AA928" i="1"/>
  <c r="Z928" i="1" s="1"/>
  <c r="AC928" i="1" s="1"/>
  <c r="AE928" i="1"/>
  <c r="AP928" i="1" s="1"/>
  <c r="AA5" i="1"/>
  <c r="Z5" i="1" s="1"/>
  <c r="AC5" i="1" s="1"/>
  <c r="AE5" i="1"/>
  <c r="AP5" i="1" s="1"/>
  <c r="AA7" i="1"/>
  <c r="Z7" i="1" s="1"/>
  <c r="AC7" i="1" s="1"/>
  <c r="AE7" i="1"/>
  <c r="AP7" i="1" s="1"/>
  <c r="AA9" i="1"/>
  <c r="Z9" i="1" s="1"/>
  <c r="AC9" i="1" s="1"/>
  <c r="AE9" i="1"/>
  <c r="AP9" i="1" s="1"/>
  <c r="AA11" i="1"/>
  <c r="Z11" i="1" s="1"/>
  <c r="AC11" i="1" s="1"/>
  <c r="AE11" i="1"/>
  <c r="AP11" i="1" s="1"/>
  <c r="AA13" i="1"/>
  <c r="Z13" i="1" s="1"/>
  <c r="AC13" i="1" s="1"/>
  <c r="AE13" i="1"/>
  <c r="AP13" i="1" s="1"/>
  <c r="AA15" i="1"/>
  <c r="Z15" i="1" s="1"/>
  <c r="AC15" i="1" s="1"/>
  <c r="AE15" i="1"/>
  <c r="AP15" i="1" s="1"/>
  <c r="AA17" i="1"/>
  <c r="Z17" i="1" s="1"/>
  <c r="AC17" i="1" s="1"/>
  <c r="AE17" i="1"/>
  <c r="AP17" i="1" s="1"/>
  <c r="AA19" i="1"/>
  <c r="Z19" i="1" s="1"/>
  <c r="AC19" i="1" s="1"/>
  <c r="AE19" i="1"/>
  <c r="AP19" i="1" s="1"/>
  <c r="AA22" i="1"/>
  <c r="Z22" i="1" s="1"/>
  <c r="AC22" i="1" s="1"/>
  <c r="AE22" i="1"/>
  <c r="AP22" i="1" s="1"/>
  <c r="AA23" i="1"/>
  <c r="Z23" i="1" s="1"/>
  <c r="AC23" i="1" s="1"/>
  <c r="AE23" i="1"/>
  <c r="AP23" i="1" s="1"/>
  <c r="AA25" i="1"/>
  <c r="Z25" i="1" s="1"/>
  <c r="AC25" i="1" s="1"/>
  <c r="AE25" i="1"/>
  <c r="AP25" i="1" s="1"/>
  <c r="AA27" i="1"/>
  <c r="Z27" i="1" s="1"/>
  <c r="AC27" i="1" s="1"/>
  <c r="AE27" i="1"/>
  <c r="AP27" i="1" s="1"/>
  <c r="AA29" i="1"/>
  <c r="Z29" i="1" s="1"/>
  <c r="AC29" i="1" s="1"/>
  <c r="AE29" i="1"/>
  <c r="AP29" i="1" s="1"/>
  <c r="AA161" i="1"/>
  <c r="Z161" i="1" s="1"/>
  <c r="AC161" i="1" s="1"/>
  <c r="AE161" i="1"/>
  <c r="AP161" i="1" s="1"/>
  <c r="AA34" i="1"/>
  <c r="Z34" i="1" s="1"/>
  <c r="AC34" i="1" s="1"/>
  <c r="AE34" i="1"/>
  <c r="AP34" i="1" s="1"/>
  <c r="AA36" i="1"/>
  <c r="Z36" i="1" s="1"/>
  <c r="AC36" i="1" s="1"/>
  <c r="AE36" i="1"/>
  <c r="AP36" i="1" s="1"/>
  <c r="AA363" i="1"/>
  <c r="Z363" i="1" s="1"/>
  <c r="AC363" i="1" s="1"/>
  <c r="AE363" i="1"/>
  <c r="AP363" i="1" s="1"/>
  <c r="AA39" i="1"/>
  <c r="Z39" i="1" s="1"/>
  <c r="AC39" i="1" s="1"/>
  <c r="AE39" i="1"/>
  <c r="AP39" i="1" s="1"/>
  <c r="AA219" i="1"/>
  <c r="Z219" i="1" s="1"/>
  <c r="AC219" i="1" s="1"/>
  <c r="AE219" i="1"/>
  <c r="AP219" i="1" s="1"/>
  <c r="AA41" i="1"/>
  <c r="Z41" i="1" s="1"/>
  <c r="AC41" i="1" s="1"/>
  <c r="AE41" i="1"/>
  <c r="AP41" i="1" s="1"/>
  <c r="AA43" i="1"/>
  <c r="Z43" i="1" s="1"/>
  <c r="AC43" i="1" s="1"/>
  <c r="AE43" i="1"/>
  <c r="AP43" i="1" s="1"/>
  <c r="AA45" i="1"/>
  <c r="Z45" i="1" s="1"/>
  <c r="AC45" i="1" s="1"/>
  <c r="AE45" i="1"/>
  <c r="AP45" i="1" s="1"/>
  <c r="AA47" i="1"/>
  <c r="Z47" i="1" s="1"/>
  <c r="AC47" i="1" s="1"/>
  <c r="AE47" i="1"/>
  <c r="AP47" i="1" s="1"/>
  <c r="AA49" i="1"/>
  <c r="Z49" i="1" s="1"/>
  <c r="AC49" i="1" s="1"/>
  <c r="AE49" i="1"/>
  <c r="AP49" i="1" s="1"/>
  <c r="AA51" i="1"/>
  <c r="Z51" i="1" s="1"/>
  <c r="AC51" i="1" s="1"/>
  <c r="AE51" i="1"/>
  <c r="AP51" i="1" s="1"/>
  <c r="AA53" i="1"/>
  <c r="Z53" i="1" s="1"/>
  <c r="AC53" i="1" s="1"/>
  <c r="AE53" i="1"/>
  <c r="AP53" i="1" s="1"/>
  <c r="AA55" i="1"/>
  <c r="Z55" i="1" s="1"/>
  <c r="AC55" i="1" s="1"/>
  <c r="AE55" i="1"/>
  <c r="AP55" i="1" s="1"/>
  <c r="AA57" i="1"/>
  <c r="Z57" i="1" s="1"/>
  <c r="AC57" i="1" s="1"/>
  <c r="AE57" i="1"/>
  <c r="AP57" i="1" s="1"/>
  <c r="AA59" i="1"/>
  <c r="Z59" i="1" s="1"/>
  <c r="AC59" i="1" s="1"/>
  <c r="AE59" i="1"/>
  <c r="AP59" i="1" s="1"/>
  <c r="AA61" i="1"/>
  <c r="Z61" i="1" s="1"/>
  <c r="AC61" i="1" s="1"/>
  <c r="AE61" i="1"/>
  <c r="AP61" i="1" s="1"/>
  <c r="AA63" i="1"/>
  <c r="Z63" i="1" s="1"/>
  <c r="AC63" i="1" s="1"/>
  <c r="AE63" i="1"/>
  <c r="AP63" i="1" s="1"/>
  <c r="AA65" i="1"/>
  <c r="Z65" i="1" s="1"/>
  <c r="AC65" i="1" s="1"/>
  <c r="AE65" i="1"/>
  <c r="AP65" i="1" s="1"/>
  <c r="AA67" i="1"/>
  <c r="Z67" i="1" s="1"/>
  <c r="AC67" i="1" s="1"/>
  <c r="AE67" i="1"/>
  <c r="AP67" i="1" s="1"/>
  <c r="AA71" i="1"/>
  <c r="Z71" i="1" s="1"/>
  <c r="AC71" i="1" s="1"/>
  <c r="AE71" i="1"/>
  <c r="AP71" i="1" s="1"/>
  <c r="AA73" i="1"/>
  <c r="Z73" i="1" s="1"/>
  <c r="AC73" i="1" s="1"/>
  <c r="AE73" i="1"/>
  <c r="AP73" i="1" s="1"/>
  <c r="AA75" i="1"/>
  <c r="Z75" i="1" s="1"/>
  <c r="AC75" i="1" s="1"/>
  <c r="AE75" i="1"/>
  <c r="AP75" i="1" s="1"/>
  <c r="AA77" i="1"/>
  <c r="Z77" i="1" s="1"/>
  <c r="AC77" i="1" s="1"/>
  <c r="AE77" i="1"/>
  <c r="AP77" i="1" s="1"/>
  <c r="AA79" i="1"/>
  <c r="Z79" i="1" s="1"/>
  <c r="AC79" i="1" s="1"/>
  <c r="AE79" i="1"/>
  <c r="AP79" i="1" s="1"/>
  <c r="AA81" i="1"/>
  <c r="Z81" i="1" s="1"/>
  <c r="AC81" i="1" s="1"/>
  <c r="AE81" i="1"/>
  <c r="AP81" i="1" s="1"/>
  <c r="AA83" i="1"/>
  <c r="Z83" i="1" s="1"/>
  <c r="AC83" i="1" s="1"/>
  <c r="AE83" i="1"/>
  <c r="AP83" i="1" s="1"/>
  <c r="AA85" i="1"/>
  <c r="Z85" i="1" s="1"/>
  <c r="AC85" i="1" s="1"/>
  <c r="AE85" i="1"/>
  <c r="AP85" i="1" s="1"/>
  <c r="AA87" i="1"/>
  <c r="Z87" i="1" s="1"/>
  <c r="AC87" i="1" s="1"/>
  <c r="AE87" i="1"/>
  <c r="AP87" i="1" s="1"/>
  <c r="AA89" i="1"/>
  <c r="Z89" i="1" s="1"/>
  <c r="AC89" i="1" s="1"/>
  <c r="AE89" i="1"/>
  <c r="AP89" i="1" s="1"/>
  <c r="AA91" i="1"/>
  <c r="Z91" i="1" s="1"/>
  <c r="AC91" i="1" s="1"/>
  <c r="AE91" i="1"/>
  <c r="AP91" i="1" s="1"/>
  <c r="AA94" i="1"/>
  <c r="Z94" i="1" s="1"/>
  <c r="AC94" i="1" s="1"/>
  <c r="AE94" i="1"/>
  <c r="AP94" i="1" s="1"/>
  <c r="AA96" i="1"/>
  <c r="Z96" i="1" s="1"/>
  <c r="AC96" i="1" s="1"/>
  <c r="AE96" i="1"/>
  <c r="AP96" i="1" s="1"/>
  <c r="AA98" i="1"/>
  <c r="Z98" i="1" s="1"/>
  <c r="AC98" i="1" s="1"/>
  <c r="AE98" i="1"/>
  <c r="AP98" i="1" s="1"/>
  <c r="AA99" i="1"/>
  <c r="Z99" i="1" s="1"/>
  <c r="AC99" i="1" s="1"/>
  <c r="AE99" i="1"/>
  <c r="AP99" i="1" s="1"/>
  <c r="AA101" i="1"/>
  <c r="Z101" i="1" s="1"/>
  <c r="AC101" i="1" s="1"/>
  <c r="AE101" i="1"/>
  <c r="AP101" i="1" s="1"/>
  <c r="AA103" i="1"/>
  <c r="Z103" i="1" s="1"/>
  <c r="AC103" i="1" s="1"/>
  <c r="AE103" i="1"/>
  <c r="AP103" i="1" s="1"/>
  <c r="AA341" i="1"/>
  <c r="Z341" i="1" s="1"/>
  <c r="AC341" i="1" s="1"/>
  <c r="AE341" i="1"/>
  <c r="AP341" i="1" s="1"/>
  <c r="AA106" i="1"/>
  <c r="Z106" i="1" s="1"/>
  <c r="AC106" i="1" s="1"/>
  <c r="AE106" i="1"/>
  <c r="AP106" i="1" s="1"/>
  <c r="AA108" i="1"/>
  <c r="Z108" i="1" s="1"/>
  <c r="AC108" i="1" s="1"/>
  <c r="AE108" i="1"/>
  <c r="AP108" i="1" s="1"/>
  <c r="AA110" i="1"/>
  <c r="Z110" i="1" s="1"/>
  <c r="AC110" i="1" s="1"/>
  <c r="AE110" i="1"/>
  <c r="AP110" i="1" s="1"/>
  <c r="AA68" i="1"/>
  <c r="Z68" i="1" s="1"/>
  <c r="AC68" i="1" s="1"/>
  <c r="AE68" i="1"/>
  <c r="AP68" i="1" s="1"/>
  <c r="AA112" i="1"/>
  <c r="Z112" i="1" s="1"/>
  <c r="AC112" i="1" s="1"/>
  <c r="AE112" i="1"/>
  <c r="AP112" i="1" s="1"/>
  <c r="AA114" i="1"/>
  <c r="Z114" i="1" s="1"/>
  <c r="AC114" i="1" s="1"/>
  <c r="AE114" i="1"/>
  <c r="AP114" i="1" s="1"/>
  <c r="AA116" i="1"/>
  <c r="Z116" i="1" s="1"/>
  <c r="AC116" i="1" s="1"/>
  <c r="AE116" i="1"/>
  <c r="AP116" i="1" s="1"/>
  <c r="AA118" i="1"/>
  <c r="Z118" i="1" s="1"/>
  <c r="AC118" i="1" s="1"/>
  <c r="AE118" i="1"/>
  <c r="AP118" i="1" s="1"/>
  <c r="AA120" i="1"/>
  <c r="Z120" i="1" s="1"/>
  <c r="AC120" i="1" s="1"/>
  <c r="AE120" i="1"/>
  <c r="AP120" i="1" s="1"/>
  <c r="AA122" i="1"/>
  <c r="Z122" i="1" s="1"/>
  <c r="AC122" i="1" s="1"/>
  <c r="AE122" i="1"/>
  <c r="AP122" i="1" s="1"/>
  <c r="AA124" i="1"/>
  <c r="Z124" i="1" s="1"/>
  <c r="AC124" i="1" s="1"/>
  <c r="AE124" i="1"/>
  <c r="AP124" i="1" s="1"/>
  <c r="AA126" i="1"/>
  <c r="Z126" i="1" s="1"/>
  <c r="AC126" i="1" s="1"/>
  <c r="AE126" i="1"/>
  <c r="AP126" i="1" s="1"/>
  <c r="AA128" i="1"/>
  <c r="Z128" i="1" s="1"/>
  <c r="AC128" i="1" s="1"/>
  <c r="AE128" i="1"/>
  <c r="AP128" i="1" s="1"/>
  <c r="AA130" i="1"/>
  <c r="Z130" i="1" s="1"/>
  <c r="AC130" i="1" s="1"/>
  <c r="AE130" i="1"/>
  <c r="AP130" i="1" s="1"/>
  <c r="AA132" i="1"/>
  <c r="Z132" i="1" s="1"/>
  <c r="AC132" i="1" s="1"/>
  <c r="AE132" i="1"/>
  <c r="AP132" i="1" s="1"/>
  <c r="AA134" i="1"/>
  <c r="Z134" i="1" s="1"/>
  <c r="AC134" i="1" s="1"/>
  <c r="AE134" i="1"/>
  <c r="AP134" i="1" s="1"/>
  <c r="AA136" i="1"/>
  <c r="Z136" i="1" s="1"/>
  <c r="AC136" i="1" s="1"/>
  <c r="AE136" i="1"/>
  <c r="AP136" i="1" s="1"/>
  <c r="AA138" i="1"/>
  <c r="Z138" i="1" s="1"/>
  <c r="AC138" i="1" s="1"/>
  <c r="AE138" i="1"/>
  <c r="AP138" i="1" s="1"/>
  <c r="AA140" i="1"/>
  <c r="Z140" i="1" s="1"/>
  <c r="AC140" i="1" s="1"/>
  <c r="AE140" i="1"/>
  <c r="AP140" i="1" s="1"/>
  <c r="AA141" i="1"/>
  <c r="Z141" i="1" s="1"/>
  <c r="AC141" i="1" s="1"/>
  <c r="AE141" i="1"/>
  <c r="AP141" i="1" s="1"/>
  <c r="AA143" i="1"/>
  <c r="Z143" i="1" s="1"/>
  <c r="AC143" i="1" s="1"/>
  <c r="AE143" i="1"/>
  <c r="AP143" i="1" s="1"/>
  <c r="AA144" i="1"/>
  <c r="Z144" i="1" s="1"/>
  <c r="AC144" i="1" s="1"/>
  <c r="AE144" i="1"/>
  <c r="AP144" i="1" s="1"/>
  <c r="AA147" i="1"/>
  <c r="Z147" i="1" s="1"/>
  <c r="AC147" i="1" s="1"/>
  <c r="AE147" i="1"/>
  <c r="AP147" i="1" s="1"/>
  <c r="AA149" i="1"/>
  <c r="Z149" i="1" s="1"/>
  <c r="AC149" i="1" s="1"/>
  <c r="AE149" i="1"/>
  <c r="AP149" i="1" s="1"/>
  <c r="AA151" i="1"/>
  <c r="Z151" i="1" s="1"/>
  <c r="AC151" i="1" s="1"/>
  <c r="AE151" i="1"/>
  <c r="AP151" i="1" s="1"/>
  <c r="AA153" i="1"/>
  <c r="Z153" i="1" s="1"/>
  <c r="AC153" i="1" s="1"/>
  <c r="AE153" i="1"/>
  <c r="AP153" i="1" s="1"/>
  <c r="AA155" i="1"/>
  <c r="Z155" i="1" s="1"/>
  <c r="AC155" i="1" s="1"/>
  <c r="AE155" i="1"/>
  <c r="AP155" i="1" s="1"/>
  <c r="AA157" i="1"/>
  <c r="Z157" i="1" s="1"/>
  <c r="AC157" i="1" s="1"/>
  <c r="AE157" i="1"/>
  <c r="AP157" i="1" s="1"/>
  <c r="AA159" i="1"/>
  <c r="Z159" i="1" s="1"/>
  <c r="AC159" i="1" s="1"/>
  <c r="AE159" i="1"/>
  <c r="AP159" i="1" s="1"/>
  <c r="AA162" i="1"/>
  <c r="Z162" i="1" s="1"/>
  <c r="AC162" i="1" s="1"/>
  <c r="AE162" i="1"/>
  <c r="AP162" i="1" s="1"/>
  <c r="AA164" i="1"/>
  <c r="Z164" i="1" s="1"/>
  <c r="AC164" i="1" s="1"/>
  <c r="AE164" i="1"/>
  <c r="AP164" i="1" s="1"/>
  <c r="AA166" i="1"/>
  <c r="Z166" i="1" s="1"/>
  <c r="AC166" i="1" s="1"/>
  <c r="AE166" i="1"/>
  <c r="AP166" i="1" s="1"/>
  <c r="AA168" i="1"/>
  <c r="Z168" i="1" s="1"/>
  <c r="AC168" i="1" s="1"/>
  <c r="AE168" i="1"/>
  <c r="AP168" i="1" s="1"/>
  <c r="AA170" i="1"/>
  <c r="Z170" i="1" s="1"/>
  <c r="AC170" i="1" s="1"/>
  <c r="AE170" i="1"/>
  <c r="AP170" i="1" s="1"/>
  <c r="AA174" i="1"/>
  <c r="Z174" i="1" s="1"/>
  <c r="AC174" i="1" s="1"/>
  <c r="AE174" i="1"/>
  <c r="AP174" i="1" s="1"/>
  <c r="AA176" i="1"/>
  <c r="Z176" i="1" s="1"/>
  <c r="AC176" i="1" s="1"/>
  <c r="AE176" i="1"/>
  <c r="AP176" i="1" s="1"/>
  <c r="AA178" i="1"/>
  <c r="Z178" i="1" s="1"/>
  <c r="AC178" i="1" s="1"/>
  <c r="AE178" i="1"/>
  <c r="AP178" i="1" s="1"/>
  <c r="AA183" i="1"/>
  <c r="Z183" i="1" s="1"/>
  <c r="AC183" i="1" s="1"/>
  <c r="AE183" i="1"/>
  <c r="AP183" i="1" s="1"/>
  <c r="AA185" i="1"/>
  <c r="Z185" i="1" s="1"/>
  <c r="AC185" i="1" s="1"/>
  <c r="AE185" i="1"/>
  <c r="AP185" i="1" s="1"/>
  <c r="AA190" i="1"/>
  <c r="Z190" i="1" s="1"/>
  <c r="AC190" i="1" s="1"/>
  <c r="AE190" i="1"/>
  <c r="AP190" i="1" s="1"/>
  <c r="AA192" i="1"/>
  <c r="Z192" i="1" s="1"/>
  <c r="AC192" i="1" s="1"/>
  <c r="AE192" i="1"/>
  <c r="AP192" i="1" s="1"/>
  <c r="AA194" i="1"/>
  <c r="Z194" i="1" s="1"/>
  <c r="AC194" i="1" s="1"/>
  <c r="AE194" i="1"/>
  <c r="AP194" i="1" s="1"/>
  <c r="AA198" i="1"/>
  <c r="Z198" i="1" s="1"/>
  <c r="AC198" i="1" s="1"/>
  <c r="AE198" i="1"/>
  <c r="AP198" i="1" s="1"/>
  <c r="AA200" i="1"/>
  <c r="Z200" i="1" s="1"/>
  <c r="AC200" i="1" s="1"/>
  <c r="AE200" i="1"/>
  <c r="AP200" i="1" s="1"/>
  <c r="AA202" i="1"/>
  <c r="Z202" i="1" s="1"/>
  <c r="AC202" i="1" s="1"/>
  <c r="AE202" i="1"/>
  <c r="AP202" i="1" s="1"/>
  <c r="AA206" i="1"/>
  <c r="Z206" i="1" s="1"/>
  <c r="AC206" i="1" s="1"/>
  <c r="AE206" i="1"/>
  <c r="AP206" i="1" s="1"/>
  <c r="AA208" i="1"/>
  <c r="Z208" i="1" s="1"/>
  <c r="AC208" i="1" s="1"/>
  <c r="AE208" i="1"/>
  <c r="AP208" i="1" s="1"/>
  <c r="AA210" i="1"/>
  <c r="Z210" i="1" s="1"/>
  <c r="AC210" i="1" s="1"/>
  <c r="AE210" i="1"/>
  <c r="AP210" i="1" s="1"/>
  <c r="AA214" i="1"/>
  <c r="Z214" i="1" s="1"/>
  <c r="AC214" i="1" s="1"/>
  <c r="AE214" i="1"/>
  <c r="AP214" i="1" s="1"/>
  <c r="AA216" i="1"/>
  <c r="Z216" i="1" s="1"/>
  <c r="AC216" i="1" s="1"/>
  <c r="AE216" i="1"/>
  <c r="AP216" i="1" s="1"/>
  <c r="AA218" i="1"/>
  <c r="Z218" i="1" s="1"/>
  <c r="AC218" i="1" s="1"/>
  <c r="AE218" i="1"/>
  <c r="AP218" i="1" s="1"/>
  <c r="AA672" i="1"/>
  <c r="Z672" i="1" s="1"/>
  <c r="AC672" i="1" s="1"/>
  <c r="AE672" i="1"/>
  <c r="AP672" i="1" s="1"/>
  <c r="AA225" i="1"/>
  <c r="Z225" i="1" s="1"/>
  <c r="AC225" i="1" s="1"/>
  <c r="AE225" i="1"/>
  <c r="AP225" i="1" s="1"/>
  <c r="AA227" i="1"/>
  <c r="Z227" i="1" s="1"/>
  <c r="AC227" i="1" s="1"/>
  <c r="AE227" i="1"/>
  <c r="AP227" i="1" s="1"/>
  <c r="AA231" i="1"/>
  <c r="Z231" i="1" s="1"/>
  <c r="AC231" i="1" s="1"/>
  <c r="AE231" i="1"/>
  <c r="AP231" i="1" s="1"/>
  <c r="AA233" i="1"/>
  <c r="Z233" i="1" s="1"/>
  <c r="AC233" i="1" s="1"/>
  <c r="AE233" i="1"/>
  <c r="AP233" i="1" s="1"/>
  <c r="AA235" i="1"/>
  <c r="Z235" i="1" s="1"/>
  <c r="AC235" i="1" s="1"/>
  <c r="AE235" i="1"/>
  <c r="AP235" i="1" s="1"/>
  <c r="AA241" i="1"/>
  <c r="Z241" i="1" s="1"/>
  <c r="AC241" i="1" s="1"/>
  <c r="AE241" i="1"/>
  <c r="AP241" i="1" s="1"/>
  <c r="AA289" i="1"/>
  <c r="Z289" i="1" s="1"/>
  <c r="AC289" i="1" s="1"/>
  <c r="AE289" i="1"/>
  <c r="AP289" i="1" s="1"/>
  <c r="AA244" i="1"/>
  <c r="Z244" i="1" s="1"/>
  <c r="AC244" i="1" s="1"/>
  <c r="AE244" i="1"/>
  <c r="AP244" i="1" s="1"/>
  <c r="AA248" i="1"/>
  <c r="Z248" i="1" s="1"/>
  <c r="AC248" i="1" s="1"/>
  <c r="AE248" i="1"/>
  <c r="AP248" i="1" s="1"/>
  <c r="AA481" i="1"/>
  <c r="Z481" i="1" s="1"/>
  <c r="AC481" i="1" s="1"/>
  <c r="AE481" i="1"/>
  <c r="AP481" i="1" s="1"/>
  <c r="AA205" i="1"/>
  <c r="Z205" i="1" s="1"/>
  <c r="AC205" i="1" s="1"/>
  <c r="AE205" i="1"/>
  <c r="AP205" i="1" s="1"/>
  <c r="AA254" i="1"/>
  <c r="Z254" i="1" s="1"/>
  <c r="AC254" i="1" s="1"/>
  <c r="AE254" i="1"/>
  <c r="AP254" i="1" s="1"/>
  <c r="AA256" i="1"/>
  <c r="Z256" i="1" s="1"/>
  <c r="AC256" i="1" s="1"/>
  <c r="AE256" i="1"/>
  <c r="AP256" i="1" s="1"/>
  <c r="AA709" i="1"/>
  <c r="Z709" i="1" s="1"/>
  <c r="AC709" i="1" s="1"/>
  <c r="AE709" i="1"/>
  <c r="AP709" i="1" s="1"/>
  <c r="AA262" i="1"/>
  <c r="Z262" i="1" s="1"/>
  <c r="AC262" i="1" s="1"/>
  <c r="AE262" i="1"/>
  <c r="AP262" i="1" s="1"/>
  <c r="AA264" i="1"/>
  <c r="Z264" i="1" s="1"/>
  <c r="AC264" i="1" s="1"/>
  <c r="AE264" i="1"/>
  <c r="AP264" i="1" s="1"/>
  <c r="AA266" i="1"/>
  <c r="Z266" i="1" s="1"/>
  <c r="AC266" i="1" s="1"/>
  <c r="AE266" i="1"/>
  <c r="AP266" i="1" s="1"/>
  <c r="AA270" i="1"/>
  <c r="Z270" i="1" s="1"/>
  <c r="AC270" i="1" s="1"/>
  <c r="AE270" i="1"/>
  <c r="AP270" i="1" s="1"/>
  <c r="AA223" i="1"/>
  <c r="Z223" i="1" s="1"/>
  <c r="AC223" i="1" s="1"/>
  <c r="AE223" i="1"/>
  <c r="AP223" i="1" s="1"/>
  <c r="AA273" i="1"/>
  <c r="Z273" i="1" s="1"/>
  <c r="AC273" i="1" s="1"/>
  <c r="AE273" i="1"/>
  <c r="AP273" i="1" s="1"/>
  <c r="AA277" i="1"/>
  <c r="Z277" i="1" s="1"/>
  <c r="AC277" i="1" s="1"/>
  <c r="AE277" i="1"/>
  <c r="AP277" i="1" s="1"/>
  <c r="AA279" i="1"/>
  <c r="Z279" i="1" s="1"/>
  <c r="AC279" i="1" s="1"/>
  <c r="AE279" i="1"/>
  <c r="AP279" i="1" s="1"/>
  <c r="AA281" i="1"/>
  <c r="Z281" i="1" s="1"/>
  <c r="AC281" i="1" s="1"/>
  <c r="AE281" i="1"/>
  <c r="AP281" i="1" s="1"/>
  <c r="AA285" i="1"/>
  <c r="Z285" i="1" s="1"/>
  <c r="AC285" i="1" s="1"/>
  <c r="AE285" i="1"/>
  <c r="AP285" i="1" s="1"/>
  <c r="AA287" i="1"/>
  <c r="Z287" i="1" s="1"/>
  <c r="AC287" i="1" s="1"/>
  <c r="AE287" i="1"/>
  <c r="AP287" i="1" s="1"/>
  <c r="AA290" i="1"/>
  <c r="Z290" i="1" s="1"/>
  <c r="AC290" i="1" s="1"/>
  <c r="AE290" i="1"/>
  <c r="AP290" i="1" s="1"/>
  <c r="AA294" i="1"/>
  <c r="Z294" i="1" s="1"/>
  <c r="AC294" i="1" s="1"/>
  <c r="AE294" i="1"/>
  <c r="AP294" i="1" s="1"/>
  <c r="AA296" i="1"/>
  <c r="Z296" i="1" s="1"/>
  <c r="AC296" i="1" s="1"/>
  <c r="AE296" i="1"/>
  <c r="AP296" i="1" s="1"/>
  <c r="AA298" i="1"/>
  <c r="Z298" i="1" s="1"/>
  <c r="AC298" i="1" s="1"/>
  <c r="AE298" i="1"/>
  <c r="AP298" i="1" s="1"/>
  <c r="AA302" i="1"/>
  <c r="Z302" i="1" s="1"/>
  <c r="AC302" i="1" s="1"/>
  <c r="AE302" i="1"/>
  <c r="AP302" i="1" s="1"/>
  <c r="AA304" i="1"/>
  <c r="Z304" i="1" s="1"/>
  <c r="AC304" i="1" s="1"/>
  <c r="AE304" i="1"/>
  <c r="AP304" i="1" s="1"/>
  <c r="AA306" i="1"/>
  <c r="Z306" i="1" s="1"/>
  <c r="AC306" i="1" s="1"/>
  <c r="AE306" i="1"/>
  <c r="AP306" i="1" s="1"/>
  <c r="AA310" i="1"/>
  <c r="Z310" i="1" s="1"/>
  <c r="AC310" i="1" s="1"/>
  <c r="AE310" i="1"/>
  <c r="AP310" i="1" s="1"/>
  <c r="AA340" i="1"/>
  <c r="Z340" i="1" s="1"/>
  <c r="AC340" i="1" s="1"/>
  <c r="AE340" i="1"/>
  <c r="AP340" i="1" s="1"/>
  <c r="AA372" i="1"/>
  <c r="Z372" i="1" s="1"/>
  <c r="AC372" i="1" s="1"/>
  <c r="AE372" i="1"/>
  <c r="AP372" i="1" s="1"/>
  <c r="AA406" i="1"/>
  <c r="Z406" i="1" s="1"/>
  <c r="AC406" i="1" s="1"/>
  <c r="AE406" i="1"/>
  <c r="AP406" i="1" s="1"/>
  <c r="AA430" i="1"/>
  <c r="Z430" i="1" s="1"/>
  <c r="AC430" i="1" s="1"/>
  <c r="AE430" i="1"/>
  <c r="AP430" i="1" s="1"/>
  <c r="AA446" i="1"/>
  <c r="Z446" i="1" s="1"/>
  <c r="AC446" i="1" s="1"/>
  <c r="AE446" i="1"/>
  <c r="AP446" i="1" s="1"/>
  <c r="AA380" i="1"/>
  <c r="Z380" i="1" s="1"/>
  <c r="AC380" i="1" s="1"/>
  <c r="AE380" i="1"/>
  <c r="AP380" i="1" s="1"/>
  <c r="AA31" i="1"/>
  <c r="Z31" i="1" s="1"/>
  <c r="AC31" i="1" s="1"/>
  <c r="AE31" i="1"/>
  <c r="AP31" i="1" s="1"/>
  <c r="AA492" i="1"/>
  <c r="Z492" i="1" s="1"/>
  <c r="AC492" i="1" s="1"/>
  <c r="AE492" i="1"/>
  <c r="AP492" i="1" s="1"/>
  <c r="AA507" i="1"/>
  <c r="Z507" i="1" s="1"/>
  <c r="AC507" i="1" s="1"/>
  <c r="AE507" i="1"/>
  <c r="AP507" i="1" s="1"/>
  <c r="AA529" i="1"/>
  <c r="Z529" i="1" s="1"/>
  <c r="AC529" i="1" s="1"/>
  <c r="AE529" i="1"/>
  <c r="AP529" i="1" s="1"/>
  <c r="AA545" i="1"/>
  <c r="Z545" i="1" s="1"/>
  <c r="AC545" i="1" s="1"/>
  <c r="AE545" i="1"/>
  <c r="AP545" i="1" s="1"/>
  <c r="AA558" i="1"/>
  <c r="Z558" i="1" s="1"/>
  <c r="AC558" i="1" s="1"/>
  <c r="AE558" i="1"/>
  <c r="AP558" i="1" s="1"/>
  <c r="AA573" i="1"/>
  <c r="Z573" i="1" s="1"/>
  <c r="AC573" i="1" s="1"/>
  <c r="AE573" i="1"/>
  <c r="AP573" i="1" s="1"/>
  <c r="AA589" i="1"/>
  <c r="Z589" i="1" s="1"/>
  <c r="AC589" i="1" s="1"/>
  <c r="AE589" i="1"/>
  <c r="AP589" i="1" s="1"/>
  <c r="AA605" i="1"/>
  <c r="Z605" i="1" s="1"/>
  <c r="AC605" i="1" s="1"/>
  <c r="AE605" i="1"/>
  <c r="AP605" i="1" s="1"/>
  <c r="AA621" i="1"/>
  <c r="Z621" i="1" s="1"/>
  <c r="AC621" i="1" s="1"/>
  <c r="AE621" i="1"/>
  <c r="AP621" i="1" s="1"/>
  <c r="AA629" i="1"/>
  <c r="Z629" i="1" s="1"/>
  <c r="AC629" i="1" s="1"/>
  <c r="AE629" i="1"/>
  <c r="AP629" i="1" s="1"/>
  <c r="AA637" i="1"/>
  <c r="Z637" i="1" s="1"/>
  <c r="AC637" i="1" s="1"/>
  <c r="AE637" i="1"/>
  <c r="AP637" i="1" s="1"/>
  <c r="AA645" i="1"/>
  <c r="Z645" i="1" s="1"/>
  <c r="AC645" i="1" s="1"/>
  <c r="AE645" i="1"/>
  <c r="AP645" i="1" s="1"/>
  <c r="AA653" i="1"/>
  <c r="Z653" i="1" s="1"/>
  <c r="AC653" i="1" s="1"/>
  <c r="AE653" i="1"/>
  <c r="AP653" i="1" s="1"/>
  <c r="AA661" i="1"/>
  <c r="Z661" i="1" s="1"/>
  <c r="AC661" i="1" s="1"/>
  <c r="AE661" i="1"/>
  <c r="AP661" i="1" s="1"/>
  <c r="AA669" i="1"/>
  <c r="Z669" i="1" s="1"/>
  <c r="AC669" i="1" s="1"/>
  <c r="AE669" i="1"/>
  <c r="AP669" i="1" s="1"/>
  <c r="AA677" i="1"/>
  <c r="Z677" i="1" s="1"/>
  <c r="AC677" i="1" s="1"/>
  <c r="AE677" i="1"/>
  <c r="AP677" i="1" s="1"/>
  <c r="AA685" i="1"/>
  <c r="Z685" i="1" s="1"/>
  <c r="AC685" i="1" s="1"/>
  <c r="AE685" i="1"/>
  <c r="AP685" i="1" s="1"/>
  <c r="AA695" i="1"/>
  <c r="Z695" i="1" s="1"/>
  <c r="AC695" i="1" s="1"/>
  <c r="AE695" i="1"/>
  <c r="AP695" i="1" s="1"/>
  <c r="AA701" i="1"/>
  <c r="Z701" i="1" s="1"/>
  <c r="AC701" i="1" s="1"/>
  <c r="AE701" i="1"/>
  <c r="AP701" i="1" s="1"/>
  <c r="AA710" i="1"/>
  <c r="Z710" i="1" s="1"/>
  <c r="AC710" i="1" s="1"/>
  <c r="AE710" i="1"/>
  <c r="AP710" i="1" s="1"/>
  <c r="AA719" i="1"/>
  <c r="Z719" i="1" s="1"/>
  <c r="AC719" i="1" s="1"/>
  <c r="AE719" i="1"/>
  <c r="AP719" i="1" s="1"/>
  <c r="AA727" i="1"/>
  <c r="Z727" i="1" s="1"/>
  <c r="AC727" i="1" s="1"/>
  <c r="AE727" i="1"/>
  <c r="AP727" i="1" s="1"/>
  <c r="B437" i="5"/>
  <c r="B438" i="5"/>
  <c r="B439" i="5"/>
  <c r="B302" i="3" l="1"/>
  <c r="K302" i="3" s="1"/>
  <c r="U302" i="3"/>
  <c r="X302" i="3"/>
  <c r="AF302" i="3"/>
  <c r="AG302" i="3"/>
  <c r="AI302" i="3"/>
  <c r="AJ302" i="3"/>
  <c r="AL302" i="3"/>
  <c r="AM302" i="3"/>
  <c r="AR302" i="3"/>
  <c r="AT302" i="3"/>
  <c r="AY302" i="3"/>
  <c r="AZ302" i="3" s="1"/>
  <c r="BA302" i="3"/>
  <c r="BE302" i="3"/>
  <c r="BK302" i="3"/>
  <c r="BO302" i="3"/>
  <c r="BR302" i="3"/>
  <c r="BS302" i="3"/>
  <c r="BW302" i="3"/>
  <c r="BX302" i="3"/>
  <c r="CD302" i="3"/>
  <c r="CH302" i="3" s="1"/>
  <c r="CI302" i="3" s="1"/>
  <c r="CM302" i="3"/>
  <c r="CN302" i="3" s="1"/>
  <c r="CR302" i="3"/>
  <c r="CS302" i="3"/>
  <c r="CT302" i="3" s="1"/>
  <c r="CU302" i="3"/>
  <c r="CX302" i="3" s="1"/>
  <c r="CY302" i="3" s="1"/>
  <c r="CZ302" i="3"/>
  <c r="CZ301" i="3"/>
  <c r="CU301" i="3"/>
  <c r="CX301" i="3" s="1"/>
  <c r="CY301" i="3" s="1"/>
  <c r="CR301" i="3"/>
  <c r="CM301" i="3"/>
  <c r="CN301" i="3" s="1"/>
  <c r="CD301" i="3"/>
  <c r="CH301" i="3" s="1"/>
  <c r="CI301" i="3" s="1"/>
  <c r="BX301" i="3"/>
  <c r="BW301" i="3"/>
  <c r="BS301" i="3"/>
  <c r="BR301" i="3"/>
  <c r="BO301" i="3"/>
  <c r="BK301" i="3"/>
  <c r="BE301" i="3"/>
  <c r="BA301" i="3"/>
  <c r="AY301" i="3"/>
  <c r="AZ301" i="3" s="1"/>
  <c r="AT301" i="3"/>
  <c r="AR301" i="3"/>
  <c r="AM301" i="3"/>
  <c r="AL301" i="3"/>
  <c r="AJ301" i="3"/>
  <c r="AI301" i="3"/>
  <c r="AF301" i="3"/>
  <c r="X301" i="3"/>
  <c r="U301" i="3"/>
  <c r="B301" i="3"/>
  <c r="CB301" i="3" s="1"/>
  <c r="CC301" i="3" s="1"/>
  <c r="B300" i="3"/>
  <c r="K300" i="3" s="1"/>
  <c r="U300" i="3"/>
  <c r="X300" i="3"/>
  <c r="AF300" i="3"/>
  <c r="AG300" i="3"/>
  <c r="AI300" i="3"/>
  <c r="AJ300" i="3"/>
  <c r="AL300" i="3"/>
  <c r="AM300" i="3"/>
  <c r="AR300" i="3"/>
  <c r="AT300" i="3"/>
  <c r="AY300" i="3"/>
  <c r="AZ300" i="3" s="1"/>
  <c r="BA300" i="3"/>
  <c r="BE300" i="3"/>
  <c r="BK300" i="3"/>
  <c r="BO300" i="3"/>
  <c r="BR300" i="3"/>
  <c r="BS300" i="3"/>
  <c r="BW300" i="3"/>
  <c r="BX300" i="3"/>
  <c r="CD300" i="3"/>
  <c r="CH300" i="3" s="1"/>
  <c r="CI300" i="3" s="1"/>
  <c r="CM300" i="3"/>
  <c r="CN300" i="3" s="1"/>
  <c r="CR300" i="3"/>
  <c r="CS300" i="3"/>
  <c r="CT300" i="3" s="1"/>
  <c r="CU300" i="3"/>
  <c r="CX300" i="3" s="1"/>
  <c r="CY300" i="3" s="1"/>
  <c r="CZ300" i="3"/>
  <c r="B432" i="5"/>
  <c r="B433" i="5"/>
  <c r="B434" i="5"/>
  <c r="B435" i="5"/>
  <c r="B436" i="5"/>
  <c r="CG302" i="3" l="1"/>
  <c r="CJ302" i="3" s="1"/>
  <c r="CB302" i="3"/>
  <c r="CC302" i="3" s="1"/>
  <c r="J302" i="3"/>
  <c r="BN302" i="3"/>
  <c r="AN302" i="3"/>
  <c r="J300" i="3"/>
  <c r="L302" i="3"/>
  <c r="V302" i="3"/>
  <c r="O302" i="3"/>
  <c r="AA302" i="3" s="1"/>
  <c r="Z302" i="3" s="1"/>
  <c r="AC302" i="3" s="1"/>
  <c r="BN300" i="3"/>
  <c r="V301" i="3"/>
  <c r="K301" i="3"/>
  <c r="O301" i="3"/>
  <c r="AN301" i="3"/>
  <c r="CG301" i="3"/>
  <c r="CJ301" i="3" s="1"/>
  <c r="CS301" i="3"/>
  <c r="CT301" i="3" s="1"/>
  <c r="J301" i="3"/>
  <c r="L301" i="3"/>
  <c r="AG301" i="3"/>
  <c r="BN301" i="3"/>
  <c r="CG300" i="3"/>
  <c r="CJ300" i="3" s="1"/>
  <c r="CB300" i="3"/>
  <c r="CC300" i="3" s="1"/>
  <c r="L300" i="3"/>
  <c r="AN300" i="3"/>
  <c r="V300" i="3"/>
  <c r="O300" i="3"/>
  <c r="AA300" i="3" s="1"/>
  <c r="Z300" i="3" s="1"/>
  <c r="AC300" i="3" s="1"/>
  <c r="DA302" i="3" l="1"/>
  <c r="CO302" i="3"/>
  <c r="BT302" i="3"/>
  <c r="BY302" i="3"/>
  <c r="AE302" i="3"/>
  <c r="AP302" i="3" s="1"/>
  <c r="BT301" i="3"/>
  <c r="BY301" i="3"/>
  <c r="DA301" i="3"/>
  <c r="CO301" i="3"/>
  <c r="AE301" i="3"/>
  <c r="AP301" i="3" s="1"/>
  <c r="AA301" i="3"/>
  <c r="Z301" i="3" s="1"/>
  <c r="AC301" i="3" s="1"/>
  <c r="BY300" i="3"/>
  <c r="BT300" i="3"/>
  <c r="AE300" i="3"/>
  <c r="AP300" i="3" s="1"/>
  <c r="CO300" i="3"/>
  <c r="DA300" i="3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G724" i="1" l="1"/>
  <c r="G723" i="1"/>
  <c r="G722" i="1"/>
  <c r="G721" i="1"/>
  <c r="G720" i="1"/>
  <c r="G719" i="1"/>
  <c r="G718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18" i="1"/>
  <c r="G567" i="1"/>
  <c r="G566" i="1"/>
  <c r="G531" i="1"/>
  <c r="G516" i="1"/>
  <c r="G565" i="1"/>
  <c r="G564" i="1"/>
  <c r="G563" i="1"/>
  <c r="G562" i="1"/>
  <c r="G561" i="1"/>
  <c r="G515" i="1"/>
  <c r="G560" i="1"/>
  <c r="G559" i="1"/>
  <c r="G558" i="1"/>
  <c r="G557" i="1"/>
  <c r="G556" i="1"/>
  <c r="G555" i="1"/>
  <c r="G554" i="1"/>
  <c r="G514" i="1"/>
  <c r="G513" i="1"/>
  <c r="G512" i="1"/>
  <c r="G553" i="1"/>
  <c r="G552" i="1"/>
  <c r="G551" i="1"/>
  <c r="G550" i="1"/>
  <c r="G511" i="1"/>
  <c r="G549" i="1"/>
  <c r="G548" i="1"/>
  <c r="G547" i="1"/>
  <c r="G546" i="1"/>
  <c r="G530" i="1"/>
  <c r="G529" i="1"/>
  <c r="G528" i="1"/>
  <c r="G527" i="1"/>
  <c r="G526" i="1"/>
  <c r="G525" i="1"/>
  <c r="G524" i="1"/>
  <c r="G523" i="1"/>
  <c r="G522" i="1"/>
  <c r="G517" i="1"/>
  <c r="G478" i="1"/>
  <c r="G474" i="1"/>
  <c r="G510" i="1"/>
  <c r="G484" i="1"/>
  <c r="G475" i="1"/>
  <c r="G476" i="1"/>
  <c r="G473" i="1"/>
  <c r="CZ299" i="3" l="1"/>
  <c r="CU299" i="3"/>
  <c r="CX299" i="3" s="1"/>
  <c r="CY299" i="3" s="1"/>
  <c r="CS299" i="3"/>
  <c r="CT299" i="3" s="1"/>
  <c r="CR299" i="3"/>
  <c r="CM299" i="3"/>
  <c r="CN299" i="3" s="1"/>
  <c r="CD299" i="3"/>
  <c r="CH299" i="3" s="1"/>
  <c r="CI299" i="3" s="1"/>
  <c r="BX299" i="3"/>
  <c r="BW299" i="3"/>
  <c r="BS299" i="3"/>
  <c r="BR299" i="3"/>
  <c r="BO299" i="3"/>
  <c r="BK299" i="3"/>
  <c r="BE299" i="3"/>
  <c r="BA299" i="3"/>
  <c r="AY299" i="3"/>
  <c r="AZ299" i="3" s="1"/>
  <c r="AT299" i="3"/>
  <c r="AR299" i="3"/>
  <c r="AM299" i="3"/>
  <c r="AL299" i="3"/>
  <c r="AJ299" i="3"/>
  <c r="AI299" i="3"/>
  <c r="AG299" i="3"/>
  <c r="AF299" i="3"/>
  <c r="X299" i="3"/>
  <c r="U299" i="3"/>
  <c r="B299" i="3"/>
  <c r="CB299" i="3" s="1"/>
  <c r="CC299" i="3" s="1"/>
  <c r="CZ298" i="3"/>
  <c r="CU298" i="3"/>
  <c r="CX298" i="3" s="1"/>
  <c r="CY298" i="3" s="1"/>
  <c r="CR298" i="3"/>
  <c r="CM298" i="3"/>
  <c r="CN298" i="3" s="1"/>
  <c r="CD298" i="3"/>
  <c r="CH298" i="3" s="1"/>
  <c r="CI298" i="3" s="1"/>
  <c r="BX298" i="3"/>
  <c r="BW298" i="3"/>
  <c r="BS298" i="3"/>
  <c r="BO298" i="3"/>
  <c r="BK298" i="3"/>
  <c r="BE298" i="3"/>
  <c r="BA298" i="3"/>
  <c r="AY298" i="3"/>
  <c r="AZ298" i="3" s="1"/>
  <c r="AT298" i="3"/>
  <c r="AR298" i="3"/>
  <c r="AM298" i="3"/>
  <c r="AL298" i="3"/>
  <c r="AJ298" i="3"/>
  <c r="AI298" i="3"/>
  <c r="AG298" i="3"/>
  <c r="AF298" i="3"/>
  <c r="X298" i="3"/>
  <c r="U298" i="3"/>
  <c r="B298" i="3"/>
  <c r="CB298" i="3" s="1"/>
  <c r="CC298" i="3" s="1"/>
  <c r="B297" i="3"/>
  <c r="K297" i="3" s="1"/>
  <c r="U297" i="3"/>
  <c r="X297" i="3"/>
  <c r="AF297" i="3"/>
  <c r="AG297" i="3"/>
  <c r="AI297" i="3"/>
  <c r="AJ297" i="3"/>
  <c r="AL297" i="3"/>
  <c r="AM297" i="3"/>
  <c r="AR297" i="3"/>
  <c r="AT297" i="3"/>
  <c r="AY297" i="3"/>
  <c r="AZ297" i="3" s="1"/>
  <c r="BA297" i="3"/>
  <c r="BE297" i="3"/>
  <c r="BK297" i="3"/>
  <c r="BO297" i="3"/>
  <c r="BS297" i="3"/>
  <c r="BW297" i="3"/>
  <c r="BX297" i="3"/>
  <c r="CD297" i="3"/>
  <c r="CH297" i="3" s="1"/>
  <c r="CI297" i="3" s="1"/>
  <c r="CM297" i="3"/>
  <c r="CN297" i="3" s="1"/>
  <c r="CR297" i="3"/>
  <c r="CS297" i="3"/>
  <c r="CT297" i="3" s="1"/>
  <c r="CU297" i="3"/>
  <c r="CX297" i="3" s="1"/>
  <c r="CY297" i="3" s="1"/>
  <c r="CZ297" i="3"/>
  <c r="B296" i="3"/>
  <c r="K296" i="3" s="1"/>
  <c r="U296" i="3"/>
  <c r="X296" i="3"/>
  <c r="AF296" i="3"/>
  <c r="AG296" i="3"/>
  <c r="AI296" i="3"/>
  <c r="AJ296" i="3"/>
  <c r="AL296" i="3"/>
  <c r="AM296" i="3"/>
  <c r="AR296" i="3"/>
  <c r="AT296" i="3"/>
  <c r="AY296" i="3"/>
  <c r="AZ296" i="3" s="1"/>
  <c r="BA296" i="3"/>
  <c r="BE296" i="3"/>
  <c r="BK296" i="3"/>
  <c r="BO296" i="3"/>
  <c r="BS296" i="3"/>
  <c r="BW296" i="3"/>
  <c r="BX296" i="3"/>
  <c r="CD296" i="3"/>
  <c r="CH296" i="3" s="1"/>
  <c r="CI296" i="3" s="1"/>
  <c r="CM296" i="3"/>
  <c r="CN296" i="3" s="1"/>
  <c r="CR296" i="3"/>
  <c r="CS296" i="3"/>
  <c r="CT296" i="3" s="1"/>
  <c r="CU296" i="3"/>
  <c r="CX296" i="3" s="1"/>
  <c r="CY296" i="3" s="1"/>
  <c r="CZ296" i="3"/>
  <c r="J297" i="3" l="1"/>
  <c r="J296" i="3"/>
  <c r="CG297" i="3"/>
  <c r="CJ297" i="3" s="1"/>
  <c r="CB297" i="3"/>
  <c r="CC297" i="3" s="1"/>
  <c r="BR297" i="3"/>
  <c r="BN297" i="3"/>
  <c r="CG296" i="3"/>
  <c r="CJ296" i="3" s="1"/>
  <c r="CB296" i="3"/>
  <c r="CC296" i="3" s="1"/>
  <c r="BR296" i="3"/>
  <c r="BN296" i="3"/>
  <c r="AN297" i="3"/>
  <c r="DA297" i="3" s="1"/>
  <c r="L297" i="3"/>
  <c r="BY297" i="3" s="1"/>
  <c r="J299" i="3"/>
  <c r="V299" i="3"/>
  <c r="V296" i="3"/>
  <c r="L299" i="3"/>
  <c r="BT299" i="3" s="1"/>
  <c r="AN296" i="3"/>
  <c r="CO296" i="3" s="1"/>
  <c r="L296" i="3"/>
  <c r="K299" i="3"/>
  <c r="O299" i="3"/>
  <c r="AN299" i="3"/>
  <c r="CG299" i="3"/>
  <c r="CJ299" i="3" s="1"/>
  <c r="BN299" i="3"/>
  <c r="L298" i="3"/>
  <c r="BT298" i="3" s="1"/>
  <c r="J298" i="3"/>
  <c r="V298" i="3"/>
  <c r="K298" i="3"/>
  <c r="O298" i="3"/>
  <c r="AN298" i="3"/>
  <c r="CG298" i="3"/>
  <c r="CJ298" i="3" s="1"/>
  <c r="CS298" i="3"/>
  <c r="CT298" i="3" s="1"/>
  <c r="BN298" i="3"/>
  <c r="BR298" i="3"/>
  <c r="V297" i="3"/>
  <c r="O297" i="3"/>
  <c r="AA297" i="3" s="1"/>
  <c r="Z297" i="3" s="1"/>
  <c r="AC297" i="3" s="1"/>
  <c r="O296" i="3"/>
  <c r="AA296" i="3" s="1"/>
  <c r="Z296" i="3" s="1"/>
  <c r="AC296" i="3" s="1"/>
  <c r="CO297" i="3" l="1"/>
  <c r="BY298" i="3"/>
  <c r="DA296" i="3"/>
  <c r="BY299" i="3"/>
  <c r="BT297" i="3"/>
  <c r="AE299" i="3"/>
  <c r="AP299" i="3" s="1"/>
  <c r="AA299" i="3"/>
  <c r="Z299" i="3" s="1"/>
  <c r="AC299" i="3" s="1"/>
  <c r="DA299" i="3"/>
  <c r="CO299" i="3"/>
  <c r="BT296" i="3"/>
  <c r="BY296" i="3"/>
  <c r="AE297" i="3"/>
  <c r="AP297" i="3" s="1"/>
  <c r="DA298" i="3"/>
  <c r="CO298" i="3"/>
  <c r="AE298" i="3"/>
  <c r="AP298" i="3" s="1"/>
  <c r="AA298" i="3"/>
  <c r="Z298" i="3" s="1"/>
  <c r="AC298" i="3" s="1"/>
  <c r="AE296" i="3"/>
  <c r="AP296" i="3" s="1"/>
  <c r="B295" i="3"/>
  <c r="K295" i="3" s="1"/>
  <c r="U295" i="3"/>
  <c r="X295" i="3"/>
  <c r="AF295" i="3"/>
  <c r="AG295" i="3"/>
  <c r="AI295" i="3"/>
  <c r="AJ295" i="3"/>
  <c r="AL295" i="3"/>
  <c r="AM295" i="3"/>
  <c r="AR295" i="3"/>
  <c r="AT295" i="3"/>
  <c r="AY295" i="3"/>
  <c r="AZ295" i="3" s="1"/>
  <c r="BA295" i="3"/>
  <c r="BE295" i="3"/>
  <c r="BK295" i="3"/>
  <c r="BO295" i="3"/>
  <c r="BR295" i="3"/>
  <c r="BS295" i="3"/>
  <c r="BW295" i="3"/>
  <c r="BX295" i="3"/>
  <c r="CD295" i="3"/>
  <c r="CH295" i="3" s="1"/>
  <c r="CI295" i="3" s="1"/>
  <c r="CM295" i="3"/>
  <c r="CN295" i="3" s="1"/>
  <c r="CR295" i="3"/>
  <c r="CU295" i="3"/>
  <c r="CX295" i="3" s="1"/>
  <c r="CY295" i="3" s="1"/>
  <c r="CZ295" i="3"/>
  <c r="CU438" i="4"/>
  <c r="CX438" i="4" s="1"/>
  <c r="CY438" i="4" s="1"/>
  <c r="CS438" i="4"/>
  <c r="CT438" i="4" s="1"/>
  <c r="CR438" i="4"/>
  <c r="CM438" i="4"/>
  <c r="CN438" i="4" s="1"/>
  <c r="CD438" i="4"/>
  <c r="CH438" i="4" s="1"/>
  <c r="CI438" i="4" s="1"/>
  <c r="BX438" i="4"/>
  <c r="BW438" i="4"/>
  <c r="BS438" i="4"/>
  <c r="BR438" i="4"/>
  <c r="BO438" i="4"/>
  <c r="BK438" i="4"/>
  <c r="BE438" i="4"/>
  <c r="BA438" i="4"/>
  <c r="AY438" i="4"/>
  <c r="AZ438" i="4" s="1"/>
  <c r="AT438" i="4"/>
  <c r="AR438" i="4"/>
  <c r="AM438" i="4"/>
  <c r="AJ438" i="4"/>
  <c r="AI438" i="4"/>
  <c r="AG438" i="4"/>
  <c r="AF438" i="4"/>
  <c r="X438" i="4"/>
  <c r="U438" i="4"/>
  <c r="B438" i="4"/>
  <c r="CB438" i="4" s="1"/>
  <c r="CC438" i="4" s="1"/>
  <c r="L577" i="13"/>
  <c r="G477" i="1" s="1"/>
  <c r="L576" i="13"/>
  <c r="G161" i="1" s="1"/>
  <c r="L575" i="13"/>
  <c r="G32" i="1" s="1"/>
  <c r="B575" i="13"/>
  <c r="B576" i="13"/>
  <c r="B577" i="13"/>
  <c r="L574" i="13"/>
  <c r="G78" i="1" s="1"/>
  <c r="L573" i="13"/>
  <c r="G31" i="1" s="1"/>
  <c r="L572" i="13"/>
  <c r="G114" i="1" s="1"/>
  <c r="B572" i="13"/>
  <c r="B573" i="13"/>
  <c r="B574" i="13"/>
  <c r="L571" i="13"/>
  <c r="G25" i="1" s="1"/>
  <c r="B571" i="13"/>
  <c r="L570" i="13"/>
  <c r="G155" i="1" s="1"/>
  <c r="B570" i="13"/>
  <c r="CU437" i="4"/>
  <c r="CX437" i="4" s="1"/>
  <c r="CY437" i="4" s="1"/>
  <c r="CS437" i="4"/>
  <c r="CT437" i="4" s="1"/>
  <c r="CR437" i="4"/>
  <c r="CM437" i="4"/>
  <c r="CN437" i="4" s="1"/>
  <c r="CG437" i="4"/>
  <c r="CJ437" i="4" s="1"/>
  <c r="CD437" i="4"/>
  <c r="CH437" i="4" s="1"/>
  <c r="CI437" i="4" s="1"/>
  <c r="CB437" i="4"/>
  <c r="CC437" i="4" s="1"/>
  <c r="BX437" i="4"/>
  <c r="BW437" i="4"/>
  <c r="BS437" i="4"/>
  <c r="BR437" i="4"/>
  <c r="BO437" i="4"/>
  <c r="BN437" i="4"/>
  <c r="BK437" i="4"/>
  <c r="BE437" i="4"/>
  <c r="BA437" i="4"/>
  <c r="AY437" i="4"/>
  <c r="AZ437" i="4" s="1"/>
  <c r="AT437" i="4"/>
  <c r="AR437" i="4"/>
  <c r="AM437" i="4"/>
  <c r="AJ437" i="4"/>
  <c r="AI437" i="4"/>
  <c r="AG437" i="4"/>
  <c r="AF437" i="4"/>
  <c r="X437" i="4"/>
  <c r="U437" i="4"/>
  <c r="B437" i="4"/>
  <c r="CU436" i="4"/>
  <c r="CX436" i="4" s="1"/>
  <c r="CY436" i="4" s="1"/>
  <c r="CS436" i="4"/>
  <c r="CT436" i="4" s="1"/>
  <c r="CR436" i="4"/>
  <c r="CM436" i="4"/>
  <c r="CN436" i="4" s="1"/>
  <c r="CG436" i="4"/>
  <c r="CJ436" i="4" s="1"/>
  <c r="CD436" i="4"/>
  <c r="CH436" i="4" s="1"/>
  <c r="CI436" i="4" s="1"/>
  <c r="CB436" i="4"/>
  <c r="CC436" i="4" s="1"/>
  <c r="BX436" i="4"/>
  <c r="BW436" i="4"/>
  <c r="BS436" i="4"/>
  <c r="BR436" i="4"/>
  <c r="BO436" i="4"/>
  <c r="BN436" i="4"/>
  <c r="BK436" i="4"/>
  <c r="BE436" i="4"/>
  <c r="BA436" i="4"/>
  <c r="AY436" i="4"/>
  <c r="AZ436" i="4" s="1"/>
  <c r="AT436" i="4"/>
  <c r="AR436" i="4"/>
  <c r="AM436" i="4"/>
  <c r="AJ436" i="4"/>
  <c r="AI436" i="4"/>
  <c r="AG436" i="4"/>
  <c r="AF436" i="4"/>
  <c r="X436" i="4"/>
  <c r="U436" i="4"/>
  <c r="B436" i="4"/>
  <c r="CU435" i="4"/>
  <c r="CX435" i="4" s="1"/>
  <c r="CY435" i="4" s="1"/>
  <c r="CS435" i="4"/>
  <c r="CT435" i="4" s="1"/>
  <c r="CR435" i="4"/>
  <c r="CM435" i="4"/>
  <c r="CN435" i="4" s="1"/>
  <c r="CD435" i="4"/>
  <c r="CH435" i="4" s="1"/>
  <c r="CI435" i="4" s="1"/>
  <c r="BX435" i="4"/>
  <c r="BW435" i="4"/>
  <c r="BS435" i="4"/>
  <c r="BR435" i="4"/>
  <c r="BO435" i="4"/>
  <c r="BN435" i="4"/>
  <c r="BK435" i="4"/>
  <c r="BE435" i="4"/>
  <c r="BA435" i="4"/>
  <c r="AY435" i="4"/>
  <c r="AZ435" i="4" s="1"/>
  <c r="AT435" i="4"/>
  <c r="AR435" i="4"/>
  <c r="AM435" i="4"/>
  <c r="AJ435" i="4"/>
  <c r="AI435" i="4"/>
  <c r="AG435" i="4"/>
  <c r="AF435" i="4"/>
  <c r="X435" i="4"/>
  <c r="U435" i="4"/>
  <c r="B435" i="4"/>
  <c r="CB435" i="4" s="1"/>
  <c r="CC435" i="4" s="1"/>
  <c r="AN436" i="4" l="1"/>
  <c r="CO436" i="4" s="1"/>
  <c r="CG295" i="3"/>
  <c r="CJ295" i="3" s="1"/>
  <c r="CB295" i="3"/>
  <c r="CC295" i="3" s="1"/>
  <c r="J295" i="3"/>
  <c r="CS295" i="3"/>
  <c r="CT295" i="3" s="1"/>
  <c r="AN295" i="3"/>
  <c r="BN295" i="3"/>
  <c r="L295" i="3"/>
  <c r="V295" i="3"/>
  <c r="O295" i="3"/>
  <c r="AA295" i="3" s="1"/>
  <c r="Z295" i="3" s="1"/>
  <c r="AC295" i="3" s="1"/>
  <c r="AN437" i="4"/>
  <c r="CO437" i="4" s="1"/>
  <c r="J438" i="4"/>
  <c r="V438" i="4"/>
  <c r="L438" i="4"/>
  <c r="BT438" i="4" s="1"/>
  <c r="K438" i="4"/>
  <c r="O438" i="4"/>
  <c r="AN438" i="4"/>
  <c r="CG438" i="4"/>
  <c r="CJ438" i="4" s="1"/>
  <c r="BN438" i="4"/>
  <c r="J437" i="4"/>
  <c r="V437" i="4"/>
  <c r="L437" i="4"/>
  <c r="BT437" i="4" s="1"/>
  <c r="J436" i="4"/>
  <c r="L436" i="4"/>
  <c r="K437" i="4"/>
  <c r="O437" i="4"/>
  <c r="K436" i="4"/>
  <c r="O436" i="4"/>
  <c r="V436" i="4"/>
  <c r="K435" i="4"/>
  <c r="O435" i="4"/>
  <c r="V435" i="4"/>
  <c r="AN435" i="4"/>
  <c r="CG435" i="4"/>
  <c r="CJ435" i="4" s="1"/>
  <c r="J435" i="4"/>
  <c r="L435" i="4"/>
  <c r="H570" i="13"/>
  <c r="H571" i="13"/>
  <c r="H572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U8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U569" i="13"/>
  <c r="H569" i="13" s="1"/>
  <c r="Q569" i="13"/>
  <c r="U568" i="13"/>
  <c r="H568" i="13" s="1"/>
  <c r="Q568" i="13"/>
  <c r="U567" i="13"/>
  <c r="H567" i="13" s="1"/>
  <c r="Q567" i="13"/>
  <c r="U566" i="13"/>
  <c r="H566" i="13" s="1"/>
  <c r="Q566" i="13"/>
  <c r="U565" i="13"/>
  <c r="H565" i="13" s="1"/>
  <c r="Q565" i="13"/>
  <c r="U564" i="13"/>
  <c r="H564" i="13" s="1"/>
  <c r="Q564" i="13"/>
  <c r="U563" i="13"/>
  <c r="H563" i="13" s="1"/>
  <c r="Q563" i="13"/>
  <c r="U562" i="13"/>
  <c r="H562" i="13" s="1"/>
  <c r="Q562" i="13"/>
  <c r="U561" i="13"/>
  <c r="H561" i="13" s="1"/>
  <c r="Q561" i="13"/>
  <c r="U560" i="13"/>
  <c r="H560" i="13" s="1"/>
  <c r="Q560" i="13"/>
  <c r="U559" i="13"/>
  <c r="H559" i="13" s="1"/>
  <c r="Q559" i="13"/>
  <c r="U558" i="13"/>
  <c r="H558" i="13" s="1"/>
  <c r="Q558" i="13"/>
  <c r="U557" i="13"/>
  <c r="H557" i="13" s="1"/>
  <c r="Q557" i="13"/>
  <c r="U556" i="13"/>
  <c r="H556" i="13" s="1"/>
  <c r="Q556" i="13"/>
  <c r="U555" i="13"/>
  <c r="H555" i="13" s="1"/>
  <c r="Q555" i="13"/>
  <c r="U554" i="13"/>
  <c r="H554" i="13" s="1"/>
  <c r="Q554" i="13"/>
  <c r="U553" i="13"/>
  <c r="H553" i="13" s="1"/>
  <c r="Q553" i="13"/>
  <c r="U552" i="13"/>
  <c r="H552" i="13" s="1"/>
  <c r="Q552" i="13"/>
  <c r="U551" i="13"/>
  <c r="H551" i="13" s="1"/>
  <c r="Q551" i="13"/>
  <c r="U550" i="13"/>
  <c r="H550" i="13" s="1"/>
  <c r="Q550" i="13"/>
  <c r="U549" i="13"/>
  <c r="H549" i="13" s="1"/>
  <c r="Q549" i="13"/>
  <c r="U548" i="13"/>
  <c r="H548" i="13" s="1"/>
  <c r="U547" i="13"/>
  <c r="H547" i="13" s="1"/>
  <c r="U546" i="13"/>
  <c r="U545" i="13"/>
  <c r="U544" i="13"/>
  <c r="H544" i="13" s="1"/>
  <c r="U543" i="13"/>
  <c r="H543" i="13" s="1"/>
  <c r="U542" i="13"/>
  <c r="H542" i="13" s="1"/>
  <c r="U541" i="13"/>
  <c r="H541" i="13" s="1"/>
  <c r="U540" i="13"/>
  <c r="H540" i="13" s="1"/>
  <c r="U539" i="13"/>
  <c r="H539" i="13" s="1"/>
  <c r="U538" i="13"/>
  <c r="U537" i="13"/>
  <c r="U536" i="13"/>
  <c r="H536" i="13" s="1"/>
  <c r="U535" i="13"/>
  <c r="H535" i="13" s="1"/>
  <c r="U534" i="13"/>
  <c r="H534" i="13" s="1"/>
  <c r="U533" i="13"/>
  <c r="H533" i="13" s="1"/>
  <c r="U532" i="13"/>
  <c r="H532" i="13" s="1"/>
  <c r="U531" i="13"/>
  <c r="H531" i="13" s="1"/>
  <c r="U530" i="13"/>
  <c r="U529" i="13"/>
  <c r="U528" i="13"/>
  <c r="H528" i="13" s="1"/>
  <c r="U527" i="13"/>
  <c r="H527" i="13" s="1"/>
  <c r="U526" i="13"/>
  <c r="H526" i="13" s="1"/>
  <c r="U525" i="13"/>
  <c r="H525" i="13" s="1"/>
  <c r="U524" i="13"/>
  <c r="H524" i="13" s="1"/>
  <c r="U523" i="13"/>
  <c r="H523" i="13" s="1"/>
  <c r="U522" i="13"/>
  <c r="U521" i="13"/>
  <c r="U520" i="13"/>
  <c r="H520" i="13" s="1"/>
  <c r="U519" i="13"/>
  <c r="H519" i="13" s="1"/>
  <c r="U518" i="13"/>
  <c r="H518" i="13" s="1"/>
  <c r="U517" i="13"/>
  <c r="H517" i="13" s="1"/>
  <c r="U516" i="13"/>
  <c r="H516" i="13" s="1"/>
  <c r="U515" i="13"/>
  <c r="H515" i="13" s="1"/>
  <c r="U514" i="13"/>
  <c r="U513" i="13"/>
  <c r="U512" i="13"/>
  <c r="H512" i="13" s="1"/>
  <c r="U511" i="13"/>
  <c r="H511" i="13" s="1"/>
  <c r="U510" i="13"/>
  <c r="U509" i="13"/>
  <c r="H509" i="13" s="1"/>
  <c r="U508" i="13"/>
  <c r="H508" i="13" s="1"/>
  <c r="U507" i="13"/>
  <c r="H507" i="13" s="1"/>
  <c r="U506" i="13"/>
  <c r="H506" i="13" s="1"/>
  <c r="U505" i="13"/>
  <c r="H505" i="13" s="1"/>
  <c r="U504" i="13"/>
  <c r="H504" i="13" s="1"/>
  <c r="U503" i="13"/>
  <c r="H503" i="13" s="1"/>
  <c r="U502" i="13"/>
  <c r="H502" i="13" s="1"/>
  <c r="U501" i="13"/>
  <c r="H501" i="13" s="1"/>
  <c r="U500" i="13"/>
  <c r="H500" i="13" s="1"/>
  <c r="U499" i="13"/>
  <c r="H499" i="13" s="1"/>
  <c r="U498" i="13"/>
  <c r="H498" i="13" s="1"/>
  <c r="U497" i="13"/>
  <c r="H497" i="13" s="1"/>
  <c r="U496" i="13"/>
  <c r="H496" i="13" s="1"/>
  <c r="U495" i="13"/>
  <c r="H495" i="13" s="1"/>
  <c r="U494" i="13"/>
  <c r="H494" i="13" s="1"/>
  <c r="U493" i="13"/>
  <c r="H493" i="13" s="1"/>
  <c r="U492" i="13"/>
  <c r="H492" i="13" s="1"/>
  <c r="U491" i="13"/>
  <c r="H491" i="13" s="1"/>
  <c r="U490" i="13"/>
  <c r="H490" i="13" s="1"/>
  <c r="U489" i="13"/>
  <c r="H489" i="13" s="1"/>
  <c r="U488" i="13"/>
  <c r="H488" i="13" s="1"/>
  <c r="U487" i="13"/>
  <c r="H487" i="13" s="1"/>
  <c r="U486" i="13"/>
  <c r="H486" i="13" s="1"/>
  <c r="U485" i="13"/>
  <c r="H485" i="13" s="1"/>
  <c r="U484" i="13"/>
  <c r="H484" i="13" s="1"/>
  <c r="U483" i="13"/>
  <c r="H483" i="13" s="1"/>
  <c r="U482" i="13"/>
  <c r="H482" i="13" s="1"/>
  <c r="U481" i="13"/>
  <c r="H481" i="13" s="1"/>
  <c r="U480" i="13"/>
  <c r="H480" i="13" s="1"/>
  <c r="U479" i="13"/>
  <c r="H479" i="13" s="1"/>
  <c r="U478" i="13"/>
  <c r="H478" i="13" s="1"/>
  <c r="U477" i="13"/>
  <c r="H477" i="13" s="1"/>
  <c r="U476" i="13"/>
  <c r="H476" i="13" s="1"/>
  <c r="U475" i="13"/>
  <c r="H475" i="13" s="1"/>
  <c r="U474" i="13"/>
  <c r="H474" i="13" s="1"/>
  <c r="U473" i="13"/>
  <c r="H473" i="13" s="1"/>
  <c r="U472" i="13"/>
  <c r="H472" i="13" s="1"/>
  <c r="U471" i="13"/>
  <c r="H471" i="13" s="1"/>
  <c r="U470" i="13"/>
  <c r="H470" i="13" s="1"/>
  <c r="U469" i="13"/>
  <c r="H469" i="13" s="1"/>
  <c r="U468" i="13"/>
  <c r="H468" i="13" s="1"/>
  <c r="U467" i="13"/>
  <c r="H467" i="13" s="1"/>
  <c r="U466" i="13"/>
  <c r="H466" i="13" s="1"/>
  <c r="U465" i="13"/>
  <c r="H465" i="13" s="1"/>
  <c r="U464" i="13"/>
  <c r="H464" i="13" s="1"/>
  <c r="U463" i="13"/>
  <c r="H463" i="13" s="1"/>
  <c r="U462" i="13"/>
  <c r="H462" i="13" s="1"/>
  <c r="U461" i="13"/>
  <c r="H461" i="13" s="1"/>
  <c r="U460" i="13"/>
  <c r="H460" i="13" s="1"/>
  <c r="U459" i="13"/>
  <c r="H459" i="13" s="1"/>
  <c r="U458" i="13"/>
  <c r="H458" i="13" s="1"/>
  <c r="U457" i="13"/>
  <c r="H457" i="13" s="1"/>
  <c r="U456" i="13"/>
  <c r="H456" i="13" s="1"/>
  <c r="U455" i="13"/>
  <c r="H455" i="13" s="1"/>
  <c r="U454" i="13"/>
  <c r="H454" i="13" s="1"/>
  <c r="U453" i="13"/>
  <c r="H453" i="13" s="1"/>
  <c r="U452" i="13"/>
  <c r="H452" i="13" s="1"/>
  <c r="U451" i="13"/>
  <c r="H451" i="13" s="1"/>
  <c r="U450" i="13"/>
  <c r="H450" i="13" s="1"/>
  <c r="U449" i="13"/>
  <c r="H449" i="13" s="1"/>
  <c r="U448" i="13"/>
  <c r="H448" i="13" s="1"/>
  <c r="U447" i="13"/>
  <c r="H447" i="13" s="1"/>
  <c r="U446" i="13"/>
  <c r="H446" i="13" s="1"/>
  <c r="U445" i="13"/>
  <c r="H445" i="13" s="1"/>
  <c r="U444" i="13"/>
  <c r="H444" i="13" s="1"/>
  <c r="U443" i="13"/>
  <c r="H443" i="13" s="1"/>
  <c r="U442" i="13"/>
  <c r="H442" i="13" s="1"/>
  <c r="U441" i="13"/>
  <c r="H441" i="13" s="1"/>
  <c r="U440" i="13"/>
  <c r="H440" i="13" s="1"/>
  <c r="U439" i="13"/>
  <c r="H439" i="13" s="1"/>
  <c r="U438" i="13"/>
  <c r="H438" i="13" s="1"/>
  <c r="U437" i="13"/>
  <c r="H437" i="13" s="1"/>
  <c r="U436" i="13"/>
  <c r="H436" i="13" s="1"/>
  <c r="U435" i="13"/>
  <c r="H435" i="13" s="1"/>
  <c r="U434" i="13"/>
  <c r="H434" i="13" s="1"/>
  <c r="U433" i="13"/>
  <c r="H433" i="13" s="1"/>
  <c r="U432" i="13"/>
  <c r="H432" i="13" s="1"/>
  <c r="U431" i="13"/>
  <c r="H431" i="13" s="1"/>
  <c r="U430" i="13"/>
  <c r="H430" i="13" s="1"/>
  <c r="U429" i="13"/>
  <c r="H429" i="13" s="1"/>
  <c r="U428" i="13"/>
  <c r="H428" i="13" s="1"/>
  <c r="U427" i="13"/>
  <c r="H427" i="13" s="1"/>
  <c r="U426" i="13"/>
  <c r="H426" i="13" s="1"/>
  <c r="U425" i="13"/>
  <c r="H425" i="13" s="1"/>
  <c r="U424" i="13"/>
  <c r="H424" i="13" s="1"/>
  <c r="U423" i="13"/>
  <c r="H423" i="13" s="1"/>
  <c r="U422" i="13"/>
  <c r="H422" i="13" s="1"/>
  <c r="U421" i="13"/>
  <c r="H421" i="13" s="1"/>
  <c r="U420" i="13"/>
  <c r="H420" i="13" s="1"/>
  <c r="U419" i="13"/>
  <c r="H419" i="13" s="1"/>
  <c r="U418" i="13"/>
  <c r="H418" i="13" s="1"/>
  <c r="U417" i="13"/>
  <c r="H417" i="13" s="1"/>
  <c r="U416" i="13"/>
  <c r="H416" i="13" s="1"/>
  <c r="U415" i="13"/>
  <c r="H415" i="13" s="1"/>
  <c r="U414" i="13"/>
  <c r="H414" i="13" s="1"/>
  <c r="U413" i="13"/>
  <c r="H413" i="13" s="1"/>
  <c r="U412" i="13"/>
  <c r="H412" i="13" s="1"/>
  <c r="U411" i="13"/>
  <c r="H411" i="13" s="1"/>
  <c r="U410" i="13"/>
  <c r="H410" i="13" s="1"/>
  <c r="U409" i="13"/>
  <c r="H409" i="13" s="1"/>
  <c r="U408" i="13"/>
  <c r="H408" i="13" s="1"/>
  <c r="U407" i="13"/>
  <c r="H407" i="13" s="1"/>
  <c r="U406" i="13"/>
  <c r="H406" i="13" s="1"/>
  <c r="U405" i="13"/>
  <c r="H405" i="13" s="1"/>
  <c r="U404" i="13"/>
  <c r="H404" i="13" s="1"/>
  <c r="U403" i="13"/>
  <c r="H403" i="13" s="1"/>
  <c r="U402" i="13"/>
  <c r="H402" i="13" s="1"/>
  <c r="U401" i="13"/>
  <c r="H401" i="13" s="1"/>
  <c r="U400" i="13"/>
  <c r="H400" i="13" s="1"/>
  <c r="U399" i="13"/>
  <c r="H399" i="13" s="1"/>
  <c r="U398" i="13"/>
  <c r="H398" i="13" s="1"/>
  <c r="U397" i="13"/>
  <c r="H397" i="13" s="1"/>
  <c r="U396" i="13"/>
  <c r="H396" i="13" s="1"/>
  <c r="U395" i="13"/>
  <c r="H395" i="13" s="1"/>
  <c r="U394" i="13"/>
  <c r="H394" i="13" s="1"/>
  <c r="U393" i="13"/>
  <c r="H393" i="13" s="1"/>
  <c r="U392" i="13"/>
  <c r="H392" i="13" s="1"/>
  <c r="U391" i="13"/>
  <c r="H391" i="13" s="1"/>
  <c r="U390" i="13"/>
  <c r="H390" i="13" s="1"/>
  <c r="U389" i="13"/>
  <c r="H389" i="13" s="1"/>
  <c r="U388" i="13"/>
  <c r="H388" i="13" s="1"/>
  <c r="U387" i="13"/>
  <c r="H387" i="13" s="1"/>
  <c r="U386" i="13"/>
  <c r="H386" i="13" s="1"/>
  <c r="U385" i="13"/>
  <c r="H385" i="13" s="1"/>
  <c r="U384" i="13"/>
  <c r="H384" i="13" s="1"/>
  <c r="U383" i="13"/>
  <c r="H383" i="13" s="1"/>
  <c r="U382" i="13"/>
  <c r="H382" i="13" s="1"/>
  <c r="U381" i="13"/>
  <c r="H381" i="13" s="1"/>
  <c r="U380" i="13"/>
  <c r="H380" i="13" s="1"/>
  <c r="U379" i="13"/>
  <c r="H379" i="13" s="1"/>
  <c r="U378" i="13"/>
  <c r="H378" i="13" s="1"/>
  <c r="U377" i="13"/>
  <c r="H377" i="13" s="1"/>
  <c r="U376" i="13"/>
  <c r="H376" i="13" s="1"/>
  <c r="U375" i="13"/>
  <c r="H375" i="13" s="1"/>
  <c r="U374" i="13"/>
  <c r="H374" i="13" s="1"/>
  <c r="U373" i="13"/>
  <c r="H373" i="13" s="1"/>
  <c r="U372" i="13"/>
  <c r="H372" i="13" s="1"/>
  <c r="U371" i="13"/>
  <c r="H371" i="13" s="1"/>
  <c r="U370" i="13"/>
  <c r="H370" i="13" s="1"/>
  <c r="U369" i="13"/>
  <c r="H369" i="13" s="1"/>
  <c r="U368" i="13"/>
  <c r="H368" i="13" s="1"/>
  <c r="U367" i="13"/>
  <c r="H367" i="13" s="1"/>
  <c r="U366" i="13"/>
  <c r="H366" i="13" s="1"/>
  <c r="U365" i="13"/>
  <c r="H365" i="13" s="1"/>
  <c r="U364" i="13"/>
  <c r="H364" i="13" s="1"/>
  <c r="U363" i="13"/>
  <c r="H363" i="13" s="1"/>
  <c r="U362" i="13"/>
  <c r="H362" i="13" s="1"/>
  <c r="U361" i="13"/>
  <c r="H361" i="13" s="1"/>
  <c r="U360" i="13"/>
  <c r="H360" i="13" s="1"/>
  <c r="U359" i="13"/>
  <c r="H359" i="13" s="1"/>
  <c r="U358" i="13"/>
  <c r="H358" i="13" s="1"/>
  <c r="U357" i="13"/>
  <c r="H357" i="13" s="1"/>
  <c r="U356" i="13"/>
  <c r="H356" i="13" s="1"/>
  <c r="U355" i="13"/>
  <c r="H355" i="13" s="1"/>
  <c r="U354" i="13"/>
  <c r="H354" i="13" s="1"/>
  <c r="U353" i="13"/>
  <c r="H353" i="13" s="1"/>
  <c r="U352" i="13"/>
  <c r="H352" i="13" s="1"/>
  <c r="U351" i="13"/>
  <c r="H351" i="13" s="1"/>
  <c r="U350" i="13"/>
  <c r="H350" i="13" s="1"/>
  <c r="U349" i="13"/>
  <c r="H349" i="13" s="1"/>
  <c r="U348" i="13"/>
  <c r="H348" i="13" s="1"/>
  <c r="U347" i="13"/>
  <c r="H347" i="13" s="1"/>
  <c r="U346" i="13"/>
  <c r="H346" i="13" s="1"/>
  <c r="U345" i="13"/>
  <c r="H345" i="13" s="1"/>
  <c r="U344" i="13"/>
  <c r="H344" i="13" s="1"/>
  <c r="U343" i="13"/>
  <c r="H343" i="13" s="1"/>
  <c r="U342" i="13"/>
  <c r="H342" i="13" s="1"/>
  <c r="U341" i="13"/>
  <c r="H341" i="13" s="1"/>
  <c r="U340" i="13"/>
  <c r="H340" i="13" s="1"/>
  <c r="U339" i="13"/>
  <c r="H339" i="13" s="1"/>
  <c r="U338" i="13"/>
  <c r="H338" i="13" s="1"/>
  <c r="U337" i="13"/>
  <c r="H337" i="13" s="1"/>
  <c r="U336" i="13"/>
  <c r="H336" i="13" s="1"/>
  <c r="U335" i="13"/>
  <c r="H335" i="13" s="1"/>
  <c r="U334" i="13"/>
  <c r="H334" i="13" s="1"/>
  <c r="U333" i="13"/>
  <c r="H333" i="13" s="1"/>
  <c r="U332" i="13"/>
  <c r="H332" i="13" s="1"/>
  <c r="U331" i="13"/>
  <c r="H331" i="13" s="1"/>
  <c r="U330" i="13"/>
  <c r="H330" i="13" s="1"/>
  <c r="U329" i="13"/>
  <c r="H329" i="13" s="1"/>
  <c r="U328" i="13"/>
  <c r="H328" i="13" s="1"/>
  <c r="U327" i="13"/>
  <c r="H327" i="13" s="1"/>
  <c r="U326" i="13"/>
  <c r="H326" i="13" s="1"/>
  <c r="U325" i="13"/>
  <c r="H325" i="13" s="1"/>
  <c r="U324" i="13"/>
  <c r="H324" i="13" s="1"/>
  <c r="U323" i="13"/>
  <c r="H323" i="13" s="1"/>
  <c r="U322" i="13"/>
  <c r="H322" i="13" s="1"/>
  <c r="U321" i="13"/>
  <c r="H321" i="13" s="1"/>
  <c r="U320" i="13"/>
  <c r="H320" i="13" s="1"/>
  <c r="U319" i="13"/>
  <c r="H319" i="13" s="1"/>
  <c r="U318" i="13"/>
  <c r="H318" i="13" s="1"/>
  <c r="U317" i="13"/>
  <c r="H317" i="13" s="1"/>
  <c r="U316" i="13"/>
  <c r="H316" i="13" s="1"/>
  <c r="U315" i="13"/>
  <c r="H315" i="13" s="1"/>
  <c r="U314" i="13"/>
  <c r="H314" i="13" s="1"/>
  <c r="U313" i="13"/>
  <c r="H313" i="13" s="1"/>
  <c r="U312" i="13"/>
  <c r="H312" i="13" s="1"/>
  <c r="U311" i="13"/>
  <c r="H311" i="13" s="1"/>
  <c r="U310" i="13"/>
  <c r="H310" i="13" s="1"/>
  <c r="U309" i="13"/>
  <c r="H309" i="13" s="1"/>
  <c r="U308" i="13"/>
  <c r="H308" i="13" s="1"/>
  <c r="U307" i="13"/>
  <c r="H307" i="13" s="1"/>
  <c r="U306" i="13"/>
  <c r="H306" i="13" s="1"/>
  <c r="U305" i="13"/>
  <c r="H305" i="13" s="1"/>
  <c r="U304" i="13"/>
  <c r="H304" i="13" s="1"/>
  <c r="U303" i="13"/>
  <c r="H303" i="13" s="1"/>
  <c r="U302" i="13"/>
  <c r="H302" i="13" s="1"/>
  <c r="U301" i="13"/>
  <c r="H301" i="13" s="1"/>
  <c r="U300" i="13"/>
  <c r="H300" i="13" s="1"/>
  <c r="U299" i="13"/>
  <c r="H299" i="13" s="1"/>
  <c r="U298" i="13"/>
  <c r="H298" i="13" s="1"/>
  <c r="U297" i="13"/>
  <c r="H297" i="13" s="1"/>
  <c r="U296" i="13"/>
  <c r="H296" i="13" s="1"/>
  <c r="U295" i="13"/>
  <c r="H295" i="13" s="1"/>
  <c r="U294" i="13"/>
  <c r="H294" i="13" s="1"/>
  <c r="U293" i="13"/>
  <c r="H293" i="13" s="1"/>
  <c r="U292" i="13"/>
  <c r="H292" i="13" s="1"/>
  <c r="U291" i="13"/>
  <c r="H291" i="13" s="1"/>
  <c r="U290" i="13"/>
  <c r="H290" i="13" s="1"/>
  <c r="U289" i="13"/>
  <c r="H289" i="13" s="1"/>
  <c r="U288" i="13"/>
  <c r="H288" i="13" s="1"/>
  <c r="U287" i="13"/>
  <c r="H287" i="13" s="1"/>
  <c r="U286" i="13"/>
  <c r="H286" i="13" s="1"/>
  <c r="U285" i="13"/>
  <c r="H285" i="13" s="1"/>
  <c r="U284" i="13"/>
  <c r="H284" i="13" s="1"/>
  <c r="U283" i="13"/>
  <c r="H283" i="13" s="1"/>
  <c r="U282" i="13"/>
  <c r="U281" i="13"/>
  <c r="H281" i="13" s="1"/>
  <c r="U280" i="13"/>
  <c r="H280" i="13" s="1"/>
  <c r="U279" i="13"/>
  <c r="H279" i="13" s="1"/>
  <c r="U278" i="13"/>
  <c r="U277" i="13"/>
  <c r="H277" i="13" s="1"/>
  <c r="U276" i="13"/>
  <c r="H276" i="13" s="1"/>
  <c r="U275" i="13"/>
  <c r="H275" i="13" s="1"/>
  <c r="U274" i="13"/>
  <c r="U273" i="13"/>
  <c r="H273" i="13" s="1"/>
  <c r="U272" i="13"/>
  <c r="H272" i="13" s="1"/>
  <c r="U271" i="13"/>
  <c r="H271" i="13" s="1"/>
  <c r="U270" i="13"/>
  <c r="U269" i="13"/>
  <c r="H269" i="13" s="1"/>
  <c r="U268" i="13"/>
  <c r="H268" i="13" s="1"/>
  <c r="U267" i="13"/>
  <c r="H267" i="13" s="1"/>
  <c r="U266" i="13"/>
  <c r="U265" i="13"/>
  <c r="H265" i="13" s="1"/>
  <c r="U264" i="13"/>
  <c r="H264" i="13" s="1"/>
  <c r="U263" i="13"/>
  <c r="H263" i="13" s="1"/>
  <c r="U262" i="13"/>
  <c r="U261" i="13"/>
  <c r="H261" i="13" s="1"/>
  <c r="U260" i="13"/>
  <c r="H260" i="13" s="1"/>
  <c r="U259" i="13"/>
  <c r="H259" i="13" s="1"/>
  <c r="U258" i="13"/>
  <c r="U257" i="13"/>
  <c r="H257" i="13" s="1"/>
  <c r="U256" i="13"/>
  <c r="H256" i="13" s="1"/>
  <c r="U255" i="13"/>
  <c r="U254" i="13"/>
  <c r="H254" i="13" s="1"/>
  <c r="U253" i="13"/>
  <c r="H253" i="13" s="1"/>
  <c r="U252" i="13"/>
  <c r="H252" i="13" s="1"/>
  <c r="U251" i="13"/>
  <c r="H251" i="13" s="1"/>
  <c r="U250" i="13"/>
  <c r="U249" i="13"/>
  <c r="U248" i="13"/>
  <c r="H248" i="13" s="1"/>
  <c r="U247" i="13"/>
  <c r="U246" i="13"/>
  <c r="H246" i="13" s="1"/>
  <c r="U245" i="13"/>
  <c r="H245" i="13" s="1"/>
  <c r="U244" i="13"/>
  <c r="H244" i="13" s="1"/>
  <c r="U243" i="13"/>
  <c r="H243" i="13" s="1"/>
  <c r="U242" i="13"/>
  <c r="U241" i="13"/>
  <c r="U240" i="13"/>
  <c r="H240" i="13" s="1"/>
  <c r="U239" i="13"/>
  <c r="U238" i="13"/>
  <c r="H238" i="13" s="1"/>
  <c r="U237" i="13"/>
  <c r="H237" i="13" s="1"/>
  <c r="U236" i="13"/>
  <c r="H236" i="13" s="1"/>
  <c r="U235" i="13"/>
  <c r="H235" i="13" s="1"/>
  <c r="U234" i="13"/>
  <c r="U233" i="13"/>
  <c r="U232" i="13"/>
  <c r="H232" i="13" s="1"/>
  <c r="U231" i="13"/>
  <c r="U230" i="13"/>
  <c r="H230" i="13" s="1"/>
  <c r="U229" i="13"/>
  <c r="H229" i="13" s="1"/>
  <c r="U228" i="13"/>
  <c r="H228" i="13" s="1"/>
  <c r="U227" i="13"/>
  <c r="H227" i="13" s="1"/>
  <c r="U226" i="13"/>
  <c r="U225" i="13"/>
  <c r="U224" i="13"/>
  <c r="H224" i="13" s="1"/>
  <c r="U223" i="13"/>
  <c r="U222" i="13"/>
  <c r="H222" i="13" s="1"/>
  <c r="U221" i="13"/>
  <c r="H221" i="13" s="1"/>
  <c r="U220" i="13"/>
  <c r="H220" i="13" s="1"/>
  <c r="U219" i="13"/>
  <c r="H219" i="13" s="1"/>
  <c r="U218" i="13"/>
  <c r="U217" i="13"/>
  <c r="U216" i="13"/>
  <c r="H216" i="13" s="1"/>
  <c r="U215" i="13"/>
  <c r="U214" i="13"/>
  <c r="H214" i="13" s="1"/>
  <c r="U213" i="13"/>
  <c r="H213" i="13" s="1"/>
  <c r="U212" i="13"/>
  <c r="H212" i="13" s="1"/>
  <c r="U211" i="13"/>
  <c r="H211" i="13" s="1"/>
  <c r="U210" i="13"/>
  <c r="U209" i="13"/>
  <c r="U208" i="13"/>
  <c r="H208" i="13" s="1"/>
  <c r="U207" i="13"/>
  <c r="U206" i="13"/>
  <c r="H206" i="13" s="1"/>
  <c r="U205" i="13"/>
  <c r="U204" i="13"/>
  <c r="H204" i="13" s="1"/>
  <c r="U203" i="13"/>
  <c r="U202" i="13"/>
  <c r="H202" i="13" s="1"/>
  <c r="U201" i="13"/>
  <c r="U200" i="13"/>
  <c r="H200" i="13" s="1"/>
  <c r="U199" i="13"/>
  <c r="U198" i="13"/>
  <c r="H198" i="13" s="1"/>
  <c r="U197" i="13"/>
  <c r="U196" i="13"/>
  <c r="H196" i="13" s="1"/>
  <c r="U195" i="13"/>
  <c r="U194" i="13"/>
  <c r="H194" i="13" s="1"/>
  <c r="U193" i="13"/>
  <c r="U192" i="13"/>
  <c r="H192" i="13" s="1"/>
  <c r="U191" i="13"/>
  <c r="U190" i="13"/>
  <c r="H190" i="13" s="1"/>
  <c r="U189" i="13"/>
  <c r="U188" i="13"/>
  <c r="H188" i="13" s="1"/>
  <c r="U187" i="13"/>
  <c r="U186" i="13"/>
  <c r="H186" i="13" s="1"/>
  <c r="U185" i="13"/>
  <c r="U184" i="13"/>
  <c r="H184" i="13" s="1"/>
  <c r="U183" i="13"/>
  <c r="U182" i="13"/>
  <c r="H182" i="13" s="1"/>
  <c r="U181" i="13"/>
  <c r="U180" i="13"/>
  <c r="H180" i="13" s="1"/>
  <c r="U179" i="13"/>
  <c r="U178" i="13"/>
  <c r="H178" i="13" s="1"/>
  <c r="U177" i="13"/>
  <c r="U176" i="13"/>
  <c r="H176" i="13" s="1"/>
  <c r="U175" i="13"/>
  <c r="U174" i="13"/>
  <c r="H174" i="13" s="1"/>
  <c r="U173" i="13"/>
  <c r="U172" i="13"/>
  <c r="H172" i="13" s="1"/>
  <c r="U171" i="13"/>
  <c r="U170" i="13"/>
  <c r="H170" i="13" s="1"/>
  <c r="U169" i="13"/>
  <c r="U168" i="13"/>
  <c r="H168" i="13" s="1"/>
  <c r="U167" i="13"/>
  <c r="U166" i="13"/>
  <c r="H166" i="13" s="1"/>
  <c r="U165" i="13"/>
  <c r="U164" i="13"/>
  <c r="H164" i="13" s="1"/>
  <c r="U163" i="13"/>
  <c r="U162" i="13"/>
  <c r="H162" i="13" s="1"/>
  <c r="U161" i="13"/>
  <c r="U160" i="13"/>
  <c r="H160" i="13" s="1"/>
  <c r="U159" i="13"/>
  <c r="U158" i="13"/>
  <c r="H158" i="13" s="1"/>
  <c r="U157" i="13"/>
  <c r="U156" i="13"/>
  <c r="H156" i="13" s="1"/>
  <c r="U155" i="13"/>
  <c r="U154" i="13"/>
  <c r="H154" i="13" s="1"/>
  <c r="U153" i="13"/>
  <c r="U152" i="13"/>
  <c r="H152" i="13" s="1"/>
  <c r="U151" i="13"/>
  <c r="U150" i="13"/>
  <c r="H150" i="13" s="1"/>
  <c r="U149" i="13"/>
  <c r="U148" i="13"/>
  <c r="H148" i="13" s="1"/>
  <c r="U147" i="13"/>
  <c r="U146" i="13"/>
  <c r="H146" i="13" s="1"/>
  <c r="U145" i="13"/>
  <c r="U144" i="13"/>
  <c r="H144" i="13" s="1"/>
  <c r="U143" i="13"/>
  <c r="U142" i="13"/>
  <c r="H142" i="13" s="1"/>
  <c r="U141" i="13"/>
  <c r="U140" i="13"/>
  <c r="H140" i="13" s="1"/>
  <c r="U139" i="13"/>
  <c r="U138" i="13"/>
  <c r="H138" i="13" s="1"/>
  <c r="U137" i="13"/>
  <c r="U136" i="13"/>
  <c r="H136" i="13" s="1"/>
  <c r="U135" i="13"/>
  <c r="U134" i="13"/>
  <c r="H134" i="13" s="1"/>
  <c r="U133" i="13"/>
  <c r="U132" i="13"/>
  <c r="H132" i="13" s="1"/>
  <c r="U131" i="13"/>
  <c r="U130" i="13"/>
  <c r="H130" i="13" s="1"/>
  <c r="U129" i="13"/>
  <c r="U128" i="13"/>
  <c r="H128" i="13" s="1"/>
  <c r="U127" i="13"/>
  <c r="U126" i="13"/>
  <c r="H126" i="13" s="1"/>
  <c r="U125" i="13"/>
  <c r="U124" i="13"/>
  <c r="H124" i="13" s="1"/>
  <c r="U123" i="13"/>
  <c r="U122" i="13"/>
  <c r="H122" i="13" s="1"/>
  <c r="U121" i="13"/>
  <c r="U120" i="13"/>
  <c r="H120" i="13" s="1"/>
  <c r="U119" i="13"/>
  <c r="U118" i="13"/>
  <c r="H118" i="13" s="1"/>
  <c r="U117" i="13"/>
  <c r="U116" i="13"/>
  <c r="H116" i="13" s="1"/>
  <c r="U115" i="13"/>
  <c r="U114" i="13"/>
  <c r="H114" i="13" s="1"/>
  <c r="U113" i="13"/>
  <c r="U112" i="13"/>
  <c r="H112" i="13" s="1"/>
  <c r="U111" i="13"/>
  <c r="U110" i="13"/>
  <c r="H110" i="13" s="1"/>
  <c r="U109" i="13"/>
  <c r="H109" i="13" s="1"/>
  <c r="U108" i="13"/>
  <c r="H108" i="13" s="1"/>
  <c r="U107" i="13"/>
  <c r="H107" i="13" s="1"/>
  <c r="U106" i="13"/>
  <c r="U105" i="13"/>
  <c r="U104" i="13"/>
  <c r="H104" i="13" s="1"/>
  <c r="U103" i="13"/>
  <c r="U102" i="13"/>
  <c r="H102" i="13" s="1"/>
  <c r="U101" i="13"/>
  <c r="H101" i="13" s="1"/>
  <c r="U100" i="13"/>
  <c r="H100" i="13" s="1"/>
  <c r="U99" i="13"/>
  <c r="H99" i="13" s="1"/>
  <c r="U98" i="13"/>
  <c r="U97" i="13"/>
  <c r="U96" i="13"/>
  <c r="H96" i="13" s="1"/>
  <c r="U95" i="13"/>
  <c r="U94" i="13"/>
  <c r="H94" i="13" s="1"/>
  <c r="U93" i="13"/>
  <c r="H93" i="13" s="1"/>
  <c r="U92" i="13"/>
  <c r="H92" i="13" s="1"/>
  <c r="U91" i="13"/>
  <c r="H91" i="13" s="1"/>
  <c r="U90" i="13"/>
  <c r="U89" i="13"/>
  <c r="U88" i="13"/>
  <c r="H88" i="13" s="1"/>
  <c r="U87" i="13"/>
  <c r="U86" i="13"/>
  <c r="H86" i="13" s="1"/>
  <c r="U85" i="13"/>
  <c r="H85" i="13" s="1"/>
  <c r="U84" i="13"/>
  <c r="H84" i="13" s="1"/>
  <c r="U83" i="13"/>
  <c r="H83" i="13" s="1"/>
  <c r="U82" i="13"/>
  <c r="U81" i="13"/>
  <c r="U80" i="13"/>
  <c r="H80" i="13" s="1"/>
  <c r="U79" i="13"/>
  <c r="U78" i="13"/>
  <c r="H78" i="13" s="1"/>
  <c r="U77" i="13"/>
  <c r="H77" i="13" s="1"/>
  <c r="U76" i="13"/>
  <c r="H76" i="13" s="1"/>
  <c r="U75" i="13"/>
  <c r="H75" i="13" s="1"/>
  <c r="U74" i="13"/>
  <c r="U73" i="13"/>
  <c r="U72" i="13"/>
  <c r="H72" i="13" s="1"/>
  <c r="U71" i="13"/>
  <c r="U70" i="13"/>
  <c r="H70" i="13" s="1"/>
  <c r="U69" i="13"/>
  <c r="H69" i="13" s="1"/>
  <c r="U68" i="13"/>
  <c r="H68" i="13" s="1"/>
  <c r="U67" i="13"/>
  <c r="H67" i="13" s="1"/>
  <c r="U66" i="13"/>
  <c r="U65" i="13"/>
  <c r="U64" i="13"/>
  <c r="H64" i="13" s="1"/>
  <c r="U63" i="13"/>
  <c r="U62" i="13"/>
  <c r="H62" i="13" s="1"/>
  <c r="U61" i="13"/>
  <c r="H61" i="13" s="1"/>
  <c r="U60" i="13"/>
  <c r="H60" i="13" s="1"/>
  <c r="U59" i="13"/>
  <c r="H59" i="13" s="1"/>
  <c r="U58" i="13"/>
  <c r="U57" i="13"/>
  <c r="U56" i="13"/>
  <c r="H56" i="13" s="1"/>
  <c r="U55" i="13"/>
  <c r="U54" i="13"/>
  <c r="H54" i="13" s="1"/>
  <c r="U53" i="13"/>
  <c r="H53" i="13" s="1"/>
  <c r="U52" i="13"/>
  <c r="U51" i="13"/>
  <c r="H51" i="13" s="1"/>
  <c r="U50" i="13"/>
  <c r="U49" i="13"/>
  <c r="H49" i="13" s="1"/>
  <c r="U48" i="13"/>
  <c r="U47" i="13"/>
  <c r="H47" i="13" s="1"/>
  <c r="U46" i="13"/>
  <c r="U45" i="13"/>
  <c r="H45" i="13" s="1"/>
  <c r="U44" i="13"/>
  <c r="U43" i="13"/>
  <c r="H43" i="13" s="1"/>
  <c r="U42" i="13"/>
  <c r="U41" i="13"/>
  <c r="H41" i="13" s="1"/>
  <c r="U40" i="13"/>
  <c r="U39" i="13"/>
  <c r="H39" i="13" s="1"/>
  <c r="U38" i="13"/>
  <c r="U37" i="13"/>
  <c r="H37" i="13" s="1"/>
  <c r="U36" i="13"/>
  <c r="U35" i="13"/>
  <c r="H35" i="13" s="1"/>
  <c r="U34" i="13"/>
  <c r="U33" i="13"/>
  <c r="H33" i="13" s="1"/>
  <c r="U32" i="13"/>
  <c r="U31" i="13"/>
  <c r="H31" i="13" s="1"/>
  <c r="U30" i="13"/>
  <c r="U29" i="13"/>
  <c r="H29" i="13" s="1"/>
  <c r="U28" i="13"/>
  <c r="U27" i="13"/>
  <c r="H27" i="13" s="1"/>
  <c r="U26" i="13"/>
  <c r="U25" i="13"/>
  <c r="H25" i="13" s="1"/>
  <c r="U24" i="13"/>
  <c r="U23" i="13"/>
  <c r="H23" i="13" s="1"/>
  <c r="U22" i="13"/>
  <c r="U21" i="13"/>
  <c r="H21" i="13" s="1"/>
  <c r="U20" i="13"/>
  <c r="U19" i="13"/>
  <c r="H19" i="13" s="1"/>
  <c r="U18" i="13"/>
  <c r="U17" i="13"/>
  <c r="H17" i="13" s="1"/>
  <c r="U16" i="13"/>
  <c r="U15" i="13"/>
  <c r="H15" i="13" s="1"/>
  <c r="U14" i="13"/>
  <c r="U13" i="13"/>
  <c r="H13" i="13" s="1"/>
  <c r="U12" i="13"/>
  <c r="U11" i="13"/>
  <c r="H11" i="13" s="1"/>
  <c r="U10" i="13"/>
  <c r="H10" i="13" s="1"/>
  <c r="U9" i="13"/>
  <c r="H9" i="13" s="1"/>
  <c r="T6" i="13"/>
  <c r="S6" i="13"/>
  <c r="R6" i="13"/>
  <c r="BY438" i="4" l="1"/>
  <c r="H12" i="13"/>
  <c r="H14" i="13"/>
  <c r="H20" i="13"/>
  <c r="H22" i="13"/>
  <c r="H28" i="13"/>
  <c r="H30" i="13"/>
  <c r="H36" i="13"/>
  <c r="H38" i="13"/>
  <c r="H44" i="13"/>
  <c r="H46" i="13"/>
  <c r="H52" i="13"/>
  <c r="H65" i="13"/>
  <c r="H66" i="13"/>
  <c r="H71" i="13"/>
  <c r="H73" i="13"/>
  <c r="H74" i="13"/>
  <c r="H79" i="13"/>
  <c r="H97" i="13"/>
  <c r="H98" i="13"/>
  <c r="H103" i="13"/>
  <c r="H105" i="13"/>
  <c r="H106" i="13"/>
  <c r="H111" i="13"/>
  <c r="H113" i="13"/>
  <c r="H117" i="13"/>
  <c r="H119" i="13"/>
  <c r="H121" i="13"/>
  <c r="H125" i="13"/>
  <c r="H127" i="13"/>
  <c r="H129" i="13"/>
  <c r="H133" i="13"/>
  <c r="H135" i="13"/>
  <c r="H137" i="13"/>
  <c r="H141" i="13"/>
  <c r="H143" i="13"/>
  <c r="H145" i="13"/>
  <c r="H149" i="13"/>
  <c r="H151" i="13"/>
  <c r="H153" i="13"/>
  <c r="H157" i="13"/>
  <c r="H159" i="13"/>
  <c r="H161" i="13"/>
  <c r="H165" i="13"/>
  <c r="H167" i="13"/>
  <c r="H169" i="13"/>
  <c r="H173" i="13"/>
  <c r="H175" i="13"/>
  <c r="H177" i="13"/>
  <c r="H181" i="13"/>
  <c r="H183" i="13"/>
  <c r="H185" i="13"/>
  <c r="H189" i="13"/>
  <c r="H191" i="13"/>
  <c r="H193" i="13"/>
  <c r="H197" i="13"/>
  <c r="H199" i="13"/>
  <c r="H201" i="13"/>
  <c r="H205" i="13"/>
  <c r="H207" i="13"/>
  <c r="H209" i="13"/>
  <c r="H210" i="13"/>
  <c r="H215" i="13"/>
  <c r="H217" i="13"/>
  <c r="H218" i="13"/>
  <c r="H233" i="13"/>
  <c r="H234" i="13"/>
  <c r="H241" i="13"/>
  <c r="H242" i="13"/>
  <c r="H249" i="13"/>
  <c r="H250" i="13"/>
  <c r="H258" i="13"/>
  <c r="H262" i="13"/>
  <c r="H266" i="13"/>
  <c r="H270" i="13"/>
  <c r="H274" i="13"/>
  <c r="H278" i="13"/>
  <c r="H282" i="13"/>
  <c r="H16" i="13"/>
  <c r="H18" i="13"/>
  <c r="H24" i="13"/>
  <c r="H26" i="13"/>
  <c r="H32" i="13"/>
  <c r="H34" i="13"/>
  <c r="H40" i="13"/>
  <c r="H42" i="13"/>
  <c r="H48" i="13"/>
  <c r="H50" i="13"/>
  <c r="H55" i="13"/>
  <c r="H57" i="13"/>
  <c r="H58" i="13"/>
  <c r="H63" i="13"/>
  <c r="H81" i="13"/>
  <c r="H82" i="13"/>
  <c r="H87" i="13"/>
  <c r="H89" i="13"/>
  <c r="H90" i="13"/>
  <c r="H95" i="13"/>
  <c r="H115" i="13"/>
  <c r="H123" i="13"/>
  <c r="H131" i="13"/>
  <c r="H139" i="13"/>
  <c r="H147" i="13"/>
  <c r="H155" i="13"/>
  <c r="H163" i="13"/>
  <c r="H171" i="13"/>
  <c r="H179" i="13"/>
  <c r="H187" i="13"/>
  <c r="H195" i="13"/>
  <c r="H203" i="13"/>
  <c r="H223" i="13"/>
  <c r="H225" i="13"/>
  <c r="H226" i="13"/>
  <c r="H231" i="13"/>
  <c r="H239" i="13"/>
  <c r="H247" i="13"/>
  <c r="H255" i="13"/>
  <c r="H513" i="13"/>
  <c r="H514" i="13"/>
  <c r="H546" i="13"/>
  <c r="H538" i="13"/>
  <c r="H530" i="13"/>
  <c r="H522" i="13"/>
  <c r="H510" i="13"/>
  <c r="H8" i="13"/>
  <c r="H545" i="13"/>
  <c r="H537" i="13"/>
  <c r="H529" i="13"/>
  <c r="H521" i="13"/>
  <c r="AE295" i="3"/>
  <c r="AP295" i="3" s="1"/>
  <c r="CO295" i="3"/>
  <c r="DA295" i="3"/>
  <c r="BT295" i="3"/>
  <c r="BY295" i="3"/>
  <c r="CO438" i="4"/>
  <c r="AE438" i="4"/>
  <c r="AP438" i="4" s="1"/>
  <c r="AA438" i="4"/>
  <c r="Z438" i="4" s="1"/>
  <c r="AC438" i="4" s="1"/>
  <c r="BY437" i="4"/>
  <c r="AE436" i="4"/>
  <c r="AP436" i="4" s="1"/>
  <c r="AA436" i="4"/>
  <c r="Z436" i="4" s="1"/>
  <c r="AC436" i="4" s="1"/>
  <c r="AE437" i="4"/>
  <c r="AP437" i="4" s="1"/>
  <c r="AA437" i="4"/>
  <c r="Z437" i="4" s="1"/>
  <c r="AC437" i="4" s="1"/>
  <c r="BY436" i="4"/>
  <c r="BT436" i="4"/>
  <c r="BT435" i="4"/>
  <c r="BY435" i="4"/>
  <c r="CO435" i="4"/>
  <c r="AE435" i="4"/>
  <c r="AP435" i="4" s="1"/>
  <c r="AA435" i="4"/>
  <c r="Z435" i="4" s="1"/>
  <c r="AC435" i="4" s="1"/>
  <c r="V3" i="13"/>
  <c r="X3" i="13"/>
  <c r="Q3" i="13"/>
  <c r="W3" i="13"/>
  <c r="S3" i="13"/>
  <c r="U3" i="13"/>
  <c r="U6" i="13"/>
  <c r="H6" i="13" l="1"/>
  <c r="AV1" i="1" l="1"/>
  <c r="BE1135" i="1"/>
  <c r="BE3" i="1"/>
  <c r="AY3" i="1"/>
  <c r="BA3" i="1"/>
  <c r="CJ434" i="4"/>
  <c r="CE434" i="4"/>
  <c r="CH434" i="4" s="1"/>
  <c r="CI434" i="4" s="1"/>
  <c r="CC434" i="4"/>
  <c r="CD434" i="4" s="1"/>
  <c r="CB434" i="4"/>
  <c r="BW434" i="4"/>
  <c r="BX434" i="4" s="1"/>
  <c r="BQ434" i="4"/>
  <c r="BT434" i="4" s="1"/>
  <c r="BN434" i="4"/>
  <c r="BR434" i="4" s="1"/>
  <c r="BS434" i="4" s="1"/>
  <c r="BL434" i="4"/>
  <c r="BM434" i="4" s="1"/>
  <c r="BH434" i="4"/>
  <c r="BG434" i="4"/>
  <c r="BC434" i="4"/>
  <c r="BB434" i="4"/>
  <c r="AY434" i="4"/>
  <c r="AX434" i="4"/>
  <c r="AT434" i="4"/>
  <c r="AR434" i="4"/>
  <c r="AM434" i="4"/>
  <c r="AJ434" i="4"/>
  <c r="AI434" i="4"/>
  <c r="AG434" i="4"/>
  <c r="AF434" i="4"/>
  <c r="X434" i="4"/>
  <c r="U434" i="4"/>
  <c r="B434" i="4"/>
  <c r="CJ433" i="4"/>
  <c r="CE433" i="4"/>
  <c r="CH433" i="4" s="1"/>
  <c r="CI433" i="4" s="1"/>
  <c r="CC433" i="4"/>
  <c r="CD433" i="4" s="1"/>
  <c r="CB433" i="4"/>
  <c r="BW433" i="4"/>
  <c r="BX433" i="4" s="1"/>
  <c r="BQ433" i="4"/>
  <c r="BT433" i="4" s="1"/>
  <c r="BN433" i="4"/>
  <c r="BR433" i="4" s="1"/>
  <c r="BS433" i="4" s="1"/>
  <c r="BL433" i="4"/>
  <c r="BM433" i="4" s="1"/>
  <c r="BH433" i="4"/>
  <c r="BG433" i="4"/>
  <c r="BC433" i="4"/>
  <c r="BB433" i="4"/>
  <c r="AY433" i="4"/>
  <c r="AX433" i="4"/>
  <c r="AT433" i="4"/>
  <c r="AR433" i="4"/>
  <c r="AM433" i="4"/>
  <c r="AJ433" i="4"/>
  <c r="AI433" i="4"/>
  <c r="AG433" i="4"/>
  <c r="AF433" i="4"/>
  <c r="X433" i="4"/>
  <c r="U433" i="4"/>
  <c r="B433" i="4"/>
  <c r="AN434" i="4" l="1"/>
  <c r="BY434" i="4" s="1"/>
  <c r="AN433" i="4"/>
  <c r="CK433" i="4" s="1"/>
  <c r="J433" i="4"/>
  <c r="J434" i="4"/>
  <c r="V433" i="4"/>
  <c r="V434" i="4"/>
  <c r="L433" i="4"/>
  <c r="BD433" i="4" s="1"/>
  <c r="L434" i="4"/>
  <c r="BD434" i="4" s="1"/>
  <c r="K433" i="4"/>
  <c r="O433" i="4"/>
  <c r="K434" i="4"/>
  <c r="O434" i="4"/>
  <c r="B294" i="3"/>
  <c r="K294" i="3" s="1"/>
  <c r="G294" i="3"/>
  <c r="U294" i="3"/>
  <c r="X294" i="3"/>
  <c r="AF294" i="3"/>
  <c r="AI294" i="3"/>
  <c r="AJ294" i="3"/>
  <c r="AL294" i="3"/>
  <c r="AM294" i="3"/>
  <c r="AR294" i="3"/>
  <c r="AT294" i="3"/>
  <c r="AY294" i="3"/>
  <c r="BG294" i="3"/>
  <c r="BH294" i="3"/>
  <c r="BN294" i="3"/>
  <c r="BR294" i="3" s="1"/>
  <c r="BS294" i="3" s="1"/>
  <c r="BW294" i="3"/>
  <c r="BX294" i="3" s="1"/>
  <c r="CB294" i="3"/>
  <c r="CC294" i="3"/>
  <c r="CD294" i="3" s="1"/>
  <c r="CE294" i="3"/>
  <c r="CH294" i="3" s="1"/>
  <c r="CI294" i="3" s="1"/>
  <c r="CJ294" i="3"/>
  <c r="CJ432" i="4"/>
  <c r="CE432" i="4"/>
  <c r="CH432" i="4" s="1"/>
  <c r="CI432" i="4" s="1"/>
  <c r="CC432" i="4"/>
  <c r="CD432" i="4" s="1"/>
  <c r="CB432" i="4"/>
  <c r="BW432" i="4"/>
  <c r="BX432" i="4" s="1"/>
  <c r="BQ432" i="4"/>
  <c r="BT432" i="4" s="1"/>
  <c r="BN432" i="4"/>
  <c r="BR432" i="4" s="1"/>
  <c r="BS432" i="4" s="1"/>
  <c r="BL432" i="4"/>
  <c r="BM432" i="4" s="1"/>
  <c r="BH432" i="4"/>
  <c r="BG432" i="4"/>
  <c r="BC432" i="4"/>
  <c r="BB432" i="4"/>
  <c r="AY432" i="4"/>
  <c r="AX432" i="4"/>
  <c r="AT432" i="4"/>
  <c r="AR432" i="4"/>
  <c r="AM432" i="4"/>
  <c r="AJ432" i="4"/>
  <c r="AI432" i="4"/>
  <c r="AG432" i="4"/>
  <c r="AF432" i="4"/>
  <c r="X432" i="4"/>
  <c r="U432" i="4"/>
  <c r="B432" i="4"/>
  <c r="CJ431" i="4"/>
  <c r="CE431" i="4"/>
  <c r="CH431" i="4" s="1"/>
  <c r="CI431" i="4" s="1"/>
  <c r="CC431" i="4"/>
  <c r="CD431" i="4" s="1"/>
  <c r="CB431" i="4"/>
  <c r="BW431" i="4"/>
  <c r="BX431" i="4" s="1"/>
  <c r="BQ431" i="4"/>
  <c r="BT431" i="4" s="1"/>
  <c r="BN431" i="4"/>
  <c r="BR431" i="4" s="1"/>
  <c r="BS431" i="4" s="1"/>
  <c r="BL431" i="4"/>
  <c r="BM431" i="4" s="1"/>
  <c r="BH431" i="4"/>
  <c r="BG431" i="4"/>
  <c r="BC431" i="4"/>
  <c r="BB431" i="4"/>
  <c r="AY431" i="4"/>
  <c r="AX431" i="4"/>
  <c r="AT431" i="4"/>
  <c r="AR431" i="4"/>
  <c r="AM431" i="4"/>
  <c r="AJ431" i="4"/>
  <c r="AI431" i="4"/>
  <c r="AG431" i="4"/>
  <c r="AF431" i="4"/>
  <c r="X431" i="4"/>
  <c r="U431" i="4"/>
  <c r="B431" i="4"/>
  <c r="CJ430" i="4"/>
  <c r="CE430" i="4"/>
  <c r="CH430" i="4" s="1"/>
  <c r="CI430" i="4" s="1"/>
  <c r="CC430" i="4"/>
  <c r="CD430" i="4" s="1"/>
  <c r="CB430" i="4"/>
  <c r="BW430" i="4"/>
  <c r="BX430" i="4" s="1"/>
  <c r="BQ430" i="4"/>
  <c r="BT430" i="4" s="1"/>
  <c r="BN430" i="4"/>
  <c r="BR430" i="4" s="1"/>
  <c r="BS430" i="4" s="1"/>
  <c r="BL430" i="4"/>
  <c r="BM430" i="4" s="1"/>
  <c r="BH430" i="4"/>
  <c r="BG430" i="4"/>
  <c r="BC430" i="4"/>
  <c r="BB430" i="4"/>
  <c r="AY430" i="4"/>
  <c r="AX430" i="4"/>
  <c r="AT430" i="4"/>
  <c r="AR430" i="4"/>
  <c r="AM430" i="4"/>
  <c r="AJ430" i="4"/>
  <c r="AI430" i="4"/>
  <c r="AG430" i="4"/>
  <c r="AF430" i="4"/>
  <c r="X430" i="4"/>
  <c r="U430" i="4"/>
  <c r="B430" i="4"/>
  <c r="CJ429" i="4"/>
  <c r="CE429" i="4"/>
  <c r="CH429" i="4" s="1"/>
  <c r="CI429" i="4" s="1"/>
  <c r="CC429" i="4"/>
  <c r="CD429" i="4" s="1"/>
  <c r="CB429" i="4"/>
  <c r="BW429" i="4"/>
  <c r="BX429" i="4" s="1"/>
  <c r="BQ429" i="4"/>
  <c r="BT429" i="4" s="1"/>
  <c r="BN429" i="4"/>
  <c r="BR429" i="4" s="1"/>
  <c r="BS429" i="4" s="1"/>
  <c r="BL429" i="4"/>
  <c r="BM429" i="4" s="1"/>
  <c r="BH429" i="4"/>
  <c r="BG429" i="4"/>
  <c r="BC429" i="4"/>
  <c r="BB429" i="4"/>
  <c r="AY429" i="4"/>
  <c r="AX429" i="4"/>
  <c r="AT429" i="4"/>
  <c r="AR429" i="4"/>
  <c r="AM429" i="4"/>
  <c r="AJ429" i="4"/>
  <c r="AI429" i="4"/>
  <c r="AG429" i="4"/>
  <c r="AF429" i="4"/>
  <c r="X429" i="4"/>
  <c r="U429" i="4"/>
  <c r="B429" i="4"/>
  <c r="CJ428" i="4"/>
  <c r="CE428" i="4"/>
  <c r="CH428" i="4" s="1"/>
  <c r="CI428" i="4" s="1"/>
  <c r="CC428" i="4"/>
  <c r="CD428" i="4" s="1"/>
  <c r="CB428" i="4"/>
  <c r="BW428" i="4"/>
  <c r="BX428" i="4" s="1"/>
  <c r="BQ428" i="4"/>
  <c r="BT428" i="4" s="1"/>
  <c r="BN428" i="4"/>
  <c r="BR428" i="4" s="1"/>
  <c r="BS428" i="4" s="1"/>
  <c r="BL428" i="4"/>
  <c r="BM428" i="4" s="1"/>
  <c r="BH428" i="4"/>
  <c r="BG428" i="4"/>
  <c r="BC428" i="4"/>
  <c r="BB428" i="4"/>
  <c r="AY428" i="4"/>
  <c r="AX428" i="4"/>
  <c r="AT428" i="4"/>
  <c r="AR428" i="4"/>
  <c r="AM428" i="4"/>
  <c r="AJ428" i="4"/>
  <c r="AI428" i="4"/>
  <c r="AG428" i="4"/>
  <c r="AF428" i="4"/>
  <c r="X428" i="4"/>
  <c r="U428" i="4"/>
  <c r="B428" i="4"/>
  <c r="CJ427" i="4"/>
  <c r="CE427" i="4"/>
  <c r="CH427" i="4" s="1"/>
  <c r="CI427" i="4" s="1"/>
  <c r="CC427" i="4"/>
  <c r="CD427" i="4" s="1"/>
  <c r="CB427" i="4"/>
  <c r="BW427" i="4"/>
  <c r="BX427" i="4" s="1"/>
  <c r="BQ427" i="4"/>
  <c r="BT427" i="4" s="1"/>
  <c r="BN427" i="4"/>
  <c r="BR427" i="4" s="1"/>
  <c r="BS427" i="4" s="1"/>
  <c r="BL427" i="4"/>
  <c r="BM427" i="4" s="1"/>
  <c r="BH427" i="4"/>
  <c r="BG427" i="4"/>
  <c r="BC427" i="4"/>
  <c r="BB427" i="4"/>
  <c r="AY427" i="4"/>
  <c r="AX427" i="4"/>
  <c r="AT427" i="4"/>
  <c r="AR427" i="4"/>
  <c r="AM427" i="4"/>
  <c r="AJ427" i="4"/>
  <c r="AI427" i="4"/>
  <c r="AG427" i="4"/>
  <c r="AF427" i="4"/>
  <c r="X427" i="4"/>
  <c r="U427" i="4"/>
  <c r="B427" i="4"/>
  <c r="CJ426" i="4"/>
  <c r="CE426" i="4"/>
  <c r="CH426" i="4" s="1"/>
  <c r="CI426" i="4" s="1"/>
  <c r="CC426" i="4"/>
  <c r="CD426" i="4" s="1"/>
  <c r="CB426" i="4"/>
  <c r="BW426" i="4"/>
  <c r="BX426" i="4" s="1"/>
  <c r="BQ426" i="4"/>
  <c r="BT426" i="4" s="1"/>
  <c r="BN426" i="4"/>
  <c r="BR426" i="4" s="1"/>
  <c r="BS426" i="4" s="1"/>
  <c r="BL426" i="4"/>
  <c r="BM426" i="4" s="1"/>
  <c r="BH426" i="4"/>
  <c r="BG426" i="4"/>
  <c r="BC426" i="4"/>
  <c r="BB426" i="4"/>
  <c r="AY426" i="4"/>
  <c r="AX426" i="4"/>
  <c r="AT426" i="4"/>
  <c r="AR426" i="4"/>
  <c r="AM426" i="4"/>
  <c r="AJ426" i="4"/>
  <c r="AI426" i="4"/>
  <c r="AG426" i="4"/>
  <c r="AF426" i="4"/>
  <c r="X426" i="4"/>
  <c r="U426" i="4"/>
  <c r="B426" i="4"/>
  <c r="CK434" i="4" l="1"/>
  <c r="BY433" i="4"/>
  <c r="BI433" i="4"/>
  <c r="BI434" i="4"/>
  <c r="AE434" i="4"/>
  <c r="AP434" i="4" s="1"/>
  <c r="AA434" i="4"/>
  <c r="Z434" i="4" s="1"/>
  <c r="AC434" i="4" s="1"/>
  <c r="AE433" i="4"/>
  <c r="AP433" i="4" s="1"/>
  <c r="AA433" i="4"/>
  <c r="Z433" i="4" s="1"/>
  <c r="AC433" i="4" s="1"/>
  <c r="J294" i="3"/>
  <c r="AN426" i="4"/>
  <c r="BY426" i="4" s="1"/>
  <c r="AN427" i="4"/>
  <c r="CK427" i="4" s="1"/>
  <c r="AN428" i="4"/>
  <c r="BY428" i="4" s="1"/>
  <c r="AN429" i="4"/>
  <c r="CK429" i="4" s="1"/>
  <c r="AN430" i="4"/>
  <c r="CK430" i="4" s="1"/>
  <c r="AN431" i="4"/>
  <c r="BY431" i="4" s="1"/>
  <c r="AN432" i="4"/>
  <c r="BY432" i="4" s="1"/>
  <c r="AN294" i="3"/>
  <c r="BY294" i="3" s="1"/>
  <c r="L294" i="3"/>
  <c r="BQ294" i="3"/>
  <c r="BT294" i="3" s="1"/>
  <c r="BL294" i="3"/>
  <c r="BM294" i="3" s="1"/>
  <c r="BB294" i="3"/>
  <c r="AX294" i="3"/>
  <c r="AG294" i="3"/>
  <c r="V294" i="3"/>
  <c r="O294" i="3"/>
  <c r="AA294" i="3" s="1"/>
  <c r="Z294" i="3" s="1"/>
  <c r="AC294" i="3" s="1"/>
  <c r="K426" i="4"/>
  <c r="O426" i="4"/>
  <c r="K427" i="4"/>
  <c r="V427" i="4"/>
  <c r="J426" i="4"/>
  <c r="L426" i="4"/>
  <c r="J427" i="4"/>
  <c r="L427" i="4"/>
  <c r="J428" i="4"/>
  <c r="L428" i="4"/>
  <c r="J429" i="4"/>
  <c r="L429" i="4"/>
  <c r="J430" i="4"/>
  <c r="L430" i="4"/>
  <c r="J431" i="4"/>
  <c r="L431" i="4"/>
  <c r="J432" i="4"/>
  <c r="L432" i="4"/>
  <c r="V426" i="4"/>
  <c r="O427" i="4"/>
  <c r="K428" i="4"/>
  <c r="O428" i="4"/>
  <c r="V428" i="4"/>
  <c r="K429" i="4"/>
  <c r="O429" i="4"/>
  <c r="V429" i="4"/>
  <c r="K430" i="4"/>
  <c r="O430" i="4"/>
  <c r="V430" i="4"/>
  <c r="K431" i="4"/>
  <c r="O431" i="4"/>
  <c r="V431" i="4"/>
  <c r="K432" i="4"/>
  <c r="O432" i="4"/>
  <c r="V432" i="4"/>
  <c r="B4" i="1"/>
  <c r="CG4" i="1" l="1"/>
  <c r="CJ4" i="1" s="1"/>
  <c r="CS4" i="1"/>
  <c r="CT4" i="1" s="1"/>
  <c r="BN4" i="1"/>
  <c r="CB4" i="1"/>
  <c r="CC4" i="1" s="1"/>
  <c r="AN4" i="1"/>
  <c r="BK4" i="1"/>
  <c r="O4" i="1"/>
  <c r="V4" i="1"/>
  <c r="J4" i="1"/>
  <c r="L4" i="1"/>
  <c r="K4" i="1"/>
  <c r="CK426" i="4"/>
  <c r="BY430" i="4"/>
  <c r="BY427" i="4"/>
  <c r="CK431" i="4"/>
  <c r="BY429" i="4"/>
  <c r="CK428" i="4"/>
  <c r="CK432" i="4"/>
  <c r="AE294" i="3"/>
  <c r="AP294" i="3" s="1"/>
  <c r="BI294" i="3"/>
  <c r="CK294" i="3"/>
  <c r="AE431" i="4"/>
  <c r="AP431" i="4" s="1"/>
  <c r="AA431" i="4"/>
  <c r="Z431" i="4" s="1"/>
  <c r="AC431" i="4" s="1"/>
  <c r="AE429" i="4"/>
  <c r="AP429" i="4" s="1"/>
  <c r="AA429" i="4"/>
  <c r="Z429" i="4" s="1"/>
  <c r="AC429" i="4" s="1"/>
  <c r="AE432" i="4"/>
  <c r="AP432" i="4" s="1"/>
  <c r="AA432" i="4"/>
  <c r="Z432" i="4" s="1"/>
  <c r="AC432" i="4" s="1"/>
  <c r="AE430" i="4"/>
  <c r="AP430" i="4" s="1"/>
  <c r="AA430" i="4"/>
  <c r="Z430" i="4" s="1"/>
  <c r="AC430" i="4" s="1"/>
  <c r="AE428" i="4"/>
  <c r="AP428" i="4" s="1"/>
  <c r="AA428" i="4"/>
  <c r="Z428" i="4" s="1"/>
  <c r="AC428" i="4" s="1"/>
  <c r="AE427" i="4"/>
  <c r="AP427" i="4" s="1"/>
  <c r="AA427" i="4"/>
  <c r="Z427" i="4" s="1"/>
  <c r="AC427" i="4" s="1"/>
  <c r="BD432" i="4"/>
  <c r="BI432" i="4"/>
  <c r="BD431" i="4"/>
  <c r="BI431" i="4"/>
  <c r="BD430" i="4"/>
  <c r="BI430" i="4"/>
  <c r="BD429" i="4"/>
  <c r="BI429" i="4"/>
  <c r="BD428" i="4"/>
  <c r="BI428" i="4"/>
  <c r="BI427" i="4"/>
  <c r="BD427" i="4"/>
  <c r="BI426" i="4"/>
  <c r="BD426" i="4"/>
  <c r="AE426" i="4"/>
  <c r="AP426" i="4" s="1"/>
  <c r="AA426" i="4"/>
  <c r="Z426" i="4" s="1"/>
  <c r="AC426" i="4" s="1"/>
  <c r="CJ425" i="4"/>
  <c r="CE425" i="4"/>
  <c r="CH425" i="4" s="1"/>
  <c r="CI425" i="4" s="1"/>
  <c r="CC425" i="4"/>
  <c r="CD425" i="4" s="1"/>
  <c r="CB425" i="4"/>
  <c r="BW425" i="4"/>
  <c r="BX425" i="4" s="1"/>
  <c r="BQ425" i="4"/>
  <c r="BT425" i="4" s="1"/>
  <c r="BN425" i="4"/>
  <c r="BR425" i="4" s="1"/>
  <c r="BS425" i="4" s="1"/>
  <c r="BL425" i="4"/>
  <c r="BM425" i="4" s="1"/>
  <c r="BH425" i="4"/>
  <c r="BG425" i="4"/>
  <c r="BC425" i="4"/>
  <c r="BB425" i="4"/>
  <c r="AY425" i="4"/>
  <c r="AX425" i="4"/>
  <c r="AT425" i="4"/>
  <c r="AR425" i="4"/>
  <c r="AM425" i="4"/>
  <c r="AJ425" i="4"/>
  <c r="AI425" i="4"/>
  <c r="AG425" i="4"/>
  <c r="AF425" i="4"/>
  <c r="X425" i="4"/>
  <c r="U425" i="4"/>
  <c r="B425" i="4"/>
  <c r="CJ424" i="4"/>
  <c r="CE424" i="4"/>
  <c r="CH424" i="4" s="1"/>
  <c r="CI424" i="4" s="1"/>
  <c r="CC424" i="4"/>
  <c r="CD424" i="4" s="1"/>
  <c r="CB424" i="4"/>
  <c r="BW424" i="4"/>
  <c r="BX424" i="4" s="1"/>
  <c r="BQ424" i="4"/>
  <c r="BT424" i="4" s="1"/>
  <c r="BN424" i="4"/>
  <c r="BR424" i="4" s="1"/>
  <c r="BS424" i="4" s="1"/>
  <c r="BL424" i="4"/>
  <c r="BM424" i="4" s="1"/>
  <c r="BH424" i="4"/>
  <c r="BG424" i="4"/>
  <c r="BC424" i="4"/>
  <c r="BB424" i="4"/>
  <c r="AY424" i="4"/>
  <c r="AX424" i="4"/>
  <c r="AT424" i="4"/>
  <c r="AR424" i="4"/>
  <c r="AM424" i="4"/>
  <c r="AJ424" i="4"/>
  <c r="AI424" i="4"/>
  <c r="AG424" i="4"/>
  <c r="AF424" i="4"/>
  <c r="X424" i="4"/>
  <c r="U424" i="4"/>
  <c r="B424" i="4"/>
  <c r="CO4" i="1" l="1"/>
  <c r="DA4" i="1"/>
  <c r="BT4" i="1"/>
  <c r="BY4" i="1"/>
  <c r="AA4" i="1"/>
  <c r="Z4" i="1" s="1"/>
  <c r="AC4" i="1" s="1"/>
  <c r="AE4" i="1"/>
  <c r="AP4" i="1" s="1"/>
  <c r="AN425" i="4"/>
  <c r="BY425" i="4" s="1"/>
  <c r="AN424" i="4"/>
  <c r="BY424" i="4" s="1"/>
  <c r="J425" i="4"/>
  <c r="L425" i="4"/>
  <c r="K425" i="4"/>
  <c r="O425" i="4"/>
  <c r="V425" i="4"/>
  <c r="K424" i="4"/>
  <c r="V424" i="4"/>
  <c r="J424" i="4"/>
  <c r="L424" i="4"/>
  <c r="O424" i="4"/>
  <c r="B407" i="5"/>
  <c r="B408" i="5"/>
  <c r="B409" i="5"/>
  <c r="B404" i="5"/>
  <c r="B405" i="5"/>
  <c r="B406" i="5"/>
  <c r="B401" i="5"/>
  <c r="B402" i="5"/>
  <c r="B403" i="5"/>
  <c r="B399" i="5"/>
  <c r="B400" i="5"/>
  <c r="CK425" i="4" l="1"/>
  <c r="CK424" i="4"/>
  <c r="AE425" i="4"/>
  <c r="AP425" i="4" s="1"/>
  <c r="AA425" i="4"/>
  <c r="Z425" i="4" s="1"/>
  <c r="AC425" i="4" s="1"/>
  <c r="BD425" i="4"/>
  <c r="BI425" i="4"/>
  <c r="AE424" i="4"/>
  <c r="AP424" i="4" s="1"/>
  <c r="AA424" i="4"/>
  <c r="Z424" i="4" s="1"/>
  <c r="AC424" i="4" s="1"/>
  <c r="BD424" i="4"/>
  <c r="BI424" i="4"/>
  <c r="B2" i="15"/>
  <c r="K89" i="16"/>
  <c r="L89" i="16"/>
  <c r="M89" i="16"/>
  <c r="J89" i="16"/>
  <c r="CJ423" i="4" l="1"/>
  <c r="CE423" i="4"/>
  <c r="CH423" i="4" s="1"/>
  <c r="CI423" i="4" s="1"/>
  <c r="CC423" i="4"/>
  <c r="CD423" i="4" s="1"/>
  <c r="CB423" i="4"/>
  <c r="BW423" i="4"/>
  <c r="BX423" i="4" s="1"/>
  <c r="BN423" i="4"/>
  <c r="BR423" i="4" s="1"/>
  <c r="BS423" i="4" s="1"/>
  <c r="BG423" i="4"/>
  <c r="BC423" i="4"/>
  <c r="BB423" i="4"/>
  <c r="AY423" i="4"/>
  <c r="AX423" i="4"/>
  <c r="AT423" i="4"/>
  <c r="AR423" i="4"/>
  <c r="AM423" i="4"/>
  <c r="AJ423" i="4"/>
  <c r="AI423" i="4"/>
  <c r="AG423" i="4"/>
  <c r="AF423" i="4"/>
  <c r="X423" i="4"/>
  <c r="U423" i="4"/>
  <c r="B423" i="4"/>
  <c r="L423" i="4" s="1"/>
  <c r="CJ422" i="4"/>
  <c r="CE422" i="4"/>
  <c r="CH422" i="4" s="1"/>
  <c r="CI422" i="4" s="1"/>
  <c r="CC422" i="4"/>
  <c r="CD422" i="4" s="1"/>
  <c r="CB422" i="4"/>
  <c r="BW422" i="4"/>
  <c r="BX422" i="4" s="1"/>
  <c r="BN422" i="4"/>
  <c r="BR422" i="4" s="1"/>
  <c r="BS422" i="4" s="1"/>
  <c r="BH422" i="4"/>
  <c r="BG422" i="4"/>
  <c r="BC422" i="4"/>
  <c r="BB422" i="4"/>
  <c r="AY422" i="4"/>
  <c r="AT422" i="4"/>
  <c r="AR422" i="4"/>
  <c r="AM422" i="4"/>
  <c r="AJ422" i="4"/>
  <c r="AI422" i="4"/>
  <c r="AG422" i="4"/>
  <c r="AF422" i="4"/>
  <c r="X422" i="4"/>
  <c r="U422" i="4"/>
  <c r="B422" i="4"/>
  <c r="L422" i="4" s="1"/>
  <c r="CJ293" i="3"/>
  <c r="CE293" i="3"/>
  <c r="CH293" i="3" s="1"/>
  <c r="CI293" i="3" s="1"/>
  <c r="CB293" i="3"/>
  <c r="BW293" i="3"/>
  <c r="BX293" i="3" s="1"/>
  <c r="BN293" i="3"/>
  <c r="BR293" i="3" s="1"/>
  <c r="BS293" i="3" s="1"/>
  <c r="BH293" i="3"/>
  <c r="BG293" i="3"/>
  <c r="BB293" i="3"/>
  <c r="AY293" i="3"/>
  <c r="AT293" i="3"/>
  <c r="AR293" i="3"/>
  <c r="AM293" i="3"/>
  <c r="AL293" i="3"/>
  <c r="AJ293" i="3"/>
  <c r="AI293" i="3"/>
  <c r="AG293" i="3"/>
  <c r="AF293" i="3"/>
  <c r="X293" i="3"/>
  <c r="U293" i="3"/>
  <c r="G293" i="3"/>
  <c r="B293" i="3"/>
  <c r="L293" i="3" s="1"/>
  <c r="CJ292" i="3"/>
  <c r="CE292" i="3"/>
  <c r="CH292" i="3" s="1"/>
  <c r="CI292" i="3" s="1"/>
  <c r="CB292" i="3"/>
  <c r="BW292" i="3"/>
  <c r="BX292" i="3" s="1"/>
  <c r="BN292" i="3"/>
  <c r="BR292" i="3" s="1"/>
  <c r="BS292" i="3" s="1"/>
  <c r="BH292" i="3"/>
  <c r="BG292" i="3"/>
  <c r="BB292" i="3"/>
  <c r="AY292" i="3"/>
  <c r="AT292" i="3"/>
  <c r="AR292" i="3"/>
  <c r="AM292" i="3"/>
  <c r="AL292" i="3"/>
  <c r="AJ292" i="3"/>
  <c r="AI292" i="3"/>
  <c r="AG292" i="3"/>
  <c r="AF292" i="3"/>
  <c r="X292" i="3"/>
  <c r="U292" i="3"/>
  <c r="B292" i="3"/>
  <c r="L292" i="3" s="1"/>
  <c r="CJ291" i="3"/>
  <c r="CE291" i="3"/>
  <c r="CH291" i="3" s="1"/>
  <c r="CI291" i="3" s="1"/>
  <c r="CC291" i="3"/>
  <c r="CD291" i="3" s="1"/>
  <c r="CB291" i="3"/>
  <c r="BW291" i="3"/>
  <c r="BX291" i="3" s="1"/>
  <c r="BN291" i="3"/>
  <c r="BR291" i="3" s="1"/>
  <c r="BS291" i="3" s="1"/>
  <c r="BH291" i="3"/>
  <c r="BG291" i="3"/>
  <c r="AY291" i="3"/>
  <c r="AT291" i="3"/>
  <c r="AR291" i="3"/>
  <c r="AM291" i="3"/>
  <c r="AL291" i="3"/>
  <c r="AJ291" i="3"/>
  <c r="AI291" i="3"/>
  <c r="AG291" i="3"/>
  <c r="AF291" i="3"/>
  <c r="X291" i="3"/>
  <c r="U291" i="3"/>
  <c r="B291" i="3"/>
  <c r="L291" i="3" s="1"/>
  <c r="BJ283" i="3"/>
  <c r="BN283" i="3" s="1"/>
  <c r="BO283" i="3" s="1"/>
  <c r="BJ284" i="3"/>
  <c r="BN284" i="3" s="1"/>
  <c r="BO284" i="3" s="1"/>
  <c r="BG285" i="3"/>
  <c r="BH285" i="3"/>
  <c r="BG288" i="3"/>
  <c r="BH288" i="3"/>
  <c r="BG289" i="3"/>
  <c r="BH289" i="3"/>
  <c r="BG290" i="3"/>
  <c r="BH290" i="3"/>
  <c r="BS283" i="3"/>
  <c r="BT283" i="3" s="1"/>
  <c r="BS284" i="3"/>
  <c r="BT284" i="3" s="1"/>
  <c r="BN285" i="3"/>
  <c r="BR285" i="3" s="1"/>
  <c r="BS285" i="3" s="1"/>
  <c r="BN288" i="3"/>
  <c r="BR288" i="3" s="1"/>
  <c r="BS288" i="3" s="1"/>
  <c r="BN289" i="3"/>
  <c r="BR289" i="3" s="1"/>
  <c r="BS289" i="3" s="1"/>
  <c r="BN290" i="3"/>
  <c r="BR290" i="3" s="1"/>
  <c r="BS290" i="3" s="1"/>
  <c r="B283" i="3"/>
  <c r="BM283" i="3" s="1"/>
  <c r="BP283" i="3" s="1"/>
  <c r="G283" i="3"/>
  <c r="U283" i="3"/>
  <c r="X283" i="3"/>
  <c r="AF283" i="3"/>
  <c r="AG283" i="3"/>
  <c r="AI283" i="3"/>
  <c r="AJ283" i="3"/>
  <c r="AL283" i="3"/>
  <c r="AM283" i="3"/>
  <c r="AR283" i="3"/>
  <c r="AT283" i="3"/>
  <c r="AY283" i="3"/>
  <c r="BX283" i="3"/>
  <c r="BY283" i="3"/>
  <c r="BZ283" i="3" s="1"/>
  <c r="CA283" i="3"/>
  <c r="CD283" i="3" s="1"/>
  <c r="CE283" i="3" s="1"/>
  <c r="CF283" i="3"/>
  <c r="CR283" i="3"/>
  <c r="CU283" i="3"/>
  <c r="B284" i="3"/>
  <c r="K284" i="3" s="1"/>
  <c r="G284" i="3"/>
  <c r="U284" i="3"/>
  <c r="X284" i="3"/>
  <c r="AF284" i="3"/>
  <c r="AG284" i="3"/>
  <c r="AI284" i="3"/>
  <c r="AJ284" i="3"/>
  <c r="AL284" i="3"/>
  <c r="AM284" i="3"/>
  <c r="AR284" i="3"/>
  <c r="AT284" i="3"/>
  <c r="AY284" i="3"/>
  <c r="BX284" i="3"/>
  <c r="CA284" i="3"/>
  <c r="CD284" i="3" s="1"/>
  <c r="CE284" i="3" s="1"/>
  <c r="CF284" i="3"/>
  <c r="CM284" i="3"/>
  <c r="CR284" i="3"/>
  <c r="CU284" i="3"/>
  <c r="B285" i="3"/>
  <c r="BQ285" i="3" s="1"/>
  <c r="BT285" i="3" s="1"/>
  <c r="G285" i="3"/>
  <c r="U285" i="3"/>
  <c r="X285" i="3"/>
  <c r="AF285" i="3"/>
  <c r="AG285" i="3"/>
  <c r="AI285" i="3"/>
  <c r="AJ285" i="3"/>
  <c r="AL285" i="3"/>
  <c r="AM285" i="3"/>
  <c r="AR285" i="3"/>
  <c r="AT285" i="3"/>
  <c r="AY285" i="3"/>
  <c r="BB285" i="3"/>
  <c r="BW285" i="3"/>
  <c r="BX285" i="3" s="1"/>
  <c r="CB285" i="3"/>
  <c r="CE285" i="3"/>
  <c r="CH285" i="3" s="1"/>
  <c r="CI285" i="3" s="1"/>
  <c r="CJ285" i="3"/>
  <c r="CQ285" i="3"/>
  <c r="CV285" i="3"/>
  <c r="CY285" i="3"/>
  <c r="CE286" i="3"/>
  <c r="CE287" i="3"/>
  <c r="CH287" i="3" s="1"/>
  <c r="CI287" i="3" s="1"/>
  <c r="BW288" i="3"/>
  <c r="BX288" i="3" s="1"/>
  <c r="CB288" i="3"/>
  <c r="CC288" i="3"/>
  <c r="CD288" i="3" s="1"/>
  <c r="CE288" i="3"/>
  <c r="CH288" i="3" s="1"/>
  <c r="CI288" i="3" s="1"/>
  <c r="BW289" i="3"/>
  <c r="BX289" i="3" s="1"/>
  <c r="CB289" i="3"/>
  <c r="CE289" i="3"/>
  <c r="CH289" i="3" s="1"/>
  <c r="CI289" i="3" s="1"/>
  <c r="BW290" i="3"/>
  <c r="BX290" i="3" s="1"/>
  <c r="CB290" i="3"/>
  <c r="CE290" i="3"/>
  <c r="CH290" i="3" s="1"/>
  <c r="CI290" i="3" s="1"/>
  <c r="CH286" i="3"/>
  <c r="CI286" i="3" s="1"/>
  <c r="CJ286" i="3"/>
  <c r="CJ287" i="3"/>
  <c r="CJ288" i="3"/>
  <c r="CJ289" i="3"/>
  <c r="CJ290" i="3"/>
  <c r="CQ287" i="3"/>
  <c r="CV287" i="3"/>
  <c r="CY286" i="3"/>
  <c r="CY287" i="3"/>
  <c r="CJ421" i="4"/>
  <c r="CE421" i="4"/>
  <c r="CH421" i="4" s="1"/>
  <c r="CI421" i="4" s="1"/>
  <c r="CC421" i="4"/>
  <c r="CD421" i="4" s="1"/>
  <c r="CB421" i="4"/>
  <c r="BW421" i="4"/>
  <c r="BX421" i="4" s="1"/>
  <c r="BN421" i="4"/>
  <c r="BR421" i="4" s="1"/>
  <c r="BS421" i="4" s="1"/>
  <c r="BH421" i="4"/>
  <c r="BG421" i="4"/>
  <c r="BC421" i="4"/>
  <c r="BB421" i="4"/>
  <c r="AY421" i="4"/>
  <c r="AT421" i="4"/>
  <c r="AR421" i="4"/>
  <c r="AM421" i="4"/>
  <c r="AJ421" i="4"/>
  <c r="AI421" i="4"/>
  <c r="AG421" i="4"/>
  <c r="AF421" i="4"/>
  <c r="X421" i="4"/>
  <c r="U421" i="4"/>
  <c r="B421" i="4"/>
  <c r="BL421" i="4" s="1"/>
  <c r="BM421" i="4" s="1"/>
  <c r="BB290" i="3"/>
  <c r="AY290" i="3"/>
  <c r="AT290" i="3"/>
  <c r="AR290" i="3"/>
  <c r="AM290" i="3"/>
  <c r="AL290" i="3"/>
  <c r="AJ290" i="3"/>
  <c r="AI290" i="3"/>
  <c r="AG290" i="3"/>
  <c r="AF290" i="3"/>
  <c r="X290" i="3"/>
  <c r="U290" i="3"/>
  <c r="B290" i="3"/>
  <c r="CC290" i="3" s="1"/>
  <c r="CD290" i="3" s="1"/>
  <c r="BB289" i="3"/>
  <c r="AY289" i="3"/>
  <c r="AT289" i="3"/>
  <c r="AR289" i="3"/>
  <c r="AM289" i="3"/>
  <c r="AL289" i="3"/>
  <c r="AJ289" i="3"/>
  <c r="AI289" i="3"/>
  <c r="AG289" i="3"/>
  <c r="AF289" i="3"/>
  <c r="X289" i="3"/>
  <c r="U289" i="3"/>
  <c r="B289" i="3"/>
  <c r="CC289" i="3" s="1"/>
  <c r="CD289" i="3" s="1"/>
  <c r="BD423" i="4" l="1"/>
  <c r="BI423" i="4"/>
  <c r="O423" i="4"/>
  <c r="BH423" i="4"/>
  <c r="J423" i="4"/>
  <c r="BQ423" i="4"/>
  <c r="BT423" i="4" s="1"/>
  <c r="K423" i="4"/>
  <c r="V423" i="4"/>
  <c r="AN423" i="4"/>
  <c r="BL423" i="4"/>
  <c r="BM423" i="4" s="1"/>
  <c r="BD422" i="4"/>
  <c r="BI422" i="4"/>
  <c r="J422" i="4"/>
  <c r="BQ422" i="4"/>
  <c r="BT422" i="4" s="1"/>
  <c r="O422" i="4"/>
  <c r="K422" i="4"/>
  <c r="V422" i="4"/>
  <c r="AN422" i="4"/>
  <c r="AX422" i="4"/>
  <c r="BL422" i="4"/>
  <c r="BM422" i="4" s="1"/>
  <c r="J292" i="3"/>
  <c r="J293" i="3"/>
  <c r="K293" i="3"/>
  <c r="O293" i="3"/>
  <c r="AE293" i="3" s="1"/>
  <c r="AP293" i="3" s="1"/>
  <c r="V293" i="3"/>
  <c r="BD293" i="3"/>
  <c r="BI293" i="3"/>
  <c r="BQ293" i="3"/>
  <c r="BT293" i="3" s="1"/>
  <c r="CC293" i="3"/>
  <c r="CD293" i="3" s="1"/>
  <c r="AN293" i="3"/>
  <c r="AX293" i="3"/>
  <c r="BL293" i="3"/>
  <c r="BM293" i="3" s="1"/>
  <c r="O292" i="3"/>
  <c r="AE292" i="3" s="1"/>
  <c r="AP292" i="3" s="1"/>
  <c r="V292" i="3"/>
  <c r="BD292" i="3"/>
  <c r="BI292" i="3"/>
  <c r="BQ292" i="3"/>
  <c r="BT292" i="3" s="1"/>
  <c r="CC292" i="3"/>
  <c r="CD292" i="3" s="1"/>
  <c r="K292" i="3"/>
  <c r="AN292" i="3"/>
  <c r="AX292" i="3"/>
  <c r="BL292" i="3"/>
  <c r="BM292" i="3" s="1"/>
  <c r="V291" i="3"/>
  <c r="BD291" i="3"/>
  <c r="BI291" i="3"/>
  <c r="J291" i="3"/>
  <c r="BQ291" i="3"/>
  <c r="BT291" i="3" s="1"/>
  <c r="O291" i="3"/>
  <c r="BB291" i="3"/>
  <c r="J283" i="3"/>
  <c r="K291" i="3"/>
  <c r="AN291" i="3"/>
  <c r="AX291" i="3"/>
  <c r="BL291" i="3"/>
  <c r="BM291" i="3" s="1"/>
  <c r="J284" i="3"/>
  <c r="J285" i="3"/>
  <c r="AX285" i="3"/>
  <c r="L285" i="3"/>
  <c r="BI285" i="3" s="1"/>
  <c r="AX283" i="3"/>
  <c r="BY284" i="3"/>
  <c r="BZ284" i="3" s="1"/>
  <c r="V284" i="3"/>
  <c r="CM283" i="3"/>
  <c r="L283" i="3"/>
  <c r="CC285" i="3"/>
  <c r="CD285" i="3" s="1"/>
  <c r="AN285" i="3"/>
  <c r="BY285" i="3" s="1"/>
  <c r="V285" i="3"/>
  <c r="O285" i="3"/>
  <c r="AA285" i="3" s="1"/>
  <c r="Z285" i="3" s="1"/>
  <c r="AC285" i="3" s="1"/>
  <c r="K285" i="3"/>
  <c r="AN283" i="3"/>
  <c r="BU283" i="3" s="1"/>
  <c r="V283" i="3"/>
  <c r="O283" i="3"/>
  <c r="K283" i="3"/>
  <c r="BL290" i="3"/>
  <c r="BM290" i="3" s="1"/>
  <c r="BH283" i="3"/>
  <c r="BI283" i="3" s="1"/>
  <c r="L284" i="3"/>
  <c r="AZ284" i="3" s="1"/>
  <c r="BL289" i="3"/>
  <c r="BM289" i="3" s="1"/>
  <c r="BL285" i="3"/>
  <c r="BM285" i="3" s="1"/>
  <c r="BH284" i="3"/>
  <c r="BI284" i="3" s="1"/>
  <c r="BQ290" i="3"/>
  <c r="BT290" i="3" s="1"/>
  <c r="BM284" i="3"/>
  <c r="BP284" i="3" s="1"/>
  <c r="BQ289" i="3"/>
  <c r="BT289" i="3" s="1"/>
  <c r="AX284" i="3"/>
  <c r="AN284" i="3"/>
  <c r="O284" i="3"/>
  <c r="V421" i="4"/>
  <c r="J421" i="4"/>
  <c r="L421" i="4"/>
  <c r="BQ421" i="4"/>
  <c r="BT421" i="4" s="1"/>
  <c r="K421" i="4"/>
  <c r="O421" i="4"/>
  <c r="AN421" i="4"/>
  <c r="AX421" i="4"/>
  <c r="O290" i="3"/>
  <c r="AE290" i="3" s="1"/>
  <c r="AP290" i="3" s="1"/>
  <c r="V290" i="3"/>
  <c r="K290" i="3"/>
  <c r="J290" i="3"/>
  <c r="L290" i="3"/>
  <c r="BI290" i="3" s="1"/>
  <c r="AN290" i="3"/>
  <c r="AX290" i="3"/>
  <c r="K289" i="3"/>
  <c r="O289" i="3"/>
  <c r="V289" i="3"/>
  <c r="AX289" i="3"/>
  <c r="J289" i="3"/>
  <c r="L289" i="3"/>
  <c r="BI289" i="3" s="1"/>
  <c r="AN289" i="3"/>
  <c r="AE423" i="4" l="1"/>
  <c r="AP423" i="4" s="1"/>
  <c r="AA423" i="4"/>
  <c r="Z423" i="4" s="1"/>
  <c r="AC423" i="4" s="1"/>
  <c r="CK423" i="4"/>
  <c r="BY423" i="4"/>
  <c r="CK422" i="4"/>
  <c r="BY422" i="4"/>
  <c r="AE422" i="4"/>
  <c r="AP422" i="4" s="1"/>
  <c r="AA422" i="4"/>
  <c r="Z422" i="4" s="1"/>
  <c r="AC422" i="4" s="1"/>
  <c r="AA293" i="3"/>
  <c r="Z293" i="3" s="1"/>
  <c r="AC293" i="3" s="1"/>
  <c r="AA292" i="3"/>
  <c r="Z292" i="3" s="1"/>
  <c r="AC292" i="3" s="1"/>
  <c r="CK293" i="3"/>
  <c r="BY293" i="3"/>
  <c r="CN285" i="3"/>
  <c r="CK292" i="3"/>
  <c r="BY292" i="3"/>
  <c r="CG283" i="3"/>
  <c r="CK285" i="3"/>
  <c r="BD285" i="3"/>
  <c r="CW285" i="3"/>
  <c r="CK283" i="3"/>
  <c r="AE283" i="3"/>
  <c r="AP283" i="3" s="1"/>
  <c r="CK291" i="3"/>
  <c r="BY291" i="3"/>
  <c r="AE291" i="3"/>
  <c r="AP291" i="3" s="1"/>
  <c r="AA291" i="3"/>
  <c r="Z291" i="3" s="1"/>
  <c r="AC291" i="3" s="1"/>
  <c r="CO285" i="3"/>
  <c r="AE285" i="3"/>
  <c r="AP285" i="3" s="1"/>
  <c r="BE284" i="3"/>
  <c r="CS283" i="3"/>
  <c r="BE283" i="3"/>
  <c r="AZ283" i="3"/>
  <c r="AA283" i="3"/>
  <c r="Z283" i="3" s="1"/>
  <c r="AC283" i="3" s="1"/>
  <c r="CJ283" i="3"/>
  <c r="AA284" i="3"/>
  <c r="Z284" i="3" s="1"/>
  <c r="AC284" i="3" s="1"/>
  <c r="AE284" i="3"/>
  <c r="AP284" i="3" s="1"/>
  <c r="CK284" i="3"/>
  <c r="CJ284" i="3"/>
  <c r="BU284" i="3"/>
  <c r="CG284" i="3"/>
  <c r="CS284" i="3"/>
  <c r="CK289" i="3"/>
  <c r="BY289" i="3"/>
  <c r="CK290" i="3"/>
  <c r="BY290" i="3"/>
  <c r="CK421" i="4"/>
  <c r="BY421" i="4"/>
  <c r="BD421" i="4"/>
  <c r="BI421" i="4"/>
  <c r="AE421" i="4"/>
  <c r="AP421" i="4" s="1"/>
  <c r="AA421" i="4"/>
  <c r="Z421" i="4" s="1"/>
  <c r="AC421" i="4" s="1"/>
  <c r="AA290" i="3"/>
  <c r="Z290" i="3" s="1"/>
  <c r="AC290" i="3" s="1"/>
  <c r="BD290" i="3"/>
  <c r="BD289" i="3"/>
  <c r="AE289" i="3"/>
  <c r="AP289" i="3" s="1"/>
  <c r="AA289" i="3"/>
  <c r="Z289" i="3" s="1"/>
  <c r="AC289" i="3" s="1"/>
  <c r="AY288" i="3" l="1"/>
  <c r="AT288" i="3"/>
  <c r="AR288" i="3"/>
  <c r="AM288" i="3"/>
  <c r="AL288" i="3"/>
  <c r="AJ288" i="3"/>
  <c r="CV288" i="3" s="1"/>
  <c r="AI288" i="3"/>
  <c r="AG288" i="3"/>
  <c r="AF288" i="3"/>
  <c r="X288" i="3"/>
  <c r="U288" i="3"/>
  <c r="B288" i="3"/>
  <c r="BQ288" i="3" l="1"/>
  <c r="BT288" i="3" s="1"/>
  <c r="BL288" i="3"/>
  <c r="BM288" i="3" s="1"/>
  <c r="CY288" i="3"/>
  <c r="CQ288" i="3"/>
  <c r="J288" i="3"/>
  <c r="V288" i="3"/>
  <c r="L288" i="3"/>
  <c r="BI288" i="3" s="1"/>
  <c r="K288" i="3"/>
  <c r="O288" i="3"/>
  <c r="AN288" i="3"/>
  <c r="AX288" i="3"/>
  <c r="BB288" i="3"/>
  <c r="CK288" i="3" l="1"/>
  <c r="BY288" i="3"/>
  <c r="CO288" i="3"/>
  <c r="CN288" i="3"/>
  <c r="CW288" i="3"/>
  <c r="AE288" i="3"/>
  <c r="AP288" i="3" s="1"/>
  <c r="AA288" i="3"/>
  <c r="Z288" i="3" s="1"/>
  <c r="AC288" i="3" s="1"/>
  <c r="K4" i="12" l="1"/>
  <c r="Z851" i="13" l="1"/>
  <c r="Z850" i="13"/>
  <c r="Z849" i="13"/>
  <c r="Z848" i="13"/>
  <c r="Z847" i="13"/>
  <c r="Z846" i="13"/>
  <c r="Z845" i="13"/>
  <c r="Z844" i="13"/>
  <c r="Z843" i="13"/>
  <c r="Z842" i="13"/>
  <c r="Z841" i="13"/>
  <c r="Z840" i="13"/>
  <c r="Z839" i="13"/>
  <c r="Z838" i="13"/>
  <c r="Z837" i="13"/>
  <c r="Z836" i="13"/>
  <c r="Z835" i="13"/>
  <c r="Z834" i="13"/>
  <c r="Z833" i="13"/>
  <c r="Z832" i="13"/>
  <c r="Z831" i="13"/>
  <c r="Z830" i="13"/>
  <c r="Z829" i="13"/>
  <c r="Z828" i="13"/>
  <c r="Z827" i="13"/>
  <c r="Z826" i="13"/>
  <c r="Z825" i="13"/>
  <c r="Z824" i="13"/>
  <c r="Z823" i="13"/>
  <c r="Z822" i="13"/>
  <c r="Z821" i="13"/>
  <c r="Z820" i="13"/>
  <c r="Z819" i="13"/>
  <c r="Z818" i="13"/>
  <c r="Z817" i="13"/>
  <c r="Z816" i="13"/>
  <c r="Z815" i="13"/>
  <c r="Z814" i="13"/>
  <c r="Z813" i="13"/>
  <c r="Z812" i="13"/>
  <c r="Z811" i="13"/>
  <c r="Z810" i="13"/>
  <c r="AI809" i="13"/>
  <c r="Z809" i="13"/>
  <c r="AI808" i="13"/>
  <c r="Z808" i="13"/>
  <c r="AI807" i="13"/>
  <c r="Z807" i="13"/>
  <c r="AI806" i="13"/>
  <c r="Z806" i="13"/>
  <c r="AI805" i="13"/>
  <c r="Z805" i="13"/>
  <c r="AI804" i="13"/>
  <c r="Z804" i="13"/>
  <c r="AI803" i="13"/>
  <c r="Z803" i="13"/>
  <c r="AI802" i="13"/>
  <c r="Z802" i="13"/>
  <c r="AI801" i="13"/>
  <c r="Z801" i="13"/>
  <c r="AI800" i="13"/>
  <c r="Z800" i="13"/>
  <c r="AI799" i="13"/>
  <c r="Z799" i="13"/>
  <c r="AI798" i="13"/>
  <c r="Z798" i="13"/>
  <c r="AI797" i="13"/>
  <c r="Z797" i="13"/>
  <c r="AI796" i="13"/>
  <c r="Z796" i="13"/>
  <c r="AI795" i="13"/>
  <c r="Z795" i="13"/>
  <c r="AI794" i="13"/>
  <c r="Z794" i="13"/>
  <c r="AI793" i="13"/>
  <c r="Z793" i="13"/>
  <c r="AI792" i="13"/>
  <c r="Z792" i="13"/>
  <c r="AI791" i="13"/>
  <c r="Z791" i="13"/>
  <c r="AI790" i="13"/>
  <c r="Z790" i="13"/>
  <c r="AI789" i="13"/>
  <c r="Z789" i="13"/>
  <c r="AI788" i="13"/>
  <c r="Z788" i="13"/>
  <c r="AI787" i="13"/>
  <c r="Z787" i="13"/>
  <c r="AI786" i="13"/>
  <c r="Z786" i="13"/>
  <c r="AI785" i="13"/>
  <c r="Z785" i="13"/>
  <c r="AI784" i="13"/>
  <c r="Z784" i="13"/>
  <c r="AI783" i="13"/>
  <c r="Z783" i="13"/>
  <c r="AI782" i="13"/>
  <c r="Z782" i="13"/>
  <c r="AI781" i="13"/>
  <c r="Z781" i="13"/>
  <c r="AI780" i="13"/>
  <c r="Z780" i="13"/>
  <c r="AI779" i="13"/>
  <c r="Z779" i="13"/>
  <c r="AI778" i="13"/>
  <c r="Z778" i="13"/>
  <c r="AI777" i="13"/>
  <c r="Z777" i="13"/>
  <c r="AI776" i="13"/>
  <c r="Z776" i="13"/>
  <c r="AI775" i="13"/>
  <c r="Z775" i="13"/>
  <c r="AI774" i="13"/>
  <c r="Z774" i="13"/>
  <c r="AI773" i="13"/>
  <c r="Z773" i="13"/>
  <c r="AI772" i="13"/>
  <c r="Z772" i="13"/>
  <c r="AI771" i="13"/>
  <c r="Z771" i="13"/>
  <c r="AI770" i="13"/>
  <c r="Z770" i="13"/>
  <c r="AI769" i="13"/>
  <c r="Z769" i="13"/>
  <c r="AI768" i="13"/>
  <c r="Z768" i="13"/>
  <c r="AI767" i="13"/>
  <c r="Z767" i="13"/>
  <c r="AI766" i="13"/>
  <c r="Z766" i="13"/>
  <c r="AI765" i="13"/>
  <c r="Z765" i="13"/>
  <c r="AI764" i="13"/>
  <c r="Z764" i="13"/>
  <c r="AI763" i="13"/>
  <c r="Z763" i="13"/>
  <c r="AI762" i="13"/>
  <c r="Z762" i="13"/>
  <c r="AI761" i="13"/>
  <c r="Z761" i="13"/>
  <c r="AI760" i="13"/>
  <c r="Z760" i="13"/>
  <c r="AI759" i="13"/>
  <c r="Z759" i="13"/>
  <c r="AI758" i="13"/>
  <c r="Z758" i="13"/>
  <c r="AI757" i="13"/>
  <c r="Z757" i="13"/>
  <c r="AI756" i="13"/>
  <c r="Z756" i="13"/>
  <c r="AI755" i="13"/>
  <c r="Z755" i="13"/>
  <c r="AI754" i="13"/>
  <c r="Z754" i="13"/>
  <c r="AI753" i="13"/>
  <c r="Z753" i="13"/>
  <c r="AI752" i="13"/>
  <c r="Z752" i="13"/>
  <c r="AI751" i="13"/>
  <c r="Z751" i="13"/>
  <c r="AI750" i="13"/>
  <c r="Z750" i="13"/>
  <c r="AI749" i="13"/>
  <c r="Z749" i="13"/>
  <c r="AI748" i="13"/>
  <c r="Z748" i="13"/>
  <c r="AI747" i="13"/>
  <c r="Z747" i="13"/>
  <c r="AI746" i="13"/>
  <c r="Z746" i="13"/>
  <c r="AI745" i="13"/>
  <c r="Z745" i="13"/>
  <c r="AI744" i="13"/>
  <c r="Z744" i="13"/>
  <c r="AI743" i="13"/>
  <c r="Z743" i="13"/>
  <c r="AI742" i="13"/>
  <c r="Z742" i="13"/>
  <c r="AI741" i="13"/>
  <c r="Z741" i="13"/>
  <c r="AI740" i="13"/>
  <c r="Z740" i="13"/>
  <c r="AI739" i="13"/>
  <c r="Z739" i="13"/>
  <c r="AI738" i="13"/>
  <c r="Z738" i="13"/>
  <c r="AI737" i="13"/>
  <c r="Z737" i="13"/>
  <c r="AI736" i="13"/>
  <c r="Z736" i="13"/>
  <c r="AI735" i="13"/>
  <c r="Z735" i="13"/>
  <c r="AI734" i="13"/>
  <c r="Z734" i="13"/>
  <c r="AI733" i="13"/>
  <c r="Z733" i="13"/>
  <c r="AI732" i="13"/>
  <c r="Z732" i="13"/>
  <c r="AI731" i="13"/>
  <c r="Z731" i="13"/>
  <c r="AI730" i="13"/>
  <c r="Z730" i="13"/>
  <c r="AI729" i="13"/>
  <c r="Z729" i="13"/>
  <c r="AI728" i="13"/>
  <c r="Z728" i="13"/>
  <c r="AI727" i="13"/>
  <c r="Z727" i="13"/>
  <c r="AI726" i="13"/>
  <c r="Z726" i="13"/>
  <c r="AI725" i="13"/>
  <c r="Z725" i="13"/>
  <c r="AI724" i="13"/>
  <c r="Z724" i="13"/>
  <c r="AI723" i="13"/>
  <c r="Z723" i="13"/>
  <c r="AI722" i="13"/>
  <c r="Z722" i="13"/>
  <c r="AI721" i="13"/>
  <c r="Z721" i="13"/>
  <c r="AI720" i="13"/>
  <c r="Z720" i="13"/>
  <c r="AI719" i="13"/>
  <c r="Z719" i="13"/>
  <c r="AI718" i="13"/>
  <c r="Z718" i="13"/>
  <c r="AI717" i="13"/>
  <c r="Z717" i="13"/>
  <c r="AI716" i="13"/>
  <c r="Z716" i="13"/>
  <c r="AI715" i="13"/>
  <c r="Z715" i="13"/>
  <c r="AI714" i="13"/>
  <c r="Z714" i="13"/>
  <c r="AI713" i="13"/>
  <c r="Z713" i="13"/>
  <c r="AI712" i="13"/>
  <c r="Z712" i="13"/>
  <c r="AI711" i="13"/>
  <c r="Z711" i="13"/>
  <c r="AI710" i="13"/>
  <c r="Z710" i="13"/>
  <c r="AI709" i="13"/>
  <c r="Z709" i="13"/>
  <c r="AI708" i="13"/>
  <c r="Z708" i="13"/>
  <c r="AI707" i="13"/>
  <c r="Z707" i="13"/>
  <c r="AI706" i="13"/>
  <c r="Z706" i="13"/>
  <c r="AI705" i="13"/>
  <c r="Z705" i="13"/>
  <c r="AI704" i="13"/>
  <c r="Z704" i="13"/>
  <c r="AI703" i="13"/>
  <c r="Z703" i="13"/>
  <c r="AI702" i="13"/>
  <c r="Z702" i="13"/>
  <c r="AI701" i="13"/>
  <c r="Z701" i="13"/>
  <c r="AI700" i="13"/>
  <c r="Z700" i="13"/>
  <c r="AI699" i="13"/>
  <c r="Z699" i="13"/>
  <c r="AI698" i="13"/>
  <c r="Z698" i="13"/>
  <c r="AI697" i="13"/>
  <c r="Z697" i="13"/>
  <c r="AI696" i="13"/>
  <c r="Z696" i="13"/>
  <c r="AI695" i="13"/>
  <c r="Z695" i="13"/>
  <c r="AI694" i="13"/>
  <c r="Z694" i="13"/>
  <c r="AI693" i="13"/>
  <c r="Z693" i="13"/>
  <c r="AI692" i="13"/>
  <c r="Z692" i="13"/>
  <c r="AI691" i="13"/>
  <c r="Z691" i="13"/>
  <c r="AI690" i="13"/>
  <c r="Z690" i="13"/>
  <c r="AI689" i="13"/>
  <c r="Z689" i="13"/>
  <c r="AI688" i="13"/>
  <c r="Z688" i="13"/>
  <c r="AI687" i="13"/>
  <c r="Z687" i="13"/>
  <c r="AI686" i="13"/>
  <c r="Z686" i="13"/>
  <c r="AI685" i="13"/>
  <c r="Z685" i="13"/>
  <c r="AI684" i="13"/>
  <c r="Z684" i="13"/>
  <c r="AI683" i="13"/>
  <c r="Z683" i="13"/>
  <c r="AI682" i="13"/>
  <c r="Z682" i="13"/>
  <c r="AI681" i="13"/>
  <c r="Z681" i="13"/>
  <c r="AI680" i="13"/>
  <c r="Z680" i="13"/>
  <c r="AI679" i="13"/>
  <c r="Z679" i="13"/>
  <c r="AI678" i="13"/>
  <c r="Z678" i="13"/>
  <c r="AI677" i="13"/>
  <c r="Z677" i="13"/>
  <c r="AI676" i="13"/>
  <c r="Z676" i="13"/>
  <c r="AI675" i="13"/>
  <c r="Z675" i="13"/>
  <c r="AI674" i="13"/>
  <c r="Z674" i="13"/>
  <c r="AI673" i="13"/>
  <c r="Z673" i="13"/>
  <c r="AI672" i="13"/>
  <c r="Z672" i="13"/>
  <c r="AI671" i="13"/>
  <c r="Z671" i="13"/>
  <c r="AI670" i="13"/>
  <c r="Z670" i="13"/>
  <c r="AI669" i="13"/>
  <c r="Z669" i="13"/>
  <c r="AI668" i="13"/>
  <c r="Z668" i="13"/>
  <c r="AI667" i="13"/>
  <c r="Z667" i="13"/>
  <c r="AI666" i="13"/>
  <c r="Z666" i="13"/>
  <c r="AI665" i="13"/>
  <c r="Z665" i="13"/>
  <c r="AI664" i="13"/>
  <c r="Z664" i="13"/>
  <c r="AI663" i="13"/>
  <c r="Z663" i="13"/>
  <c r="AI662" i="13"/>
  <c r="Z662" i="13"/>
  <c r="AI661" i="13"/>
  <c r="Z661" i="13"/>
  <c r="AI660" i="13"/>
  <c r="Z660" i="13"/>
  <c r="AI659" i="13"/>
  <c r="Z659" i="13"/>
  <c r="AI658" i="13"/>
  <c r="Z658" i="13"/>
  <c r="AI657" i="13"/>
  <c r="Z657" i="13"/>
  <c r="AI656" i="13"/>
  <c r="Z656" i="13"/>
  <c r="AI655" i="13"/>
  <c r="Z655" i="13"/>
  <c r="AI654" i="13"/>
  <c r="Z654" i="13"/>
  <c r="AI653" i="13"/>
  <c r="Z653" i="13"/>
  <c r="AI652" i="13"/>
  <c r="Z652" i="13"/>
  <c r="AI651" i="13"/>
  <c r="Z651" i="13"/>
  <c r="AI650" i="13"/>
  <c r="Z650" i="13"/>
  <c r="AI649" i="13"/>
  <c r="Z649" i="13"/>
  <c r="AI648" i="13"/>
  <c r="Z648" i="13"/>
  <c r="AI647" i="13"/>
  <c r="Z647" i="13"/>
  <c r="AI646" i="13"/>
  <c r="Z646" i="13"/>
  <c r="AI645" i="13"/>
  <c r="Z645" i="13"/>
  <c r="AI644" i="13"/>
  <c r="Z644" i="13"/>
  <c r="AI643" i="13"/>
  <c r="Z643" i="13"/>
  <c r="AI642" i="13"/>
  <c r="Z642" i="13"/>
  <c r="AI641" i="13"/>
  <c r="Z641" i="13"/>
  <c r="AI640" i="13"/>
  <c r="Z640" i="13"/>
  <c r="AI639" i="13"/>
  <c r="Z639" i="13"/>
  <c r="AI638" i="13"/>
  <c r="Z638" i="13"/>
  <c r="AI637" i="13"/>
  <c r="Z637" i="13"/>
  <c r="AI636" i="13"/>
  <c r="Z636" i="13"/>
  <c r="AI635" i="13"/>
  <c r="Z635" i="13"/>
  <c r="AI634" i="13"/>
  <c r="Z634" i="13"/>
  <c r="AI633" i="13"/>
  <c r="Z633" i="13"/>
  <c r="AI632" i="13"/>
  <c r="Z632" i="13"/>
  <c r="AI631" i="13"/>
  <c r="Z631" i="13"/>
  <c r="AI630" i="13"/>
  <c r="Z630" i="13"/>
  <c r="AI629" i="13"/>
  <c r="Z629" i="13"/>
  <c r="AI628" i="13"/>
  <c r="Z628" i="13"/>
  <c r="AI627" i="13"/>
  <c r="Z627" i="13"/>
  <c r="AI626" i="13"/>
  <c r="Z626" i="13"/>
  <c r="AI625" i="13"/>
  <c r="Z625" i="13"/>
  <c r="AI624" i="13"/>
  <c r="Z624" i="13"/>
  <c r="AI623" i="13"/>
  <c r="Z623" i="13"/>
  <c r="AI622" i="13"/>
  <c r="Z622" i="13"/>
  <c r="AI621" i="13"/>
  <c r="Z621" i="13"/>
  <c r="AI620" i="13"/>
  <c r="Z620" i="13"/>
  <c r="AI619" i="13"/>
  <c r="Z619" i="13"/>
  <c r="AI618" i="13"/>
  <c r="Z618" i="13"/>
  <c r="AI617" i="13"/>
  <c r="Z617" i="13"/>
  <c r="AI616" i="13"/>
  <c r="Z616" i="13"/>
  <c r="AI615" i="13"/>
  <c r="Z615" i="13"/>
  <c r="AI614" i="13"/>
  <c r="Z614" i="13"/>
  <c r="AI613" i="13"/>
  <c r="Z613" i="13"/>
  <c r="AI612" i="13"/>
  <c r="Z612" i="13"/>
  <c r="AI611" i="13"/>
  <c r="Z611" i="13"/>
  <c r="AI610" i="13"/>
  <c r="Z610" i="13"/>
  <c r="AI609" i="13"/>
  <c r="Z609" i="13"/>
  <c r="AI608" i="13"/>
  <c r="Z608" i="13"/>
  <c r="AI607" i="13"/>
  <c r="Z607" i="13"/>
  <c r="AI606" i="13"/>
  <c r="Z606" i="13"/>
  <c r="AI605" i="13"/>
  <c r="Z605" i="13"/>
  <c r="AI604" i="13"/>
  <c r="Z604" i="13"/>
  <c r="AI603" i="13"/>
  <c r="Z603" i="13"/>
  <c r="AI602" i="13"/>
  <c r="Z602" i="13"/>
  <c r="AI601" i="13"/>
  <c r="Z601" i="13"/>
  <c r="AI600" i="13"/>
  <c r="Z600" i="13"/>
  <c r="AI599" i="13"/>
  <c r="Z599" i="13"/>
  <c r="AI598" i="13"/>
  <c r="Z598" i="13"/>
  <c r="AI597" i="13"/>
  <c r="Z597" i="13"/>
  <c r="AI596" i="13"/>
  <c r="Z596" i="13"/>
  <c r="AI595" i="13"/>
  <c r="Z595" i="13"/>
  <c r="AI594" i="13"/>
  <c r="Z594" i="13"/>
  <c r="AI593" i="13"/>
  <c r="Z593" i="13"/>
  <c r="AI592" i="13"/>
  <c r="Z592" i="13"/>
  <c r="AI591" i="13"/>
  <c r="Z591" i="13"/>
  <c r="AI590" i="13"/>
  <c r="Z590" i="13"/>
  <c r="AI589" i="13"/>
  <c r="Z589" i="13"/>
  <c r="AI588" i="13"/>
  <c r="Z588" i="13"/>
  <c r="AI587" i="13"/>
  <c r="Z587" i="13"/>
  <c r="AI586" i="13"/>
  <c r="Z586" i="13"/>
  <c r="AI585" i="13"/>
  <c r="Z585" i="13"/>
  <c r="AI584" i="13"/>
  <c r="Z584" i="13"/>
  <c r="AI583" i="13"/>
  <c r="Z583" i="13"/>
  <c r="AI582" i="13"/>
  <c r="Z582" i="13"/>
  <c r="AI581" i="13"/>
  <c r="Z581" i="13"/>
  <c r="AI580" i="13"/>
  <c r="Z580" i="13"/>
  <c r="AI579" i="13"/>
  <c r="Z579" i="13"/>
  <c r="AI578" i="13"/>
  <c r="Z578" i="13"/>
  <c r="AI577" i="13"/>
  <c r="Z577" i="13"/>
  <c r="AI576" i="13"/>
  <c r="Z576" i="13"/>
  <c r="AI575" i="13"/>
  <c r="Z575" i="13"/>
  <c r="AI574" i="13"/>
  <c r="Z574" i="13"/>
  <c r="AI573" i="13"/>
  <c r="Z573" i="13"/>
  <c r="AI572" i="13"/>
  <c r="Z572" i="13"/>
  <c r="AI571" i="13"/>
  <c r="Z571" i="13"/>
  <c r="AI570" i="13"/>
  <c r="Z570" i="13"/>
  <c r="AI569" i="13"/>
  <c r="Z569" i="13"/>
  <c r="L569" i="13"/>
  <c r="G115" i="1" s="1"/>
  <c r="B569" i="13"/>
  <c r="AI568" i="13"/>
  <c r="Z568" i="13"/>
  <c r="L568" i="13"/>
  <c r="G116" i="1" s="1"/>
  <c r="B568" i="13"/>
  <c r="AI567" i="13"/>
  <c r="Z567" i="13"/>
  <c r="L567" i="13"/>
  <c r="G79" i="1" s="1"/>
  <c r="B567" i="13"/>
  <c r="AI566" i="13"/>
  <c r="Z566" i="13"/>
  <c r="L566" i="13"/>
  <c r="G66" i="1" s="1"/>
  <c r="B566" i="13"/>
  <c r="AI565" i="13"/>
  <c r="Z565" i="13"/>
  <c r="L565" i="13"/>
  <c r="G77" i="1" s="1"/>
  <c r="B565" i="13"/>
  <c r="AI564" i="13"/>
  <c r="Z564" i="13"/>
  <c r="L564" i="13"/>
  <c r="G30" i="1" s="1"/>
  <c r="B564" i="13"/>
  <c r="AI563" i="13"/>
  <c r="Z563" i="13"/>
  <c r="L563" i="13"/>
  <c r="G159" i="1" s="1"/>
  <c r="B563" i="13"/>
  <c r="AI562" i="13"/>
  <c r="Z562" i="13"/>
  <c r="L562" i="13"/>
  <c r="G113" i="1" s="1"/>
  <c r="B562" i="13"/>
  <c r="AI561" i="13"/>
  <c r="Z561" i="13"/>
  <c r="L561" i="13"/>
  <c r="G27" i="1" s="1"/>
  <c r="B561" i="13"/>
  <c r="AI560" i="13"/>
  <c r="Z560" i="13"/>
  <c r="L560" i="13"/>
  <c r="G151" i="1" s="1"/>
  <c r="B560" i="13"/>
  <c r="AI559" i="13"/>
  <c r="Z559" i="13"/>
  <c r="L559" i="13"/>
  <c r="G28" i="1" s="1"/>
  <c r="B559" i="13"/>
  <c r="AI558" i="13"/>
  <c r="Z558" i="13"/>
  <c r="L558" i="13"/>
  <c r="G75" i="1" s="1"/>
  <c r="B558" i="13"/>
  <c r="AI557" i="13"/>
  <c r="Z557" i="13"/>
  <c r="L557" i="13"/>
  <c r="G158" i="1" s="1"/>
  <c r="B557" i="13"/>
  <c r="AI556" i="13"/>
  <c r="Z556" i="13"/>
  <c r="L556" i="13"/>
  <c r="G74" i="1" s="1"/>
  <c r="B556" i="13"/>
  <c r="AI555" i="13"/>
  <c r="Z555" i="13"/>
  <c r="L555" i="13"/>
  <c r="G160" i="1" s="1"/>
  <c r="B555" i="13"/>
  <c r="AI554" i="13"/>
  <c r="Z554" i="13"/>
  <c r="L554" i="13"/>
  <c r="G76" i="1" s="1"/>
  <c r="B554" i="13"/>
  <c r="AI553" i="13"/>
  <c r="AD553" i="13"/>
  <c r="Z553" i="13"/>
  <c r="L553" i="13"/>
  <c r="G29" i="1" s="1"/>
  <c r="B553" i="13"/>
  <c r="AI552" i="13"/>
  <c r="AD552" i="13"/>
  <c r="Z552" i="13"/>
  <c r="L552" i="13"/>
  <c r="G26" i="1" s="1"/>
  <c r="B552" i="13"/>
  <c r="AI551" i="13"/>
  <c r="AD551" i="13"/>
  <c r="Z551" i="13"/>
  <c r="L551" i="13"/>
  <c r="G69" i="1" s="1"/>
  <c r="B551" i="13"/>
  <c r="AI550" i="13"/>
  <c r="AD550" i="13"/>
  <c r="Z550" i="13"/>
  <c r="L550" i="13"/>
  <c r="G449" i="1" s="1"/>
  <c r="B550" i="13"/>
  <c r="AI549" i="13"/>
  <c r="AD549" i="13"/>
  <c r="Z549" i="13"/>
  <c r="L549" i="13"/>
  <c r="G112" i="1" s="1"/>
  <c r="B549" i="13"/>
  <c r="AR548" i="13"/>
  <c r="AM548" i="13"/>
  <c r="AI548" i="13"/>
  <c r="AD548" i="13"/>
  <c r="L548" i="13"/>
  <c r="G156" i="1" s="1"/>
  <c r="B548" i="13"/>
  <c r="AR547" i="13"/>
  <c r="AM547" i="13"/>
  <c r="AI547" i="13"/>
  <c r="AD547" i="13"/>
  <c r="L547" i="13"/>
  <c r="G157" i="1" s="1"/>
  <c r="B547" i="13"/>
  <c r="AR546" i="13"/>
  <c r="AM546" i="13"/>
  <c r="AI546" i="13"/>
  <c r="AD546" i="13"/>
  <c r="L546" i="13"/>
  <c r="G71" i="1" s="1"/>
  <c r="B546" i="13"/>
  <c r="AR545" i="13"/>
  <c r="AM545" i="13"/>
  <c r="AI545" i="13"/>
  <c r="AD545" i="13"/>
  <c r="L545" i="13"/>
  <c r="G21" i="1" s="1"/>
  <c r="B545" i="13"/>
  <c r="AV544" i="13"/>
  <c r="AR544" i="13"/>
  <c r="AM544" i="13"/>
  <c r="AD544" i="13"/>
  <c r="L544" i="13"/>
  <c r="B544" i="13"/>
  <c r="AV543" i="13"/>
  <c r="AI543" i="13" s="1"/>
  <c r="AR543" i="13"/>
  <c r="AM543" i="13"/>
  <c r="AD543" i="13"/>
  <c r="L543" i="13"/>
  <c r="G154" i="1" s="1"/>
  <c r="B543" i="13"/>
  <c r="AV542" i="13"/>
  <c r="AR542" i="13"/>
  <c r="AM542" i="13"/>
  <c r="AD542" i="13"/>
  <c r="L542" i="13"/>
  <c r="G257" i="1" s="1"/>
  <c r="B542" i="13"/>
  <c r="BD541" i="13"/>
  <c r="BH541" i="13" s="1"/>
  <c r="AV541" i="13"/>
  <c r="AI541" i="13" s="1"/>
  <c r="AR541" i="13"/>
  <c r="AM541" i="13"/>
  <c r="AD541" i="13"/>
  <c r="L541" i="13"/>
  <c r="G306" i="3" s="1"/>
  <c r="B541" i="13"/>
  <c r="BD540" i="13"/>
  <c r="BH540" i="13" s="1"/>
  <c r="AV540" i="13"/>
  <c r="AI540" i="13" s="1"/>
  <c r="AR540" i="13"/>
  <c r="AM540" i="13"/>
  <c r="AD540" i="13"/>
  <c r="L540" i="13"/>
  <c r="G292" i="3" s="1"/>
  <c r="B540" i="13"/>
  <c r="BD539" i="13"/>
  <c r="BH539" i="13" s="1"/>
  <c r="AV539" i="13"/>
  <c r="AI539" i="13" s="1"/>
  <c r="AR539" i="13"/>
  <c r="AM539" i="13"/>
  <c r="Q539" i="13" s="1"/>
  <c r="Y539" i="13" s="1"/>
  <c r="AD539" i="13"/>
  <c r="L539" i="13"/>
  <c r="G303" i="3" s="1"/>
  <c r="B539" i="13"/>
  <c r="BD538" i="13"/>
  <c r="BH538" i="13" s="1"/>
  <c r="AV538" i="13"/>
  <c r="AR538" i="13"/>
  <c r="AM538" i="13"/>
  <c r="AD538" i="13"/>
  <c r="L538" i="13"/>
  <c r="G397" i="1" s="1"/>
  <c r="B538" i="13"/>
  <c r="BD537" i="13"/>
  <c r="BH537" i="13" s="1"/>
  <c r="AV537" i="13"/>
  <c r="AI537" i="13" s="1"/>
  <c r="AR537" i="13"/>
  <c r="AM537" i="13"/>
  <c r="AD537" i="13"/>
  <c r="L537" i="13"/>
  <c r="G386" i="1" s="1"/>
  <c r="B537" i="13"/>
  <c r="BD536" i="13"/>
  <c r="BH536" i="13" s="1"/>
  <c r="AV536" i="13"/>
  <c r="AI536" i="13" s="1"/>
  <c r="AR536" i="13"/>
  <c r="AM536" i="13"/>
  <c r="AD536" i="13"/>
  <c r="L536" i="13"/>
  <c r="G369" i="1" s="1"/>
  <c r="B536" i="13"/>
  <c r="BD535" i="13"/>
  <c r="BH535" i="13" s="1"/>
  <c r="AV535" i="13"/>
  <c r="AI535" i="13" s="1"/>
  <c r="AR535" i="13"/>
  <c r="AM535" i="13"/>
  <c r="Q535" i="13" s="1"/>
  <c r="Y535" i="13" s="1"/>
  <c r="AD535" i="13"/>
  <c r="L535" i="13"/>
  <c r="G393" i="1" s="1"/>
  <c r="B535" i="13"/>
  <c r="BD534" i="13"/>
  <c r="BH534" i="13" s="1"/>
  <c r="AV534" i="13"/>
  <c r="AR534" i="13"/>
  <c r="AM534" i="13"/>
  <c r="AD534" i="13"/>
  <c r="L534" i="13"/>
  <c r="G137" i="1" s="1"/>
  <c r="B534" i="13"/>
  <c r="BD533" i="13"/>
  <c r="BH533" i="13" s="1"/>
  <c r="AV533" i="13"/>
  <c r="AI533" i="13" s="1"/>
  <c r="AR533" i="13"/>
  <c r="AM533" i="13"/>
  <c r="AD533" i="13"/>
  <c r="L533" i="13"/>
  <c r="G46" i="1" s="1"/>
  <c r="B533" i="13"/>
  <c r="BD532" i="13"/>
  <c r="BH532" i="13" s="1"/>
  <c r="AV532" i="13"/>
  <c r="AI532" i="13" s="1"/>
  <c r="AR532" i="13"/>
  <c r="AM532" i="13"/>
  <c r="AD532" i="13"/>
  <c r="L532" i="13"/>
  <c r="G377" i="1" s="1"/>
  <c r="B532" i="13"/>
  <c r="BD531" i="13"/>
  <c r="BH531" i="13" s="1"/>
  <c r="AV531" i="13"/>
  <c r="AI531" i="13" s="1"/>
  <c r="AR531" i="13"/>
  <c r="AM531" i="13"/>
  <c r="Q531" i="13" s="1"/>
  <c r="Y531" i="13" s="1"/>
  <c r="AD531" i="13"/>
  <c r="L531" i="13"/>
  <c r="G423" i="1" s="1"/>
  <c r="B531" i="13"/>
  <c r="BD530" i="13"/>
  <c r="BH530" i="13" s="1"/>
  <c r="AV530" i="13"/>
  <c r="AR530" i="13"/>
  <c r="AM530" i="13"/>
  <c r="AD530" i="13"/>
  <c r="L530" i="13"/>
  <c r="G218" i="1" s="1"/>
  <c r="B530" i="13"/>
  <c r="BD529" i="13"/>
  <c r="BH529" i="13" s="1"/>
  <c r="AV529" i="13"/>
  <c r="AI529" i="13" s="1"/>
  <c r="AR529" i="13"/>
  <c r="AM529" i="13"/>
  <c r="AD529" i="13"/>
  <c r="L529" i="13"/>
  <c r="B529" i="13"/>
  <c r="BD528" i="13"/>
  <c r="BH528" i="13" s="1"/>
  <c r="AV528" i="13"/>
  <c r="AI528" i="13" s="1"/>
  <c r="AR528" i="13"/>
  <c r="AM528" i="13"/>
  <c r="AD528" i="13"/>
  <c r="L528" i="13"/>
  <c r="G412" i="1" s="1"/>
  <c r="B528" i="13"/>
  <c r="BD527" i="13"/>
  <c r="BH527" i="13" s="1"/>
  <c r="AV527" i="13"/>
  <c r="AI527" i="13" s="1"/>
  <c r="AR527" i="13"/>
  <c r="AM527" i="13"/>
  <c r="Q527" i="13" s="1"/>
  <c r="Y527" i="13" s="1"/>
  <c r="AD527" i="13"/>
  <c r="L527" i="13"/>
  <c r="G453" i="1" s="1"/>
  <c r="B527" i="13"/>
  <c r="BD526" i="13"/>
  <c r="BH526" i="13" s="1"/>
  <c r="AV526" i="13"/>
  <c r="AR526" i="13"/>
  <c r="AM526" i="13"/>
  <c r="AD526" i="13"/>
  <c r="L526" i="13"/>
  <c r="G217" i="1" s="1"/>
  <c r="B526" i="13"/>
  <c r="BD525" i="13"/>
  <c r="BH525" i="13" s="1"/>
  <c r="AV525" i="13"/>
  <c r="AI525" i="13" s="1"/>
  <c r="AR525" i="13"/>
  <c r="AM525" i="13"/>
  <c r="AD525" i="13"/>
  <c r="L525" i="13"/>
  <c r="G263" i="1" s="1"/>
  <c r="B525" i="13"/>
  <c r="BD524" i="13"/>
  <c r="BH524" i="13" s="1"/>
  <c r="AV524" i="13"/>
  <c r="AI524" i="13" s="1"/>
  <c r="AR524" i="13"/>
  <c r="AM524" i="13"/>
  <c r="AD524" i="13"/>
  <c r="L524" i="13"/>
  <c r="G214" i="1" s="1"/>
  <c r="B524" i="13"/>
  <c r="BD523" i="13"/>
  <c r="BH523" i="13" s="1"/>
  <c r="AV523" i="13"/>
  <c r="AI523" i="13" s="1"/>
  <c r="AR523" i="13"/>
  <c r="AM523" i="13"/>
  <c r="Q523" i="13" s="1"/>
  <c r="Y523" i="13" s="1"/>
  <c r="AD523" i="13"/>
  <c r="L523" i="13"/>
  <c r="G714" i="1" s="1"/>
  <c r="B523" i="13"/>
  <c r="BD522" i="13"/>
  <c r="BH522" i="13" s="1"/>
  <c r="AV522" i="13"/>
  <c r="AR522" i="13"/>
  <c r="AM522" i="13"/>
  <c r="AD522" i="13"/>
  <c r="L522" i="13"/>
  <c r="G261" i="1" s="1"/>
  <c r="B522" i="13"/>
  <c r="BD521" i="13"/>
  <c r="BH521" i="13" s="1"/>
  <c r="AV521" i="13"/>
  <c r="AI521" i="13" s="1"/>
  <c r="AR521" i="13"/>
  <c r="AM521" i="13"/>
  <c r="AD521" i="13"/>
  <c r="L521" i="13"/>
  <c r="G260" i="1" s="1"/>
  <c r="B521" i="13"/>
  <c r="BD520" i="13"/>
  <c r="BH520" i="13" s="1"/>
  <c r="AV520" i="13"/>
  <c r="AI520" i="13" s="1"/>
  <c r="AR520" i="13"/>
  <c r="AM520" i="13"/>
  <c r="AD520" i="13"/>
  <c r="L520" i="13"/>
  <c r="G213" i="1" s="1"/>
  <c r="B520" i="13"/>
  <c r="BD519" i="13"/>
  <c r="BH519" i="13" s="1"/>
  <c r="AV519" i="13"/>
  <c r="AI519" i="13" s="1"/>
  <c r="AR519" i="13"/>
  <c r="AM519" i="13"/>
  <c r="Q519" i="13" s="1"/>
  <c r="Y519" i="13" s="1"/>
  <c r="AD519" i="13"/>
  <c r="L519" i="13"/>
  <c r="G211" i="1" s="1"/>
  <c r="B519" i="13"/>
  <c r="BD518" i="13"/>
  <c r="BH518" i="13" s="1"/>
  <c r="AV518" i="13"/>
  <c r="AR518" i="13"/>
  <c r="AM518" i="13"/>
  <c r="AD518" i="13"/>
  <c r="L518" i="13"/>
  <c r="G209" i="1" s="1"/>
  <c r="B518" i="13"/>
  <c r="BD517" i="13"/>
  <c r="BH517" i="13" s="1"/>
  <c r="AV517" i="13"/>
  <c r="AI517" i="13" s="1"/>
  <c r="AR517" i="13"/>
  <c r="AM517" i="13"/>
  <c r="Q517" i="13" s="1"/>
  <c r="Y517" i="13" s="1"/>
  <c r="AD517" i="13"/>
  <c r="L517" i="13"/>
  <c r="G256" i="1" s="1"/>
  <c r="B517" i="13"/>
  <c r="BD516" i="13"/>
  <c r="BH516" i="13" s="1"/>
  <c r="AV516" i="13"/>
  <c r="AR516" i="13"/>
  <c r="AM516" i="13"/>
  <c r="AD516" i="13"/>
  <c r="L516" i="13"/>
  <c r="G471" i="1" s="1"/>
  <c r="B516" i="13"/>
  <c r="BD515" i="13"/>
  <c r="BH515" i="13" s="1"/>
  <c r="AV515" i="13"/>
  <c r="AI515" i="13" s="1"/>
  <c r="AR515" i="13"/>
  <c r="AM515" i="13"/>
  <c r="AD515" i="13"/>
  <c r="L515" i="13"/>
  <c r="G208" i="1" s="1"/>
  <c r="B515" i="13"/>
  <c r="BD514" i="13"/>
  <c r="BH514" i="13" s="1"/>
  <c r="AV514" i="13"/>
  <c r="AI514" i="13" s="1"/>
  <c r="AR514" i="13"/>
  <c r="AM514" i="13"/>
  <c r="AD514" i="13"/>
  <c r="L514" i="13"/>
  <c r="G254" i="1" s="1"/>
  <c r="B514" i="13"/>
  <c r="BD513" i="13"/>
  <c r="BH513" i="13" s="1"/>
  <c r="AV513" i="13"/>
  <c r="AI513" i="13" s="1"/>
  <c r="AR513" i="13"/>
  <c r="AM513" i="13"/>
  <c r="Q513" i="13" s="1"/>
  <c r="Y513" i="13" s="1"/>
  <c r="AD513" i="13"/>
  <c r="L513" i="13"/>
  <c r="G253" i="1" s="1"/>
  <c r="B513" i="13"/>
  <c r="BD512" i="13"/>
  <c r="BH512" i="13" s="1"/>
  <c r="AV512" i="13"/>
  <c r="AR512" i="13"/>
  <c r="AM512" i="13"/>
  <c r="AD512" i="13"/>
  <c r="L512" i="13"/>
  <c r="G700" i="1" s="1"/>
  <c r="B512" i="13"/>
  <c r="BD511" i="13"/>
  <c r="BH511" i="13" s="1"/>
  <c r="AV511" i="13"/>
  <c r="AI511" i="13" s="1"/>
  <c r="AR511" i="13"/>
  <c r="AM511" i="13"/>
  <c r="AD511" i="13"/>
  <c r="L511" i="13"/>
  <c r="G206" i="1" s="1"/>
  <c r="B511" i="13"/>
  <c r="BD510" i="13"/>
  <c r="BH510" i="13" s="1"/>
  <c r="AV510" i="13"/>
  <c r="AI510" i="13" s="1"/>
  <c r="AR510" i="13"/>
  <c r="AM510" i="13"/>
  <c r="AD510" i="13"/>
  <c r="L510" i="13"/>
  <c r="G204" i="1" s="1"/>
  <c r="B510" i="13"/>
  <c r="BD509" i="13"/>
  <c r="BH509" i="13" s="1"/>
  <c r="AV509" i="13"/>
  <c r="AI509" i="13" s="1"/>
  <c r="AR509" i="13"/>
  <c r="AM509" i="13"/>
  <c r="Q509" i="13" s="1"/>
  <c r="Y509" i="13" s="1"/>
  <c r="AD509" i="13"/>
  <c r="L509" i="13"/>
  <c r="G481" i="1" s="1"/>
  <c r="B509" i="13"/>
  <c r="BD508" i="13"/>
  <c r="BH508" i="13" s="1"/>
  <c r="AV508" i="13"/>
  <c r="AR508" i="13"/>
  <c r="AM508" i="13"/>
  <c r="AD508" i="13"/>
  <c r="L508" i="13"/>
  <c r="G248" i="1" s="1"/>
  <c r="B508" i="13"/>
  <c r="BD507" i="13"/>
  <c r="BH507" i="13" s="1"/>
  <c r="AV507" i="13"/>
  <c r="AI507" i="13" s="1"/>
  <c r="AR507" i="13"/>
  <c r="AM507" i="13"/>
  <c r="AD507" i="13"/>
  <c r="L507" i="13"/>
  <c r="G247" i="1" s="1"/>
  <c r="B507" i="13"/>
  <c r="BD506" i="13"/>
  <c r="BH506" i="13" s="1"/>
  <c r="AV506" i="13"/>
  <c r="AI506" i="13" s="1"/>
  <c r="AR506" i="13"/>
  <c r="AM506" i="13"/>
  <c r="AD506" i="13"/>
  <c r="L506" i="13"/>
  <c r="G440" i="1" s="1"/>
  <c r="B506" i="13"/>
  <c r="BD505" i="13"/>
  <c r="BH505" i="13" s="1"/>
  <c r="AV505" i="13"/>
  <c r="AI505" i="13" s="1"/>
  <c r="AR505" i="13"/>
  <c r="AM505" i="13"/>
  <c r="Q505" i="13" s="1"/>
  <c r="Y505" i="13" s="1"/>
  <c r="AD505" i="13"/>
  <c r="L505" i="13"/>
  <c r="G246" i="1" s="1"/>
  <c r="B505" i="13"/>
  <c r="BD504" i="13"/>
  <c r="BH504" i="13" s="1"/>
  <c r="AV504" i="13"/>
  <c r="AR504" i="13"/>
  <c r="AM504" i="13"/>
  <c r="AD504" i="13"/>
  <c r="L504" i="13"/>
  <c r="G197" i="1" s="1"/>
  <c r="B504" i="13"/>
  <c r="BD503" i="13"/>
  <c r="BH503" i="13" s="1"/>
  <c r="AV503" i="13"/>
  <c r="AI503" i="13" s="1"/>
  <c r="AR503" i="13"/>
  <c r="AM503" i="13"/>
  <c r="AD503" i="13"/>
  <c r="L503" i="13"/>
  <c r="G244" i="1" s="1"/>
  <c r="B503" i="13"/>
  <c r="BD502" i="13"/>
  <c r="BH502" i="13" s="1"/>
  <c r="AV502" i="13"/>
  <c r="AI502" i="13" s="1"/>
  <c r="AR502" i="13"/>
  <c r="AM502" i="13"/>
  <c r="AD502" i="13"/>
  <c r="L502" i="13"/>
  <c r="G194" i="1" s="1"/>
  <c r="B502" i="13"/>
  <c r="BD501" i="13"/>
  <c r="BH501" i="13" s="1"/>
  <c r="AV501" i="13"/>
  <c r="AI501" i="13" s="1"/>
  <c r="AR501" i="13"/>
  <c r="AM501" i="13"/>
  <c r="Q501" i="13" s="1"/>
  <c r="Y501" i="13" s="1"/>
  <c r="AD501" i="13"/>
  <c r="L501" i="13"/>
  <c r="G193" i="1" s="1"/>
  <c r="B501" i="13"/>
  <c r="BD500" i="13"/>
  <c r="BH500" i="13" s="1"/>
  <c r="AV500" i="13"/>
  <c r="AR500" i="13"/>
  <c r="AM500" i="13"/>
  <c r="AD500" i="13"/>
  <c r="L500" i="13"/>
  <c r="G192" i="1" s="1"/>
  <c r="B500" i="13"/>
  <c r="BD499" i="13"/>
  <c r="BH499" i="13" s="1"/>
  <c r="AV499" i="13"/>
  <c r="AI499" i="13" s="1"/>
  <c r="AR499" i="13"/>
  <c r="AM499" i="13"/>
  <c r="AD499" i="13"/>
  <c r="L499" i="13"/>
  <c r="G191" i="1" s="1"/>
  <c r="B499" i="13"/>
  <c r="BD498" i="13"/>
  <c r="BH498" i="13" s="1"/>
  <c r="AV498" i="13"/>
  <c r="AI498" i="13" s="1"/>
  <c r="AR498" i="13"/>
  <c r="AM498" i="13"/>
  <c r="AD498" i="13"/>
  <c r="L498" i="13"/>
  <c r="G242" i="1" s="1"/>
  <c r="B498" i="13"/>
  <c r="BD497" i="13"/>
  <c r="BH497" i="13" s="1"/>
  <c r="AV497" i="13"/>
  <c r="AI497" i="13" s="1"/>
  <c r="AR497" i="13"/>
  <c r="AM497" i="13"/>
  <c r="Q497" i="13" s="1"/>
  <c r="Y497" i="13" s="1"/>
  <c r="AD497" i="13"/>
  <c r="L497" i="13"/>
  <c r="G189" i="1" s="1"/>
  <c r="B497" i="13"/>
  <c r="BD496" i="13"/>
  <c r="BH496" i="13" s="1"/>
  <c r="AV496" i="13"/>
  <c r="AR496" i="13"/>
  <c r="AM496" i="13"/>
  <c r="AD496" i="13"/>
  <c r="L496" i="13"/>
  <c r="G235" i="1" s="1"/>
  <c r="B496" i="13"/>
  <c r="BD495" i="13"/>
  <c r="BH495" i="13" s="1"/>
  <c r="AV495" i="13"/>
  <c r="AI495" i="13" s="1"/>
  <c r="AR495" i="13"/>
  <c r="AM495" i="13"/>
  <c r="AD495" i="13"/>
  <c r="L495" i="13"/>
  <c r="G188" i="1" s="1"/>
  <c r="B495" i="13"/>
  <c r="BD494" i="13"/>
  <c r="BH494" i="13" s="1"/>
  <c r="AV494" i="13"/>
  <c r="AI494" i="13" s="1"/>
  <c r="AR494" i="13"/>
  <c r="AM494" i="13"/>
  <c r="AD494" i="13"/>
  <c r="L494" i="13"/>
  <c r="G234" i="1" s="1"/>
  <c r="B494" i="13"/>
  <c r="BD493" i="13"/>
  <c r="BH493" i="13" s="1"/>
  <c r="AV493" i="13"/>
  <c r="AI493" i="13" s="1"/>
  <c r="AR493" i="13"/>
  <c r="AM493" i="13"/>
  <c r="Q493" i="13" s="1"/>
  <c r="Y493" i="13" s="1"/>
  <c r="AD493" i="13"/>
  <c r="L493" i="13"/>
  <c r="G187" i="1" s="1"/>
  <c r="B493" i="13"/>
  <c r="BD492" i="13"/>
  <c r="BH492" i="13" s="1"/>
  <c r="AV492" i="13"/>
  <c r="AR492" i="13"/>
  <c r="AM492" i="13"/>
  <c r="AD492" i="13"/>
  <c r="L492" i="13"/>
  <c r="G233" i="1" s="1"/>
  <c r="B492" i="13"/>
  <c r="BD491" i="13"/>
  <c r="BH491" i="13" s="1"/>
  <c r="AV491" i="13"/>
  <c r="AI491" i="13" s="1"/>
  <c r="AR491" i="13"/>
  <c r="AM491" i="13"/>
  <c r="AD491" i="13"/>
  <c r="L491" i="13"/>
  <c r="G495" i="1" s="1"/>
  <c r="B491" i="13"/>
  <c r="BD490" i="13"/>
  <c r="BH490" i="13" s="1"/>
  <c r="AV490" i="13"/>
  <c r="AI490" i="13" s="1"/>
  <c r="AR490" i="13"/>
  <c r="AM490" i="13"/>
  <c r="AD490" i="13"/>
  <c r="L490" i="13"/>
  <c r="G232" i="1" s="1"/>
  <c r="B490" i="13"/>
  <c r="BD489" i="13"/>
  <c r="BH489" i="13" s="1"/>
  <c r="AV489" i="13"/>
  <c r="AI489" i="13" s="1"/>
  <c r="AR489" i="13"/>
  <c r="AM489" i="13"/>
  <c r="Q489" i="13" s="1"/>
  <c r="Y489" i="13" s="1"/>
  <c r="AD489" i="13"/>
  <c r="L489" i="13"/>
  <c r="G184" i="1" s="1"/>
  <c r="B489" i="13"/>
  <c r="BD488" i="13"/>
  <c r="BH488" i="13" s="1"/>
  <c r="AV488" i="13"/>
  <c r="AR488" i="13"/>
  <c r="AM488" i="13"/>
  <c r="AD488" i="13"/>
  <c r="L488" i="13"/>
  <c r="G379" i="1" s="1"/>
  <c r="B488" i="13"/>
  <c r="BD487" i="13"/>
  <c r="BH487" i="13" s="1"/>
  <c r="AV487" i="13"/>
  <c r="AI487" i="13" s="1"/>
  <c r="AR487" i="13"/>
  <c r="AM487" i="13"/>
  <c r="AD487" i="13"/>
  <c r="L487" i="13"/>
  <c r="G231" i="1" s="1"/>
  <c r="B487" i="13"/>
  <c r="BD486" i="13"/>
  <c r="BH486" i="13" s="1"/>
  <c r="AV486" i="13"/>
  <c r="AI486" i="13" s="1"/>
  <c r="AR486" i="13"/>
  <c r="AM486" i="13"/>
  <c r="AD486" i="13"/>
  <c r="L486" i="13"/>
  <c r="G230" i="1" s="1"/>
  <c r="B486" i="13"/>
  <c r="BD485" i="13"/>
  <c r="BH485" i="13" s="1"/>
  <c r="AV485" i="13"/>
  <c r="AI485" i="13" s="1"/>
  <c r="AR485" i="13"/>
  <c r="AM485" i="13"/>
  <c r="Q485" i="13" s="1"/>
  <c r="Y485" i="13" s="1"/>
  <c r="AD485" i="13"/>
  <c r="L485" i="13"/>
  <c r="G229" i="1" s="1"/>
  <c r="B485" i="13"/>
  <c r="BD484" i="13"/>
  <c r="BH484" i="13" s="1"/>
  <c r="AV484" i="13"/>
  <c r="AR484" i="13"/>
  <c r="AM484" i="13"/>
  <c r="AD484" i="13"/>
  <c r="L484" i="13"/>
  <c r="G428" i="1" s="1"/>
  <c r="B484" i="13"/>
  <c r="BD483" i="13"/>
  <c r="BH483" i="13" s="1"/>
  <c r="AV483" i="13"/>
  <c r="AI483" i="13" s="1"/>
  <c r="AR483" i="13"/>
  <c r="AM483" i="13"/>
  <c r="AD483" i="13"/>
  <c r="L483" i="13"/>
  <c r="G677" i="1" s="1"/>
  <c r="B483" i="13"/>
  <c r="BD482" i="13"/>
  <c r="BH482" i="13" s="1"/>
  <c r="AV482" i="13"/>
  <c r="AI482" i="13" s="1"/>
  <c r="AR482" i="13"/>
  <c r="AM482" i="13"/>
  <c r="AD482" i="13"/>
  <c r="L482" i="13"/>
  <c r="G480" i="1" s="1"/>
  <c r="B482" i="13"/>
  <c r="BD481" i="13"/>
  <c r="BH481" i="13" s="1"/>
  <c r="AV481" i="13"/>
  <c r="AI481" i="13" s="1"/>
  <c r="AR481" i="13"/>
  <c r="AM481" i="13"/>
  <c r="Q481" i="13" s="1"/>
  <c r="Y481" i="13" s="1"/>
  <c r="AD481" i="13"/>
  <c r="L481" i="13"/>
  <c r="G479" i="1" s="1"/>
  <c r="B481" i="13"/>
  <c r="BD480" i="13"/>
  <c r="BH480" i="13" s="1"/>
  <c r="AV480" i="13"/>
  <c r="AR480" i="13"/>
  <c r="AM480" i="13"/>
  <c r="AD480" i="13"/>
  <c r="L480" i="13"/>
  <c r="G227" i="1" s="1"/>
  <c r="B480" i="13"/>
  <c r="BD479" i="13"/>
  <c r="BH479" i="13" s="1"/>
  <c r="AV479" i="13"/>
  <c r="AI479" i="13" s="1"/>
  <c r="AR479" i="13"/>
  <c r="AM479" i="13"/>
  <c r="AD479" i="13"/>
  <c r="L479" i="13"/>
  <c r="G374" i="1" s="1"/>
  <c r="B479" i="13"/>
  <c r="BD478" i="13"/>
  <c r="BH478" i="13" s="1"/>
  <c r="AV478" i="13"/>
  <c r="AI478" i="13" s="1"/>
  <c r="AR478" i="13"/>
  <c r="AM478" i="13"/>
  <c r="AD478" i="13"/>
  <c r="L478" i="13"/>
  <c r="G180" i="1" s="1"/>
  <c r="B478" i="13"/>
  <c r="BD477" i="13"/>
  <c r="BH477" i="13" s="1"/>
  <c r="AV477" i="13"/>
  <c r="AI477" i="13" s="1"/>
  <c r="AR477" i="13"/>
  <c r="AM477" i="13"/>
  <c r="Q477" i="13" s="1"/>
  <c r="Y477" i="13" s="1"/>
  <c r="AD477" i="13"/>
  <c r="L477" i="13"/>
  <c r="G179" i="1" s="1"/>
  <c r="B477" i="13"/>
  <c r="BD476" i="13"/>
  <c r="BH476" i="13" s="1"/>
  <c r="AV476" i="13"/>
  <c r="AR476" i="13"/>
  <c r="AM476" i="13"/>
  <c r="AD476" i="13"/>
  <c r="L476" i="13"/>
  <c r="G178" i="1" s="1"/>
  <c r="B476" i="13"/>
  <c r="BD475" i="13"/>
  <c r="BH475" i="13" s="1"/>
  <c r="AV475" i="13"/>
  <c r="AI475" i="13" s="1"/>
  <c r="AR475" i="13"/>
  <c r="AM475" i="13"/>
  <c r="AD475" i="13"/>
  <c r="L475" i="13"/>
  <c r="G225" i="1" s="1"/>
  <c r="B475" i="13"/>
  <c r="BD474" i="13"/>
  <c r="BH474" i="13" s="1"/>
  <c r="AV474" i="13"/>
  <c r="AI474" i="13" s="1"/>
  <c r="AR474" i="13"/>
  <c r="AM474" i="13"/>
  <c r="AD474" i="13"/>
  <c r="L474" i="13"/>
  <c r="G176" i="1" s="1"/>
  <c r="B474" i="13"/>
  <c r="BD473" i="13"/>
  <c r="BH473" i="13" s="1"/>
  <c r="AV473" i="13"/>
  <c r="AI473" i="13" s="1"/>
  <c r="AR473" i="13"/>
  <c r="AM473" i="13"/>
  <c r="Q473" i="13" s="1"/>
  <c r="Y473" i="13" s="1"/>
  <c r="AD473" i="13"/>
  <c r="L473" i="13"/>
  <c r="G224" i="1" s="1"/>
  <c r="B473" i="13"/>
  <c r="BD472" i="13"/>
  <c r="BH472" i="13" s="1"/>
  <c r="AV472" i="13"/>
  <c r="AR472" i="13"/>
  <c r="AM472" i="13"/>
  <c r="AD472" i="13"/>
  <c r="L472" i="13"/>
  <c r="G175" i="1" s="1"/>
  <c r="B472" i="13"/>
  <c r="BD471" i="13"/>
  <c r="BH471" i="13" s="1"/>
  <c r="AV471" i="13"/>
  <c r="AI471" i="13" s="1"/>
  <c r="AR471" i="13"/>
  <c r="AM471" i="13"/>
  <c r="AD471" i="13"/>
  <c r="L471" i="13"/>
  <c r="G416" i="1" s="1"/>
  <c r="B471" i="13"/>
  <c r="BD470" i="13"/>
  <c r="BH470" i="13" s="1"/>
  <c r="AV470" i="13"/>
  <c r="AI470" i="13" s="1"/>
  <c r="AR470" i="13"/>
  <c r="AM470" i="13"/>
  <c r="AD470" i="13"/>
  <c r="L470" i="13"/>
  <c r="G174" i="1" s="1"/>
  <c r="B470" i="13"/>
  <c r="BD469" i="13"/>
  <c r="BH469" i="13" s="1"/>
  <c r="AV469" i="13"/>
  <c r="AI469" i="13" s="1"/>
  <c r="AR469" i="13"/>
  <c r="AM469" i="13"/>
  <c r="Q469" i="13" s="1"/>
  <c r="Y469" i="13" s="1"/>
  <c r="AD469" i="13"/>
  <c r="L469" i="13"/>
  <c r="G671" i="1" s="1"/>
  <c r="B469" i="13"/>
  <c r="BD468" i="13"/>
  <c r="BH468" i="13" s="1"/>
  <c r="AV468" i="13"/>
  <c r="AR468" i="13"/>
  <c r="AM468" i="13"/>
  <c r="AD468" i="13"/>
  <c r="L468" i="13"/>
  <c r="G489" i="1" s="1"/>
  <c r="B468" i="13"/>
  <c r="BD467" i="13"/>
  <c r="BH467" i="13" s="1"/>
  <c r="AV467" i="13"/>
  <c r="AI467" i="13" s="1"/>
  <c r="AR467" i="13"/>
  <c r="AM467" i="13"/>
  <c r="AD467" i="13"/>
  <c r="L467" i="13"/>
  <c r="B467" i="13"/>
  <c r="BD466" i="13"/>
  <c r="BH466" i="13" s="1"/>
  <c r="AV466" i="13"/>
  <c r="AI466" i="13" s="1"/>
  <c r="AR466" i="13"/>
  <c r="AM466" i="13"/>
  <c r="AD466" i="13"/>
  <c r="L466" i="13"/>
  <c r="G82" i="1" s="1"/>
  <c r="B466" i="13"/>
  <c r="BD465" i="13"/>
  <c r="BH465" i="13" s="1"/>
  <c r="AV465" i="13"/>
  <c r="AI465" i="13" s="1"/>
  <c r="AR465" i="13"/>
  <c r="AM465" i="13"/>
  <c r="Q465" i="13" s="1"/>
  <c r="Y465" i="13" s="1"/>
  <c r="AD465" i="13"/>
  <c r="L465" i="13"/>
  <c r="G316" i="1" s="1"/>
  <c r="B465" i="13"/>
  <c r="BD464" i="13"/>
  <c r="BH464" i="13" s="1"/>
  <c r="AV464" i="13"/>
  <c r="AR464" i="13"/>
  <c r="AM464" i="13"/>
  <c r="AD464" i="13"/>
  <c r="L464" i="13"/>
  <c r="G124" i="1" s="1"/>
  <c r="B464" i="13"/>
  <c r="BD463" i="13"/>
  <c r="BH463" i="13" s="1"/>
  <c r="AV463" i="13"/>
  <c r="AI463" i="13" s="1"/>
  <c r="AR463" i="13"/>
  <c r="AM463" i="13"/>
  <c r="AD463" i="13"/>
  <c r="L463" i="13"/>
  <c r="G37" i="1" s="1"/>
  <c r="B463" i="13"/>
  <c r="BD462" i="13"/>
  <c r="BH462" i="13" s="1"/>
  <c r="AV462" i="13"/>
  <c r="AI462" i="13" s="1"/>
  <c r="AR462" i="13"/>
  <c r="AM462" i="13"/>
  <c r="AD462" i="13"/>
  <c r="L462" i="13"/>
  <c r="G313" i="1" s="1"/>
  <c r="B462" i="13"/>
  <c r="BD461" i="13"/>
  <c r="BH461" i="13" s="1"/>
  <c r="AV461" i="13"/>
  <c r="AI461" i="13" s="1"/>
  <c r="AR461" i="13"/>
  <c r="AM461" i="13"/>
  <c r="Q461" i="13" s="1"/>
  <c r="Y461" i="13" s="1"/>
  <c r="AD461" i="13"/>
  <c r="L461" i="13"/>
  <c r="G169" i="1" s="1"/>
  <c r="B461" i="13"/>
  <c r="BD460" i="13"/>
  <c r="BH460" i="13" s="1"/>
  <c r="AV460" i="13"/>
  <c r="AR460" i="13"/>
  <c r="AM460" i="13"/>
  <c r="AD460" i="13"/>
  <c r="L460" i="13"/>
  <c r="G360" i="1" s="1"/>
  <c r="B460" i="13"/>
  <c r="BD459" i="13"/>
  <c r="BH459" i="13" s="1"/>
  <c r="AV459" i="13"/>
  <c r="AI459" i="13" s="1"/>
  <c r="AR459" i="13"/>
  <c r="AM459" i="13"/>
  <c r="AD459" i="13"/>
  <c r="L459" i="13"/>
  <c r="G81" i="1" s="1"/>
  <c r="B459" i="13"/>
  <c r="BD458" i="13"/>
  <c r="BH458" i="13" s="1"/>
  <c r="AV458" i="13"/>
  <c r="AI458" i="13" s="1"/>
  <c r="AR458" i="13"/>
  <c r="AM458" i="13"/>
  <c r="AD458" i="13"/>
  <c r="L458" i="13"/>
  <c r="G166" i="1" s="1"/>
  <c r="B458" i="13"/>
  <c r="BD457" i="13"/>
  <c r="BH457" i="13" s="1"/>
  <c r="AV457" i="13"/>
  <c r="AI457" i="13" s="1"/>
  <c r="AR457" i="13"/>
  <c r="AM457" i="13"/>
  <c r="Q457" i="13" s="1"/>
  <c r="Y457" i="13" s="1"/>
  <c r="AD457" i="13"/>
  <c r="L457" i="13"/>
  <c r="G485" i="1" s="1"/>
  <c r="B457" i="13"/>
  <c r="BD456" i="13"/>
  <c r="BH456" i="13" s="1"/>
  <c r="AV456" i="13"/>
  <c r="AR456" i="13"/>
  <c r="AM456" i="13"/>
  <c r="AD456" i="13"/>
  <c r="L456" i="13"/>
  <c r="G358" i="1" s="1"/>
  <c r="B456" i="13"/>
  <c r="BD455" i="13"/>
  <c r="BH455" i="13" s="1"/>
  <c r="AV455" i="13"/>
  <c r="AI455" i="13" s="1"/>
  <c r="AR455" i="13"/>
  <c r="AM455" i="13"/>
  <c r="AD455" i="13"/>
  <c r="L455" i="13"/>
  <c r="G36" i="1" s="1"/>
  <c r="B455" i="13"/>
  <c r="BD454" i="13"/>
  <c r="BH454" i="13" s="1"/>
  <c r="AV454" i="13"/>
  <c r="AI454" i="13" s="1"/>
  <c r="AR454" i="13"/>
  <c r="AM454" i="13"/>
  <c r="AD454" i="13"/>
  <c r="L454" i="13"/>
  <c r="G258" i="1" s="1"/>
  <c r="B454" i="13"/>
  <c r="BD453" i="13"/>
  <c r="BH453" i="13" s="1"/>
  <c r="AV453" i="13"/>
  <c r="AI453" i="13" s="1"/>
  <c r="AR453" i="13"/>
  <c r="AM453" i="13"/>
  <c r="Q453" i="13" s="1"/>
  <c r="Y453" i="13" s="1"/>
  <c r="AD453" i="13"/>
  <c r="L453" i="13"/>
  <c r="G309" i="1" s="1"/>
  <c r="B453" i="13"/>
  <c r="BD452" i="13"/>
  <c r="BH452" i="13" s="1"/>
  <c r="AV452" i="13"/>
  <c r="AR452" i="13"/>
  <c r="AM452" i="13"/>
  <c r="AD452" i="13"/>
  <c r="L452" i="13"/>
  <c r="G70" i="1" s="1"/>
  <c r="B452" i="13"/>
  <c r="BD451" i="13"/>
  <c r="BH451" i="13" s="1"/>
  <c r="AV451" i="13"/>
  <c r="AI451" i="13" s="1"/>
  <c r="AR451" i="13"/>
  <c r="AM451" i="13"/>
  <c r="AD451" i="13"/>
  <c r="L451" i="13"/>
  <c r="G704" i="1" s="1"/>
  <c r="B451" i="13"/>
  <c r="BD450" i="13"/>
  <c r="BH450" i="13" s="1"/>
  <c r="AV450" i="13"/>
  <c r="AI450" i="13" s="1"/>
  <c r="AR450" i="13"/>
  <c r="AM450" i="13"/>
  <c r="AD450" i="13"/>
  <c r="L450" i="13"/>
  <c r="G251" i="1" s="1"/>
  <c r="B450" i="13"/>
  <c r="BD449" i="13"/>
  <c r="BH449" i="13" s="1"/>
  <c r="AV449" i="13"/>
  <c r="AI449" i="13" s="1"/>
  <c r="AR449" i="13"/>
  <c r="AM449" i="13"/>
  <c r="Q449" i="13" s="1"/>
  <c r="Y449" i="13" s="1"/>
  <c r="AD449" i="13"/>
  <c r="L449" i="13"/>
  <c r="G19" i="1" s="1"/>
  <c r="B449" i="13"/>
  <c r="BD448" i="13"/>
  <c r="BH448" i="13" s="1"/>
  <c r="AV448" i="13"/>
  <c r="AR448" i="13"/>
  <c r="AM448" i="13"/>
  <c r="AD448" i="13"/>
  <c r="L448" i="13"/>
  <c r="G64" i="1" s="1"/>
  <c r="B448" i="13"/>
  <c r="BD447" i="13"/>
  <c r="BH447" i="13" s="1"/>
  <c r="AV447" i="13"/>
  <c r="AI447" i="13" s="1"/>
  <c r="AR447" i="13"/>
  <c r="AM447" i="13"/>
  <c r="AD447" i="13"/>
  <c r="L447" i="13"/>
  <c r="G16" i="1" s="1"/>
  <c r="B447" i="13"/>
  <c r="BD446" i="13"/>
  <c r="BH446" i="13" s="1"/>
  <c r="AV446" i="13"/>
  <c r="AI446" i="13" s="1"/>
  <c r="AR446" i="13"/>
  <c r="AM446" i="13"/>
  <c r="AD446" i="13"/>
  <c r="L446" i="13"/>
  <c r="G102" i="1" s="1"/>
  <c r="B446" i="13"/>
  <c r="BD445" i="13"/>
  <c r="BH445" i="13" s="1"/>
  <c r="AV445" i="13"/>
  <c r="AI445" i="13" s="1"/>
  <c r="AR445" i="13"/>
  <c r="AM445" i="13"/>
  <c r="Q445" i="13" s="1"/>
  <c r="Y445" i="13" s="1"/>
  <c r="AD445" i="13"/>
  <c r="L445" i="13"/>
  <c r="G243" i="1" s="1"/>
  <c r="B445" i="13"/>
  <c r="BD444" i="13"/>
  <c r="BH444" i="13" s="1"/>
  <c r="AV444" i="13"/>
  <c r="AR444" i="13"/>
  <c r="AM444" i="13"/>
  <c r="AD444" i="13"/>
  <c r="L444" i="13"/>
  <c r="G290" i="1" s="1"/>
  <c r="B444" i="13"/>
  <c r="BD443" i="13"/>
  <c r="BH443" i="13" s="1"/>
  <c r="AV443" i="13"/>
  <c r="AI443" i="13" s="1"/>
  <c r="AR443" i="13"/>
  <c r="AM443" i="13"/>
  <c r="AD443" i="13"/>
  <c r="L443" i="13"/>
  <c r="G289" i="1" s="1"/>
  <c r="B443" i="13"/>
  <c r="BD442" i="13"/>
  <c r="BH442" i="13" s="1"/>
  <c r="AV442" i="13"/>
  <c r="AI442" i="13" s="1"/>
  <c r="AR442" i="13"/>
  <c r="AM442" i="13"/>
  <c r="AD442" i="13"/>
  <c r="L442" i="13"/>
  <c r="G288" i="1" s="1"/>
  <c r="B442" i="13"/>
  <c r="BD441" i="13"/>
  <c r="BH441" i="13" s="1"/>
  <c r="AV441" i="13"/>
  <c r="AI441" i="13" s="1"/>
  <c r="AR441" i="13"/>
  <c r="AM441" i="13"/>
  <c r="Q441" i="13" s="1"/>
  <c r="Y441" i="13" s="1"/>
  <c r="AD441" i="13"/>
  <c r="L441" i="13"/>
  <c r="G143" i="1" s="1"/>
  <c r="B441" i="13"/>
  <c r="BD440" i="13"/>
  <c r="BH440" i="13" s="1"/>
  <c r="AV440" i="13"/>
  <c r="AR440" i="13"/>
  <c r="AM440" i="13"/>
  <c r="AD440" i="13"/>
  <c r="L440" i="13"/>
  <c r="G57" i="1" s="1"/>
  <c r="B440" i="13"/>
  <c r="BD439" i="13"/>
  <c r="BH439" i="13" s="1"/>
  <c r="AV439" i="13"/>
  <c r="AI439" i="13" s="1"/>
  <c r="AR439" i="13"/>
  <c r="AM439" i="13"/>
  <c r="AD439" i="13"/>
  <c r="L439" i="13"/>
  <c r="G55" i="1" s="1"/>
  <c r="B439" i="13"/>
  <c r="BD438" i="13"/>
  <c r="BH438" i="13" s="1"/>
  <c r="AV438" i="13"/>
  <c r="AI438" i="13" s="1"/>
  <c r="AR438" i="13"/>
  <c r="AM438" i="13"/>
  <c r="AD438" i="13"/>
  <c r="L438" i="13"/>
  <c r="G285" i="1" s="1"/>
  <c r="B438" i="13"/>
  <c r="BD437" i="13"/>
  <c r="BH437" i="13" s="1"/>
  <c r="AV437" i="13"/>
  <c r="AI437" i="13" s="1"/>
  <c r="AR437" i="13"/>
  <c r="AM437" i="13"/>
  <c r="Q437" i="13" s="1"/>
  <c r="Y437" i="13" s="1"/>
  <c r="AD437" i="13"/>
  <c r="L437" i="13"/>
  <c r="G140" i="1" s="1"/>
  <c r="B437" i="13"/>
  <c r="BD436" i="13"/>
  <c r="BH436" i="13" s="1"/>
  <c r="AV436" i="13"/>
  <c r="AR436" i="13"/>
  <c r="AM436" i="13"/>
  <c r="AD436" i="13"/>
  <c r="L436" i="13"/>
  <c r="G280" i="1" s="1"/>
  <c r="B436" i="13"/>
  <c r="BD435" i="13"/>
  <c r="BH435" i="13" s="1"/>
  <c r="AV435" i="13"/>
  <c r="AI435" i="13" s="1"/>
  <c r="AR435" i="13"/>
  <c r="AM435" i="13"/>
  <c r="AD435" i="13"/>
  <c r="L435" i="13"/>
  <c r="G88" i="1" s="1"/>
  <c r="B435" i="13"/>
  <c r="BD434" i="13"/>
  <c r="BH434" i="13" s="1"/>
  <c r="AV434" i="13"/>
  <c r="AI434" i="13" s="1"/>
  <c r="AR434" i="13"/>
  <c r="AM434" i="13"/>
  <c r="AD434" i="13"/>
  <c r="L434" i="13"/>
  <c r="G492" i="1" s="1"/>
  <c r="B434" i="13"/>
  <c r="BD433" i="13"/>
  <c r="BH433" i="13" s="1"/>
  <c r="AV433" i="13"/>
  <c r="AI433" i="13" s="1"/>
  <c r="AR433" i="13"/>
  <c r="AM433" i="13"/>
  <c r="Q433" i="13" s="1"/>
  <c r="Y433" i="13" s="1"/>
  <c r="AD433" i="13"/>
  <c r="L433" i="13"/>
  <c r="G490" i="1" s="1"/>
  <c r="B433" i="13"/>
  <c r="BD432" i="13"/>
  <c r="BH432" i="13" s="1"/>
  <c r="AV432" i="13"/>
  <c r="AR432" i="13"/>
  <c r="AM432" i="13"/>
  <c r="AD432" i="13"/>
  <c r="L432" i="13"/>
  <c r="G273" i="1" s="1"/>
  <c r="B432" i="13"/>
  <c r="BD431" i="13"/>
  <c r="BH431" i="13" s="1"/>
  <c r="AV431" i="13"/>
  <c r="AI431" i="13" s="1"/>
  <c r="AR431" i="13"/>
  <c r="AM431" i="13"/>
  <c r="AD431" i="13"/>
  <c r="L431" i="13"/>
  <c r="G83" i="1" s="1"/>
  <c r="B431" i="13"/>
  <c r="BD430" i="13"/>
  <c r="BH430" i="13" s="1"/>
  <c r="AV430" i="13"/>
  <c r="AI430" i="13" s="1"/>
  <c r="AR430" i="13"/>
  <c r="AM430" i="13"/>
  <c r="AD430" i="13"/>
  <c r="L430" i="13"/>
  <c r="G270" i="1" s="1"/>
  <c r="B430" i="13"/>
  <c r="BD429" i="13"/>
  <c r="BH429" i="13" s="1"/>
  <c r="AV429" i="13"/>
  <c r="AI429" i="13" s="1"/>
  <c r="AR429" i="13"/>
  <c r="AM429" i="13"/>
  <c r="Q429" i="13" s="1"/>
  <c r="Y429" i="13" s="1"/>
  <c r="AD429" i="13"/>
  <c r="L429" i="13"/>
  <c r="G264" i="1" s="1"/>
  <c r="B429" i="13"/>
  <c r="BD428" i="13"/>
  <c r="BH428" i="13" s="1"/>
  <c r="AV428" i="13"/>
  <c r="AR428" i="13"/>
  <c r="AM428" i="13"/>
  <c r="AD428" i="13"/>
  <c r="L428" i="13"/>
  <c r="G170" i="1" s="1"/>
  <c r="B428" i="13"/>
  <c r="BD427" i="13"/>
  <c r="BH427" i="13" s="1"/>
  <c r="AV427" i="13"/>
  <c r="AI427" i="13" s="1"/>
  <c r="AR427" i="13"/>
  <c r="AM427" i="13"/>
  <c r="AD427" i="13"/>
  <c r="L427" i="13"/>
  <c r="G212" i="1" s="1"/>
  <c r="B427" i="13"/>
  <c r="BD426" i="13"/>
  <c r="BH426" i="13" s="1"/>
  <c r="AV426" i="13"/>
  <c r="AI426" i="13" s="1"/>
  <c r="AR426" i="13"/>
  <c r="AM426" i="13"/>
  <c r="AD426" i="13"/>
  <c r="L426" i="13"/>
  <c r="G35" i="1" s="1"/>
  <c r="B426" i="13"/>
  <c r="BD425" i="13"/>
  <c r="BH425" i="13" s="1"/>
  <c r="AV425" i="13"/>
  <c r="AI425" i="13" s="1"/>
  <c r="AR425" i="13"/>
  <c r="AM425" i="13"/>
  <c r="Q425" i="13" s="1"/>
  <c r="Y425" i="13" s="1"/>
  <c r="AD425" i="13"/>
  <c r="L425" i="13"/>
  <c r="G73" i="1" s="1"/>
  <c r="B425" i="13"/>
  <c r="BD424" i="13"/>
  <c r="BH424" i="13" s="1"/>
  <c r="AV424" i="13"/>
  <c r="AR424" i="13"/>
  <c r="AM424" i="13"/>
  <c r="AD424" i="13"/>
  <c r="L424" i="13"/>
  <c r="G72" i="1" s="1"/>
  <c r="B424" i="13"/>
  <c r="BD423" i="13"/>
  <c r="BH423" i="13" s="1"/>
  <c r="AV423" i="13"/>
  <c r="AI423" i="13" s="1"/>
  <c r="AR423" i="13"/>
  <c r="AM423" i="13"/>
  <c r="AD423" i="13"/>
  <c r="L423" i="13"/>
  <c r="G472" i="1" s="1"/>
  <c r="B423" i="13"/>
  <c r="BD422" i="13"/>
  <c r="BH422" i="13" s="1"/>
  <c r="AV422" i="13"/>
  <c r="AI422" i="13" s="1"/>
  <c r="AR422" i="13"/>
  <c r="AM422" i="13"/>
  <c r="AD422" i="13"/>
  <c r="L422" i="13"/>
  <c r="G23" i="1" s="1"/>
  <c r="B422" i="13"/>
  <c r="BD421" i="13"/>
  <c r="BH421" i="13" s="1"/>
  <c r="AV421" i="13"/>
  <c r="AI421" i="13" s="1"/>
  <c r="AR421" i="13"/>
  <c r="AM421" i="13"/>
  <c r="Q421" i="13" s="1"/>
  <c r="Y421" i="13" s="1"/>
  <c r="AD421" i="13"/>
  <c r="L421" i="13"/>
  <c r="G355" i="1" s="1"/>
  <c r="B421" i="13"/>
  <c r="BD420" i="13"/>
  <c r="BH420" i="13" s="1"/>
  <c r="AV420" i="13"/>
  <c r="AR420" i="13"/>
  <c r="AM420" i="13"/>
  <c r="AD420" i="13"/>
  <c r="L420" i="13"/>
  <c r="G470" i="1" s="1"/>
  <c r="B420" i="13"/>
  <c r="BD419" i="13"/>
  <c r="BH419" i="13" s="1"/>
  <c r="AV419" i="13"/>
  <c r="AI419" i="13" s="1"/>
  <c r="AR419" i="13"/>
  <c r="AM419" i="13"/>
  <c r="AD419" i="13"/>
  <c r="L419" i="13"/>
  <c r="G105" i="1" s="1"/>
  <c r="B419" i="13"/>
  <c r="BD418" i="13"/>
  <c r="BH418" i="13" s="1"/>
  <c r="AV418" i="13"/>
  <c r="AI418" i="13" s="1"/>
  <c r="AR418" i="13"/>
  <c r="AM418" i="13"/>
  <c r="AD418" i="13"/>
  <c r="L418" i="13"/>
  <c r="G292" i="1" s="1"/>
  <c r="B418" i="13"/>
  <c r="BD417" i="13"/>
  <c r="BH417" i="13" s="1"/>
  <c r="AV417" i="13"/>
  <c r="AI417" i="13" s="1"/>
  <c r="AR417" i="13"/>
  <c r="AM417" i="13"/>
  <c r="Q417" i="13" s="1"/>
  <c r="Y417" i="13" s="1"/>
  <c r="AD417" i="13"/>
  <c r="L417" i="13"/>
  <c r="G341" i="1" s="1"/>
  <c r="B417" i="13"/>
  <c r="BD416" i="13"/>
  <c r="BH416" i="13" s="1"/>
  <c r="AV416" i="13"/>
  <c r="AR416" i="13"/>
  <c r="AM416" i="13"/>
  <c r="AD416" i="13"/>
  <c r="L416" i="13"/>
  <c r="G142" i="1" s="1"/>
  <c r="B416" i="13"/>
  <c r="BD415" i="13"/>
  <c r="BH415" i="13" s="1"/>
  <c r="AV415" i="13"/>
  <c r="AI415" i="13" s="1"/>
  <c r="AR415" i="13"/>
  <c r="AM415" i="13"/>
  <c r="AD415" i="13"/>
  <c r="L415" i="13"/>
  <c r="G52" i="1" s="1"/>
  <c r="B415" i="13"/>
  <c r="BD414" i="13"/>
  <c r="BH414" i="13" s="1"/>
  <c r="AV414" i="13"/>
  <c r="AI414" i="13" s="1"/>
  <c r="AR414" i="13"/>
  <c r="AM414" i="13"/>
  <c r="AD414" i="13"/>
  <c r="L414" i="13"/>
  <c r="G378" i="1" s="1"/>
  <c r="B414" i="13"/>
  <c r="BD413" i="13"/>
  <c r="BH413" i="13" s="1"/>
  <c r="AV413" i="13"/>
  <c r="AI413" i="13" s="1"/>
  <c r="AR413" i="13"/>
  <c r="AM413" i="13"/>
  <c r="Q413" i="13" s="1"/>
  <c r="Y413" i="13" s="1"/>
  <c r="AD413" i="13"/>
  <c r="L413" i="13"/>
  <c r="G182" i="1" s="1"/>
  <c r="B413" i="13"/>
  <c r="BD412" i="13"/>
  <c r="BH412" i="13" s="1"/>
  <c r="AV412" i="13"/>
  <c r="AR412" i="13"/>
  <c r="AM412" i="13"/>
  <c r="AD412" i="13"/>
  <c r="L412" i="13"/>
  <c r="G181" i="1" s="1"/>
  <c r="B412" i="13"/>
  <c r="BD411" i="13"/>
  <c r="BH411" i="13" s="1"/>
  <c r="AV411" i="13"/>
  <c r="AI411" i="13" s="1"/>
  <c r="AR411" i="13"/>
  <c r="AM411" i="13"/>
  <c r="AD411" i="13"/>
  <c r="L411" i="13"/>
  <c r="G85" i="1" s="1"/>
  <c r="B411" i="13"/>
  <c r="BD410" i="13"/>
  <c r="BH410" i="13" s="1"/>
  <c r="AV410" i="13"/>
  <c r="AI410" i="13" s="1"/>
  <c r="AR410" i="13"/>
  <c r="AM410" i="13"/>
  <c r="AD410" i="13"/>
  <c r="L410" i="13"/>
  <c r="G221" i="1" s="1"/>
  <c r="B410" i="13"/>
  <c r="BD409" i="13"/>
  <c r="BH409" i="13" s="1"/>
  <c r="AV409" i="13"/>
  <c r="AI409" i="13" s="1"/>
  <c r="AR409" i="13"/>
  <c r="AM409" i="13"/>
  <c r="Q409" i="13" s="1"/>
  <c r="Y409" i="13" s="1"/>
  <c r="AD409" i="13"/>
  <c r="L409" i="13"/>
  <c r="G362" i="1" s="1"/>
  <c r="B409" i="13"/>
  <c r="BD408" i="13"/>
  <c r="BH408" i="13" s="1"/>
  <c r="AV408" i="13"/>
  <c r="AR408" i="13"/>
  <c r="AM408" i="13"/>
  <c r="AD408" i="13"/>
  <c r="L408" i="13"/>
  <c r="G123" i="1" s="1"/>
  <c r="B408" i="13"/>
  <c r="BD407" i="13"/>
  <c r="BH407" i="13" s="1"/>
  <c r="AV407" i="13"/>
  <c r="AI407" i="13" s="1"/>
  <c r="AR407" i="13"/>
  <c r="AM407" i="13"/>
  <c r="AD407" i="13"/>
  <c r="L407" i="13"/>
  <c r="G168" i="1" s="1"/>
  <c r="B407" i="13"/>
  <c r="BD406" i="13"/>
  <c r="BH406" i="13" s="1"/>
  <c r="AV406" i="13"/>
  <c r="AI406" i="13" s="1"/>
  <c r="AR406" i="13"/>
  <c r="AM406" i="13"/>
  <c r="AD406" i="13"/>
  <c r="L406" i="13"/>
  <c r="G259" i="1" s="1"/>
  <c r="B406" i="13"/>
  <c r="BD405" i="13"/>
  <c r="BH405" i="13" s="1"/>
  <c r="AV405" i="13"/>
  <c r="AI405" i="13" s="1"/>
  <c r="AR405" i="13"/>
  <c r="AM405" i="13"/>
  <c r="Q405" i="13" s="1"/>
  <c r="Y405" i="13" s="1"/>
  <c r="AD405" i="13"/>
  <c r="L405" i="13"/>
  <c r="G122" i="1" s="1"/>
  <c r="B405" i="13"/>
  <c r="BD404" i="13"/>
  <c r="BH404" i="13" s="1"/>
  <c r="AV404" i="13"/>
  <c r="AR404" i="13"/>
  <c r="AM404" i="13"/>
  <c r="AD404" i="13"/>
  <c r="L404" i="13"/>
  <c r="G153" i="1" s="1"/>
  <c r="B404" i="13"/>
  <c r="BD403" i="13"/>
  <c r="BH403" i="13" s="1"/>
  <c r="AV403" i="13"/>
  <c r="AI403" i="13" s="1"/>
  <c r="AR403" i="13"/>
  <c r="AM403" i="13"/>
  <c r="AD403" i="13"/>
  <c r="L403" i="13"/>
  <c r="G67" i="1" s="1"/>
  <c r="B403" i="13"/>
  <c r="BD402" i="13"/>
  <c r="BH402" i="13" s="1"/>
  <c r="AV402" i="13"/>
  <c r="AI402" i="13" s="1"/>
  <c r="AR402" i="13"/>
  <c r="AM402" i="13"/>
  <c r="AD402" i="13"/>
  <c r="L402" i="13"/>
  <c r="G469" i="1" s="1"/>
  <c r="B402" i="13"/>
  <c r="BD401" i="13"/>
  <c r="BH401" i="13" s="1"/>
  <c r="AV401" i="13"/>
  <c r="AI401" i="13" s="1"/>
  <c r="AR401" i="13"/>
  <c r="AM401" i="13"/>
  <c r="Q401" i="13" s="1"/>
  <c r="Y401" i="13" s="1"/>
  <c r="AD401" i="13"/>
  <c r="L401" i="13"/>
  <c r="G108" i="1" s="1"/>
  <c r="B401" i="13"/>
  <c r="BD400" i="13"/>
  <c r="BH400" i="13" s="1"/>
  <c r="AV400" i="13"/>
  <c r="AR400" i="13"/>
  <c r="AM400" i="13"/>
  <c r="AD400" i="13"/>
  <c r="L400" i="13"/>
  <c r="G145" i="1" s="1"/>
  <c r="B400" i="13"/>
  <c r="BD399" i="13"/>
  <c r="BH399" i="13" s="1"/>
  <c r="AV399" i="13"/>
  <c r="AI399" i="13" s="1"/>
  <c r="AR399" i="13"/>
  <c r="AM399" i="13"/>
  <c r="AD399" i="13"/>
  <c r="L399" i="13"/>
  <c r="G245" i="1" s="1"/>
  <c r="B399" i="13"/>
  <c r="BD398" i="13"/>
  <c r="BH398" i="13" s="1"/>
  <c r="AV398" i="13"/>
  <c r="AI398" i="13" s="1"/>
  <c r="AR398" i="13"/>
  <c r="AM398" i="13"/>
  <c r="AD398" i="13"/>
  <c r="L398" i="13"/>
  <c r="G144" i="1" s="1"/>
  <c r="B398" i="13"/>
  <c r="BD397" i="13"/>
  <c r="BH397" i="13" s="1"/>
  <c r="AV397" i="13"/>
  <c r="AI397" i="13" s="1"/>
  <c r="AR397" i="13"/>
  <c r="AM397" i="13"/>
  <c r="Q397" i="13" s="1"/>
  <c r="Y397" i="13" s="1"/>
  <c r="AD397" i="13"/>
  <c r="L397" i="13"/>
  <c r="G58" i="1" s="1"/>
  <c r="B397" i="13"/>
  <c r="BD396" i="13"/>
  <c r="BH396" i="13" s="1"/>
  <c r="AV396" i="13"/>
  <c r="AR396" i="13"/>
  <c r="AM396" i="13"/>
  <c r="AD396" i="13"/>
  <c r="L396" i="13"/>
  <c r="G337" i="1" s="1"/>
  <c r="B396" i="13"/>
  <c r="BD395" i="13"/>
  <c r="BH395" i="13" s="1"/>
  <c r="AV395" i="13"/>
  <c r="AI395" i="13" s="1"/>
  <c r="AR395" i="13"/>
  <c r="AM395" i="13"/>
  <c r="AD395" i="13"/>
  <c r="L395" i="13"/>
  <c r="G12" i="1" s="1"/>
  <c r="B395" i="13"/>
  <c r="BD394" i="13"/>
  <c r="BH394" i="13" s="1"/>
  <c r="AV394" i="13"/>
  <c r="AI394" i="13" s="1"/>
  <c r="AR394" i="13"/>
  <c r="AM394" i="13"/>
  <c r="AD394" i="13"/>
  <c r="L394" i="13"/>
  <c r="G240" i="1" s="1"/>
  <c r="B394" i="13"/>
  <c r="BD393" i="13"/>
  <c r="BH393" i="13" s="1"/>
  <c r="AV393" i="13"/>
  <c r="AI393" i="13" s="1"/>
  <c r="AR393" i="13"/>
  <c r="AM393" i="13"/>
  <c r="Q393" i="13" s="1"/>
  <c r="Y393" i="13" s="1"/>
  <c r="AD393" i="13"/>
  <c r="L393" i="13"/>
  <c r="G54" i="1" s="1"/>
  <c r="B393" i="13"/>
  <c r="BD392" i="13"/>
  <c r="BH392" i="13" s="1"/>
  <c r="AV392" i="13"/>
  <c r="AR392" i="13"/>
  <c r="AM392" i="13"/>
  <c r="AD392" i="13"/>
  <c r="L392" i="13"/>
  <c r="G53" i="1" s="1"/>
  <c r="B392" i="13"/>
  <c r="BD391" i="13"/>
  <c r="BH391" i="13" s="1"/>
  <c r="AV391" i="13"/>
  <c r="AI391" i="13" s="1"/>
  <c r="AR391" i="13"/>
  <c r="AM391" i="13"/>
  <c r="AD391" i="13"/>
  <c r="L391" i="13"/>
  <c r="G333" i="1" s="1"/>
  <c r="B391" i="13"/>
  <c r="BD390" i="13"/>
  <c r="BH390" i="13" s="1"/>
  <c r="AV390" i="13"/>
  <c r="AI390" i="13" s="1"/>
  <c r="AR390" i="13"/>
  <c r="AM390" i="13"/>
  <c r="AD390" i="13"/>
  <c r="L390" i="13"/>
  <c r="G50" i="1" s="1"/>
  <c r="B390" i="13"/>
  <c r="BD389" i="13"/>
  <c r="BH389" i="13" s="1"/>
  <c r="AV389" i="13"/>
  <c r="AI389" i="13" s="1"/>
  <c r="AR389" i="13"/>
  <c r="AM389" i="13"/>
  <c r="Q389" i="13" s="1"/>
  <c r="Y389" i="13" s="1"/>
  <c r="AD389" i="13"/>
  <c r="L389" i="13"/>
  <c r="G684" i="1" s="1"/>
  <c r="B389" i="13"/>
  <c r="BD388" i="13"/>
  <c r="BH388" i="13" s="1"/>
  <c r="AV388" i="13"/>
  <c r="AR388" i="13"/>
  <c r="AM388" i="13"/>
  <c r="AD388" i="13"/>
  <c r="L388" i="13"/>
  <c r="G139" i="1" s="1"/>
  <c r="B388" i="13"/>
  <c r="BD387" i="13"/>
  <c r="BH387" i="13" s="1"/>
  <c r="AV387" i="13"/>
  <c r="AI387" i="13" s="1"/>
  <c r="AR387" i="13"/>
  <c r="AM387" i="13"/>
  <c r="AD387" i="13"/>
  <c r="L387" i="13"/>
  <c r="G138" i="1" s="1"/>
  <c r="B387" i="13"/>
  <c r="BD386" i="13"/>
  <c r="BH386" i="13" s="1"/>
  <c r="AV386" i="13"/>
  <c r="AI386" i="13" s="1"/>
  <c r="AR386" i="13"/>
  <c r="AM386" i="13"/>
  <c r="AD386" i="13"/>
  <c r="L386" i="13"/>
  <c r="G97" i="1" s="1"/>
  <c r="B386" i="13"/>
  <c r="BD385" i="13"/>
  <c r="BH385" i="13" s="1"/>
  <c r="AV385" i="13"/>
  <c r="AI385" i="13" s="1"/>
  <c r="AR385" i="13"/>
  <c r="AM385" i="13"/>
  <c r="Q385" i="13" s="1"/>
  <c r="Y385" i="13" s="1"/>
  <c r="AD385" i="13"/>
  <c r="L385" i="13"/>
  <c r="G6" i="1" s="1"/>
  <c r="B385" i="13"/>
  <c r="BD384" i="13"/>
  <c r="BH384" i="13" s="1"/>
  <c r="AV384" i="13"/>
  <c r="AR384" i="13"/>
  <c r="AM384" i="13"/>
  <c r="AD384" i="13"/>
  <c r="L384" i="13"/>
  <c r="G282" i="1" s="1"/>
  <c r="B384" i="13"/>
  <c r="BD383" i="13"/>
  <c r="BH383" i="13" s="1"/>
  <c r="AV383" i="13"/>
  <c r="AI383" i="13" s="1"/>
  <c r="AR383" i="13"/>
  <c r="AM383" i="13"/>
  <c r="AD383" i="13"/>
  <c r="L383" i="13"/>
  <c r="G322" i="1" s="1"/>
  <c r="B383" i="13"/>
  <c r="BD382" i="13"/>
  <c r="BH382" i="13" s="1"/>
  <c r="AV382" i="13"/>
  <c r="AI382" i="13" s="1"/>
  <c r="AR382" i="13"/>
  <c r="AM382" i="13"/>
  <c r="AD382" i="13"/>
  <c r="L382" i="13"/>
  <c r="G133" i="1" s="1"/>
  <c r="B382" i="13"/>
  <c r="BD381" i="13"/>
  <c r="BH381" i="13" s="1"/>
  <c r="AV381" i="13"/>
  <c r="AI381" i="13" s="1"/>
  <c r="AR381" i="13"/>
  <c r="AM381" i="13"/>
  <c r="Q381" i="13" s="1"/>
  <c r="Y381" i="13" s="1"/>
  <c r="AD381" i="13"/>
  <c r="L381" i="13"/>
  <c r="G5" i="1" s="1"/>
  <c r="B381" i="13"/>
  <c r="BD380" i="13"/>
  <c r="BH380" i="13" s="1"/>
  <c r="AV380" i="13"/>
  <c r="AR380" i="13"/>
  <c r="AM380" i="13"/>
  <c r="AD380" i="13"/>
  <c r="L380" i="13"/>
  <c r="G91" i="1" s="1"/>
  <c r="B380" i="13"/>
  <c r="BD379" i="13"/>
  <c r="BH379" i="13" s="1"/>
  <c r="AV379" i="13"/>
  <c r="AI379" i="13" s="1"/>
  <c r="AR379" i="13"/>
  <c r="AM379" i="13"/>
  <c r="AD379" i="13"/>
  <c r="L379" i="13"/>
  <c r="G87" i="1" s="1"/>
  <c r="B379" i="13"/>
  <c r="BD378" i="13"/>
  <c r="BH378" i="13" s="1"/>
  <c r="AV378" i="13"/>
  <c r="AI378" i="13" s="1"/>
  <c r="AR378" i="13"/>
  <c r="AM378" i="13"/>
  <c r="AD378" i="13"/>
  <c r="L378" i="13"/>
  <c r="G130" i="1" s="1"/>
  <c r="B378" i="13"/>
  <c r="BD377" i="13"/>
  <c r="BH377" i="13" s="1"/>
  <c r="AV377" i="13"/>
  <c r="AI377" i="13" s="1"/>
  <c r="AR377" i="13"/>
  <c r="AM377" i="13"/>
  <c r="Q377" i="13" s="1"/>
  <c r="Y377" i="13" s="1"/>
  <c r="AD377" i="13"/>
  <c r="L377" i="13"/>
  <c r="G129" i="1" s="1"/>
  <c r="B377" i="13"/>
  <c r="BD376" i="13"/>
  <c r="BH376" i="13" s="1"/>
  <c r="AV376" i="13"/>
  <c r="AR376" i="13"/>
  <c r="AM376" i="13"/>
  <c r="AD376" i="13"/>
  <c r="L376" i="13"/>
  <c r="G86" i="1" s="1"/>
  <c r="B376" i="13"/>
  <c r="BD375" i="13"/>
  <c r="BH375" i="13" s="1"/>
  <c r="AV375" i="13"/>
  <c r="AI375" i="13" s="1"/>
  <c r="AR375" i="13"/>
  <c r="AM375" i="13"/>
  <c r="AD375" i="13"/>
  <c r="L375" i="13"/>
  <c r="G272" i="1" s="1"/>
  <c r="B375" i="13"/>
  <c r="BD374" i="13"/>
  <c r="BH374" i="13" s="1"/>
  <c r="AV374" i="13"/>
  <c r="AI374" i="13" s="1"/>
  <c r="AR374" i="13"/>
  <c r="AM374" i="13"/>
  <c r="AD374" i="13"/>
  <c r="L374" i="13"/>
  <c r="G84" i="1" s="1"/>
  <c r="B374" i="13"/>
  <c r="BD373" i="13"/>
  <c r="BH373" i="13" s="1"/>
  <c r="AV373" i="13"/>
  <c r="AI373" i="13" s="1"/>
  <c r="AR373" i="13"/>
  <c r="AM373" i="13"/>
  <c r="Q373" i="13" s="1"/>
  <c r="Y373" i="13" s="1"/>
  <c r="AD373" i="13"/>
  <c r="L373" i="13"/>
  <c r="G128" i="1" s="1"/>
  <c r="B373" i="13"/>
  <c r="BD372" i="13"/>
  <c r="BH372" i="13" s="1"/>
  <c r="AV372" i="13"/>
  <c r="AR372" i="13"/>
  <c r="AM372" i="13"/>
  <c r="AD372" i="13"/>
  <c r="L372" i="13"/>
  <c r="G219" i="1" s="1"/>
  <c r="B372" i="13"/>
  <c r="BD371" i="13"/>
  <c r="BH371" i="13" s="1"/>
  <c r="AV371" i="13"/>
  <c r="AI371" i="13" s="1"/>
  <c r="AR371" i="13"/>
  <c r="AM371" i="13"/>
  <c r="AD371" i="13"/>
  <c r="L371" i="13"/>
  <c r="G40" i="1" s="1"/>
  <c r="B371" i="13"/>
  <c r="BD370" i="13"/>
  <c r="BH370" i="13" s="1"/>
  <c r="AV370" i="13"/>
  <c r="AI370" i="13" s="1"/>
  <c r="AR370" i="13"/>
  <c r="AM370" i="13"/>
  <c r="AD370" i="13"/>
  <c r="L370" i="13"/>
  <c r="B370" i="13"/>
  <c r="BD369" i="13"/>
  <c r="BH369" i="13" s="1"/>
  <c r="AV369" i="13"/>
  <c r="AI369" i="13" s="1"/>
  <c r="AR369" i="13"/>
  <c r="AM369" i="13"/>
  <c r="Q369" i="13" s="1"/>
  <c r="Y369" i="13" s="1"/>
  <c r="AD369" i="13"/>
  <c r="L369" i="13"/>
  <c r="G39" i="1" s="1"/>
  <c r="B369" i="13"/>
  <c r="BD368" i="13"/>
  <c r="BH368" i="13" s="1"/>
  <c r="AV368" i="13"/>
  <c r="AR368" i="13"/>
  <c r="AM368" i="13"/>
  <c r="AD368" i="13"/>
  <c r="L368" i="13"/>
  <c r="G363" i="1" s="1"/>
  <c r="B368" i="13"/>
  <c r="BD367" i="13"/>
  <c r="BH367" i="13" s="1"/>
  <c r="AV367" i="13"/>
  <c r="AI367" i="13" s="1"/>
  <c r="AR367" i="13"/>
  <c r="AM367" i="13"/>
  <c r="AD367" i="13"/>
  <c r="L367" i="13"/>
  <c r="G125" i="1" s="1"/>
  <c r="B367" i="13"/>
  <c r="BD366" i="13"/>
  <c r="BH366" i="13" s="1"/>
  <c r="AV366" i="13"/>
  <c r="AI366" i="13" s="1"/>
  <c r="AR366" i="13"/>
  <c r="AM366" i="13"/>
  <c r="AD366" i="13"/>
  <c r="L366" i="13"/>
  <c r="G361" i="1" s="1"/>
  <c r="B366" i="13"/>
  <c r="BD365" i="13"/>
  <c r="BH365" i="13" s="1"/>
  <c r="AV365" i="13"/>
  <c r="AI365" i="13" s="1"/>
  <c r="AR365" i="13"/>
  <c r="AM365" i="13"/>
  <c r="Q365" i="13" s="1"/>
  <c r="Y365" i="13" s="1"/>
  <c r="AD365" i="13"/>
  <c r="L365" i="13"/>
  <c r="G710" i="1" s="1"/>
  <c r="B365" i="13"/>
  <c r="BD364" i="13"/>
  <c r="BH364" i="13" s="1"/>
  <c r="AV364" i="13"/>
  <c r="AR364" i="13"/>
  <c r="AM364" i="13"/>
  <c r="AD364" i="13"/>
  <c r="L364" i="13"/>
  <c r="G165" i="1" s="1"/>
  <c r="B364" i="13"/>
  <c r="BD363" i="13"/>
  <c r="BH363" i="13" s="1"/>
  <c r="AV363" i="13"/>
  <c r="AI363" i="13" s="1"/>
  <c r="AR363" i="13"/>
  <c r="AM363" i="13"/>
  <c r="AD363" i="13"/>
  <c r="L363" i="13"/>
  <c r="G357" i="1" s="1"/>
  <c r="B363" i="13"/>
  <c r="BD362" i="13"/>
  <c r="BH362" i="13" s="1"/>
  <c r="AV362" i="13"/>
  <c r="AI362" i="13" s="1"/>
  <c r="AR362" i="13"/>
  <c r="AM362" i="13"/>
  <c r="AD362" i="13"/>
  <c r="L362" i="13"/>
  <c r="G356" i="1" s="1"/>
  <c r="B362" i="13"/>
  <c r="BD361" i="13"/>
  <c r="BH361" i="13" s="1"/>
  <c r="AV361" i="13"/>
  <c r="AI361" i="13" s="1"/>
  <c r="AR361" i="13"/>
  <c r="AM361" i="13"/>
  <c r="Q361" i="13" s="1"/>
  <c r="Y361" i="13" s="1"/>
  <c r="AD361" i="13"/>
  <c r="L361" i="13"/>
  <c r="G119" i="1" s="1"/>
  <c r="B361" i="13"/>
  <c r="BD360" i="13"/>
  <c r="BH360" i="13" s="1"/>
  <c r="AV360" i="13"/>
  <c r="AR360" i="13"/>
  <c r="AM360" i="13"/>
  <c r="AD360" i="13"/>
  <c r="L360" i="13"/>
  <c r="G308" i="1" s="1"/>
  <c r="B360" i="13"/>
  <c r="BD359" i="13"/>
  <c r="BH359" i="13" s="1"/>
  <c r="AV359" i="13"/>
  <c r="AI359" i="13" s="1"/>
  <c r="AR359" i="13"/>
  <c r="AM359" i="13"/>
  <c r="AD359" i="13"/>
  <c r="L359" i="13"/>
  <c r="G22" i="1" s="1"/>
  <c r="B359" i="13"/>
  <c r="BD358" i="13"/>
  <c r="BH358" i="13" s="1"/>
  <c r="AV358" i="13"/>
  <c r="AI358" i="13" s="1"/>
  <c r="AR358" i="13"/>
  <c r="AM358" i="13"/>
  <c r="AD358" i="13"/>
  <c r="L358" i="13"/>
  <c r="G152" i="1" s="1"/>
  <c r="B358" i="13"/>
  <c r="BD357" i="13"/>
  <c r="BH357" i="13" s="1"/>
  <c r="AV357" i="13"/>
  <c r="AI357" i="13" s="1"/>
  <c r="AR357" i="13"/>
  <c r="AM357" i="13"/>
  <c r="Q357" i="13" s="1"/>
  <c r="Y357" i="13" s="1"/>
  <c r="AD357" i="13"/>
  <c r="L357" i="13"/>
  <c r="G68" i="1" s="1"/>
  <c r="B357" i="13"/>
  <c r="BD356" i="13"/>
  <c r="BH356" i="13" s="1"/>
  <c r="AV356" i="13"/>
  <c r="AR356" i="13"/>
  <c r="AM356" i="13"/>
  <c r="AD356" i="13"/>
  <c r="L356" i="13"/>
  <c r="G705" i="1" s="1"/>
  <c r="B356" i="13"/>
  <c r="BD355" i="13"/>
  <c r="BH355" i="13" s="1"/>
  <c r="AV355" i="13"/>
  <c r="AI355" i="13" s="1"/>
  <c r="AR355" i="13"/>
  <c r="AM355" i="13"/>
  <c r="AD355" i="13"/>
  <c r="L355" i="13"/>
  <c r="G65" i="1" s="1"/>
  <c r="B355" i="13"/>
  <c r="BD354" i="13"/>
  <c r="BH354" i="13" s="1"/>
  <c r="AV354" i="13"/>
  <c r="AI354" i="13" s="1"/>
  <c r="AR354" i="13"/>
  <c r="AM354" i="13"/>
  <c r="AD354" i="13"/>
  <c r="L354" i="13"/>
  <c r="G296" i="1" s="1"/>
  <c r="B354" i="13"/>
  <c r="BD353" i="13"/>
  <c r="BH353" i="13" s="1"/>
  <c r="AV353" i="13"/>
  <c r="AI353" i="13" s="1"/>
  <c r="AR353" i="13"/>
  <c r="AM353" i="13"/>
  <c r="Q353" i="13" s="1"/>
  <c r="Y353" i="13" s="1"/>
  <c r="AD353" i="13"/>
  <c r="L353" i="13"/>
  <c r="G344" i="1" s="1"/>
  <c r="B353" i="13"/>
  <c r="BD352" i="13"/>
  <c r="BH352" i="13" s="1"/>
  <c r="AV352" i="13"/>
  <c r="AR352" i="13"/>
  <c r="AM352" i="13"/>
  <c r="AD352" i="13"/>
  <c r="L352" i="13"/>
  <c r="G104" i="1" s="1"/>
  <c r="B352" i="13"/>
  <c r="BD351" i="13"/>
  <c r="BH351" i="13" s="1"/>
  <c r="AV351" i="13"/>
  <c r="AI351" i="13" s="1"/>
  <c r="AR351" i="13"/>
  <c r="AM351" i="13"/>
  <c r="AD351" i="13"/>
  <c r="L351" i="13"/>
  <c r="G100" i="1" s="1"/>
  <c r="B351" i="13"/>
  <c r="BD350" i="13"/>
  <c r="BH350" i="13" s="1"/>
  <c r="AV350" i="13"/>
  <c r="AI350" i="13" s="1"/>
  <c r="AR350" i="13"/>
  <c r="AM350" i="13"/>
  <c r="AD350" i="13"/>
  <c r="L350" i="13"/>
  <c r="G338" i="1" s="1"/>
  <c r="B350" i="13"/>
  <c r="BD349" i="13"/>
  <c r="BH349" i="13" s="1"/>
  <c r="AV349" i="13"/>
  <c r="AI349" i="13" s="1"/>
  <c r="AR349" i="13"/>
  <c r="AM349" i="13"/>
  <c r="Q349" i="13" s="1"/>
  <c r="Y349" i="13" s="1"/>
  <c r="AD349" i="13"/>
  <c r="L349" i="13"/>
  <c r="G99" i="1" s="1"/>
  <c r="B349" i="13"/>
  <c r="BD348" i="13"/>
  <c r="BH348" i="13" s="1"/>
  <c r="AV348" i="13"/>
  <c r="AR348" i="13"/>
  <c r="AM348" i="13"/>
  <c r="AD348" i="13"/>
  <c r="L348" i="13"/>
  <c r="G286" i="1" s="1"/>
  <c r="B348" i="13"/>
  <c r="BD347" i="13"/>
  <c r="BH347" i="13" s="1"/>
  <c r="AV347" i="13"/>
  <c r="AI347" i="13" s="1"/>
  <c r="AR347" i="13"/>
  <c r="AM347" i="13"/>
  <c r="AD347" i="13"/>
  <c r="L347" i="13"/>
  <c r="G10" i="1" s="1"/>
  <c r="B347" i="13"/>
  <c r="BD346" i="13"/>
  <c r="BH346" i="13" s="1"/>
  <c r="AV346" i="13"/>
  <c r="AI346" i="13" s="1"/>
  <c r="AR346" i="13"/>
  <c r="AM346" i="13"/>
  <c r="AD346" i="13"/>
  <c r="L346" i="13"/>
  <c r="G297" i="3" s="1"/>
  <c r="B346" i="13"/>
  <c r="BD345" i="13"/>
  <c r="BH345" i="13" s="1"/>
  <c r="AV345" i="13"/>
  <c r="AI345" i="13" s="1"/>
  <c r="AR345" i="13"/>
  <c r="AM345" i="13"/>
  <c r="Q345" i="13" s="1"/>
  <c r="Y345" i="13" s="1"/>
  <c r="AD345" i="13"/>
  <c r="L345" i="13"/>
  <c r="G331" i="1" s="1"/>
  <c r="B345" i="13"/>
  <c r="BD344" i="13"/>
  <c r="BH344" i="13" s="1"/>
  <c r="AV344" i="13"/>
  <c r="AR344" i="13"/>
  <c r="AM344" i="13"/>
  <c r="AD344" i="13"/>
  <c r="L344" i="13"/>
  <c r="G284" i="1" s="1"/>
  <c r="B344" i="13"/>
  <c r="BD343" i="13"/>
  <c r="BH343" i="13" s="1"/>
  <c r="AV343" i="13"/>
  <c r="AI343" i="13" s="1"/>
  <c r="AR343" i="13"/>
  <c r="AM343" i="13"/>
  <c r="AD343" i="13"/>
  <c r="L343" i="13"/>
  <c r="G330" i="1" s="1"/>
  <c r="B343" i="13"/>
  <c r="BD342" i="13"/>
  <c r="BH342" i="13" s="1"/>
  <c r="AV342" i="13"/>
  <c r="AI342" i="13" s="1"/>
  <c r="AR342" i="13"/>
  <c r="AM342" i="13"/>
  <c r="AD342" i="13"/>
  <c r="L342" i="13"/>
  <c r="G96" i="1" s="1"/>
  <c r="B342" i="13"/>
  <c r="BD341" i="13"/>
  <c r="BH341" i="13" s="1"/>
  <c r="AV341" i="13"/>
  <c r="AI341" i="13" s="1"/>
  <c r="AR341" i="13"/>
  <c r="AM341" i="13"/>
  <c r="Q341" i="13" s="1"/>
  <c r="Y341" i="13" s="1"/>
  <c r="AD341" i="13"/>
  <c r="L341" i="13"/>
  <c r="G136" i="1" s="1"/>
  <c r="B341" i="13"/>
  <c r="BD340" i="13"/>
  <c r="BH340" i="13" s="1"/>
  <c r="AV340" i="13"/>
  <c r="AR340" i="13"/>
  <c r="AM340" i="13"/>
  <c r="AD340" i="13"/>
  <c r="L340" i="13"/>
  <c r="G281" i="1" s="1"/>
  <c r="B340" i="13"/>
  <c r="BD339" i="13"/>
  <c r="BH339" i="13" s="1"/>
  <c r="AV339" i="13"/>
  <c r="AI339" i="13" s="1"/>
  <c r="AR339" i="13"/>
  <c r="AM339" i="13"/>
  <c r="AD339" i="13"/>
  <c r="L339" i="13"/>
  <c r="G324" i="1" s="1"/>
  <c r="B339" i="13"/>
  <c r="BD338" i="13"/>
  <c r="BH338" i="13" s="1"/>
  <c r="AV338" i="13"/>
  <c r="AI338" i="13" s="1"/>
  <c r="AR338" i="13"/>
  <c r="AM338" i="13"/>
  <c r="AD338" i="13"/>
  <c r="L338" i="13"/>
  <c r="G680" i="1" s="1"/>
  <c r="B338" i="13"/>
  <c r="BD337" i="13"/>
  <c r="BH337" i="13" s="1"/>
  <c r="AV337" i="13"/>
  <c r="AI337" i="13" s="1"/>
  <c r="AR337" i="13"/>
  <c r="AM337" i="13"/>
  <c r="Q337" i="13" s="1"/>
  <c r="Y337" i="13" s="1"/>
  <c r="AD337" i="13"/>
  <c r="L337" i="13"/>
  <c r="G90" i="1" s="1"/>
  <c r="B337" i="13"/>
  <c r="BD336" i="13"/>
  <c r="BH336" i="13" s="1"/>
  <c r="AV336" i="13"/>
  <c r="AR336" i="13"/>
  <c r="AM336" i="13"/>
  <c r="AD336" i="13"/>
  <c r="L336" i="13"/>
  <c r="G278" i="1" s="1"/>
  <c r="B336" i="13"/>
  <c r="BD335" i="13"/>
  <c r="BH335" i="13" s="1"/>
  <c r="AV335" i="13"/>
  <c r="AI335" i="13" s="1"/>
  <c r="AR335" i="13"/>
  <c r="AM335" i="13"/>
  <c r="AD335" i="13"/>
  <c r="L335" i="13"/>
  <c r="G457" i="1" s="1"/>
  <c r="B335" i="13"/>
  <c r="BD334" i="13"/>
  <c r="BH334" i="13" s="1"/>
  <c r="AV334" i="13"/>
  <c r="AI334" i="13" s="1"/>
  <c r="AR334" i="13"/>
  <c r="AM334" i="13"/>
  <c r="AD334" i="13"/>
  <c r="L334" i="13"/>
  <c r="G319" i="1" s="1"/>
  <c r="B334" i="13"/>
  <c r="BD333" i="13"/>
  <c r="BH333" i="13" s="1"/>
  <c r="AV333" i="13"/>
  <c r="AI333" i="13" s="1"/>
  <c r="AR333" i="13"/>
  <c r="AM333" i="13"/>
  <c r="Q333" i="13" s="1"/>
  <c r="Y333" i="13" s="1"/>
  <c r="AD333" i="13"/>
  <c r="L333" i="13"/>
  <c r="B333" i="13"/>
  <c r="BD332" i="13"/>
  <c r="BH332" i="13" s="1"/>
  <c r="AV332" i="13"/>
  <c r="AR332" i="13"/>
  <c r="AM332" i="13"/>
  <c r="AD332" i="13"/>
  <c r="L332" i="13"/>
  <c r="G271" i="1" s="1"/>
  <c r="B332" i="13"/>
  <c r="BD331" i="13"/>
  <c r="BH331" i="13" s="1"/>
  <c r="AV331" i="13"/>
  <c r="AI331" i="13" s="1"/>
  <c r="AR331" i="13"/>
  <c r="AM331" i="13"/>
  <c r="AD331" i="13"/>
  <c r="L331" i="13"/>
  <c r="G268" i="1" s="1"/>
  <c r="B331" i="13"/>
  <c r="BD330" i="13"/>
  <c r="BH330" i="13" s="1"/>
  <c r="AV330" i="13"/>
  <c r="AI330" i="13" s="1"/>
  <c r="AR330" i="13"/>
  <c r="AM330" i="13"/>
  <c r="AD330" i="13"/>
  <c r="L330" i="13"/>
  <c r="G126" i="1" s="1"/>
  <c r="B330" i="13"/>
  <c r="BD329" i="13"/>
  <c r="BH329" i="13" s="1"/>
  <c r="AV329" i="13"/>
  <c r="AI329" i="13" s="1"/>
  <c r="AR329" i="13"/>
  <c r="AM329" i="13"/>
  <c r="Q329" i="13" s="1"/>
  <c r="Y329" i="13" s="1"/>
  <c r="AD329" i="13"/>
  <c r="L329" i="13"/>
  <c r="G347" i="1" s="1"/>
  <c r="B329" i="13"/>
  <c r="BD328" i="13"/>
  <c r="BH328" i="13" s="1"/>
  <c r="AV328" i="13"/>
  <c r="AR328" i="13"/>
  <c r="AM328" i="13"/>
  <c r="AD328" i="13"/>
  <c r="L328" i="13"/>
  <c r="G694" i="1" s="1"/>
  <c r="B328" i="13"/>
  <c r="BD327" i="13"/>
  <c r="BH327" i="13" s="1"/>
  <c r="AV327" i="13"/>
  <c r="AI327" i="13" s="1"/>
  <c r="AR327" i="13"/>
  <c r="AM327" i="13"/>
  <c r="AD327" i="13"/>
  <c r="L327" i="13"/>
  <c r="G365" i="1" s="1"/>
  <c r="B327" i="13"/>
  <c r="BD326" i="13"/>
  <c r="BH326" i="13" s="1"/>
  <c r="AV326" i="13"/>
  <c r="AI326" i="13" s="1"/>
  <c r="AR326" i="13"/>
  <c r="AM326" i="13"/>
  <c r="AD326" i="13"/>
  <c r="L326" i="13"/>
  <c r="G713" i="1" s="1"/>
  <c r="B326" i="13"/>
  <c r="BD325" i="13"/>
  <c r="BH325" i="13" s="1"/>
  <c r="AV325" i="13"/>
  <c r="AI325" i="13" s="1"/>
  <c r="AR325" i="13"/>
  <c r="AM325" i="13"/>
  <c r="Q325" i="13" s="1"/>
  <c r="Y325" i="13" s="1"/>
  <c r="AD325" i="13"/>
  <c r="L325" i="13"/>
  <c r="G359" i="1" s="1"/>
  <c r="B325" i="13"/>
  <c r="BD324" i="13"/>
  <c r="BH324" i="13" s="1"/>
  <c r="AV324" i="13"/>
  <c r="AR324" i="13"/>
  <c r="AM324" i="13"/>
  <c r="AD324" i="13"/>
  <c r="L324" i="13"/>
  <c r="G121" i="1" s="1"/>
  <c r="B324" i="13"/>
  <c r="BD323" i="13"/>
  <c r="BH323" i="13" s="1"/>
  <c r="AV323" i="13"/>
  <c r="AI323" i="13" s="1"/>
  <c r="AR323" i="13"/>
  <c r="AM323" i="13"/>
  <c r="AD323" i="13"/>
  <c r="L323" i="13"/>
  <c r="G520" i="1" s="1"/>
  <c r="B323" i="13"/>
  <c r="BD322" i="13"/>
  <c r="BH322" i="13" s="1"/>
  <c r="AV322" i="13"/>
  <c r="AI322" i="13" s="1"/>
  <c r="AR322" i="13"/>
  <c r="AM322" i="13"/>
  <c r="AD322" i="13"/>
  <c r="L322" i="13"/>
  <c r="G33" i="1" s="1"/>
  <c r="B322" i="13"/>
  <c r="BD321" i="13"/>
  <c r="BH321" i="13" s="1"/>
  <c r="AV321" i="13"/>
  <c r="AI321" i="13" s="1"/>
  <c r="AR321" i="13"/>
  <c r="AM321" i="13"/>
  <c r="Q321" i="13" s="1"/>
  <c r="Y321" i="13" s="1"/>
  <c r="AD321" i="13"/>
  <c r="L321" i="13"/>
  <c r="G118" i="1" s="1"/>
  <c r="B321" i="13"/>
  <c r="BD320" i="13"/>
  <c r="BH320" i="13" s="1"/>
  <c r="AV320" i="13"/>
  <c r="AR320" i="13"/>
  <c r="AM320" i="13"/>
  <c r="AD320" i="13"/>
  <c r="L320" i="13"/>
  <c r="G310" i="1" s="1"/>
  <c r="B320" i="13"/>
  <c r="BD319" i="13"/>
  <c r="BH319" i="13" s="1"/>
  <c r="AV319" i="13"/>
  <c r="AI319" i="13" s="1"/>
  <c r="AR319" i="13"/>
  <c r="AM319" i="13"/>
  <c r="AD319" i="13"/>
  <c r="L319" i="13"/>
  <c r="G24" i="1" s="1"/>
  <c r="B319" i="13"/>
  <c r="BD318" i="13"/>
  <c r="BH318" i="13" s="1"/>
  <c r="AV318" i="13"/>
  <c r="AI318" i="13" s="1"/>
  <c r="AR318" i="13"/>
  <c r="AM318" i="13"/>
  <c r="AD318" i="13"/>
  <c r="L318" i="13"/>
  <c r="G353" i="1" s="1"/>
  <c r="B318" i="13"/>
  <c r="BD317" i="13"/>
  <c r="BH317" i="13" s="1"/>
  <c r="AV317" i="13"/>
  <c r="AI317" i="13" s="1"/>
  <c r="AR317" i="13"/>
  <c r="AM317" i="13"/>
  <c r="Q317" i="13" s="1"/>
  <c r="Y317" i="13" s="1"/>
  <c r="AD317" i="13"/>
  <c r="L317" i="13"/>
  <c r="G702" i="1" s="1"/>
  <c r="B317" i="13"/>
  <c r="BD316" i="13"/>
  <c r="BH316" i="13" s="1"/>
  <c r="AV316" i="13"/>
  <c r="AR316" i="13"/>
  <c r="AM316" i="13"/>
  <c r="AD316" i="13"/>
  <c r="L316" i="13"/>
  <c r="G252" i="1" s="1"/>
  <c r="B316" i="13"/>
  <c r="BD315" i="13"/>
  <c r="BH315" i="13" s="1"/>
  <c r="AV315" i="13"/>
  <c r="AI315" i="13" s="1"/>
  <c r="AR315" i="13"/>
  <c r="AM315" i="13"/>
  <c r="AD315" i="13"/>
  <c r="L315" i="13"/>
  <c r="G303" i="1" s="1"/>
  <c r="B315" i="13"/>
  <c r="BD314" i="13"/>
  <c r="BH314" i="13" s="1"/>
  <c r="AV314" i="13"/>
  <c r="AI314" i="13" s="1"/>
  <c r="AR314" i="13"/>
  <c r="AM314" i="13"/>
  <c r="AD314" i="13"/>
  <c r="L314" i="13"/>
  <c r="G293" i="1" s="1"/>
  <c r="B314" i="13"/>
  <c r="BD313" i="13"/>
  <c r="BH313" i="13" s="1"/>
  <c r="AV313" i="13"/>
  <c r="AI313" i="13" s="1"/>
  <c r="AR313" i="13"/>
  <c r="AM313" i="13"/>
  <c r="Q313" i="13" s="1"/>
  <c r="Y313" i="13" s="1"/>
  <c r="AD313" i="13"/>
  <c r="L313" i="13"/>
  <c r="G339" i="1" s="1"/>
  <c r="B313" i="13"/>
  <c r="BD312" i="13"/>
  <c r="BH312" i="13" s="1"/>
  <c r="AV312" i="13"/>
  <c r="AR312" i="13"/>
  <c r="AM312" i="13"/>
  <c r="AD312" i="13"/>
  <c r="L312" i="13"/>
  <c r="G287" i="1" s="1"/>
  <c r="B312" i="13"/>
  <c r="BD311" i="13"/>
  <c r="BH311" i="13" s="1"/>
  <c r="AV311" i="13"/>
  <c r="AI311" i="13" s="1"/>
  <c r="AR311" i="13"/>
  <c r="AM311" i="13"/>
  <c r="AD311" i="13"/>
  <c r="L311" i="13"/>
  <c r="G336" i="1" s="1"/>
  <c r="B311" i="13"/>
  <c r="BD310" i="13"/>
  <c r="BH310" i="13" s="1"/>
  <c r="AV310" i="13"/>
  <c r="AI310" i="13" s="1"/>
  <c r="AR310" i="13"/>
  <c r="AM310" i="13"/>
  <c r="AD310" i="13"/>
  <c r="L310" i="13"/>
  <c r="G687" i="1" s="1"/>
  <c r="B310" i="13"/>
  <c r="BD309" i="13"/>
  <c r="BH309" i="13" s="1"/>
  <c r="AV309" i="13"/>
  <c r="AI309" i="13" s="1"/>
  <c r="AR309" i="13"/>
  <c r="AM309" i="13"/>
  <c r="Q309" i="13" s="1"/>
  <c r="Y309" i="13" s="1"/>
  <c r="AD309" i="13"/>
  <c r="L309" i="13"/>
  <c r="G335" i="1" s="1"/>
  <c r="B309" i="13"/>
  <c r="BD308" i="13"/>
  <c r="BH308" i="13" s="1"/>
  <c r="AV308" i="13"/>
  <c r="AR308" i="13"/>
  <c r="AM308" i="13"/>
  <c r="AD308" i="13"/>
  <c r="L308" i="13"/>
  <c r="G11" i="1" s="1"/>
  <c r="B308" i="13"/>
  <c r="BD307" i="13"/>
  <c r="BH307" i="13" s="1"/>
  <c r="AV307" i="13"/>
  <c r="AI307" i="13" s="1"/>
  <c r="AR307" i="13"/>
  <c r="AM307" i="13"/>
  <c r="AD307" i="13"/>
  <c r="L307" i="13"/>
  <c r="G98" i="1" s="1"/>
  <c r="B307" i="13"/>
  <c r="BD306" i="13"/>
  <c r="BH306" i="13" s="1"/>
  <c r="AV306" i="13"/>
  <c r="AI306" i="13" s="1"/>
  <c r="AR306" i="13"/>
  <c r="AM306" i="13"/>
  <c r="AD306" i="13"/>
  <c r="L306" i="13"/>
  <c r="G239" i="1" s="1"/>
  <c r="B306" i="13"/>
  <c r="BD305" i="13"/>
  <c r="BH305" i="13" s="1"/>
  <c r="AV305" i="13"/>
  <c r="AI305" i="13" s="1"/>
  <c r="AR305" i="13"/>
  <c r="AM305" i="13"/>
  <c r="Q305" i="13" s="1"/>
  <c r="Y305" i="13" s="1"/>
  <c r="AD305" i="13"/>
  <c r="L305" i="13"/>
  <c r="G686" i="1" s="1"/>
  <c r="B305" i="13"/>
  <c r="BD304" i="13"/>
  <c r="BH304" i="13" s="1"/>
  <c r="AV304" i="13"/>
  <c r="AR304" i="13"/>
  <c r="AM304" i="13"/>
  <c r="AD304" i="13"/>
  <c r="L304" i="13"/>
  <c r="G8" i="1" s="1"/>
  <c r="B304" i="13"/>
  <c r="BD303" i="13"/>
  <c r="BH303" i="13" s="1"/>
  <c r="AV303" i="13"/>
  <c r="AI303" i="13" s="1"/>
  <c r="AR303" i="13"/>
  <c r="AM303" i="13"/>
  <c r="AD303" i="13"/>
  <c r="L303" i="13"/>
  <c r="G51" i="1" s="1"/>
  <c r="B303" i="13"/>
  <c r="BD302" i="13"/>
  <c r="BH302" i="13" s="1"/>
  <c r="AV302" i="13"/>
  <c r="AI302" i="13" s="1"/>
  <c r="AR302" i="13"/>
  <c r="AM302" i="13"/>
  <c r="AD302" i="13"/>
  <c r="L302" i="13"/>
  <c r="G329" i="1" s="1"/>
  <c r="B302" i="13"/>
  <c r="BD301" i="13"/>
  <c r="BH301" i="13" s="1"/>
  <c r="AV301" i="13"/>
  <c r="AI301" i="13" s="1"/>
  <c r="AR301" i="13"/>
  <c r="AM301" i="13"/>
  <c r="Q301" i="13" s="1"/>
  <c r="Y301" i="13" s="1"/>
  <c r="AD301" i="13"/>
  <c r="L301" i="13"/>
  <c r="G283" i="1" s="1"/>
  <c r="B301" i="13"/>
  <c r="BD300" i="13"/>
  <c r="BH300" i="13" s="1"/>
  <c r="AV300" i="13"/>
  <c r="AR300" i="13"/>
  <c r="AM300" i="13"/>
  <c r="AD300" i="13"/>
  <c r="L300" i="13"/>
  <c r="G48" i="1" s="1"/>
  <c r="B300" i="13"/>
  <c r="BD299" i="13"/>
  <c r="BH299" i="13" s="1"/>
  <c r="AV299" i="13"/>
  <c r="AI299" i="13" s="1"/>
  <c r="AR299" i="13"/>
  <c r="AM299" i="13"/>
  <c r="AD299" i="13"/>
  <c r="L299" i="13"/>
  <c r="G95" i="1" s="1"/>
  <c r="B299" i="13"/>
  <c r="BD298" i="13"/>
  <c r="BH298" i="13" s="1"/>
  <c r="AV298" i="13"/>
  <c r="AI298" i="13" s="1"/>
  <c r="AR298" i="13"/>
  <c r="AM298" i="13"/>
  <c r="AD298" i="13"/>
  <c r="L298" i="13"/>
  <c r="G328" i="1" s="1"/>
  <c r="B298" i="13"/>
  <c r="BD297" i="13"/>
  <c r="BH297" i="13" s="1"/>
  <c r="AV297" i="13"/>
  <c r="AI297" i="13" s="1"/>
  <c r="AR297" i="13"/>
  <c r="AM297" i="13"/>
  <c r="Q297" i="13" s="1"/>
  <c r="Y297" i="13" s="1"/>
  <c r="AD297" i="13"/>
  <c r="L297" i="13"/>
  <c r="G327" i="1" s="1"/>
  <c r="B297" i="13"/>
  <c r="BD296" i="13"/>
  <c r="BH296" i="13" s="1"/>
  <c r="AV296" i="13"/>
  <c r="AR296" i="13"/>
  <c r="AM296" i="13"/>
  <c r="AD296" i="13"/>
  <c r="L296" i="13"/>
  <c r="G325" i="1" s="1"/>
  <c r="B296" i="13"/>
  <c r="BD295" i="13"/>
  <c r="BH295" i="13" s="1"/>
  <c r="AV295" i="13"/>
  <c r="AI295" i="13" s="1"/>
  <c r="AR295" i="13"/>
  <c r="AM295" i="13"/>
  <c r="AD295" i="13"/>
  <c r="L295" i="13"/>
  <c r="G679" i="1" s="1"/>
  <c r="B295" i="13"/>
  <c r="BD294" i="13"/>
  <c r="BH294" i="13" s="1"/>
  <c r="AV294" i="13"/>
  <c r="AI294" i="13" s="1"/>
  <c r="AR294" i="13"/>
  <c r="AM294" i="13"/>
  <c r="AD294" i="13"/>
  <c r="L294" i="13"/>
  <c r="G274" i="1" s="1"/>
  <c r="B294" i="13"/>
  <c r="BD293" i="13"/>
  <c r="BH293" i="13" s="1"/>
  <c r="AV293" i="13"/>
  <c r="AI293" i="13" s="1"/>
  <c r="AR293" i="13"/>
  <c r="AM293" i="13"/>
  <c r="Q293" i="13" s="1"/>
  <c r="Y293" i="13" s="1"/>
  <c r="AD293" i="13"/>
  <c r="L293" i="13"/>
  <c r="G320" i="1" s="1"/>
  <c r="B293" i="13"/>
  <c r="BD292" i="13"/>
  <c r="BH292" i="13" s="1"/>
  <c r="AV292" i="13"/>
  <c r="AR292" i="13"/>
  <c r="AM292" i="13"/>
  <c r="AD292" i="13"/>
  <c r="L292" i="13"/>
  <c r="B292" i="13"/>
  <c r="BD291" i="13"/>
  <c r="BH291" i="13" s="1"/>
  <c r="AV291" i="13"/>
  <c r="AI291" i="13" s="1"/>
  <c r="AR291" i="13"/>
  <c r="AM291" i="13"/>
  <c r="AD291" i="13"/>
  <c r="L291" i="13"/>
  <c r="G717" i="1" s="1"/>
  <c r="B291" i="13"/>
  <c r="BD290" i="13"/>
  <c r="BH290" i="13" s="1"/>
  <c r="AV290" i="13"/>
  <c r="AI290" i="13" s="1"/>
  <c r="AR290" i="13"/>
  <c r="AM290" i="13"/>
  <c r="AD290" i="13"/>
  <c r="L290" i="13"/>
  <c r="G454" i="1" s="1"/>
  <c r="B290" i="13"/>
  <c r="BD289" i="13"/>
  <c r="BH289" i="13" s="1"/>
  <c r="AV289" i="13"/>
  <c r="AI289" i="13" s="1"/>
  <c r="AR289" i="13"/>
  <c r="AM289" i="13"/>
  <c r="Q289" i="13" s="1"/>
  <c r="Y289" i="13" s="1"/>
  <c r="AD289" i="13"/>
  <c r="L289" i="13"/>
  <c r="G452" i="1" s="1"/>
  <c r="B289" i="13"/>
  <c r="BD288" i="13"/>
  <c r="BH288" i="13" s="1"/>
  <c r="AV288" i="13"/>
  <c r="AR288" i="13"/>
  <c r="AM288" i="13"/>
  <c r="AD288" i="13"/>
  <c r="L288" i="13"/>
  <c r="B288" i="13"/>
  <c r="BD287" i="13"/>
  <c r="BH287" i="13" s="1"/>
  <c r="AV287" i="13"/>
  <c r="AI287" i="13" s="1"/>
  <c r="AR287" i="13"/>
  <c r="AM287" i="13"/>
  <c r="AD287" i="13"/>
  <c r="L287" i="13"/>
  <c r="G451" i="1" s="1"/>
  <c r="B287" i="13"/>
  <c r="BD286" i="13"/>
  <c r="BH286" i="13" s="1"/>
  <c r="AV286" i="13"/>
  <c r="AI286" i="13" s="1"/>
  <c r="AR286" i="13"/>
  <c r="AM286" i="13"/>
  <c r="AD286" i="13"/>
  <c r="L286" i="13"/>
  <c r="B286" i="13"/>
  <c r="BD285" i="13"/>
  <c r="BH285" i="13" s="1"/>
  <c r="AV285" i="13"/>
  <c r="AI285" i="13" s="1"/>
  <c r="AR285" i="13"/>
  <c r="AM285" i="13"/>
  <c r="Q285" i="13" s="1"/>
  <c r="Y285" i="13" s="1"/>
  <c r="AD285" i="13"/>
  <c r="L285" i="13"/>
  <c r="G215" i="1" s="1"/>
  <c r="B285" i="13"/>
  <c r="BD284" i="13"/>
  <c r="BH284" i="13" s="1"/>
  <c r="AV284" i="13"/>
  <c r="AR284" i="13"/>
  <c r="AM284" i="13"/>
  <c r="AD284" i="13"/>
  <c r="L284" i="13"/>
  <c r="G410" i="1" s="1"/>
  <c r="B284" i="13"/>
  <c r="BD283" i="13"/>
  <c r="BH283" i="13" s="1"/>
  <c r="AV283" i="13"/>
  <c r="AI283" i="13" s="1"/>
  <c r="AR283" i="13"/>
  <c r="AM283" i="13"/>
  <c r="AD283" i="13"/>
  <c r="L283" i="13"/>
  <c r="B283" i="13"/>
  <c r="BD282" i="13"/>
  <c r="BH282" i="13" s="1"/>
  <c r="AV282" i="13"/>
  <c r="AI282" i="13" s="1"/>
  <c r="AR282" i="13"/>
  <c r="AM282" i="13"/>
  <c r="AD282" i="13"/>
  <c r="L282" i="13"/>
  <c r="G712" i="1" s="1"/>
  <c r="B282" i="13"/>
  <c r="BD281" i="13"/>
  <c r="BH281" i="13" s="1"/>
  <c r="AV281" i="13"/>
  <c r="AI281" i="13" s="1"/>
  <c r="AR281" i="13"/>
  <c r="AM281" i="13"/>
  <c r="Q281" i="13" s="1"/>
  <c r="Y281" i="13" s="1"/>
  <c r="AD281" i="13"/>
  <c r="L281" i="13"/>
  <c r="G709" i="1" s="1"/>
  <c r="B281" i="13"/>
  <c r="BD280" i="13"/>
  <c r="BH280" i="13" s="1"/>
  <c r="AV280" i="13"/>
  <c r="AR280" i="13"/>
  <c r="AM280" i="13"/>
  <c r="AD280" i="13"/>
  <c r="L280" i="13"/>
  <c r="G406" i="1" s="1"/>
  <c r="B280" i="13"/>
  <c r="BD279" i="13"/>
  <c r="BH279" i="13" s="1"/>
  <c r="AV279" i="13"/>
  <c r="AI279" i="13" s="1"/>
  <c r="AR279" i="13"/>
  <c r="AM279" i="13"/>
  <c r="AD279" i="13"/>
  <c r="L279" i="13"/>
  <c r="G210" i="1" s="1"/>
  <c r="B279" i="13"/>
  <c r="BD278" i="13"/>
  <c r="BH278" i="13" s="1"/>
  <c r="AV278" i="13"/>
  <c r="AI278" i="13" s="1"/>
  <c r="AR278" i="13"/>
  <c r="AM278" i="13"/>
  <c r="AD278" i="13"/>
  <c r="L278" i="13"/>
  <c r="G404" i="1" s="1"/>
  <c r="B278" i="13"/>
  <c r="BD277" i="13"/>
  <c r="BH277" i="13" s="1"/>
  <c r="AV277" i="13"/>
  <c r="AI277" i="13" s="1"/>
  <c r="AR277" i="13"/>
  <c r="AM277" i="13"/>
  <c r="Q277" i="13" s="1"/>
  <c r="Y277" i="13" s="1"/>
  <c r="AD277" i="13"/>
  <c r="L277" i="13"/>
  <c r="G403" i="1" s="1"/>
  <c r="B277" i="13"/>
  <c r="BD276" i="13"/>
  <c r="BH276" i="13" s="1"/>
  <c r="AV276" i="13"/>
  <c r="AR276" i="13"/>
  <c r="AM276" i="13"/>
  <c r="AD276" i="13"/>
  <c r="L276" i="13"/>
  <c r="G707" i="1" s="1"/>
  <c r="B276" i="13"/>
  <c r="BD275" i="13"/>
  <c r="BH275" i="13" s="1"/>
  <c r="AV275" i="13"/>
  <c r="AI275" i="13" s="1"/>
  <c r="AR275" i="13"/>
  <c r="AM275" i="13"/>
  <c r="AD275" i="13"/>
  <c r="L275" i="13"/>
  <c r="G255" i="1" s="1"/>
  <c r="B275" i="13"/>
  <c r="BD274" i="13"/>
  <c r="BH274" i="13" s="1"/>
  <c r="AV274" i="13"/>
  <c r="AI274" i="13" s="1"/>
  <c r="AR274" i="13"/>
  <c r="AM274" i="13"/>
  <c r="AD274" i="13"/>
  <c r="L274" i="13"/>
  <c r="G207" i="1" s="1"/>
  <c r="B274" i="13"/>
  <c r="BD273" i="13"/>
  <c r="BH273" i="13" s="1"/>
  <c r="AV273" i="13"/>
  <c r="AI273" i="13" s="1"/>
  <c r="AR273" i="13"/>
  <c r="AM273" i="13"/>
  <c r="Q273" i="13" s="1"/>
  <c r="Y273" i="13" s="1"/>
  <c r="AD273" i="13"/>
  <c r="L273" i="13"/>
  <c r="G399" i="1" s="1"/>
  <c r="B273" i="13"/>
  <c r="BD272" i="13"/>
  <c r="BH272" i="13" s="1"/>
  <c r="AV272" i="13"/>
  <c r="AR272" i="13"/>
  <c r="AM272" i="13"/>
  <c r="AD272" i="13"/>
  <c r="L272" i="13"/>
  <c r="G448" i="1" s="1"/>
  <c r="B272" i="13"/>
  <c r="BD271" i="13"/>
  <c r="BH271" i="13" s="1"/>
  <c r="AV271" i="13"/>
  <c r="AI271" i="13" s="1"/>
  <c r="AR271" i="13"/>
  <c r="AM271" i="13"/>
  <c r="AD271" i="13"/>
  <c r="L271" i="13"/>
  <c r="G447" i="1" s="1"/>
  <c r="B271" i="13"/>
  <c r="BD270" i="13"/>
  <c r="BH270" i="13" s="1"/>
  <c r="AV270" i="13"/>
  <c r="AI270" i="13" s="1"/>
  <c r="AR270" i="13"/>
  <c r="AM270" i="13"/>
  <c r="AD270" i="13"/>
  <c r="L270" i="13"/>
  <c r="G697" i="1" s="1"/>
  <c r="B270" i="13"/>
  <c r="BD269" i="13"/>
  <c r="BH269" i="13" s="1"/>
  <c r="AV269" i="13"/>
  <c r="AI269" i="13" s="1"/>
  <c r="AR269" i="13"/>
  <c r="AM269" i="13"/>
  <c r="Q269" i="13" s="1"/>
  <c r="Y269" i="13" s="1"/>
  <c r="AD269" i="13"/>
  <c r="L269" i="13"/>
  <c r="G398" i="1" s="1"/>
  <c r="B269" i="13"/>
  <c r="BD268" i="13"/>
  <c r="BH268" i="13" s="1"/>
  <c r="AV268" i="13"/>
  <c r="AR268" i="13"/>
  <c r="AM268" i="13"/>
  <c r="AD268" i="13"/>
  <c r="L268" i="13"/>
  <c r="G205" i="1" s="1"/>
  <c r="B268" i="13"/>
  <c r="BD267" i="13"/>
  <c r="BH267" i="13" s="1"/>
  <c r="AV267" i="13"/>
  <c r="AI267" i="13" s="1"/>
  <c r="AR267" i="13"/>
  <c r="AM267" i="13"/>
  <c r="AD267" i="13"/>
  <c r="L267" i="13"/>
  <c r="G695" i="1" s="1"/>
  <c r="B267" i="13"/>
  <c r="BD266" i="13"/>
  <c r="BH266" i="13" s="1"/>
  <c r="AV266" i="13"/>
  <c r="AI266" i="13" s="1"/>
  <c r="AR266" i="13"/>
  <c r="AM266" i="13"/>
  <c r="AD266" i="13"/>
  <c r="L266" i="13"/>
  <c r="G693" i="1" s="1"/>
  <c r="B266" i="13"/>
  <c r="BD265" i="13"/>
  <c r="BH265" i="13" s="1"/>
  <c r="AV265" i="13"/>
  <c r="AI265" i="13" s="1"/>
  <c r="AR265" i="13"/>
  <c r="AM265" i="13"/>
  <c r="AD265" i="13"/>
  <c r="L265" i="13"/>
  <c r="G203" i="1" s="1"/>
  <c r="B265" i="13"/>
  <c r="BD264" i="13"/>
  <c r="BH264" i="13" s="1"/>
  <c r="AV264" i="13"/>
  <c r="AI264" i="13" s="1"/>
  <c r="AR264" i="13"/>
  <c r="AM264" i="13"/>
  <c r="Q264" i="13" s="1"/>
  <c r="Y264" i="13" s="1"/>
  <c r="AD264" i="13"/>
  <c r="L264" i="13"/>
  <c r="G691" i="1" s="1"/>
  <c r="B264" i="13"/>
  <c r="BD263" i="13"/>
  <c r="BH263" i="13" s="1"/>
  <c r="AV263" i="13"/>
  <c r="AR263" i="13"/>
  <c r="AM263" i="13"/>
  <c r="AD263" i="13"/>
  <c r="L263" i="13"/>
  <c r="B263" i="13"/>
  <c r="BD262" i="13"/>
  <c r="BH262" i="13" s="1"/>
  <c r="AV262" i="13"/>
  <c r="AI262" i="13" s="1"/>
  <c r="AR262" i="13"/>
  <c r="AM262" i="13"/>
  <c r="AD262" i="13"/>
  <c r="L262" i="13"/>
  <c r="G202" i="1" s="1"/>
  <c r="B262" i="13"/>
  <c r="BD261" i="13"/>
  <c r="BH261" i="13" s="1"/>
  <c r="AV261" i="13"/>
  <c r="AI261" i="13" s="1"/>
  <c r="AR261" i="13"/>
  <c r="AM261" i="13"/>
  <c r="AD261" i="13"/>
  <c r="L261" i="13"/>
  <c r="G501" i="1" s="1"/>
  <c r="B261" i="13"/>
  <c r="BD260" i="13"/>
  <c r="BH260" i="13" s="1"/>
  <c r="AV260" i="13"/>
  <c r="AI260" i="13" s="1"/>
  <c r="AR260" i="13"/>
  <c r="AM260" i="13"/>
  <c r="Q260" i="13" s="1"/>
  <c r="Y260" i="13" s="1"/>
  <c r="AD260" i="13"/>
  <c r="L260" i="13"/>
  <c r="G395" i="1" s="1"/>
  <c r="B260" i="13"/>
  <c r="BD259" i="13"/>
  <c r="BH259" i="13" s="1"/>
  <c r="AV259" i="13"/>
  <c r="AR259" i="13"/>
  <c r="AM259" i="13"/>
  <c r="AD259" i="13"/>
  <c r="L259" i="13"/>
  <c r="G394" i="1" s="1"/>
  <c r="B259" i="13"/>
  <c r="BD258" i="13"/>
  <c r="BH258" i="13" s="1"/>
  <c r="AV258" i="13"/>
  <c r="AI258" i="13" s="1"/>
  <c r="AR258" i="13"/>
  <c r="AM258" i="13"/>
  <c r="AD258" i="13"/>
  <c r="L258" i="13"/>
  <c r="G201" i="1" s="1"/>
  <c r="B258" i="13"/>
  <c r="BD257" i="13"/>
  <c r="BH257" i="13" s="1"/>
  <c r="AV257" i="13"/>
  <c r="AI257" i="13" s="1"/>
  <c r="AR257" i="13"/>
  <c r="AM257" i="13"/>
  <c r="AD257" i="13"/>
  <c r="L257" i="13"/>
  <c r="G445" i="1" s="1"/>
  <c r="B257" i="13"/>
  <c r="BD256" i="13"/>
  <c r="BH256" i="13" s="1"/>
  <c r="AV256" i="13"/>
  <c r="AI256" i="13" s="1"/>
  <c r="AR256" i="13"/>
  <c r="AM256" i="13"/>
  <c r="Q256" i="13" s="1"/>
  <c r="Y256" i="13" s="1"/>
  <c r="AD256" i="13"/>
  <c r="L256" i="13"/>
  <c r="G249" i="1" s="1"/>
  <c r="B256" i="13"/>
  <c r="BD255" i="13"/>
  <c r="BH255" i="13" s="1"/>
  <c r="AV255" i="13"/>
  <c r="AR255" i="13"/>
  <c r="AM255" i="13"/>
  <c r="AD255" i="13"/>
  <c r="L255" i="13"/>
  <c r="G296" i="3" s="1"/>
  <c r="B255" i="13"/>
  <c r="BD254" i="13"/>
  <c r="BH254" i="13" s="1"/>
  <c r="AV254" i="13"/>
  <c r="AI254" i="13" s="1"/>
  <c r="AR254" i="13"/>
  <c r="AM254" i="13"/>
  <c r="AD254" i="13"/>
  <c r="L254" i="13"/>
  <c r="G500" i="1" s="1"/>
  <c r="B254" i="13"/>
  <c r="BD253" i="13"/>
  <c r="BH253" i="13" s="1"/>
  <c r="AV253" i="13"/>
  <c r="AI253" i="13" s="1"/>
  <c r="AR253" i="13"/>
  <c r="AM253" i="13"/>
  <c r="AD253" i="13"/>
  <c r="L253" i="13"/>
  <c r="G443" i="1" s="1"/>
  <c r="B253" i="13"/>
  <c r="BD252" i="13"/>
  <c r="BH252" i="13" s="1"/>
  <c r="AV252" i="13"/>
  <c r="AI252" i="13" s="1"/>
  <c r="AR252" i="13"/>
  <c r="AM252" i="13"/>
  <c r="Q252" i="13" s="1"/>
  <c r="Y252" i="13" s="1"/>
  <c r="AD252" i="13"/>
  <c r="L252" i="13"/>
  <c r="G392" i="1" s="1"/>
  <c r="B252" i="13"/>
  <c r="BD251" i="13"/>
  <c r="BH251" i="13" s="1"/>
  <c r="AV251" i="13"/>
  <c r="AR251" i="13"/>
  <c r="AM251" i="13"/>
  <c r="AD251" i="13"/>
  <c r="L251" i="13"/>
  <c r="G199" i="1" s="1"/>
  <c r="B251" i="13"/>
  <c r="BD250" i="13"/>
  <c r="BH250" i="13" s="1"/>
  <c r="AV250" i="13"/>
  <c r="AI250" i="13" s="1"/>
  <c r="AR250" i="13"/>
  <c r="AM250" i="13"/>
  <c r="AD250" i="13"/>
  <c r="L250" i="13"/>
  <c r="G441" i="1" s="1"/>
  <c r="B250" i="13"/>
  <c r="BD249" i="13"/>
  <c r="BH249" i="13" s="1"/>
  <c r="AV249" i="13"/>
  <c r="AI249" i="13" s="1"/>
  <c r="AR249" i="13"/>
  <c r="AM249" i="13"/>
  <c r="AD249" i="13"/>
  <c r="L249" i="13"/>
  <c r="G391" i="1" s="1"/>
  <c r="B249" i="13"/>
  <c r="BD248" i="13"/>
  <c r="BH248" i="13" s="1"/>
  <c r="AV248" i="13"/>
  <c r="AI248" i="13" s="1"/>
  <c r="AR248" i="13"/>
  <c r="AM248" i="13"/>
  <c r="Q248" i="13" s="1"/>
  <c r="Y248" i="13" s="1"/>
  <c r="AD248" i="13"/>
  <c r="L248" i="13"/>
  <c r="G439" i="1" s="1"/>
  <c r="B248" i="13"/>
  <c r="BD247" i="13"/>
  <c r="BH247" i="13" s="1"/>
  <c r="AV247" i="13"/>
  <c r="AR247" i="13"/>
  <c r="AM247" i="13"/>
  <c r="AD247" i="13"/>
  <c r="L247" i="13"/>
  <c r="G438" i="1" s="1"/>
  <c r="B247" i="13"/>
  <c r="BD246" i="13"/>
  <c r="BH246" i="13" s="1"/>
  <c r="AV246" i="13"/>
  <c r="AI246" i="13" s="1"/>
  <c r="AR246" i="13"/>
  <c r="AM246" i="13"/>
  <c r="AD246" i="13"/>
  <c r="L246" i="13"/>
  <c r="G389" i="1" s="1"/>
  <c r="B246" i="13"/>
  <c r="BD245" i="13"/>
  <c r="BH245" i="13" s="1"/>
  <c r="AV245" i="13"/>
  <c r="AI245" i="13" s="1"/>
  <c r="AR245" i="13"/>
  <c r="AM245" i="13"/>
  <c r="AD245" i="13"/>
  <c r="L245" i="13"/>
  <c r="G388" i="1" s="1"/>
  <c r="B245" i="13"/>
  <c r="BD244" i="13"/>
  <c r="BH244" i="13" s="1"/>
  <c r="AV244" i="13"/>
  <c r="AI244" i="13" s="1"/>
  <c r="AR244" i="13"/>
  <c r="AM244" i="13"/>
  <c r="Q244" i="13" s="1"/>
  <c r="Y244" i="13" s="1"/>
  <c r="AD244" i="13"/>
  <c r="L244" i="13"/>
  <c r="G436" i="1" s="1"/>
  <c r="B244" i="13"/>
  <c r="BD243" i="13"/>
  <c r="BH243" i="13" s="1"/>
  <c r="AV243" i="13"/>
  <c r="AR243" i="13"/>
  <c r="AM243" i="13"/>
  <c r="AD243" i="13"/>
  <c r="L243" i="13"/>
  <c r="G196" i="1" s="1"/>
  <c r="B243" i="13"/>
  <c r="BD242" i="13"/>
  <c r="BH242" i="13" s="1"/>
  <c r="AV242" i="13"/>
  <c r="AI242" i="13" s="1"/>
  <c r="AR242" i="13"/>
  <c r="AM242" i="13"/>
  <c r="AD242" i="13"/>
  <c r="L242" i="13"/>
  <c r="G195" i="1" s="1"/>
  <c r="B242" i="13"/>
  <c r="BD241" i="13"/>
  <c r="BH241" i="13" s="1"/>
  <c r="AV241" i="13"/>
  <c r="AI241" i="13" s="1"/>
  <c r="AR241" i="13"/>
  <c r="AM241" i="13"/>
  <c r="AD241" i="13"/>
  <c r="L241" i="13"/>
  <c r="G385" i="1" s="1"/>
  <c r="B241" i="13"/>
  <c r="BD240" i="13"/>
  <c r="BH240" i="13" s="1"/>
  <c r="AV240" i="13"/>
  <c r="AI240" i="13" s="1"/>
  <c r="AR240" i="13"/>
  <c r="AM240" i="13"/>
  <c r="Q240" i="13" s="1"/>
  <c r="Y240" i="13" s="1"/>
  <c r="AD240" i="13"/>
  <c r="L240" i="13"/>
  <c r="G498" i="1" s="1"/>
  <c r="B240" i="13"/>
  <c r="BD239" i="13"/>
  <c r="BH239" i="13" s="1"/>
  <c r="AV239" i="13"/>
  <c r="AR239" i="13"/>
  <c r="AM239" i="13"/>
  <c r="AD239" i="13"/>
  <c r="L239" i="13"/>
  <c r="G190" i="1" s="1"/>
  <c r="B239" i="13"/>
  <c r="BD238" i="13"/>
  <c r="BH238" i="13" s="1"/>
  <c r="AV238" i="13"/>
  <c r="AI238" i="13" s="1"/>
  <c r="AR238" i="13"/>
  <c r="AM238" i="13"/>
  <c r="AD238" i="13"/>
  <c r="L238" i="13"/>
  <c r="G384" i="1" s="1"/>
  <c r="B238" i="13"/>
  <c r="BD237" i="13"/>
  <c r="BH237" i="13" s="1"/>
  <c r="AV237" i="13"/>
  <c r="AI237" i="13" s="1"/>
  <c r="AR237" i="13"/>
  <c r="AM237" i="13"/>
  <c r="AD237" i="13"/>
  <c r="L237" i="13"/>
  <c r="G236" i="1" s="1"/>
  <c r="B237" i="13"/>
  <c r="BD236" i="13"/>
  <c r="BH236" i="13" s="1"/>
  <c r="AV236" i="13"/>
  <c r="AI236" i="13" s="1"/>
  <c r="AR236" i="13"/>
  <c r="AM236" i="13"/>
  <c r="Q236" i="13" s="1"/>
  <c r="Y236" i="13" s="1"/>
  <c r="AD236" i="13"/>
  <c r="L236" i="13"/>
  <c r="G435" i="1" s="1"/>
  <c r="B236" i="13"/>
  <c r="BD235" i="13"/>
  <c r="BH235" i="13" s="1"/>
  <c r="AV235" i="13"/>
  <c r="AR235" i="13"/>
  <c r="AM235" i="13"/>
  <c r="AD235" i="13"/>
  <c r="L235" i="13"/>
  <c r="G685" i="1" s="1"/>
  <c r="B235" i="13"/>
  <c r="BD234" i="13"/>
  <c r="BH234" i="13" s="1"/>
  <c r="AV234" i="13"/>
  <c r="AI234" i="13" s="1"/>
  <c r="AR234" i="13"/>
  <c r="AM234" i="13"/>
  <c r="AD234" i="13"/>
  <c r="L234" i="13"/>
  <c r="G434" i="1" s="1"/>
  <c r="B234" i="13"/>
  <c r="BD233" i="13"/>
  <c r="BH233" i="13" s="1"/>
  <c r="AV233" i="13"/>
  <c r="AI233" i="13" s="1"/>
  <c r="AR233" i="13"/>
  <c r="AM233" i="13"/>
  <c r="AD233" i="13"/>
  <c r="L233" i="13"/>
  <c r="G300" i="3" s="1"/>
  <c r="B233" i="13"/>
  <c r="BD232" i="13"/>
  <c r="BH232" i="13" s="1"/>
  <c r="AV232" i="13"/>
  <c r="AI232" i="13" s="1"/>
  <c r="AR232" i="13"/>
  <c r="AM232" i="13"/>
  <c r="Q232" i="13" s="1"/>
  <c r="Y232" i="13" s="1"/>
  <c r="AD232" i="13"/>
  <c r="L232" i="13"/>
  <c r="G382" i="1" s="1"/>
  <c r="B232" i="13"/>
  <c r="BD231" i="13"/>
  <c r="BH231" i="13" s="1"/>
  <c r="AV231" i="13"/>
  <c r="AR231" i="13"/>
  <c r="AM231" i="13"/>
  <c r="AD231" i="13"/>
  <c r="L231" i="13"/>
  <c r="G185" i="1" s="1"/>
  <c r="B231" i="13"/>
  <c r="BD230" i="13"/>
  <c r="BH230" i="13" s="1"/>
  <c r="AV230" i="13"/>
  <c r="AI230" i="13" s="1"/>
  <c r="AR230" i="13"/>
  <c r="AM230" i="13"/>
  <c r="AD230" i="13"/>
  <c r="L230" i="13"/>
  <c r="G494" i="1" s="1"/>
  <c r="B230" i="13"/>
  <c r="BD229" i="13"/>
  <c r="BH229" i="13" s="1"/>
  <c r="AV229" i="13"/>
  <c r="AR229" i="13"/>
  <c r="AM229" i="13"/>
  <c r="AD229" i="13"/>
  <c r="L229" i="13"/>
  <c r="G459" i="1" s="1"/>
  <c r="B229" i="13"/>
  <c r="BD228" i="13"/>
  <c r="BH228" i="13" s="1"/>
  <c r="AV228" i="13"/>
  <c r="AI228" i="13" s="1"/>
  <c r="AR228" i="13"/>
  <c r="AM228" i="13"/>
  <c r="AD228" i="13"/>
  <c r="L228" i="13"/>
  <c r="G681" i="1" s="1"/>
  <c r="B228" i="13"/>
  <c r="BD227" i="13"/>
  <c r="BH227" i="13" s="1"/>
  <c r="AV227" i="13"/>
  <c r="AI227" i="13" s="1"/>
  <c r="AR227" i="13"/>
  <c r="AM227" i="13"/>
  <c r="AD227" i="13"/>
  <c r="L227" i="13"/>
  <c r="G381" i="1" s="1"/>
  <c r="B227" i="13"/>
  <c r="BD226" i="13"/>
  <c r="BH226" i="13" s="1"/>
  <c r="AV226" i="13"/>
  <c r="AI226" i="13" s="1"/>
  <c r="AR226" i="13"/>
  <c r="AM226" i="13"/>
  <c r="Q226" i="13" s="1"/>
  <c r="Y226" i="13" s="1"/>
  <c r="AD226" i="13"/>
  <c r="L226" i="13"/>
  <c r="G380" i="1" s="1"/>
  <c r="B226" i="13"/>
  <c r="BD225" i="13"/>
  <c r="BH225" i="13" s="1"/>
  <c r="AV225" i="13"/>
  <c r="AR225" i="13"/>
  <c r="AM225" i="13"/>
  <c r="AD225" i="13"/>
  <c r="L225" i="13"/>
  <c r="G302" i="3" s="1"/>
  <c r="B225" i="13"/>
  <c r="BD224" i="13"/>
  <c r="BH224" i="13" s="1"/>
  <c r="AV224" i="13"/>
  <c r="AI224" i="13" s="1"/>
  <c r="AR224" i="13"/>
  <c r="AM224" i="13"/>
  <c r="AD224" i="13"/>
  <c r="L224" i="13"/>
  <c r="G429" i="1" s="1"/>
  <c r="B224" i="13"/>
  <c r="BD223" i="13"/>
  <c r="BH223" i="13" s="1"/>
  <c r="AV223" i="13"/>
  <c r="AI223" i="13" s="1"/>
  <c r="AR223" i="13"/>
  <c r="AM223" i="13"/>
  <c r="AD223" i="13"/>
  <c r="L223" i="13"/>
  <c r="G458" i="1" s="1"/>
  <c r="B223" i="13"/>
  <c r="BD222" i="13"/>
  <c r="BH222" i="13" s="1"/>
  <c r="AV222" i="13"/>
  <c r="AI222" i="13" s="1"/>
  <c r="AR222" i="13"/>
  <c r="AM222" i="13"/>
  <c r="Q222" i="13" s="1"/>
  <c r="Y222" i="13" s="1"/>
  <c r="AD222" i="13"/>
  <c r="L222" i="13"/>
  <c r="G376" i="1" s="1"/>
  <c r="B222" i="13"/>
  <c r="BD221" i="13"/>
  <c r="BH221" i="13" s="1"/>
  <c r="AV221" i="13"/>
  <c r="AR221" i="13"/>
  <c r="AM221" i="13"/>
  <c r="AD221" i="13"/>
  <c r="L221" i="13"/>
  <c r="G426" i="1" s="1"/>
  <c r="B221" i="13"/>
  <c r="BD220" i="13"/>
  <c r="BH220" i="13" s="1"/>
  <c r="AV220" i="13"/>
  <c r="AI220" i="13" s="1"/>
  <c r="AR220" i="13"/>
  <c r="AM220" i="13"/>
  <c r="AD220" i="13"/>
  <c r="L220" i="13"/>
  <c r="G678" i="1" s="1"/>
  <c r="B220" i="13"/>
  <c r="BD219" i="13"/>
  <c r="BH219" i="13" s="1"/>
  <c r="AV219" i="13"/>
  <c r="AI219" i="13" s="1"/>
  <c r="AR219" i="13"/>
  <c r="AM219" i="13"/>
  <c r="AD219" i="13"/>
  <c r="L219" i="13"/>
  <c r="G424" i="1" s="1"/>
  <c r="B219" i="13"/>
  <c r="BD218" i="13"/>
  <c r="BH218" i="13" s="1"/>
  <c r="AV218" i="13"/>
  <c r="AI218" i="13" s="1"/>
  <c r="AR218" i="13"/>
  <c r="AM218" i="13"/>
  <c r="Q218" i="13" s="1"/>
  <c r="Y218" i="13" s="1"/>
  <c r="AD218" i="13"/>
  <c r="L218" i="13"/>
  <c r="G228" i="1" s="1"/>
  <c r="B218" i="13"/>
  <c r="BD217" i="13"/>
  <c r="BH217" i="13" s="1"/>
  <c r="AV217" i="13"/>
  <c r="AR217" i="13"/>
  <c r="AM217" i="13"/>
  <c r="AD217" i="13"/>
  <c r="L217" i="13"/>
  <c r="G183" i="1" s="1"/>
  <c r="B217" i="13"/>
  <c r="BD216" i="13"/>
  <c r="BH216" i="13" s="1"/>
  <c r="AV216" i="13"/>
  <c r="AI216" i="13" s="1"/>
  <c r="AR216" i="13"/>
  <c r="AM216" i="13"/>
  <c r="AD216" i="13"/>
  <c r="L216" i="13"/>
  <c r="G422" i="1" s="1"/>
  <c r="B216" i="13"/>
  <c r="BD215" i="13"/>
  <c r="BH215" i="13" s="1"/>
  <c r="AV215" i="13"/>
  <c r="AI215" i="13" s="1"/>
  <c r="AR215" i="13"/>
  <c r="AM215" i="13"/>
  <c r="AD215" i="13"/>
  <c r="L215" i="13"/>
  <c r="G421" i="1" s="1"/>
  <c r="B215" i="13"/>
  <c r="BD214" i="13"/>
  <c r="BH214" i="13" s="1"/>
  <c r="AV214" i="13"/>
  <c r="AI214" i="13" s="1"/>
  <c r="AR214" i="13"/>
  <c r="AM214" i="13"/>
  <c r="Q214" i="13" s="1"/>
  <c r="Y214" i="13" s="1"/>
  <c r="AD214" i="13"/>
  <c r="L214" i="13"/>
  <c r="G305" i="3" s="1"/>
  <c r="B214" i="13"/>
  <c r="BD213" i="13"/>
  <c r="BH213" i="13" s="1"/>
  <c r="AV213" i="13"/>
  <c r="AR213" i="13"/>
  <c r="AM213" i="13"/>
  <c r="AD213" i="13"/>
  <c r="L213" i="13"/>
  <c r="G420" i="1" s="1"/>
  <c r="B213" i="13"/>
  <c r="BD212" i="13"/>
  <c r="BH212" i="13" s="1"/>
  <c r="AV212" i="13"/>
  <c r="AI212" i="13" s="1"/>
  <c r="AR212" i="13"/>
  <c r="AM212" i="13"/>
  <c r="AD212" i="13"/>
  <c r="L212" i="13"/>
  <c r="G419" i="1" s="1"/>
  <c r="B212" i="13"/>
  <c r="BD211" i="13"/>
  <c r="BH211" i="13" s="1"/>
  <c r="AV211" i="13"/>
  <c r="AI211" i="13" s="1"/>
  <c r="AR211" i="13"/>
  <c r="AM211" i="13"/>
  <c r="AD211" i="13"/>
  <c r="L211" i="13"/>
  <c r="G491" i="1" s="1"/>
  <c r="B211" i="13"/>
  <c r="BD210" i="13"/>
  <c r="BH210" i="13" s="1"/>
  <c r="AV210" i="13"/>
  <c r="AI210" i="13" s="1"/>
  <c r="AR210" i="13"/>
  <c r="AM210" i="13"/>
  <c r="Q210" i="13" s="1"/>
  <c r="Y210" i="13" s="1"/>
  <c r="AD210" i="13"/>
  <c r="L210" i="13"/>
  <c r="G675" i="1" s="1"/>
  <c r="B210" i="13"/>
  <c r="BD209" i="13"/>
  <c r="BH209" i="13" s="1"/>
  <c r="AV209" i="13"/>
  <c r="AR209" i="13"/>
  <c r="AM209" i="13"/>
  <c r="AD209" i="13"/>
  <c r="L209" i="13"/>
  <c r="B209" i="13"/>
  <c r="BD208" i="13"/>
  <c r="BH208" i="13" s="1"/>
  <c r="AV208" i="13"/>
  <c r="AI208" i="13" s="1"/>
  <c r="AR208" i="13"/>
  <c r="AM208" i="13"/>
  <c r="AD208" i="13"/>
  <c r="L208" i="13"/>
  <c r="G417" i="1" s="1"/>
  <c r="B208" i="13"/>
  <c r="BD207" i="13"/>
  <c r="BH207" i="13" s="1"/>
  <c r="AV207" i="13"/>
  <c r="AI207" i="13" s="1"/>
  <c r="AR207" i="13"/>
  <c r="AM207" i="13"/>
  <c r="AD207" i="13"/>
  <c r="L207" i="13"/>
  <c r="G290" i="3" s="1"/>
  <c r="B207" i="13"/>
  <c r="BD206" i="13"/>
  <c r="BH206" i="13" s="1"/>
  <c r="AV206" i="13"/>
  <c r="AI206" i="13" s="1"/>
  <c r="AR206" i="13"/>
  <c r="AM206" i="13"/>
  <c r="Q206" i="13" s="1"/>
  <c r="Y206" i="13" s="1"/>
  <c r="AD206" i="13"/>
  <c r="L206" i="13"/>
  <c r="G672" i="1" s="1"/>
  <c r="B206" i="13"/>
  <c r="BD205" i="13"/>
  <c r="BH205" i="13" s="1"/>
  <c r="AV205" i="13"/>
  <c r="AR205" i="13"/>
  <c r="AM205" i="13"/>
  <c r="AD205" i="13"/>
  <c r="L205" i="13"/>
  <c r="G223" i="1" s="1"/>
  <c r="B205" i="13"/>
  <c r="BD204" i="13"/>
  <c r="BH204" i="13" s="1"/>
  <c r="AV204" i="13"/>
  <c r="AI204" i="13" s="1"/>
  <c r="AR204" i="13"/>
  <c r="AM204" i="13"/>
  <c r="AD204" i="13"/>
  <c r="L204" i="13"/>
  <c r="G415" i="1" s="1"/>
  <c r="B204" i="13"/>
  <c r="BD203" i="13"/>
  <c r="BH203" i="13" s="1"/>
  <c r="AV203" i="13"/>
  <c r="AI203" i="13" s="1"/>
  <c r="AR203" i="13"/>
  <c r="AM203" i="13"/>
  <c r="AD203" i="13"/>
  <c r="L203" i="13"/>
  <c r="G222" i="1" s="1"/>
  <c r="B203" i="13"/>
  <c r="BD202" i="13"/>
  <c r="BH202" i="13" s="1"/>
  <c r="AV202" i="13"/>
  <c r="AI202" i="13" s="1"/>
  <c r="AR202" i="13"/>
  <c r="AM202" i="13"/>
  <c r="Q202" i="13" s="1"/>
  <c r="Y202" i="13" s="1"/>
  <c r="AD202" i="13"/>
  <c r="L202" i="13"/>
  <c r="G220" i="1" s="1"/>
  <c r="B202" i="13"/>
  <c r="BD201" i="13"/>
  <c r="BH201" i="13" s="1"/>
  <c r="AV201" i="13"/>
  <c r="AR201" i="13"/>
  <c r="AM201" i="13"/>
  <c r="AD201" i="13"/>
  <c r="L201" i="13"/>
  <c r="G173" i="1" s="1"/>
  <c r="B201" i="13"/>
  <c r="BD200" i="13"/>
  <c r="BH200" i="13" s="1"/>
  <c r="AV200" i="13"/>
  <c r="AI200" i="13" s="1"/>
  <c r="AR200" i="13"/>
  <c r="AM200" i="13"/>
  <c r="AD200" i="13"/>
  <c r="L200" i="13"/>
  <c r="G367" i="1" s="1"/>
  <c r="B200" i="13"/>
  <c r="BD199" i="13"/>
  <c r="BH199" i="13" s="1"/>
  <c r="AV199" i="13"/>
  <c r="AI199" i="13" s="1"/>
  <c r="AR199" i="13"/>
  <c r="AM199" i="13"/>
  <c r="AD199" i="13"/>
  <c r="L199" i="13"/>
  <c r="G413" i="1" s="1"/>
  <c r="B199" i="13"/>
  <c r="BD198" i="13"/>
  <c r="BH198" i="13" s="1"/>
  <c r="AV198" i="13"/>
  <c r="AI198" i="13" s="1"/>
  <c r="AR198" i="13"/>
  <c r="AM198" i="13"/>
  <c r="Q198" i="13" s="1"/>
  <c r="Y198" i="13" s="1"/>
  <c r="AD198" i="13"/>
  <c r="L198" i="13"/>
  <c r="G488" i="1" s="1"/>
  <c r="B198" i="13"/>
  <c r="BD197" i="13"/>
  <c r="BH197" i="13" s="1"/>
  <c r="AV197" i="13"/>
  <c r="AR197" i="13"/>
  <c r="AM197" i="13"/>
  <c r="AD197" i="13"/>
  <c r="L197" i="13"/>
  <c r="G172" i="1" s="1"/>
  <c r="B197" i="13"/>
  <c r="BD196" i="13"/>
  <c r="BH196" i="13" s="1"/>
  <c r="AV196" i="13"/>
  <c r="AI196" i="13" s="1"/>
  <c r="AR196" i="13"/>
  <c r="AM196" i="13"/>
  <c r="AD196" i="13"/>
  <c r="L196" i="13"/>
  <c r="G408" i="1" s="1"/>
  <c r="B196" i="13"/>
  <c r="BD195" i="13"/>
  <c r="BH195" i="13" s="1"/>
  <c r="AV195" i="13"/>
  <c r="AI195" i="13" s="1"/>
  <c r="AR195" i="13"/>
  <c r="AM195" i="13"/>
  <c r="AD195" i="13"/>
  <c r="L195" i="13"/>
  <c r="G450" i="1" s="1"/>
  <c r="B195" i="13"/>
  <c r="BD194" i="13"/>
  <c r="BH194" i="13" s="1"/>
  <c r="AV194" i="13"/>
  <c r="AI194" i="13" s="1"/>
  <c r="AR194" i="13"/>
  <c r="AM194" i="13"/>
  <c r="Q194" i="13" s="1"/>
  <c r="Y194" i="13" s="1"/>
  <c r="AD194" i="13"/>
  <c r="L194" i="13"/>
  <c r="G387" i="1" s="1"/>
  <c r="B194" i="13"/>
  <c r="BD193" i="13"/>
  <c r="BH193" i="13" s="1"/>
  <c r="AV193" i="13"/>
  <c r="AR193" i="13"/>
  <c r="AM193" i="13"/>
  <c r="AD193" i="13"/>
  <c r="L193" i="13"/>
  <c r="G383" i="1" s="1"/>
  <c r="B193" i="13"/>
  <c r="BD192" i="13"/>
  <c r="BH192" i="13" s="1"/>
  <c r="AV192" i="13"/>
  <c r="AI192" i="13" s="1"/>
  <c r="AR192" i="13"/>
  <c r="AM192" i="13"/>
  <c r="AD192" i="13"/>
  <c r="L192" i="13"/>
  <c r="G431" i="1" s="1"/>
  <c r="B192" i="13"/>
  <c r="BD191" i="13"/>
  <c r="BH191" i="13" s="1"/>
  <c r="AV191" i="13"/>
  <c r="AI191" i="13" s="1"/>
  <c r="AR191" i="13"/>
  <c r="AM191" i="13"/>
  <c r="AD191" i="13"/>
  <c r="L191" i="13"/>
  <c r="G425" i="1" s="1"/>
  <c r="B191" i="13"/>
  <c r="BD190" i="13"/>
  <c r="BH190" i="13" s="1"/>
  <c r="AV190" i="13"/>
  <c r="AI190" i="13" s="1"/>
  <c r="AR190" i="13"/>
  <c r="AM190" i="13"/>
  <c r="Q190" i="13" s="1"/>
  <c r="Y190" i="13" s="1"/>
  <c r="AD190" i="13"/>
  <c r="L190" i="13"/>
  <c r="G132" i="1" s="1"/>
  <c r="B190" i="13"/>
  <c r="BD189" i="13"/>
  <c r="BH189" i="13" s="1"/>
  <c r="AV189" i="13"/>
  <c r="AR189" i="13"/>
  <c r="AM189" i="13"/>
  <c r="AD189" i="13"/>
  <c r="L189" i="13"/>
  <c r="G371" i="1" s="1"/>
  <c r="B189" i="13"/>
  <c r="BD188" i="13"/>
  <c r="BH188" i="13" s="1"/>
  <c r="AV188" i="13"/>
  <c r="AI188" i="13" s="1"/>
  <c r="AR188" i="13"/>
  <c r="AM188" i="13"/>
  <c r="AD188" i="13"/>
  <c r="L188" i="13"/>
  <c r="G368" i="1" s="1"/>
  <c r="B188" i="13"/>
  <c r="BD187" i="13"/>
  <c r="BH187" i="13" s="1"/>
  <c r="AV187" i="13"/>
  <c r="AI187" i="13" s="1"/>
  <c r="AR187" i="13"/>
  <c r="AM187" i="13"/>
  <c r="AD187" i="13"/>
  <c r="L187" i="13"/>
  <c r="G455" i="1" s="1"/>
  <c r="B187" i="13"/>
  <c r="BD186" i="13"/>
  <c r="BH186" i="13" s="1"/>
  <c r="AV186" i="13"/>
  <c r="AI186" i="13" s="1"/>
  <c r="AR186" i="13"/>
  <c r="AM186" i="13"/>
  <c r="Q186" i="13" s="1"/>
  <c r="Y186" i="13" s="1"/>
  <c r="AD186" i="13"/>
  <c r="L186" i="13"/>
  <c r="G411" i="1" s="1"/>
  <c r="B186" i="13"/>
  <c r="BD185" i="13"/>
  <c r="BH185" i="13" s="1"/>
  <c r="AV185" i="13"/>
  <c r="AR185" i="13"/>
  <c r="AM185" i="13"/>
  <c r="AD185" i="13"/>
  <c r="L185" i="13"/>
  <c r="G216" i="1" s="1"/>
  <c r="B185" i="13"/>
  <c r="BD184" i="13"/>
  <c r="BH184" i="13" s="1"/>
  <c r="AV184" i="13"/>
  <c r="AI184" i="13" s="1"/>
  <c r="AR184" i="13"/>
  <c r="AM184" i="13"/>
  <c r="AD184" i="13"/>
  <c r="L184" i="13"/>
  <c r="G409" i="1" s="1"/>
  <c r="B184" i="13"/>
  <c r="BD183" i="13"/>
  <c r="BH183" i="13" s="1"/>
  <c r="AV183" i="13"/>
  <c r="AI183" i="13" s="1"/>
  <c r="AR183" i="13"/>
  <c r="AM183" i="13"/>
  <c r="AD183" i="13"/>
  <c r="L183" i="13"/>
  <c r="G167" i="1" s="1"/>
  <c r="B183" i="13"/>
  <c r="BD182" i="13"/>
  <c r="BH182" i="13" s="1"/>
  <c r="AV182" i="13"/>
  <c r="AI182" i="13" s="1"/>
  <c r="AR182" i="13"/>
  <c r="AM182" i="13"/>
  <c r="Q182" i="13" s="1"/>
  <c r="Y182" i="13" s="1"/>
  <c r="AD182" i="13"/>
  <c r="L182" i="13"/>
  <c r="G120" i="1" s="1"/>
  <c r="B182" i="13"/>
  <c r="BD181" i="13"/>
  <c r="BH181" i="13" s="1"/>
  <c r="AV181" i="13"/>
  <c r="AR181" i="13"/>
  <c r="AM181" i="13"/>
  <c r="AD181" i="13"/>
  <c r="L181" i="13"/>
  <c r="G407" i="1" s="1"/>
  <c r="B181" i="13"/>
  <c r="BD180" i="13"/>
  <c r="BH180" i="13" s="1"/>
  <c r="AV180" i="13"/>
  <c r="AI180" i="13" s="1"/>
  <c r="AR180" i="13"/>
  <c r="AM180" i="13"/>
  <c r="AD180" i="13"/>
  <c r="L180" i="13"/>
  <c r="G164" i="1" s="1"/>
  <c r="B180" i="13"/>
  <c r="BD179" i="13"/>
  <c r="BH179" i="13" s="1"/>
  <c r="AV179" i="13"/>
  <c r="AI179" i="13" s="1"/>
  <c r="AR179" i="13"/>
  <c r="AM179" i="13"/>
  <c r="AD179" i="13"/>
  <c r="L179" i="13"/>
  <c r="G162" i="1" s="1"/>
  <c r="B179" i="13"/>
  <c r="BD178" i="13"/>
  <c r="BH178" i="13" s="1"/>
  <c r="AV178" i="13"/>
  <c r="AI178" i="13" s="1"/>
  <c r="AR178" i="13"/>
  <c r="AM178" i="13"/>
  <c r="Q178" i="13" s="1"/>
  <c r="Y178" i="13" s="1"/>
  <c r="AD178" i="13"/>
  <c r="L178" i="13"/>
  <c r="G402" i="1" s="1"/>
  <c r="B178" i="13"/>
  <c r="BD177" i="13"/>
  <c r="BH177" i="13" s="1"/>
  <c r="AV177" i="13"/>
  <c r="AR177" i="13"/>
  <c r="AM177" i="13"/>
  <c r="AD177" i="13"/>
  <c r="L177" i="13"/>
  <c r="G80" i="1" s="1"/>
  <c r="B177" i="13"/>
  <c r="BD176" i="13"/>
  <c r="BH176" i="13" s="1"/>
  <c r="AV176" i="13"/>
  <c r="AI176" i="13" s="1"/>
  <c r="AR176" i="13"/>
  <c r="AM176" i="13"/>
  <c r="AD176" i="13"/>
  <c r="L176" i="13"/>
  <c r="G401" i="1" s="1"/>
  <c r="B176" i="13"/>
  <c r="BD175" i="13"/>
  <c r="BH175" i="13" s="1"/>
  <c r="AV175" i="13"/>
  <c r="AI175" i="13" s="1"/>
  <c r="AR175" i="13"/>
  <c r="AM175" i="13"/>
  <c r="AD175" i="13"/>
  <c r="L175" i="13"/>
  <c r="G400" i="1" s="1"/>
  <c r="B175" i="13"/>
  <c r="BD174" i="13"/>
  <c r="BH174" i="13" s="1"/>
  <c r="AV174" i="13"/>
  <c r="AI174" i="13" s="1"/>
  <c r="AR174" i="13"/>
  <c r="AM174" i="13"/>
  <c r="Q174" i="13" s="1"/>
  <c r="Y174" i="13" s="1"/>
  <c r="AD174" i="13"/>
  <c r="L174" i="13"/>
  <c r="G109" i="1" s="1"/>
  <c r="B174" i="13"/>
  <c r="BD173" i="13"/>
  <c r="BH173" i="13" s="1"/>
  <c r="AV173" i="13"/>
  <c r="AR173" i="13"/>
  <c r="AM173" i="13"/>
  <c r="AD173" i="13"/>
  <c r="L173" i="13"/>
  <c r="G464" i="1" s="1"/>
  <c r="B173" i="13"/>
  <c r="BD172" i="13"/>
  <c r="BH172" i="13" s="1"/>
  <c r="AV172" i="13"/>
  <c r="AI172" i="13" s="1"/>
  <c r="AR172" i="13"/>
  <c r="AM172" i="13"/>
  <c r="AD172" i="13"/>
  <c r="L172" i="13"/>
  <c r="G200" i="1" s="1"/>
  <c r="B172" i="13"/>
  <c r="BD171" i="13"/>
  <c r="BH171" i="13" s="1"/>
  <c r="AV171" i="13"/>
  <c r="AI171" i="13" s="1"/>
  <c r="AR171" i="13"/>
  <c r="AM171" i="13"/>
  <c r="AD171" i="13"/>
  <c r="L171" i="13"/>
  <c r="G304" i="3" s="1"/>
  <c r="B171" i="13"/>
  <c r="BD170" i="13"/>
  <c r="BH170" i="13" s="1"/>
  <c r="AV170" i="13"/>
  <c r="AI170" i="13" s="1"/>
  <c r="AR170" i="13"/>
  <c r="AM170" i="13"/>
  <c r="Q170" i="13" s="1"/>
  <c r="Y170" i="13" s="1"/>
  <c r="AD170" i="13"/>
  <c r="L170" i="13"/>
  <c r="G107" i="1" s="1"/>
  <c r="B170" i="13"/>
  <c r="BD169" i="13"/>
  <c r="BH169" i="13" s="1"/>
  <c r="AV169" i="13"/>
  <c r="AR169" i="13"/>
  <c r="AM169" i="13"/>
  <c r="AD169" i="13"/>
  <c r="L169" i="13"/>
  <c r="G106" i="1" s="1"/>
  <c r="B169" i="13"/>
  <c r="BD168" i="13"/>
  <c r="BH168" i="13" s="1"/>
  <c r="AV168" i="13"/>
  <c r="AI168" i="13" s="1"/>
  <c r="AR168" i="13"/>
  <c r="AM168" i="13"/>
  <c r="AD168" i="13"/>
  <c r="L168" i="13"/>
  <c r="G198" i="1" s="1"/>
  <c r="B168" i="13"/>
  <c r="BD167" i="13"/>
  <c r="BH167" i="13" s="1"/>
  <c r="AV167" i="13"/>
  <c r="AI167" i="13" s="1"/>
  <c r="AR167" i="13"/>
  <c r="AM167" i="13"/>
  <c r="AD167" i="13"/>
  <c r="L167" i="13"/>
  <c r="G103" i="1" s="1"/>
  <c r="B167" i="13"/>
  <c r="BD166" i="13"/>
  <c r="BH166" i="13" s="1"/>
  <c r="AV166" i="13"/>
  <c r="AI166" i="13" s="1"/>
  <c r="AR166" i="13"/>
  <c r="AM166" i="13"/>
  <c r="Q166" i="13" s="1"/>
  <c r="Y166" i="13" s="1"/>
  <c r="AD166" i="13"/>
  <c r="L166" i="13"/>
  <c r="G461" i="1" s="1"/>
  <c r="B166" i="13"/>
  <c r="BD165" i="13"/>
  <c r="BH165" i="13" s="1"/>
  <c r="AV165" i="13"/>
  <c r="AR165" i="13"/>
  <c r="AM165" i="13"/>
  <c r="AD165" i="13"/>
  <c r="L165" i="13"/>
  <c r="G688" i="1" s="1"/>
  <c r="B165" i="13"/>
  <c r="BD164" i="13"/>
  <c r="BH164" i="13" s="1"/>
  <c r="AV164" i="13"/>
  <c r="AI164" i="13" s="1"/>
  <c r="AR164" i="13"/>
  <c r="AM164" i="13"/>
  <c r="AD164" i="13"/>
  <c r="L164" i="13"/>
  <c r="G56" i="1" s="1"/>
  <c r="B164" i="13"/>
  <c r="BD163" i="13"/>
  <c r="BH163" i="13" s="1"/>
  <c r="AV163" i="13"/>
  <c r="AI163" i="13" s="1"/>
  <c r="AR163" i="13"/>
  <c r="AM163" i="13"/>
  <c r="AD163" i="13"/>
  <c r="L163" i="13"/>
  <c r="G241" i="1" s="1"/>
  <c r="B163" i="13"/>
  <c r="BD162" i="13"/>
  <c r="BH162" i="13" s="1"/>
  <c r="AV162" i="13"/>
  <c r="AI162" i="13" s="1"/>
  <c r="AR162" i="13"/>
  <c r="AM162" i="13"/>
  <c r="Q162" i="13" s="1"/>
  <c r="Y162" i="13" s="1"/>
  <c r="AD162" i="13"/>
  <c r="L162" i="13"/>
  <c r="G237" i="1" s="1"/>
  <c r="B162" i="13"/>
  <c r="BD161" i="13"/>
  <c r="BH161" i="13" s="1"/>
  <c r="AV161" i="13"/>
  <c r="AR161" i="13"/>
  <c r="AM161" i="13"/>
  <c r="AD161" i="13"/>
  <c r="L161" i="13"/>
  <c r="G9" i="1" s="1"/>
  <c r="B161" i="13"/>
  <c r="BD160" i="13"/>
  <c r="BH160" i="13" s="1"/>
  <c r="AV160" i="13"/>
  <c r="AI160" i="13" s="1"/>
  <c r="AR160" i="13"/>
  <c r="AM160" i="13"/>
  <c r="AD160" i="13"/>
  <c r="L160" i="13"/>
  <c r="G301" i="3" s="1"/>
  <c r="B160" i="13"/>
  <c r="BD159" i="13"/>
  <c r="BH159" i="13" s="1"/>
  <c r="AV159" i="13"/>
  <c r="AI159" i="13" s="1"/>
  <c r="AR159" i="13"/>
  <c r="AM159" i="13"/>
  <c r="AD159" i="13"/>
  <c r="L159" i="13"/>
  <c r="G49" i="1" s="1"/>
  <c r="B159" i="13"/>
  <c r="BD158" i="13"/>
  <c r="BH158" i="13" s="1"/>
  <c r="AV158" i="13"/>
  <c r="AI158" i="13" s="1"/>
  <c r="AR158" i="13"/>
  <c r="AM158" i="13"/>
  <c r="Q158" i="13" s="1"/>
  <c r="Y158" i="13" s="1"/>
  <c r="AD158" i="13"/>
  <c r="L158" i="13"/>
  <c r="G433" i="1" s="1"/>
  <c r="B158" i="13"/>
  <c r="BD157" i="13"/>
  <c r="BH157" i="13" s="1"/>
  <c r="AV157" i="13"/>
  <c r="AR157" i="13"/>
  <c r="AM157" i="13"/>
  <c r="AD157" i="13"/>
  <c r="L157" i="13"/>
  <c r="G186" i="1" s="1"/>
  <c r="B157" i="13"/>
  <c r="BD156" i="13"/>
  <c r="BH156" i="13" s="1"/>
  <c r="AV156" i="13"/>
  <c r="AI156" i="13" s="1"/>
  <c r="AR156" i="13"/>
  <c r="AM156" i="13"/>
  <c r="AD156" i="13"/>
  <c r="L156" i="13"/>
  <c r="G432" i="1" s="1"/>
  <c r="B156" i="13"/>
  <c r="BD155" i="13"/>
  <c r="BH155" i="13" s="1"/>
  <c r="AV155" i="13"/>
  <c r="AI155" i="13" s="1"/>
  <c r="AR155" i="13"/>
  <c r="AM155" i="13"/>
  <c r="AD155" i="13"/>
  <c r="L155" i="13"/>
  <c r="G430" i="1" s="1"/>
  <c r="B155" i="13"/>
  <c r="BD154" i="13"/>
  <c r="BH154" i="13" s="1"/>
  <c r="AV154" i="13"/>
  <c r="AI154" i="13" s="1"/>
  <c r="AR154" i="13"/>
  <c r="AM154" i="13"/>
  <c r="Q154" i="13" s="1"/>
  <c r="Y154" i="13" s="1"/>
  <c r="AD154" i="13"/>
  <c r="L154" i="13"/>
  <c r="G44" i="1" s="1"/>
  <c r="B154" i="13"/>
  <c r="BD153" i="13"/>
  <c r="BH153" i="13" s="1"/>
  <c r="AV153" i="13"/>
  <c r="AR153" i="13"/>
  <c r="AM153" i="13"/>
  <c r="AD153" i="13"/>
  <c r="L153" i="13"/>
  <c r="G94" i="1" s="1"/>
  <c r="B153" i="13"/>
  <c r="BD152" i="13"/>
  <c r="BH152" i="13" s="1"/>
  <c r="AV152" i="13"/>
  <c r="AI152" i="13" s="1"/>
  <c r="AR152" i="13"/>
  <c r="AM152" i="13"/>
  <c r="AD152" i="13"/>
  <c r="L152" i="13"/>
  <c r="G427" i="1" s="1"/>
  <c r="B152" i="13"/>
  <c r="BD151" i="13"/>
  <c r="BH151" i="13" s="1"/>
  <c r="AV151" i="13"/>
  <c r="AI151" i="13" s="1"/>
  <c r="AR151" i="13"/>
  <c r="AM151" i="13"/>
  <c r="AD151" i="13"/>
  <c r="L151" i="13"/>
  <c r="G43" i="1" s="1"/>
  <c r="B151" i="13"/>
  <c r="BD150" i="13"/>
  <c r="BH150" i="13" s="1"/>
  <c r="AV150" i="13"/>
  <c r="AI150" i="13" s="1"/>
  <c r="AR150" i="13"/>
  <c r="AM150" i="13"/>
  <c r="Q150" i="13" s="1"/>
  <c r="Y150" i="13" s="1"/>
  <c r="AD150" i="13"/>
  <c r="L150" i="13"/>
  <c r="G89" i="1" s="1"/>
  <c r="B150" i="13"/>
  <c r="BD149" i="13"/>
  <c r="BH149" i="13" s="1"/>
  <c r="AV149" i="13"/>
  <c r="AR149" i="13"/>
  <c r="AM149" i="13"/>
  <c r="AD149" i="13"/>
  <c r="L149" i="13"/>
  <c r="G131" i="1" s="1"/>
  <c r="B149" i="13"/>
  <c r="BD148" i="13"/>
  <c r="BH148" i="13" s="1"/>
  <c r="AV148" i="13"/>
  <c r="AI148" i="13" s="1"/>
  <c r="AR148" i="13"/>
  <c r="AM148" i="13"/>
  <c r="AD148" i="13"/>
  <c r="L148" i="13"/>
  <c r="G372" i="1" s="1"/>
  <c r="B148" i="13"/>
  <c r="BD147" i="13"/>
  <c r="BH147" i="13" s="1"/>
  <c r="AV147" i="13"/>
  <c r="AI147" i="13" s="1"/>
  <c r="AR147" i="13"/>
  <c r="AM147" i="13"/>
  <c r="AD147" i="13"/>
  <c r="L147" i="13"/>
  <c r="G370" i="1" s="1"/>
  <c r="B147" i="13"/>
  <c r="BD146" i="13"/>
  <c r="BH146" i="13" s="1"/>
  <c r="AV146" i="13"/>
  <c r="AI146" i="13" s="1"/>
  <c r="AR146" i="13"/>
  <c r="AM146" i="13"/>
  <c r="Q146" i="13" s="1"/>
  <c r="Y146" i="13" s="1"/>
  <c r="AD146" i="13"/>
  <c r="L146" i="13"/>
  <c r="G418" i="1" s="1"/>
  <c r="B146" i="13"/>
  <c r="BD145" i="13"/>
  <c r="BH145" i="13" s="1"/>
  <c r="AV145" i="13"/>
  <c r="AR145" i="13"/>
  <c r="AM145" i="13"/>
  <c r="AD145" i="13"/>
  <c r="L145" i="13"/>
  <c r="G177" i="1" s="1"/>
  <c r="B145" i="13"/>
  <c r="BD144" i="13"/>
  <c r="BH144" i="13" s="1"/>
  <c r="AV144" i="13"/>
  <c r="AI144" i="13" s="1"/>
  <c r="AR144" i="13"/>
  <c r="AM144" i="13"/>
  <c r="AD144" i="13"/>
  <c r="L144" i="13"/>
  <c r="G414" i="1" s="1"/>
  <c r="B144" i="13"/>
  <c r="BD143" i="13"/>
  <c r="BH143" i="13" s="1"/>
  <c r="AV143" i="13"/>
  <c r="AI143" i="13" s="1"/>
  <c r="AR143" i="13"/>
  <c r="AM143" i="13"/>
  <c r="AD143" i="13"/>
  <c r="L143" i="13"/>
  <c r="G127" i="1" s="1"/>
  <c r="B143" i="13"/>
  <c r="BD142" i="13"/>
  <c r="BH142" i="13" s="1"/>
  <c r="AV142" i="13"/>
  <c r="AI142" i="13" s="1"/>
  <c r="AR142" i="13"/>
  <c r="AM142" i="13"/>
  <c r="Q142" i="13" s="1"/>
  <c r="Y142" i="13" s="1"/>
  <c r="AD142" i="13"/>
  <c r="L142" i="13"/>
  <c r="G171" i="1" s="1"/>
  <c r="B142" i="13"/>
  <c r="BD141" i="13"/>
  <c r="BH141" i="13" s="1"/>
  <c r="AV141" i="13"/>
  <c r="AR141" i="13"/>
  <c r="AM141" i="13"/>
  <c r="AD141" i="13"/>
  <c r="L141" i="13"/>
  <c r="G366" i="1" s="1"/>
  <c r="B141" i="13"/>
  <c r="BD140" i="13"/>
  <c r="BH140" i="13" s="1"/>
  <c r="AV140" i="13"/>
  <c r="AI140" i="13" s="1"/>
  <c r="AR140" i="13"/>
  <c r="AM140" i="13"/>
  <c r="AD140" i="13"/>
  <c r="L140" i="13"/>
  <c r="G163" i="1" s="1"/>
  <c r="B140" i="13"/>
  <c r="BD139" i="13"/>
  <c r="BH139" i="13" s="1"/>
  <c r="AV139" i="13"/>
  <c r="AI139" i="13" s="1"/>
  <c r="AR139" i="13"/>
  <c r="AM139" i="13"/>
  <c r="AD139" i="13"/>
  <c r="L139" i="13"/>
  <c r="G146" i="1" s="1"/>
  <c r="B139" i="13"/>
  <c r="BD138" i="13"/>
  <c r="BH138" i="13" s="1"/>
  <c r="AV138" i="13"/>
  <c r="AI138" i="13" s="1"/>
  <c r="AR138" i="13"/>
  <c r="AM138" i="13"/>
  <c r="Q138" i="13" s="1"/>
  <c r="Y138" i="13" s="1"/>
  <c r="AD138" i="13"/>
  <c r="L138" i="13"/>
  <c r="G444" i="1" s="1"/>
  <c r="B138" i="13"/>
  <c r="BD137" i="13"/>
  <c r="BH137" i="13" s="1"/>
  <c r="AV137" i="13"/>
  <c r="AR137" i="13"/>
  <c r="AM137" i="13"/>
  <c r="AD137" i="13"/>
  <c r="L137" i="13"/>
  <c r="G442" i="1" s="1"/>
  <c r="B137" i="13"/>
  <c r="BD136" i="13"/>
  <c r="BH136" i="13" s="1"/>
  <c r="AV136" i="13"/>
  <c r="AI136" i="13" s="1"/>
  <c r="AR136" i="13"/>
  <c r="AM136" i="13"/>
  <c r="AD136" i="13"/>
  <c r="L136" i="13"/>
  <c r="G13" i="1" s="1"/>
  <c r="B136" i="13"/>
  <c r="BD135" i="13"/>
  <c r="BH135" i="13" s="1"/>
  <c r="AV135" i="13"/>
  <c r="AI135" i="13" s="1"/>
  <c r="AR135" i="13"/>
  <c r="AM135" i="13"/>
  <c r="AD135" i="13"/>
  <c r="L135" i="13"/>
  <c r="G59" i="1" s="1"/>
  <c r="B135" i="13"/>
  <c r="BD134" i="13"/>
  <c r="BH134" i="13" s="1"/>
  <c r="AV134" i="13"/>
  <c r="AI134" i="13" s="1"/>
  <c r="AR134" i="13"/>
  <c r="AM134" i="13"/>
  <c r="Q134" i="13" s="1"/>
  <c r="Y134" i="13" s="1"/>
  <c r="AD134" i="13"/>
  <c r="L134" i="13"/>
  <c r="G141" i="1" s="1"/>
  <c r="B134" i="13"/>
  <c r="BD133" i="13"/>
  <c r="BH133" i="13" s="1"/>
  <c r="AV133" i="13"/>
  <c r="AR133" i="13"/>
  <c r="AM133" i="13"/>
  <c r="AD133" i="13"/>
  <c r="L133" i="13"/>
  <c r="G92" i="1" s="1"/>
  <c r="B133" i="13"/>
  <c r="BD132" i="13"/>
  <c r="BH132" i="13" s="1"/>
  <c r="AV132" i="13"/>
  <c r="AI132" i="13" s="1"/>
  <c r="AR132" i="13"/>
  <c r="AM132" i="13"/>
  <c r="AD132" i="13"/>
  <c r="L132" i="13"/>
  <c r="G375" i="1" s="1"/>
  <c r="B132" i="13"/>
  <c r="BD131" i="13"/>
  <c r="BH131" i="13" s="1"/>
  <c r="AV131" i="13"/>
  <c r="AI131" i="13" s="1"/>
  <c r="AR131" i="13"/>
  <c r="AM131" i="13"/>
  <c r="AD131" i="13"/>
  <c r="L131" i="13"/>
  <c r="G373" i="1" s="1"/>
  <c r="B131" i="13"/>
  <c r="BD130" i="13"/>
  <c r="BH130" i="13" s="1"/>
  <c r="AV130" i="13"/>
  <c r="AI130" i="13" s="1"/>
  <c r="AR130" i="13"/>
  <c r="AM130" i="13"/>
  <c r="Q130" i="13" s="1"/>
  <c r="Y130" i="13" s="1"/>
  <c r="AD130" i="13"/>
  <c r="L130" i="13"/>
  <c r="G405" i="1" s="1"/>
  <c r="B130" i="13"/>
  <c r="BD129" i="13"/>
  <c r="BH129" i="13" s="1"/>
  <c r="AV129" i="13"/>
  <c r="AR129" i="13"/>
  <c r="AM129" i="13"/>
  <c r="AD129" i="13"/>
  <c r="L129" i="13"/>
  <c r="G446" i="1" s="1"/>
  <c r="B129" i="13"/>
  <c r="BD128" i="13"/>
  <c r="BH128" i="13" s="1"/>
  <c r="AV128" i="13"/>
  <c r="AI128" i="13" s="1"/>
  <c r="AR128" i="13"/>
  <c r="AM128" i="13"/>
  <c r="AD128" i="13"/>
  <c r="L128" i="13"/>
  <c r="G396" i="1" s="1"/>
  <c r="B128" i="13"/>
  <c r="BD127" i="13"/>
  <c r="BH127" i="13" s="1"/>
  <c r="AV127" i="13"/>
  <c r="AI127" i="13" s="1"/>
  <c r="AR127" i="13"/>
  <c r="AM127" i="13"/>
  <c r="AD127" i="13"/>
  <c r="L127" i="13"/>
  <c r="G390" i="1" s="1"/>
  <c r="B127" i="13"/>
  <c r="BD126" i="13"/>
  <c r="BH126" i="13" s="1"/>
  <c r="AV126" i="13"/>
  <c r="AI126" i="13" s="1"/>
  <c r="AR126" i="13"/>
  <c r="AM126" i="13"/>
  <c r="Q126" i="13" s="1"/>
  <c r="Y126" i="13" s="1"/>
  <c r="AD126" i="13"/>
  <c r="L126" i="13"/>
  <c r="G437" i="1" s="1"/>
  <c r="B126" i="13"/>
  <c r="BD125" i="13"/>
  <c r="BH125" i="13" s="1"/>
  <c r="AV125" i="13"/>
  <c r="AR125" i="13"/>
  <c r="AM125" i="13"/>
  <c r="AD125" i="13"/>
  <c r="L125" i="13"/>
  <c r="G14" i="1" s="1"/>
  <c r="B125" i="13"/>
  <c r="BD124" i="13"/>
  <c r="BH124" i="13" s="1"/>
  <c r="AV124" i="13"/>
  <c r="AI124" i="13" s="1"/>
  <c r="AR124" i="13"/>
  <c r="AM124" i="13"/>
  <c r="AD124" i="13"/>
  <c r="L124" i="13"/>
  <c r="G38" i="1" s="1"/>
  <c r="B124" i="13"/>
  <c r="BD123" i="13"/>
  <c r="BH123" i="13" s="1"/>
  <c r="AV123" i="13"/>
  <c r="AI123" i="13" s="1"/>
  <c r="AR123" i="13"/>
  <c r="AM123" i="13"/>
  <c r="AD123" i="13"/>
  <c r="L123" i="13"/>
  <c r="G364" i="1" s="1"/>
  <c r="B123" i="13"/>
  <c r="BD122" i="13"/>
  <c r="BH122" i="13" s="1"/>
  <c r="AV122" i="13"/>
  <c r="AI122" i="13" s="1"/>
  <c r="AR122" i="13"/>
  <c r="AM122" i="13"/>
  <c r="Q122" i="13" s="1"/>
  <c r="Y122" i="13" s="1"/>
  <c r="AD122" i="13"/>
  <c r="L122" i="13"/>
  <c r="G521" i="1" s="1"/>
  <c r="B122" i="13"/>
  <c r="BD121" i="13"/>
  <c r="BH121" i="13" s="1"/>
  <c r="AV121" i="13"/>
  <c r="AR121" i="13"/>
  <c r="AM121" i="13"/>
  <c r="AD121" i="13"/>
  <c r="L121" i="13"/>
  <c r="G716" i="1" s="1"/>
  <c r="B121" i="13"/>
  <c r="BD120" i="13"/>
  <c r="BH120" i="13" s="1"/>
  <c r="AV120" i="13"/>
  <c r="AI120" i="13" s="1"/>
  <c r="AR120" i="13"/>
  <c r="AM120" i="13"/>
  <c r="AD120" i="13"/>
  <c r="L120" i="13"/>
  <c r="G315" i="1" s="1"/>
  <c r="B120" i="13"/>
  <c r="BD119" i="13"/>
  <c r="BH119" i="13" s="1"/>
  <c r="AV119" i="13"/>
  <c r="AI119" i="13" s="1"/>
  <c r="AR119" i="13"/>
  <c r="AM119" i="13"/>
  <c r="AD119" i="13"/>
  <c r="L119" i="13"/>
  <c r="G715" i="1" s="1"/>
  <c r="B119" i="13"/>
  <c r="BD118" i="13"/>
  <c r="BH118" i="13" s="1"/>
  <c r="AV118" i="13"/>
  <c r="AI118" i="13" s="1"/>
  <c r="AR118" i="13"/>
  <c r="AM118" i="13"/>
  <c r="Q118" i="13" s="1"/>
  <c r="Y118" i="13" s="1"/>
  <c r="AD118" i="13"/>
  <c r="L118" i="13"/>
  <c r="G314" i="1" s="1"/>
  <c r="B118" i="13"/>
  <c r="BD117" i="13"/>
  <c r="BH117" i="13" s="1"/>
  <c r="AV117" i="13"/>
  <c r="AR117" i="13"/>
  <c r="AM117" i="13"/>
  <c r="AD117" i="13"/>
  <c r="L117" i="13"/>
  <c r="G711" i="1" s="1"/>
  <c r="B117" i="13"/>
  <c r="BD116" i="13"/>
  <c r="BH116" i="13" s="1"/>
  <c r="AV116" i="13"/>
  <c r="AI116" i="13" s="1"/>
  <c r="AR116" i="13"/>
  <c r="AM116" i="13"/>
  <c r="AD116" i="13"/>
  <c r="L116" i="13"/>
  <c r="G312" i="1" s="1"/>
  <c r="B116" i="13"/>
  <c r="BD115" i="13"/>
  <c r="BH115" i="13" s="1"/>
  <c r="AV115" i="13"/>
  <c r="AI115" i="13" s="1"/>
  <c r="AR115" i="13"/>
  <c r="AM115" i="13"/>
  <c r="AD115" i="13"/>
  <c r="L115" i="13"/>
  <c r="G311" i="1" s="1"/>
  <c r="B115" i="13"/>
  <c r="BD114" i="13"/>
  <c r="BH114" i="13" s="1"/>
  <c r="AV114" i="13"/>
  <c r="AI114" i="13" s="1"/>
  <c r="AR114" i="13"/>
  <c r="AM114" i="13"/>
  <c r="Q114" i="13" s="1"/>
  <c r="Y114" i="13" s="1"/>
  <c r="AD114" i="13"/>
  <c r="L114" i="13"/>
  <c r="G34" i="1" s="1"/>
  <c r="B114" i="13"/>
  <c r="BD113" i="13"/>
  <c r="BH113" i="13" s="1"/>
  <c r="AV113" i="13"/>
  <c r="AR113" i="13"/>
  <c r="AM113" i="13"/>
  <c r="AD113" i="13"/>
  <c r="L113" i="13"/>
  <c r="G708" i="1" s="1"/>
  <c r="B113" i="13"/>
  <c r="BD112" i="13"/>
  <c r="BH112" i="13" s="1"/>
  <c r="AV112" i="13"/>
  <c r="AI112" i="13" s="1"/>
  <c r="AR112" i="13"/>
  <c r="AM112" i="13"/>
  <c r="AD112" i="13"/>
  <c r="L112" i="13"/>
  <c r="G519" i="1" s="1"/>
  <c r="B112" i="13"/>
  <c r="BD111" i="13"/>
  <c r="BH111" i="13" s="1"/>
  <c r="AV111" i="13"/>
  <c r="AI111" i="13" s="1"/>
  <c r="AR111" i="13"/>
  <c r="AM111" i="13"/>
  <c r="AD111" i="13"/>
  <c r="L111" i="13"/>
  <c r="G117" i="1" s="1"/>
  <c r="B111" i="13"/>
  <c r="BD110" i="13"/>
  <c r="BH110" i="13" s="1"/>
  <c r="AV110" i="13"/>
  <c r="AI110" i="13" s="1"/>
  <c r="AR110" i="13"/>
  <c r="AM110" i="13"/>
  <c r="Q110" i="13" s="1"/>
  <c r="Y110" i="13" s="1"/>
  <c r="AD110" i="13"/>
  <c r="L110" i="13"/>
  <c r="G354" i="1" s="1"/>
  <c r="B110" i="13"/>
  <c r="BD109" i="13"/>
  <c r="BH109" i="13" s="1"/>
  <c r="AV109" i="13"/>
  <c r="AR109" i="13"/>
  <c r="AM109" i="13"/>
  <c r="AD109" i="13"/>
  <c r="L109" i="13"/>
  <c r="G706" i="1" s="1"/>
  <c r="B109" i="13"/>
  <c r="BD108" i="13"/>
  <c r="BH108" i="13" s="1"/>
  <c r="AV108" i="13"/>
  <c r="AI108" i="13" s="1"/>
  <c r="AR108" i="13"/>
  <c r="AM108" i="13"/>
  <c r="AD108" i="13"/>
  <c r="L108" i="13"/>
  <c r="G352" i="1" s="1"/>
  <c r="B108" i="13"/>
  <c r="BD107" i="13"/>
  <c r="BH107" i="13" s="1"/>
  <c r="AV107" i="13"/>
  <c r="AI107" i="13" s="1"/>
  <c r="AR107" i="13"/>
  <c r="AM107" i="13"/>
  <c r="AD107" i="13"/>
  <c r="L107" i="13"/>
  <c r="G307" i="1" s="1"/>
  <c r="B107" i="13"/>
  <c r="BD106" i="13"/>
  <c r="BH106" i="13" s="1"/>
  <c r="AV106" i="13"/>
  <c r="AI106" i="13" s="1"/>
  <c r="AR106" i="13"/>
  <c r="AM106" i="13"/>
  <c r="Q106" i="13" s="1"/>
  <c r="Y106" i="13" s="1"/>
  <c r="AD106" i="13"/>
  <c r="L106" i="13"/>
  <c r="G351" i="1" s="1"/>
  <c r="B106" i="13"/>
  <c r="BD105" i="13"/>
  <c r="BH105" i="13" s="1"/>
  <c r="AV105" i="13"/>
  <c r="AR105" i="13"/>
  <c r="AM105" i="13"/>
  <c r="AD105" i="13"/>
  <c r="L105" i="13"/>
  <c r="G350" i="1" s="1"/>
  <c r="B105" i="13"/>
  <c r="BD104" i="13"/>
  <c r="BH104" i="13" s="1"/>
  <c r="AV104" i="13"/>
  <c r="AI104" i="13" s="1"/>
  <c r="AR104" i="13"/>
  <c r="AM104" i="13"/>
  <c r="AD104" i="13"/>
  <c r="L104" i="13"/>
  <c r="G703" i="1" s="1"/>
  <c r="B104" i="13"/>
  <c r="BD103" i="13"/>
  <c r="BH103" i="13" s="1"/>
  <c r="AV103" i="13"/>
  <c r="AI103" i="13" s="1"/>
  <c r="AR103" i="13"/>
  <c r="AM103" i="13"/>
  <c r="AD103" i="13"/>
  <c r="L103" i="13"/>
  <c r="G306" i="1" s="1"/>
  <c r="B103" i="13"/>
  <c r="BD102" i="13"/>
  <c r="BH102" i="13" s="1"/>
  <c r="AV102" i="13"/>
  <c r="AI102" i="13" s="1"/>
  <c r="AR102" i="13"/>
  <c r="AM102" i="13"/>
  <c r="Q102" i="13" s="1"/>
  <c r="Y102" i="13" s="1"/>
  <c r="AD102" i="13"/>
  <c r="L102" i="13"/>
  <c r="G349" i="1" s="1"/>
  <c r="B102" i="13"/>
  <c r="BD101" i="13"/>
  <c r="BH101" i="13" s="1"/>
  <c r="AV101" i="13"/>
  <c r="AR101" i="13"/>
  <c r="AM101" i="13"/>
  <c r="AD101" i="13"/>
  <c r="L101" i="13"/>
  <c r="G305" i="1" s="1"/>
  <c r="B101" i="13"/>
  <c r="BD100" i="13"/>
  <c r="BH100" i="13" s="1"/>
  <c r="AV100" i="13"/>
  <c r="AI100" i="13" s="1"/>
  <c r="AR100" i="13"/>
  <c r="AM100" i="13"/>
  <c r="AD100" i="13"/>
  <c r="L100" i="13"/>
  <c r="G701" i="1" s="1"/>
  <c r="B100" i="13"/>
  <c r="BD99" i="13"/>
  <c r="BH99" i="13" s="1"/>
  <c r="AV99" i="13"/>
  <c r="AI99" i="13" s="1"/>
  <c r="AR99" i="13"/>
  <c r="AM99" i="13"/>
  <c r="AD99" i="13"/>
  <c r="L99" i="13"/>
  <c r="G509" i="1" s="1"/>
  <c r="B99" i="13"/>
  <c r="BD98" i="13"/>
  <c r="BH98" i="13" s="1"/>
  <c r="AV98" i="13"/>
  <c r="AI98" i="13" s="1"/>
  <c r="AR98" i="13"/>
  <c r="AM98" i="13"/>
  <c r="Q98" i="13" s="1"/>
  <c r="Y98" i="13" s="1"/>
  <c r="AD98" i="13"/>
  <c r="L98" i="13"/>
  <c r="G348" i="1" s="1"/>
  <c r="B98" i="13"/>
  <c r="BD97" i="13"/>
  <c r="BH97" i="13" s="1"/>
  <c r="AV97" i="13"/>
  <c r="AR97" i="13"/>
  <c r="AM97" i="13"/>
  <c r="AD97" i="13"/>
  <c r="L97" i="13"/>
  <c r="G150" i="1" s="1"/>
  <c r="B97" i="13"/>
  <c r="BD96" i="13"/>
  <c r="BH96" i="13" s="1"/>
  <c r="AV96" i="13"/>
  <c r="AI96" i="13" s="1"/>
  <c r="AR96" i="13"/>
  <c r="AM96" i="13"/>
  <c r="AD96" i="13"/>
  <c r="L96" i="13"/>
  <c r="G304" i="1" s="1"/>
  <c r="B96" i="13"/>
  <c r="BD95" i="13"/>
  <c r="BH95" i="13" s="1"/>
  <c r="AV95" i="13"/>
  <c r="AI95" i="13" s="1"/>
  <c r="AR95" i="13"/>
  <c r="AM95" i="13"/>
  <c r="AD95" i="13"/>
  <c r="L95" i="13"/>
  <c r="G302" i="1" s="1"/>
  <c r="B95" i="13"/>
  <c r="BD94" i="13"/>
  <c r="BH94" i="13" s="1"/>
  <c r="AV94" i="13"/>
  <c r="AI94" i="13" s="1"/>
  <c r="AR94" i="13"/>
  <c r="AM94" i="13"/>
  <c r="Q94" i="13" s="1"/>
  <c r="Y94" i="13" s="1"/>
  <c r="AD94" i="13"/>
  <c r="L94" i="13"/>
  <c r="G699" i="1" s="1"/>
  <c r="B94" i="13"/>
  <c r="BD93" i="13"/>
  <c r="BH93" i="13" s="1"/>
  <c r="AV93" i="13"/>
  <c r="AR93" i="13"/>
  <c r="AM93" i="13"/>
  <c r="AD93" i="13"/>
  <c r="L93" i="13"/>
  <c r="G508" i="1" s="1"/>
  <c r="B93" i="13"/>
  <c r="BD92" i="13"/>
  <c r="BH92" i="13" s="1"/>
  <c r="AV92" i="13"/>
  <c r="AI92" i="13" s="1"/>
  <c r="AR92" i="13"/>
  <c r="AM92" i="13"/>
  <c r="AD92" i="13"/>
  <c r="L92" i="13"/>
  <c r="G507" i="1" s="1"/>
  <c r="B92" i="13"/>
  <c r="BD91" i="13"/>
  <c r="BH91" i="13" s="1"/>
  <c r="AV91" i="13"/>
  <c r="AI91" i="13" s="1"/>
  <c r="AR91" i="13"/>
  <c r="AM91" i="13"/>
  <c r="AD91" i="13"/>
  <c r="L91" i="13"/>
  <c r="G483" i="1" s="1"/>
  <c r="B91" i="13"/>
  <c r="BD90" i="13"/>
  <c r="BH90" i="13" s="1"/>
  <c r="AV90" i="13"/>
  <c r="AI90" i="13" s="1"/>
  <c r="AR90" i="13"/>
  <c r="AM90" i="13"/>
  <c r="Q90" i="13" s="1"/>
  <c r="Y90" i="13" s="1"/>
  <c r="AD90" i="13"/>
  <c r="L90" i="13"/>
  <c r="G149" i="1" s="1"/>
  <c r="B90" i="13"/>
  <c r="BD89" i="13"/>
  <c r="BH89" i="13" s="1"/>
  <c r="AV89" i="13"/>
  <c r="AR89" i="13"/>
  <c r="AM89" i="13"/>
  <c r="AD89" i="13"/>
  <c r="L89" i="13"/>
  <c r="G482" i="1" s="1"/>
  <c r="B89" i="13"/>
  <c r="BD88" i="13"/>
  <c r="BH88" i="13" s="1"/>
  <c r="AV88" i="13"/>
  <c r="AR88" i="13"/>
  <c r="AM88" i="13"/>
  <c r="AD88" i="13"/>
  <c r="L88" i="13"/>
  <c r="G506" i="1" s="1"/>
  <c r="B88" i="13"/>
  <c r="BD87" i="13"/>
  <c r="BH87" i="13" s="1"/>
  <c r="AV87" i="13"/>
  <c r="AI87" i="13" s="1"/>
  <c r="AR87" i="13"/>
  <c r="AM87" i="13"/>
  <c r="AD87" i="13"/>
  <c r="L87" i="13"/>
  <c r="G698" i="1" s="1"/>
  <c r="B87" i="13"/>
  <c r="BD86" i="13"/>
  <c r="BH86" i="13" s="1"/>
  <c r="AV86" i="13"/>
  <c r="AI86" i="13" s="1"/>
  <c r="AR86" i="13"/>
  <c r="AM86" i="13"/>
  <c r="AD86" i="13"/>
  <c r="L86" i="13"/>
  <c r="G301" i="1" s="1"/>
  <c r="B86" i="13"/>
  <c r="BD85" i="13"/>
  <c r="BH85" i="13" s="1"/>
  <c r="AV85" i="13"/>
  <c r="AI85" i="13" s="1"/>
  <c r="AR85" i="13"/>
  <c r="AM85" i="13"/>
  <c r="Q85" i="13" s="1"/>
  <c r="Y85" i="13" s="1"/>
  <c r="AD85" i="13"/>
  <c r="L85" i="13"/>
  <c r="G300" i="1" s="1"/>
  <c r="B85" i="13"/>
  <c r="BD84" i="13"/>
  <c r="BH84" i="13" s="1"/>
  <c r="AV84" i="13"/>
  <c r="AR84" i="13"/>
  <c r="AM84" i="13"/>
  <c r="AD84" i="13"/>
  <c r="L84" i="13"/>
  <c r="G346" i="1" s="1"/>
  <c r="B84" i="13"/>
  <c r="BD83" i="13"/>
  <c r="BH83" i="13" s="1"/>
  <c r="AV83" i="13"/>
  <c r="AI83" i="13" s="1"/>
  <c r="AR83" i="13"/>
  <c r="AM83" i="13"/>
  <c r="AD83" i="13"/>
  <c r="L83" i="13"/>
  <c r="G20" i="1" s="1"/>
  <c r="B83" i="13"/>
  <c r="BD82" i="13"/>
  <c r="BH82" i="13" s="1"/>
  <c r="AV82" i="13"/>
  <c r="AI82" i="13" s="1"/>
  <c r="AR82" i="13"/>
  <c r="AM82" i="13"/>
  <c r="AD82" i="13"/>
  <c r="L82" i="13"/>
  <c r="G299" i="1" s="1"/>
  <c r="B82" i="13"/>
  <c r="BD81" i="13"/>
  <c r="BH81" i="13" s="1"/>
  <c r="AV81" i="13"/>
  <c r="AI81" i="13" s="1"/>
  <c r="AR81" i="13"/>
  <c r="AM81" i="13"/>
  <c r="Q81" i="13" s="1"/>
  <c r="Y81" i="13" s="1"/>
  <c r="AD81" i="13"/>
  <c r="L81" i="13"/>
  <c r="G18" i="1" s="1"/>
  <c r="B81" i="13"/>
  <c r="BD80" i="13"/>
  <c r="BH80" i="13" s="1"/>
  <c r="AV80" i="13"/>
  <c r="AR80" i="13"/>
  <c r="AM80" i="13"/>
  <c r="AD80" i="13"/>
  <c r="L80" i="13"/>
  <c r="G298" i="1" s="1"/>
  <c r="B80" i="13"/>
  <c r="BD79" i="13"/>
  <c r="BH79" i="13" s="1"/>
  <c r="AV79" i="13"/>
  <c r="AI79" i="13" s="1"/>
  <c r="AR79" i="13"/>
  <c r="AM79" i="13"/>
  <c r="AD79" i="13"/>
  <c r="L79" i="13"/>
  <c r="G696" i="1" s="1"/>
  <c r="B79" i="13"/>
  <c r="BD78" i="13"/>
  <c r="BH78" i="13" s="1"/>
  <c r="AV78" i="13"/>
  <c r="AI78" i="13" s="1"/>
  <c r="AR78" i="13"/>
  <c r="AM78" i="13"/>
  <c r="AD78" i="13"/>
  <c r="L78" i="13"/>
  <c r="G505" i="1" s="1"/>
  <c r="B78" i="13"/>
  <c r="BD77" i="13"/>
  <c r="BH77" i="13" s="1"/>
  <c r="AV77" i="13"/>
  <c r="AI77" i="13" s="1"/>
  <c r="AR77" i="13"/>
  <c r="AM77" i="13"/>
  <c r="Q77" i="13" s="1"/>
  <c r="Y77" i="13" s="1"/>
  <c r="AD77" i="13"/>
  <c r="L77" i="13"/>
  <c r="G468" i="1" s="1"/>
  <c r="B77" i="13"/>
  <c r="BD76" i="13"/>
  <c r="BH76" i="13" s="1"/>
  <c r="AV76" i="13"/>
  <c r="AR76" i="13"/>
  <c r="AM76" i="13"/>
  <c r="AD76" i="13"/>
  <c r="L76" i="13"/>
  <c r="G63" i="1" s="1"/>
  <c r="B76" i="13"/>
  <c r="BD75" i="13"/>
  <c r="BH75" i="13" s="1"/>
  <c r="AV75" i="13"/>
  <c r="AI75" i="13" s="1"/>
  <c r="AR75" i="13"/>
  <c r="AM75" i="13"/>
  <c r="AD75" i="13"/>
  <c r="L75" i="13"/>
  <c r="G148" i="1" s="1"/>
  <c r="B75" i="13"/>
  <c r="BD74" i="13"/>
  <c r="BH74" i="13" s="1"/>
  <c r="AV74" i="13"/>
  <c r="AI74" i="13" s="1"/>
  <c r="AR74" i="13"/>
  <c r="AM74" i="13"/>
  <c r="AD74" i="13"/>
  <c r="L74" i="13"/>
  <c r="G504" i="1" s="1"/>
  <c r="B74" i="13"/>
  <c r="BD73" i="13"/>
  <c r="BH73" i="13" s="1"/>
  <c r="AV73" i="13"/>
  <c r="AI73" i="13" s="1"/>
  <c r="AR73" i="13"/>
  <c r="AM73" i="13"/>
  <c r="Q73" i="13" s="1"/>
  <c r="Y73" i="13" s="1"/>
  <c r="AD73" i="13"/>
  <c r="L73" i="13"/>
  <c r="G467" i="1" s="1"/>
  <c r="B73" i="13"/>
  <c r="BD72" i="13"/>
  <c r="BH72" i="13" s="1"/>
  <c r="AV72" i="13"/>
  <c r="AR72" i="13"/>
  <c r="AM72" i="13"/>
  <c r="AD72" i="13"/>
  <c r="L72" i="13"/>
  <c r="G503" i="1" s="1"/>
  <c r="B72" i="13"/>
  <c r="BD71" i="13"/>
  <c r="BH71" i="13" s="1"/>
  <c r="AV71" i="13"/>
  <c r="AI71" i="13" s="1"/>
  <c r="AR71" i="13"/>
  <c r="AM71" i="13"/>
  <c r="AD71" i="13"/>
  <c r="L71" i="13"/>
  <c r="G692" i="1" s="1"/>
  <c r="B71" i="13"/>
  <c r="BD70" i="13"/>
  <c r="BH70" i="13" s="1"/>
  <c r="AV70" i="13"/>
  <c r="AI70" i="13" s="1"/>
  <c r="AR70" i="13"/>
  <c r="AM70" i="13"/>
  <c r="AD70" i="13"/>
  <c r="L70" i="13"/>
  <c r="G502" i="1" s="1"/>
  <c r="B70" i="13"/>
  <c r="BD69" i="13"/>
  <c r="BH69" i="13" s="1"/>
  <c r="AV69" i="13"/>
  <c r="AI69" i="13" s="1"/>
  <c r="AR69" i="13"/>
  <c r="AM69" i="13"/>
  <c r="Q69" i="13" s="1"/>
  <c r="Y69" i="13" s="1"/>
  <c r="AD69" i="13"/>
  <c r="L69" i="13"/>
  <c r="G17" i="1" s="1"/>
  <c r="B69" i="13"/>
  <c r="BD68" i="13"/>
  <c r="BH68" i="13" s="1"/>
  <c r="AV68" i="13"/>
  <c r="AR68" i="13"/>
  <c r="AM68" i="13"/>
  <c r="AD68" i="13"/>
  <c r="L68" i="13"/>
  <c r="G111" i="1" s="1"/>
  <c r="B68" i="13"/>
  <c r="BD67" i="13"/>
  <c r="BH67" i="13" s="1"/>
  <c r="AV67" i="13"/>
  <c r="AI67" i="13" s="1"/>
  <c r="AR67" i="13"/>
  <c r="AM67" i="13"/>
  <c r="AD67" i="13"/>
  <c r="L67" i="13"/>
  <c r="G110" i="1" s="1"/>
  <c r="B67" i="13"/>
  <c r="BD66" i="13"/>
  <c r="BH66" i="13" s="1"/>
  <c r="AV66" i="13"/>
  <c r="AI66" i="13" s="1"/>
  <c r="AR66" i="13"/>
  <c r="AM66" i="13"/>
  <c r="AD66" i="13"/>
  <c r="L66" i="13"/>
  <c r="G250" i="1" s="1"/>
  <c r="B66" i="13"/>
  <c r="BD65" i="13"/>
  <c r="BH65" i="13" s="1"/>
  <c r="AV65" i="13"/>
  <c r="AI65" i="13" s="1"/>
  <c r="AR65" i="13"/>
  <c r="AM65" i="13"/>
  <c r="Q65" i="13" s="1"/>
  <c r="Y65" i="13" s="1"/>
  <c r="AD65" i="13"/>
  <c r="L65" i="13"/>
  <c r="G466" i="1" s="1"/>
  <c r="B65" i="13"/>
  <c r="BD64" i="13"/>
  <c r="BH64" i="13" s="1"/>
  <c r="AV64" i="13"/>
  <c r="AR64" i="13"/>
  <c r="AM64" i="13"/>
  <c r="AD64" i="13"/>
  <c r="L64" i="13"/>
  <c r="G690" i="1" s="1"/>
  <c r="B64" i="13"/>
  <c r="BD63" i="13"/>
  <c r="BH63" i="13" s="1"/>
  <c r="AV63" i="13"/>
  <c r="AI63" i="13" s="1"/>
  <c r="AR63" i="13"/>
  <c r="AM63" i="13"/>
  <c r="AD63" i="13"/>
  <c r="L63" i="13"/>
  <c r="G465" i="1" s="1"/>
  <c r="B63" i="13"/>
  <c r="BD62" i="13"/>
  <c r="BH62" i="13" s="1"/>
  <c r="AV62" i="13"/>
  <c r="AI62" i="13" s="1"/>
  <c r="AR62" i="13"/>
  <c r="AM62" i="13"/>
  <c r="AD62" i="13"/>
  <c r="L62" i="13"/>
  <c r="G297" i="1" s="1"/>
  <c r="B62" i="13"/>
  <c r="BD61" i="13"/>
  <c r="BH61" i="13" s="1"/>
  <c r="AV61" i="13"/>
  <c r="AI61" i="13" s="1"/>
  <c r="AR61" i="13"/>
  <c r="AM61" i="13"/>
  <c r="Q61" i="13" s="1"/>
  <c r="Y61" i="13" s="1"/>
  <c r="AD61" i="13"/>
  <c r="L61" i="13"/>
  <c r="G147" i="1" s="1"/>
  <c r="B61" i="13"/>
  <c r="BD60" i="13"/>
  <c r="BH60" i="13" s="1"/>
  <c r="AV60" i="13"/>
  <c r="AR60" i="13"/>
  <c r="AM60" i="13"/>
  <c r="AD60" i="13"/>
  <c r="L60" i="13"/>
  <c r="G62" i="1" s="1"/>
  <c r="B60" i="13"/>
  <c r="BD59" i="13"/>
  <c r="BH59" i="13" s="1"/>
  <c r="AV59" i="13"/>
  <c r="AI59" i="13" s="1"/>
  <c r="AR59" i="13"/>
  <c r="AM59" i="13"/>
  <c r="AD59" i="13"/>
  <c r="L59" i="13"/>
  <c r="G61" i="1" s="1"/>
  <c r="B59" i="13"/>
  <c r="BD58" i="13"/>
  <c r="BH58" i="13" s="1"/>
  <c r="AV58" i="13"/>
  <c r="AI58" i="13" s="1"/>
  <c r="AR58" i="13"/>
  <c r="AM58" i="13"/>
  <c r="AD58" i="13"/>
  <c r="L58" i="13"/>
  <c r="G295" i="1" s="1"/>
  <c r="B58" i="13"/>
  <c r="BD57" i="13"/>
  <c r="BH57" i="13" s="1"/>
  <c r="AV57" i="13"/>
  <c r="AI57" i="13" s="1"/>
  <c r="AR57" i="13"/>
  <c r="AM57" i="13"/>
  <c r="Q57" i="13" s="1"/>
  <c r="Y57" i="13" s="1"/>
  <c r="AD57" i="13"/>
  <c r="L57" i="13"/>
  <c r="G345" i="1" s="1"/>
  <c r="B57" i="13"/>
  <c r="BD56" i="13"/>
  <c r="BH56" i="13" s="1"/>
  <c r="AV56" i="13"/>
  <c r="AR56" i="13"/>
  <c r="AM56" i="13"/>
  <c r="AD56" i="13"/>
  <c r="L56" i="13"/>
  <c r="G294" i="1" s="1"/>
  <c r="B56" i="13"/>
  <c r="BD55" i="13"/>
  <c r="BH55" i="13" s="1"/>
  <c r="AV55" i="13"/>
  <c r="AI55" i="13" s="1"/>
  <c r="AR55" i="13"/>
  <c r="AM55" i="13"/>
  <c r="AD55" i="13"/>
  <c r="L55" i="13"/>
  <c r="G463" i="1" s="1"/>
  <c r="B55" i="13"/>
  <c r="BD54" i="13"/>
  <c r="BH54" i="13" s="1"/>
  <c r="AV54" i="13"/>
  <c r="AI54" i="13" s="1"/>
  <c r="AR54" i="13"/>
  <c r="AM54" i="13"/>
  <c r="AD54" i="13"/>
  <c r="L54" i="13"/>
  <c r="G343" i="1" s="1"/>
  <c r="B54" i="13"/>
  <c r="BD53" i="13"/>
  <c r="BH53" i="13" s="1"/>
  <c r="AV53" i="13"/>
  <c r="AI53" i="13" s="1"/>
  <c r="AR53" i="13"/>
  <c r="AM53" i="13"/>
  <c r="Q53" i="13" s="1"/>
  <c r="Y53" i="13" s="1"/>
  <c r="AD53" i="13"/>
  <c r="L53" i="13"/>
  <c r="G15" i="1" s="1"/>
  <c r="B53" i="13"/>
  <c r="BD52" i="13"/>
  <c r="BH52" i="13" s="1"/>
  <c r="AV52" i="13"/>
  <c r="AR52" i="13"/>
  <c r="AM52" i="13"/>
  <c r="AD52" i="13"/>
  <c r="L52" i="13"/>
  <c r="G342" i="1" s="1"/>
  <c r="B52" i="13"/>
  <c r="BD51" i="13"/>
  <c r="BH51" i="13" s="1"/>
  <c r="AV51" i="13"/>
  <c r="AI51" i="13" s="1"/>
  <c r="AR51" i="13"/>
  <c r="AM51" i="13"/>
  <c r="AD51" i="13"/>
  <c r="L51" i="13"/>
  <c r="G340" i="1" s="1"/>
  <c r="B51" i="13"/>
  <c r="BD50" i="13"/>
  <c r="BH50" i="13" s="1"/>
  <c r="AV50" i="13"/>
  <c r="AI50" i="13" s="1"/>
  <c r="AR50" i="13"/>
  <c r="AM50" i="13"/>
  <c r="AD50" i="13"/>
  <c r="L50" i="13"/>
  <c r="G291" i="1" s="1"/>
  <c r="B50" i="13"/>
  <c r="BD49" i="13"/>
  <c r="BH49" i="13" s="1"/>
  <c r="AV49" i="13"/>
  <c r="AI49" i="13" s="1"/>
  <c r="AR49" i="13"/>
  <c r="AM49" i="13"/>
  <c r="Q49" i="13" s="1"/>
  <c r="Y49" i="13" s="1"/>
  <c r="AD49" i="13"/>
  <c r="L49" i="13"/>
  <c r="G499" i="1" s="1"/>
  <c r="B49" i="13"/>
  <c r="BD48" i="13"/>
  <c r="BH48" i="13" s="1"/>
  <c r="AV48" i="13"/>
  <c r="AR48" i="13"/>
  <c r="AM48" i="13"/>
  <c r="AD48" i="13"/>
  <c r="L48" i="13"/>
  <c r="G101" i="1" s="1"/>
  <c r="B48" i="13"/>
  <c r="BD47" i="13"/>
  <c r="BH47" i="13" s="1"/>
  <c r="AV47" i="13"/>
  <c r="AI47" i="13" s="1"/>
  <c r="AR47" i="13"/>
  <c r="AM47" i="13"/>
  <c r="AD47" i="13"/>
  <c r="L47" i="13"/>
  <c r="G462" i="1" s="1"/>
  <c r="B47" i="13"/>
  <c r="BD46" i="13"/>
  <c r="BH46" i="13" s="1"/>
  <c r="AV46" i="13"/>
  <c r="AI46" i="13" s="1"/>
  <c r="AR46" i="13"/>
  <c r="AM46" i="13"/>
  <c r="AD46" i="13"/>
  <c r="L46" i="13"/>
  <c r="G60" i="1" s="1"/>
  <c r="B46" i="13"/>
  <c r="BD45" i="13"/>
  <c r="BH45" i="13" s="1"/>
  <c r="AV45" i="13"/>
  <c r="AI45" i="13" s="1"/>
  <c r="AR45" i="13"/>
  <c r="AM45" i="13"/>
  <c r="Q45" i="13" s="1"/>
  <c r="Y45" i="13" s="1"/>
  <c r="AD45" i="13"/>
  <c r="L45" i="13"/>
  <c r="G689" i="1" s="1"/>
  <c r="B45" i="13"/>
  <c r="BD44" i="13"/>
  <c r="BH44" i="13" s="1"/>
  <c r="AV44" i="13"/>
  <c r="AR44" i="13"/>
  <c r="AM44" i="13"/>
  <c r="AD44" i="13"/>
  <c r="L44" i="13"/>
  <c r="B44" i="13"/>
  <c r="BD43" i="13"/>
  <c r="BH43" i="13" s="1"/>
  <c r="AV43" i="13"/>
  <c r="AI43" i="13" s="1"/>
  <c r="AR43" i="13"/>
  <c r="AM43" i="13"/>
  <c r="AD43" i="13"/>
  <c r="L43" i="13"/>
  <c r="G334" i="1" s="1"/>
  <c r="B43" i="13"/>
  <c r="BD42" i="13"/>
  <c r="BH42" i="13" s="1"/>
  <c r="AV42" i="13"/>
  <c r="AI42" i="13" s="1"/>
  <c r="AR42" i="13"/>
  <c r="AM42" i="13"/>
  <c r="AD42" i="13"/>
  <c r="L42" i="13"/>
  <c r="G238" i="1" s="1"/>
  <c r="B42" i="13"/>
  <c r="BD41" i="13"/>
  <c r="BH41" i="13" s="1"/>
  <c r="AV41" i="13"/>
  <c r="AI41" i="13" s="1"/>
  <c r="AR41" i="13"/>
  <c r="AM41" i="13"/>
  <c r="Q41" i="13" s="1"/>
  <c r="Y41" i="13" s="1"/>
  <c r="AD41" i="13"/>
  <c r="L41" i="13"/>
  <c r="G497" i="1" s="1"/>
  <c r="B41" i="13"/>
  <c r="BD40" i="13"/>
  <c r="BH40" i="13" s="1"/>
  <c r="AV40" i="13"/>
  <c r="AR40" i="13"/>
  <c r="AM40" i="13"/>
  <c r="AD40" i="13"/>
  <c r="L40" i="13"/>
  <c r="G496" i="1" s="1"/>
  <c r="B40" i="13"/>
  <c r="BD39" i="13"/>
  <c r="BH39" i="13" s="1"/>
  <c r="AV39" i="13"/>
  <c r="AI39" i="13" s="1"/>
  <c r="AR39" i="13"/>
  <c r="AM39" i="13"/>
  <c r="AD39" i="13"/>
  <c r="L39" i="13"/>
  <c r="G332" i="1" s="1"/>
  <c r="B39" i="13"/>
  <c r="BD38" i="13"/>
  <c r="BH38" i="13" s="1"/>
  <c r="AV38" i="13"/>
  <c r="AI38" i="13" s="1"/>
  <c r="AR38" i="13"/>
  <c r="AM38" i="13"/>
  <c r="AD38" i="13"/>
  <c r="L38" i="13"/>
  <c r="G460" i="1" s="1"/>
  <c r="B38" i="13"/>
  <c r="BD37" i="13"/>
  <c r="BH37" i="13" s="1"/>
  <c r="AV37" i="13"/>
  <c r="AI37" i="13" s="1"/>
  <c r="AR37" i="13"/>
  <c r="AM37" i="13"/>
  <c r="Q37" i="13" s="1"/>
  <c r="Y37" i="13" s="1"/>
  <c r="AD37" i="13"/>
  <c r="L37" i="13"/>
  <c r="G47" i="1" s="1"/>
  <c r="B37" i="13"/>
  <c r="BD36" i="13"/>
  <c r="BH36" i="13" s="1"/>
  <c r="AV36" i="13"/>
  <c r="AR36" i="13"/>
  <c r="AM36" i="13"/>
  <c r="AD36" i="13"/>
  <c r="L36" i="13"/>
  <c r="G683" i="1" s="1"/>
  <c r="B36" i="13"/>
  <c r="BD35" i="13"/>
  <c r="BH35" i="13" s="1"/>
  <c r="AV35" i="13"/>
  <c r="AI35" i="13" s="1"/>
  <c r="AR35" i="13"/>
  <c r="AM35" i="13"/>
  <c r="AD35" i="13"/>
  <c r="L35" i="13"/>
  <c r="G7" i="1" s="1"/>
  <c r="B35" i="13"/>
  <c r="BD34" i="13"/>
  <c r="BH34" i="13" s="1"/>
  <c r="AV34" i="13"/>
  <c r="AI34" i="13" s="1"/>
  <c r="AR34" i="13"/>
  <c r="AM34" i="13"/>
  <c r="AD34" i="13"/>
  <c r="L34" i="13"/>
  <c r="G682" i="1" s="1"/>
  <c r="B34" i="13"/>
  <c r="BD33" i="13"/>
  <c r="BH33" i="13" s="1"/>
  <c r="AV33" i="13"/>
  <c r="AI33" i="13" s="1"/>
  <c r="AR33" i="13"/>
  <c r="AM33" i="13"/>
  <c r="Q33" i="13" s="1"/>
  <c r="Y33" i="13" s="1"/>
  <c r="AD33" i="13"/>
  <c r="L33" i="13"/>
  <c r="G135" i="1" s="1"/>
  <c r="B33" i="13"/>
  <c r="BD32" i="13"/>
  <c r="BH32" i="13" s="1"/>
  <c r="AV32" i="13"/>
  <c r="AR32" i="13"/>
  <c r="AM32" i="13"/>
  <c r="AD32" i="13"/>
  <c r="L32" i="13"/>
  <c r="G134" i="1" s="1"/>
  <c r="B32" i="13"/>
  <c r="BD31" i="13"/>
  <c r="BH31" i="13" s="1"/>
  <c r="AV31" i="13"/>
  <c r="AI31" i="13" s="1"/>
  <c r="AR31" i="13"/>
  <c r="AM31" i="13"/>
  <c r="AD31" i="13"/>
  <c r="L31" i="13"/>
  <c r="G326" i="1" s="1"/>
  <c r="B31" i="13"/>
  <c r="BD30" i="13"/>
  <c r="BH30" i="13" s="1"/>
  <c r="AV30" i="13"/>
  <c r="AI30" i="13" s="1"/>
  <c r="AR30" i="13"/>
  <c r="AM30" i="13"/>
  <c r="AD30" i="13"/>
  <c r="L30" i="13"/>
  <c r="G323" i="1" s="1"/>
  <c r="B30" i="13"/>
  <c r="BD29" i="13"/>
  <c r="BH29" i="13" s="1"/>
  <c r="AV29" i="13"/>
  <c r="AI29" i="13" s="1"/>
  <c r="AR29" i="13"/>
  <c r="AM29" i="13"/>
  <c r="Q29" i="13" s="1"/>
  <c r="Y29" i="13" s="1"/>
  <c r="AD29" i="13"/>
  <c r="L29" i="13"/>
  <c r="G45" i="1" s="1"/>
  <c r="B29" i="13"/>
  <c r="BD28" i="13"/>
  <c r="BH28" i="13" s="1"/>
  <c r="AV28" i="13"/>
  <c r="AR28" i="13"/>
  <c r="AM28" i="13"/>
  <c r="AD28" i="13"/>
  <c r="L28" i="13"/>
  <c r="G493" i="1" s="1"/>
  <c r="B28" i="13"/>
  <c r="BD27" i="13"/>
  <c r="BH27" i="13" s="1"/>
  <c r="AV27" i="13"/>
  <c r="AI27" i="13" s="1"/>
  <c r="AR27" i="13"/>
  <c r="AM27" i="13"/>
  <c r="AD27" i="13"/>
  <c r="L27" i="13"/>
  <c r="G321" i="1" s="1"/>
  <c r="B27" i="13"/>
  <c r="BD26" i="13"/>
  <c r="BH26" i="13" s="1"/>
  <c r="AV26" i="13"/>
  <c r="AI26" i="13" s="1"/>
  <c r="AR26" i="13"/>
  <c r="AM26" i="13"/>
  <c r="AD26" i="13"/>
  <c r="L26" i="13"/>
  <c r="G93" i="1" s="1"/>
  <c r="B26" i="13"/>
  <c r="BD25" i="13"/>
  <c r="BH25" i="13" s="1"/>
  <c r="AV25" i="13"/>
  <c r="AI25" i="13" s="1"/>
  <c r="AR25" i="13"/>
  <c r="AM25" i="13"/>
  <c r="Q25" i="13" s="1"/>
  <c r="Y25" i="13" s="1"/>
  <c r="AD25" i="13"/>
  <c r="L25" i="13"/>
  <c r="G295" i="3" s="1"/>
  <c r="B25" i="13"/>
  <c r="BD24" i="13"/>
  <c r="BH24" i="13" s="1"/>
  <c r="AV24" i="13"/>
  <c r="AR24" i="13"/>
  <c r="AM24" i="13"/>
  <c r="AD24" i="13"/>
  <c r="L24" i="13"/>
  <c r="G279" i="1" s="1"/>
  <c r="B24" i="13"/>
  <c r="BD23" i="13"/>
  <c r="BH23" i="13" s="1"/>
  <c r="AV23" i="13"/>
  <c r="AI23" i="13" s="1"/>
  <c r="AR23" i="13"/>
  <c r="AM23" i="13"/>
  <c r="AD23" i="13"/>
  <c r="L23" i="13"/>
  <c r="G42" i="1" s="1"/>
  <c r="B23" i="13"/>
  <c r="BD22" i="13"/>
  <c r="BH22" i="13" s="1"/>
  <c r="AV22" i="13"/>
  <c r="AI22" i="13" s="1"/>
  <c r="AR22" i="13"/>
  <c r="AM22" i="13"/>
  <c r="AD22" i="13"/>
  <c r="L22" i="13"/>
  <c r="G277" i="1" s="1"/>
  <c r="B22" i="13"/>
  <c r="BD21" i="13"/>
  <c r="BH21" i="13" s="1"/>
  <c r="AV21" i="13"/>
  <c r="AI21" i="13" s="1"/>
  <c r="AR21" i="13"/>
  <c r="AM21" i="13"/>
  <c r="Q21" i="13" s="1"/>
  <c r="Y21" i="13" s="1"/>
  <c r="AD21" i="13"/>
  <c r="L21" i="13"/>
  <c r="G676" i="1" s="1"/>
  <c r="B21" i="13"/>
  <c r="BD20" i="13"/>
  <c r="BH20" i="13" s="1"/>
  <c r="AV20" i="13"/>
  <c r="AR20" i="13"/>
  <c r="AM20" i="13"/>
  <c r="AD20" i="13"/>
  <c r="L20" i="13"/>
  <c r="G226" i="1" s="1"/>
  <c r="B20" i="13"/>
  <c r="BD19" i="13"/>
  <c r="BH19" i="13" s="1"/>
  <c r="AV19" i="13"/>
  <c r="AI19" i="13" s="1"/>
  <c r="AR19" i="13"/>
  <c r="AM19" i="13"/>
  <c r="AD19" i="13"/>
  <c r="L19" i="13"/>
  <c r="G276" i="1" s="1"/>
  <c r="B19" i="13"/>
  <c r="BD18" i="13"/>
  <c r="BH18" i="13" s="1"/>
  <c r="AV18" i="13"/>
  <c r="AI18" i="13" s="1"/>
  <c r="AR18" i="13"/>
  <c r="AM18" i="13"/>
  <c r="AD18" i="13"/>
  <c r="L18" i="13"/>
  <c r="G275" i="1" s="1"/>
  <c r="B18" i="13"/>
  <c r="BD17" i="13"/>
  <c r="BH17" i="13" s="1"/>
  <c r="AV17" i="13"/>
  <c r="AI17" i="13" s="1"/>
  <c r="AR17" i="13"/>
  <c r="AM17" i="13"/>
  <c r="Q17" i="13" s="1"/>
  <c r="Y17" i="13" s="1"/>
  <c r="AD17" i="13"/>
  <c r="L17" i="13"/>
  <c r="G41" i="1" s="1"/>
  <c r="B17" i="13"/>
  <c r="BD16" i="13"/>
  <c r="BH16" i="13" s="1"/>
  <c r="AV16" i="13"/>
  <c r="AR16" i="13"/>
  <c r="AM16" i="13"/>
  <c r="AD16" i="13"/>
  <c r="L16" i="13"/>
  <c r="G4" i="1" s="1"/>
  <c r="B16" i="13"/>
  <c r="BD15" i="13"/>
  <c r="BH15" i="13" s="1"/>
  <c r="AV15" i="13"/>
  <c r="AI15" i="13" s="1"/>
  <c r="AR15" i="13"/>
  <c r="AM15" i="13"/>
  <c r="AD15" i="13"/>
  <c r="L15" i="13"/>
  <c r="G674" i="1" s="1"/>
  <c r="B15" i="13"/>
  <c r="BD14" i="13"/>
  <c r="BH14" i="13" s="1"/>
  <c r="AV14" i="13"/>
  <c r="AI14" i="13" s="1"/>
  <c r="AR14" i="13"/>
  <c r="AM14" i="13"/>
  <c r="AD14" i="13"/>
  <c r="L14" i="13"/>
  <c r="G673" i="1" s="1"/>
  <c r="B14" i="13"/>
  <c r="BD13" i="13"/>
  <c r="BH13" i="13" s="1"/>
  <c r="AV13" i="13"/>
  <c r="AI13" i="13" s="1"/>
  <c r="AR13" i="13"/>
  <c r="AM13" i="13"/>
  <c r="Q13" i="13" s="1"/>
  <c r="Y13" i="13" s="1"/>
  <c r="AD13" i="13"/>
  <c r="L13" i="13"/>
  <c r="G670" i="1" s="1"/>
  <c r="B13" i="13"/>
  <c r="BD12" i="13"/>
  <c r="BH12" i="13" s="1"/>
  <c r="AV12" i="13"/>
  <c r="AR12" i="13"/>
  <c r="AM12" i="13"/>
  <c r="AD12" i="13"/>
  <c r="L12" i="13"/>
  <c r="G317" i="1" s="1"/>
  <c r="B12" i="13"/>
  <c r="BD11" i="13"/>
  <c r="BH11" i="13" s="1"/>
  <c r="AV11" i="13"/>
  <c r="AI11" i="13" s="1"/>
  <c r="AR11" i="13"/>
  <c r="AM11" i="13"/>
  <c r="AD11" i="13"/>
  <c r="L11" i="13"/>
  <c r="G269" i="1" s="1"/>
  <c r="B11" i="13"/>
  <c r="BD10" i="13"/>
  <c r="BH10" i="13" s="1"/>
  <c r="AV10" i="13"/>
  <c r="AR10" i="13"/>
  <c r="AM10" i="13"/>
  <c r="AD10" i="13"/>
  <c r="L10" i="13"/>
  <c r="G487" i="1" s="1"/>
  <c r="B10" i="13"/>
  <c r="BD9" i="13"/>
  <c r="BH9" i="13" s="1"/>
  <c r="AV9" i="13"/>
  <c r="AI9" i="13" s="1"/>
  <c r="AR9" i="13"/>
  <c r="AM9" i="13"/>
  <c r="Q9" i="13" s="1"/>
  <c r="Y9" i="13" s="1"/>
  <c r="AD9" i="13"/>
  <c r="L9" i="13"/>
  <c r="G486" i="1" s="1"/>
  <c r="B9" i="13"/>
  <c r="BD8" i="13"/>
  <c r="BH8" i="13" s="1"/>
  <c r="AV8" i="13"/>
  <c r="AR8" i="13"/>
  <c r="AM8" i="13"/>
  <c r="AD8" i="13"/>
  <c r="L8" i="13"/>
  <c r="G456" i="1" s="1"/>
  <c r="B8" i="13"/>
  <c r="BC6" i="13"/>
  <c r="BB6" i="13"/>
  <c r="BA6" i="13"/>
  <c r="AU6" i="13"/>
  <c r="AT6" i="13"/>
  <c r="AS6" i="13"/>
  <c r="AL6" i="13"/>
  <c r="AK6" i="13"/>
  <c r="AJ6" i="13"/>
  <c r="AC6" i="13"/>
  <c r="AB6" i="13"/>
  <c r="AA6" i="13"/>
  <c r="K6" i="13"/>
  <c r="J6" i="13"/>
  <c r="I6" i="13"/>
  <c r="A4" i="13"/>
  <c r="Z8" i="13" l="1"/>
  <c r="Q8" i="13"/>
  <c r="Z10" i="13"/>
  <c r="Q10" i="13"/>
  <c r="Y10" i="13" s="1"/>
  <c r="Z12" i="13"/>
  <c r="Q12" i="13"/>
  <c r="Y12" i="13" s="1"/>
  <c r="Z14" i="13"/>
  <c r="Q14" i="13"/>
  <c r="Y14" i="13" s="1"/>
  <c r="Z16" i="13"/>
  <c r="Q16" i="13"/>
  <c r="Y16" i="13" s="1"/>
  <c r="Z18" i="13"/>
  <c r="Q18" i="13"/>
  <c r="Y18" i="13" s="1"/>
  <c r="Z20" i="13"/>
  <c r="Q20" i="13"/>
  <c r="Y20" i="13" s="1"/>
  <c r="Z22" i="13"/>
  <c r="Q22" i="13"/>
  <c r="Y22" i="13" s="1"/>
  <c r="Z24" i="13"/>
  <c r="Q24" i="13"/>
  <c r="Y24" i="13" s="1"/>
  <c r="Z26" i="13"/>
  <c r="Q26" i="13"/>
  <c r="Y26" i="13" s="1"/>
  <c r="Z28" i="13"/>
  <c r="Q28" i="13"/>
  <c r="Y28" i="13" s="1"/>
  <c r="Z30" i="13"/>
  <c r="Q30" i="13"/>
  <c r="Y30" i="13" s="1"/>
  <c r="Z32" i="13"/>
  <c r="Q32" i="13"/>
  <c r="Y32" i="13" s="1"/>
  <c r="Z34" i="13"/>
  <c r="Q34" i="13"/>
  <c r="Y34" i="13" s="1"/>
  <c r="Z36" i="13"/>
  <c r="Q36" i="13"/>
  <c r="Y36" i="13" s="1"/>
  <c r="Z38" i="13"/>
  <c r="Q38" i="13"/>
  <c r="Y38" i="13" s="1"/>
  <c r="Z40" i="13"/>
  <c r="Q40" i="13"/>
  <c r="Y40" i="13" s="1"/>
  <c r="Z42" i="13"/>
  <c r="Q42" i="13"/>
  <c r="Y42" i="13" s="1"/>
  <c r="Z44" i="13"/>
  <c r="Q44" i="13"/>
  <c r="Y44" i="13" s="1"/>
  <c r="Z46" i="13"/>
  <c r="Q46" i="13"/>
  <c r="Y46" i="13" s="1"/>
  <c r="Z48" i="13"/>
  <c r="Q48" i="13"/>
  <c r="Y48" i="13" s="1"/>
  <c r="Z50" i="13"/>
  <c r="Q50" i="13"/>
  <c r="Y50" i="13" s="1"/>
  <c r="Z52" i="13"/>
  <c r="Q52" i="13"/>
  <c r="Y52" i="13" s="1"/>
  <c r="Z54" i="13"/>
  <c r="Q54" i="13"/>
  <c r="Y54" i="13" s="1"/>
  <c r="Z56" i="13"/>
  <c r="Q56" i="13"/>
  <c r="Y56" i="13" s="1"/>
  <c r="Z58" i="13"/>
  <c r="Q58" i="13"/>
  <c r="Y58" i="13" s="1"/>
  <c r="Z60" i="13"/>
  <c r="Q60" i="13"/>
  <c r="Y60" i="13" s="1"/>
  <c r="Z62" i="13"/>
  <c r="Q62" i="13"/>
  <c r="Y62" i="13" s="1"/>
  <c r="Z64" i="13"/>
  <c r="Q64" i="13"/>
  <c r="Y64" i="13" s="1"/>
  <c r="Z66" i="13"/>
  <c r="Q66" i="13"/>
  <c r="Y66" i="13" s="1"/>
  <c r="Z68" i="13"/>
  <c r="Q68" i="13"/>
  <c r="Y68" i="13" s="1"/>
  <c r="Z70" i="13"/>
  <c r="Q70" i="13"/>
  <c r="Y70" i="13" s="1"/>
  <c r="Z72" i="13"/>
  <c r="Q72" i="13"/>
  <c r="Y72" i="13" s="1"/>
  <c r="Z74" i="13"/>
  <c r="Q74" i="13"/>
  <c r="Y74" i="13" s="1"/>
  <c r="Z76" i="13"/>
  <c r="Q76" i="13"/>
  <c r="Y76" i="13" s="1"/>
  <c r="Z78" i="13"/>
  <c r="Q78" i="13"/>
  <c r="Y78" i="13" s="1"/>
  <c r="Z80" i="13"/>
  <c r="Q80" i="13"/>
  <c r="Y80" i="13" s="1"/>
  <c r="Z82" i="13"/>
  <c r="Q82" i="13"/>
  <c r="Y82" i="13" s="1"/>
  <c r="Z84" i="13"/>
  <c r="Q84" i="13"/>
  <c r="Y84" i="13" s="1"/>
  <c r="Z86" i="13"/>
  <c r="Q86" i="13"/>
  <c r="Y86" i="13" s="1"/>
  <c r="Z88" i="13"/>
  <c r="Q88" i="13"/>
  <c r="Y88" i="13" s="1"/>
  <c r="Z92" i="13"/>
  <c r="Q92" i="13"/>
  <c r="Y92" i="13" s="1"/>
  <c r="Z96" i="13"/>
  <c r="Q96" i="13"/>
  <c r="Y96" i="13" s="1"/>
  <c r="Z100" i="13"/>
  <c r="Q100" i="13"/>
  <c r="Y100" i="13" s="1"/>
  <c r="Z104" i="13"/>
  <c r="Q104" i="13"/>
  <c r="Y104" i="13" s="1"/>
  <c r="Z108" i="13"/>
  <c r="Q108" i="13"/>
  <c r="Y108" i="13" s="1"/>
  <c r="Z112" i="13"/>
  <c r="Q112" i="13"/>
  <c r="Y112" i="13" s="1"/>
  <c r="Z116" i="13"/>
  <c r="Q116" i="13"/>
  <c r="Y116" i="13" s="1"/>
  <c r="Z120" i="13"/>
  <c r="Q120" i="13"/>
  <c r="Y120" i="13" s="1"/>
  <c r="Z124" i="13"/>
  <c r="Q124" i="13"/>
  <c r="Y124" i="13" s="1"/>
  <c r="Z128" i="13"/>
  <c r="Q128" i="13"/>
  <c r="Y128" i="13" s="1"/>
  <c r="Z132" i="13"/>
  <c r="Q132" i="13"/>
  <c r="Y132" i="13" s="1"/>
  <c r="Z136" i="13"/>
  <c r="Q136" i="13"/>
  <c r="Y136" i="13" s="1"/>
  <c r="Z140" i="13"/>
  <c r="Q140" i="13"/>
  <c r="Y140" i="13" s="1"/>
  <c r="Z144" i="13"/>
  <c r="Q144" i="13"/>
  <c r="Y144" i="13" s="1"/>
  <c r="Z148" i="13"/>
  <c r="Q148" i="13"/>
  <c r="Y148" i="13" s="1"/>
  <c r="Z152" i="13"/>
  <c r="Q152" i="13"/>
  <c r="Y152" i="13" s="1"/>
  <c r="Z156" i="13"/>
  <c r="Q156" i="13"/>
  <c r="Y156" i="13" s="1"/>
  <c r="Z160" i="13"/>
  <c r="Q160" i="13"/>
  <c r="Y160" i="13" s="1"/>
  <c r="Z164" i="13"/>
  <c r="Q164" i="13"/>
  <c r="Y164" i="13" s="1"/>
  <c r="Z168" i="13"/>
  <c r="Q168" i="13"/>
  <c r="Y168" i="13" s="1"/>
  <c r="Z172" i="13"/>
  <c r="Q172" i="13"/>
  <c r="Y172" i="13" s="1"/>
  <c r="Z176" i="13"/>
  <c r="Q176" i="13"/>
  <c r="Y176" i="13" s="1"/>
  <c r="Z180" i="13"/>
  <c r="AH180" i="13" s="1"/>
  <c r="Q180" i="13"/>
  <c r="Y180" i="13" s="1"/>
  <c r="Z184" i="13"/>
  <c r="Q184" i="13"/>
  <c r="Y184" i="13" s="1"/>
  <c r="Z188" i="13"/>
  <c r="Q188" i="13"/>
  <c r="Y188" i="13" s="1"/>
  <c r="Z192" i="13"/>
  <c r="Q192" i="13"/>
  <c r="Y192" i="13" s="1"/>
  <c r="Z196" i="13"/>
  <c r="Q196" i="13"/>
  <c r="Y196" i="13" s="1"/>
  <c r="Z200" i="13"/>
  <c r="Q200" i="13"/>
  <c r="Y200" i="13" s="1"/>
  <c r="Z204" i="13"/>
  <c r="Q204" i="13"/>
  <c r="Y204" i="13" s="1"/>
  <c r="Z208" i="13"/>
  <c r="Q208" i="13"/>
  <c r="Y208" i="13" s="1"/>
  <c r="Z212" i="13"/>
  <c r="Q212" i="13"/>
  <c r="Y212" i="13" s="1"/>
  <c r="Z216" i="13"/>
  <c r="Q216" i="13"/>
  <c r="Y216" i="13" s="1"/>
  <c r="Z220" i="13"/>
  <c r="Q220" i="13"/>
  <c r="Y220" i="13" s="1"/>
  <c r="Z224" i="13"/>
  <c r="Q224" i="13"/>
  <c r="Y224" i="13" s="1"/>
  <c r="Z228" i="13"/>
  <c r="Q228" i="13"/>
  <c r="Y228" i="13" s="1"/>
  <c r="Z230" i="13"/>
  <c r="Q230" i="13"/>
  <c r="Y230" i="13" s="1"/>
  <c r="Z234" i="13"/>
  <c r="Q234" i="13"/>
  <c r="Y234" i="13" s="1"/>
  <c r="Z238" i="13"/>
  <c r="Q238" i="13"/>
  <c r="Y238" i="13" s="1"/>
  <c r="Z242" i="13"/>
  <c r="Q242" i="13"/>
  <c r="Y242" i="13" s="1"/>
  <c r="Z246" i="13"/>
  <c r="Q246" i="13"/>
  <c r="Y246" i="13" s="1"/>
  <c r="Z250" i="13"/>
  <c r="Q250" i="13"/>
  <c r="Y250" i="13" s="1"/>
  <c r="Z254" i="13"/>
  <c r="Q254" i="13"/>
  <c r="Y254" i="13" s="1"/>
  <c r="Z258" i="13"/>
  <c r="AH258" i="13" s="1"/>
  <c r="Q258" i="13"/>
  <c r="Y258" i="13" s="1"/>
  <c r="Z262" i="13"/>
  <c r="Q262" i="13"/>
  <c r="Y262" i="13" s="1"/>
  <c r="Z266" i="13"/>
  <c r="Q266" i="13"/>
  <c r="Y266" i="13" s="1"/>
  <c r="Z268" i="13"/>
  <c r="Q268" i="13"/>
  <c r="Y268" i="13" s="1"/>
  <c r="Z270" i="13"/>
  <c r="Q270" i="13"/>
  <c r="Y270" i="13" s="1"/>
  <c r="Z272" i="13"/>
  <c r="Q272" i="13"/>
  <c r="Y272" i="13" s="1"/>
  <c r="Z274" i="13"/>
  <c r="Q274" i="13"/>
  <c r="Y274" i="13" s="1"/>
  <c r="Z276" i="13"/>
  <c r="Q276" i="13"/>
  <c r="Y276" i="13" s="1"/>
  <c r="Z278" i="13"/>
  <c r="Q278" i="13"/>
  <c r="Y278" i="13" s="1"/>
  <c r="Z280" i="13"/>
  <c r="Q280" i="13"/>
  <c r="Y280" i="13" s="1"/>
  <c r="Z282" i="13"/>
  <c r="Q282" i="13"/>
  <c r="Y282" i="13" s="1"/>
  <c r="Z284" i="13"/>
  <c r="Q284" i="13"/>
  <c r="Y284" i="13" s="1"/>
  <c r="Z286" i="13"/>
  <c r="Q286" i="13"/>
  <c r="Y286" i="13" s="1"/>
  <c r="Z288" i="13"/>
  <c r="Q288" i="13"/>
  <c r="Y288" i="13" s="1"/>
  <c r="Z290" i="13"/>
  <c r="Q290" i="13"/>
  <c r="Y290" i="13" s="1"/>
  <c r="Z292" i="13"/>
  <c r="Q292" i="13"/>
  <c r="Y292" i="13" s="1"/>
  <c r="Z294" i="13"/>
  <c r="Q294" i="13"/>
  <c r="Y294" i="13" s="1"/>
  <c r="Z296" i="13"/>
  <c r="Q296" i="13"/>
  <c r="Y296" i="13" s="1"/>
  <c r="Z298" i="13"/>
  <c r="Q298" i="13"/>
  <c r="Y298" i="13" s="1"/>
  <c r="Z300" i="13"/>
  <c r="Q300" i="13"/>
  <c r="Y300" i="13" s="1"/>
  <c r="Z302" i="13"/>
  <c r="Q302" i="13"/>
  <c r="Y302" i="13" s="1"/>
  <c r="Z304" i="13"/>
  <c r="Q304" i="13"/>
  <c r="Y304" i="13" s="1"/>
  <c r="Z306" i="13"/>
  <c r="Q306" i="13"/>
  <c r="Y306" i="13" s="1"/>
  <c r="Z308" i="13"/>
  <c r="Q308" i="13"/>
  <c r="Y308" i="13" s="1"/>
  <c r="Z310" i="13"/>
  <c r="Q310" i="13"/>
  <c r="Y310" i="13" s="1"/>
  <c r="Z312" i="13"/>
  <c r="Q312" i="13"/>
  <c r="Y312" i="13" s="1"/>
  <c r="Z314" i="13"/>
  <c r="Q314" i="13"/>
  <c r="Y314" i="13" s="1"/>
  <c r="Z316" i="13"/>
  <c r="Q316" i="13"/>
  <c r="Y316" i="13" s="1"/>
  <c r="Z318" i="13"/>
  <c r="Q318" i="13"/>
  <c r="Y318" i="13" s="1"/>
  <c r="Z320" i="13"/>
  <c r="Q320" i="13"/>
  <c r="Y320" i="13" s="1"/>
  <c r="Z322" i="13"/>
  <c r="Q322" i="13"/>
  <c r="Y322" i="13" s="1"/>
  <c r="Z324" i="13"/>
  <c r="Q324" i="13"/>
  <c r="Y324" i="13" s="1"/>
  <c r="Z326" i="13"/>
  <c r="Q326" i="13"/>
  <c r="Y326" i="13" s="1"/>
  <c r="Z328" i="13"/>
  <c r="Q328" i="13"/>
  <c r="Y328" i="13" s="1"/>
  <c r="Z330" i="13"/>
  <c r="Q330" i="13"/>
  <c r="Y330" i="13" s="1"/>
  <c r="Z332" i="13"/>
  <c r="Q332" i="13"/>
  <c r="Y332" i="13" s="1"/>
  <c r="Z334" i="13"/>
  <c r="Q334" i="13"/>
  <c r="Y334" i="13" s="1"/>
  <c r="Z336" i="13"/>
  <c r="Q336" i="13"/>
  <c r="Y336" i="13" s="1"/>
  <c r="Z338" i="13"/>
  <c r="Q338" i="13"/>
  <c r="Y338" i="13" s="1"/>
  <c r="Z340" i="13"/>
  <c r="Q340" i="13"/>
  <c r="Y340" i="13" s="1"/>
  <c r="Z342" i="13"/>
  <c r="Q342" i="13"/>
  <c r="Y342" i="13" s="1"/>
  <c r="Z344" i="13"/>
  <c r="Q344" i="13"/>
  <c r="Y344" i="13" s="1"/>
  <c r="Z346" i="13"/>
  <c r="Q346" i="13"/>
  <c r="Y346" i="13" s="1"/>
  <c r="Z348" i="13"/>
  <c r="Q348" i="13"/>
  <c r="Y348" i="13" s="1"/>
  <c r="Z350" i="13"/>
  <c r="Q350" i="13"/>
  <c r="Y350" i="13" s="1"/>
  <c r="Z352" i="13"/>
  <c r="Q352" i="13"/>
  <c r="Y352" i="13" s="1"/>
  <c r="Z354" i="13"/>
  <c r="Q354" i="13"/>
  <c r="Y354" i="13" s="1"/>
  <c r="Z356" i="13"/>
  <c r="Q356" i="13"/>
  <c r="Y356" i="13" s="1"/>
  <c r="Z358" i="13"/>
  <c r="Q358" i="13"/>
  <c r="Y358" i="13" s="1"/>
  <c r="Z360" i="13"/>
  <c r="Q360" i="13"/>
  <c r="Y360" i="13" s="1"/>
  <c r="Z362" i="13"/>
  <c r="Q362" i="13"/>
  <c r="Y362" i="13" s="1"/>
  <c r="Z364" i="13"/>
  <c r="Q364" i="13"/>
  <c r="Y364" i="13" s="1"/>
  <c r="Z366" i="13"/>
  <c r="Q366" i="13"/>
  <c r="Y366" i="13" s="1"/>
  <c r="Z368" i="13"/>
  <c r="Q368" i="13"/>
  <c r="Y368" i="13" s="1"/>
  <c r="Z370" i="13"/>
  <c r="Q370" i="13"/>
  <c r="Y370" i="13" s="1"/>
  <c r="Z372" i="13"/>
  <c r="Q372" i="13"/>
  <c r="Y372" i="13" s="1"/>
  <c r="Z374" i="13"/>
  <c r="Q374" i="13"/>
  <c r="Y374" i="13" s="1"/>
  <c r="Z376" i="13"/>
  <c r="Q376" i="13"/>
  <c r="Y376" i="13" s="1"/>
  <c r="Z378" i="13"/>
  <c r="Q378" i="13"/>
  <c r="Y378" i="13" s="1"/>
  <c r="Z380" i="13"/>
  <c r="Q380" i="13"/>
  <c r="Y380" i="13" s="1"/>
  <c r="Z382" i="13"/>
  <c r="Q382" i="13"/>
  <c r="Y382" i="13" s="1"/>
  <c r="Z384" i="13"/>
  <c r="Q384" i="13"/>
  <c r="Y384" i="13" s="1"/>
  <c r="Z386" i="13"/>
  <c r="Q386" i="13"/>
  <c r="Y386" i="13" s="1"/>
  <c r="Z388" i="13"/>
  <c r="Q388" i="13"/>
  <c r="Y388" i="13" s="1"/>
  <c r="Z390" i="13"/>
  <c r="Q390" i="13"/>
  <c r="Y390" i="13" s="1"/>
  <c r="Z392" i="13"/>
  <c r="Q392" i="13"/>
  <c r="Y392" i="13" s="1"/>
  <c r="Z394" i="13"/>
  <c r="Q394" i="13"/>
  <c r="Y394" i="13" s="1"/>
  <c r="Z396" i="13"/>
  <c r="Q396" i="13"/>
  <c r="Y396" i="13" s="1"/>
  <c r="Z398" i="13"/>
  <c r="Q398" i="13"/>
  <c r="Y398" i="13" s="1"/>
  <c r="Z400" i="13"/>
  <c r="Q400" i="13"/>
  <c r="Y400" i="13" s="1"/>
  <c r="Z402" i="13"/>
  <c r="Q402" i="13"/>
  <c r="Y402" i="13" s="1"/>
  <c r="Z404" i="13"/>
  <c r="Q404" i="13"/>
  <c r="Y404" i="13" s="1"/>
  <c r="Z406" i="13"/>
  <c r="Q406" i="13"/>
  <c r="Y406" i="13" s="1"/>
  <c r="Z408" i="13"/>
  <c r="Q408" i="13"/>
  <c r="Y408" i="13" s="1"/>
  <c r="Z410" i="13"/>
  <c r="Q410" i="13"/>
  <c r="Y410" i="13" s="1"/>
  <c r="Z412" i="13"/>
  <c r="Q412" i="13"/>
  <c r="Y412" i="13" s="1"/>
  <c r="Z414" i="13"/>
  <c r="Q414" i="13"/>
  <c r="Y414" i="13" s="1"/>
  <c r="Z416" i="13"/>
  <c r="Q416" i="13"/>
  <c r="Y416" i="13" s="1"/>
  <c r="Z418" i="13"/>
  <c r="Q418" i="13"/>
  <c r="Y418" i="13" s="1"/>
  <c r="Z420" i="13"/>
  <c r="Q420" i="13"/>
  <c r="Y420" i="13" s="1"/>
  <c r="Z422" i="13"/>
  <c r="Q422" i="13"/>
  <c r="Y422" i="13" s="1"/>
  <c r="Z424" i="13"/>
  <c r="Q424" i="13"/>
  <c r="Y424" i="13" s="1"/>
  <c r="Z426" i="13"/>
  <c r="Q426" i="13"/>
  <c r="Y426" i="13" s="1"/>
  <c r="Z428" i="13"/>
  <c r="Q428" i="13"/>
  <c r="Y428" i="13" s="1"/>
  <c r="Z430" i="13"/>
  <c r="Q430" i="13"/>
  <c r="Y430" i="13" s="1"/>
  <c r="Z432" i="13"/>
  <c r="Q432" i="13"/>
  <c r="Y432" i="13" s="1"/>
  <c r="Z434" i="13"/>
  <c r="Q434" i="13"/>
  <c r="Y434" i="13" s="1"/>
  <c r="Z436" i="13"/>
  <c r="Q436" i="13"/>
  <c r="Y436" i="13" s="1"/>
  <c r="Z438" i="13"/>
  <c r="Q438" i="13"/>
  <c r="Y438" i="13" s="1"/>
  <c r="Z440" i="13"/>
  <c r="Q440" i="13"/>
  <c r="Y440" i="13" s="1"/>
  <c r="Z442" i="13"/>
  <c r="Q442" i="13"/>
  <c r="Y442" i="13" s="1"/>
  <c r="Z444" i="13"/>
  <c r="Q444" i="13"/>
  <c r="Y444" i="13" s="1"/>
  <c r="Z446" i="13"/>
  <c r="Q446" i="13"/>
  <c r="Y446" i="13" s="1"/>
  <c r="Z448" i="13"/>
  <c r="Q448" i="13"/>
  <c r="Y448" i="13" s="1"/>
  <c r="Z450" i="13"/>
  <c r="Q450" i="13"/>
  <c r="Y450" i="13" s="1"/>
  <c r="Z452" i="13"/>
  <c r="Q452" i="13"/>
  <c r="Y452" i="13" s="1"/>
  <c r="Z454" i="13"/>
  <c r="Q454" i="13"/>
  <c r="Y454" i="13" s="1"/>
  <c r="Z456" i="13"/>
  <c r="Q456" i="13"/>
  <c r="Y456" i="13" s="1"/>
  <c r="Z458" i="13"/>
  <c r="Q458" i="13"/>
  <c r="Y458" i="13" s="1"/>
  <c r="Z460" i="13"/>
  <c r="Q460" i="13"/>
  <c r="Y460" i="13" s="1"/>
  <c r="Z462" i="13"/>
  <c r="Q462" i="13"/>
  <c r="Y462" i="13" s="1"/>
  <c r="Z464" i="13"/>
  <c r="Q464" i="13"/>
  <c r="Y464" i="13" s="1"/>
  <c r="Z466" i="13"/>
  <c r="Q466" i="13"/>
  <c r="Y466" i="13" s="1"/>
  <c r="Z468" i="13"/>
  <c r="Q468" i="13"/>
  <c r="Y468" i="13" s="1"/>
  <c r="Z470" i="13"/>
  <c r="Q470" i="13"/>
  <c r="Y470" i="13" s="1"/>
  <c r="Z472" i="13"/>
  <c r="Q472" i="13"/>
  <c r="Y472" i="13" s="1"/>
  <c r="Z474" i="13"/>
  <c r="Q474" i="13"/>
  <c r="Y474" i="13" s="1"/>
  <c r="Z476" i="13"/>
  <c r="Q476" i="13"/>
  <c r="Y476" i="13" s="1"/>
  <c r="Z478" i="13"/>
  <c r="Q478" i="13"/>
  <c r="Y478" i="13" s="1"/>
  <c r="Z480" i="13"/>
  <c r="Q480" i="13"/>
  <c r="Y480" i="13" s="1"/>
  <c r="Z482" i="13"/>
  <c r="Q482" i="13"/>
  <c r="Y482" i="13" s="1"/>
  <c r="Z484" i="13"/>
  <c r="Q484" i="13"/>
  <c r="Y484" i="13" s="1"/>
  <c r="Z486" i="13"/>
  <c r="Q486" i="13"/>
  <c r="Y486" i="13" s="1"/>
  <c r="Z488" i="13"/>
  <c r="Q488" i="13"/>
  <c r="Y488" i="13" s="1"/>
  <c r="Z490" i="13"/>
  <c r="Q490" i="13"/>
  <c r="Y490" i="13" s="1"/>
  <c r="Z492" i="13"/>
  <c r="Q492" i="13"/>
  <c r="Y492" i="13" s="1"/>
  <c r="Z494" i="13"/>
  <c r="Q494" i="13"/>
  <c r="Y494" i="13" s="1"/>
  <c r="Z496" i="13"/>
  <c r="Q496" i="13"/>
  <c r="Y496" i="13" s="1"/>
  <c r="Z498" i="13"/>
  <c r="Q498" i="13"/>
  <c r="Y498" i="13" s="1"/>
  <c r="Z500" i="13"/>
  <c r="Q500" i="13"/>
  <c r="Y500" i="13" s="1"/>
  <c r="Z502" i="13"/>
  <c r="Q502" i="13"/>
  <c r="Y502" i="13" s="1"/>
  <c r="Z504" i="13"/>
  <c r="Q504" i="13"/>
  <c r="Y504" i="13" s="1"/>
  <c r="Z506" i="13"/>
  <c r="Q506" i="13"/>
  <c r="Y506" i="13" s="1"/>
  <c r="Z508" i="13"/>
  <c r="Q508" i="13"/>
  <c r="Y508" i="13" s="1"/>
  <c r="Z510" i="13"/>
  <c r="Q510" i="13"/>
  <c r="Y510" i="13" s="1"/>
  <c r="Z512" i="13"/>
  <c r="Q512" i="13"/>
  <c r="Y512" i="13" s="1"/>
  <c r="Z514" i="13"/>
  <c r="Q514" i="13"/>
  <c r="Y514" i="13" s="1"/>
  <c r="Z516" i="13"/>
  <c r="Q516" i="13"/>
  <c r="Y516" i="13" s="1"/>
  <c r="Z518" i="13"/>
  <c r="Q518" i="13"/>
  <c r="Y518" i="13" s="1"/>
  <c r="Z520" i="13"/>
  <c r="Q520" i="13"/>
  <c r="Y520" i="13" s="1"/>
  <c r="Z522" i="13"/>
  <c r="Q522" i="13"/>
  <c r="Y522" i="13" s="1"/>
  <c r="Z524" i="13"/>
  <c r="Q524" i="13"/>
  <c r="Y524" i="13" s="1"/>
  <c r="Z526" i="13"/>
  <c r="Q526" i="13"/>
  <c r="Y526" i="13" s="1"/>
  <c r="Z528" i="13"/>
  <c r="Q528" i="13"/>
  <c r="Y528" i="13" s="1"/>
  <c r="Z530" i="13"/>
  <c r="Q530" i="13"/>
  <c r="Y530" i="13" s="1"/>
  <c r="Z532" i="13"/>
  <c r="Q532" i="13"/>
  <c r="Y532" i="13" s="1"/>
  <c r="Z534" i="13"/>
  <c r="Q534" i="13"/>
  <c r="Y534" i="13" s="1"/>
  <c r="Z536" i="13"/>
  <c r="Q536" i="13"/>
  <c r="Y536" i="13" s="1"/>
  <c r="Z538" i="13"/>
  <c r="Q538" i="13"/>
  <c r="Y538" i="13" s="1"/>
  <c r="Z540" i="13"/>
  <c r="Q540" i="13"/>
  <c r="Y540" i="13" s="1"/>
  <c r="Z542" i="13"/>
  <c r="Q542" i="13"/>
  <c r="Y542" i="13" s="1"/>
  <c r="Z543" i="13"/>
  <c r="Q543" i="13"/>
  <c r="Y543" i="13" s="1"/>
  <c r="Z544" i="13"/>
  <c r="Q544" i="13"/>
  <c r="Y544" i="13" s="1"/>
  <c r="Z11" i="13"/>
  <c r="Q11" i="13"/>
  <c r="Y11" i="13" s="1"/>
  <c r="Z15" i="13"/>
  <c r="Q15" i="13"/>
  <c r="Y15" i="13" s="1"/>
  <c r="Z19" i="13"/>
  <c r="Q19" i="13"/>
  <c r="Y19" i="13" s="1"/>
  <c r="Z23" i="13"/>
  <c r="Q23" i="13"/>
  <c r="Y23" i="13" s="1"/>
  <c r="Z27" i="13"/>
  <c r="Q27" i="13"/>
  <c r="Y27" i="13" s="1"/>
  <c r="Z31" i="13"/>
  <c r="AH31" i="13" s="1"/>
  <c r="Q31" i="13"/>
  <c r="Y31" i="13" s="1"/>
  <c r="Z35" i="13"/>
  <c r="Q35" i="13"/>
  <c r="Y35" i="13" s="1"/>
  <c r="Z39" i="13"/>
  <c r="Q39" i="13"/>
  <c r="Y39" i="13" s="1"/>
  <c r="Z43" i="13"/>
  <c r="Q43" i="13"/>
  <c r="Y43" i="13" s="1"/>
  <c r="Z47" i="13"/>
  <c r="Q47" i="13"/>
  <c r="Y47" i="13" s="1"/>
  <c r="Z51" i="13"/>
  <c r="Q51" i="13"/>
  <c r="Y51" i="13" s="1"/>
  <c r="Z55" i="13"/>
  <c r="Q55" i="13"/>
  <c r="Y55" i="13" s="1"/>
  <c r="Z59" i="13"/>
  <c r="Q59" i="13"/>
  <c r="Y59" i="13" s="1"/>
  <c r="Z63" i="13"/>
  <c r="Q63" i="13"/>
  <c r="Y63" i="13" s="1"/>
  <c r="Z67" i="13"/>
  <c r="Q67" i="13"/>
  <c r="Y67" i="13" s="1"/>
  <c r="Z71" i="13"/>
  <c r="Q71" i="13"/>
  <c r="Y71" i="13" s="1"/>
  <c r="Z75" i="13"/>
  <c r="Q75" i="13"/>
  <c r="Y75" i="13" s="1"/>
  <c r="Z79" i="13"/>
  <c r="AH79" i="13" s="1"/>
  <c r="Q79" i="13"/>
  <c r="Y79" i="13" s="1"/>
  <c r="Z83" i="13"/>
  <c r="Q83" i="13"/>
  <c r="Y83" i="13" s="1"/>
  <c r="Z87" i="13"/>
  <c r="Q87" i="13"/>
  <c r="Y87" i="13" s="1"/>
  <c r="Z89" i="13"/>
  <c r="Q89" i="13"/>
  <c r="Y89" i="13" s="1"/>
  <c r="Z91" i="13"/>
  <c r="Q91" i="13"/>
  <c r="Y91" i="13" s="1"/>
  <c r="Z93" i="13"/>
  <c r="Q93" i="13"/>
  <c r="Y93" i="13" s="1"/>
  <c r="Z95" i="13"/>
  <c r="Q95" i="13"/>
  <c r="Y95" i="13" s="1"/>
  <c r="Z97" i="13"/>
  <c r="Q97" i="13"/>
  <c r="Y97" i="13" s="1"/>
  <c r="Z99" i="13"/>
  <c r="Q99" i="13"/>
  <c r="Y99" i="13" s="1"/>
  <c r="Z101" i="13"/>
  <c r="Q101" i="13"/>
  <c r="Y101" i="13" s="1"/>
  <c r="Z103" i="13"/>
  <c r="Q103" i="13"/>
  <c r="Y103" i="13" s="1"/>
  <c r="Z105" i="13"/>
  <c r="Q105" i="13"/>
  <c r="Y105" i="13" s="1"/>
  <c r="Z107" i="13"/>
  <c r="Q107" i="13"/>
  <c r="Y107" i="13" s="1"/>
  <c r="Z109" i="13"/>
  <c r="Q109" i="13"/>
  <c r="Y109" i="13" s="1"/>
  <c r="Z111" i="13"/>
  <c r="Q111" i="13"/>
  <c r="Y111" i="13" s="1"/>
  <c r="Z113" i="13"/>
  <c r="Q113" i="13"/>
  <c r="Y113" i="13" s="1"/>
  <c r="Z115" i="13"/>
  <c r="Q115" i="13"/>
  <c r="Y115" i="13" s="1"/>
  <c r="Z117" i="13"/>
  <c r="Q117" i="13"/>
  <c r="Y117" i="13" s="1"/>
  <c r="Z119" i="13"/>
  <c r="Q119" i="13"/>
  <c r="Y119" i="13" s="1"/>
  <c r="Z121" i="13"/>
  <c r="Q121" i="13"/>
  <c r="Y121" i="13" s="1"/>
  <c r="Z123" i="13"/>
  <c r="Q123" i="13"/>
  <c r="Y123" i="13" s="1"/>
  <c r="Z125" i="13"/>
  <c r="Q125" i="13"/>
  <c r="Y125" i="13" s="1"/>
  <c r="Z127" i="13"/>
  <c r="Q127" i="13"/>
  <c r="Y127" i="13" s="1"/>
  <c r="Z129" i="13"/>
  <c r="Q129" i="13"/>
  <c r="Y129" i="13" s="1"/>
  <c r="Z131" i="13"/>
  <c r="Q131" i="13"/>
  <c r="Y131" i="13" s="1"/>
  <c r="Z133" i="13"/>
  <c r="Q133" i="13"/>
  <c r="Y133" i="13" s="1"/>
  <c r="Z135" i="13"/>
  <c r="Q135" i="13"/>
  <c r="Y135" i="13" s="1"/>
  <c r="Z137" i="13"/>
  <c r="Q137" i="13"/>
  <c r="Y137" i="13" s="1"/>
  <c r="Z139" i="13"/>
  <c r="Q139" i="13"/>
  <c r="Y139" i="13" s="1"/>
  <c r="Z141" i="13"/>
  <c r="Q141" i="13"/>
  <c r="Y141" i="13" s="1"/>
  <c r="Z143" i="13"/>
  <c r="Q143" i="13"/>
  <c r="Y143" i="13" s="1"/>
  <c r="Z145" i="13"/>
  <c r="Q145" i="13"/>
  <c r="Y145" i="13" s="1"/>
  <c r="Z147" i="13"/>
  <c r="Q147" i="13"/>
  <c r="Y147" i="13" s="1"/>
  <c r="Z149" i="13"/>
  <c r="Q149" i="13"/>
  <c r="Y149" i="13" s="1"/>
  <c r="Z151" i="13"/>
  <c r="Q151" i="13"/>
  <c r="Y151" i="13" s="1"/>
  <c r="Z153" i="13"/>
  <c r="Q153" i="13"/>
  <c r="Y153" i="13" s="1"/>
  <c r="Z155" i="13"/>
  <c r="Q155" i="13"/>
  <c r="Y155" i="13" s="1"/>
  <c r="Z157" i="13"/>
  <c r="Q157" i="13"/>
  <c r="Y157" i="13" s="1"/>
  <c r="Z159" i="13"/>
  <c r="Q159" i="13"/>
  <c r="Y159" i="13" s="1"/>
  <c r="Z161" i="13"/>
  <c r="Q161" i="13"/>
  <c r="Y161" i="13" s="1"/>
  <c r="Z163" i="13"/>
  <c r="Q163" i="13"/>
  <c r="Y163" i="13" s="1"/>
  <c r="Z165" i="13"/>
  <c r="Q165" i="13"/>
  <c r="Y165" i="13" s="1"/>
  <c r="Z167" i="13"/>
  <c r="Q167" i="13"/>
  <c r="Y167" i="13" s="1"/>
  <c r="Z169" i="13"/>
  <c r="Q169" i="13"/>
  <c r="Y169" i="13" s="1"/>
  <c r="Z171" i="13"/>
  <c r="Q171" i="13"/>
  <c r="Y171" i="13" s="1"/>
  <c r="Z173" i="13"/>
  <c r="Q173" i="13"/>
  <c r="Y173" i="13" s="1"/>
  <c r="Z175" i="13"/>
  <c r="Q175" i="13"/>
  <c r="Y175" i="13" s="1"/>
  <c r="Z177" i="13"/>
  <c r="Q177" i="13"/>
  <c r="Y177" i="13" s="1"/>
  <c r="Z179" i="13"/>
  <c r="Q179" i="13"/>
  <c r="Y179" i="13" s="1"/>
  <c r="Z181" i="13"/>
  <c r="Q181" i="13"/>
  <c r="Y181" i="13" s="1"/>
  <c r="Z183" i="13"/>
  <c r="Q183" i="13"/>
  <c r="Y183" i="13" s="1"/>
  <c r="Z185" i="13"/>
  <c r="Q185" i="13"/>
  <c r="Y185" i="13" s="1"/>
  <c r="Z187" i="13"/>
  <c r="Q187" i="13"/>
  <c r="Y187" i="13" s="1"/>
  <c r="Z189" i="13"/>
  <c r="Q189" i="13"/>
  <c r="Y189" i="13" s="1"/>
  <c r="Z191" i="13"/>
  <c r="Q191" i="13"/>
  <c r="Y191" i="13" s="1"/>
  <c r="Z193" i="13"/>
  <c r="Q193" i="13"/>
  <c r="Y193" i="13" s="1"/>
  <c r="Z195" i="13"/>
  <c r="Q195" i="13"/>
  <c r="Y195" i="13" s="1"/>
  <c r="Z197" i="13"/>
  <c r="Q197" i="13"/>
  <c r="Y197" i="13" s="1"/>
  <c r="Z199" i="13"/>
  <c r="Q199" i="13"/>
  <c r="Y199" i="13" s="1"/>
  <c r="Z201" i="13"/>
  <c r="Q201" i="13"/>
  <c r="Y201" i="13" s="1"/>
  <c r="Z203" i="13"/>
  <c r="Q203" i="13"/>
  <c r="Y203" i="13" s="1"/>
  <c r="Z205" i="13"/>
  <c r="Q205" i="13"/>
  <c r="Y205" i="13" s="1"/>
  <c r="Z207" i="13"/>
  <c r="Q207" i="13"/>
  <c r="Y207" i="13" s="1"/>
  <c r="Z209" i="13"/>
  <c r="Q209" i="13"/>
  <c r="Y209" i="13" s="1"/>
  <c r="Z211" i="13"/>
  <c r="Q211" i="13"/>
  <c r="Y211" i="13" s="1"/>
  <c r="Z213" i="13"/>
  <c r="Q213" i="13"/>
  <c r="Y213" i="13" s="1"/>
  <c r="Z215" i="13"/>
  <c r="Q215" i="13"/>
  <c r="Y215" i="13" s="1"/>
  <c r="Z217" i="13"/>
  <c r="Q217" i="13"/>
  <c r="Y217" i="13" s="1"/>
  <c r="Z219" i="13"/>
  <c r="Q219" i="13"/>
  <c r="Y219" i="13" s="1"/>
  <c r="Z221" i="13"/>
  <c r="Q221" i="13"/>
  <c r="Y221" i="13" s="1"/>
  <c r="Z223" i="13"/>
  <c r="Q223" i="13"/>
  <c r="Y223" i="13" s="1"/>
  <c r="Z225" i="13"/>
  <c r="Q225" i="13"/>
  <c r="Y225" i="13" s="1"/>
  <c r="Z227" i="13"/>
  <c r="Q227" i="13"/>
  <c r="Y227" i="13" s="1"/>
  <c r="Z229" i="13"/>
  <c r="Q229" i="13"/>
  <c r="Y229" i="13" s="1"/>
  <c r="Z231" i="13"/>
  <c r="Q231" i="13"/>
  <c r="Y231" i="13" s="1"/>
  <c r="Z233" i="13"/>
  <c r="Q233" i="13"/>
  <c r="Y233" i="13" s="1"/>
  <c r="Z235" i="13"/>
  <c r="Q235" i="13"/>
  <c r="Y235" i="13" s="1"/>
  <c r="Z237" i="13"/>
  <c r="Q237" i="13"/>
  <c r="Y237" i="13" s="1"/>
  <c r="Z239" i="13"/>
  <c r="Q239" i="13"/>
  <c r="Y239" i="13" s="1"/>
  <c r="Z241" i="13"/>
  <c r="Q241" i="13"/>
  <c r="Y241" i="13" s="1"/>
  <c r="Z243" i="13"/>
  <c r="Q243" i="13"/>
  <c r="Y243" i="13" s="1"/>
  <c r="Z245" i="13"/>
  <c r="Q245" i="13"/>
  <c r="Y245" i="13" s="1"/>
  <c r="Z247" i="13"/>
  <c r="Q247" i="13"/>
  <c r="Y247" i="13" s="1"/>
  <c r="Z249" i="13"/>
  <c r="Q249" i="13"/>
  <c r="Y249" i="13" s="1"/>
  <c r="Z251" i="13"/>
  <c r="Q251" i="13"/>
  <c r="Y251" i="13" s="1"/>
  <c r="Z253" i="13"/>
  <c r="Q253" i="13"/>
  <c r="Y253" i="13" s="1"/>
  <c r="Z255" i="13"/>
  <c r="Q255" i="13"/>
  <c r="Y255" i="13" s="1"/>
  <c r="Z257" i="13"/>
  <c r="Q257" i="13"/>
  <c r="Y257" i="13" s="1"/>
  <c r="Z259" i="13"/>
  <c r="Q259" i="13"/>
  <c r="Y259" i="13" s="1"/>
  <c r="Z261" i="13"/>
  <c r="Q261" i="13"/>
  <c r="Y261" i="13" s="1"/>
  <c r="Z263" i="13"/>
  <c r="Q263" i="13"/>
  <c r="Y263" i="13" s="1"/>
  <c r="Z265" i="13"/>
  <c r="Q265" i="13"/>
  <c r="Y265" i="13" s="1"/>
  <c r="Z267" i="13"/>
  <c r="Q267" i="13"/>
  <c r="Y267" i="13" s="1"/>
  <c r="Z271" i="13"/>
  <c r="Q271" i="13"/>
  <c r="Y271" i="13" s="1"/>
  <c r="Z275" i="13"/>
  <c r="Q275" i="13"/>
  <c r="Y275" i="13" s="1"/>
  <c r="Z279" i="13"/>
  <c r="Q279" i="13"/>
  <c r="Y279" i="13" s="1"/>
  <c r="Z283" i="13"/>
  <c r="Q283" i="13"/>
  <c r="Y283" i="13" s="1"/>
  <c r="Z287" i="13"/>
  <c r="Q287" i="13"/>
  <c r="Y287" i="13" s="1"/>
  <c r="Z291" i="13"/>
  <c r="Q291" i="13"/>
  <c r="Y291" i="13" s="1"/>
  <c r="Z295" i="13"/>
  <c r="Q295" i="13"/>
  <c r="Y295" i="13" s="1"/>
  <c r="Z299" i="13"/>
  <c r="Q299" i="13"/>
  <c r="Y299" i="13" s="1"/>
  <c r="Z303" i="13"/>
  <c r="Q303" i="13"/>
  <c r="Y303" i="13" s="1"/>
  <c r="Z307" i="13"/>
  <c r="Q307" i="13"/>
  <c r="Y307" i="13" s="1"/>
  <c r="Z311" i="13"/>
  <c r="Q311" i="13"/>
  <c r="Y311" i="13" s="1"/>
  <c r="Z315" i="13"/>
  <c r="Q315" i="13"/>
  <c r="Y315" i="13" s="1"/>
  <c r="Z319" i="13"/>
  <c r="Q319" i="13"/>
  <c r="Y319" i="13" s="1"/>
  <c r="Z323" i="13"/>
  <c r="Q323" i="13"/>
  <c r="Y323" i="13" s="1"/>
  <c r="Z327" i="13"/>
  <c r="Q327" i="13"/>
  <c r="Y327" i="13" s="1"/>
  <c r="Z331" i="13"/>
  <c r="AH331" i="13" s="1"/>
  <c r="Q331" i="13"/>
  <c r="Y331" i="13" s="1"/>
  <c r="Z335" i="13"/>
  <c r="Q335" i="13"/>
  <c r="Y335" i="13" s="1"/>
  <c r="Z339" i="13"/>
  <c r="Q339" i="13"/>
  <c r="Y339" i="13" s="1"/>
  <c r="Z343" i="13"/>
  <c r="Q343" i="13"/>
  <c r="Y343" i="13" s="1"/>
  <c r="Z347" i="13"/>
  <c r="Q347" i="13"/>
  <c r="Y347" i="13" s="1"/>
  <c r="Z351" i="13"/>
  <c r="Q351" i="13"/>
  <c r="Y351" i="13" s="1"/>
  <c r="Z355" i="13"/>
  <c r="Q355" i="13"/>
  <c r="Y355" i="13" s="1"/>
  <c r="Z359" i="13"/>
  <c r="Q359" i="13"/>
  <c r="Y359" i="13" s="1"/>
  <c r="Z363" i="13"/>
  <c r="Q363" i="13"/>
  <c r="Y363" i="13" s="1"/>
  <c r="Z367" i="13"/>
  <c r="Q367" i="13"/>
  <c r="Y367" i="13" s="1"/>
  <c r="Z371" i="13"/>
  <c r="Q371" i="13"/>
  <c r="Y371" i="13" s="1"/>
  <c r="Z375" i="13"/>
  <c r="Q375" i="13"/>
  <c r="Y375" i="13" s="1"/>
  <c r="Z379" i="13"/>
  <c r="Q379" i="13"/>
  <c r="Y379" i="13" s="1"/>
  <c r="Z383" i="13"/>
  <c r="Q383" i="13"/>
  <c r="Y383" i="13" s="1"/>
  <c r="Z387" i="13"/>
  <c r="AH387" i="13" s="1"/>
  <c r="Q387" i="13"/>
  <c r="Y387" i="13" s="1"/>
  <c r="Z391" i="13"/>
  <c r="Q391" i="13"/>
  <c r="Y391" i="13" s="1"/>
  <c r="Z395" i="13"/>
  <c r="Q395" i="13"/>
  <c r="Y395" i="13" s="1"/>
  <c r="Z399" i="13"/>
  <c r="Q399" i="13"/>
  <c r="Y399" i="13" s="1"/>
  <c r="Z403" i="13"/>
  <c r="Q403" i="13"/>
  <c r="Y403" i="13" s="1"/>
  <c r="Z407" i="13"/>
  <c r="Q407" i="13"/>
  <c r="Y407" i="13" s="1"/>
  <c r="Z411" i="13"/>
  <c r="Q411" i="13"/>
  <c r="Y411" i="13" s="1"/>
  <c r="Z415" i="13"/>
  <c r="Q415" i="13"/>
  <c r="Y415" i="13" s="1"/>
  <c r="Z419" i="13"/>
  <c r="AH419" i="13" s="1"/>
  <c r="Q419" i="13"/>
  <c r="Y419" i="13" s="1"/>
  <c r="Z423" i="13"/>
  <c r="Q423" i="13"/>
  <c r="Y423" i="13" s="1"/>
  <c r="Z427" i="13"/>
  <c r="Q427" i="13"/>
  <c r="Y427" i="13" s="1"/>
  <c r="Z431" i="13"/>
  <c r="Q431" i="13"/>
  <c r="Y431" i="13" s="1"/>
  <c r="Z435" i="13"/>
  <c r="Q435" i="13"/>
  <c r="Y435" i="13" s="1"/>
  <c r="Z439" i="13"/>
  <c r="Q439" i="13"/>
  <c r="Y439" i="13" s="1"/>
  <c r="Z443" i="13"/>
  <c r="Q443" i="13"/>
  <c r="Y443" i="13" s="1"/>
  <c r="Z447" i="13"/>
  <c r="Q447" i="13"/>
  <c r="Y447" i="13" s="1"/>
  <c r="Z451" i="13"/>
  <c r="Q451" i="13"/>
  <c r="Y451" i="13" s="1"/>
  <c r="Z455" i="13"/>
  <c r="Q455" i="13"/>
  <c r="Y455" i="13" s="1"/>
  <c r="Z459" i="13"/>
  <c r="Q459" i="13"/>
  <c r="Y459" i="13" s="1"/>
  <c r="Z463" i="13"/>
  <c r="Q463" i="13"/>
  <c r="Y463" i="13" s="1"/>
  <c r="Z467" i="13"/>
  <c r="Q467" i="13"/>
  <c r="Y467" i="13" s="1"/>
  <c r="Z471" i="13"/>
  <c r="Q471" i="13"/>
  <c r="Y471" i="13" s="1"/>
  <c r="Z475" i="13"/>
  <c r="Q475" i="13"/>
  <c r="Y475" i="13" s="1"/>
  <c r="Z479" i="13"/>
  <c r="Q479" i="13"/>
  <c r="Y479" i="13" s="1"/>
  <c r="Z483" i="13"/>
  <c r="AH483" i="13" s="1"/>
  <c r="Q483" i="13"/>
  <c r="Y483" i="13" s="1"/>
  <c r="Z487" i="13"/>
  <c r="Q487" i="13"/>
  <c r="Y487" i="13" s="1"/>
  <c r="Z491" i="13"/>
  <c r="AH491" i="13" s="1"/>
  <c r="Q491" i="13"/>
  <c r="Y491" i="13" s="1"/>
  <c r="Z495" i="13"/>
  <c r="Q495" i="13"/>
  <c r="Y495" i="13" s="1"/>
  <c r="Z499" i="13"/>
  <c r="Q499" i="13"/>
  <c r="Y499" i="13" s="1"/>
  <c r="Z503" i="13"/>
  <c r="Q503" i="13"/>
  <c r="Y503" i="13" s="1"/>
  <c r="Z507" i="13"/>
  <c r="AH507" i="13" s="1"/>
  <c r="Q507" i="13"/>
  <c r="Y507" i="13" s="1"/>
  <c r="Z511" i="13"/>
  <c r="Q511" i="13"/>
  <c r="Y511" i="13" s="1"/>
  <c r="Z515" i="13"/>
  <c r="Q515" i="13"/>
  <c r="Y515" i="13" s="1"/>
  <c r="Z521" i="13"/>
  <c r="Q521" i="13"/>
  <c r="Y521" i="13" s="1"/>
  <c r="Z525" i="13"/>
  <c r="Q525" i="13"/>
  <c r="Y525" i="13" s="1"/>
  <c r="Z529" i="13"/>
  <c r="Q529" i="13"/>
  <c r="Y529" i="13" s="1"/>
  <c r="Z533" i="13"/>
  <c r="Q533" i="13"/>
  <c r="Y533" i="13" s="1"/>
  <c r="Z537" i="13"/>
  <c r="Q537" i="13"/>
  <c r="Y537" i="13" s="1"/>
  <c r="Z541" i="13"/>
  <c r="Q541" i="13"/>
  <c r="Y541" i="13" s="1"/>
  <c r="Z545" i="13"/>
  <c r="Q545" i="13"/>
  <c r="Y545" i="13" s="1"/>
  <c r="Z546" i="13"/>
  <c r="Q546" i="13"/>
  <c r="Y546" i="13" s="1"/>
  <c r="Z547" i="13"/>
  <c r="Q547" i="13"/>
  <c r="Y547" i="13" s="1"/>
  <c r="Z548" i="13"/>
  <c r="Q548" i="13"/>
  <c r="Y548" i="13" s="1"/>
  <c r="P490" i="13"/>
  <c r="P155" i="13"/>
  <c r="AH339" i="13"/>
  <c r="AQ490" i="13"/>
  <c r="AZ491" i="13"/>
  <c r="P18" i="13"/>
  <c r="AH19" i="13"/>
  <c r="P422" i="13"/>
  <c r="AH423" i="13"/>
  <c r="P454" i="13"/>
  <c r="AH455" i="13"/>
  <c r="P482" i="13"/>
  <c r="P66" i="13"/>
  <c r="AH67" i="13"/>
  <c r="P26" i="13"/>
  <c r="AH27" i="13"/>
  <c r="P30" i="13"/>
  <c r="AZ36" i="13"/>
  <c r="AQ143" i="13"/>
  <c r="P215" i="13"/>
  <c r="AH216" i="13"/>
  <c r="P245" i="13"/>
  <c r="P270" i="13"/>
  <c r="AH271" i="13"/>
  <c r="P532" i="13"/>
  <c r="AZ156" i="13"/>
  <c r="AZ246" i="13"/>
  <c r="AZ262" i="13"/>
  <c r="AZ319" i="13"/>
  <c r="AQ422" i="13"/>
  <c r="N3" i="13"/>
  <c r="AQ50" i="13"/>
  <c r="AQ66" i="13"/>
  <c r="AQ95" i="13"/>
  <c r="AH96" i="13"/>
  <c r="P111" i="13"/>
  <c r="AH112" i="13"/>
  <c r="AZ121" i="13"/>
  <c r="P127" i="13"/>
  <c r="AQ257" i="13"/>
  <c r="AQ261" i="13"/>
  <c r="AQ338" i="13"/>
  <c r="AQ382" i="13"/>
  <c r="AQ390" i="13"/>
  <c r="AQ498" i="13"/>
  <c r="AQ506" i="13"/>
  <c r="AH533" i="13"/>
  <c r="P50" i="13"/>
  <c r="AQ111" i="13"/>
  <c r="AQ127" i="13"/>
  <c r="AQ179" i="13"/>
  <c r="AQ187" i="13"/>
  <c r="AZ188" i="13"/>
  <c r="AQ219" i="13"/>
  <c r="P261" i="13"/>
  <c r="AH262" i="13"/>
  <c r="AQ270" i="13"/>
  <c r="AQ274" i="13"/>
  <c r="AH279" i="13"/>
  <c r="P294" i="13"/>
  <c r="AH295" i="13"/>
  <c r="AH327" i="13"/>
  <c r="P330" i="13"/>
  <c r="P390" i="13"/>
  <c r="AH391" i="13"/>
  <c r="P406" i="13"/>
  <c r="AH407" i="13"/>
  <c r="P414" i="13"/>
  <c r="AH415" i="13"/>
  <c r="P418" i="13"/>
  <c r="AZ423" i="13"/>
  <c r="AZ424" i="13"/>
  <c r="AQ454" i="13"/>
  <c r="AQ470" i="13"/>
  <c r="AZ516" i="13"/>
  <c r="AQ520" i="13"/>
  <c r="AQ528" i="13"/>
  <c r="AQ532" i="13"/>
  <c r="AQ540" i="13"/>
  <c r="AV6" i="13"/>
  <c r="AZ189" i="13"/>
  <c r="P253" i="13"/>
  <c r="AZ263" i="13"/>
  <c r="AQ38" i="13"/>
  <c r="AQ42" i="13"/>
  <c r="AQ46" i="13"/>
  <c r="AQ58" i="13"/>
  <c r="P74" i="13"/>
  <c r="AH75" i="13"/>
  <c r="P78" i="13"/>
  <c r="AZ84" i="13"/>
  <c r="P95" i="13"/>
  <c r="AQ107" i="13"/>
  <c r="P115" i="13"/>
  <c r="AQ135" i="13"/>
  <c r="AQ171" i="13"/>
  <c r="P183" i="13"/>
  <c r="AH184" i="13"/>
  <c r="P203" i="13"/>
  <c r="P237" i="13"/>
  <c r="AQ241" i="13"/>
  <c r="P318" i="13"/>
  <c r="AQ326" i="13"/>
  <c r="P342" i="13"/>
  <c r="AH343" i="13"/>
  <c r="AQ353" i="13"/>
  <c r="AQ430" i="13"/>
  <c r="AQ438" i="13"/>
  <c r="AQ446" i="13"/>
  <c r="P147" i="13"/>
  <c r="AZ157" i="13"/>
  <c r="AH254" i="13"/>
  <c r="AV3" i="13"/>
  <c r="AQ18" i="13"/>
  <c r="AH51" i="13"/>
  <c r="P58" i="13"/>
  <c r="AH59" i="13"/>
  <c r="P62" i="13"/>
  <c r="AH63" i="13"/>
  <c r="AZ67" i="13"/>
  <c r="AZ68" i="13"/>
  <c r="AQ99" i="13"/>
  <c r="AH104" i="13"/>
  <c r="P107" i="13"/>
  <c r="AH108" i="13"/>
  <c r="AZ112" i="13"/>
  <c r="AZ113" i="13"/>
  <c r="P123" i="13"/>
  <c r="P135" i="13"/>
  <c r="P139" i="13"/>
  <c r="AH140" i="13"/>
  <c r="P171" i="13"/>
  <c r="AH172" i="13"/>
  <c r="P211" i="13"/>
  <c r="AZ220" i="13"/>
  <c r="AZ221" i="13"/>
  <c r="AQ245" i="13"/>
  <c r="P266" i="13"/>
  <c r="AH267" i="13"/>
  <c r="AZ271" i="13"/>
  <c r="AZ272" i="13"/>
  <c r="AH367" i="13"/>
  <c r="AQ406" i="13"/>
  <c r="P438" i="13"/>
  <c r="AH439" i="13"/>
  <c r="P450" i="13"/>
  <c r="AH451" i="13"/>
  <c r="AZ455" i="13"/>
  <c r="AZ456" i="13"/>
  <c r="H3" i="13"/>
  <c r="P257" i="13"/>
  <c r="AZ296" i="13"/>
  <c r="AZ348" i="13"/>
  <c r="AH375" i="13"/>
  <c r="P386" i="13"/>
  <c r="AZ391" i="13"/>
  <c r="AZ392" i="13"/>
  <c r="P506" i="13"/>
  <c r="P510" i="13"/>
  <c r="AH511" i="13"/>
  <c r="P524" i="13"/>
  <c r="AD3" i="13"/>
  <c r="BA3" i="13"/>
  <c r="AD6" i="13"/>
  <c r="M3" i="13"/>
  <c r="AQ26" i="13"/>
  <c r="P42" i="13"/>
  <c r="AH43" i="13"/>
  <c r="P46" i="13"/>
  <c r="AH47" i="13"/>
  <c r="AZ51" i="13"/>
  <c r="AZ52" i="13"/>
  <c r="P91" i="13"/>
  <c r="AH92" i="13"/>
  <c r="AZ96" i="13"/>
  <c r="AZ97" i="13"/>
  <c r="AQ103" i="13"/>
  <c r="AQ131" i="13"/>
  <c r="AH136" i="13"/>
  <c r="P143" i="13"/>
  <c r="AH148" i="13"/>
  <c r="P151" i="13"/>
  <c r="AH152" i="13"/>
  <c r="AH204" i="13"/>
  <c r="AH220" i="13"/>
  <c r="AQ249" i="13"/>
  <c r="P470" i="13"/>
  <c r="AH471" i="13"/>
  <c r="AI3" i="13"/>
  <c r="BF3" i="13"/>
  <c r="AR6" i="13"/>
  <c r="AY3" i="13"/>
  <c r="AQ14" i="13"/>
  <c r="P34" i="13"/>
  <c r="AQ34" i="13"/>
  <c r="AH35" i="13"/>
  <c r="AZ35" i="13"/>
  <c r="AQ70" i="13"/>
  <c r="AQ74" i="13"/>
  <c r="AQ78" i="13"/>
  <c r="P103" i="13"/>
  <c r="AH128" i="13"/>
  <c r="AZ136" i="13"/>
  <c r="P179" i="13"/>
  <c r="AQ237" i="13"/>
  <c r="AQ253" i="13"/>
  <c r="AQ286" i="13"/>
  <c r="AO3" i="13"/>
  <c r="AG3" i="13"/>
  <c r="AH11" i="13"/>
  <c r="P14" i="13"/>
  <c r="AH15" i="13"/>
  <c r="AZ19" i="13"/>
  <c r="AZ20" i="13"/>
  <c r="P82" i="13"/>
  <c r="AQ82" i="13"/>
  <c r="AH83" i="13"/>
  <c r="AZ83" i="13"/>
  <c r="AH116" i="13"/>
  <c r="AQ155" i="13"/>
  <c r="AH156" i="13"/>
  <c r="P187" i="13"/>
  <c r="AH212" i="13"/>
  <c r="P286" i="13"/>
  <c r="AH287" i="13"/>
  <c r="AQ139" i="13"/>
  <c r="AQ147" i="13"/>
  <c r="AZ148" i="13"/>
  <c r="AZ197" i="13"/>
  <c r="AQ203" i="13"/>
  <c r="AQ211" i="13"/>
  <c r="AZ212" i="13"/>
  <c r="AH238" i="13"/>
  <c r="AH246" i="13"/>
  <c r="P249" i="13"/>
  <c r="AH250" i="13"/>
  <c r="AZ254" i="13"/>
  <c r="AQ294" i="13"/>
  <c r="AH311" i="13"/>
  <c r="AH319" i="13"/>
  <c r="P326" i="13"/>
  <c r="P338" i="13"/>
  <c r="P354" i="13"/>
  <c r="AH355" i="13"/>
  <c r="AZ360" i="13"/>
  <c r="AQ366" i="13"/>
  <c r="AQ374" i="13"/>
  <c r="AZ375" i="13"/>
  <c r="P430" i="13"/>
  <c r="AH431" i="13"/>
  <c r="P434" i="13"/>
  <c r="AH435" i="13"/>
  <c r="AZ439" i="13"/>
  <c r="AZ440" i="13"/>
  <c r="P498" i="13"/>
  <c r="AH499" i="13"/>
  <c r="P505" i="13"/>
  <c r="AZ507" i="13"/>
  <c r="AH525" i="13"/>
  <c r="P528" i="13"/>
  <c r="AH529" i="13"/>
  <c r="AZ533" i="13"/>
  <c r="AQ282" i="13"/>
  <c r="AQ318" i="13"/>
  <c r="P366" i="13"/>
  <c r="P374" i="13"/>
  <c r="AQ398" i="13"/>
  <c r="AQ462" i="13"/>
  <c r="AQ524" i="13"/>
  <c r="AZ165" i="13"/>
  <c r="AZ180" i="13"/>
  <c r="AH188" i="13"/>
  <c r="P219" i="13"/>
  <c r="AZ229" i="13"/>
  <c r="P282" i="13"/>
  <c r="AH283" i="13"/>
  <c r="AZ287" i="13"/>
  <c r="AZ288" i="13"/>
  <c r="P298" i="13"/>
  <c r="AH299" i="13"/>
  <c r="AZ304" i="13"/>
  <c r="AZ327" i="13"/>
  <c r="AZ328" i="13"/>
  <c r="AZ339" i="13"/>
  <c r="AZ340" i="13"/>
  <c r="P398" i="13"/>
  <c r="AH399" i="13"/>
  <c r="P402" i="13"/>
  <c r="AH403" i="13"/>
  <c r="AZ407" i="13"/>
  <c r="AZ408" i="13"/>
  <c r="P462" i="13"/>
  <c r="AH463" i="13"/>
  <c r="P466" i="13"/>
  <c r="AH467" i="13"/>
  <c r="P469" i="13"/>
  <c r="AZ471" i="13"/>
  <c r="J3" i="13"/>
  <c r="O3" i="13"/>
  <c r="AE3" i="13"/>
  <c r="AK3" i="13"/>
  <c r="AP3" i="13"/>
  <c r="AW3" i="13"/>
  <c r="BC3" i="13"/>
  <c r="BG3" i="13"/>
  <c r="P10" i="13"/>
  <c r="AI10" i="13"/>
  <c r="AQ10" i="13" s="1"/>
  <c r="AZ11" i="13"/>
  <c r="AZ12" i="13"/>
  <c r="AQ30" i="13"/>
  <c r="P38" i="13"/>
  <c r="AH39" i="13"/>
  <c r="AZ43" i="13"/>
  <c r="AZ44" i="13"/>
  <c r="AQ62" i="13"/>
  <c r="P70" i="13"/>
  <c r="AH71" i="13"/>
  <c r="AZ75" i="13"/>
  <c r="AZ76" i="13"/>
  <c r="AQ91" i="13"/>
  <c r="P99" i="13"/>
  <c r="AH100" i="13"/>
  <c r="AZ104" i="13"/>
  <c r="AZ105" i="13"/>
  <c r="AQ123" i="13"/>
  <c r="P131" i="13"/>
  <c r="AH132" i="13"/>
  <c r="AZ137" i="13"/>
  <c r="AZ149" i="13"/>
  <c r="AZ181" i="13"/>
  <c r="AZ213" i="13"/>
  <c r="AQ233" i="13"/>
  <c r="P241" i="13"/>
  <c r="AH242" i="13"/>
  <c r="AZ247" i="13"/>
  <c r="AQ265" i="13"/>
  <c r="AQ278" i="13"/>
  <c r="P314" i="13"/>
  <c r="AH315" i="13"/>
  <c r="AZ320" i="13"/>
  <c r="P382" i="13"/>
  <c r="AH383" i="13"/>
  <c r="P446" i="13"/>
  <c r="AH447" i="13"/>
  <c r="P540" i="13"/>
  <c r="AH541" i="13"/>
  <c r="BD3" i="13"/>
  <c r="AQ22" i="13"/>
  <c r="AQ54" i="13"/>
  <c r="AQ86" i="13"/>
  <c r="AQ115" i="13"/>
  <c r="AH124" i="13"/>
  <c r="AZ128" i="13"/>
  <c r="AZ129" i="13"/>
  <c r="P167" i="13"/>
  <c r="AH168" i="13"/>
  <c r="AZ172" i="13"/>
  <c r="AZ173" i="13"/>
  <c r="P199" i="13"/>
  <c r="AH200" i="13"/>
  <c r="AZ204" i="13"/>
  <c r="AZ205" i="13"/>
  <c r="P233" i="13"/>
  <c r="AH234" i="13"/>
  <c r="P236" i="13"/>
  <c r="AZ238" i="13"/>
  <c r="P265" i="13"/>
  <c r="P278" i="13"/>
  <c r="P302" i="13"/>
  <c r="AQ302" i="13"/>
  <c r="AH303" i="13"/>
  <c r="AZ303" i="13"/>
  <c r="AQ310" i="13"/>
  <c r="P370" i="13"/>
  <c r="AH371" i="13"/>
  <c r="AZ376" i="13"/>
  <c r="AQ414" i="13"/>
  <c r="AQ482" i="13"/>
  <c r="AH543" i="13"/>
  <c r="L3" i="13"/>
  <c r="Z3" i="13"/>
  <c r="AF3" i="13"/>
  <c r="AM3" i="13"/>
  <c r="AR3" i="13"/>
  <c r="AX3" i="13"/>
  <c r="AB3" i="13"/>
  <c r="AN3" i="13"/>
  <c r="AT3" i="13"/>
  <c r="BE3" i="13"/>
  <c r="P22" i="13"/>
  <c r="AH23" i="13"/>
  <c r="AZ27" i="13"/>
  <c r="AZ28" i="13"/>
  <c r="P54" i="13"/>
  <c r="AH55" i="13"/>
  <c r="AZ59" i="13"/>
  <c r="AZ60" i="13"/>
  <c r="P86" i="13"/>
  <c r="AH87" i="13"/>
  <c r="AZ89" i="13"/>
  <c r="P119" i="13"/>
  <c r="AQ119" i="13"/>
  <c r="AH120" i="13"/>
  <c r="AZ120" i="13"/>
  <c r="P163" i="13"/>
  <c r="AQ163" i="13"/>
  <c r="AH164" i="13"/>
  <c r="AZ164" i="13"/>
  <c r="P195" i="13"/>
  <c r="AQ195" i="13"/>
  <c r="AH196" i="13"/>
  <c r="AZ196" i="13"/>
  <c r="P227" i="13"/>
  <c r="AQ227" i="13"/>
  <c r="AH228" i="13"/>
  <c r="AZ228" i="13"/>
  <c r="AZ230" i="13"/>
  <c r="AZ295" i="13"/>
  <c r="P310" i="13"/>
  <c r="P334" i="13"/>
  <c r="AQ334" i="13"/>
  <c r="P346" i="13"/>
  <c r="AQ346" i="13"/>
  <c r="AH347" i="13"/>
  <c r="AZ347" i="13"/>
  <c r="Z353" i="13"/>
  <c r="AH353" i="13" s="1"/>
  <c r="P357" i="13"/>
  <c r="P358" i="13"/>
  <c r="AQ358" i="13"/>
  <c r="AH359" i="13"/>
  <c r="AZ359" i="13"/>
  <c r="AZ255" i="13"/>
  <c r="AQ266" i="13"/>
  <c r="P274" i="13"/>
  <c r="AH275" i="13"/>
  <c r="AZ279" i="13"/>
  <c r="AZ280" i="13"/>
  <c r="AZ311" i="13"/>
  <c r="AZ312" i="13"/>
  <c r="AZ367" i="13"/>
  <c r="AZ368" i="13"/>
  <c r="AZ399" i="13"/>
  <c r="AZ400" i="13"/>
  <c r="AZ431" i="13"/>
  <c r="AZ432" i="13"/>
  <c r="AZ463" i="13"/>
  <c r="P494" i="13"/>
  <c r="AH495" i="13"/>
  <c r="P497" i="13"/>
  <c r="AZ499" i="13"/>
  <c r="P520" i="13"/>
  <c r="AH521" i="13"/>
  <c r="AZ525" i="13"/>
  <c r="AQ536" i="13"/>
  <c r="AZ383" i="13"/>
  <c r="AZ384" i="13"/>
  <c r="AZ415" i="13"/>
  <c r="AZ416" i="13"/>
  <c r="AZ447" i="13"/>
  <c r="AZ448" i="13"/>
  <c r="P477" i="13"/>
  <c r="P478" i="13"/>
  <c r="AH479" i="13"/>
  <c r="AZ483" i="13"/>
  <c r="P513" i="13"/>
  <c r="P514" i="13"/>
  <c r="AQ514" i="13"/>
  <c r="AH515" i="13"/>
  <c r="AZ515" i="13"/>
  <c r="P536" i="13"/>
  <c r="AH537" i="13"/>
  <c r="AZ541" i="13"/>
  <c r="AZ543" i="13"/>
  <c r="AH545" i="13"/>
  <c r="P546" i="13"/>
  <c r="AH547" i="13"/>
  <c r="P548" i="13"/>
  <c r="L6" i="13"/>
  <c r="AZ8" i="13"/>
  <c r="AZ15" i="13"/>
  <c r="AZ16" i="13"/>
  <c r="AZ23" i="13"/>
  <c r="AZ24" i="13"/>
  <c r="AZ31" i="13"/>
  <c r="AZ32" i="13"/>
  <c r="AZ39" i="13"/>
  <c r="AZ40" i="13"/>
  <c r="AZ47" i="13"/>
  <c r="AZ48" i="13"/>
  <c r="AZ55" i="13"/>
  <c r="AZ56" i="13"/>
  <c r="AZ63" i="13"/>
  <c r="AZ64" i="13"/>
  <c r="AZ71" i="13"/>
  <c r="AZ72" i="13"/>
  <c r="AZ79" i="13"/>
  <c r="AZ80" i="13"/>
  <c r="AZ87" i="13"/>
  <c r="AZ88" i="13"/>
  <c r="AZ92" i="13"/>
  <c r="AZ93" i="13"/>
  <c r="AZ100" i="13"/>
  <c r="AZ101" i="13"/>
  <c r="AZ108" i="13"/>
  <c r="AZ109" i="13"/>
  <c r="AZ116" i="13"/>
  <c r="AZ117" i="13"/>
  <c r="AZ124" i="13"/>
  <c r="AZ125" i="13"/>
  <c r="AZ132" i="13"/>
  <c r="AZ133" i="13"/>
  <c r="AZ140" i="13"/>
  <c r="AZ141" i="13"/>
  <c r="AH144" i="13"/>
  <c r="AQ151" i="13"/>
  <c r="P159" i="13"/>
  <c r="AH160" i="13"/>
  <c r="AQ167" i="13"/>
  <c r="P175" i="13"/>
  <c r="AH176" i="13"/>
  <c r="AQ183" i="13"/>
  <c r="P191" i="13"/>
  <c r="AH192" i="13"/>
  <c r="AQ199" i="13"/>
  <c r="P207" i="13"/>
  <c r="AH208" i="13"/>
  <c r="AQ215" i="13"/>
  <c r="P223" i="13"/>
  <c r="AH224" i="13"/>
  <c r="AQ159" i="13"/>
  <c r="AQ175" i="13"/>
  <c r="AQ191" i="13"/>
  <c r="AQ207" i="13"/>
  <c r="AQ223" i="13"/>
  <c r="AQ290" i="13"/>
  <c r="AQ306" i="13"/>
  <c r="AQ322" i="13"/>
  <c r="AQ350" i="13"/>
  <c r="AQ362" i="13"/>
  <c r="AQ378" i="13"/>
  <c r="AQ394" i="13"/>
  <c r="AQ410" i="13"/>
  <c r="AQ426" i="13"/>
  <c r="AQ442" i="13"/>
  <c r="AQ458" i="13"/>
  <c r="AZ144" i="13"/>
  <c r="AZ145" i="13"/>
  <c r="AZ152" i="13"/>
  <c r="AZ153" i="13"/>
  <c r="AZ160" i="13"/>
  <c r="AZ161" i="13"/>
  <c r="AZ168" i="13"/>
  <c r="AZ169" i="13"/>
  <c r="AZ176" i="13"/>
  <c r="AZ177" i="13"/>
  <c r="AZ184" i="13"/>
  <c r="AZ185" i="13"/>
  <c r="AZ192" i="13"/>
  <c r="AZ193" i="13"/>
  <c r="AZ200" i="13"/>
  <c r="AZ201" i="13"/>
  <c r="AZ208" i="13"/>
  <c r="AZ209" i="13"/>
  <c r="AZ216" i="13"/>
  <c r="AZ217" i="13"/>
  <c r="AZ224" i="13"/>
  <c r="AZ225" i="13"/>
  <c r="AQ230" i="13"/>
  <c r="P232" i="13"/>
  <c r="AZ234" i="13"/>
  <c r="P240" i="13"/>
  <c r="AZ242" i="13"/>
  <c r="AZ243" i="13"/>
  <c r="AZ250" i="13"/>
  <c r="AZ251" i="13"/>
  <c r="AZ258" i="13"/>
  <c r="AZ259" i="13"/>
  <c r="AZ267" i="13"/>
  <c r="AZ268" i="13"/>
  <c r="AZ275" i="13"/>
  <c r="AZ276" i="13"/>
  <c r="AZ283" i="13"/>
  <c r="P290" i="13"/>
  <c r="AH291" i="13"/>
  <c r="AQ298" i="13"/>
  <c r="P306" i="13"/>
  <c r="AH307" i="13"/>
  <c r="AQ314" i="13"/>
  <c r="P322" i="13"/>
  <c r="AH323" i="13"/>
  <c r="AQ330" i="13"/>
  <c r="AQ474" i="13"/>
  <c r="AZ284" i="13"/>
  <c r="AZ291" i="13"/>
  <c r="AZ292" i="13"/>
  <c r="AZ299" i="13"/>
  <c r="AZ300" i="13"/>
  <c r="AZ307" i="13"/>
  <c r="AZ308" i="13"/>
  <c r="AZ315" i="13"/>
  <c r="AZ316" i="13"/>
  <c r="AZ323" i="13"/>
  <c r="AZ324" i="13"/>
  <c r="AZ331" i="13"/>
  <c r="AZ332" i="13"/>
  <c r="AH335" i="13"/>
  <c r="AQ342" i="13"/>
  <c r="P350" i="13"/>
  <c r="AH351" i="13"/>
  <c r="AQ354" i="13"/>
  <c r="P362" i="13"/>
  <c r="AH363" i="13"/>
  <c r="AQ370" i="13"/>
  <c r="P378" i="13"/>
  <c r="AH379" i="13"/>
  <c r="AQ386" i="13"/>
  <c r="P394" i="13"/>
  <c r="AH395" i="13"/>
  <c r="AQ402" i="13"/>
  <c r="P410" i="13"/>
  <c r="AH411" i="13"/>
  <c r="AQ418" i="13"/>
  <c r="P426" i="13"/>
  <c r="AH427" i="13"/>
  <c r="AQ434" i="13"/>
  <c r="P442" i="13"/>
  <c r="AH443" i="13"/>
  <c r="AQ450" i="13"/>
  <c r="P458" i="13"/>
  <c r="AH459" i="13"/>
  <c r="AQ466" i="13"/>
  <c r="P474" i="13"/>
  <c r="AH475" i="13"/>
  <c r="AQ486" i="13"/>
  <c r="AQ502" i="13"/>
  <c r="AZ335" i="13"/>
  <c r="AZ336" i="13"/>
  <c r="AZ343" i="13"/>
  <c r="AZ344" i="13"/>
  <c r="AZ351" i="13"/>
  <c r="AZ352" i="13"/>
  <c r="AZ355" i="13"/>
  <c r="AZ363" i="13"/>
  <c r="AZ364" i="13"/>
  <c r="AZ371" i="13"/>
  <c r="AZ372" i="13"/>
  <c r="AZ379" i="13"/>
  <c r="AZ380" i="13"/>
  <c r="AZ387" i="13"/>
  <c r="AZ388" i="13"/>
  <c r="AZ395" i="13"/>
  <c r="AZ396" i="13"/>
  <c r="AZ403" i="13"/>
  <c r="AZ404" i="13"/>
  <c r="AZ411" i="13"/>
  <c r="AZ412" i="13"/>
  <c r="AZ419" i="13"/>
  <c r="AZ420" i="13"/>
  <c r="AZ427" i="13"/>
  <c r="AZ428" i="13"/>
  <c r="AZ435" i="13"/>
  <c r="AZ436" i="13"/>
  <c r="AZ443" i="13"/>
  <c r="AZ444" i="13"/>
  <c r="AZ451" i="13"/>
  <c r="AZ452" i="13"/>
  <c r="AZ459" i="13"/>
  <c r="AZ460" i="13"/>
  <c r="AZ467" i="13"/>
  <c r="AZ475" i="13"/>
  <c r="AQ478" i="13"/>
  <c r="P486" i="13"/>
  <c r="AH487" i="13"/>
  <c r="AQ494" i="13"/>
  <c r="P502" i="13"/>
  <c r="AH503" i="13"/>
  <c r="AQ510" i="13"/>
  <c r="AZ479" i="13"/>
  <c r="P485" i="13"/>
  <c r="AZ487" i="13"/>
  <c r="P493" i="13"/>
  <c r="AZ495" i="13"/>
  <c r="P501" i="13"/>
  <c r="AZ503" i="13"/>
  <c r="P509" i="13"/>
  <c r="AZ511" i="13"/>
  <c r="P518" i="13"/>
  <c r="AH518" i="13"/>
  <c r="P519" i="13"/>
  <c r="AZ521" i="13"/>
  <c r="P527" i="13"/>
  <c r="AZ529" i="13"/>
  <c r="P535" i="13"/>
  <c r="AZ537" i="13"/>
  <c r="AQ546" i="13"/>
  <c r="AQ548" i="13"/>
  <c r="AH8" i="13"/>
  <c r="P9" i="13"/>
  <c r="AQ9" i="13"/>
  <c r="AH12" i="13"/>
  <c r="P13" i="13"/>
  <c r="AQ13" i="13"/>
  <c r="AH16" i="13"/>
  <c r="P17" i="13"/>
  <c r="AQ17" i="13"/>
  <c r="AH20" i="13"/>
  <c r="P21" i="13"/>
  <c r="AQ21" i="13"/>
  <c r="AH24" i="13"/>
  <c r="P25" i="13"/>
  <c r="AQ25" i="13"/>
  <c r="AH28" i="13"/>
  <c r="P29" i="13"/>
  <c r="AQ29" i="13"/>
  <c r="AH32" i="13"/>
  <c r="P33" i="13"/>
  <c r="AQ33" i="13"/>
  <c r="AH36" i="13"/>
  <c r="P37" i="13"/>
  <c r="AQ37" i="13"/>
  <c r="AH40" i="13"/>
  <c r="P41" i="13"/>
  <c r="AQ41" i="13"/>
  <c r="AH44" i="13"/>
  <c r="P45" i="13"/>
  <c r="AQ45" i="13"/>
  <c r="AH48" i="13"/>
  <c r="P49" i="13"/>
  <c r="AQ49" i="13"/>
  <c r="AH52" i="13"/>
  <c r="P53" i="13"/>
  <c r="AQ53" i="13"/>
  <c r="AH56" i="13"/>
  <c r="P57" i="13"/>
  <c r="AQ57" i="13"/>
  <c r="AH60" i="13"/>
  <c r="P61" i="13"/>
  <c r="AQ61" i="13"/>
  <c r="AH64" i="13"/>
  <c r="P65" i="13"/>
  <c r="AQ65" i="13"/>
  <c r="AH68" i="13"/>
  <c r="P69" i="13"/>
  <c r="AQ69" i="13"/>
  <c r="AH72" i="13"/>
  <c r="P73" i="13"/>
  <c r="AQ73" i="13"/>
  <c r="AH76" i="13"/>
  <c r="P77" i="13"/>
  <c r="AQ77" i="13"/>
  <c r="AH80" i="13"/>
  <c r="P81" i="13"/>
  <c r="AQ81" i="13"/>
  <c r="AH84" i="13"/>
  <c r="P85" i="13"/>
  <c r="AQ85" i="13"/>
  <c r="AH88" i="13"/>
  <c r="P89" i="13"/>
  <c r="P90" i="13"/>
  <c r="AQ90" i="13"/>
  <c r="AH93" i="13"/>
  <c r="P94" i="13"/>
  <c r="AQ94" i="13"/>
  <c r="AH97" i="13"/>
  <c r="P98" i="13"/>
  <c r="AQ98" i="13"/>
  <c r="AH101" i="13"/>
  <c r="P102" i="13"/>
  <c r="AQ102" i="13"/>
  <c r="AH105" i="13"/>
  <c r="P106" i="13"/>
  <c r="AQ106" i="13"/>
  <c r="AH109" i="13"/>
  <c r="P110" i="13"/>
  <c r="AQ110" i="13"/>
  <c r="AH113" i="13"/>
  <c r="P114" i="13"/>
  <c r="AQ114" i="13"/>
  <c r="AH117" i="13"/>
  <c r="P118" i="13"/>
  <c r="AQ118" i="13"/>
  <c r="AH121" i="13"/>
  <c r="P122" i="13"/>
  <c r="AQ122" i="13"/>
  <c r="AH125" i="13"/>
  <c r="P126" i="13"/>
  <c r="AQ126" i="13"/>
  <c r="AH129" i="13"/>
  <c r="P130" i="13"/>
  <c r="AQ130" i="13"/>
  <c r="AH133" i="13"/>
  <c r="P134" i="13"/>
  <c r="AQ134" i="13"/>
  <c r="AH137" i="13"/>
  <c r="P138" i="13"/>
  <c r="AQ138" i="13"/>
  <c r="AH141" i="13"/>
  <c r="P142" i="13"/>
  <c r="AQ142" i="13"/>
  <c r="AH145" i="13"/>
  <c r="P146" i="13"/>
  <c r="AQ146" i="13"/>
  <c r="AH149" i="13"/>
  <c r="P150" i="13"/>
  <c r="AQ150" i="13"/>
  <c r="AH153" i="13"/>
  <c r="P154" i="13"/>
  <c r="AQ154" i="13"/>
  <c r="AH157" i="13"/>
  <c r="P158" i="13"/>
  <c r="AQ158" i="13"/>
  <c r="AH161" i="13"/>
  <c r="P162" i="13"/>
  <c r="AQ162" i="13"/>
  <c r="AH165" i="13"/>
  <c r="P166" i="13"/>
  <c r="AQ166" i="13"/>
  <c r="AH169" i="13"/>
  <c r="P170" i="13"/>
  <c r="AQ170" i="13"/>
  <c r="AH173" i="13"/>
  <c r="P174" i="13"/>
  <c r="AQ174" i="13"/>
  <c r="AH177" i="13"/>
  <c r="P178" i="13"/>
  <c r="AQ178" i="13"/>
  <c r="AH181" i="13"/>
  <c r="P182" i="13"/>
  <c r="AQ182" i="13"/>
  <c r="AH185" i="13"/>
  <c r="P186" i="13"/>
  <c r="AQ186" i="13"/>
  <c r="AH189" i="13"/>
  <c r="P190" i="13"/>
  <c r="AQ190" i="13"/>
  <c r="AH193" i="13"/>
  <c r="P194" i="13"/>
  <c r="AQ194" i="13"/>
  <c r="AH197" i="13"/>
  <c r="P198" i="13"/>
  <c r="AQ198" i="13"/>
  <c r="AH201" i="13"/>
  <c r="P202" i="13"/>
  <c r="AQ202" i="13"/>
  <c r="AH205" i="13"/>
  <c r="P206" i="13"/>
  <c r="AQ206" i="13"/>
  <c r="AH209" i="13"/>
  <c r="P210" i="13"/>
  <c r="AQ210" i="13"/>
  <c r="AH213" i="13"/>
  <c r="P214" i="13"/>
  <c r="AQ214" i="13"/>
  <c r="AH217" i="13"/>
  <c r="P218" i="13"/>
  <c r="AQ218" i="13"/>
  <c r="AH221" i="13"/>
  <c r="P222" i="13"/>
  <c r="AQ222" i="13"/>
  <c r="AH225" i="13"/>
  <c r="P226" i="13"/>
  <c r="AQ226" i="13"/>
  <c r="AH229" i="13"/>
  <c r="P230" i="13"/>
  <c r="AH231" i="13"/>
  <c r="P231" i="13"/>
  <c r="AQ232" i="13"/>
  <c r="Z232" i="13"/>
  <c r="AH232" i="13" s="1"/>
  <c r="AZ235" i="13"/>
  <c r="AI235" i="13"/>
  <c r="AQ235" i="13" s="1"/>
  <c r="AH239" i="13"/>
  <c r="P239" i="13"/>
  <c r="AM6" i="13"/>
  <c r="AI8" i="13"/>
  <c r="Z9" i="13"/>
  <c r="AH9" i="13" s="1"/>
  <c r="AZ9" i="13"/>
  <c r="AH10" i="13"/>
  <c r="AZ10" i="13"/>
  <c r="P11" i="13"/>
  <c r="AQ11" i="13"/>
  <c r="P12" i="13"/>
  <c r="AI12" i="13"/>
  <c r="AQ12" i="13" s="1"/>
  <c r="Z13" i="13"/>
  <c r="AH13" i="13" s="1"/>
  <c r="AZ13" i="13"/>
  <c r="AH14" i="13"/>
  <c r="AZ14" i="13"/>
  <c r="P15" i="13"/>
  <c r="AQ15" i="13"/>
  <c r="P16" i="13"/>
  <c r="AI16" i="13"/>
  <c r="AQ16" i="13" s="1"/>
  <c r="Z17" i="13"/>
  <c r="AH17" i="13" s="1"/>
  <c r="AZ17" i="13"/>
  <c r="AH18" i="13"/>
  <c r="AZ18" i="13"/>
  <c r="P19" i="13"/>
  <c r="AQ19" i="13"/>
  <c r="P20" i="13"/>
  <c r="AI20" i="13"/>
  <c r="AQ20" i="13" s="1"/>
  <c r="Z21" i="13"/>
  <c r="AH21" i="13" s="1"/>
  <c r="AZ21" i="13"/>
  <c r="AH22" i="13"/>
  <c r="AZ22" i="13"/>
  <c r="P23" i="13"/>
  <c r="AQ23" i="13"/>
  <c r="P24" i="13"/>
  <c r="AI24" i="13"/>
  <c r="AQ24" i="13" s="1"/>
  <c r="Z25" i="13"/>
  <c r="AH25" i="13" s="1"/>
  <c r="AZ25" i="13"/>
  <c r="AH26" i="13"/>
  <c r="AZ26" i="13"/>
  <c r="P27" i="13"/>
  <c r="AQ27" i="13"/>
  <c r="P28" i="13"/>
  <c r="AI28" i="13"/>
  <c r="AQ28" i="13" s="1"/>
  <c r="Z29" i="13"/>
  <c r="AH29" i="13" s="1"/>
  <c r="AZ29" i="13"/>
  <c r="AH30" i="13"/>
  <c r="AZ30" i="13"/>
  <c r="P31" i="13"/>
  <c r="AQ31" i="13"/>
  <c r="P32" i="13"/>
  <c r="AI32" i="13"/>
  <c r="AQ32" i="13" s="1"/>
  <c r="Z33" i="13"/>
  <c r="AH33" i="13" s="1"/>
  <c r="AZ33" i="13"/>
  <c r="AH34" i="13"/>
  <c r="AZ34" i="13"/>
  <c r="P35" i="13"/>
  <c r="AQ35" i="13"/>
  <c r="P36" i="13"/>
  <c r="AI36" i="13"/>
  <c r="AQ36" i="13" s="1"/>
  <c r="Z37" i="13"/>
  <c r="AH37" i="13" s="1"/>
  <c r="AZ37" i="13"/>
  <c r="AH38" i="13"/>
  <c r="AZ38" i="13"/>
  <c r="P39" i="13"/>
  <c r="AQ39" i="13"/>
  <c r="P40" i="13"/>
  <c r="AI40" i="13"/>
  <c r="AQ40" i="13" s="1"/>
  <c r="Z41" i="13"/>
  <c r="AH41" i="13" s="1"/>
  <c r="AZ41" i="13"/>
  <c r="AH42" i="13"/>
  <c r="AZ42" i="13"/>
  <c r="P43" i="13"/>
  <c r="AQ43" i="13"/>
  <c r="P44" i="13"/>
  <c r="AI44" i="13"/>
  <c r="AQ44" i="13" s="1"/>
  <c r="Z45" i="13"/>
  <c r="AH45" i="13" s="1"/>
  <c r="AZ45" i="13"/>
  <c r="AH46" i="13"/>
  <c r="AZ46" i="13"/>
  <c r="P47" i="13"/>
  <c r="AQ47" i="13"/>
  <c r="P48" i="13"/>
  <c r="AI48" i="13"/>
  <c r="AQ48" i="13" s="1"/>
  <c r="Z49" i="13"/>
  <c r="AH49" i="13" s="1"/>
  <c r="AZ49" i="13"/>
  <c r="AH50" i="13"/>
  <c r="AZ50" i="13"/>
  <c r="P51" i="13"/>
  <c r="AQ51" i="13"/>
  <c r="P52" i="13"/>
  <c r="AI52" i="13"/>
  <c r="AQ52" i="13" s="1"/>
  <c r="Z53" i="13"/>
  <c r="AH53" i="13" s="1"/>
  <c r="AZ53" i="13"/>
  <c r="AH54" i="13"/>
  <c r="AZ54" i="13"/>
  <c r="P55" i="13"/>
  <c r="AQ55" i="13"/>
  <c r="P56" i="13"/>
  <c r="AI56" i="13"/>
  <c r="AQ56" i="13" s="1"/>
  <c r="Z57" i="13"/>
  <c r="AH57" i="13" s="1"/>
  <c r="AZ57" i="13"/>
  <c r="AH58" i="13"/>
  <c r="AZ58" i="13"/>
  <c r="P59" i="13"/>
  <c r="AQ59" i="13"/>
  <c r="P60" i="13"/>
  <c r="AI60" i="13"/>
  <c r="AQ60" i="13" s="1"/>
  <c r="Z61" i="13"/>
  <c r="AH61" i="13" s="1"/>
  <c r="AZ61" i="13"/>
  <c r="AH62" i="13"/>
  <c r="AZ62" i="13"/>
  <c r="P63" i="13"/>
  <c r="AQ63" i="13"/>
  <c r="P64" i="13"/>
  <c r="AI64" i="13"/>
  <c r="AQ64" i="13" s="1"/>
  <c r="Z65" i="13"/>
  <c r="AH65" i="13" s="1"/>
  <c r="AZ65" i="13"/>
  <c r="AH66" i="13"/>
  <c r="AZ66" i="13"/>
  <c r="P67" i="13"/>
  <c r="AQ67" i="13"/>
  <c r="P68" i="13"/>
  <c r="AI68" i="13"/>
  <c r="AQ68" i="13" s="1"/>
  <c r="Z69" i="13"/>
  <c r="AH69" i="13" s="1"/>
  <c r="AZ69" i="13"/>
  <c r="AH70" i="13"/>
  <c r="AZ70" i="13"/>
  <c r="P71" i="13"/>
  <c r="AQ71" i="13"/>
  <c r="P72" i="13"/>
  <c r="AI72" i="13"/>
  <c r="AQ72" i="13" s="1"/>
  <c r="Z73" i="13"/>
  <c r="AH73" i="13" s="1"/>
  <c r="AZ73" i="13"/>
  <c r="AH74" i="13"/>
  <c r="AZ74" i="13"/>
  <c r="P75" i="13"/>
  <c r="AQ75" i="13"/>
  <c r="P76" i="13"/>
  <c r="AI76" i="13"/>
  <c r="AQ76" i="13" s="1"/>
  <c r="Z77" i="13"/>
  <c r="AH77" i="13" s="1"/>
  <c r="AZ77" i="13"/>
  <c r="AH78" i="13"/>
  <c r="AZ78" i="13"/>
  <c r="P79" i="13"/>
  <c r="AQ79" i="13"/>
  <c r="P80" i="13"/>
  <c r="AI80" i="13"/>
  <c r="AQ80" i="13" s="1"/>
  <c r="Z81" i="13"/>
  <c r="AH81" i="13" s="1"/>
  <c r="AZ81" i="13"/>
  <c r="AH82" i="13"/>
  <c r="AZ82" i="13"/>
  <c r="P83" i="13"/>
  <c r="AQ83" i="13"/>
  <c r="P84" i="13"/>
  <c r="AI84" i="13"/>
  <c r="AQ84" i="13" s="1"/>
  <c r="Z85" i="13"/>
  <c r="AH85" i="13" s="1"/>
  <c r="AZ85" i="13"/>
  <c r="AH86" i="13"/>
  <c r="AZ86" i="13"/>
  <c r="P87" i="13"/>
  <c r="AQ87" i="13"/>
  <c r="P88" i="13"/>
  <c r="AI88" i="13"/>
  <c r="AQ88" i="13" s="1"/>
  <c r="AI89" i="13"/>
  <c r="AQ89" i="13" s="1"/>
  <c r="Z90" i="13"/>
  <c r="AH90" i="13" s="1"/>
  <c r="AZ90" i="13"/>
  <c r="AH91" i="13"/>
  <c r="AZ91" i="13"/>
  <c r="P92" i="13"/>
  <c r="AQ92" i="13"/>
  <c r="P93" i="13"/>
  <c r="AI93" i="13"/>
  <c r="AQ93" i="13" s="1"/>
  <c r="Z94" i="13"/>
  <c r="AH94" i="13" s="1"/>
  <c r="AZ94" i="13"/>
  <c r="AH95" i="13"/>
  <c r="AZ95" i="13"/>
  <c r="P96" i="13"/>
  <c r="AQ96" i="13"/>
  <c r="P97" i="13"/>
  <c r="AI97" i="13"/>
  <c r="AQ97" i="13" s="1"/>
  <c r="Z98" i="13"/>
  <c r="AH98" i="13" s="1"/>
  <c r="AZ98" i="13"/>
  <c r="AH99" i="13"/>
  <c r="AZ99" i="13"/>
  <c r="P100" i="13"/>
  <c r="AQ100" i="13"/>
  <c r="P101" i="13"/>
  <c r="AI101" i="13"/>
  <c r="AQ101" i="13" s="1"/>
  <c r="Z102" i="13"/>
  <c r="AH102" i="13" s="1"/>
  <c r="AZ102" i="13"/>
  <c r="AH103" i="13"/>
  <c r="AZ103" i="13"/>
  <c r="P104" i="13"/>
  <c r="AQ104" i="13"/>
  <c r="P105" i="13"/>
  <c r="AI105" i="13"/>
  <c r="AQ105" i="13" s="1"/>
  <c r="Z106" i="13"/>
  <c r="AH106" i="13" s="1"/>
  <c r="AZ106" i="13"/>
  <c r="AH107" i="13"/>
  <c r="AZ107" i="13"/>
  <c r="P108" i="13"/>
  <c r="AQ108" i="13"/>
  <c r="P109" i="13"/>
  <c r="AI109" i="13"/>
  <c r="AQ109" i="13" s="1"/>
  <c r="Z110" i="13"/>
  <c r="AH110" i="13" s="1"/>
  <c r="AZ110" i="13"/>
  <c r="AH111" i="13"/>
  <c r="AZ111" i="13"/>
  <c r="P112" i="13"/>
  <c r="AQ112" i="13"/>
  <c r="P113" i="13"/>
  <c r="AI113" i="13"/>
  <c r="AQ113" i="13" s="1"/>
  <c r="Z114" i="13"/>
  <c r="AH114" i="13" s="1"/>
  <c r="AZ114" i="13"/>
  <c r="AH115" i="13"/>
  <c r="AZ115" i="13"/>
  <c r="P116" i="13"/>
  <c r="AQ116" i="13"/>
  <c r="P117" i="13"/>
  <c r="AI117" i="13"/>
  <c r="AQ117" i="13" s="1"/>
  <c r="Z118" i="13"/>
  <c r="AH118" i="13" s="1"/>
  <c r="AZ118" i="13"/>
  <c r="AH119" i="13"/>
  <c r="AZ119" i="13"/>
  <c r="P120" i="13"/>
  <c r="AQ120" i="13"/>
  <c r="P121" i="13"/>
  <c r="AI121" i="13"/>
  <c r="AQ121" i="13" s="1"/>
  <c r="Z122" i="13"/>
  <c r="AH122" i="13" s="1"/>
  <c r="AZ122" i="13"/>
  <c r="AH123" i="13"/>
  <c r="AZ123" i="13"/>
  <c r="P124" i="13"/>
  <c r="AQ124" i="13"/>
  <c r="P125" i="13"/>
  <c r="AI125" i="13"/>
  <c r="AQ125" i="13" s="1"/>
  <c r="Z126" i="13"/>
  <c r="AH126" i="13" s="1"/>
  <c r="AZ126" i="13"/>
  <c r="AH127" i="13"/>
  <c r="AZ127" i="13"/>
  <c r="P128" i="13"/>
  <c r="AQ128" i="13"/>
  <c r="P129" i="13"/>
  <c r="AI129" i="13"/>
  <c r="AQ129" i="13" s="1"/>
  <c r="Z130" i="13"/>
  <c r="AH130" i="13" s="1"/>
  <c r="AZ130" i="13"/>
  <c r="AH131" i="13"/>
  <c r="AZ131" i="13"/>
  <c r="P132" i="13"/>
  <c r="AQ132" i="13"/>
  <c r="P133" i="13"/>
  <c r="AI133" i="13"/>
  <c r="AQ133" i="13" s="1"/>
  <c r="Z134" i="13"/>
  <c r="AH134" i="13" s="1"/>
  <c r="AZ134" i="13"/>
  <c r="AH135" i="13"/>
  <c r="AZ135" i="13"/>
  <c r="P136" i="13"/>
  <c r="AQ136" i="13"/>
  <c r="P137" i="13"/>
  <c r="AI137" i="13"/>
  <c r="AQ137" i="13" s="1"/>
  <c r="Z138" i="13"/>
  <c r="AH138" i="13" s="1"/>
  <c r="AZ138" i="13"/>
  <c r="AH139" i="13"/>
  <c r="AZ139" i="13"/>
  <c r="P140" i="13"/>
  <c r="AQ140" i="13"/>
  <c r="P141" i="13"/>
  <c r="AI141" i="13"/>
  <c r="AQ141" i="13" s="1"/>
  <c r="Z142" i="13"/>
  <c r="AH142" i="13" s="1"/>
  <c r="AZ142" i="13"/>
  <c r="AH143" i="13"/>
  <c r="AZ143" i="13"/>
  <c r="P144" i="13"/>
  <c r="AQ144" i="13"/>
  <c r="P145" i="13"/>
  <c r="AI145" i="13"/>
  <c r="AQ145" i="13" s="1"/>
  <c r="Z146" i="13"/>
  <c r="AH146" i="13" s="1"/>
  <c r="AZ146" i="13"/>
  <c r="AH147" i="13"/>
  <c r="AZ147" i="13"/>
  <c r="P148" i="13"/>
  <c r="AQ148" i="13"/>
  <c r="P149" i="13"/>
  <c r="AI149" i="13"/>
  <c r="AQ149" i="13" s="1"/>
  <c r="Z150" i="13"/>
  <c r="AH150" i="13" s="1"/>
  <c r="AZ150" i="13"/>
  <c r="AH151" i="13"/>
  <c r="AZ151" i="13"/>
  <c r="P152" i="13"/>
  <c r="AQ152" i="13"/>
  <c r="P153" i="13"/>
  <c r="AI153" i="13"/>
  <c r="AQ153" i="13" s="1"/>
  <c r="Z154" i="13"/>
  <c r="AH154" i="13" s="1"/>
  <c r="AZ154" i="13"/>
  <c r="AH155" i="13"/>
  <c r="AZ155" i="13"/>
  <c r="P156" i="13"/>
  <c r="AQ156" i="13"/>
  <c r="P157" i="13"/>
  <c r="AI157" i="13"/>
  <c r="AQ157" i="13" s="1"/>
  <c r="Z158" i="13"/>
  <c r="AH158" i="13" s="1"/>
  <c r="AZ158" i="13"/>
  <c r="AH159" i="13"/>
  <c r="AZ159" i="13"/>
  <c r="P160" i="13"/>
  <c r="AQ160" i="13"/>
  <c r="P161" i="13"/>
  <c r="AI161" i="13"/>
  <c r="AQ161" i="13" s="1"/>
  <c r="Z162" i="13"/>
  <c r="AH162" i="13" s="1"/>
  <c r="AZ162" i="13"/>
  <c r="AH163" i="13"/>
  <c r="AZ163" i="13"/>
  <c r="P164" i="13"/>
  <c r="AQ164" i="13"/>
  <c r="P165" i="13"/>
  <c r="AI165" i="13"/>
  <c r="AQ165" i="13" s="1"/>
  <c r="Z166" i="13"/>
  <c r="AH166" i="13" s="1"/>
  <c r="AZ166" i="13"/>
  <c r="AH167" i="13"/>
  <c r="AZ167" i="13"/>
  <c r="P168" i="13"/>
  <c r="AQ168" i="13"/>
  <c r="P169" i="13"/>
  <c r="AI169" i="13"/>
  <c r="AQ169" i="13" s="1"/>
  <c r="Z170" i="13"/>
  <c r="AH170" i="13" s="1"/>
  <c r="AZ170" i="13"/>
  <c r="AH171" i="13"/>
  <c r="AZ171" i="13"/>
  <c r="P172" i="13"/>
  <c r="AQ172" i="13"/>
  <c r="P173" i="13"/>
  <c r="AI173" i="13"/>
  <c r="AQ173" i="13" s="1"/>
  <c r="Z174" i="13"/>
  <c r="AH174" i="13" s="1"/>
  <c r="AZ174" i="13"/>
  <c r="AH175" i="13"/>
  <c r="AZ175" i="13"/>
  <c r="P176" i="13"/>
  <c r="AQ176" i="13"/>
  <c r="P177" i="13"/>
  <c r="AI177" i="13"/>
  <c r="AQ177" i="13" s="1"/>
  <c r="Z178" i="13"/>
  <c r="AH178" i="13" s="1"/>
  <c r="AZ178" i="13"/>
  <c r="AH179" i="13"/>
  <c r="AZ179" i="13"/>
  <c r="P180" i="13"/>
  <c r="AQ180" i="13"/>
  <c r="P181" i="13"/>
  <c r="AI181" i="13"/>
  <c r="AQ181" i="13" s="1"/>
  <c r="Z182" i="13"/>
  <c r="AH182" i="13" s="1"/>
  <c r="AZ182" i="13"/>
  <c r="AH183" i="13"/>
  <c r="AZ183" i="13"/>
  <c r="P184" i="13"/>
  <c r="AQ184" i="13"/>
  <c r="P185" i="13"/>
  <c r="AI185" i="13"/>
  <c r="AQ185" i="13" s="1"/>
  <c r="Z186" i="13"/>
  <c r="AH186" i="13" s="1"/>
  <c r="AZ186" i="13"/>
  <c r="AH187" i="13"/>
  <c r="AZ187" i="13"/>
  <c r="P188" i="13"/>
  <c r="AQ188" i="13"/>
  <c r="P189" i="13"/>
  <c r="AI189" i="13"/>
  <c r="AQ189" i="13" s="1"/>
  <c r="Z190" i="13"/>
  <c r="AH190" i="13" s="1"/>
  <c r="AZ190" i="13"/>
  <c r="AH191" i="13"/>
  <c r="AZ191" i="13"/>
  <c r="P192" i="13"/>
  <c r="AQ192" i="13"/>
  <c r="P193" i="13"/>
  <c r="AI193" i="13"/>
  <c r="AQ193" i="13" s="1"/>
  <c r="Z194" i="13"/>
  <c r="AH194" i="13" s="1"/>
  <c r="AZ194" i="13"/>
  <c r="AH195" i="13"/>
  <c r="AZ195" i="13"/>
  <c r="P196" i="13"/>
  <c r="AQ196" i="13"/>
  <c r="P197" i="13"/>
  <c r="AI197" i="13"/>
  <c r="AQ197" i="13" s="1"/>
  <c r="Z198" i="13"/>
  <c r="AH198" i="13" s="1"/>
  <c r="AZ198" i="13"/>
  <c r="AH199" i="13"/>
  <c r="AZ199" i="13"/>
  <c r="P200" i="13"/>
  <c r="AQ200" i="13"/>
  <c r="P201" i="13"/>
  <c r="AI201" i="13"/>
  <c r="AQ201" i="13" s="1"/>
  <c r="Z202" i="13"/>
  <c r="AH202" i="13" s="1"/>
  <c r="AZ202" i="13"/>
  <c r="AH203" i="13"/>
  <c r="AZ203" i="13"/>
  <c r="P204" i="13"/>
  <c r="AQ204" i="13"/>
  <c r="P205" i="13"/>
  <c r="AI205" i="13"/>
  <c r="AQ205" i="13" s="1"/>
  <c r="Z206" i="13"/>
  <c r="AH206" i="13" s="1"/>
  <c r="AZ206" i="13"/>
  <c r="AH207" i="13"/>
  <c r="AZ207" i="13"/>
  <c r="P208" i="13"/>
  <c r="AQ208" i="13"/>
  <c r="P209" i="13"/>
  <c r="AI209" i="13"/>
  <c r="AQ209" i="13" s="1"/>
  <c r="Z210" i="13"/>
  <c r="AH210" i="13" s="1"/>
  <c r="AZ210" i="13"/>
  <c r="AH211" i="13"/>
  <c r="AZ211" i="13"/>
  <c r="P212" i="13"/>
  <c r="AQ212" i="13"/>
  <c r="P213" i="13"/>
  <c r="AI213" i="13"/>
  <c r="AQ213" i="13" s="1"/>
  <c r="Z214" i="13"/>
  <c r="AH214" i="13" s="1"/>
  <c r="AZ214" i="13"/>
  <c r="AH215" i="13"/>
  <c r="AZ215" i="13"/>
  <c r="P216" i="13"/>
  <c r="AQ216" i="13"/>
  <c r="P217" i="13"/>
  <c r="AI217" i="13"/>
  <c r="AQ217" i="13" s="1"/>
  <c r="Z218" i="13"/>
  <c r="AH218" i="13" s="1"/>
  <c r="AZ218" i="13"/>
  <c r="AH219" i="13"/>
  <c r="AZ219" i="13"/>
  <c r="P220" i="13"/>
  <c r="AQ220" i="13"/>
  <c r="P221" i="13"/>
  <c r="AI221" i="13"/>
  <c r="AQ221" i="13" s="1"/>
  <c r="Z222" i="13"/>
  <c r="AH222" i="13" s="1"/>
  <c r="AZ222" i="13"/>
  <c r="AH223" i="13"/>
  <c r="AZ223" i="13"/>
  <c r="P224" i="13"/>
  <c r="AQ224" i="13"/>
  <c r="P225" i="13"/>
  <c r="AI225" i="13"/>
  <c r="AQ225" i="13" s="1"/>
  <c r="Z226" i="13"/>
  <c r="AH226" i="13" s="1"/>
  <c r="AZ226" i="13"/>
  <c r="AH227" i="13"/>
  <c r="AZ227" i="13"/>
  <c r="P228" i="13"/>
  <c r="AQ228" i="13"/>
  <c r="P229" i="13"/>
  <c r="AI229" i="13"/>
  <c r="AQ229" i="13" s="1"/>
  <c r="AH230" i="13"/>
  <c r="AZ231" i="13"/>
  <c r="AI231" i="13"/>
  <c r="AQ231" i="13" s="1"/>
  <c r="AH235" i="13"/>
  <c r="P235" i="13"/>
  <c r="AQ236" i="13"/>
  <c r="Z236" i="13"/>
  <c r="AH236" i="13" s="1"/>
  <c r="AZ239" i="13"/>
  <c r="AI239" i="13"/>
  <c r="AQ239" i="13" s="1"/>
  <c r="AQ240" i="13"/>
  <c r="AH243" i="13"/>
  <c r="P244" i="13"/>
  <c r="AQ244" i="13"/>
  <c r="AH247" i="13"/>
  <c r="P248" i="13"/>
  <c r="AQ248" i="13"/>
  <c r="AH251" i="13"/>
  <c r="P252" i="13"/>
  <c r="AQ252" i="13"/>
  <c r="AH255" i="13"/>
  <c r="P256" i="13"/>
  <c r="AQ256" i="13"/>
  <c r="AH259" i="13"/>
  <c r="P260" i="13"/>
  <c r="AQ260" i="13"/>
  <c r="AH263" i="13"/>
  <c r="P264" i="13"/>
  <c r="AQ264" i="13"/>
  <c r="AH268" i="13"/>
  <c r="P269" i="13"/>
  <c r="AQ269" i="13"/>
  <c r="AH272" i="13"/>
  <c r="P273" i="13"/>
  <c r="AQ273" i="13"/>
  <c r="AH276" i="13"/>
  <c r="P277" i="13"/>
  <c r="AQ277" i="13"/>
  <c r="AH280" i="13"/>
  <c r="P281" i="13"/>
  <c r="AQ281" i="13"/>
  <c r="AH284" i="13"/>
  <c r="P285" i="13"/>
  <c r="AQ285" i="13"/>
  <c r="AH288" i="13"/>
  <c r="P289" i="13"/>
  <c r="AQ289" i="13"/>
  <c r="AH292" i="13"/>
  <c r="P293" i="13"/>
  <c r="AQ293" i="13"/>
  <c r="AH296" i="13"/>
  <c r="P297" i="13"/>
  <c r="AQ297" i="13"/>
  <c r="AH300" i="13"/>
  <c r="P301" i="13"/>
  <c r="AQ301" i="13"/>
  <c r="AH304" i="13"/>
  <c r="P305" i="13"/>
  <c r="AQ305" i="13"/>
  <c r="AH308" i="13"/>
  <c r="P309" i="13"/>
  <c r="AQ309" i="13"/>
  <c r="AH312" i="13"/>
  <c r="P313" i="13"/>
  <c r="AQ313" i="13"/>
  <c r="AH316" i="13"/>
  <c r="P317" i="13"/>
  <c r="AQ317" i="13"/>
  <c r="AH320" i="13"/>
  <c r="P321" i="13"/>
  <c r="AQ321" i="13"/>
  <c r="AH324" i="13"/>
  <c r="P325" i="13"/>
  <c r="AQ325" i="13"/>
  <c r="AH328" i="13"/>
  <c r="P329" i="13"/>
  <c r="AQ329" i="13"/>
  <c r="AH332" i="13"/>
  <c r="P333" i="13"/>
  <c r="AQ333" i="13"/>
  <c r="AH336" i="13"/>
  <c r="P337" i="13"/>
  <c r="AQ337" i="13"/>
  <c r="AH340" i="13"/>
  <c r="P341" i="13"/>
  <c r="AQ341" i="13"/>
  <c r="AH344" i="13"/>
  <c r="P345" i="13"/>
  <c r="AQ345" i="13"/>
  <c r="AH348" i="13"/>
  <c r="P349" i="13"/>
  <c r="AQ349" i="13"/>
  <c r="AH352" i="13"/>
  <c r="P353" i="13"/>
  <c r="AH356" i="13"/>
  <c r="P356" i="13"/>
  <c r="AQ357" i="13"/>
  <c r="Z357" i="13"/>
  <c r="AH357" i="13" s="1"/>
  <c r="AZ232" i="13"/>
  <c r="AH233" i="13"/>
  <c r="AZ233" i="13"/>
  <c r="P234" i="13"/>
  <c r="AQ234" i="13"/>
  <c r="AZ236" i="13"/>
  <c r="AH237" i="13"/>
  <c r="AZ237" i="13"/>
  <c r="P238" i="13"/>
  <c r="AQ238" i="13"/>
  <c r="Z240" i="13"/>
  <c r="AH240" i="13" s="1"/>
  <c r="AZ240" i="13"/>
  <c r="AH241" i="13"/>
  <c r="AZ241" i="13"/>
  <c r="P242" i="13"/>
  <c r="AQ242" i="13"/>
  <c r="P243" i="13"/>
  <c r="AI243" i="13"/>
  <c r="AQ243" i="13" s="1"/>
  <c r="Z244" i="13"/>
  <c r="AH244" i="13" s="1"/>
  <c r="AZ244" i="13"/>
  <c r="AH245" i="13"/>
  <c r="AZ245" i="13"/>
  <c r="P246" i="13"/>
  <c r="AQ246" i="13"/>
  <c r="P247" i="13"/>
  <c r="AI247" i="13"/>
  <c r="AQ247" i="13" s="1"/>
  <c r="Z248" i="13"/>
  <c r="AH248" i="13" s="1"/>
  <c r="AZ248" i="13"/>
  <c r="AH249" i="13"/>
  <c r="AZ249" i="13"/>
  <c r="P250" i="13"/>
  <c r="AQ250" i="13"/>
  <c r="P251" i="13"/>
  <c r="AI251" i="13"/>
  <c r="AQ251" i="13" s="1"/>
  <c r="Z252" i="13"/>
  <c r="AH252" i="13" s="1"/>
  <c r="AZ252" i="13"/>
  <c r="AH253" i="13"/>
  <c r="AZ253" i="13"/>
  <c r="P254" i="13"/>
  <c r="AQ254" i="13"/>
  <c r="P255" i="13"/>
  <c r="AI255" i="13"/>
  <c r="AQ255" i="13" s="1"/>
  <c r="Z256" i="13"/>
  <c r="AH256" i="13" s="1"/>
  <c r="AZ256" i="13"/>
  <c r="AH257" i="13"/>
  <c r="AZ257" i="13"/>
  <c r="P258" i="13"/>
  <c r="AQ258" i="13"/>
  <c r="P259" i="13"/>
  <c r="AI259" i="13"/>
  <c r="AQ259" i="13" s="1"/>
  <c r="Z260" i="13"/>
  <c r="AH260" i="13" s="1"/>
  <c r="AZ260" i="13"/>
  <c r="AH261" i="13"/>
  <c r="AZ261" i="13"/>
  <c r="P262" i="13"/>
  <c r="AQ262" i="13"/>
  <c r="P263" i="13"/>
  <c r="AI263" i="13"/>
  <c r="AQ263" i="13" s="1"/>
  <c r="Z264" i="13"/>
  <c r="AH264" i="13" s="1"/>
  <c r="AZ264" i="13"/>
  <c r="AH265" i="13"/>
  <c r="AZ265" i="13"/>
  <c r="AH266" i="13"/>
  <c r="AZ266" i="13"/>
  <c r="P267" i="13"/>
  <c r="AQ267" i="13"/>
  <c r="P268" i="13"/>
  <c r="AI268" i="13"/>
  <c r="AQ268" i="13" s="1"/>
  <c r="Z269" i="13"/>
  <c r="AH269" i="13" s="1"/>
  <c r="AZ269" i="13"/>
  <c r="AH270" i="13"/>
  <c r="AZ270" i="13"/>
  <c r="P271" i="13"/>
  <c r="AQ271" i="13"/>
  <c r="P272" i="13"/>
  <c r="AI272" i="13"/>
  <c r="AQ272" i="13" s="1"/>
  <c r="Z273" i="13"/>
  <c r="AH273" i="13" s="1"/>
  <c r="AZ273" i="13"/>
  <c r="AH274" i="13"/>
  <c r="AZ274" i="13"/>
  <c r="P275" i="13"/>
  <c r="AQ275" i="13"/>
  <c r="P276" i="13"/>
  <c r="AI276" i="13"/>
  <c r="AQ276" i="13" s="1"/>
  <c r="Z277" i="13"/>
  <c r="AH277" i="13" s="1"/>
  <c r="AZ277" i="13"/>
  <c r="AH278" i="13"/>
  <c r="AZ278" i="13"/>
  <c r="P279" i="13"/>
  <c r="AQ279" i="13"/>
  <c r="P280" i="13"/>
  <c r="AI280" i="13"/>
  <c r="AQ280" i="13" s="1"/>
  <c r="Z281" i="13"/>
  <c r="AH281" i="13" s="1"/>
  <c r="AZ281" i="13"/>
  <c r="AH282" i="13"/>
  <c r="AZ282" i="13"/>
  <c r="P283" i="13"/>
  <c r="AQ283" i="13"/>
  <c r="P284" i="13"/>
  <c r="AI284" i="13"/>
  <c r="AQ284" i="13" s="1"/>
  <c r="Z285" i="13"/>
  <c r="AH285" i="13" s="1"/>
  <c r="AZ285" i="13"/>
  <c r="AH286" i="13"/>
  <c r="AZ286" i="13"/>
  <c r="P287" i="13"/>
  <c r="AQ287" i="13"/>
  <c r="P288" i="13"/>
  <c r="AI288" i="13"/>
  <c r="AQ288" i="13" s="1"/>
  <c r="Z289" i="13"/>
  <c r="AH289" i="13" s="1"/>
  <c r="AZ289" i="13"/>
  <c r="AH290" i="13"/>
  <c r="AZ290" i="13"/>
  <c r="P291" i="13"/>
  <c r="AQ291" i="13"/>
  <c r="P292" i="13"/>
  <c r="AI292" i="13"/>
  <c r="AQ292" i="13" s="1"/>
  <c r="Z293" i="13"/>
  <c r="AH293" i="13" s="1"/>
  <c r="AZ293" i="13"/>
  <c r="AH294" i="13"/>
  <c r="AZ294" i="13"/>
  <c r="P295" i="13"/>
  <c r="AQ295" i="13"/>
  <c r="P296" i="13"/>
  <c r="AI296" i="13"/>
  <c r="AQ296" i="13" s="1"/>
  <c r="Z297" i="13"/>
  <c r="AH297" i="13" s="1"/>
  <c r="AZ297" i="13"/>
  <c r="AH298" i="13"/>
  <c r="AZ298" i="13"/>
  <c r="P299" i="13"/>
  <c r="AQ299" i="13"/>
  <c r="P300" i="13"/>
  <c r="AI300" i="13"/>
  <c r="AQ300" i="13" s="1"/>
  <c r="Z301" i="13"/>
  <c r="AH301" i="13" s="1"/>
  <c r="AZ301" i="13"/>
  <c r="AH302" i="13"/>
  <c r="AZ302" i="13"/>
  <c r="P303" i="13"/>
  <c r="AQ303" i="13"/>
  <c r="P304" i="13"/>
  <c r="AI304" i="13"/>
  <c r="AQ304" i="13" s="1"/>
  <c r="Z305" i="13"/>
  <c r="AH305" i="13" s="1"/>
  <c r="AZ305" i="13"/>
  <c r="AH306" i="13"/>
  <c r="AZ306" i="13"/>
  <c r="P307" i="13"/>
  <c r="AQ307" i="13"/>
  <c r="P308" i="13"/>
  <c r="AI308" i="13"/>
  <c r="AQ308" i="13" s="1"/>
  <c r="Z309" i="13"/>
  <c r="AH309" i="13" s="1"/>
  <c r="AZ309" i="13"/>
  <c r="AH310" i="13"/>
  <c r="AZ310" i="13"/>
  <c r="P311" i="13"/>
  <c r="AQ311" i="13"/>
  <c r="P312" i="13"/>
  <c r="AI312" i="13"/>
  <c r="AQ312" i="13" s="1"/>
  <c r="Z313" i="13"/>
  <c r="AH313" i="13" s="1"/>
  <c r="AZ313" i="13"/>
  <c r="AH314" i="13"/>
  <c r="AZ314" i="13"/>
  <c r="P315" i="13"/>
  <c r="AQ315" i="13"/>
  <c r="P316" i="13"/>
  <c r="AI316" i="13"/>
  <c r="AQ316" i="13" s="1"/>
  <c r="Z317" i="13"/>
  <c r="AH317" i="13" s="1"/>
  <c r="AZ317" i="13"/>
  <c r="AH318" i="13"/>
  <c r="AZ318" i="13"/>
  <c r="P319" i="13"/>
  <c r="AQ319" i="13"/>
  <c r="P320" i="13"/>
  <c r="AI320" i="13"/>
  <c r="AQ320" i="13" s="1"/>
  <c r="Z321" i="13"/>
  <c r="AH321" i="13" s="1"/>
  <c r="AZ321" i="13"/>
  <c r="AH322" i="13"/>
  <c r="AZ322" i="13"/>
  <c r="P323" i="13"/>
  <c r="AQ323" i="13"/>
  <c r="P324" i="13"/>
  <c r="AI324" i="13"/>
  <c r="AQ324" i="13" s="1"/>
  <c r="Z325" i="13"/>
  <c r="AH325" i="13" s="1"/>
  <c r="AZ325" i="13"/>
  <c r="AH326" i="13"/>
  <c r="AZ326" i="13"/>
  <c r="P327" i="13"/>
  <c r="AQ327" i="13"/>
  <c r="P328" i="13"/>
  <c r="AI328" i="13"/>
  <c r="AQ328" i="13" s="1"/>
  <c r="Z329" i="13"/>
  <c r="AH329" i="13" s="1"/>
  <c r="AZ329" i="13"/>
  <c r="AH330" i="13"/>
  <c r="AZ330" i="13"/>
  <c r="P331" i="13"/>
  <c r="AQ331" i="13"/>
  <c r="P332" i="13"/>
  <c r="AI332" i="13"/>
  <c r="AQ332" i="13" s="1"/>
  <c r="Z333" i="13"/>
  <c r="AH333" i="13" s="1"/>
  <c r="AZ333" i="13"/>
  <c r="AH334" i="13"/>
  <c r="AZ334" i="13"/>
  <c r="P335" i="13"/>
  <c r="AQ335" i="13"/>
  <c r="P336" i="13"/>
  <c r="AI336" i="13"/>
  <c r="AQ336" i="13" s="1"/>
  <c r="Z337" i="13"/>
  <c r="AH337" i="13" s="1"/>
  <c r="AZ337" i="13"/>
  <c r="AH338" i="13"/>
  <c r="AZ338" i="13"/>
  <c r="P339" i="13"/>
  <c r="AQ339" i="13"/>
  <c r="P340" i="13"/>
  <c r="AI340" i="13"/>
  <c r="AQ340" i="13" s="1"/>
  <c r="Z341" i="13"/>
  <c r="AH341" i="13" s="1"/>
  <c r="AZ341" i="13"/>
  <c r="AH342" i="13"/>
  <c r="AZ342" i="13"/>
  <c r="P343" i="13"/>
  <c r="AQ343" i="13"/>
  <c r="P344" i="13"/>
  <c r="AI344" i="13"/>
  <c r="AQ344" i="13" s="1"/>
  <c r="Z345" i="13"/>
  <c r="AH345" i="13" s="1"/>
  <c r="AZ345" i="13"/>
  <c r="AH346" i="13"/>
  <c r="AZ346" i="13"/>
  <c r="P347" i="13"/>
  <c r="AQ347" i="13"/>
  <c r="P348" i="13"/>
  <c r="AI348" i="13"/>
  <c r="AQ348" i="13" s="1"/>
  <c r="Z349" i="13"/>
  <c r="AH349" i="13" s="1"/>
  <c r="AZ349" i="13"/>
  <c r="AH350" i="13"/>
  <c r="AZ350" i="13"/>
  <c r="P351" i="13"/>
  <c r="AQ351" i="13"/>
  <c r="P352" i="13"/>
  <c r="AI352" i="13"/>
  <c r="AQ352" i="13" s="1"/>
  <c r="AZ356" i="13"/>
  <c r="AI356" i="13"/>
  <c r="AQ356" i="13" s="1"/>
  <c r="AH360" i="13"/>
  <c r="P361" i="13"/>
  <c r="AQ361" i="13"/>
  <c r="AH364" i="13"/>
  <c r="P365" i="13"/>
  <c r="AQ365" i="13"/>
  <c r="AH368" i="13"/>
  <c r="P369" i="13"/>
  <c r="AQ369" i="13"/>
  <c r="AH372" i="13"/>
  <c r="P373" i="13"/>
  <c r="AQ373" i="13"/>
  <c r="AH376" i="13"/>
  <c r="P377" i="13"/>
  <c r="AQ377" i="13"/>
  <c r="AH380" i="13"/>
  <c r="P381" i="13"/>
  <c r="AQ381" i="13"/>
  <c r="AH384" i="13"/>
  <c r="P385" i="13"/>
  <c r="AQ385" i="13"/>
  <c r="AH388" i="13"/>
  <c r="P389" i="13"/>
  <c r="AQ389" i="13"/>
  <c r="AH392" i="13"/>
  <c r="P393" i="13"/>
  <c r="AQ393" i="13"/>
  <c r="AH396" i="13"/>
  <c r="P397" i="13"/>
  <c r="AQ397" i="13"/>
  <c r="AH400" i="13"/>
  <c r="P401" i="13"/>
  <c r="AQ401" i="13"/>
  <c r="AH404" i="13"/>
  <c r="P405" i="13"/>
  <c r="AQ405" i="13"/>
  <c r="AH408" i="13"/>
  <c r="P409" i="13"/>
  <c r="AQ409" i="13"/>
  <c r="AH412" i="13"/>
  <c r="P413" i="13"/>
  <c r="AQ413" i="13"/>
  <c r="AH416" i="13"/>
  <c r="P417" i="13"/>
  <c r="AQ417" i="13"/>
  <c r="AH420" i="13"/>
  <c r="P421" i="13"/>
  <c r="AQ421" i="13"/>
  <c r="AH424" i="13"/>
  <c r="P425" i="13"/>
  <c r="AQ425" i="13"/>
  <c r="AH428" i="13"/>
  <c r="P429" i="13"/>
  <c r="AQ429" i="13"/>
  <c r="AH432" i="13"/>
  <c r="P433" i="13"/>
  <c r="AQ433" i="13"/>
  <c r="AH436" i="13"/>
  <c r="P437" i="13"/>
  <c r="AQ437" i="13"/>
  <c r="AH440" i="13"/>
  <c r="P441" i="13"/>
  <c r="AQ441" i="13"/>
  <c r="AH444" i="13"/>
  <c r="P445" i="13"/>
  <c r="AQ445" i="13"/>
  <c r="AH448" i="13"/>
  <c r="P449" i="13"/>
  <c r="AQ449" i="13"/>
  <c r="AH452" i="13"/>
  <c r="P453" i="13"/>
  <c r="AQ453" i="13"/>
  <c r="AH456" i="13"/>
  <c r="P457" i="13"/>
  <c r="AQ457" i="13"/>
  <c r="AH460" i="13"/>
  <c r="P461" i="13"/>
  <c r="AQ461" i="13"/>
  <c r="AZ464" i="13"/>
  <c r="AI464" i="13"/>
  <c r="AQ464" i="13" s="1"/>
  <c r="AH468" i="13"/>
  <c r="P468" i="13"/>
  <c r="AQ469" i="13"/>
  <c r="Z469" i="13"/>
  <c r="AH469" i="13" s="1"/>
  <c r="AZ472" i="13"/>
  <c r="AI472" i="13"/>
  <c r="AQ472" i="13" s="1"/>
  <c r="AH476" i="13"/>
  <c r="P476" i="13"/>
  <c r="AQ477" i="13"/>
  <c r="Z477" i="13"/>
  <c r="AH477" i="13" s="1"/>
  <c r="AZ480" i="13"/>
  <c r="AI480" i="13"/>
  <c r="AQ480" i="13" s="1"/>
  <c r="AH484" i="13"/>
  <c r="P484" i="13"/>
  <c r="AQ485" i="13"/>
  <c r="Z485" i="13"/>
  <c r="AH485" i="13" s="1"/>
  <c r="AZ488" i="13"/>
  <c r="AI488" i="13"/>
  <c r="AQ488" i="13" s="1"/>
  <c r="AH492" i="13"/>
  <c r="P492" i="13"/>
  <c r="AQ493" i="13"/>
  <c r="Z493" i="13"/>
  <c r="AH493" i="13" s="1"/>
  <c r="AZ496" i="13"/>
  <c r="AI496" i="13"/>
  <c r="AQ496" i="13" s="1"/>
  <c r="AH500" i="13"/>
  <c r="P500" i="13"/>
  <c r="AQ501" i="13"/>
  <c r="Z501" i="13"/>
  <c r="AH501" i="13" s="1"/>
  <c r="AZ504" i="13"/>
  <c r="AI504" i="13"/>
  <c r="AQ504" i="13" s="1"/>
  <c r="AH508" i="13"/>
  <c r="P508" i="13"/>
  <c r="AQ509" i="13"/>
  <c r="Z509" i="13"/>
  <c r="AH509" i="13" s="1"/>
  <c r="AZ512" i="13"/>
  <c r="AI512" i="13"/>
  <c r="AQ512" i="13" s="1"/>
  <c r="AZ353" i="13"/>
  <c r="AH354" i="13"/>
  <c r="AZ354" i="13"/>
  <c r="P355" i="13"/>
  <c r="AQ355" i="13"/>
  <c r="AZ357" i="13"/>
  <c r="AH358" i="13"/>
  <c r="AZ358" i="13"/>
  <c r="P359" i="13"/>
  <c r="AQ359" i="13"/>
  <c r="P360" i="13"/>
  <c r="AI360" i="13"/>
  <c r="AQ360" i="13" s="1"/>
  <c r="Z361" i="13"/>
  <c r="AH361" i="13" s="1"/>
  <c r="AZ361" i="13"/>
  <c r="AH362" i="13"/>
  <c r="AZ362" i="13"/>
  <c r="P363" i="13"/>
  <c r="AQ363" i="13"/>
  <c r="P364" i="13"/>
  <c r="AI364" i="13"/>
  <c r="AQ364" i="13" s="1"/>
  <c r="Z365" i="13"/>
  <c r="AH365" i="13" s="1"/>
  <c r="AZ365" i="13"/>
  <c r="AH366" i="13"/>
  <c r="AZ366" i="13"/>
  <c r="P367" i="13"/>
  <c r="AQ367" i="13"/>
  <c r="P368" i="13"/>
  <c r="AI368" i="13"/>
  <c r="AQ368" i="13" s="1"/>
  <c r="Z369" i="13"/>
  <c r="AH369" i="13" s="1"/>
  <c r="AZ369" i="13"/>
  <c r="AH370" i="13"/>
  <c r="AZ370" i="13"/>
  <c r="P371" i="13"/>
  <c r="AQ371" i="13"/>
  <c r="P372" i="13"/>
  <c r="AI372" i="13"/>
  <c r="AQ372" i="13" s="1"/>
  <c r="Z373" i="13"/>
  <c r="AH373" i="13" s="1"/>
  <c r="AZ373" i="13"/>
  <c r="AH374" i="13"/>
  <c r="AZ374" i="13"/>
  <c r="P375" i="13"/>
  <c r="AQ375" i="13"/>
  <c r="P376" i="13"/>
  <c r="AI376" i="13"/>
  <c r="AQ376" i="13" s="1"/>
  <c r="Z377" i="13"/>
  <c r="AH377" i="13" s="1"/>
  <c r="AZ377" i="13"/>
  <c r="AH378" i="13"/>
  <c r="AZ378" i="13"/>
  <c r="P379" i="13"/>
  <c r="AQ379" i="13"/>
  <c r="P380" i="13"/>
  <c r="AI380" i="13"/>
  <c r="AQ380" i="13" s="1"/>
  <c r="Z381" i="13"/>
  <c r="AH381" i="13" s="1"/>
  <c r="AZ381" i="13"/>
  <c r="AH382" i="13"/>
  <c r="AZ382" i="13"/>
  <c r="P383" i="13"/>
  <c r="AQ383" i="13"/>
  <c r="P384" i="13"/>
  <c r="AI384" i="13"/>
  <c r="AQ384" i="13" s="1"/>
  <c r="Z385" i="13"/>
  <c r="AH385" i="13" s="1"/>
  <c r="AZ385" i="13"/>
  <c r="AH386" i="13"/>
  <c r="AZ386" i="13"/>
  <c r="P387" i="13"/>
  <c r="AQ387" i="13"/>
  <c r="P388" i="13"/>
  <c r="AI388" i="13"/>
  <c r="AQ388" i="13" s="1"/>
  <c r="Z389" i="13"/>
  <c r="AH389" i="13" s="1"/>
  <c r="AZ389" i="13"/>
  <c r="AH390" i="13"/>
  <c r="AZ390" i="13"/>
  <c r="P391" i="13"/>
  <c r="AQ391" i="13"/>
  <c r="P392" i="13"/>
  <c r="AI392" i="13"/>
  <c r="AQ392" i="13" s="1"/>
  <c r="Z393" i="13"/>
  <c r="AH393" i="13" s="1"/>
  <c r="AZ393" i="13"/>
  <c r="AH394" i="13"/>
  <c r="AZ394" i="13"/>
  <c r="P395" i="13"/>
  <c r="AQ395" i="13"/>
  <c r="P396" i="13"/>
  <c r="AI396" i="13"/>
  <c r="AQ396" i="13" s="1"/>
  <c r="Z397" i="13"/>
  <c r="AH397" i="13" s="1"/>
  <c r="AZ397" i="13"/>
  <c r="AH398" i="13"/>
  <c r="AZ398" i="13"/>
  <c r="P399" i="13"/>
  <c r="AQ399" i="13"/>
  <c r="P400" i="13"/>
  <c r="AI400" i="13"/>
  <c r="AQ400" i="13" s="1"/>
  <c r="Z401" i="13"/>
  <c r="AH401" i="13" s="1"/>
  <c r="AZ401" i="13"/>
  <c r="AH402" i="13"/>
  <c r="AZ402" i="13"/>
  <c r="P403" i="13"/>
  <c r="AQ403" i="13"/>
  <c r="P404" i="13"/>
  <c r="AI404" i="13"/>
  <c r="AQ404" i="13" s="1"/>
  <c r="Z405" i="13"/>
  <c r="AH405" i="13" s="1"/>
  <c r="AZ405" i="13"/>
  <c r="AH406" i="13"/>
  <c r="AZ406" i="13"/>
  <c r="P407" i="13"/>
  <c r="AQ407" i="13"/>
  <c r="P408" i="13"/>
  <c r="AI408" i="13"/>
  <c r="AQ408" i="13" s="1"/>
  <c r="Z409" i="13"/>
  <c r="AH409" i="13" s="1"/>
  <c r="AZ409" i="13"/>
  <c r="AH410" i="13"/>
  <c r="AZ410" i="13"/>
  <c r="P411" i="13"/>
  <c r="AQ411" i="13"/>
  <c r="P412" i="13"/>
  <c r="AI412" i="13"/>
  <c r="AQ412" i="13" s="1"/>
  <c r="Z413" i="13"/>
  <c r="AH413" i="13" s="1"/>
  <c r="AZ413" i="13"/>
  <c r="AH414" i="13"/>
  <c r="AZ414" i="13"/>
  <c r="P415" i="13"/>
  <c r="AQ415" i="13"/>
  <c r="P416" i="13"/>
  <c r="AI416" i="13"/>
  <c r="AQ416" i="13" s="1"/>
  <c r="Z417" i="13"/>
  <c r="AH417" i="13" s="1"/>
  <c r="AZ417" i="13"/>
  <c r="AH418" i="13"/>
  <c r="AZ418" i="13"/>
  <c r="P419" i="13"/>
  <c r="AQ419" i="13"/>
  <c r="P420" i="13"/>
  <c r="AI420" i="13"/>
  <c r="AQ420" i="13" s="1"/>
  <c r="Z421" i="13"/>
  <c r="AH421" i="13" s="1"/>
  <c r="AZ421" i="13"/>
  <c r="AH422" i="13"/>
  <c r="AZ422" i="13"/>
  <c r="P423" i="13"/>
  <c r="AQ423" i="13"/>
  <c r="P424" i="13"/>
  <c r="AI424" i="13"/>
  <c r="AQ424" i="13" s="1"/>
  <c r="Z425" i="13"/>
  <c r="AH425" i="13" s="1"/>
  <c r="AZ425" i="13"/>
  <c r="AH426" i="13"/>
  <c r="AZ426" i="13"/>
  <c r="P427" i="13"/>
  <c r="AQ427" i="13"/>
  <c r="P428" i="13"/>
  <c r="AI428" i="13"/>
  <c r="AQ428" i="13" s="1"/>
  <c r="Z429" i="13"/>
  <c r="AH429" i="13" s="1"/>
  <c r="AZ429" i="13"/>
  <c r="AH430" i="13"/>
  <c r="AZ430" i="13"/>
  <c r="P431" i="13"/>
  <c r="AQ431" i="13"/>
  <c r="P432" i="13"/>
  <c r="AI432" i="13"/>
  <c r="AQ432" i="13" s="1"/>
  <c r="Z433" i="13"/>
  <c r="AH433" i="13" s="1"/>
  <c r="AZ433" i="13"/>
  <c r="AH434" i="13"/>
  <c r="AZ434" i="13"/>
  <c r="P435" i="13"/>
  <c r="AQ435" i="13"/>
  <c r="P436" i="13"/>
  <c r="AI436" i="13"/>
  <c r="AQ436" i="13" s="1"/>
  <c r="Z437" i="13"/>
  <c r="AH437" i="13" s="1"/>
  <c r="AZ437" i="13"/>
  <c r="AH438" i="13"/>
  <c r="AZ438" i="13"/>
  <c r="P439" i="13"/>
  <c r="AQ439" i="13"/>
  <c r="P440" i="13"/>
  <c r="AI440" i="13"/>
  <c r="AQ440" i="13" s="1"/>
  <c r="Z441" i="13"/>
  <c r="AH441" i="13" s="1"/>
  <c r="AZ441" i="13"/>
  <c r="AH442" i="13"/>
  <c r="AZ442" i="13"/>
  <c r="P443" i="13"/>
  <c r="AQ443" i="13"/>
  <c r="P444" i="13"/>
  <c r="AI444" i="13"/>
  <c r="AQ444" i="13" s="1"/>
  <c r="Z445" i="13"/>
  <c r="AH445" i="13" s="1"/>
  <c r="AZ445" i="13"/>
  <c r="AH446" i="13"/>
  <c r="AZ446" i="13"/>
  <c r="P447" i="13"/>
  <c r="AQ447" i="13"/>
  <c r="P448" i="13"/>
  <c r="AI448" i="13"/>
  <c r="AQ448" i="13" s="1"/>
  <c r="Z449" i="13"/>
  <c r="AH449" i="13" s="1"/>
  <c r="AZ449" i="13"/>
  <c r="AH450" i="13"/>
  <c r="AZ450" i="13"/>
  <c r="P451" i="13"/>
  <c r="AQ451" i="13"/>
  <c r="P452" i="13"/>
  <c r="AI452" i="13"/>
  <c r="AQ452" i="13" s="1"/>
  <c r="Z453" i="13"/>
  <c r="AH453" i="13" s="1"/>
  <c r="AZ453" i="13"/>
  <c r="AH454" i="13"/>
  <c r="AZ454" i="13"/>
  <c r="P455" i="13"/>
  <c r="AQ455" i="13"/>
  <c r="P456" i="13"/>
  <c r="AI456" i="13"/>
  <c r="AQ456" i="13" s="1"/>
  <c r="Z457" i="13"/>
  <c r="AH457" i="13" s="1"/>
  <c r="AZ457" i="13"/>
  <c r="AH458" i="13"/>
  <c r="AZ458" i="13"/>
  <c r="P459" i="13"/>
  <c r="AQ459" i="13"/>
  <c r="P460" i="13"/>
  <c r="AI460" i="13"/>
  <c r="AQ460" i="13" s="1"/>
  <c r="Z461" i="13"/>
  <c r="AH461" i="13" s="1"/>
  <c r="AZ461" i="13"/>
  <c r="AH462" i="13"/>
  <c r="AZ462" i="13"/>
  <c r="P463" i="13"/>
  <c r="AQ463" i="13"/>
  <c r="AH464" i="13"/>
  <c r="P464" i="13"/>
  <c r="P465" i="13"/>
  <c r="AQ465" i="13"/>
  <c r="Z465" i="13"/>
  <c r="AH465" i="13" s="1"/>
  <c r="AZ468" i="13"/>
  <c r="AI468" i="13"/>
  <c r="AQ468" i="13" s="1"/>
  <c r="AH472" i="13"/>
  <c r="P472" i="13"/>
  <c r="P473" i="13"/>
  <c r="AQ473" i="13"/>
  <c r="Z473" i="13"/>
  <c r="AH473" i="13" s="1"/>
  <c r="AZ476" i="13"/>
  <c r="AI476" i="13"/>
  <c r="AQ476" i="13" s="1"/>
  <c r="AH480" i="13"/>
  <c r="P480" i="13"/>
  <c r="P481" i="13"/>
  <c r="AQ481" i="13"/>
  <c r="Z481" i="13"/>
  <c r="AH481" i="13" s="1"/>
  <c r="AZ484" i="13"/>
  <c r="AI484" i="13"/>
  <c r="AQ484" i="13" s="1"/>
  <c r="AH488" i="13"/>
  <c r="P488" i="13"/>
  <c r="P489" i="13"/>
  <c r="AQ489" i="13"/>
  <c r="Z489" i="13"/>
  <c r="AH489" i="13" s="1"/>
  <c r="AZ492" i="13"/>
  <c r="AI492" i="13"/>
  <c r="AQ492" i="13" s="1"/>
  <c r="AH496" i="13"/>
  <c r="P496" i="13"/>
  <c r="AQ497" i="13"/>
  <c r="Z497" i="13"/>
  <c r="AH497" i="13" s="1"/>
  <c r="AZ500" i="13"/>
  <c r="AI500" i="13"/>
  <c r="AQ500" i="13" s="1"/>
  <c r="AH504" i="13"/>
  <c r="P504" i="13"/>
  <c r="AQ505" i="13"/>
  <c r="Z505" i="13"/>
  <c r="AH505" i="13" s="1"/>
  <c r="AZ508" i="13"/>
  <c r="AI508" i="13"/>
  <c r="AQ508" i="13" s="1"/>
  <c r="AH512" i="13"/>
  <c r="P512" i="13"/>
  <c r="AQ513" i="13"/>
  <c r="Z513" i="13"/>
  <c r="AH513" i="13" s="1"/>
  <c r="AH516" i="13"/>
  <c r="P517" i="13"/>
  <c r="AQ517" i="13"/>
  <c r="AQ519" i="13"/>
  <c r="Z519" i="13"/>
  <c r="AH519" i="13" s="1"/>
  <c r="AZ522" i="13"/>
  <c r="AI522" i="13"/>
  <c r="AQ522" i="13" s="1"/>
  <c r="AH526" i="13"/>
  <c r="P526" i="13"/>
  <c r="AQ527" i="13"/>
  <c r="Z527" i="13"/>
  <c r="AH527" i="13" s="1"/>
  <c r="AZ530" i="13"/>
  <c r="AI530" i="13"/>
  <c r="AQ530" i="13" s="1"/>
  <c r="AH534" i="13"/>
  <c r="P534" i="13"/>
  <c r="AQ535" i="13"/>
  <c r="Z535" i="13"/>
  <c r="AH535" i="13" s="1"/>
  <c r="AZ538" i="13"/>
  <c r="AI538" i="13"/>
  <c r="AQ538" i="13" s="1"/>
  <c r="AH542" i="13"/>
  <c r="P542" i="13"/>
  <c r="AZ544" i="13"/>
  <c r="AI544" i="13"/>
  <c r="AQ544" i="13" s="1"/>
  <c r="AZ465" i="13"/>
  <c r="AH466" i="13"/>
  <c r="AZ466" i="13"/>
  <c r="P467" i="13"/>
  <c r="AQ467" i="13"/>
  <c r="AZ469" i="13"/>
  <c r="AH470" i="13"/>
  <c r="AZ470" i="13"/>
  <c r="P471" i="13"/>
  <c r="AQ471" i="13"/>
  <c r="AZ473" i="13"/>
  <c r="AH474" i="13"/>
  <c r="AZ474" i="13"/>
  <c r="P475" i="13"/>
  <c r="AQ475" i="13"/>
  <c r="AZ477" i="13"/>
  <c r="AH478" i="13"/>
  <c r="AZ478" i="13"/>
  <c r="P479" i="13"/>
  <c r="AQ479" i="13"/>
  <c r="AZ481" i="13"/>
  <c r="AH482" i="13"/>
  <c r="AZ482" i="13"/>
  <c r="P483" i="13"/>
  <c r="AQ483" i="13"/>
  <c r="AZ485" i="13"/>
  <c r="AH486" i="13"/>
  <c r="AZ486" i="13"/>
  <c r="P487" i="13"/>
  <c r="AQ487" i="13"/>
  <c r="AZ489" i="13"/>
  <c r="AH490" i="13"/>
  <c r="AZ490" i="13"/>
  <c r="P491" i="13"/>
  <c r="AQ491" i="13"/>
  <c r="AZ493" i="13"/>
  <c r="AH494" i="13"/>
  <c r="AZ494" i="13"/>
  <c r="P495" i="13"/>
  <c r="AQ495" i="13"/>
  <c r="AZ497" i="13"/>
  <c r="AH498" i="13"/>
  <c r="AZ498" i="13"/>
  <c r="P499" i="13"/>
  <c r="AQ499" i="13"/>
  <c r="AZ501" i="13"/>
  <c r="AH502" i="13"/>
  <c r="AZ502" i="13"/>
  <c r="P503" i="13"/>
  <c r="AQ503" i="13"/>
  <c r="AZ505" i="13"/>
  <c r="AH506" i="13"/>
  <c r="AZ506" i="13"/>
  <c r="P507" i="13"/>
  <c r="AQ507" i="13"/>
  <c r="AZ509" i="13"/>
  <c r="AH510" i="13"/>
  <c r="AZ510" i="13"/>
  <c r="P511" i="13"/>
  <c r="AQ511" i="13"/>
  <c r="AZ513" i="13"/>
  <c r="AH514" i="13"/>
  <c r="AZ514" i="13"/>
  <c r="P515" i="13"/>
  <c r="AQ515" i="13"/>
  <c r="P516" i="13"/>
  <c r="AI516" i="13"/>
  <c r="AQ516" i="13" s="1"/>
  <c r="Z517" i="13"/>
  <c r="AH517" i="13" s="1"/>
  <c r="AZ517" i="13"/>
  <c r="AZ518" i="13"/>
  <c r="AI518" i="13"/>
  <c r="AQ518" i="13" s="1"/>
  <c r="AH522" i="13"/>
  <c r="P522" i="13"/>
  <c r="P523" i="13"/>
  <c r="AQ523" i="13"/>
  <c r="Z523" i="13"/>
  <c r="AH523" i="13" s="1"/>
  <c r="AZ526" i="13"/>
  <c r="AI526" i="13"/>
  <c r="AQ526" i="13" s="1"/>
  <c r="AH530" i="13"/>
  <c r="P530" i="13"/>
  <c r="P531" i="13"/>
  <c r="AQ531" i="13"/>
  <c r="Z531" i="13"/>
  <c r="AH531" i="13" s="1"/>
  <c r="AZ534" i="13"/>
  <c r="AI534" i="13"/>
  <c r="AQ534" i="13" s="1"/>
  <c r="AH538" i="13"/>
  <c r="P538" i="13"/>
  <c r="P539" i="13"/>
  <c r="AQ539" i="13"/>
  <c r="Z539" i="13"/>
  <c r="AH539" i="13" s="1"/>
  <c r="AZ542" i="13"/>
  <c r="AI542" i="13"/>
  <c r="AQ542" i="13" s="1"/>
  <c r="AH544" i="13"/>
  <c r="P544" i="13"/>
  <c r="AZ519" i="13"/>
  <c r="AH520" i="13"/>
  <c r="AZ520" i="13"/>
  <c r="P521" i="13"/>
  <c r="AQ521" i="13"/>
  <c r="AZ523" i="13"/>
  <c r="AH524" i="13"/>
  <c r="AZ524" i="13"/>
  <c r="P525" i="13"/>
  <c r="AQ525" i="13"/>
  <c r="AZ527" i="13"/>
  <c r="AH528" i="13"/>
  <c r="AZ528" i="13"/>
  <c r="P529" i="13"/>
  <c r="AQ529" i="13"/>
  <c r="AZ531" i="13"/>
  <c r="AH532" i="13"/>
  <c r="AZ532" i="13"/>
  <c r="P533" i="13"/>
  <c r="AQ533" i="13"/>
  <c r="AZ535" i="13"/>
  <c r="AH536" i="13"/>
  <c r="AZ536" i="13"/>
  <c r="P537" i="13"/>
  <c r="AQ537" i="13"/>
  <c r="AZ539" i="13"/>
  <c r="AH540" i="13"/>
  <c r="AZ540" i="13"/>
  <c r="P541" i="13"/>
  <c r="AQ541" i="13"/>
  <c r="P543" i="13"/>
  <c r="AQ543" i="13"/>
  <c r="P545" i="13"/>
  <c r="AQ545" i="13"/>
  <c r="AH546" i="13"/>
  <c r="P547" i="13"/>
  <c r="AQ547" i="13"/>
  <c r="AH548" i="13"/>
  <c r="BD6" i="13"/>
  <c r="BH6" i="13" s="1"/>
  <c r="AH89" i="13"/>
  <c r="AZ6" i="13" l="1"/>
  <c r="Q6" i="13"/>
  <c r="Y6" i="13" s="1"/>
  <c r="Y8" i="13"/>
  <c r="AQ8" i="13"/>
  <c r="AI6" i="13"/>
  <c r="AQ6" i="13" s="1"/>
  <c r="P8" i="13"/>
  <c r="P6" i="13"/>
  <c r="Z6" i="13"/>
  <c r="AH6" i="13" s="1"/>
  <c r="CY420" i="4"/>
  <c r="CV420" i="4"/>
  <c r="CQ420" i="4"/>
  <c r="CJ420" i="4"/>
  <c r="CE420" i="4"/>
  <c r="CH420" i="4" s="1"/>
  <c r="CI420" i="4" s="1"/>
  <c r="CC420" i="4"/>
  <c r="CD420" i="4" s="1"/>
  <c r="CB420" i="4"/>
  <c r="BW420" i="4"/>
  <c r="BX420" i="4" s="1"/>
  <c r="BQ420" i="4"/>
  <c r="BT420" i="4" s="1"/>
  <c r="BN420" i="4"/>
  <c r="BR420" i="4" s="1"/>
  <c r="BS420" i="4" s="1"/>
  <c r="BL420" i="4"/>
  <c r="BM420" i="4" s="1"/>
  <c r="BI420" i="4"/>
  <c r="BH420" i="4"/>
  <c r="BG420" i="4"/>
  <c r="BD420" i="4"/>
  <c r="BC420" i="4"/>
  <c r="BB420" i="4"/>
  <c r="AY420" i="4"/>
  <c r="AX420" i="4"/>
  <c r="AT420" i="4"/>
  <c r="AR420" i="4"/>
  <c r="AM420" i="4"/>
  <c r="AJ420" i="4"/>
  <c r="AI420" i="4"/>
  <c r="AG420" i="4"/>
  <c r="AF420" i="4"/>
  <c r="X420" i="4"/>
  <c r="U420" i="4"/>
  <c r="B420" i="4"/>
  <c r="CY419" i="4"/>
  <c r="CV419" i="4"/>
  <c r="CQ419" i="4"/>
  <c r="CJ419" i="4"/>
  <c r="CE419" i="4"/>
  <c r="CH419" i="4" s="1"/>
  <c r="CI419" i="4" s="1"/>
  <c r="CC419" i="4"/>
  <c r="CD419" i="4" s="1"/>
  <c r="CB419" i="4"/>
  <c r="BW419" i="4"/>
  <c r="BX419" i="4" s="1"/>
  <c r="BQ419" i="4"/>
  <c r="BT419" i="4" s="1"/>
  <c r="BN419" i="4"/>
  <c r="BR419" i="4" s="1"/>
  <c r="BS419" i="4" s="1"/>
  <c r="BL419" i="4"/>
  <c r="BM419" i="4" s="1"/>
  <c r="BI419" i="4"/>
  <c r="BH419" i="4"/>
  <c r="BG419" i="4"/>
  <c r="BD419" i="4"/>
  <c r="BC419" i="4"/>
  <c r="BB419" i="4"/>
  <c r="AY419" i="4"/>
  <c r="AX419" i="4"/>
  <c r="AT419" i="4"/>
  <c r="AR419" i="4"/>
  <c r="AM419" i="4"/>
  <c r="AJ419" i="4"/>
  <c r="AI419" i="4"/>
  <c r="AG419" i="4"/>
  <c r="AF419" i="4"/>
  <c r="X419" i="4"/>
  <c r="U419" i="4"/>
  <c r="B419" i="4"/>
  <c r="AN420" i="4" l="1"/>
  <c r="CW420" i="4" s="1"/>
  <c r="AN419" i="4"/>
  <c r="CK419" i="4" s="1"/>
  <c r="V420" i="4"/>
  <c r="O419" i="4"/>
  <c r="CO419" i="4" s="1"/>
  <c r="V419" i="4"/>
  <c r="O420" i="4"/>
  <c r="CY418" i="4"/>
  <c r="CV418" i="4"/>
  <c r="CQ418" i="4"/>
  <c r="CJ418" i="4"/>
  <c r="CE418" i="4"/>
  <c r="CH418" i="4" s="1"/>
  <c r="CI418" i="4" s="1"/>
  <c r="CC418" i="4"/>
  <c r="CD418" i="4" s="1"/>
  <c r="CB418" i="4"/>
  <c r="BW418" i="4"/>
  <c r="BX418" i="4" s="1"/>
  <c r="BN418" i="4"/>
  <c r="BR418" i="4" s="1"/>
  <c r="BS418" i="4" s="1"/>
  <c r="BG418" i="4"/>
  <c r="BC418" i="4"/>
  <c r="BB418" i="4"/>
  <c r="AY418" i="4"/>
  <c r="AX418" i="4"/>
  <c r="AT418" i="4"/>
  <c r="AR418" i="4"/>
  <c r="AM418" i="4"/>
  <c r="AJ418" i="4"/>
  <c r="AI418" i="4"/>
  <c r="AG418" i="4"/>
  <c r="AF418" i="4"/>
  <c r="X418" i="4"/>
  <c r="U418" i="4"/>
  <c r="B418" i="4"/>
  <c r="BQ418" i="4" s="1"/>
  <c r="BT418" i="4" s="1"/>
  <c r="CY417" i="4"/>
  <c r="CV417" i="4"/>
  <c r="CQ417" i="4"/>
  <c r="CJ417" i="4"/>
  <c r="CE417" i="4"/>
  <c r="CH417" i="4" s="1"/>
  <c r="CI417" i="4" s="1"/>
  <c r="CC417" i="4"/>
  <c r="CD417" i="4" s="1"/>
  <c r="CB417" i="4"/>
  <c r="BW417" i="4"/>
  <c r="BX417" i="4" s="1"/>
  <c r="BN417" i="4"/>
  <c r="BR417" i="4" s="1"/>
  <c r="BS417" i="4" s="1"/>
  <c r="BG417" i="4"/>
  <c r="BC417" i="4"/>
  <c r="BB417" i="4"/>
  <c r="AY417" i="4"/>
  <c r="AX417" i="4"/>
  <c r="AT417" i="4"/>
  <c r="AR417" i="4"/>
  <c r="AM417" i="4"/>
  <c r="AJ417" i="4"/>
  <c r="AI417" i="4"/>
  <c r="AG417" i="4"/>
  <c r="AF417" i="4"/>
  <c r="X417" i="4"/>
  <c r="U417" i="4"/>
  <c r="B417" i="4"/>
  <c r="BQ417" i="4" s="1"/>
  <c r="BT417" i="4" s="1"/>
  <c r="CY416" i="4"/>
  <c r="CV416" i="4"/>
  <c r="CQ416" i="4"/>
  <c r="CJ416" i="4"/>
  <c r="CE416" i="4"/>
  <c r="CH416" i="4" s="1"/>
  <c r="CI416" i="4" s="1"/>
  <c r="CC416" i="4"/>
  <c r="CD416" i="4" s="1"/>
  <c r="CB416" i="4"/>
  <c r="BW416" i="4"/>
  <c r="BX416" i="4" s="1"/>
  <c r="BQ416" i="4"/>
  <c r="BT416" i="4" s="1"/>
  <c r="BN416" i="4"/>
  <c r="BR416" i="4" s="1"/>
  <c r="BS416" i="4" s="1"/>
  <c r="BL416" i="4"/>
  <c r="BM416" i="4" s="1"/>
  <c r="BH416" i="4"/>
  <c r="BG416" i="4"/>
  <c r="BC416" i="4"/>
  <c r="BB416" i="4"/>
  <c r="AY416" i="4"/>
  <c r="AX416" i="4"/>
  <c r="AT416" i="4"/>
  <c r="AR416" i="4"/>
  <c r="AM416" i="4"/>
  <c r="AJ416" i="4"/>
  <c r="AI416" i="4"/>
  <c r="AG416" i="4"/>
  <c r="AF416" i="4"/>
  <c r="X416" i="4"/>
  <c r="U416" i="4"/>
  <c r="B416" i="4"/>
  <c r="CY415" i="4"/>
  <c r="CV415" i="4"/>
  <c r="CQ415" i="4"/>
  <c r="CJ415" i="4"/>
  <c r="CE415" i="4"/>
  <c r="CH415" i="4" s="1"/>
  <c r="CI415" i="4" s="1"/>
  <c r="CC415" i="4"/>
  <c r="CD415" i="4" s="1"/>
  <c r="CB415" i="4"/>
  <c r="BW415" i="4"/>
  <c r="BX415" i="4" s="1"/>
  <c r="BQ415" i="4"/>
  <c r="BT415" i="4" s="1"/>
  <c r="BN415" i="4"/>
  <c r="BR415" i="4" s="1"/>
  <c r="BS415" i="4" s="1"/>
  <c r="BL415" i="4"/>
  <c r="BM415" i="4" s="1"/>
  <c r="BH415" i="4"/>
  <c r="BG415" i="4"/>
  <c r="BC415" i="4"/>
  <c r="BB415" i="4"/>
  <c r="AY415" i="4"/>
  <c r="AX415" i="4"/>
  <c r="AT415" i="4"/>
  <c r="AR415" i="4"/>
  <c r="AM415" i="4"/>
  <c r="AJ415" i="4"/>
  <c r="AI415" i="4"/>
  <c r="AG415" i="4"/>
  <c r="AF415" i="4"/>
  <c r="X415" i="4"/>
  <c r="U415" i="4"/>
  <c r="B415" i="4"/>
  <c r="CY414" i="4"/>
  <c r="CV414" i="4"/>
  <c r="CQ414" i="4"/>
  <c r="CJ414" i="4"/>
  <c r="CE414" i="4"/>
  <c r="CH414" i="4" s="1"/>
  <c r="CI414" i="4" s="1"/>
  <c r="CC414" i="4"/>
  <c r="CD414" i="4" s="1"/>
  <c r="CB414" i="4"/>
  <c r="BW414" i="4"/>
  <c r="BX414" i="4" s="1"/>
  <c r="BQ414" i="4"/>
  <c r="BT414" i="4" s="1"/>
  <c r="BN414" i="4"/>
  <c r="BR414" i="4" s="1"/>
  <c r="BS414" i="4" s="1"/>
  <c r="BH414" i="4"/>
  <c r="BG414" i="4"/>
  <c r="BC414" i="4"/>
  <c r="BB414" i="4"/>
  <c r="AY414" i="4"/>
  <c r="AX414" i="4"/>
  <c r="AT414" i="4"/>
  <c r="AR414" i="4"/>
  <c r="AM414" i="4"/>
  <c r="AJ414" i="4"/>
  <c r="AI414" i="4"/>
  <c r="AG414" i="4"/>
  <c r="AF414" i="4"/>
  <c r="X414" i="4"/>
  <c r="U414" i="4"/>
  <c r="B414" i="4"/>
  <c r="BL414" i="4" s="1"/>
  <c r="BM414" i="4" s="1"/>
  <c r="CK420" i="4" l="1"/>
  <c r="BY420" i="4"/>
  <c r="CN419" i="4"/>
  <c r="AA419" i="4"/>
  <c r="Z419" i="4" s="1"/>
  <c r="AC419" i="4" s="1"/>
  <c r="BY419" i="4"/>
  <c r="CW419" i="4"/>
  <c r="AE419" i="4"/>
  <c r="AP419" i="4" s="1"/>
  <c r="CN420" i="4"/>
  <c r="CO420" i="4"/>
  <c r="AE420" i="4"/>
  <c r="AP420" i="4" s="1"/>
  <c r="AA420" i="4"/>
  <c r="Z420" i="4" s="1"/>
  <c r="AC420" i="4" s="1"/>
  <c r="L418" i="4"/>
  <c r="BI418" i="4" s="1"/>
  <c r="J418" i="4"/>
  <c r="V418" i="4"/>
  <c r="AN418" i="4"/>
  <c r="CW418" i="4" s="1"/>
  <c r="K418" i="4"/>
  <c r="BL418" i="4"/>
  <c r="BM418" i="4" s="1"/>
  <c r="O418" i="4"/>
  <c r="BH418" i="4"/>
  <c r="L417" i="4"/>
  <c r="V417" i="4"/>
  <c r="AN417" i="4"/>
  <c r="CK417" i="4" s="1"/>
  <c r="K417" i="4"/>
  <c r="BL417" i="4"/>
  <c r="BM417" i="4" s="1"/>
  <c r="O417" i="4"/>
  <c r="BH417" i="4"/>
  <c r="J417" i="4"/>
  <c r="AN416" i="4"/>
  <c r="BY416" i="4" s="1"/>
  <c r="AN415" i="4"/>
  <c r="CK415" i="4" s="1"/>
  <c r="V416" i="4"/>
  <c r="J416" i="4"/>
  <c r="L416" i="4"/>
  <c r="K416" i="4"/>
  <c r="O416" i="4"/>
  <c r="J415" i="4"/>
  <c r="L415" i="4"/>
  <c r="K415" i="4"/>
  <c r="O415" i="4"/>
  <c r="V415" i="4"/>
  <c r="K414" i="4"/>
  <c r="V414" i="4"/>
  <c r="J414" i="4"/>
  <c r="L414" i="4"/>
  <c r="O414" i="4"/>
  <c r="AN414" i="4"/>
  <c r="B287" i="3"/>
  <c r="K287" i="3" s="1"/>
  <c r="U287" i="3"/>
  <c r="X287" i="3"/>
  <c r="AF287" i="3"/>
  <c r="AG287" i="3"/>
  <c r="AI287" i="3"/>
  <c r="AJ287" i="3"/>
  <c r="AL287" i="3"/>
  <c r="AM287" i="3"/>
  <c r="AR287" i="3"/>
  <c r="AT287" i="3"/>
  <c r="AY287" i="3"/>
  <c r="BB287" i="3"/>
  <c r="B286" i="3"/>
  <c r="CQ286" i="3" s="1"/>
  <c r="U286" i="3"/>
  <c r="X286" i="3"/>
  <c r="AF286" i="3"/>
  <c r="AG286" i="3"/>
  <c r="AI286" i="3"/>
  <c r="AJ286" i="3"/>
  <c r="CV286" i="3" s="1"/>
  <c r="AL286" i="3"/>
  <c r="AM286" i="3"/>
  <c r="AR286" i="3"/>
  <c r="AT286" i="3"/>
  <c r="AY286" i="3"/>
  <c r="BB286" i="3"/>
  <c r="K286" i="3" l="1"/>
  <c r="BD418" i="4"/>
  <c r="CK418" i="4"/>
  <c r="BY418" i="4"/>
  <c r="CO418" i="4"/>
  <c r="AA418" i="4"/>
  <c r="Z418" i="4" s="1"/>
  <c r="AC418" i="4" s="1"/>
  <c r="CN418" i="4"/>
  <c r="AE418" i="4"/>
  <c r="AP418" i="4" s="1"/>
  <c r="BY417" i="4"/>
  <c r="BY415" i="4"/>
  <c r="CW417" i="4"/>
  <c r="BI417" i="4"/>
  <c r="BD417" i="4"/>
  <c r="CW415" i="4"/>
  <c r="CO417" i="4"/>
  <c r="AA417" i="4"/>
  <c r="Z417" i="4" s="1"/>
  <c r="AC417" i="4" s="1"/>
  <c r="AE417" i="4"/>
  <c r="AP417" i="4" s="1"/>
  <c r="CN417" i="4"/>
  <c r="CK416" i="4"/>
  <c r="CW416" i="4"/>
  <c r="CN416" i="4"/>
  <c r="CO416" i="4"/>
  <c r="AE416" i="4"/>
  <c r="AP416" i="4" s="1"/>
  <c r="AA416" i="4"/>
  <c r="Z416" i="4" s="1"/>
  <c r="AC416" i="4" s="1"/>
  <c r="BD416" i="4"/>
  <c r="BI416" i="4"/>
  <c r="CN415" i="4"/>
  <c r="CO415" i="4"/>
  <c r="AE415" i="4"/>
  <c r="AP415" i="4" s="1"/>
  <c r="AA415" i="4"/>
  <c r="Z415" i="4" s="1"/>
  <c r="AC415" i="4" s="1"/>
  <c r="BD415" i="4"/>
  <c r="BI415" i="4"/>
  <c r="CN414" i="4"/>
  <c r="CO414" i="4"/>
  <c r="AE414" i="4"/>
  <c r="AP414" i="4" s="1"/>
  <c r="AA414" i="4"/>
  <c r="Z414" i="4" s="1"/>
  <c r="AC414" i="4" s="1"/>
  <c r="CW414" i="4"/>
  <c r="CK414" i="4"/>
  <c r="BY414" i="4"/>
  <c r="BD414" i="4"/>
  <c r="BI414" i="4"/>
  <c r="J287" i="3"/>
  <c r="AX287" i="3"/>
  <c r="L287" i="3"/>
  <c r="AN287" i="3"/>
  <c r="V287" i="3"/>
  <c r="O287" i="3"/>
  <c r="J286" i="3"/>
  <c r="AX286" i="3"/>
  <c r="L286" i="3"/>
  <c r="AN286" i="3"/>
  <c r="V286" i="3"/>
  <c r="O286" i="3"/>
  <c r="CW286" i="3" l="1"/>
  <c r="CK286" i="3"/>
  <c r="CW287" i="3"/>
  <c r="CK287" i="3"/>
  <c r="CO286" i="3"/>
  <c r="CN286" i="3"/>
  <c r="CN287" i="3"/>
  <c r="CO287" i="3"/>
  <c r="AE287" i="3"/>
  <c r="AP287" i="3" s="1"/>
  <c r="AA287" i="3"/>
  <c r="Z287" i="3" s="1"/>
  <c r="AC287" i="3" s="1"/>
  <c r="AE286" i="3"/>
  <c r="AP286" i="3" s="1"/>
  <c r="AA286" i="3"/>
  <c r="Z286" i="3" s="1"/>
  <c r="AC286" i="3" s="1"/>
  <c r="I4" i="12" l="1"/>
  <c r="H4" i="12"/>
  <c r="G4" i="12"/>
  <c r="F4" i="12"/>
  <c r="D4" i="12"/>
  <c r="C4" i="12"/>
  <c r="B4" i="12"/>
  <c r="A4" i="12"/>
  <c r="G3" i="1" l="1"/>
  <c r="CY413" i="4" l="1"/>
  <c r="CV413" i="4"/>
  <c r="CQ413" i="4"/>
  <c r="CJ413" i="4"/>
  <c r="CE413" i="4"/>
  <c r="CH413" i="4" s="1"/>
  <c r="CI413" i="4" s="1"/>
  <c r="CC413" i="4"/>
  <c r="CD413" i="4" s="1"/>
  <c r="CB413" i="4"/>
  <c r="BW413" i="4"/>
  <c r="BX413" i="4" s="1"/>
  <c r="BQ413" i="4"/>
  <c r="BT413" i="4" s="1"/>
  <c r="BN413" i="4"/>
  <c r="BR413" i="4" s="1"/>
  <c r="BS413" i="4" s="1"/>
  <c r="BL413" i="4"/>
  <c r="BM413" i="4" s="1"/>
  <c r="BH413" i="4"/>
  <c r="BG413" i="4"/>
  <c r="BC413" i="4"/>
  <c r="BB413" i="4"/>
  <c r="AY413" i="4"/>
  <c r="AX413" i="4"/>
  <c r="AT413" i="4"/>
  <c r="AR413" i="4"/>
  <c r="AM413" i="4"/>
  <c r="AJ413" i="4"/>
  <c r="AI413" i="4"/>
  <c r="AG413" i="4"/>
  <c r="AF413" i="4"/>
  <c r="X413" i="4"/>
  <c r="U413" i="4"/>
  <c r="B413" i="4"/>
  <c r="AN413" i="4" l="1"/>
  <c r="CK413" i="4" s="1"/>
  <c r="V413" i="4"/>
  <c r="J413" i="4"/>
  <c r="L413" i="4"/>
  <c r="K413" i="4"/>
  <c r="O413" i="4"/>
  <c r="CW413" i="4" l="1"/>
  <c r="BY413" i="4"/>
  <c r="CN413" i="4"/>
  <c r="CO413" i="4"/>
  <c r="AE413" i="4"/>
  <c r="AP413" i="4" s="1"/>
  <c r="AA413" i="4"/>
  <c r="Z413" i="4" s="1"/>
  <c r="AC413" i="4" s="1"/>
  <c r="BD413" i="4"/>
  <c r="BI413" i="4"/>
  <c r="CY412" i="4"/>
  <c r="CV412" i="4"/>
  <c r="CQ412" i="4"/>
  <c r="CJ412" i="4"/>
  <c r="CE412" i="4"/>
  <c r="CH412" i="4" s="1"/>
  <c r="CI412" i="4" s="1"/>
  <c r="CC412" i="4"/>
  <c r="CD412" i="4" s="1"/>
  <c r="CB412" i="4"/>
  <c r="BW412" i="4"/>
  <c r="BX412" i="4" s="1"/>
  <c r="BQ412" i="4"/>
  <c r="BT412" i="4" s="1"/>
  <c r="BN412" i="4"/>
  <c r="BR412" i="4" s="1"/>
  <c r="BS412" i="4" s="1"/>
  <c r="BL412" i="4"/>
  <c r="BM412" i="4" s="1"/>
  <c r="BH412" i="4"/>
  <c r="BG412" i="4"/>
  <c r="BC412" i="4"/>
  <c r="BB412" i="4"/>
  <c r="AY412" i="4"/>
  <c r="AX412" i="4"/>
  <c r="AT412" i="4"/>
  <c r="AR412" i="4"/>
  <c r="AM412" i="4"/>
  <c r="AJ412" i="4"/>
  <c r="AI412" i="4"/>
  <c r="AG412" i="4"/>
  <c r="AF412" i="4"/>
  <c r="X412" i="4"/>
  <c r="U412" i="4"/>
  <c r="B412" i="4"/>
  <c r="CY411" i="4"/>
  <c r="CV411" i="4"/>
  <c r="CQ411" i="4"/>
  <c r="CJ411" i="4"/>
  <c r="CE411" i="4"/>
  <c r="CH411" i="4" s="1"/>
  <c r="CI411" i="4" s="1"/>
  <c r="CC411" i="4"/>
  <c r="CD411" i="4" s="1"/>
  <c r="CB411" i="4"/>
  <c r="BW411" i="4"/>
  <c r="BX411" i="4" s="1"/>
  <c r="BQ411" i="4"/>
  <c r="BT411" i="4" s="1"/>
  <c r="BN411" i="4"/>
  <c r="BR411" i="4" s="1"/>
  <c r="BS411" i="4" s="1"/>
  <c r="BL411" i="4"/>
  <c r="BM411" i="4" s="1"/>
  <c r="BH411" i="4"/>
  <c r="BG411" i="4"/>
  <c r="BC411" i="4"/>
  <c r="BB411" i="4"/>
  <c r="AY411" i="4"/>
  <c r="AX411" i="4"/>
  <c r="AT411" i="4"/>
  <c r="AR411" i="4"/>
  <c r="AM411" i="4"/>
  <c r="AJ411" i="4"/>
  <c r="AI411" i="4"/>
  <c r="AG411" i="4"/>
  <c r="AF411" i="4"/>
  <c r="X411" i="4"/>
  <c r="U411" i="4"/>
  <c r="B411" i="4"/>
  <c r="CY410" i="4"/>
  <c r="CV410" i="4"/>
  <c r="CQ410" i="4"/>
  <c r="CJ410" i="4"/>
  <c r="CE410" i="4"/>
  <c r="CH410" i="4" s="1"/>
  <c r="CI410" i="4" s="1"/>
  <c r="CC410" i="4"/>
  <c r="CD410" i="4" s="1"/>
  <c r="CB410" i="4"/>
  <c r="BW410" i="4"/>
  <c r="BX410" i="4" s="1"/>
  <c r="BQ410" i="4"/>
  <c r="BT410" i="4" s="1"/>
  <c r="BN410" i="4"/>
  <c r="BR410" i="4" s="1"/>
  <c r="BS410" i="4" s="1"/>
  <c r="BL410" i="4"/>
  <c r="BM410" i="4" s="1"/>
  <c r="BH410" i="4"/>
  <c r="BG410" i="4"/>
  <c r="BC410" i="4"/>
  <c r="BB410" i="4"/>
  <c r="AY410" i="4"/>
  <c r="AX410" i="4"/>
  <c r="AT410" i="4"/>
  <c r="AR410" i="4"/>
  <c r="AM410" i="4"/>
  <c r="AJ410" i="4"/>
  <c r="AI410" i="4"/>
  <c r="AG410" i="4"/>
  <c r="AF410" i="4"/>
  <c r="X410" i="4"/>
  <c r="U410" i="4"/>
  <c r="B410" i="4"/>
  <c r="CY409" i="4"/>
  <c r="CV409" i="4"/>
  <c r="CQ409" i="4"/>
  <c r="CJ409" i="4"/>
  <c r="CE409" i="4"/>
  <c r="CH409" i="4" s="1"/>
  <c r="CI409" i="4" s="1"/>
  <c r="CC409" i="4"/>
  <c r="CD409" i="4" s="1"/>
  <c r="CB409" i="4"/>
  <c r="BW409" i="4"/>
  <c r="BX409" i="4" s="1"/>
  <c r="BQ409" i="4"/>
  <c r="BT409" i="4" s="1"/>
  <c r="BN409" i="4"/>
  <c r="BR409" i="4" s="1"/>
  <c r="BS409" i="4" s="1"/>
  <c r="BL409" i="4"/>
  <c r="BM409" i="4" s="1"/>
  <c r="BH409" i="4"/>
  <c r="BG409" i="4"/>
  <c r="BC409" i="4"/>
  <c r="BB409" i="4"/>
  <c r="AY409" i="4"/>
  <c r="AX409" i="4"/>
  <c r="AT409" i="4"/>
  <c r="AR409" i="4"/>
  <c r="AM409" i="4"/>
  <c r="AJ409" i="4"/>
  <c r="AI409" i="4"/>
  <c r="AG409" i="4"/>
  <c r="AF409" i="4"/>
  <c r="X409" i="4"/>
  <c r="U409" i="4"/>
  <c r="B409" i="4"/>
  <c r="CY408" i="4"/>
  <c r="CV408" i="4"/>
  <c r="CQ408" i="4"/>
  <c r="CJ408" i="4"/>
  <c r="CE408" i="4"/>
  <c r="CH408" i="4" s="1"/>
  <c r="CI408" i="4" s="1"/>
  <c r="CC408" i="4"/>
  <c r="CD408" i="4" s="1"/>
  <c r="CB408" i="4"/>
  <c r="BW408" i="4"/>
  <c r="BX408" i="4" s="1"/>
  <c r="BQ408" i="4"/>
  <c r="BT408" i="4" s="1"/>
  <c r="BN408" i="4"/>
  <c r="BR408" i="4" s="1"/>
  <c r="BS408" i="4" s="1"/>
  <c r="BL408" i="4"/>
  <c r="BM408" i="4" s="1"/>
  <c r="BG408" i="4"/>
  <c r="BC408" i="4"/>
  <c r="BB408" i="4"/>
  <c r="AY408" i="4"/>
  <c r="AX408" i="4"/>
  <c r="AT408" i="4"/>
  <c r="AR408" i="4"/>
  <c r="AM408" i="4"/>
  <c r="AJ408" i="4"/>
  <c r="AI408" i="4"/>
  <c r="AG408" i="4"/>
  <c r="AF408" i="4"/>
  <c r="X408" i="4"/>
  <c r="U408" i="4"/>
  <c r="B408" i="4"/>
  <c r="BH408" i="4" s="1"/>
  <c r="CY407" i="4"/>
  <c r="CV407" i="4"/>
  <c r="CQ407" i="4"/>
  <c r="CJ407" i="4"/>
  <c r="CE407" i="4"/>
  <c r="CH407" i="4" s="1"/>
  <c r="CI407" i="4" s="1"/>
  <c r="CC407" i="4"/>
  <c r="CD407" i="4" s="1"/>
  <c r="CB407" i="4"/>
  <c r="BW407" i="4"/>
  <c r="BX407" i="4" s="1"/>
  <c r="BQ407" i="4"/>
  <c r="BT407" i="4" s="1"/>
  <c r="BN407" i="4"/>
  <c r="BR407" i="4" s="1"/>
  <c r="BS407" i="4" s="1"/>
  <c r="BL407" i="4"/>
  <c r="BM407" i="4" s="1"/>
  <c r="BH407" i="4"/>
  <c r="BG407" i="4"/>
  <c r="BC407" i="4"/>
  <c r="BB407" i="4"/>
  <c r="AY407" i="4"/>
  <c r="AX407" i="4"/>
  <c r="AT407" i="4"/>
  <c r="AR407" i="4"/>
  <c r="AM407" i="4"/>
  <c r="AJ407" i="4"/>
  <c r="AI407" i="4"/>
  <c r="AG407" i="4"/>
  <c r="AF407" i="4"/>
  <c r="X407" i="4"/>
  <c r="U407" i="4"/>
  <c r="B407" i="4"/>
  <c r="AN412" i="4" l="1"/>
  <c r="CK412" i="4" s="1"/>
  <c r="AN411" i="4"/>
  <c r="CW411" i="4" s="1"/>
  <c r="AN409" i="4"/>
  <c r="CW409" i="4" s="1"/>
  <c r="AN407" i="4"/>
  <c r="CW407" i="4" s="1"/>
  <c r="AN410" i="4"/>
  <c r="CW410" i="4" s="1"/>
  <c r="K408" i="4"/>
  <c r="V408" i="4"/>
  <c r="J408" i="4"/>
  <c r="L408" i="4"/>
  <c r="J409" i="4"/>
  <c r="L409" i="4"/>
  <c r="J410" i="4"/>
  <c r="L410" i="4"/>
  <c r="J411" i="4"/>
  <c r="L411" i="4"/>
  <c r="J412" i="4"/>
  <c r="L412" i="4"/>
  <c r="O408" i="4"/>
  <c r="AN408" i="4"/>
  <c r="K409" i="4"/>
  <c r="O409" i="4"/>
  <c r="V409" i="4"/>
  <c r="K410" i="4"/>
  <c r="O410" i="4"/>
  <c r="V410" i="4"/>
  <c r="K411" i="4"/>
  <c r="O411" i="4"/>
  <c r="V411" i="4"/>
  <c r="K412" i="4"/>
  <c r="O412" i="4"/>
  <c r="V412" i="4"/>
  <c r="V407" i="4"/>
  <c r="J407" i="4"/>
  <c r="L407" i="4"/>
  <c r="K407" i="4"/>
  <c r="O407" i="4"/>
  <c r="X3" i="1"/>
  <c r="U3" i="1"/>
  <c r="BK3" i="1"/>
  <c r="BP1" i="1"/>
  <c r="BR3" i="1"/>
  <c r="BS3" i="1"/>
  <c r="CU406" i="4"/>
  <c r="CR406" i="4"/>
  <c r="CM406" i="4"/>
  <c r="CF406" i="4"/>
  <c r="CA406" i="4"/>
  <c r="CD406" i="4" s="1"/>
  <c r="CE406" i="4" s="1"/>
  <c r="BY406" i="4"/>
  <c r="BZ406" i="4" s="1"/>
  <c r="BX406" i="4"/>
  <c r="BS406" i="4"/>
  <c r="BT406" i="4" s="1"/>
  <c r="BM406" i="4"/>
  <c r="BP406" i="4" s="1"/>
  <c r="BJ406" i="4"/>
  <c r="BN406" i="4" s="1"/>
  <c r="BO406" i="4" s="1"/>
  <c r="BD406" i="4"/>
  <c r="BC406" i="4"/>
  <c r="AY406" i="4"/>
  <c r="AX406" i="4"/>
  <c r="AT406" i="4"/>
  <c r="AR406" i="4"/>
  <c r="AM406" i="4"/>
  <c r="AJ406" i="4"/>
  <c r="AI406" i="4"/>
  <c r="AG406" i="4"/>
  <c r="AF406" i="4"/>
  <c r="X406" i="4"/>
  <c r="U406" i="4"/>
  <c r="B406" i="4"/>
  <c r="BH406" i="4" s="1"/>
  <c r="BI406" i="4" s="1"/>
  <c r="CU405" i="4"/>
  <c r="CR405" i="4"/>
  <c r="CM405" i="4"/>
  <c r="CF405" i="4"/>
  <c r="CA405" i="4"/>
  <c r="CD405" i="4" s="1"/>
  <c r="CE405" i="4" s="1"/>
  <c r="BY405" i="4"/>
  <c r="BZ405" i="4" s="1"/>
  <c r="BX405" i="4"/>
  <c r="BS405" i="4"/>
  <c r="BT405" i="4" s="1"/>
  <c r="BM405" i="4"/>
  <c r="BP405" i="4" s="1"/>
  <c r="BJ405" i="4"/>
  <c r="BN405" i="4" s="1"/>
  <c r="BO405" i="4" s="1"/>
  <c r="BH405" i="4"/>
  <c r="BI405" i="4" s="1"/>
  <c r="BD405" i="4"/>
  <c r="BC405" i="4"/>
  <c r="AY405" i="4"/>
  <c r="AX405" i="4"/>
  <c r="AT405" i="4"/>
  <c r="AR405" i="4"/>
  <c r="AM405" i="4"/>
  <c r="AJ405" i="4"/>
  <c r="AI405" i="4"/>
  <c r="AG405" i="4"/>
  <c r="AF405" i="4"/>
  <c r="X405" i="4"/>
  <c r="U405" i="4"/>
  <c r="B405" i="4"/>
  <c r="CU404" i="4"/>
  <c r="CR404" i="4"/>
  <c r="CM404" i="4"/>
  <c r="CF404" i="4"/>
  <c r="CA404" i="4"/>
  <c r="CD404" i="4" s="1"/>
  <c r="CE404" i="4" s="1"/>
  <c r="BY404" i="4"/>
  <c r="BZ404" i="4" s="1"/>
  <c r="BX404" i="4"/>
  <c r="BS404" i="4"/>
  <c r="BT404" i="4" s="1"/>
  <c r="BM404" i="4"/>
  <c r="BP404" i="4" s="1"/>
  <c r="BJ404" i="4"/>
  <c r="BN404" i="4" s="1"/>
  <c r="BO404" i="4" s="1"/>
  <c r="BH404" i="4"/>
  <c r="BI404" i="4" s="1"/>
  <c r="BD404" i="4"/>
  <c r="BC404" i="4"/>
  <c r="AY404" i="4"/>
  <c r="AX404" i="4"/>
  <c r="AT404" i="4"/>
  <c r="AR404" i="4"/>
  <c r="AM404" i="4"/>
  <c r="AJ404" i="4"/>
  <c r="AI404" i="4"/>
  <c r="AG404" i="4"/>
  <c r="AF404" i="4"/>
  <c r="X404" i="4"/>
  <c r="U404" i="4"/>
  <c r="B404" i="4"/>
  <c r="CU403" i="4"/>
  <c r="CR403" i="4"/>
  <c r="CM403" i="4"/>
  <c r="CF403" i="4"/>
  <c r="CA403" i="4"/>
  <c r="CD403" i="4" s="1"/>
  <c r="CE403" i="4" s="1"/>
  <c r="BY403" i="4"/>
  <c r="BZ403" i="4" s="1"/>
  <c r="BX403" i="4"/>
  <c r="BS403" i="4"/>
  <c r="BT403" i="4" s="1"/>
  <c r="BJ403" i="4"/>
  <c r="BN403" i="4" s="1"/>
  <c r="BO403" i="4" s="1"/>
  <c r="BC403" i="4"/>
  <c r="AY403" i="4"/>
  <c r="AX403" i="4"/>
  <c r="AT403" i="4"/>
  <c r="AR403" i="4"/>
  <c r="AM403" i="4"/>
  <c r="AJ403" i="4"/>
  <c r="AI403" i="4"/>
  <c r="AG403" i="4"/>
  <c r="AF403" i="4"/>
  <c r="X403" i="4"/>
  <c r="U403" i="4"/>
  <c r="B403" i="4"/>
  <c r="BH403" i="4" s="1"/>
  <c r="BI403" i="4" s="1"/>
  <c r="BN3" i="1" l="1"/>
  <c r="AZ3" i="1"/>
  <c r="AZ1" i="1" s="1"/>
  <c r="K3" i="1"/>
  <c r="J3" i="1"/>
  <c r="L3" i="1"/>
  <c r="BY3" i="1" s="1"/>
  <c r="CW412" i="4"/>
  <c r="BY412" i="4"/>
  <c r="CK411" i="4"/>
  <c r="BY411" i="4"/>
  <c r="BY409" i="4"/>
  <c r="CK409" i="4"/>
  <c r="CK407" i="4"/>
  <c r="BY407" i="4"/>
  <c r="CK410" i="4"/>
  <c r="BY410" i="4"/>
  <c r="CN412" i="4"/>
  <c r="CO412" i="4"/>
  <c r="AE412" i="4"/>
  <c r="AP412" i="4" s="1"/>
  <c r="AA412" i="4"/>
  <c r="Z412" i="4" s="1"/>
  <c r="AC412" i="4" s="1"/>
  <c r="CN410" i="4"/>
  <c r="CO410" i="4"/>
  <c r="AE410" i="4"/>
  <c r="AP410" i="4" s="1"/>
  <c r="AA410" i="4"/>
  <c r="Z410" i="4" s="1"/>
  <c r="AC410" i="4" s="1"/>
  <c r="CN408" i="4"/>
  <c r="CO408" i="4"/>
  <c r="AE408" i="4"/>
  <c r="AP408" i="4" s="1"/>
  <c r="AA408" i="4"/>
  <c r="Z408" i="4" s="1"/>
  <c r="AC408" i="4" s="1"/>
  <c r="CN411" i="4"/>
  <c r="CO411" i="4"/>
  <c r="AE411" i="4"/>
  <c r="AP411" i="4" s="1"/>
  <c r="AA411" i="4"/>
  <c r="Z411" i="4" s="1"/>
  <c r="AC411" i="4" s="1"/>
  <c r="CN409" i="4"/>
  <c r="CO409" i="4"/>
  <c r="AE409" i="4"/>
  <c r="AP409" i="4" s="1"/>
  <c r="AA409" i="4"/>
  <c r="Z409" i="4" s="1"/>
  <c r="AC409" i="4" s="1"/>
  <c r="CW408" i="4"/>
  <c r="CK408" i="4"/>
  <c r="BY408" i="4"/>
  <c r="BD412" i="4"/>
  <c r="BI412" i="4"/>
  <c r="BD411" i="4"/>
  <c r="BI411" i="4"/>
  <c r="BD410" i="4"/>
  <c r="BI410" i="4"/>
  <c r="BD409" i="4"/>
  <c r="BI409" i="4"/>
  <c r="BD408" i="4"/>
  <c r="BI408" i="4"/>
  <c r="CN407" i="4"/>
  <c r="CO407" i="4"/>
  <c r="AE407" i="4"/>
  <c r="AP407" i="4" s="1"/>
  <c r="AA407" i="4"/>
  <c r="Z407" i="4" s="1"/>
  <c r="AC407" i="4" s="1"/>
  <c r="BD407" i="4"/>
  <c r="BI407" i="4"/>
  <c r="AN404" i="4"/>
  <c r="CG404" i="4" s="1"/>
  <c r="V3" i="1"/>
  <c r="AN405" i="4"/>
  <c r="CS405" i="4" s="1"/>
  <c r="J406" i="4"/>
  <c r="L406" i="4"/>
  <c r="K406" i="4"/>
  <c r="O406" i="4"/>
  <c r="V406" i="4"/>
  <c r="AN406" i="4"/>
  <c r="J405" i="4"/>
  <c r="L405" i="4"/>
  <c r="K405" i="4"/>
  <c r="O405" i="4"/>
  <c r="V405" i="4"/>
  <c r="L404" i="4"/>
  <c r="AZ404" i="4" s="1"/>
  <c r="J404" i="4"/>
  <c r="V404" i="4"/>
  <c r="K404" i="4"/>
  <c r="O404" i="4"/>
  <c r="J403" i="4"/>
  <c r="L403" i="4"/>
  <c r="BM403" i="4"/>
  <c r="BP403" i="4" s="1"/>
  <c r="K403" i="4"/>
  <c r="O403" i="4"/>
  <c r="V403" i="4"/>
  <c r="AN403" i="4"/>
  <c r="BD403" i="4"/>
  <c r="CU402" i="4"/>
  <c r="CR402" i="4"/>
  <c r="CM402" i="4"/>
  <c r="CF402" i="4"/>
  <c r="CA402" i="4"/>
  <c r="CD402" i="4" s="1"/>
  <c r="CE402" i="4" s="1"/>
  <c r="BY402" i="4"/>
  <c r="BZ402" i="4" s="1"/>
  <c r="BX402" i="4"/>
  <c r="BS402" i="4"/>
  <c r="BT402" i="4" s="1"/>
  <c r="BM402" i="4"/>
  <c r="BP402" i="4" s="1"/>
  <c r="BJ402" i="4"/>
  <c r="BN402" i="4" s="1"/>
  <c r="BO402" i="4" s="1"/>
  <c r="BH402" i="4"/>
  <c r="BI402" i="4" s="1"/>
  <c r="BD402" i="4"/>
  <c r="BC402" i="4"/>
  <c r="AY402" i="4"/>
  <c r="AX402" i="4"/>
  <c r="AT402" i="4"/>
  <c r="AR402" i="4"/>
  <c r="AM402" i="4"/>
  <c r="AJ402" i="4"/>
  <c r="AI402" i="4"/>
  <c r="AG402" i="4"/>
  <c r="AF402" i="4"/>
  <c r="X402" i="4"/>
  <c r="U402" i="4"/>
  <c r="B402" i="4"/>
  <c r="CU401" i="4"/>
  <c r="CR401" i="4"/>
  <c r="CM401" i="4"/>
  <c r="CF401" i="4"/>
  <c r="CA401" i="4"/>
  <c r="CD401" i="4" s="1"/>
  <c r="CE401" i="4" s="1"/>
  <c r="BY401" i="4"/>
  <c r="BZ401" i="4" s="1"/>
  <c r="BX401" i="4"/>
  <c r="BS401" i="4"/>
  <c r="BT401" i="4" s="1"/>
  <c r="BM401" i="4"/>
  <c r="BP401" i="4" s="1"/>
  <c r="BJ401" i="4"/>
  <c r="BN401" i="4" s="1"/>
  <c r="BO401" i="4" s="1"/>
  <c r="BH401" i="4"/>
  <c r="BI401" i="4" s="1"/>
  <c r="BD401" i="4"/>
  <c r="BC401" i="4"/>
  <c r="AY401" i="4"/>
  <c r="AX401" i="4"/>
  <c r="AT401" i="4"/>
  <c r="AR401" i="4"/>
  <c r="AM401" i="4"/>
  <c r="AJ401" i="4"/>
  <c r="AI401" i="4"/>
  <c r="AG401" i="4"/>
  <c r="AF401" i="4"/>
  <c r="X401" i="4"/>
  <c r="U401" i="4"/>
  <c r="B401" i="4"/>
  <c r="CU400" i="4"/>
  <c r="CR400" i="4"/>
  <c r="CM400" i="4"/>
  <c r="CF400" i="4"/>
  <c r="CA400" i="4"/>
  <c r="CD400" i="4" s="1"/>
  <c r="CE400" i="4" s="1"/>
  <c r="BY400" i="4"/>
  <c r="BZ400" i="4" s="1"/>
  <c r="BX400" i="4"/>
  <c r="BS400" i="4"/>
  <c r="BT400" i="4" s="1"/>
  <c r="BM400" i="4"/>
  <c r="BP400" i="4" s="1"/>
  <c r="BJ400" i="4"/>
  <c r="BN400" i="4" s="1"/>
  <c r="BO400" i="4" s="1"/>
  <c r="BH400" i="4"/>
  <c r="BI400" i="4" s="1"/>
  <c r="BD400" i="4"/>
  <c r="BC400" i="4"/>
  <c r="AY400" i="4"/>
  <c r="AX400" i="4"/>
  <c r="AT400" i="4"/>
  <c r="AR400" i="4"/>
  <c r="AM400" i="4"/>
  <c r="AJ400" i="4"/>
  <c r="AI400" i="4"/>
  <c r="AG400" i="4"/>
  <c r="AF400" i="4"/>
  <c r="X400" i="4"/>
  <c r="U400" i="4"/>
  <c r="B400" i="4"/>
  <c r="CU399" i="4"/>
  <c r="CR399" i="4"/>
  <c r="CM399" i="4"/>
  <c r="CF399" i="4"/>
  <c r="CA399" i="4"/>
  <c r="CD399" i="4" s="1"/>
  <c r="CE399" i="4" s="1"/>
  <c r="BY399" i="4"/>
  <c r="BZ399" i="4" s="1"/>
  <c r="BX399" i="4"/>
  <c r="BS399" i="4"/>
  <c r="BT399" i="4" s="1"/>
  <c r="BM399" i="4"/>
  <c r="BP399" i="4" s="1"/>
  <c r="BJ399" i="4"/>
  <c r="BN399" i="4" s="1"/>
  <c r="BO399" i="4" s="1"/>
  <c r="BH399" i="4"/>
  <c r="BI399" i="4" s="1"/>
  <c r="BD399" i="4"/>
  <c r="BC399" i="4"/>
  <c r="AY399" i="4"/>
  <c r="AX399" i="4"/>
  <c r="AT399" i="4"/>
  <c r="AR399" i="4"/>
  <c r="AM399" i="4"/>
  <c r="AJ399" i="4"/>
  <c r="AI399" i="4"/>
  <c r="AG399" i="4"/>
  <c r="AF399" i="4"/>
  <c r="X399" i="4"/>
  <c r="U399" i="4"/>
  <c r="B399" i="4"/>
  <c r="CU398" i="4"/>
  <c r="CR398" i="4"/>
  <c r="CM398" i="4"/>
  <c r="CF398" i="4"/>
  <c r="CA398" i="4"/>
  <c r="CD398" i="4" s="1"/>
  <c r="CE398" i="4" s="1"/>
  <c r="BY398" i="4"/>
  <c r="BZ398" i="4" s="1"/>
  <c r="BX398" i="4"/>
  <c r="BS398" i="4"/>
  <c r="BT398" i="4" s="1"/>
  <c r="BM398" i="4"/>
  <c r="BP398" i="4" s="1"/>
  <c r="BJ398" i="4"/>
  <c r="BN398" i="4" s="1"/>
  <c r="BO398" i="4" s="1"/>
  <c r="BH398" i="4"/>
  <c r="BI398" i="4" s="1"/>
  <c r="BD398" i="4"/>
  <c r="BC398" i="4"/>
  <c r="AY398" i="4"/>
  <c r="AX398" i="4"/>
  <c r="AT398" i="4"/>
  <c r="AR398" i="4"/>
  <c r="AM398" i="4"/>
  <c r="AJ398" i="4"/>
  <c r="AI398" i="4"/>
  <c r="AG398" i="4"/>
  <c r="AF398" i="4"/>
  <c r="X398" i="4"/>
  <c r="U398" i="4"/>
  <c r="B398" i="4"/>
  <c r="CU397" i="4"/>
  <c r="CR397" i="4"/>
  <c r="CM397" i="4"/>
  <c r="CF397" i="4"/>
  <c r="CA397" i="4"/>
  <c r="CD397" i="4" s="1"/>
  <c r="CE397" i="4" s="1"/>
  <c r="BY397" i="4"/>
  <c r="BZ397" i="4" s="1"/>
  <c r="BX397" i="4"/>
  <c r="BS397" i="4"/>
  <c r="BT397" i="4" s="1"/>
  <c r="BM397" i="4"/>
  <c r="BP397" i="4" s="1"/>
  <c r="BJ397" i="4"/>
  <c r="BN397" i="4" s="1"/>
  <c r="BO397" i="4" s="1"/>
  <c r="BH397" i="4"/>
  <c r="BI397" i="4" s="1"/>
  <c r="BD397" i="4"/>
  <c r="BC397" i="4"/>
  <c r="AY397" i="4"/>
  <c r="AX397" i="4"/>
  <c r="AT397" i="4"/>
  <c r="AR397" i="4"/>
  <c r="AM397" i="4"/>
  <c r="AJ397" i="4"/>
  <c r="AI397" i="4"/>
  <c r="AG397" i="4"/>
  <c r="AF397" i="4"/>
  <c r="X397" i="4"/>
  <c r="U397" i="4"/>
  <c r="B397" i="4"/>
  <c r="CU396" i="4"/>
  <c r="CR396" i="4"/>
  <c r="CM396" i="4"/>
  <c r="CF396" i="4"/>
  <c r="CA396" i="4"/>
  <c r="CD396" i="4" s="1"/>
  <c r="CE396" i="4" s="1"/>
  <c r="BY396" i="4"/>
  <c r="BZ396" i="4" s="1"/>
  <c r="BX396" i="4"/>
  <c r="BS396" i="4"/>
  <c r="BT396" i="4" s="1"/>
  <c r="BM396" i="4"/>
  <c r="BP396" i="4" s="1"/>
  <c r="BJ396" i="4"/>
  <c r="BN396" i="4" s="1"/>
  <c r="BO396" i="4" s="1"/>
  <c r="BH396" i="4"/>
  <c r="BI396" i="4" s="1"/>
  <c r="BD396" i="4"/>
  <c r="BC396" i="4"/>
  <c r="AY396" i="4"/>
  <c r="AX396" i="4"/>
  <c r="AT396" i="4"/>
  <c r="AR396" i="4"/>
  <c r="AM396" i="4"/>
  <c r="AJ396" i="4"/>
  <c r="AI396" i="4"/>
  <c r="AG396" i="4"/>
  <c r="AF396" i="4"/>
  <c r="X396" i="4"/>
  <c r="U396" i="4"/>
  <c r="B396" i="4"/>
  <c r="CU395" i="4"/>
  <c r="CR395" i="4"/>
  <c r="CM395" i="4"/>
  <c r="CF395" i="4"/>
  <c r="CA395" i="4"/>
  <c r="CD395" i="4" s="1"/>
  <c r="CE395" i="4" s="1"/>
  <c r="BY395" i="4"/>
  <c r="BZ395" i="4" s="1"/>
  <c r="BX395" i="4"/>
  <c r="BS395" i="4"/>
  <c r="BT395" i="4" s="1"/>
  <c r="BM395" i="4"/>
  <c r="BP395" i="4" s="1"/>
  <c r="BJ395" i="4"/>
  <c r="BN395" i="4" s="1"/>
  <c r="BO395" i="4" s="1"/>
  <c r="BH395" i="4"/>
  <c r="BI395" i="4" s="1"/>
  <c r="BD395" i="4"/>
  <c r="BC395" i="4"/>
  <c r="AY395" i="4"/>
  <c r="AX395" i="4"/>
  <c r="AT395" i="4"/>
  <c r="AR395" i="4"/>
  <c r="AM395" i="4"/>
  <c r="AJ395" i="4"/>
  <c r="AI395" i="4"/>
  <c r="AG395" i="4"/>
  <c r="AF395" i="4"/>
  <c r="X395" i="4"/>
  <c r="U395" i="4"/>
  <c r="B395" i="4"/>
  <c r="CS404" i="4" l="1"/>
  <c r="BU404" i="4"/>
  <c r="BE404" i="4"/>
  <c r="CG405" i="4"/>
  <c r="BU405" i="4"/>
  <c r="CS406" i="4"/>
  <c r="CG406" i="4"/>
  <c r="BU406" i="4"/>
  <c r="CJ406" i="4"/>
  <c r="CK406" i="4"/>
  <c r="AE406" i="4"/>
  <c r="AP406" i="4" s="1"/>
  <c r="AA406" i="4"/>
  <c r="Z406" i="4" s="1"/>
  <c r="AC406" i="4" s="1"/>
  <c r="AZ406" i="4"/>
  <c r="BE406" i="4"/>
  <c r="CJ405" i="4"/>
  <c r="CK405" i="4"/>
  <c r="AE405" i="4"/>
  <c r="AP405" i="4" s="1"/>
  <c r="AA405" i="4"/>
  <c r="Z405" i="4" s="1"/>
  <c r="AC405" i="4" s="1"/>
  <c r="AZ405" i="4"/>
  <c r="BE405" i="4"/>
  <c r="CJ404" i="4"/>
  <c r="AE404" i="4"/>
  <c r="AP404" i="4" s="1"/>
  <c r="AA404" i="4"/>
  <c r="Z404" i="4" s="1"/>
  <c r="AC404" i="4" s="1"/>
  <c r="CK404" i="4"/>
  <c r="CS403" i="4"/>
  <c r="CG403" i="4"/>
  <c r="BU403" i="4"/>
  <c r="CJ403" i="4"/>
  <c r="CK403" i="4"/>
  <c r="AE403" i="4"/>
  <c r="AP403" i="4" s="1"/>
  <c r="AA403" i="4"/>
  <c r="Z403" i="4" s="1"/>
  <c r="AC403" i="4" s="1"/>
  <c r="AN396" i="4"/>
  <c r="CG396" i="4" s="1"/>
  <c r="AN398" i="4"/>
  <c r="CG398" i="4" s="1"/>
  <c r="AN400" i="4"/>
  <c r="CG400" i="4" s="1"/>
  <c r="AN402" i="4"/>
  <c r="CS402" i="4" s="1"/>
  <c r="AZ403" i="4"/>
  <c r="BE403" i="4"/>
  <c r="AN395" i="4"/>
  <c r="CG395" i="4" s="1"/>
  <c r="AN397" i="4"/>
  <c r="CG397" i="4" s="1"/>
  <c r="AN399" i="4"/>
  <c r="CS399" i="4" s="1"/>
  <c r="AN401" i="4"/>
  <c r="CS401" i="4" s="1"/>
  <c r="J402" i="4"/>
  <c r="L402" i="4"/>
  <c r="K402" i="4"/>
  <c r="O402" i="4"/>
  <c r="V402" i="4"/>
  <c r="J401" i="4"/>
  <c r="L401" i="4"/>
  <c r="K401" i="4"/>
  <c r="O401" i="4"/>
  <c r="V401" i="4"/>
  <c r="J398" i="4"/>
  <c r="L398" i="4"/>
  <c r="J399" i="4"/>
  <c r="L399" i="4"/>
  <c r="J400" i="4"/>
  <c r="L400" i="4"/>
  <c r="K398" i="4"/>
  <c r="O398" i="4"/>
  <c r="V398" i="4"/>
  <c r="K399" i="4"/>
  <c r="O399" i="4"/>
  <c r="V399" i="4"/>
  <c r="K400" i="4"/>
  <c r="O400" i="4"/>
  <c r="V400" i="4"/>
  <c r="J397" i="4"/>
  <c r="L397" i="4"/>
  <c r="K397" i="4"/>
  <c r="O397" i="4"/>
  <c r="V397" i="4"/>
  <c r="K395" i="4"/>
  <c r="O395" i="4"/>
  <c r="J395" i="4"/>
  <c r="L395" i="4"/>
  <c r="J396" i="4"/>
  <c r="L396" i="4"/>
  <c r="V395" i="4"/>
  <c r="K396" i="4"/>
  <c r="O396" i="4"/>
  <c r="V396" i="4"/>
  <c r="CU394" i="4"/>
  <c r="CR394" i="4"/>
  <c r="CM394" i="4"/>
  <c r="CF394" i="4"/>
  <c r="CA394" i="4"/>
  <c r="CD394" i="4" s="1"/>
  <c r="CE394" i="4" s="1"/>
  <c r="BY394" i="4"/>
  <c r="BZ394" i="4" s="1"/>
  <c r="BX394" i="4"/>
  <c r="BS394" i="4"/>
  <c r="BT394" i="4" s="1"/>
  <c r="BM394" i="4"/>
  <c r="BP394" i="4" s="1"/>
  <c r="BJ394" i="4"/>
  <c r="BN394" i="4" s="1"/>
  <c r="BO394" i="4" s="1"/>
  <c r="BH394" i="4"/>
  <c r="BI394" i="4" s="1"/>
  <c r="BD394" i="4"/>
  <c r="BC394" i="4"/>
  <c r="AY394" i="4"/>
  <c r="AX394" i="4"/>
  <c r="AT394" i="4"/>
  <c r="AR394" i="4"/>
  <c r="AM394" i="4"/>
  <c r="AJ394" i="4"/>
  <c r="AI394" i="4"/>
  <c r="AG394" i="4"/>
  <c r="AF394" i="4"/>
  <c r="X394" i="4"/>
  <c r="U394" i="4"/>
  <c r="B394" i="4"/>
  <c r="CU393" i="4"/>
  <c r="CR393" i="4"/>
  <c r="CM393" i="4"/>
  <c r="CF393" i="4"/>
  <c r="CA393" i="4"/>
  <c r="CD393" i="4" s="1"/>
  <c r="CE393" i="4" s="1"/>
  <c r="BY393" i="4"/>
  <c r="BZ393" i="4" s="1"/>
  <c r="BX393" i="4"/>
  <c r="BS393" i="4"/>
  <c r="BT393" i="4" s="1"/>
  <c r="BM393" i="4"/>
  <c r="BP393" i="4" s="1"/>
  <c r="BJ393" i="4"/>
  <c r="BN393" i="4" s="1"/>
  <c r="BO393" i="4" s="1"/>
  <c r="BH393" i="4"/>
  <c r="BI393" i="4" s="1"/>
  <c r="BD393" i="4"/>
  <c r="BC393" i="4"/>
  <c r="AY393" i="4"/>
  <c r="AX393" i="4"/>
  <c r="AT393" i="4"/>
  <c r="AR393" i="4"/>
  <c r="AM393" i="4"/>
  <c r="AJ393" i="4"/>
  <c r="AI393" i="4"/>
  <c r="AG393" i="4"/>
  <c r="AF393" i="4"/>
  <c r="X393" i="4"/>
  <c r="U393" i="4"/>
  <c r="B393" i="4"/>
  <c r="O393" i="4" s="1"/>
  <c r="CS400" i="4" l="1"/>
  <c r="BU396" i="4"/>
  <c r="CS396" i="4"/>
  <c r="BU400" i="4"/>
  <c r="CS398" i="4"/>
  <c r="BU397" i="4"/>
  <c r="BU398" i="4"/>
  <c r="CG402" i="4"/>
  <c r="BU402" i="4"/>
  <c r="CS397" i="4"/>
  <c r="CG401" i="4"/>
  <c r="BU401" i="4"/>
  <c r="CS395" i="4"/>
  <c r="BU395" i="4"/>
  <c r="CG399" i="4"/>
  <c r="BU399" i="4"/>
  <c r="CJ402" i="4"/>
  <c r="CK402" i="4"/>
  <c r="AE402" i="4"/>
  <c r="AP402" i="4" s="1"/>
  <c r="AA402" i="4"/>
  <c r="Z402" i="4" s="1"/>
  <c r="AC402" i="4" s="1"/>
  <c r="AZ402" i="4"/>
  <c r="BE402" i="4"/>
  <c r="CJ401" i="4"/>
  <c r="CK401" i="4"/>
  <c r="AE401" i="4"/>
  <c r="AP401" i="4" s="1"/>
  <c r="AA401" i="4"/>
  <c r="Z401" i="4" s="1"/>
  <c r="AC401" i="4" s="1"/>
  <c r="AZ401" i="4"/>
  <c r="BE401" i="4"/>
  <c r="CJ400" i="4"/>
  <c r="CK400" i="4"/>
  <c r="AE400" i="4"/>
  <c r="AP400" i="4" s="1"/>
  <c r="AA400" i="4"/>
  <c r="Z400" i="4" s="1"/>
  <c r="AC400" i="4" s="1"/>
  <c r="CJ398" i="4"/>
  <c r="CK398" i="4"/>
  <c r="AE398" i="4"/>
  <c r="AP398" i="4" s="1"/>
  <c r="AA398" i="4"/>
  <c r="Z398" i="4" s="1"/>
  <c r="AC398" i="4" s="1"/>
  <c r="AZ400" i="4"/>
  <c r="BE400" i="4"/>
  <c r="AZ399" i="4"/>
  <c r="BE399" i="4"/>
  <c r="AZ398" i="4"/>
  <c r="BE398" i="4"/>
  <c r="AN394" i="4"/>
  <c r="CG394" i="4" s="1"/>
  <c r="CJ399" i="4"/>
  <c r="CK399" i="4"/>
  <c r="AE399" i="4"/>
  <c r="AP399" i="4" s="1"/>
  <c r="AA399" i="4"/>
  <c r="Z399" i="4" s="1"/>
  <c r="AC399" i="4" s="1"/>
  <c r="CJ397" i="4"/>
  <c r="CK397" i="4"/>
  <c r="AE397" i="4"/>
  <c r="AP397" i="4" s="1"/>
  <c r="AA397" i="4"/>
  <c r="Z397" i="4" s="1"/>
  <c r="AC397" i="4" s="1"/>
  <c r="AZ397" i="4"/>
  <c r="BE397" i="4"/>
  <c r="CJ396" i="4"/>
  <c r="CK396" i="4"/>
  <c r="AE396" i="4"/>
  <c r="AP396" i="4" s="1"/>
  <c r="AA396" i="4"/>
  <c r="Z396" i="4" s="1"/>
  <c r="AC396" i="4" s="1"/>
  <c r="AZ396" i="4"/>
  <c r="BE396" i="4"/>
  <c r="AZ395" i="4"/>
  <c r="BE395" i="4"/>
  <c r="CJ395" i="4"/>
  <c r="CK395" i="4"/>
  <c r="AE395" i="4"/>
  <c r="AP395" i="4" s="1"/>
  <c r="AA395" i="4"/>
  <c r="Z395" i="4" s="1"/>
  <c r="AC395" i="4" s="1"/>
  <c r="V394" i="4"/>
  <c r="J394" i="4"/>
  <c r="L394" i="4"/>
  <c r="K394" i="4"/>
  <c r="O394" i="4"/>
  <c r="CJ393" i="4"/>
  <c r="CK393" i="4"/>
  <c r="AE393" i="4"/>
  <c r="AP393" i="4" s="1"/>
  <c r="AA393" i="4"/>
  <c r="Z393" i="4" s="1"/>
  <c r="AC393" i="4" s="1"/>
  <c r="K393" i="4"/>
  <c r="V393" i="4"/>
  <c r="AN393" i="4"/>
  <c r="J393" i="4"/>
  <c r="L393" i="4"/>
  <c r="CS394" i="4" l="1"/>
  <c r="BU394" i="4"/>
  <c r="CJ394" i="4"/>
  <c r="CK394" i="4"/>
  <c r="AE394" i="4"/>
  <c r="AP394" i="4" s="1"/>
  <c r="AA394" i="4"/>
  <c r="Z394" i="4" s="1"/>
  <c r="AC394" i="4" s="1"/>
  <c r="AZ394" i="4"/>
  <c r="BE394" i="4"/>
  <c r="AZ393" i="4"/>
  <c r="BE393" i="4"/>
  <c r="CS393" i="4"/>
  <c r="CG393" i="4"/>
  <c r="BU393" i="4"/>
  <c r="CU392" i="4" l="1"/>
  <c r="CR392" i="4"/>
  <c r="CM392" i="4"/>
  <c r="CF392" i="4"/>
  <c r="CA392" i="4"/>
  <c r="CD392" i="4" s="1"/>
  <c r="CE392" i="4" s="1"/>
  <c r="BY392" i="4"/>
  <c r="BZ392" i="4" s="1"/>
  <c r="BX392" i="4"/>
  <c r="BS392" i="4"/>
  <c r="BT392" i="4" s="1"/>
  <c r="BM392" i="4"/>
  <c r="BP392" i="4" s="1"/>
  <c r="BJ392" i="4"/>
  <c r="BN392" i="4" s="1"/>
  <c r="BO392" i="4" s="1"/>
  <c r="BH392" i="4"/>
  <c r="BI392" i="4" s="1"/>
  <c r="BD392" i="4"/>
  <c r="BC392" i="4"/>
  <c r="AY392" i="4"/>
  <c r="AX392" i="4"/>
  <c r="AT392" i="4"/>
  <c r="AR392" i="4"/>
  <c r="AM392" i="4"/>
  <c r="AJ392" i="4"/>
  <c r="AI392" i="4"/>
  <c r="AG392" i="4"/>
  <c r="AF392" i="4"/>
  <c r="X392" i="4"/>
  <c r="U392" i="4"/>
  <c r="B392" i="4"/>
  <c r="L392" i="4" s="1"/>
  <c r="CU391" i="4"/>
  <c r="CR391" i="4"/>
  <c r="CM391" i="4"/>
  <c r="CF391" i="4"/>
  <c r="CA391" i="4"/>
  <c r="CD391" i="4" s="1"/>
  <c r="CE391" i="4" s="1"/>
  <c r="BY391" i="4"/>
  <c r="BZ391" i="4" s="1"/>
  <c r="BX391" i="4"/>
  <c r="BS391" i="4"/>
  <c r="BT391" i="4" s="1"/>
  <c r="BJ391" i="4"/>
  <c r="BN391" i="4" s="1"/>
  <c r="BO391" i="4" s="1"/>
  <c r="BD391" i="4"/>
  <c r="BC391" i="4"/>
  <c r="AY391" i="4"/>
  <c r="AX391" i="4"/>
  <c r="AT391" i="4"/>
  <c r="AR391" i="4"/>
  <c r="AM391" i="4"/>
  <c r="AJ391" i="4"/>
  <c r="AI391" i="4"/>
  <c r="AG391" i="4"/>
  <c r="AF391" i="4"/>
  <c r="X391" i="4"/>
  <c r="U391" i="4"/>
  <c r="B391" i="4"/>
  <c r="BH391" i="4" s="1"/>
  <c r="BI391" i="4" s="1"/>
  <c r="CU390" i="4"/>
  <c r="CR390" i="4"/>
  <c r="CM390" i="4"/>
  <c r="CF390" i="4"/>
  <c r="CA390" i="4"/>
  <c r="CD390" i="4" s="1"/>
  <c r="CE390" i="4" s="1"/>
  <c r="BY390" i="4"/>
  <c r="BZ390" i="4" s="1"/>
  <c r="BX390" i="4"/>
  <c r="BS390" i="4"/>
  <c r="BT390" i="4" s="1"/>
  <c r="BJ390" i="4"/>
  <c r="BN390" i="4" s="1"/>
  <c r="BO390" i="4" s="1"/>
  <c r="BC390" i="4"/>
  <c r="AY390" i="4"/>
  <c r="AX390" i="4"/>
  <c r="AT390" i="4"/>
  <c r="AR390" i="4"/>
  <c r="AM390" i="4"/>
  <c r="AJ390" i="4"/>
  <c r="AI390" i="4"/>
  <c r="AG390" i="4"/>
  <c r="AF390" i="4"/>
  <c r="X390" i="4"/>
  <c r="U390" i="4"/>
  <c r="B390" i="4"/>
  <c r="BH390" i="4" s="1"/>
  <c r="BI390" i="4" s="1"/>
  <c r="O3" i="1" l="1"/>
  <c r="V392" i="4"/>
  <c r="BE392" i="4"/>
  <c r="AZ392" i="4"/>
  <c r="J392" i="4"/>
  <c r="O392" i="4"/>
  <c r="K392" i="4"/>
  <c r="AN392" i="4"/>
  <c r="J391" i="4"/>
  <c r="L391" i="4"/>
  <c r="BM391" i="4"/>
  <c r="BP391" i="4" s="1"/>
  <c r="K391" i="4"/>
  <c r="O391" i="4"/>
  <c r="V391" i="4"/>
  <c r="AN391" i="4"/>
  <c r="J390" i="4"/>
  <c r="V390" i="4"/>
  <c r="BM390" i="4"/>
  <c r="BP390" i="4" s="1"/>
  <c r="L390" i="4"/>
  <c r="AZ390" i="4" s="1"/>
  <c r="K390" i="4"/>
  <c r="O390" i="4"/>
  <c r="AN390" i="4"/>
  <c r="BD390" i="4"/>
  <c r="CU389" i="4"/>
  <c r="CR389" i="4"/>
  <c r="CM389" i="4"/>
  <c r="CF389" i="4"/>
  <c r="CA389" i="4"/>
  <c r="CD389" i="4" s="1"/>
  <c r="CE389" i="4" s="1"/>
  <c r="BY389" i="4"/>
  <c r="BZ389" i="4" s="1"/>
  <c r="BX389" i="4"/>
  <c r="BS389" i="4"/>
  <c r="BT389" i="4" s="1"/>
  <c r="BM389" i="4"/>
  <c r="BP389" i="4" s="1"/>
  <c r="BJ389" i="4"/>
  <c r="BN389" i="4" s="1"/>
  <c r="BO389" i="4" s="1"/>
  <c r="BH389" i="4"/>
  <c r="BI389" i="4" s="1"/>
  <c r="BC389" i="4"/>
  <c r="AY389" i="4"/>
  <c r="AX389" i="4"/>
  <c r="AT389" i="4"/>
  <c r="AR389" i="4"/>
  <c r="AM389" i="4"/>
  <c r="AJ389" i="4"/>
  <c r="AI389" i="4"/>
  <c r="AG389" i="4"/>
  <c r="AF389" i="4"/>
  <c r="X389" i="4"/>
  <c r="U389" i="4"/>
  <c r="B389" i="4"/>
  <c r="BD389" i="4" s="1"/>
  <c r="CU388" i="4"/>
  <c r="CR388" i="4"/>
  <c r="CM388" i="4"/>
  <c r="CF388" i="4"/>
  <c r="CA388" i="4"/>
  <c r="CD388" i="4" s="1"/>
  <c r="CE388" i="4" s="1"/>
  <c r="BY388" i="4"/>
  <c r="BZ388" i="4" s="1"/>
  <c r="BX388" i="4"/>
  <c r="BS388" i="4"/>
  <c r="BT388" i="4" s="1"/>
  <c r="BM388" i="4"/>
  <c r="BP388" i="4" s="1"/>
  <c r="BJ388" i="4"/>
  <c r="BN388" i="4" s="1"/>
  <c r="BO388" i="4" s="1"/>
  <c r="BH388" i="4"/>
  <c r="BI388" i="4" s="1"/>
  <c r="BC388" i="4"/>
  <c r="AY388" i="4"/>
  <c r="AX388" i="4"/>
  <c r="AT388" i="4"/>
  <c r="AR388" i="4"/>
  <c r="AM388" i="4"/>
  <c r="AJ388" i="4"/>
  <c r="AI388" i="4"/>
  <c r="AG388" i="4"/>
  <c r="AF388" i="4"/>
  <c r="X388" i="4"/>
  <c r="U388" i="4"/>
  <c r="B388" i="4"/>
  <c r="BD388" i="4" s="1"/>
  <c r="CU387" i="4"/>
  <c r="CR387" i="4"/>
  <c r="CM387" i="4"/>
  <c r="CF387" i="4"/>
  <c r="CA387" i="4"/>
  <c r="CD387" i="4" s="1"/>
  <c r="CE387" i="4" s="1"/>
  <c r="BY387" i="4"/>
  <c r="BZ387" i="4" s="1"/>
  <c r="BX387" i="4"/>
  <c r="BS387" i="4"/>
  <c r="BT387" i="4" s="1"/>
  <c r="BM387" i="4"/>
  <c r="BP387" i="4" s="1"/>
  <c r="BJ387" i="4"/>
  <c r="BN387" i="4" s="1"/>
  <c r="BO387" i="4" s="1"/>
  <c r="BH387" i="4"/>
  <c r="BI387" i="4" s="1"/>
  <c r="BC387" i="4"/>
  <c r="AY387" i="4"/>
  <c r="AX387" i="4"/>
  <c r="AT387" i="4"/>
  <c r="AR387" i="4"/>
  <c r="AM387" i="4"/>
  <c r="AJ387" i="4"/>
  <c r="AI387" i="4"/>
  <c r="AG387" i="4"/>
  <c r="AF387" i="4"/>
  <c r="X387" i="4"/>
  <c r="U387" i="4"/>
  <c r="B387" i="4"/>
  <c r="BD387" i="4" s="1"/>
  <c r="CK392" i="4" l="1"/>
  <c r="AE392" i="4"/>
  <c r="AP392" i="4" s="1"/>
  <c r="CJ392" i="4"/>
  <c r="AA392" i="4"/>
  <c r="Z392" i="4" s="1"/>
  <c r="AC392" i="4" s="1"/>
  <c r="CS392" i="4"/>
  <c r="CG392" i="4"/>
  <c r="BU392" i="4"/>
  <c r="CS391" i="4"/>
  <c r="CG391" i="4"/>
  <c r="BU391" i="4"/>
  <c r="CJ391" i="4"/>
  <c r="CK391" i="4"/>
  <c r="AE391" i="4"/>
  <c r="AP391" i="4" s="1"/>
  <c r="AA391" i="4"/>
  <c r="Z391" i="4" s="1"/>
  <c r="AC391" i="4" s="1"/>
  <c r="AZ391" i="4"/>
  <c r="BE391" i="4"/>
  <c r="BE390" i="4"/>
  <c r="CJ390" i="4"/>
  <c r="CK390" i="4"/>
  <c r="AE390" i="4"/>
  <c r="AP390" i="4" s="1"/>
  <c r="AA390" i="4"/>
  <c r="Z390" i="4" s="1"/>
  <c r="AC390" i="4" s="1"/>
  <c r="CS390" i="4"/>
  <c r="CG390" i="4"/>
  <c r="BU390" i="4"/>
  <c r="V388" i="4"/>
  <c r="V387" i="4"/>
  <c r="L387" i="4"/>
  <c r="AZ387" i="4" s="1"/>
  <c r="L389" i="4"/>
  <c r="AZ389" i="4" s="1"/>
  <c r="L388" i="4"/>
  <c r="BE388" i="4" s="1"/>
  <c r="V389" i="4"/>
  <c r="O388" i="4"/>
  <c r="O389" i="4"/>
  <c r="J387" i="4"/>
  <c r="J388" i="4"/>
  <c r="J389" i="4"/>
  <c r="O387" i="4"/>
  <c r="K387" i="4"/>
  <c r="AN387" i="4"/>
  <c r="K388" i="4"/>
  <c r="AN388" i="4"/>
  <c r="K389" i="4"/>
  <c r="AN389" i="4"/>
  <c r="BE387" i="4" l="1"/>
  <c r="BE389" i="4"/>
  <c r="AZ388" i="4"/>
  <c r="CS389" i="4"/>
  <c r="CG389" i="4"/>
  <c r="BU389" i="4"/>
  <c r="CS387" i="4"/>
  <c r="CG387" i="4"/>
  <c r="BU387" i="4"/>
  <c r="CJ388" i="4"/>
  <c r="CK388" i="4"/>
  <c r="AA388" i="4"/>
  <c r="Z388" i="4" s="1"/>
  <c r="AC388" i="4" s="1"/>
  <c r="AE388" i="4"/>
  <c r="AP388" i="4" s="1"/>
  <c r="CS388" i="4"/>
  <c r="CG388" i="4"/>
  <c r="BU388" i="4"/>
  <c r="CJ387" i="4"/>
  <c r="CK387" i="4"/>
  <c r="AE387" i="4"/>
  <c r="AP387" i="4" s="1"/>
  <c r="AA387" i="4"/>
  <c r="Z387" i="4" s="1"/>
  <c r="AC387" i="4" s="1"/>
  <c r="CJ389" i="4"/>
  <c r="AE389" i="4"/>
  <c r="AP389" i="4" s="1"/>
  <c r="AA389" i="4"/>
  <c r="Z389" i="4" s="1"/>
  <c r="AC389" i="4" s="1"/>
  <c r="CK389" i="4"/>
  <c r="B5" i="3" l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AY282" i="3"/>
  <c r="AX282" i="3"/>
  <c r="AT282" i="3"/>
  <c r="AR282" i="3"/>
  <c r="AM282" i="3"/>
  <c r="AL282" i="3"/>
  <c r="AJ282" i="3"/>
  <c r="AI282" i="3"/>
  <c r="AG282" i="3"/>
  <c r="AF282" i="3"/>
  <c r="X282" i="3"/>
  <c r="U282" i="3"/>
  <c r="V282" i="3" l="1"/>
  <c r="K282" i="3"/>
  <c r="O282" i="3"/>
  <c r="AN282" i="3"/>
  <c r="J282" i="3"/>
  <c r="L282" i="3"/>
  <c r="AY281" i="3"/>
  <c r="AX281" i="3"/>
  <c r="AT281" i="3"/>
  <c r="AR281" i="3"/>
  <c r="AM281" i="3"/>
  <c r="AL281" i="3"/>
  <c r="AJ281" i="3"/>
  <c r="AI281" i="3"/>
  <c r="AG281" i="3"/>
  <c r="AF281" i="3"/>
  <c r="X281" i="3"/>
  <c r="U281" i="3"/>
  <c r="K280" i="3"/>
  <c r="U280" i="3"/>
  <c r="X280" i="3"/>
  <c r="AF280" i="3"/>
  <c r="AG280" i="3"/>
  <c r="AI280" i="3"/>
  <c r="AJ280" i="3"/>
  <c r="AL280" i="3"/>
  <c r="AM280" i="3"/>
  <c r="AR280" i="3"/>
  <c r="AT280" i="3"/>
  <c r="AX280" i="3"/>
  <c r="AY280" i="3"/>
  <c r="K279" i="3"/>
  <c r="U279" i="3"/>
  <c r="X279" i="3"/>
  <c r="AF279" i="3"/>
  <c r="AG279" i="3"/>
  <c r="AI279" i="3"/>
  <c r="AJ279" i="3"/>
  <c r="AL279" i="3"/>
  <c r="AM279" i="3"/>
  <c r="AR279" i="3"/>
  <c r="AT279" i="3"/>
  <c r="AX279" i="3"/>
  <c r="AY279" i="3"/>
  <c r="CM386" i="4"/>
  <c r="CF386" i="4"/>
  <c r="CA386" i="4"/>
  <c r="CD386" i="4" s="1"/>
  <c r="CE386" i="4" s="1"/>
  <c r="BY386" i="4"/>
  <c r="BZ386" i="4" s="1"/>
  <c r="BX386" i="4"/>
  <c r="BS386" i="4"/>
  <c r="BT386" i="4" s="1"/>
  <c r="BM386" i="4"/>
  <c r="BP386" i="4" s="1"/>
  <c r="BJ386" i="4"/>
  <c r="BN386" i="4" s="1"/>
  <c r="BO386" i="4" s="1"/>
  <c r="BH386" i="4"/>
  <c r="BI386" i="4" s="1"/>
  <c r="BD386" i="4"/>
  <c r="BC386" i="4"/>
  <c r="AY386" i="4"/>
  <c r="AX386" i="4"/>
  <c r="AT386" i="4"/>
  <c r="AR386" i="4"/>
  <c r="AM386" i="4"/>
  <c r="AJ386" i="4"/>
  <c r="AI386" i="4"/>
  <c r="AG386" i="4"/>
  <c r="AF386" i="4"/>
  <c r="X386" i="4"/>
  <c r="U386" i="4"/>
  <c r="B386" i="4"/>
  <c r="L386" i="4" s="1"/>
  <c r="CU385" i="4"/>
  <c r="CR385" i="4"/>
  <c r="CM385" i="4"/>
  <c r="CF385" i="4"/>
  <c r="CA385" i="4"/>
  <c r="CD385" i="4" s="1"/>
  <c r="CE385" i="4" s="1"/>
  <c r="BY385" i="4"/>
  <c r="BZ385" i="4" s="1"/>
  <c r="BX385" i="4"/>
  <c r="BS385" i="4"/>
  <c r="BT385" i="4" s="1"/>
  <c r="BM385" i="4"/>
  <c r="BP385" i="4" s="1"/>
  <c r="BJ385" i="4"/>
  <c r="BN385" i="4" s="1"/>
  <c r="BO385" i="4" s="1"/>
  <c r="BH385" i="4"/>
  <c r="BI385" i="4" s="1"/>
  <c r="BD385" i="4"/>
  <c r="BC385" i="4"/>
  <c r="AY385" i="4"/>
  <c r="AX385" i="4"/>
  <c r="AT385" i="4"/>
  <c r="AR385" i="4"/>
  <c r="AM385" i="4"/>
  <c r="AJ385" i="4"/>
  <c r="AI385" i="4"/>
  <c r="AG385" i="4"/>
  <c r="AF385" i="4"/>
  <c r="X385" i="4"/>
  <c r="U385" i="4"/>
  <c r="B385" i="4"/>
  <c r="O385" i="4" s="1"/>
  <c r="AZ282" i="3" l="1"/>
  <c r="AE282" i="3"/>
  <c r="AP282" i="3" s="1"/>
  <c r="AA282" i="3"/>
  <c r="Z282" i="3" s="1"/>
  <c r="AC282" i="3" s="1"/>
  <c r="J280" i="3"/>
  <c r="V280" i="3"/>
  <c r="AN280" i="3"/>
  <c r="O280" i="3"/>
  <c r="L280" i="3"/>
  <c r="AN279" i="3"/>
  <c r="K281" i="3"/>
  <c r="O281" i="3"/>
  <c r="V281" i="3"/>
  <c r="J281" i="3"/>
  <c r="L281" i="3"/>
  <c r="AN281" i="3"/>
  <c r="L279" i="3"/>
  <c r="J279" i="3"/>
  <c r="V279" i="3"/>
  <c r="O279" i="3"/>
  <c r="BE386" i="4"/>
  <c r="AZ386" i="4"/>
  <c r="K386" i="4"/>
  <c r="O386" i="4"/>
  <c r="V386" i="4"/>
  <c r="AN386" i="4"/>
  <c r="J386" i="4"/>
  <c r="CJ385" i="4"/>
  <c r="CK385" i="4"/>
  <c r="AE385" i="4"/>
  <c r="AP385" i="4" s="1"/>
  <c r="AA385" i="4"/>
  <c r="Z385" i="4" s="1"/>
  <c r="AC385" i="4" s="1"/>
  <c r="K385" i="4"/>
  <c r="V385" i="4"/>
  <c r="AN385" i="4"/>
  <c r="J385" i="4"/>
  <c r="L385" i="4"/>
  <c r="AY278" i="3"/>
  <c r="AT278" i="3"/>
  <c r="AR278" i="3"/>
  <c r="AM278" i="3"/>
  <c r="AL278" i="3"/>
  <c r="AJ278" i="3"/>
  <c r="AI278" i="3"/>
  <c r="AG278" i="3"/>
  <c r="AF278" i="3"/>
  <c r="X278" i="3"/>
  <c r="U278" i="3"/>
  <c r="AE280" i="3" l="1"/>
  <c r="AP280" i="3" s="1"/>
  <c r="AA280" i="3"/>
  <c r="Z280" i="3" s="1"/>
  <c r="AC280" i="3" s="1"/>
  <c r="AZ280" i="3"/>
  <c r="AE279" i="3"/>
  <c r="AP279" i="3" s="1"/>
  <c r="AA281" i="3"/>
  <c r="Z281" i="3" s="1"/>
  <c r="AC281" i="3" s="1"/>
  <c r="AE281" i="3"/>
  <c r="AP281" i="3" s="1"/>
  <c r="AZ281" i="3"/>
  <c r="AZ279" i="3"/>
  <c r="AA279" i="3"/>
  <c r="Z279" i="3" s="1"/>
  <c r="AC279" i="3" s="1"/>
  <c r="CG386" i="4"/>
  <c r="BU386" i="4"/>
  <c r="CK386" i="4"/>
  <c r="AE386" i="4"/>
  <c r="AP386" i="4" s="1"/>
  <c r="AA386" i="4"/>
  <c r="Z386" i="4" s="1"/>
  <c r="AC386" i="4" s="1"/>
  <c r="CJ386" i="4"/>
  <c r="AZ385" i="4"/>
  <c r="BE385" i="4"/>
  <c r="CS385" i="4"/>
  <c r="CG385" i="4"/>
  <c r="BU385" i="4"/>
  <c r="K278" i="3"/>
  <c r="O278" i="3"/>
  <c r="V278" i="3"/>
  <c r="AN278" i="3"/>
  <c r="J278" i="3"/>
  <c r="L278" i="3"/>
  <c r="AX278" i="3"/>
  <c r="CU384" i="4"/>
  <c r="CR384" i="4"/>
  <c r="CM384" i="4"/>
  <c r="CF384" i="4"/>
  <c r="CA384" i="4"/>
  <c r="CD384" i="4" s="1"/>
  <c r="CE384" i="4" s="1"/>
  <c r="BY384" i="4"/>
  <c r="BZ384" i="4" s="1"/>
  <c r="BX384" i="4"/>
  <c r="BS384" i="4"/>
  <c r="BT384" i="4" s="1"/>
  <c r="BM384" i="4"/>
  <c r="BP384" i="4" s="1"/>
  <c r="BJ384" i="4"/>
  <c r="BN384" i="4" s="1"/>
  <c r="BO384" i="4" s="1"/>
  <c r="BH384" i="4"/>
  <c r="BI384" i="4" s="1"/>
  <c r="BD384" i="4"/>
  <c r="BC384" i="4"/>
  <c r="AY384" i="4"/>
  <c r="AX384" i="4"/>
  <c r="AT384" i="4"/>
  <c r="AR384" i="4"/>
  <c r="AM384" i="4"/>
  <c r="AJ384" i="4"/>
  <c r="AI384" i="4"/>
  <c r="AG384" i="4"/>
  <c r="AF384" i="4"/>
  <c r="X384" i="4"/>
  <c r="U384" i="4"/>
  <c r="B384" i="4"/>
  <c r="CU383" i="4"/>
  <c r="CR383" i="4"/>
  <c r="CM383" i="4"/>
  <c r="CF383" i="4"/>
  <c r="CA383" i="4"/>
  <c r="CD383" i="4" s="1"/>
  <c r="CE383" i="4" s="1"/>
  <c r="BY383" i="4"/>
  <c r="BZ383" i="4" s="1"/>
  <c r="BX383" i="4"/>
  <c r="BS383" i="4"/>
  <c r="BT383" i="4" s="1"/>
  <c r="BM383" i="4"/>
  <c r="BP383" i="4" s="1"/>
  <c r="BJ383" i="4"/>
  <c r="BN383" i="4" s="1"/>
  <c r="BO383" i="4" s="1"/>
  <c r="BH383" i="4"/>
  <c r="BI383" i="4" s="1"/>
  <c r="BD383" i="4"/>
  <c r="BC383" i="4"/>
  <c r="AY383" i="4"/>
  <c r="AX383" i="4"/>
  <c r="AT383" i="4"/>
  <c r="AR383" i="4"/>
  <c r="AM383" i="4"/>
  <c r="AJ383" i="4"/>
  <c r="AI383" i="4"/>
  <c r="AG383" i="4"/>
  <c r="AF383" i="4"/>
  <c r="X383" i="4"/>
  <c r="U383" i="4"/>
  <c r="B383" i="4"/>
  <c r="CM382" i="4"/>
  <c r="CF382" i="4"/>
  <c r="CA382" i="4"/>
  <c r="CD382" i="4" s="1"/>
  <c r="CE382" i="4" s="1"/>
  <c r="BY382" i="4"/>
  <c r="BZ382" i="4" s="1"/>
  <c r="BX382" i="4"/>
  <c r="BS382" i="4"/>
  <c r="BT382" i="4" s="1"/>
  <c r="BM382" i="4"/>
  <c r="BP382" i="4" s="1"/>
  <c r="BJ382" i="4"/>
  <c r="BN382" i="4" s="1"/>
  <c r="BO382" i="4" s="1"/>
  <c r="BH382" i="4"/>
  <c r="BI382" i="4" s="1"/>
  <c r="BD382" i="4"/>
  <c r="BC382" i="4"/>
  <c r="AY382" i="4"/>
  <c r="AX382" i="4"/>
  <c r="AT382" i="4"/>
  <c r="AR382" i="4"/>
  <c r="AM382" i="4"/>
  <c r="AJ382" i="4"/>
  <c r="AI382" i="4"/>
  <c r="AG382" i="4"/>
  <c r="AF382" i="4"/>
  <c r="X382" i="4"/>
  <c r="U382" i="4"/>
  <c r="B382" i="4"/>
  <c r="CU381" i="4"/>
  <c r="CR381" i="4"/>
  <c r="CM381" i="4"/>
  <c r="CF381" i="4"/>
  <c r="CA381" i="4"/>
  <c r="CD381" i="4" s="1"/>
  <c r="CE381" i="4" s="1"/>
  <c r="BY381" i="4"/>
  <c r="BZ381" i="4" s="1"/>
  <c r="BX381" i="4"/>
  <c r="BS381" i="4"/>
  <c r="BT381" i="4" s="1"/>
  <c r="BM381" i="4"/>
  <c r="BP381" i="4" s="1"/>
  <c r="BJ381" i="4"/>
  <c r="BN381" i="4" s="1"/>
  <c r="BO381" i="4" s="1"/>
  <c r="BH381" i="4"/>
  <c r="BI381" i="4" s="1"/>
  <c r="BD381" i="4"/>
  <c r="BC381" i="4"/>
  <c r="AY381" i="4"/>
  <c r="AX381" i="4"/>
  <c r="AT381" i="4"/>
  <c r="AR381" i="4"/>
  <c r="AM381" i="4"/>
  <c r="AJ381" i="4"/>
  <c r="AI381" i="4"/>
  <c r="AG381" i="4"/>
  <c r="AF381" i="4"/>
  <c r="X381" i="4"/>
  <c r="U381" i="4"/>
  <c r="B381" i="4"/>
  <c r="CM380" i="4"/>
  <c r="CF380" i="4"/>
  <c r="CA380" i="4"/>
  <c r="CD380" i="4" s="1"/>
  <c r="CE380" i="4" s="1"/>
  <c r="BY380" i="4"/>
  <c r="BZ380" i="4" s="1"/>
  <c r="BX380" i="4"/>
  <c r="BS380" i="4"/>
  <c r="BT380" i="4" s="1"/>
  <c r="BM380" i="4"/>
  <c r="BP380" i="4" s="1"/>
  <c r="BJ380" i="4"/>
  <c r="BN380" i="4" s="1"/>
  <c r="BO380" i="4" s="1"/>
  <c r="BH380" i="4"/>
  <c r="BI380" i="4" s="1"/>
  <c r="BD380" i="4"/>
  <c r="BC380" i="4"/>
  <c r="AY380" i="4"/>
  <c r="AX380" i="4"/>
  <c r="AT380" i="4"/>
  <c r="AR380" i="4"/>
  <c r="AM380" i="4"/>
  <c r="AJ380" i="4"/>
  <c r="AI380" i="4"/>
  <c r="AG380" i="4"/>
  <c r="AF380" i="4"/>
  <c r="X380" i="4"/>
  <c r="U380" i="4"/>
  <c r="B380" i="4"/>
  <c r="L380" i="4" s="1"/>
  <c r="CM379" i="4"/>
  <c r="CF379" i="4"/>
  <c r="CA379" i="4"/>
  <c r="CD379" i="4" s="1"/>
  <c r="CE379" i="4" s="1"/>
  <c r="BY379" i="4"/>
  <c r="BZ379" i="4" s="1"/>
  <c r="BX379" i="4"/>
  <c r="BS379" i="4"/>
  <c r="BT379" i="4" s="1"/>
  <c r="BM379" i="4"/>
  <c r="BP379" i="4" s="1"/>
  <c r="BJ379" i="4"/>
  <c r="BN379" i="4" s="1"/>
  <c r="BO379" i="4" s="1"/>
  <c r="BH379" i="4"/>
  <c r="BI379" i="4" s="1"/>
  <c r="BD379" i="4"/>
  <c r="BC379" i="4"/>
  <c r="AY379" i="4"/>
  <c r="AX379" i="4"/>
  <c r="AT379" i="4"/>
  <c r="AR379" i="4"/>
  <c r="AM379" i="4"/>
  <c r="AJ379" i="4"/>
  <c r="AI379" i="4"/>
  <c r="AG379" i="4"/>
  <c r="AF379" i="4"/>
  <c r="X379" i="4"/>
  <c r="U379" i="4"/>
  <c r="B379" i="4"/>
  <c r="CF378" i="4"/>
  <c r="CA378" i="4"/>
  <c r="CD378" i="4" s="1"/>
  <c r="CE378" i="4" s="1"/>
  <c r="BY378" i="4"/>
  <c r="BZ378" i="4" s="1"/>
  <c r="BX378" i="4"/>
  <c r="BS378" i="4"/>
  <c r="BT378" i="4" s="1"/>
  <c r="BM378" i="4"/>
  <c r="BP378" i="4" s="1"/>
  <c r="BJ378" i="4"/>
  <c r="BN378" i="4" s="1"/>
  <c r="BO378" i="4" s="1"/>
  <c r="BH378" i="4"/>
  <c r="BI378" i="4" s="1"/>
  <c r="BD378" i="4"/>
  <c r="BC378" i="4"/>
  <c r="AY378" i="4"/>
  <c r="AX378" i="4"/>
  <c r="AT378" i="4"/>
  <c r="AR378" i="4"/>
  <c r="AM378" i="4"/>
  <c r="AJ378" i="4"/>
  <c r="AI378" i="4"/>
  <c r="AG378" i="4"/>
  <c r="AF378" i="4"/>
  <c r="X378" i="4"/>
  <c r="U378" i="4"/>
  <c r="B378" i="4"/>
  <c r="CF377" i="4"/>
  <c r="CA377" i="4"/>
  <c r="CD377" i="4" s="1"/>
  <c r="CE377" i="4" s="1"/>
  <c r="BY377" i="4"/>
  <c r="BZ377" i="4" s="1"/>
  <c r="BX377" i="4"/>
  <c r="BS377" i="4"/>
  <c r="BT377" i="4" s="1"/>
  <c r="BM377" i="4"/>
  <c r="BP377" i="4" s="1"/>
  <c r="BJ377" i="4"/>
  <c r="BN377" i="4" s="1"/>
  <c r="BO377" i="4" s="1"/>
  <c r="BH377" i="4"/>
  <c r="BI377" i="4" s="1"/>
  <c r="BD377" i="4"/>
  <c r="BC377" i="4"/>
  <c r="AY377" i="4"/>
  <c r="AX377" i="4"/>
  <c r="AT377" i="4"/>
  <c r="AR377" i="4"/>
  <c r="AM377" i="4"/>
  <c r="AJ377" i="4"/>
  <c r="AI377" i="4"/>
  <c r="AG377" i="4"/>
  <c r="AF377" i="4"/>
  <c r="X377" i="4"/>
  <c r="U377" i="4"/>
  <c r="B377" i="4"/>
  <c r="AN379" i="4" l="1"/>
  <c r="CG379" i="4" s="1"/>
  <c r="AE278" i="3"/>
  <c r="AP278" i="3" s="1"/>
  <c r="AA278" i="3"/>
  <c r="Z278" i="3" s="1"/>
  <c r="AC278" i="3" s="1"/>
  <c r="AZ278" i="3"/>
  <c r="AN381" i="4"/>
  <c r="CS381" i="4" s="1"/>
  <c r="AN383" i="4"/>
  <c r="CS383" i="4" s="1"/>
  <c r="AN378" i="4"/>
  <c r="BU378" i="4" s="1"/>
  <c r="AN382" i="4"/>
  <c r="BU382" i="4" s="1"/>
  <c r="AN384" i="4"/>
  <c r="CG384" i="4" s="1"/>
  <c r="AN377" i="4"/>
  <c r="CG377" i="4" s="1"/>
  <c r="J382" i="4"/>
  <c r="V382" i="4"/>
  <c r="L382" i="4"/>
  <c r="BE382" i="4" s="1"/>
  <c r="J384" i="4"/>
  <c r="L384" i="4"/>
  <c r="K384" i="4"/>
  <c r="O384" i="4"/>
  <c r="V384" i="4"/>
  <c r="K382" i="4"/>
  <c r="O382" i="4"/>
  <c r="J383" i="4"/>
  <c r="L383" i="4"/>
  <c r="K383" i="4"/>
  <c r="O383" i="4"/>
  <c r="V383" i="4"/>
  <c r="J381" i="4"/>
  <c r="L381" i="4"/>
  <c r="K381" i="4"/>
  <c r="O381" i="4"/>
  <c r="V381" i="4"/>
  <c r="V379" i="4"/>
  <c r="V380" i="4"/>
  <c r="BE380" i="4"/>
  <c r="AZ380" i="4"/>
  <c r="K377" i="4"/>
  <c r="V377" i="4"/>
  <c r="J377" i="4"/>
  <c r="L377" i="4"/>
  <c r="J378" i="4"/>
  <c r="L378" i="4"/>
  <c r="J379" i="4"/>
  <c r="L379" i="4"/>
  <c r="K380" i="4"/>
  <c r="O380" i="4"/>
  <c r="AN380" i="4"/>
  <c r="O377" i="4"/>
  <c r="K378" i="4"/>
  <c r="O378" i="4"/>
  <c r="V378" i="4"/>
  <c r="K379" i="4"/>
  <c r="O379" i="4"/>
  <c r="J380" i="4"/>
  <c r="CG383" i="4" l="1"/>
  <c r="CS384" i="4"/>
  <c r="BU379" i="4"/>
  <c r="BU383" i="4"/>
  <c r="BU381" i="4"/>
  <c r="CG381" i="4"/>
  <c r="CG378" i="4"/>
  <c r="BU384" i="4"/>
  <c r="CG382" i="4"/>
  <c r="BU377" i="4"/>
  <c r="AZ382" i="4"/>
  <c r="CJ384" i="4"/>
  <c r="CK384" i="4"/>
  <c r="AE384" i="4"/>
  <c r="AP384" i="4" s="1"/>
  <c r="AA384" i="4"/>
  <c r="Z384" i="4" s="1"/>
  <c r="AC384" i="4" s="1"/>
  <c r="AZ384" i="4"/>
  <c r="BE384" i="4"/>
  <c r="CK382" i="4"/>
  <c r="AE382" i="4"/>
  <c r="AP382" i="4" s="1"/>
  <c r="AA382" i="4"/>
  <c r="Z382" i="4" s="1"/>
  <c r="AC382" i="4" s="1"/>
  <c r="CJ382" i="4"/>
  <c r="CJ383" i="4"/>
  <c r="CK383" i="4"/>
  <c r="AE383" i="4"/>
  <c r="AP383" i="4" s="1"/>
  <c r="AA383" i="4"/>
  <c r="Z383" i="4" s="1"/>
  <c r="AC383" i="4" s="1"/>
  <c r="AZ383" i="4"/>
  <c r="BE383" i="4"/>
  <c r="CJ381" i="4"/>
  <c r="CK381" i="4"/>
  <c r="AE381" i="4"/>
  <c r="AP381" i="4" s="1"/>
  <c r="AA381" i="4"/>
  <c r="Z381" i="4" s="1"/>
  <c r="AC381" i="4" s="1"/>
  <c r="AZ381" i="4"/>
  <c r="BE381" i="4"/>
  <c r="AE378" i="4"/>
  <c r="AP378" i="4" s="1"/>
  <c r="AA378" i="4"/>
  <c r="Z378" i="4" s="1"/>
  <c r="AC378" i="4" s="1"/>
  <c r="AE377" i="4"/>
  <c r="AP377" i="4" s="1"/>
  <c r="AA377" i="4"/>
  <c r="Z377" i="4" s="1"/>
  <c r="AC377" i="4" s="1"/>
  <c r="CK380" i="4"/>
  <c r="AE380" i="4"/>
  <c r="AP380" i="4" s="1"/>
  <c r="AA380" i="4"/>
  <c r="Z380" i="4" s="1"/>
  <c r="AC380" i="4" s="1"/>
  <c r="CJ380" i="4"/>
  <c r="AZ379" i="4"/>
  <c r="BE379" i="4"/>
  <c r="AZ378" i="4"/>
  <c r="BE378" i="4"/>
  <c r="AZ377" i="4"/>
  <c r="BE377" i="4"/>
  <c r="CJ379" i="4"/>
  <c r="CK379" i="4"/>
  <c r="AE379" i="4"/>
  <c r="AP379" i="4" s="1"/>
  <c r="AA379" i="4"/>
  <c r="Z379" i="4" s="1"/>
  <c r="AC379" i="4" s="1"/>
  <c r="CG380" i="4"/>
  <c r="BU380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K277" i="3"/>
  <c r="U277" i="3"/>
  <c r="X277" i="3"/>
  <c r="AF277" i="3"/>
  <c r="AG277" i="3"/>
  <c r="AI277" i="3"/>
  <c r="AJ277" i="3"/>
  <c r="AL277" i="3"/>
  <c r="AM277" i="3"/>
  <c r="AR277" i="3"/>
  <c r="AT277" i="3"/>
  <c r="AX277" i="3"/>
  <c r="AY277" i="3"/>
  <c r="J277" i="3" l="1"/>
  <c r="V277" i="3"/>
  <c r="AN277" i="3"/>
  <c r="L277" i="3"/>
  <c r="O277" i="3"/>
  <c r="AZ277" i="3" l="1"/>
  <c r="AA277" i="3"/>
  <c r="Z277" i="3" s="1"/>
  <c r="AC277" i="3" s="1"/>
  <c r="AE277" i="3"/>
  <c r="AP277" i="3" s="1"/>
  <c r="CU372" i="4" l="1"/>
  <c r="CR372" i="4"/>
  <c r="CF372" i="4"/>
  <c r="CA372" i="4"/>
  <c r="CD372" i="4" s="1"/>
  <c r="CE372" i="4" s="1"/>
  <c r="BY372" i="4"/>
  <c r="BZ372" i="4" s="1"/>
  <c r="BX372" i="4"/>
  <c r="BS372" i="4"/>
  <c r="BT372" i="4" s="1"/>
  <c r="BM372" i="4"/>
  <c r="BP372" i="4" s="1"/>
  <c r="BJ372" i="4"/>
  <c r="BN372" i="4" s="1"/>
  <c r="BO372" i="4" s="1"/>
  <c r="BH372" i="4"/>
  <c r="BI372" i="4" s="1"/>
  <c r="BD372" i="4"/>
  <c r="BC372" i="4"/>
  <c r="AY372" i="4"/>
  <c r="AX372" i="4"/>
  <c r="AT372" i="4"/>
  <c r="AR372" i="4"/>
  <c r="AM372" i="4"/>
  <c r="AJ372" i="4"/>
  <c r="AI372" i="4"/>
  <c r="AG372" i="4"/>
  <c r="AF372" i="4"/>
  <c r="X372" i="4"/>
  <c r="U372" i="4"/>
  <c r="B372" i="4"/>
  <c r="CF376" i="4"/>
  <c r="CA376" i="4"/>
  <c r="CD376" i="4" s="1"/>
  <c r="CE376" i="4" s="1"/>
  <c r="BY376" i="4"/>
  <c r="BZ376" i="4" s="1"/>
  <c r="BX376" i="4"/>
  <c r="BS376" i="4"/>
  <c r="BT376" i="4" s="1"/>
  <c r="BM376" i="4"/>
  <c r="BP376" i="4" s="1"/>
  <c r="BJ376" i="4"/>
  <c r="BN376" i="4" s="1"/>
  <c r="BO376" i="4" s="1"/>
  <c r="BH376" i="4"/>
  <c r="BI376" i="4" s="1"/>
  <c r="BD376" i="4"/>
  <c r="BC376" i="4"/>
  <c r="AY376" i="4"/>
  <c r="AX376" i="4"/>
  <c r="AT376" i="4"/>
  <c r="AR376" i="4"/>
  <c r="AM376" i="4"/>
  <c r="AJ376" i="4"/>
  <c r="AI376" i="4"/>
  <c r="AG376" i="4"/>
  <c r="AF376" i="4"/>
  <c r="X376" i="4"/>
  <c r="U376" i="4"/>
  <c r="B376" i="4"/>
  <c r="CF375" i="4"/>
  <c r="CA375" i="4"/>
  <c r="CD375" i="4" s="1"/>
  <c r="CE375" i="4" s="1"/>
  <c r="BY375" i="4"/>
  <c r="BZ375" i="4" s="1"/>
  <c r="BX375" i="4"/>
  <c r="BS375" i="4"/>
  <c r="BT375" i="4" s="1"/>
  <c r="BM375" i="4"/>
  <c r="BP375" i="4" s="1"/>
  <c r="BJ375" i="4"/>
  <c r="BN375" i="4" s="1"/>
  <c r="BO375" i="4" s="1"/>
  <c r="BH375" i="4"/>
  <c r="BI375" i="4" s="1"/>
  <c r="BD375" i="4"/>
  <c r="BC375" i="4"/>
  <c r="AY375" i="4"/>
  <c r="AX375" i="4"/>
  <c r="AT375" i="4"/>
  <c r="AR375" i="4"/>
  <c r="AM375" i="4"/>
  <c r="AJ375" i="4"/>
  <c r="AI375" i="4"/>
  <c r="AG375" i="4"/>
  <c r="AF375" i="4"/>
  <c r="X375" i="4"/>
  <c r="U375" i="4"/>
  <c r="B375" i="4"/>
  <c r="CF374" i="4"/>
  <c r="CA374" i="4"/>
  <c r="CD374" i="4" s="1"/>
  <c r="CE374" i="4" s="1"/>
  <c r="BY374" i="4"/>
  <c r="BZ374" i="4" s="1"/>
  <c r="BX374" i="4"/>
  <c r="BS374" i="4"/>
  <c r="BT374" i="4" s="1"/>
  <c r="BM374" i="4"/>
  <c r="BP374" i="4" s="1"/>
  <c r="BJ374" i="4"/>
  <c r="BN374" i="4" s="1"/>
  <c r="BO374" i="4" s="1"/>
  <c r="BH374" i="4"/>
  <c r="BI374" i="4" s="1"/>
  <c r="BD374" i="4"/>
  <c r="BC374" i="4"/>
  <c r="AY374" i="4"/>
  <c r="AX374" i="4"/>
  <c r="AT374" i="4"/>
  <c r="AR374" i="4"/>
  <c r="AM374" i="4"/>
  <c r="AJ374" i="4"/>
  <c r="AI374" i="4"/>
  <c r="AG374" i="4"/>
  <c r="AF374" i="4"/>
  <c r="X374" i="4"/>
  <c r="U374" i="4"/>
  <c r="B374" i="4"/>
  <c r="CU373" i="4"/>
  <c r="CR373" i="4"/>
  <c r="CM373" i="4"/>
  <c r="CF373" i="4"/>
  <c r="CA373" i="4"/>
  <c r="CD373" i="4" s="1"/>
  <c r="CE373" i="4" s="1"/>
  <c r="BY373" i="4"/>
  <c r="BZ373" i="4" s="1"/>
  <c r="BX373" i="4"/>
  <c r="BS373" i="4"/>
  <c r="BT373" i="4" s="1"/>
  <c r="BJ373" i="4"/>
  <c r="BN373" i="4" s="1"/>
  <c r="BO373" i="4" s="1"/>
  <c r="BD373" i="4"/>
  <c r="BC373" i="4"/>
  <c r="AY373" i="4"/>
  <c r="AX373" i="4"/>
  <c r="AT373" i="4"/>
  <c r="AR373" i="4"/>
  <c r="AM373" i="4"/>
  <c r="AJ373" i="4"/>
  <c r="AI373" i="4"/>
  <c r="AG373" i="4"/>
  <c r="AF373" i="4"/>
  <c r="X373" i="4"/>
  <c r="U373" i="4"/>
  <c r="B373" i="4"/>
  <c r="BH373" i="4" s="1"/>
  <c r="BI373" i="4" s="1"/>
  <c r="AN374" i="4" l="1"/>
  <c r="CG374" i="4" s="1"/>
  <c r="AN372" i="4"/>
  <c r="CG372" i="4" s="1"/>
  <c r="AN375" i="4"/>
  <c r="BU375" i="4" s="1"/>
  <c r="AN376" i="4"/>
  <c r="CG376" i="4" s="1"/>
  <c r="J372" i="4"/>
  <c r="V372" i="4"/>
  <c r="L372" i="4"/>
  <c r="BE372" i="4" s="1"/>
  <c r="K372" i="4"/>
  <c r="O372" i="4"/>
  <c r="J376" i="4"/>
  <c r="L376" i="4"/>
  <c r="K376" i="4"/>
  <c r="O376" i="4"/>
  <c r="V376" i="4"/>
  <c r="J375" i="4"/>
  <c r="L375" i="4"/>
  <c r="K375" i="4"/>
  <c r="O375" i="4"/>
  <c r="V375" i="4"/>
  <c r="J374" i="4"/>
  <c r="V374" i="4"/>
  <c r="L374" i="4"/>
  <c r="AZ374" i="4" s="1"/>
  <c r="K374" i="4"/>
  <c r="O374" i="4"/>
  <c r="O373" i="4"/>
  <c r="J373" i="4"/>
  <c r="L373" i="4"/>
  <c r="BM373" i="4"/>
  <c r="BP373" i="4" s="1"/>
  <c r="K373" i="4"/>
  <c r="V373" i="4"/>
  <c r="AN373" i="4"/>
  <c r="BL1" i="1"/>
  <c r="BO3" i="1"/>
  <c r="G281" i="3"/>
  <c r="G277" i="3"/>
  <c r="G262" i="1"/>
  <c r="G265" i="1"/>
  <c r="G266" i="1"/>
  <c r="G286" i="3"/>
  <c r="G280" i="3"/>
  <c r="G318" i="1"/>
  <c r="G267" i="1"/>
  <c r="G287" i="3"/>
  <c r="G278" i="3"/>
  <c r="G279" i="3"/>
  <c r="G282" i="3"/>
  <c r="CS372" i="4" l="1"/>
  <c r="BU374" i="4"/>
  <c r="CG375" i="4"/>
  <c r="BU372" i="4"/>
  <c r="BU376" i="4"/>
  <c r="AZ372" i="4"/>
  <c r="AE372" i="4"/>
  <c r="AP372" i="4" s="1"/>
  <c r="AA372" i="4"/>
  <c r="Z372" i="4" s="1"/>
  <c r="AC372" i="4" s="1"/>
  <c r="AE376" i="4"/>
  <c r="AP376" i="4" s="1"/>
  <c r="AA376" i="4"/>
  <c r="Z376" i="4" s="1"/>
  <c r="AC376" i="4" s="1"/>
  <c r="AZ376" i="4"/>
  <c r="BE376" i="4"/>
  <c r="AE375" i="4"/>
  <c r="AP375" i="4" s="1"/>
  <c r="AA375" i="4"/>
  <c r="Z375" i="4" s="1"/>
  <c r="AC375" i="4" s="1"/>
  <c r="AZ375" i="4"/>
  <c r="BE375" i="4"/>
  <c r="BE374" i="4"/>
  <c r="AE374" i="4"/>
  <c r="AP374" i="4" s="1"/>
  <c r="AA374" i="4"/>
  <c r="Z374" i="4" s="1"/>
  <c r="AC374" i="4" s="1"/>
  <c r="CS373" i="4"/>
  <c r="CG373" i="4"/>
  <c r="BU373" i="4"/>
  <c r="BE373" i="4"/>
  <c r="AZ373" i="4"/>
  <c r="CJ373" i="4"/>
  <c r="CK373" i="4"/>
  <c r="AE373" i="4"/>
  <c r="AP373" i="4" s="1"/>
  <c r="AA373" i="4"/>
  <c r="Z373" i="4" s="1"/>
  <c r="AC373" i="4" s="1"/>
  <c r="CZ3" i="1"/>
  <c r="CR3" i="1"/>
  <c r="CS3" i="1"/>
  <c r="CT3" i="1" s="1"/>
  <c r="CU3" i="1"/>
  <c r="CX3" i="1" s="1"/>
  <c r="CY3" i="1" s="1"/>
  <c r="CM3" i="1"/>
  <c r="CN3" i="1" s="1"/>
  <c r="CD3" i="1"/>
  <c r="CH3" i="1" s="1"/>
  <c r="CI3" i="1" s="1"/>
  <c r="BW3" i="1"/>
  <c r="BX3" i="1"/>
  <c r="AT3" i="1"/>
  <c r="AR3" i="1"/>
  <c r="AL3" i="1"/>
  <c r="AM3" i="1"/>
  <c r="AI3" i="1"/>
  <c r="AJ3" i="1"/>
  <c r="AF3" i="1"/>
  <c r="AG3" i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2" i="5"/>
  <c r="S5" i="12" l="1"/>
  <c r="AZ276" i="3"/>
  <c r="AY276" i="3"/>
  <c r="AT276" i="3"/>
  <c r="AR276" i="3"/>
  <c r="AM276" i="3"/>
  <c r="AN276" i="3" s="1"/>
  <c r="AL276" i="3"/>
  <c r="AJ276" i="3"/>
  <c r="AI276" i="3"/>
  <c r="AG276" i="3"/>
  <c r="AF276" i="3"/>
  <c r="X276" i="3"/>
  <c r="U276" i="3"/>
  <c r="AZ275" i="3"/>
  <c r="AY275" i="3"/>
  <c r="AT275" i="3"/>
  <c r="AR275" i="3"/>
  <c r="AM275" i="3"/>
  <c r="AL275" i="3"/>
  <c r="AJ275" i="3"/>
  <c r="AI275" i="3"/>
  <c r="AG275" i="3"/>
  <c r="AF275" i="3"/>
  <c r="X275" i="3"/>
  <c r="U275" i="3"/>
  <c r="K276" i="3" l="1"/>
  <c r="O276" i="3"/>
  <c r="V276" i="3"/>
  <c r="J276" i="3"/>
  <c r="L276" i="3"/>
  <c r="K275" i="3"/>
  <c r="O275" i="3"/>
  <c r="V275" i="3"/>
  <c r="AN275" i="3"/>
  <c r="J275" i="3"/>
  <c r="L275" i="3"/>
  <c r="AE276" i="3" l="1"/>
  <c r="AP276" i="3" s="1"/>
  <c r="AA276" i="3"/>
  <c r="Z276" i="3" s="1"/>
  <c r="AC276" i="3" s="1"/>
  <c r="AA275" i="3"/>
  <c r="Z275" i="3" s="1"/>
  <c r="AC275" i="3" s="1"/>
  <c r="AV276" i="3"/>
  <c r="BA276" i="3"/>
  <c r="AE275" i="3"/>
  <c r="AP275" i="3" s="1"/>
  <c r="BA275" i="3"/>
  <c r="AV275" i="3"/>
  <c r="B371" i="4" l="1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70" i="4"/>
  <c r="K370" i="4" s="1"/>
  <c r="B369" i="4"/>
  <c r="K369" i="4" s="1"/>
  <c r="B368" i="4"/>
  <c r="O368" i="4" s="1"/>
  <c r="CB3" i="1" l="1"/>
  <c r="CC3" i="1" s="1"/>
  <c r="CG3" i="1"/>
  <c r="CJ3" i="1" s="1"/>
  <c r="AN3" i="1"/>
  <c r="CO3" i="1" s="1"/>
  <c r="K371" i="4"/>
  <c r="J371" i="4"/>
  <c r="L371" i="4"/>
  <c r="J370" i="4"/>
  <c r="L370" i="4"/>
  <c r="J369" i="4"/>
  <c r="L369" i="4"/>
  <c r="L368" i="4"/>
  <c r="J368" i="4"/>
  <c r="K368" i="4"/>
  <c r="DA3" i="1" l="1"/>
  <c r="BT3" i="1"/>
  <c r="AA3" i="1"/>
  <c r="Z3" i="1" s="1"/>
  <c r="AC3" i="1" s="1"/>
  <c r="AE3" i="1"/>
  <c r="AP3" i="1" s="1"/>
  <c r="AJ367" i="4"/>
  <c r="AI367" i="4"/>
  <c r="AG367" i="4"/>
  <c r="AF367" i="4"/>
  <c r="X367" i="4"/>
  <c r="U367" i="4"/>
  <c r="B367" i="4"/>
  <c r="AJ366" i="4"/>
  <c r="AI366" i="4"/>
  <c r="AG366" i="4"/>
  <c r="AF366" i="4"/>
  <c r="X366" i="4"/>
  <c r="U366" i="4"/>
  <c r="B366" i="4"/>
  <c r="J367" i="4" l="1"/>
  <c r="L367" i="4"/>
  <c r="K367" i="4"/>
  <c r="O367" i="4"/>
  <c r="V367" i="4"/>
  <c r="J366" i="4"/>
  <c r="L366" i="4"/>
  <c r="K366" i="4"/>
  <c r="O366" i="4"/>
  <c r="V366" i="4"/>
  <c r="K274" i="3"/>
  <c r="U274" i="3"/>
  <c r="X274" i="3"/>
  <c r="AF274" i="3"/>
  <c r="AG274" i="3"/>
  <c r="AI274" i="3"/>
  <c r="AJ274" i="3"/>
  <c r="AL274" i="3"/>
  <c r="AM274" i="3"/>
  <c r="AR274" i="3"/>
  <c r="AT274" i="3"/>
  <c r="AY274" i="3"/>
  <c r="AZ274" i="3"/>
  <c r="K273" i="3"/>
  <c r="U273" i="3"/>
  <c r="X273" i="3"/>
  <c r="AF273" i="3"/>
  <c r="AG273" i="3"/>
  <c r="AI273" i="3"/>
  <c r="AJ273" i="3"/>
  <c r="AL273" i="3"/>
  <c r="AM273" i="3"/>
  <c r="AR273" i="3"/>
  <c r="AT273" i="3"/>
  <c r="AY273" i="3"/>
  <c r="AZ273" i="3"/>
  <c r="AE367" i="4" l="1"/>
  <c r="AA367" i="4"/>
  <c r="Z367" i="4" s="1"/>
  <c r="AC367" i="4" s="1"/>
  <c r="AE366" i="4"/>
  <c r="AA366" i="4"/>
  <c r="Z366" i="4" s="1"/>
  <c r="AC366" i="4" s="1"/>
  <c r="J274" i="3"/>
  <c r="AN274" i="3"/>
  <c r="L274" i="3"/>
  <c r="AN273" i="3"/>
  <c r="V274" i="3"/>
  <c r="O274" i="3"/>
  <c r="AE274" i="3" s="1"/>
  <c r="AP274" i="3" s="1"/>
  <c r="V273" i="3"/>
  <c r="O273" i="3"/>
  <c r="J273" i="3"/>
  <c r="L273" i="3"/>
  <c r="AE273" i="3" l="1"/>
  <c r="AP273" i="3" s="1"/>
  <c r="BA274" i="3"/>
  <c r="AV274" i="3"/>
  <c r="AA274" i="3"/>
  <c r="Z274" i="3" s="1"/>
  <c r="AC274" i="3" s="1"/>
  <c r="AV273" i="3"/>
  <c r="BA273" i="3"/>
  <c r="AA273" i="3"/>
  <c r="Z273" i="3" s="1"/>
  <c r="AC273" i="3" s="1"/>
  <c r="AJ365" i="4" l="1"/>
  <c r="AI365" i="4"/>
  <c r="AG365" i="4"/>
  <c r="AF365" i="4"/>
  <c r="X365" i="4"/>
  <c r="U365" i="4"/>
  <c r="B365" i="4"/>
  <c r="AJ364" i="4"/>
  <c r="AI364" i="4"/>
  <c r="AG364" i="4"/>
  <c r="AF364" i="4"/>
  <c r="X364" i="4"/>
  <c r="U364" i="4"/>
  <c r="B364" i="4"/>
  <c r="O365" i="4" l="1"/>
  <c r="AA365" i="4" s="1"/>
  <c r="Z365" i="4" s="1"/>
  <c r="AC365" i="4" s="1"/>
  <c r="L364" i="4"/>
  <c r="V364" i="4"/>
  <c r="K365" i="4"/>
  <c r="L365" i="4"/>
  <c r="J365" i="4"/>
  <c r="V365" i="4"/>
  <c r="K364" i="4"/>
  <c r="O364" i="4"/>
  <c r="J364" i="4"/>
  <c r="AE365" i="4" l="1"/>
  <c r="AE364" i="4"/>
  <c r="AA364" i="4"/>
  <c r="Z364" i="4" s="1"/>
  <c r="AC364" i="4" s="1"/>
  <c r="B323" i="5"/>
  <c r="B322" i="5"/>
  <c r="B321" i="5"/>
  <c r="N5" i="12" l="1"/>
  <c r="L4" i="12"/>
  <c r="A5" i="12" l="1"/>
  <c r="B363" i="4" l="1"/>
  <c r="L363" i="4" s="1"/>
  <c r="AJ362" i="4"/>
  <c r="AI362" i="4"/>
  <c r="AG362" i="4"/>
  <c r="AF362" i="4"/>
  <c r="X362" i="4"/>
  <c r="U362" i="4"/>
  <c r="J362" i="4"/>
  <c r="AJ361" i="4"/>
  <c r="AI361" i="4"/>
  <c r="AG361" i="4"/>
  <c r="AF361" i="4"/>
  <c r="X361" i="4"/>
  <c r="U361" i="4"/>
  <c r="L361" i="4"/>
  <c r="AJ360" i="4"/>
  <c r="AI360" i="4"/>
  <c r="AG360" i="4"/>
  <c r="AF360" i="4"/>
  <c r="X360" i="4"/>
  <c r="U360" i="4"/>
  <c r="J360" i="4"/>
  <c r="AJ359" i="4"/>
  <c r="AI359" i="4"/>
  <c r="AG359" i="4"/>
  <c r="AF359" i="4"/>
  <c r="X359" i="4"/>
  <c r="U359" i="4"/>
  <c r="L359" i="4"/>
  <c r="K272" i="3"/>
  <c r="U272" i="3"/>
  <c r="X272" i="3"/>
  <c r="AF272" i="3"/>
  <c r="AG272" i="3"/>
  <c r="AI272" i="3"/>
  <c r="AJ272" i="3"/>
  <c r="AL272" i="3"/>
  <c r="AM272" i="3"/>
  <c r="AR272" i="3"/>
  <c r="AT272" i="3"/>
  <c r="AY272" i="3"/>
  <c r="AZ272" i="3"/>
  <c r="K271" i="3"/>
  <c r="U271" i="3"/>
  <c r="X271" i="3"/>
  <c r="AF271" i="3"/>
  <c r="AG271" i="3"/>
  <c r="AI271" i="3"/>
  <c r="AJ271" i="3"/>
  <c r="AL271" i="3"/>
  <c r="AM271" i="3"/>
  <c r="AR271" i="3"/>
  <c r="AT271" i="3"/>
  <c r="AY271" i="3"/>
  <c r="AZ271" i="3"/>
  <c r="K270" i="3"/>
  <c r="U270" i="3"/>
  <c r="X270" i="3"/>
  <c r="AF270" i="3"/>
  <c r="AG270" i="3"/>
  <c r="AI270" i="3"/>
  <c r="AJ270" i="3"/>
  <c r="AL270" i="3"/>
  <c r="AM270" i="3"/>
  <c r="AR270" i="3"/>
  <c r="AT270" i="3"/>
  <c r="AY270" i="3"/>
  <c r="AZ270" i="3"/>
  <c r="K269" i="3"/>
  <c r="U269" i="3"/>
  <c r="X269" i="3"/>
  <c r="AF269" i="3"/>
  <c r="AG269" i="3"/>
  <c r="AI269" i="3"/>
  <c r="AJ269" i="3"/>
  <c r="AL269" i="3"/>
  <c r="AM269" i="3"/>
  <c r="AR269" i="3"/>
  <c r="AT269" i="3"/>
  <c r="AY269" i="3"/>
  <c r="AZ269" i="3"/>
  <c r="V360" i="4" l="1"/>
  <c r="K360" i="4"/>
  <c r="K362" i="4"/>
  <c r="V362" i="4"/>
  <c r="O359" i="4"/>
  <c r="O361" i="4"/>
  <c r="J359" i="4"/>
  <c r="L360" i="4"/>
  <c r="J361" i="4"/>
  <c r="L362" i="4"/>
  <c r="J363" i="4"/>
  <c r="K359" i="4"/>
  <c r="V359" i="4"/>
  <c r="O360" i="4"/>
  <c r="K361" i="4"/>
  <c r="V361" i="4"/>
  <c r="O362" i="4"/>
  <c r="K363" i="4"/>
  <c r="J272" i="3"/>
  <c r="J271" i="3"/>
  <c r="J270" i="3"/>
  <c r="AN272" i="3"/>
  <c r="L272" i="3"/>
  <c r="V272" i="3"/>
  <c r="O272" i="3"/>
  <c r="AE272" i="3" s="1"/>
  <c r="AP272" i="3" s="1"/>
  <c r="AN271" i="3"/>
  <c r="L271" i="3"/>
  <c r="V271" i="3"/>
  <c r="O271" i="3"/>
  <c r="AN270" i="3"/>
  <c r="V270" i="3"/>
  <c r="O270" i="3"/>
  <c r="AE270" i="3" s="1"/>
  <c r="AP270" i="3" s="1"/>
  <c r="L270" i="3"/>
  <c r="J269" i="3"/>
  <c r="AN269" i="3"/>
  <c r="V269" i="3"/>
  <c r="O269" i="3"/>
  <c r="L269" i="3"/>
  <c r="AJ358" i="4"/>
  <c r="AI358" i="4"/>
  <c r="AG358" i="4"/>
  <c r="AF358" i="4"/>
  <c r="X358" i="4"/>
  <c r="U358" i="4"/>
  <c r="AJ357" i="4"/>
  <c r="AI357" i="4"/>
  <c r="AG357" i="4"/>
  <c r="AF357" i="4"/>
  <c r="X357" i="4"/>
  <c r="U357" i="4"/>
  <c r="AJ356" i="4"/>
  <c r="AI356" i="4"/>
  <c r="AG356" i="4"/>
  <c r="AF356" i="4"/>
  <c r="X356" i="4"/>
  <c r="U356" i="4"/>
  <c r="AJ355" i="4"/>
  <c r="AI355" i="4"/>
  <c r="AG355" i="4"/>
  <c r="AF355" i="4"/>
  <c r="X355" i="4"/>
  <c r="U355" i="4"/>
  <c r="AJ354" i="4"/>
  <c r="AI354" i="4"/>
  <c r="AG354" i="4"/>
  <c r="AF354" i="4"/>
  <c r="X354" i="4"/>
  <c r="U354" i="4"/>
  <c r="AJ353" i="4"/>
  <c r="AI353" i="4"/>
  <c r="AF353" i="4"/>
  <c r="X353" i="4"/>
  <c r="U353" i="4"/>
  <c r="AE361" i="4" l="1"/>
  <c r="AA361" i="4"/>
  <c r="Z361" i="4" s="1"/>
  <c r="AC361" i="4" s="1"/>
  <c r="AA362" i="4"/>
  <c r="Z362" i="4" s="1"/>
  <c r="AC362" i="4" s="1"/>
  <c r="AE362" i="4"/>
  <c r="AA360" i="4"/>
  <c r="Z360" i="4" s="1"/>
  <c r="AC360" i="4" s="1"/>
  <c r="AE360" i="4"/>
  <c r="AE359" i="4"/>
  <c r="AA359" i="4"/>
  <c r="Z359" i="4" s="1"/>
  <c r="AC359" i="4" s="1"/>
  <c r="AV272" i="3"/>
  <c r="BA272" i="3"/>
  <c r="AA272" i="3"/>
  <c r="Z272" i="3" s="1"/>
  <c r="AC272" i="3" s="1"/>
  <c r="AE271" i="3"/>
  <c r="AP271" i="3" s="1"/>
  <c r="AV271" i="3"/>
  <c r="BA271" i="3"/>
  <c r="AA271" i="3"/>
  <c r="Z271" i="3" s="1"/>
  <c r="AC271" i="3" s="1"/>
  <c r="AA270" i="3"/>
  <c r="Z270" i="3" s="1"/>
  <c r="AC270" i="3" s="1"/>
  <c r="AV270" i="3"/>
  <c r="BA270" i="3"/>
  <c r="AE269" i="3"/>
  <c r="AP269" i="3" s="1"/>
  <c r="AA269" i="3"/>
  <c r="Z269" i="3" s="1"/>
  <c r="AC269" i="3" s="1"/>
  <c r="AV269" i="3"/>
  <c r="BA269" i="3"/>
  <c r="J356" i="4"/>
  <c r="L356" i="4"/>
  <c r="J357" i="4"/>
  <c r="L357" i="4"/>
  <c r="J358" i="4"/>
  <c r="L358" i="4"/>
  <c r="K356" i="4"/>
  <c r="O356" i="4"/>
  <c r="V356" i="4"/>
  <c r="K357" i="4"/>
  <c r="O357" i="4"/>
  <c r="V357" i="4"/>
  <c r="K358" i="4"/>
  <c r="O358" i="4"/>
  <c r="V358" i="4"/>
  <c r="J354" i="4"/>
  <c r="L354" i="4"/>
  <c r="J355" i="4"/>
  <c r="L355" i="4"/>
  <c r="K354" i="4"/>
  <c r="O354" i="4"/>
  <c r="V354" i="4"/>
  <c r="K355" i="4"/>
  <c r="O355" i="4"/>
  <c r="V355" i="4"/>
  <c r="O353" i="4"/>
  <c r="J353" i="4"/>
  <c r="L353" i="4"/>
  <c r="AG353" i="4"/>
  <c r="K353" i="4"/>
  <c r="V353" i="4"/>
  <c r="AE358" i="4" l="1"/>
  <c r="AA358" i="4"/>
  <c r="Z358" i="4" s="1"/>
  <c r="AC358" i="4" s="1"/>
  <c r="AE356" i="4"/>
  <c r="AA356" i="4"/>
  <c r="Z356" i="4" s="1"/>
  <c r="AC356" i="4" s="1"/>
  <c r="AE357" i="4"/>
  <c r="AA357" i="4"/>
  <c r="Z357" i="4" s="1"/>
  <c r="AC357" i="4" s="1"/>
  <c r="AE355" i="4"/>
  <c r="AA355" i="4"/>
  <c r="Z355" i="4" s="1"/>
  <c r="AC355" i="4" s="1"/>
  <c r="AE354" i="4"/>
  <c r="AA354" i="4"/>
  <c r="Z354" i="4" s="1"/>
  <c r="AC354" i="4" s="1"/>
  <c r="AE353" i="4"/>
  <c r="AA353" i="4"/>
  <c r="Z353" i="4" s="1"/>
  <c r="AC353" i="4" s="1"/>
  <c r="AJ352" i="4" l="1"/>
  <c r="AI352" i="4"/>
  <c r="AG352" i="4"/>
  <c r="AF352" i="4"/>
  <c r="X352" i="4"/>
  <c r="U352" i="4"/>
  <c r="J352" i="4" l="1"/>
  <c r="V352" i="4"/>
  <c r="K352" i="4"/>
  <c r="L352" i="4"/>
  <c r="O352" i="4"/>
  <c r="AA352" i="4" l="1"/>
  <c r="Z352" i="4" s="1"/>
  <c r="AC352" i="4" s="1"/>
  <c r="AE352" i="4"/>
  <c r="AJ351" i="4" l="1"/>
  <c r="AI351" i="4"/>
  <c r="AG351" i="4"/>
  <c r="AF351" i="4"/>
  <c r="X351" i="4"/>
  <c r="U351" i="4"/>
  <c r="V351" i="4" l="1"/>
  <c r="J351" i="4"/>
  <c r="L351" i="4"/>
  <c r="K351" i="4"/>
  <c r="O351" i="4"/>
  <c r="AZ268" i="3"/>
  <c r="AY268" i="3"/>
  <c r="AT268" i="3"/>
  <c r="AR268" i="3"/>
  <c r="AM268" i="3"/>
  <c r="AL268" i="3"/>
  <c r="AJ268" i="3"/>
  <c r="AI268" i="3"/>
  <c r="AG268" i="3"/>
  <c r="AF268" i="3"/>
  <c r="X268" i="3"/>
  <c r="U268" i="3"/>
  <c r="AN268" i="3"/>
  <c r="AE351" i="4" l="1"/>
  <c r="AA351" i="4"/>
  <c r="Z351" i="4" s="1"/>
  <c r="AC351" i="4" s="1"/>
  <c r="V268" i="3"/>
  <c r="J268" i="3"/>
  <c r="L268" i="3"/>
  <c r="K268" i="3"/>
  <c r="O268" i="3"/>
  <c r="AZ267" i="3"/>
  <c r="AY267" i="3"/>
  <c r="AT267" i="3"/>
  <c r="AR267" i="3"/>
  <c r="AM267" i="3"/>
  <c r="AL267" i="3"/>
  <c r="AJ267" i="3"/>
  <c r="AI267" i="3"/>
  <c r="AG267" i="3"/>
  <c r="AF267" i="3"/>
  <c r="X267" i="3"/>
  <c r="U267" i="3"/>
  <c r="K266" i="3"/>
  <c r="U266" i="3"/>
  <c r="X266" i="3"/>
  <c r="AF266" i="3"/>
  <c r="AG266" i="3"/>
  <c r="AI266" i="3"/>
  <c r="AJ266" i="3"/>
  <c r="AL266" i="3"/>
  <c r="AM266" i="3"/>
  <c r="AR266" i="3"/>
  <c r="AT266" i="3"/>
  <c r="AY266" i="3"/>
  <c r="AZ266" i="3"/>
  <c r="K265" i="3"/>
  <c r="U265" i="3"/>
  <c r="X265" i="3"/>
  <c r="AF265" i="3"/>
  <c r="AI265" i="3"/>
  <c r="AJ265" i="3"/>
  <c r="AL265" i="3"/>
  <c r="AM265" i="3"/>
  <c r="AR265" i="3"/>
  <c r="AT265" i="3"/>
  <c r="AY265" i="3"/>
  <c r="AZ265" i="3"/>
  <c r="AJ350" i="4"/>
  <c r="AI350" i="4"/>
  <c r="AG350" i="4"/>
  <c r="AF350" i="4"/>
  <c r="X350" i="4"/>
  <c r="U350" i="4"/>
  <c r="AJ349" i="4"/>
  <c r="AI349" i="4"/>
  <c r="AG349" i="4"/>
  <c r="AF349" i="4"/>
  <c r="X349" i="4"/>
  <c r="U349" i="4"/>
  <c r="AJ348" i="4"/>
  <c r="AI348" i="4"/>
  <c r="AG348" i="4"/>
  <c r="AF348" i="4"/>
  <c r="X348" i="4"/>
  <c r="U348" i="4"/>
  <c r="AJ347" i="4"/>
  <c r="AI347" i="4"/>
  <c r="AG347" i="4"/>
  <c r="AF347" i="4"/>
  <c r="X347" i="4"/>
  <c r="U347" i="4"/>
  <c r="AE268" i="3" l="1"/>
  <c r="AP268" i="3" s="1"/>
  <c r="AA268" i="3"/>
  <c r="Z268" i="3" s="1"/>
  <c r="AC268" i="3" s="1"/>
  <c r="AV268" i="3"/>
  <c r="BA268" i="3"/>
  <c r="J266" i="3"/>
  <c r="J265" i="3"/>
  <c r="AG265" i="3"/>
  <c r="K267" i="3"/>
  <c r="L266" i="3"/>
  <c r="J267" i="3"/>
  <c r="L267" i="3"/>
  <c r="O267" i="3"/>
  <c r="V267" i="3"/>
  <c r="AN267" i="3"/>
  <c r="AN265" i="3"/>
  <c r="L265" i="3"/>
  <c r="AN266" i="3"/>
  <c r="V266" i="3"/>
  <c r="O266" i="3"/>
  <c r="V265" i="3"/>
  <c r="O265" i="3"/>
  <c r="J349" i="4"/>
  <c r="L349" i="4"/>
  <c r="J350" i="4"/>
  <c r="L350" i="4"/>
  <c r="K349" i="4"/>
  <c r="O349" i="4"/>
  <c r="V349" i="4"/>
  <c r="K350" i="4"/>
  <c r="O350" i="4"/>
  <c r="V350" i="4"/>
  <c r="J348" i="4"/>
  <c r="L348" i="4"/>
  <c r="K348" i="4"/>
  <c r="O348" i="4"/>
  <c r="V348" i="4"/>
  <c r="J347" i="4"/>
  <c r="L347" i="4"/>
  <c r="K347" i="4"/>
  <c r="O347" i="4"/>
  <c r="V347" i="4"/>
  <c r="AE267" i="3" l="1"/>
  <c r="AP267" i="3" s="1"/>
  <c r="AA267" i="3"/>
  <c r="Z267" i="3" s="1"/>
  <c r="AC267" i="3" s="1"/>
  <c r="AV267" i="3"/>
  <c r="BA267" i="3"/>
  <c r="BA266" i="3"/>
  <c r="AV266" i="3"/>
  <c r="AA266" i="3"/>
  <c r="Z266" i="3" s="1"/>
  <c r="AC266" i="3" s="1"/>
  <c r="AV265" i="3"/>
  <c r="BA265" i="3"/>
  <c r="AE266" i="3"/>
  <c r="AP266" i="3" s="1"/>
  <c r="AE265" i="3"/>
  <c r="AP265" i="3" s="1"/>
  <c r="AA265" i="3"/>
  <c r="Z265" i="3" s="1"/>
  <c r="AC265" i="3" s="1"/>
  <c r="AE350" i="4"/>
  <c r="AA350" i="4"/>
  <c r="Z350" i="4" s="1"/>
  <c r="AC350" i="4" s="1"/>
  <c r="AE349" i="4"/>
  <c r="AA349" i="4"/>
  <c r="Z349" i="4" s="1"/>
  <c r="AC349" i="4" s="1"/>
  <c r="AE348" i="4"/>
  <c r="AA348" i="4"/>
  <c r="Z348" i="4" s="1"/>
  <c r="AC348" i="4" s="1"/>
  <c r="AE347" i="4"/>
  <c r="AA347" i="4"/>
  <c r="Z347" i="4" s="1"/>
  <c r="AC347" i="4" s="1"/>
  <c r="AJ346" i="4" l="1"/>
  <c r="AI346" i="4"/>
  <c r="AG346" i="4"/>
  <c r="AF346" i="4"/>
  <c r="X346" i="4"/>
  <c r="U346" i="4"/>
  <c r="AJ345" i="4"/>
  <c r="AI345" i="4"/>
  <c r="AG345" i="4"/>
  <c r="AF345" i="4"/>
  <c r="X345" i="4"/>
  <c r="U345" i="4"/>
  <c r="AJ344" i="4"/>
  <c r="AI344" i="4"/>
  <c r="AG344" i="4"/>
  <c r="AF344" i="4"/>
  <c r="X344" i="4"/>
  <c r="U344" i="4"/>
  <c r="J344" i="4" l="1"/>
  <c r="L344" i="4"/>
  <c r="J345" i="4"/>
  <c r="L345" i="4"/>
  <c r="J346" i="4"/>
  <c r="L346" i="4"/>
  <c r="K344" i="4"/>
  <c r="O344" i="4"/>
  <c r="V344" i="4"/>
  <c r="K345" i="4"/>
  <c r="O345" i="4"/>
  <c r="V345" i="4"/>
  <c r="K346" i="4"/>
  <c r="O346" i="4"/>
  <c r="V346" i="4"/>
  <c r="AE346" i="4" l="1"/>
  <c r="AA346" i="4"/>
  <c r="Z346" i="4" s="1"/>
  <c r="AC346" i="4" s="1"/>
  <c r="AE345" i="4"/>
  <c r="AA345" i="4"/>
  <c r="Z345" i="4" s="1"/>
  <c r="AC345" i="4" s="1"/>
  <c r="AE344" i="4"/>
  <c r="AA344" i="4"/>
  <c r="Z344" i="4" s="1"/>
  <c r="AC344" i="4" s="1"/>
  <c r="J13" i="15"/>
  <c r="H20" i="10" l="1"/>
  <c r="H17" i="10"/>
  <c r="H12" i="10"/>
  <c r="I20" i="16" l="1"/>
  <c r="D7" i="10" l="1"/>
  <c r="F6" i="15"/>
  <c r="G6" i="15"/>
  <c r="I6" i="15"/>
  <c r="H6" i="15"/>
  <c r="A20" i="15"/>
  <c r="L6" i="15"/>
  <c r="K6" i="15"/>
  <c r="J6" i="15"/>
  <c r="E6" i="15"/>
  <c r="D6" i="15"/>
  <c r="C6" i="15"/>
  <c r="B6" i="15"/>
  <c r="A6" i="15"/>
  <c r="AJ343" i="4"/>
  <c r="AI343" i="4"/>
  <c r="AG343" i="4"/>
  <c r="AF343" i="4"/>
  <c r="X343" i="4"/>
  <c r="U343" i="4"/>
  <c r="I89" i="16"/>
  <c r="H89" i="16"/>
  <c r="G89" i="16"/>
  <c r="F89" i="16"/>
  <c r="E89" i="16"/>
  <c r="D89" i="16"/>
  <c r="C89" i="16"/>
  <c r="B89" i="16"/>
  <c r="C44" i="16"/>
  <c r="D44" i="16"/>
  <c r="E44" i="16"/>
  <c r="F44" i="16"/>
  <c r="G44" i="16"/>
  <c r="H44" i="16"/>
  <c r="I44" i="16"/>
  <c r="J44" i="16"/>
  <c r="K44" i="16"/>
  <c r="L44" i="16"/>
  <c r="M44" i="16"/>
  <c r="B44" i="16"/>
  <c r="E86" i="16"/>
  <c r="D86" i="16"/>
  <c r="C86" i="16"/>
  <c r="B55" i="16"/>
  <c r="B86" i="16" s="1"/>
  <c r="H4" i="7"/>
  <c r="J28" i="7"/>
  <c r="L343" i="4" l="1"/>
  <c r="J343" i="4"/>
  <c r="V343" i="4"/>
  <c r="K343" i="4"/>
  <c r="O343" i="4"/>
  <c r="AE343" i="4" l="1"/>
  <c r="AA343" i="4"/>
  <c r="Z343" i="4" s="1"/>
  <c r="AC343" i="4" s="1"/>
  <c r="H7" i="10"/>
  <c r="AJ342" i="4"/>
  <c r="AI342" i="4"/>
  <c r="AG342" i="4"/>
  <c r="AF342" i="4"/>
  <c r="X342" i="4"/>
  <c r="U342" i="4"/>
  <c r="AJ341" i="4"/>
  <c r="AI341" i="4"/>
  <c r="AG341" i="4"/>
  <c r="AF341" i="4"/>
  <c r="X341" i="4"/>
  <c r="U341" i="4"/>
  <c r="AJ340" i="4"/>
  <c r="AI340" i="4"/>
  <c r="AG340" i="4"/>
  <c r="AF340" i="4"/>
  <c r="X340" i="4"/>
  <c r="U340" i="4"/>
  <c r="AJ339" i="4"/>
  <c r="AI339" i="4"/>
  <c r="AG339" i="4"/>
  <c r="AF339" i="4"/>
  <c r="X339" i="4"/>
  <c r="U339" i="4"/>
  <c r="V341" i="4" l="1"/>
  <c r="J341" i="4"/>
  <c r="L342" i="4"/>
  <c r="L341" i="4"/>
  <c r="J342" i="4"/>
  <c r="V342" i="4"/>
  <c r="K341" i="4"/>
  <c r="O341" i="4"/>
  <c r="K342" i="4"/>
  <c r="O342" i="4"/>
  <c r="V340" i="4"/>
  <c r="K339" i="4"/>
  <c r="V339" i="4"/>
  <c r="J339" i="4"/>
  <c r="L339" i="4"/>
  <c r="J340" i="4"/>
  <c r="L340" i="4"/>
  <c r="O339" i="4"/>
  <c r="K340" i="4"/>
  <c r="O340" i="4"/>
  <c r="AJ338" i="4"/>
  <c r="AI338" i="4"/>
  <c r="AG338" i="4"/>
  <c r="AF338" i="4"/>
  <c r="X338" i="4"/>
  <c r="U338" i="4"/>
  <c r="AJ337" i="4"/>
  <c r="AI337" i="4"/>
  <c r="AG337" i="4"/>
  <c r="AF337" i="4"/>
  <c r="X337" i="4"/>
  <c r="U337" i="4"/>
  <c r="J337" i="4"/>
  <c r="AJ336" i="4"/>
  <c r="AI336" i="4"/>
  <c r="AG336" i="4"/>
  <c r="AF336" i="4"/>
  <c r="X336" i="4"/>
  <c r="U336" i="4"/>
  <c r="AJ335" i="4"/>
  <c r="AI335" i="4"/>
  <c r="AG335" i="4"/>
  <c r="AF335" i="4"/>
  <c r="X335" i="4"/>
  <c r="U335" i="4"/>
  <c r="AJ334" i="4"/>
  <c r="AI334" i="4"/>
  <c r="AG334" i="4"/>
  <c r="AF334" i="4"/>
  <c r="X334" i="4"/>
  <c r="U334" i="4"/>
  <c r="AJ333" i="4"/>
  <c r="AI333" i="4"/>
  <c r="AG333" i="4"/>
  <c r="AF333" i="4"/>
  <c r="X333" i="4"/>
  <c r="U333" i="4"/>
  <c r="AZ264" i="3"/>
  <c r="AY264" i="3"/>
  <c r="AT264" i="3"/>
  <c r="AR264" i="3"/>
  <c r="AM264" i="3"/>
  <c r="AL264" i="3"/>
  <c r="AJ264" i="3"/>
  <c r="AI264" i="3"/>
  <c r="AG264" i="3"/>
  <c r="AF264" i="3"/>
  <c r="X264" i="3"/>
  <c r="U264" i="3"/>
  <c r="AZ263" i="3"/>
  <c r="AY263" i="3"/>
  <c r="AT263" i="3"/>
  <c r="AR263" i="3"/>
  <c r="AM263" i="3"/>
  <c r="AL263" i="3"/>
  <c r="AJ263" i="3"/>
  <c r="AI263" i="3"/>
  <c r="AG263" i="3"/>
  <c r="AF263" i="3"/>
  <c r="X263" i="3"/>
  <c r="U263" i="3"/>
  <c r="AE342" i="4" l="1"/>
  <c r="AA342" i="4"/>
  <c r="Z342" i="4" s="1"/>
  <c r="AC342" i="4" s="1"/>
  <c r="AE341" i="4"/>
  <c r="AA341" i="4"/>
  <c r="Z341" i="4" s="1"/>
  <c r="AC341" i="4" s="1"/>
  <c r="AE340" i="4"/>
  <c r="AA340" i="4"/>
  <c r="Z340" i="4" s="1"/>
  <c r="AC340" i="4" s="1"/>
  <c r="AE339" i="4"/>
  <c r="AA339" i="4"/>
  <c r="Z339" i="4" s="1"/>
  <c r="AC339" i="4" s="1"/>
  <c r="V337" i="4"/>
  <c r="L338" i="4"/>
  <c r="L337" i="4"/>
  <c r="J338" i="4"/>
  <c r="V338" i="4"/>
  <c r="K337" i="4"/>
  <c r="O337" i="4"/>
  <c r="K338" i="4"/>
  <c r="O338" i="4"/>
  <c r="J333" i="4"/>
  <c r="L333" i="4"/>
  <c r="J334" i="4"/>
  <c r="L334" i="4"/>
  <c r="J335" i="4"/>
  <c r="L335" i="4"/>
  <c r="J336" i="4"/>
  <c r="L336" i="4"/>
  <c r="K333" i="4"/>
  <c r="O333" i="4"/>
  <c r="V333" i="4"/>
  <c r="K334" i="4"/>
  <c r="O334" i="4"/>
  <c r="V334" i="4"/>
  <c r="K335" i="4"/>
  <c r="O335" i="4"/>
  <c r="V335" i="4"/>
  <c r="K336" i="4"/>
  <c r="O336" i="4"/>
  <c r="V336" i="4"/>
  <c r="O264" i="3"/>
  <c r="AA264" i="3" s="1"/>
  <c r="Z264" i="3" s="1"/>
  <c r="AC264" i="3" s="1"/>
  <c r="V264" i="3"/>
  <c r="K264" i="3"/>
  <c r="J264" i="3"/>
  <c r="L264" i="3"/>
  <c r="AN264" i="3"/>
  <c r="V263" i="3"/>
  <c r="J263" i="3"/>
  <c r="L263" i="3"/>
  <c r="K263" i="3"/>
  <c r="O263" i="3"/>
  <c r="AN263" i="3"/>
  <c r="K261" i="3"/>
  <c r="K262" i="3"/>
  <c r="U262" i="3"/>
  <c r="X262" i="3"/>
  <c r="AF262" i="3"/>
  <c r="AG262" i="3"/>
  <c r="AI262" i="3"/>
  <c r="AJ262" i="3"/>
  <c r="AL262" i="3"/>
  <c r="AM262" i="3"/>
  <c r="AR262" i="3"/>
  <c r="AT262" i="3"/>
  <c r="AY262" i="3"/>
  <c r="AZ262" i="3"/>
  <c r="U261" i="3"/>
  <c r="X261" i="3"/>
  <c r="AF261" i="3"/>
  <c r="AG261" i="3"/>
  <c r="AI261" i="3"/>
  <c r="AJ261" i="3"/>
  <c r="AL261" i="3"/>
  <c r="AM261" i="3"/>
  <c r="AR261" i="3"/>
  <c r="AT261" i="3"/>
  <c r="AY261" i="3"/>
  <c r="AZ261" i="3"/>
  <c r="AZ260" i="3"/>
  <c r="AY260" i="3"/>
  <c r="AT260" i="3"/>
  <c r="AR260" i="3"/>
  <c r="AM260" i="3"/>
  <c r="AL260" i="3"/>
  <c r="AJ260" i="3"/>
  <c r="AI260" i="3"/>
  <c r="AF260" i="3"/>
  <c r="X260" i="3"/>
  <c r="U260" i="3"/>
  <c r="AJ332" i="4"/>
  <c r="AI332" i="4"/>
  <c r="AG332" i="4"/>
  <c r="AF332" i="4"/>
  <c r="X332" i="4"/>
  <c r="U332" i="4"/>
  <c r="AE338" i="4" l="1"/>
  <c r="AA338" i="4"/>
  <c r="Z338" i="4" s="1"/>
  <c r="AC338" i="4" s="1"/>
  <c r="AE337" i="4"/>
  <c r="AA337" i="4"/>
  <c r="Z337" i="4" s="1"/>
  <c r="AC337" i="4" s="1"/>
  <c r="AE264" i="3"/>
  <c r="AP264" i="3" s="1"/>
  <c r="AE336" i="4"/>
  <c r="AA336" i="4"/>
  <c r="Z336" i="4" s="1"/>
  <c r="AC336" i="4" s="1"/>
  <c r="AE335" i="4"/>
  <c r="AA335" i="4"/>
  <c r="Z335" i="4" s="1"/>
  <c r="AC335" i="4" s="1"/>
  <c r="AE334" i="4"/>
  <c r="AA334" i="4"/>
  <c r="Z334" i="4" s="1"/>
  <c r="AC334" i="4" s="1"/>
  <c r="AE333" i="4"/>
  <c r="AA333" i="4"/>
  <c r="Z333" i="4" s="1"/>
  <c r="AC333" i="4" s="1"/>
  <c r="AV264" i="3"/>
  <c r="BA264" i="3"/>
  <c r="AE263" i="3"/>
  <c r="AP263" i="3" s="1"/>
  <c r="AA263" i="3"/>
  <c r="Z263" i="3" s="1"/>
  <c r="AC263" i="3" s="1"/>
  <c r="AV263" i="3"/>
  <c r="BA263" i="3"/>
  <c r="J262" i="3"/>
  <c r="J261" i="3"/>
  <c r="V262" i="3"/>
  <c r="L262" i="3"/>
  <c r="AN262" i="3"/>
  <c r="O262" i="3"/>
  <c r="L261" i="3"/>
  <c r="AN261" i="3"/>
  <c r="V261" i="3"/>
  <c r="O261" i="3"/>
  <c r="J260" i="3"/>
  <c r="L260" i="3"/>
  <c r="AG260" i="3"/>
  <c r="K260" i="3"/>
  <c r="O260" i="3"/>
  <c r="V260" i="3"/>
  <c r="AN260" i="3"/>
  <c r="J332" i="4"/>
  <c r="L332" i="4"/>
  <c r="K332" i="4"/>
  <c r="O332" i="4"/>
  <c r="V332" i="4"/>
  <c r="AV262" i="3" l="1"/>
  <c r="BA262" i="3"/>
  <c r="AA262" i="3"/>
  <c r="Z262" i="3" s="1"/>
  <c r="AC262" i="3" s="1"/>
  <c r="AE262" i="3"/>
  <c r="AP262" i="3" s="1"/>
  <c r="BA261" i="3"/>
  <c r="AV261" i="3"/>
  <c r="AA261" i="3"/>
  <c r="Z261" i="3" s="1"/>
  <c r="AC261" i="3" s="1"/>
  <c r="AE261" i="3"/>
  <c r="AP261" i="3" s="1"/>
  <c r="AE260" i="3"/>
  <c r="AP260" i="3" s="1"/>
  <c r="AA260" i="3"/>
  <c r="Z260" i="3" s="1"/>
  <c r="AC260" i="3" s="1"/>
  <c r="AV260" i="3"/>
  <c r="BA260" i="3"/>
  <c r="AE332" i="4"/>
  <c r="AA332" i="4"/>
  <c r="Z332" i="4" s="1"/>
  <c r="AC332" i="4" s="1"/>
  <c r="J33" i="8" l="1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O12" i="12" l="1"/>
  <c r="L12" i="12"/>
  <c r="I12" i="12"/>
  <c r="J23" i="10"/>
  <c r="J20" i="10"/>
  <c r="J17" i="10"/>
  <c r="J12" i="10"/>
  <c r="J7" i="10"/>
  <c r="J12" i="9"/>
  <c r="AJ331" i="4"/>
  <c r="AI331" i="4"/>
  <c r="AG331" i="4"/>
  <c r="AF331" i="4"/>
  <c r="X331" i="4"/>
  <c r="U331" i="4"/>
  <c r="AJ330" i="4"/>
  <c r="AI330" i="4"/>
  <c r="AG330" i="4"/>
  <c r="AF330" i="4"/>
  <c r="X330" i="4"/>
  <c r="U330" i="4"/>
  <c r="AJ329" i="4"/>
  <c r="AI329" i="4"/>
  <c r="AG329" i="4"/>
  <c r="AF329" i="4"/>
  <c r="X329" i="4"/>
  <c r="U329" i="4"/>
  <c r="AJ328" i="4"/>
  <c r="AI328" i="4"/>
  <c r="AG328" i="4"/>
  <c r="AF328" i="4"/>
  <c r="X328" i="4"/>
  <c r="U328" i="4"/>
  <c r="AJ327" i="4"/>
  <c r="AI327" i="4"/>
  <c r="AG327" i="4"/>
  <c r="AF327" i="4"/>
  <c r="X327" i="4"/>
  <c r="U327" i="4"/>
  <c r="J25" i="10" l="1"/>
  <c r="J330" i="4"/>
  <c r="L330" i="4"/>
  <c r="J331" i="4"/>
  <c r="L331" i="4"/>
  <c r="K330" i="4"/>
  <c r="O330" i="4"/>
  <c r="V330" i="4"/>
  <c r="K331" i="4"/>
  <c r="O331" i="4"/>
  <c r="V331" i="4"/>
  <c r="K328" i="4"/>
  <c r="O328" i="4"/>
  <c r="V328" i="4"/>
  <c r="J328" i="4"/>
  <c r="L328" i="4"/>
  <c r="J329" i="4"/>
  <c r="L329" i="4"/>
  <c r="K329" i="4"/>
  <c r="O329" i="4"/>
  <c r="V329" i="4"/>
  <c r="J327" i="4"/>
  <c r="L327" i="4"/>
  <c r="K327" i="4"/>
  <c r="O327" i="4"/>
  <c r="V327" i="4"/>
  <c r="AE331" i="4" l="1"/>
  <c r="AA331" i="4"/>
  <c r="Z331" i="4" s="1"/>
  <c r="AC331" i="4" s="1"/>
  <c r="AE330" i="4"/>
  <c r="AA330" i="4"/>
  <c r="Z330" i="4" s="1"/>
  <c r="AC330" i="4" s="1"/>
  <c r="AE329" i="4"/>
  <c r="AA329" i="4"/>
  <c r="Z329" i="4" s="1"/>
  <c r="AC329" i="4" s="1"/>
  <c r="AE328" i="4"/>
  <c r="AA328" i="4"/>
  <c r="Z328" i="4" s="1"/>
  <c r="AC328" i="4" s="1"/>
  <c r="AE327" i="4"/>
  <c r="AA327" i="4"/>
  <c r="Z327" i="4" s="1"/>
  <c r="AC327" i="4" s="1"/>
  <c r="AJ326" i="4"/>
  <c r="AI326" i="4"/>
  <c r="AG326" i="4"/>
  <c r="AF326" i="4"/>
  <c r="X326" i="4"/>
  <c r="U326" i="4"/>
  <c r="AJ325" i="4"/>
  <c r="AI325" i="4"/>
  <c r="AG325" i="4"/>
  <c r="AF325" i="4"/>
  <c r="X325" i="4"/>
  <c r="U325" i="4"/>
  <c r="V326" i="4" l="1"/>
  <c r="J325" i="4"/>
  <c r="L325" i="4"/>
  <c r="J326" i="4"/>
  <c r="L326" i="4"/>
  <c r="K325" i="4"/>
  <c r="O325" i="4"/>
  <c r="V325" i="4"/>
  <c r="K326" i="4"/>
  <c r="O326" i="4"/>
  <c r="AE325" i="4" l="1"/>
  <c r="AA325" i="4"/>
  <c r="Z325" i="4" s="1"/>
  <c r="AC325" i="4" s="1"/>
  <c r="AE326" i="4"/>
  <c r="AA326" i="4"/>
  <c r="Z326" i="4" s="1"/>
  <c r="AC326" i="4" s="1"/>
  <c r="R5" i="12" l="1"/>
  <c r="Q5" i="12"/>
  <c r="U9" i="12"/>
  <c r="U5" i="12"/>
  <c r="K10" i="15"/>
  <c r="M32" i="6"/>
  <c r="K32" i="6"/>
  <c r="I32" i="6"/>
  <c r="F32" i="6"/>
  <c r="D32" i="6"/>
  <c r="L32" i="6"/>
  <c r="J32" i="6"/>
  <c r="H32" i="6"/>
  <c r="E32" i="6"/>
  <c r="B32" i="6"/>
  <c r="C32" i="6"/>
  <c r="J5" i="16"/>
  <c r="L5" i="16" s="1"/>
  <c r="G32" i="6"/>
  <c r="AJ324" i="4"/>
  <c r="AI324" i="4"/>
  <c r="AG324" i="4"/>
  <c r="AF324" i="4"/>
  <c r="X324" i="4"/>
  <c r="U324" i="4"/>
  <c r="A13" i="15" l="1"/>
  <c r="A49" i="16"/>
  <c r="D13" i="15"/>
  <c r="A4" i="15"/>
  <c r="F13" i="15"/>
  <c r="A10" i="15"/>
  <c r="B10" i="14"/>
  <c r="B9" i="14"/>
  <c r="B8" i="14"/>
  <c r="B7" i="14"/>
  <c r="B6" i="14"/>
  <c r="B5" i="14"/>
  <c r="B23" i="14"/>
  <c r="B11" i="14"/>
  <c r="B24" i="14"/>
  <c r="B25" i="14"/>
  <c r="B26" i="14"/>
  <c r="B27" i="14"/>
  <c r="B29" i="14"/>
  <c r="B28" i="14"/>
  <c r="B22" i="14"/>
  <c r="B15" i="14"/>
  <c r="B16" i="14"/>
  <c r="B14" i="14"/>
  <c r="B13" i="14"/>
  <c r="B12" i="14"/>
  <c r="B18" i="14"/>
  <c r="B21" i="14"/>
  <c r="B20" i="14"/>
  <c r="B19" i="14"/>
  <c r="K13" i="15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L85" i="16"/>
  <c r="L5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K85" i="16"/>
  <c r="K5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I85" i="16"/>
  <c r="J5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F85" i="16"/>
  <c r="H5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G85" i="16"/>
  <c r="G5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L40" i="16"/>
  <c r="L1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K40" i="16"/>
  <c r="K1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J40" i="16"/>
  <c r="J1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C40" i="16"/>
  <c r="I1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D40" i="16"/>
  <c r="B1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E40" i="16"/>
  <c r="E1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F40" i="16"/>
  <c r="F1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G40" i="16"/>
  <c r="G1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B1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19" i="16"/>
  <c r="I18" i="16"/>
  <c r="I17" i="16"/>
  <c r="I16" i="16"/>
  <c r="I15" i="16"/>
  <c r="I14" i="16"/>
  <c r="I13" i="16"/>
  <c r="I12" i="16"/>
  <c r="I11" i="16"/>
  <c r="H11" i="16"/>
  <c r="H40" i="16"/>
  <c r="H1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8" i="16"/>
  <c r="H59" i="16"/>
  <c r="H57" i="16"/>
  <c r="H56" i="16"/>
  <c r="L45" i="16"/>
  <c r="L46" i="16" s="1"/>
  <c r="J45" i="16"/>
  <c r="J46" i="16" s="1"/>
  <c r="H46" i="16"/>
  <c r="F46" i="16"/>
  <c r="D46" i="16"/>
  <c r="B46" i="16"/>
  <c r="M45" i="16"/>
  <c r="M46" i="16" s="1"/>
  <c r="K45" i="16"/>
  <c r="K46" i="16" s="1"/>
  <c r="I46" i="16"/>
  <c r="G46" i="16"/>
  <c r="E46" i="16"/>
  <c r="C46" i="16"/>
  <c r="J324" i="4"/>
  <c r="V324" i="4"/>
  <c r="L324" i="4"/>
  <c r="K324" i="4"/>
  <c r="O324" i="4"/>
  <c r="AJ323" i="4"/>
  <c r="AI323" i="4"/>
  <c r="AG323" i="4"/>
  <c r="AF323" i="4"/>
  <c r="X323" i="4"/>
  <c r="U323" i="4"/>
  <c r="L323" i="4"/>
  <c r="B30" i="14" l="1"/>
  <c r="B17" i="14"/>
  <c r="F8" i="15"/>
  <c r="J14" i="15"/>
  <c r="A14" i="15"/>
  <c r="H13" i="15"/>
  <c r="I13" i="15"/>
  <c r="C13" i="15"/>
  <c r="C14" i="15" s="1"/>
  <c r="F14" i="15"/>
  <c r="D14" i="15"/>
  <c r="K14" i="15"/>
  <c r="B8" i="15"/>
  <c r="G8" i="15"/>
  <c r="D8" i="15"/>
  <c r="I8" i="15"/>
  <c r="K8" i="15"/>
  <c r="C8" i="15"/>
  <c r="E8" i="15"/>
  <c r="H8" i="15"/>
  <c r="J8" i="15"/>
  <c r="L8" i="15"/>
  <c r="A8" i="15"/>
  <c r="M86" i="16"/>
  <c r="L86" i="16"/>
  <c r="K86" i="16"/>
  <c r="J86" i="16"/>
  <c r="I86" i="16"/>
  <c r="F86" i="16"/>
  <c r="G86" i="16"/>
  <c r="M41" i="16"/>
  <c r="L41" i="16"/>
  <c r="K41" i="16"/>
  <c r="J41" i="16"/>
  <c r="B41" i="16"/>
  <c r="C41" i="16"/>
  <c r="D41" i="16"/>
  <c r="E41" i="16"/>
  <c r="F41" i="16"/>
  <c r="G41" i="16"/>
  <c r="I41" i="16"/>
  <c r="H41" i="16"/>
  <c r="H86" i="16"/>
  <c r="AE324" i="4"/>
  <c r="AA324" i="4"/>
  <c r="Z324" i="4" s="1"/>
  <c r="AC324" i="4" s="1"/>
  <c r="K323" i="4"/>
  <c r="O323" i="4"/>
  <c r="V323" i="4"/>
  <c r="J323" i="4"/>
  <c r="H14" i="15" l="1"/>
  <c r="AE323" i="4"/>
  <c r="AA323" i="4"/>
  <c r="Z323" i="4" s="1"/>
  <c r="AC323" i="4" s="1"/>
  <c r="G20" i="10"/>
  <c r="F20" i="10"/>
  <c r="E20" i="10"/>
  <c r="D20" i="10"/>
  <c r="G17" i="10"/>
  <c r="F17" i="10"/>
  <c r="E17" i="10"/>
  <c r="D17" i="10"/>
  <c r="G12" i="10"/>
  <c r="F12" i="10"/>
  <c r="E12" i="10"/>
  <c r="D12" i="10"/>
  <c r="AJ322" i="4"/>
  <c r="AI322" i="4"/>
  <c r="AG322" i="4"/>
  <c r="AF322" i="4"/>
  <c r="X322" i="4"/>
  <c r="U322" i="4"/>
  <c r="L322" i="4"/>
  <c r="AJ321" i="4"/>
  <c r="AI321" i="4"/>
  <c r="AG321" i="4"/>
  <c r="AF321" i="4"/>
  <c r="X321" i="4"/>
  <c r="U321" i="4"/>
  <c r="V321" i="4" l="1"/>
  <c r="K321" i="4"/>
  <c r="O321" i="4"/>
  <c r="K322" i="4"/>
  <c r="O322" i="4"/>
  <c r="V322" i="4"/>
  <c r="J321" i="4"/>
  <c r="L321" i="4"/>
  <c r="J322" i="4"/>
  <c r="AJ320" i="4"/>
  <c r="AI320" i="4"/>
  <c r="AG320" i="4"/>
  <c r="AF320" i="4"/>
  <c r="X320" i="4"/>
  <c r="U320" i="4"/>
  <c r="AJ319" i="4"/>
  <c r="AI319" i="4"/>
  <c r="AG319" i="4"/>
  <c r="AF319" i="4"/>
  <c r="X319" i="4"/>
  <c r="U319" i="4"/>
  <c r="AJ318" i="4"/>
  <c r="AI318" i="4"/>
  <c r="AG318" i="4"/>
  <c r="AF318" i="4"/>
  <c r="X318" i="4"/>
  <c r="U318" i="4"/>
  <c r="AJ317" i="4"/>
  <c r="AI317" i="4"/>
  <c r="AG317" i="4"/>
  <c r="AF317" i="4"/>
  <c r="X317" i="4"/>
  <c r="U317" i="4"/>
  <c r="AJ316" i="4"/>
  <c r="AI316" i="4"/>
  <c r="AG316" i="4"/>
  <c r="AF316" i="4"/>
  <c r="X316" i="4"/>
  <c r="U316" i="4"/>
  <c r="G316" i="4"/>
  <c r="L316" i="4"/>
  <c r="AJ315" i="4"/>
  <c r="AI315" i="4"/>
  <c r="AG315" i="4"/>
  <c r="AF315" i="4"/>
  <c r="X315" i="4"/>
  <c r="U315" i="4"/>
  <c r="G315" i="4"/>
  <c r="L315" i="4"/>
  <c r="AJ314" i="4"/>
  <c r="AI314" i="4"/>
  <c r="AG314" i="4"/>
  <c r="AF314" i="4"/>
  <c r="X314" i="4"/>
  <c r="U314" i="4"/>
  <c r="G314" i="4"/>
  <c r="AE322" i="4" l="1"/>
  <c r="AA322" i="4"/>
  <c r="Z322" i="4" s="1"/>
  <c r="AC322" i="4" s="1"/>
  <c r="AE321" i="4"/>
  <c r="AA321" i="4"/>
  <c r="Z321" i="4" s="1"/>
  <c r="AC321" i="4" s="1"/>
  <c r="O316" i="4"/>
  <c r="AE316" i="4" s="1"/>
  <c r="V316" i="4"/>
  <c r="V315" i="4"/>
  <c r="K316" i="4"/>
  <c r="K315" i="4"/>
  <c r="O315" i="4"/>
  <c r="J316" i="4"/>
  <c r="J317" i="4"/>
  <c r="L317" i="4"/>
  <c r="J318" i="4"/>
  <c r="L318" i="4"/>
  <c r="J319" i="4"/>
  <c r="L319" i="4"/>
  <c r="J320" i="4"/>
  <c r="L320" i="4"/>
  <c r="J315" i="4"/>
  <c r="K317" i="4"/>
  <c r="O317" i="4"/>
  <c r="V317" i="4"/>
  <c r="K318" i="4"/>
  <c r="O318" i="4"/>
  <c r="V318" i="4"/>
  <c r="K319" i="4"/>
  <c r="O319" i="4"/>
  <c r="V319" i="4"/>
  <c r="K320" i="4"/>
  <c r="O320" i="4"/>
  <c r="V320" i="4"/>
  <c r="V314" i="4"/>
  <c r="J314" i="4"/>
  <c r="L314" i="4"/>
  <c r="K314" i="4"/>
  <c r="O314" i="4"/>
  <c r="K259" i="3"/>
  <c r="U259" i="3"/>
  <c r="X259" i="3"/>
  <c r="AF259" i="3"/>
  <c r="AG259" i="3"/>
  <c r="AI259" i="3"/>
  <c r="AJ259" i="3"/>
  <c r="AL259" i="3"/>
  <c r="AM259" i="3"/>
  <c r="AR259" i="3"/>
  <c r="AT259" i="3"/>
  <c r="AY259" i="3"/>
  <c r="AZ259" i="3"/>
  <c r="BD259" i="3"/>
  <c r="AZ258" i="3"/>
  <c r="AY258" i="3"/>
  <c r="AT258" i="3"/>
  <c r="AR258" i="3"/>
  <c r="AM258" i="3"/>
  <c r="AL258" i="3"/>
  <c r="AJ258" i="3"/>
  <c r="AI258" i="3"/>
  <c r="AG258" i="3"/>
  <c r="AF258" i="3"/>
  <c r="X258" i="3"/>
  <c r="U258" i="3"/>
  <c r="BD258" i="3"/>
  <c r="G33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AA316" i="4" l="1"/>
  <c r="Z316" i="4" s="1"/>
  <c r="AC316" i="4" s="1"/>
  <c r="AE319" i="4"/>
  <c r="AA319" i="4"/>
  <c r="Z319" i="4" s="1"/>
  <c r="AC319" i="4" s="1"/>
  <c r="AE317" i="4"/>
  <c r="AA317" i="4"/>
  <c r="Z317" i="4" s="1"/>
  <c r="AC317" i="4" s="1"/>
  <c r="AE320" i="4"/>
  <c r="AA320" i="4"/>
  <c r="Z320" i="4" s="1"/>
  <c r="AC320" i="4" s="1"/>
  <c r="AE318" i="4"/>
  <c r="AA318" i="4"/>
  <c r="Z318" i="4" s="1"/>
  <c r="AC318" i="4" s="1"/>
  <c r="AE315" i="4"/>
  <c r="AA315" i="4"/>
  <c r="Z315" i="4" s="1"/>
  <c r="AC315" i="4" s="1"/>
  <c r="AE314" i="4"/>
  <c r="AA314" i="4"/>
  <c r="Z314" i="4" s="1"/>
  <c r="AC314" i="4" s="1"/>
  <c r="J259" i="3"/>
  <c r="L259" i="3"/>
  <c r="AN259" i="3"/>
  <c r="V259" i="3"/>
  <c r="O259" i="3"/>
  <c r="AA259" i="3" s="1"/>
  <c r="Z259" i="3" s="1"/>
  <c r="AC259" i="3" s="1"/>
  <c r="V258" i="3"/>
  <c r="J258" i="3"/>
  <c r="L258" i="3"/>
  <c r="K258" i="3"/>
  <c r="O258" i="3"/>
  <c r="AN258" i="3"/>
  <c r="AE259" i="3" l="1"/>
  <c r="AP259" i="3" s="1"/>
  <c r="BA259" i="3"/>
  <c r="AV259" i="3"/>
  <c r="AE258" i="3"/>
  <c r="AP258" i="3" s="1"/>
  <c r="AA258" i="3"/>
  <c r="Z258" i="3" s="1"/>
  <c r="AC258" i="3" s="1"/>
  <c r="AV258" i="3"/>
  <c r="BA258" i="3"/>
  <c r="G269" i="3"/>
  <c r="I20" i="10" l="1"/>
  <c r="C20" i="10" s="1"/>
  <c r="I17" i="10"/>
  <c r="I12" i="10"/>
  <c r="AJ313" i="4"/>
  <c r="AI313" i="4"/>
  <c r="AG313" i="4"/>
  <c r="AF313" i="4"/>
  <c r="X313" i="4"/>
  <c r="U313" i="4"/>
  <c r="G313" i="4"/>
  <c r="L313" i="4"/>
  <c r="AJ312" i="4"/>
  <c r="AI312" i="4"/>
  <c r="AG312" i="4"/>
  <c r="AF312" i="4"/>
  <c r="X312" i="4"/>
  <c r="U312" i="4"/>
  <c r="G312" i="4"/>
  <c r="L312" i="4"/>
  <c r="V312" i="4" l="1"/>
  <c r="O313" i="4"/>
  <c r="AE313" i="4" s="1"/>
  <c r="V313" i="4"/>
  <c r="K313" i="4"/>
  <c r="K312" i="4"/>
  <c r="O312" i="4"/>
  <c r="J313" i="4"/>
  <c r="J312" i="4"/>
  <c r="AJ311" i="4"/>
  <c r="AI311" i="4"/>
  <c r="AG311" i="4"/>
  <c r="AF311" i="4"/>
  <c r="X311" i="4"/>
  <c r="U311" i="4"/>
  <c r="G311" i="4"/>
  <c r="AA313" i="4" l="1"/>
  <c r="Z313" i="4" s="1"/>
  <c r="AC313" i="4" s="1"/>
  <c r="AE312" i="4"/>
  <c r="AA312" i="4"/>
  <c r="Z312" i="4" s="1"/>
  <c r="AC312" i="4" s="1"/>
  <c r="K311" i="4"/>
  <c r="O311" i="4"/>
  <c r="AE311" i="4" s="1"/>
  <c r="V311" i="4"/>
  <c r="J311" i="4"/>
  <c r="L311" i="4"/>
  <c r="AA311" i="4" l="1"/>
  <c r="Z311" i="4" s="1"/>
  <c r="AC311" i="4" s="1"/>
  <c r="AJ310" i="4" l="1"/>
  <c r="AI310" i="4"/>
  <c r="AG310" i="4"/>
  <c r="AF310" i="4"/>
  <c r="X310" i="4"/>
  <c r="U310" i="4"/>
  <c r="G310" i="4"/>
  <c r="L310" i="4"/>
  <c r="AJ309" i="4"/>
  <c r="AI309" i="4"/>
  <c r="AG309" i="4"/>
  <c r="AF309" i="4"/>
  <c r="X309" i="4"/>
  <c r="U309" i="4"/>
  <c r="G309" i="4"/>
  <c r="L309" i="4"/>
  <c r="V309" i="4" l="1"/>
  <c r="O310" i="4"/>
  <c r="AE310" i="4" s="1"/>
  <c r="V310" i="4"/>
  <c r="K310" i="4"/>
  <c r="K309" i="4"/>
  <c r="O309" i="4"/>
  <c r="J310" i="4"/>
  <c r="J309" i="4"/>
  <c r="AA310" i="4" l="1"/>
  <c r="Z310" i="4" s="1"/>
  <c r="AC310" i="4" s="1"/>
  <c r="AE309" i="4"/>
  <c r="AA309" i="4"/>
  <c r="Z309" i="4" s="1"/>
  <c r="AC309" i="4" s="1"/>
  <c r="AJ308" i="4"/>
  <c r="AI308" i="4"/>
  <c r="AG308" i="4"/>
  <c r="AF308" i="4"/>
  <c r="X308" i="4"/>
  <c r="U308" i="4"/>
  <c r="G308" i="4"/>
  <c r="AM299" i="4"/>
  <c r="AJ299" i="4"/>
  <c r="AI299" i="4"/>
  <c r="AG299" i="4"/>
  <c r="AF299" i="4"/>
  <c r="X299" i="4"/>
  <c r="U299" i="4"/>
  <c r="G299" i="4"/>
  <c r="L299" i="4"/>
  <c r="O308" i="4" l="1"/>
  <c r="AE308" i="4" s="1"/>
  <c r="V308" i="4"/>
  <c r="K308" i="4"/>
  <c r="J308" i="4"/>
  <c r="L308" i="4"/>
  <c r="O299" i="4"/>
  <c r="AE299" i="4" s="1"/>
  <c r="V299" i="4"/>
  <c r="K299" i="4"/>
  <c r="J299" i="4"/>
  <c r="AA299" i="4" l="1"/>
  <c r="Z299" i="4" s="1"/>
  <c r="AC299" i="4" s="1"/>
  <c r="AA308" i="4"/>
  <c r="Z308" i="4" s="1"/>
  <c r="AC308" i="4" s="1"/>
  <c r="AH307" i="4"/>
  <c r="AG307" i="4"/>
  <c r="AE307" i="4"/>
  <c r="AD307" i="4"/>
  <c r="AB307" i="4"/>
  <c r="AA307" i="4"/>
  <c r="X307" i="4"/>
  <c r="U307" i="4"/>
  <c r="G307" i="4"/>
  <c r="AH306" i="4"/>
  <c r="AG306" i="4"/>
  <c r="AE306" i="4"/>
  <c r="AD306" i="4"/>
  <c r="AB306" i="4"/>
  <c r="AA306" i="4"/>
  <c r="X306" i="4"/>
  <c r="U306" i="4"/>
  <c r="G306" i="4"/>
  <c r="AH305" i="4"/>
  <c r="AG305" i="4"/>
  <c r="AE305" i="4"/>
  <c r="AD305" i="4"/>
  <c r="AB305" i="4"/>
  <c r="AA305" i="4"/>
  <c r="X305" i="4"/>
  <c r="U305" i="4"/>
  <c r="G305" i="4"/>
  <c r="K257" i="3"/>
  <c r="U257" i="3"/>
  <c r="X257" i="3"/>
  <c r="AA257" i="3"/>
  <c r="AB257" i="3"/>
  <c r="AD257" i="3"/>
  <c r="AE257" i="3"/>
  <c r="AG257" i="3"/>
  <c r="AH257" i="3"/>
  <c r="AM257" i="3"/>
  <c r="AO257" i="3"/>
  <c r="AT257" i="3"/>
  <c r="AU257" i="3"/>
  <c r="BA257" i="3"/>
  <c r="BD257" i="3"/>
  <c r="BD256" i="3"/>
  <c r="BA256" i="3"/>
  <c r="AU256" i="3"/>
  <c r="AT256" i="3"/>
  <c r="AO256" i="3"/>
  <c r="AM256" i="3"/>
  <c r="AH256" i="3"/>
  <c r="AG256" i="3"/>
  <c r="AE256" i="3"/>
  <c r="AD256" i="3"/>
  <c r="AB256" i="3"/>
  <c r="AA256" i="3"/>
  <c r="X256" i="3"/>
  <c r="U256" i="3"/>
  <c r="AY256" i="3"/>
  <c r="AZ256" i="3" s="1"/>
  <c r="K255" i="3"/>
  <c r="U255" i="3"/>
  <c r="X255" i="3"/>
  <c r="AA255" i="3"/>
  <c r="AB255" i="3"/>
  <c r="AD255" i="3"/>
  <c r="AE255" i="3"/>
  <c r="AG255" i="3"/>
  <c r="AH255" i="3"/>
  <c r="AM255" i="3"/>
  <c r="AO255" i="3"/>
  <c r="AT255" i="3"/>
  <c r="AU255" i="3"/>
  <c r="AY255" i="3"/>
  <c r="AZ255" i="3" s="1"/>
  <c r="BA255" i="3"/>
  <c r="BD255" i="3"/>
  <c r="B4" i="3"/>
  <c r="J255" i="3" l="1"/>
  <c r="AI307" i="4"/>
  <c r="V307" i="4"/>
  <c r="K307" i="4"/>
  <c r="O307" i="4"/>
  <c r="Z307" i="4" s="1"/>
  <c r="AI306" i="4"/>
  <c r="J307" i="4"/>
  <c r="L307" i="4"/>
  <c r="V306" i="4"/>
  <c r="K306" i="4"/>
  <c r="O306" i="4"/>
  <c r="Z306" i="4" s="1"/>
  <c r="AI305" i="4"/>
  <c r="J306" i="4"/>
  <c r="L306" i="4"/>
  <c r="J257" i="3"/>
  <c r="O305" i="4"/>
  <c r="Z305" i="4" s="1"/>
  <c r="V305" i="4"/>
  <c r="K305" i="4"/>
  <c r="J305" i="4"/>
  <c r="L305" i="4"/>
  <c r="AY257" i="3"/>
  <c r="AZ257" i="3" s="1"/>
  <c r="V255" i="3"/>
  <c r="AI257" i="3"/>
  <c r="V257" i="3"/>
  <c r="L255" i="3"/>
  <c r="AQ255" i="3" s="1"/>
  <c r="L257" i="3"/>
  <c r="O257" i="3"/>
  <c r="Z257" i="3" s="1"/>
  <c r="AK257" i="3" s="1"/>
  <c r="O256" i="3"/>
  <c r="Z256" i="3" s="1"/>
  <c r="AK256" i="3" s="1"/>
  <c r="V256" i="3"/>
  <c r="K256" i="3"/>
  <c r="AI255" i="3"/>
  <c r="O255" i="3"/>
  <c r="Z255" i="3" s="1"/>
  <c r="AK255" i="3" s="1"/>
  <c r="J256" i="3"/>
  <c r="L256" i="3"/>
  <c r="AI256" i="3"/>
  <c r="K254" i="3"/>
  <c r="U254" i="3"/>
  <c r="X254" i="3"/>
  <c r="AA254" i="3"/>
  <c r="AB254" i="3"/>
  <c r="AD254" i="3"/>
  <c r="AE254" i="3"/>
  <c r="AG254" i="3"/>
  <c r="AH254" i="3"/>
  <c r="AM254" i="3"/>
  <c r="AO254" i="3"/>
  <c r="AT254" i="3"/>
  <c r="AU254" i="3"/>
  <c r="AY254" i="3"/>
  <c r="AZ254" i="3" s="1"/>
  <c r="BA254" i="3"/>
  <c r="BD254" i="3"/>
  <c r="AV255" i="3" l="1"/>
  <c r="AV257" i="3"/>
  <c r="AQ257" i="3"/>
  <c r="AQ256" i="3"/>
  <c r="AV256" i="3"/>
  <c r="J254" i="3"/>
  <c r="L254" i="3"/>
  <c r="AQ254" i="3" s="1"/>
  <c r="AI254" i="3"/>
  <c r="V254" i="3"/>
  <c r="O254" i="3"/>
  <c r="Z254" i="3" s="1"/>
  <c r="AK254" i="3" s="1"/>
  <c r="AV254" i="3" l="1"/>
  <c r="I9" i="12" l="1"/>
  <c r="I8" i="12"/>
  <c r="I7" i="12"/>
  <c r="I6" i="12"/>
  <c r="G32" i="8" l="1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AH304" i="4" l="1"/>
  <c r="AG304" i="4"/>
  <c r="AE304" i="4"/>
  <c r="AD304" i="4"/>
  <c r="AB304" i="4"/>
  <c r="AA304" i="4"/>
  <c r="X304" i="4"/>
  <c r="U304" i="4"/>
  <c r="O304" i="4"/>
  <c r="Z304" i="4" s="1"/>
  <c r="AH303" i="4"/>
  <c r="AG303" i="4"/>
  <c r="AE303" i="4"/>
  <c r="AD303" i="4"/>
  <c r="AB303" i="4"/>
  <c r="AA303" i="4"/>
  <c r="X303" i="4"/>
  <c r="U303" i="4"/>
  <c r="AH302" i="4"/>
  <c r="AI302" i="4" s="1"/>
  <c r="AG302" i="4"/>
  <c r="AE302" i="4"/>
  <c r="AD302" i="4"/>
  <c r="AB302" i="4"/>
  <c r="AA302" i="4"/>
  <c r="X302" i="4"/>
  <c r="U302" i="4"/>
  <c r="AH301" i="4"/>
  <c r="AG301" i="4"/>
  <c r="AE301" i="4"/>
  <c r="AD301" i="4"/>
  <c r="AB301" i="4"/>
  <c r="AA301" i="4"/>
  <c r="X301" i="4"/>
  <c r="U301" i="4"/>
  <c r="O301" i="4"/>
  <c r="Z301" i="4" s="1"/>
  <c r="K300" i="4"/>
  <c r="AH298" i="4"/>
  <c r="AG298" i="4"/>
  <c r="AE298" i="4"/>
  <c r="AD298" i="4"/>
  <c r="AB298" i="4"/>
  <c r="AA298" i="4"/>
  <c r="X298" i="4"/>
  <c r="U298" i="4"/>
  <c r="O298" i="4"/>
  <c r="Z298" i="4" s="1"/>
  <c r="BD253" i="3"/>
  <c r="BA253" i="3"/>
  <c r="AY253" i="3"/>
  <c r="AZ253" i="3" s="1"/>
  <c r="AU253" i="3"/>
  <c r="AT253" i="3"/>
  <c r="AO253" i="3"/>
  <c r="AM253" i="3"/>
  <c r="AH253" i="3"/>
  <c r="AI253" i="3" s="1"/>
  <c r="AG253" i="3"/>
  <c r="AE253" i="3"/>
  <c r="AD253" i="3"/>
  <c r="AB253" i="3"/>
  <c r="AA253" i="3"/>
  <c r="X253" i="3"/>
  <c r="U253" i="3"/>
  <c r="V303" i="4" l="1"/>
  <c r="J304" i="4"/>
  <c r="V304" i="4"/>
  <c r="AI304" i="4"/>
  <c r="L304" i="4"/>
  <c r="J303" i="4"/>
  <c r="L303" i="4"/>
  <c r="AI303" i="4"/>
  <c r="K304" i="4"/>
  <c r="K303" i="4"/>
  <c r="O303" i="4"/>
  <c r="Z303" i="4" s="1"/>
  <c r="L302" i="4"/>
  <c r="J302" i="4"/>
  <c r="V302" i="4"/>
  <c r="K302" i="4"/>
  <c r="O302" i="4"/>
  <c r="Z302" i="4" s="1"/>
  <c r="J301" i="4"/>
  <c r="V301" i="4"/>
  <c r="AI301" i="4"/>
  <c r="L301" i="4"/>
  <c r="K301" i="4"/>
  <c r="J300" i="4"/>
  <c r="L300" i="4"/>
  <c r="J298" i="4"/>
  <c r="V298" i="4"/>
  <c r="AI298" i="4"/>
  <c r="L298" i="4"/>
  <c r="K298" i="4"/>
  <c r="K253" i="3"/>
  <c r="O253" i="3"/>
  <c r="Z253" i="3" s="1"/>
  <c r="AK253" i="3" s="1"/>
  <c r="V253" i="3"/>
  <c r="J253" i="3"/>
  <c r="L253" i="3"/>
  <c r="BD252" i="3"/>
  <c r="BA252" i="3"/>
  <c r="AY252" i="3"/>
  <c r="AZ252" i="3" s="1"/>
  <c r="AU252" i="3"/>
  <c r="AT252" i="3"/>
  <c r="AO252" i="3"/>
  <c r="AM252" i="3"/>
  <c r="AH252" i="3"/>
  <c r="AG252" i="3"/>
  <c r="AE252" i="3"/>
  <c r="AD252" i="3"/>
  <c r="AB252" i="3"/>
  <c r="AA252" i="3"/>
  <c r="X252" i="3"/>
  <c r="U252" i="3"/>
  <c r="O252" i="3"/>
  <c r="Z252" i="3" s="1"/>
  <c r="AK252" i="3" s="1"/>
  <c r="K251" i="3"/>
  <c r="U251" i="3"/>
  <c r="X251" i="3"/>
  <c r="AA251" i="3"/>
  <c r="AB251" i="3"/>
  <c r="AD251" i="3"/>
  <c r="AE251" i="3"/>
  <c r="AG251" i="3"/>
  <c r="AH251" i="3"/>
  <c r="AM251" i="3"/>
  <c r="AO251" i="3"/>
  <c r="AT251" i="3"/>
  <c r="AU251" i="3"/>
  <c r="AY251" i="3"/>
  <c r="AZ251" i="3" s="1"/>
  <c r="BA251" i="3"/>
  <c r="BD251" i="3"/>
  <c r="K250" i="3"/>
  <c r="U250" i="3"/>
  <c r="X250" i="3"/>
  <c r="AA250" i="3"/>
  <c r="AB250" i="3"/>
  <c r="AD250" i="3"/>
  <c r="AE250" i="3"/>
  <c r="AG250" i="3"/>
  <c r="AH250" i="3"/>
  <c r="AM250" i="3"/>
  <c r="AO250" i="3"/>
  <c r="AT250" i="3"/>
  <c r="AU250" i="3"/>
  <c r="AY250" i="3"/>
  <c r="AZ250" i="3" s="1"/>
  <c r="BA250" i="3"/>
  <c r="AQ253" i="3" l="1"/>
  <c r="AV253" i="3"/>
  <c r="J251" i="3"/>
  <c r="AI251" i="3"/>
  <c r="L251" i="3"/>
  <c r="AQ251" i="3" s="1"/>
  <c r="J250" i="3"/>
  <c r="L250" i="3"/>
  <c r="AQ250" i="3" s="1"/>
  <c r="J252" i="3"/>
  <c r="V252" i="3"/>
  <c r="AI252" i="3"/>
  <c r="L252" i="3"/>
  <c r="AQ252" i="3" s="1"/>
  <c r="K252" i="3"/>
  <c r="V251" i="3"/>
  <c r="O251" i="3"/>
  <c r="Z251" i="3" s="1"/>
  <c r="AK251" i="3" s="1"/>
  <c r="AI250" i="3"/>
  <c r="V250" i="3"/>
  <c r="O250" i="3"/>
  <c r="Z250" i="3" s="1"/>
  <c r="AK250" i="3" s="1"/>
  <c r="AI297" i="4"/>
  <c r="AH297" i="4"/>
  <c r="AF297" i="4"/>
  <c r="AE297" i="4"/>
  <c r="AC297" i="4"/>
  <c r="AB297" i="4"/>
  <c r="Y297" i="4"/>
  <c r="V297" i="4"/>
  <c r="P297" i="4"/>
  <c r="AA297" i="4" s="1"/>
  <c r="AI296" i="4"/>
  <c r="AH296" i="4"/>
  <c r="AF296" i="4"/>
  <c r="AE296" i="4"/>
  <c r="AC296" i="4"/>
  <c r="AB296" i="4"/>
  <c r="Y296" i="4"/>
  <c r="V296" i="4"/>
  <c r="P296" i="4"/>
  <c r="AA296" i="4" s="1"/>
  <c r="AI295" i="4"/>
  <c r="AH295" i="4"/>
  <c r="AF295" i="4"/>
  <c r="AE295" i="4"/>
  <c r="AC295" i="4"/>
  <c r="AB295" i="4"/>
  <c r="Y295" i="4"/>
  <c r="V295" i="4"/>
  <c r="AV252" i="3" l="1"/>
  <c r="AV251" i="3"/>
  <c r="AV250" i="3"/>
  <c r="J297" i="4"/>
  <c r="L297" i="4" s="1"/>
  <c r="W297" i="4"/>
  <c r="AJ297" i="4"/>
  <c r="J296" i="4"/>
  <c r="L296" i="4" s="1"/>
  <c r="J295" i="4"/>
  <c r="K295" i="4" s="1"/>
  <c r="W296" i="4"/>
  <c r="W295" i="4"/>
  <c r="AJ295" i="4"/>
  <c r="P295" i="4"/>
  <c r="AA295" i="4" s="1"/>
  <c r="AJ296" i="4"/>
  <c r="BA249" i="3"/>
  <c r="AY249" i="3"/>
  <c r="AZ249" i="3" s="1"/>
  <c r="AU249" i="3"/>
  <c r="AT249" i="3"/>
  <c r="AO249" i="3"/>
  <c r="AM249" i="3"/>
  <c r="AH249" i="3"/>
  <c r="AG249" i="3"/>
  <c r="AE249" i="3"/>
  <c r="AD249" i="3"/>
  <c r="AA249" i="3"/>
  <c r="X249" i="3"/>
  <c r="U249" i="3"/>
  <c r="BA248" i="3"/>
  <c r="AY248" i="3"/>
  <c r="AZ248" i="3" s="1"/>
  <c r="AU248" i="3"/>
  <c r="AT248" i="3"/>
  <c r="AO248" i="3"/>
  <c r="AM248" i="3"/>
  <c r="AH248" i="3"/>
  <c r="AG248" i="3"/>
  <c r="AE248" i="3"/>
  <c r="AD248" i="3"/>
  <c r="AB248" i="3"/>
  <c r="AA248" i="3"/>
  <c r="X248" i="3"/>
  <c r="U248" i="3"/>
  <c r="AB249" i="3" l="1"/>
  <c r="M297" i="4"/>
  <c r="K297" i="4"/>
  <c r="M295" i="4"/>
  <c r="L295" i="4"/>
  <c r="K296" i="4"/>
  <c r="M296" i="4"/>
  <c r="J249" i="3"/>
  <c r="V249" i="3"/>
  <c r="L249" i="3"/>
  <c r="AQ249" i="3" s="1"/>
  <c r="AI249" i="3"/>
  <c r="AI248" i="3"/>
  <c r="K249" i="3"/>
  <c r="O249" i="3"/>
  <c r="Z249" i="3" s="1"/>
  <c r="AK249" i="3" s="1"/>
  <c r="V248" i="3"/>
  <c r="K248" i="3"/>
  <c r="O248" i="3"/>
  <c r="Z248" i="3" s="1"/>
  <c r="AK248" i="3" s="1"/>
  <c r="J248" i="3"/>
  <c r="L248" i="3"/>
  <c r="AV249" i="3" l="1"/>
  <c r="AQ248" i="3"/>
  <c r="AV248" i="3"/>
  <c r="G265" i="3"/>
  <c r="G263" i="3"/>
  <c r="G275" i="3" l="1"/>
  <c r="G262" i="3"/>
  <c r="A24" i="9" l="1"/>
  <c r="L18" i="6"/>
  <c r="M18" i="6"/>
  <c r="J18" i="6"/>
  <c r="K18" i="6"/>
  <c r="H18" i="6"/>
  <c r="I18" i="6"/>
  <c r="F18" i="6"/>
  <c r="G18" i="6"/>
  <c r="D18" i="6"/>
  <c r="E18" i="6"/>
  <c r="B18" i="6"/>
  <c r="C18" i="6"/>
  <c r="CN1" i="1"/>
  <c r="I10" i="12" l="1"/>
  <c r="AH294" i="4"/>
  <c r="AG294" i="4"/>
  <c r="AE294" i="4"/>
  <c r="AD294" i="4"/>
  <c r="AB294" i="4"/>
  <c r="AA294" i="4"/>
  <c r="X294" i="4"/>
  <c r="U294" i="4"/>
  <c r="O294" i="4"/>
  <c r="Z294" i="4" s="1"/>
  <c r="V294" i="4" l="1"/>
  <c r="J294" i="4"/>
  <c r="K294" i="4"/>
  <c r="L294" i="4"/>
  <c r="AI294" i="4"/>
  <c r="BB247" i="3" l="1"/>
  <c r="BA247" i="3"/>
  <c r="AX247" i="3"/>
  <c r="AU247" i="3"/>
  <c r="AT247" i="3"/>
  <c r="AO247" i="3"/>
  <c r="AM247" i="3"/>
  <c r="AH247" i="3"/>
  <c r="AG247" i="3"/>
  <c r="AE247" i="3"/>
  <c r="AD247" i="3"/>
  <c r="AB247" i="3"/>
  <c r="AA247" i="3"/>
  <c r="X247" i="3"/>
  <c r="U247" i="3"/>
  <c r="O247" i="3"/>
  <c r="Z247" i="3" s="1"/>
  <c r="AK247" i="3" s="1"/>
  <c r="J247" i="3" l="1"/>
  <c r="V247" i="3"/>
  <c r="K247" i="3"/>
  <c r="L247" i="3"/>
  <c r="AQ247" i="3" s="1"/>
  <c r="AI247" i="3"/>
  <c r="L293" i="4" l="1"/>
  <c r="AH292" i="4"/>
  <c r="AG292" i="4"/>
  <c r="AE292" i="4"/>
  <c r="AD292" i="4"/>
  <c r="AB292" i="4"/>
  <c r="AA292" i="4"/>
  <c r="X292" i="4"/>
  <c r="U292" i="4"/>
  <c r="O292" i="4"/>
  <c r="Z292" i="4" s="1"/>
  <c r="J293" i="4" l="1"/>
  <c r="L292" i="4"/>
  <c r="K293" i="4"/>
  <c r="J292" i="4"/>
  <c r="V292" i="4"/>
  <c r="AI292" i="4"/>
  <c r="K292" i="4"/>
  <c r="AM291" i="4"/>
  <c r="AH291" i="4"/>
  <c r="AG291" i="4"/>
  <c r="AE291" i="4"/>
  <c r="AD291" i="4"/>
  <c r="AB291" i="4"/>
  <c r="AA291" i="4"/>
  <c r="X291" i="4"/>
  <c r="U291" i="4"/>
  <c r="O291" i="4"/>
  <c r="Z291" i="4" s="1"/>
  <c r="J291" i="4" l="1"/>
  <c r="V291" i="4"/>
  <c r="K291" i="4"/>
  <c r="AI291" i="4"/>
  <c r="L291" i="4"/>
  <c r="G268" i="3" l="1"/>
  <c r="G276" i="3" l="1"/>
  <c r="G273" i="3"/>
  <c r="G274" i="3"/>
  <c r="G270" i="3"/>
  <c r="G271" i="3"/>
  <c r="G272" i="3"/>
  <c r="G267" i="3"/>
  <c r="G266" i="3"/>
  <c r="G264" i="3"/>
  <c r="G260" i="3"/>
  <c r="G261" i="3"/>
  <c r="G258" i="3"/>
  <c r="G259" i="3"/>
  <c r="G255" i="3"/>
  <c r="G254" i="3"/>
  <c r="G248" i="3"/>
  <c r="G257" i="3"/>
  <c r="G256" i="3"/>
  <c r="G251" i="3"/>
  <c r="G250" i="3"/>
  <c r="O244" i="3" l="1"/>
  <c r="Z244" i="3" s="1"/>
  <c r="AK244" i="3" s="1"/>
  <c r="BB246" i="3"/>
  <c r="BA246" i="3"/>
  <c r="AX246" i="3"/>
  <c r="AU246" i="3"/>
  <c r="AT246" i="3"/>
  <c r="AO246" i="3"/>
  <c r="AM246" i="3"/>
  <c r="AH246" i="3"/>
  <c r="AG246" i="3"/>
  <c r="AE246" i="3"/>
  <c r="AD246" i="3"/>
  <c r="AB246" i="3"/>
  <c r="AA246" i="3"/>
  <c r="X246" i="3"/>
  <c r="U246" i="3"/>
  <c r="BB245" i="3"/>
  <c r="BA245" i="3"/>
  <c r="AX245" i="3"/>
  <c r="AU245" i="3"/>
  <c r="AT245" i="3"/>
  <c r="AO245" i="3"/>
  <c r="AM245" i="3"/>
  <c r="AH245" i="3"/>
  <c r="AG245" i="3"/>
  <c r="AE245" i="3"/>
  <c r="AD245" i="3"/>
  <c r="AB245" i="3"/>
  <c r="AA245" i="3"/>
  <c r="X245" i="3"/>
  <c r="U245" i="3"/>
  <c r="O245" i="3"/>
  <c r="Z245" i="3" s="1"/>
  <c r="AK245" i="3" s="1"/>
  <c r="BB244" i="3"/>
  <c r="BA244" i="3"/>
  <c r="AX244" i="3"/>
  <c r="AU244" i="3"/>
  <c r="AT244" i="3"/>
  <c r="AO244" i="3"/>
  <c r="AM244" i="3"/>
  <c r="AH244" i="3"/>
  <c r="AG244" i="3"/>
  <c r="AE244" i="3"/>
  <c r="AD244" i="3"/>
  <c r="AB244" i="3"/>
  <c r="AA244" i="3"/>
  <c r="X244" i="3"/>
  <c r="U244" i="3"/>
  <c r="AI246" i="3" l="1"/>
  <c r="K246" i="3"/>
  <c r="O246" i="3"/>
  <c r="Z246" i="3" s="1"/>
  <c r="AK246" i="3" s="1"/>
  <c r="V246" i="3"/>
  <c r="J246" i="3"/>
  <c r="L246" i="3"/>
  <c r="AQ246" i="3" s="1"/>
  <c r="L245" i="3"/>
  <c r="AQ245" i="3" s="1"/>
  <c r="J245" i="3"/>
  <c r="V245" i="3"/>
  <c r="AI245" i="3"/>
  <c r="K245" i="3"/>
  <c r="L244" i="3"/>
  <c r="AQ244" i="3" s="1"/>
  <c r="J244" i="3"/>
  <c r="V244" i="3"/>
  <c r="AI244" i="3"/>
  <c r="K244" i="3"/>
  <c r="CT1" i="1" l="1"/>
  <c r="AH290" i="4" l="1"/>
  <c r="AG290" i="4"/>
  <c r="AE290" i="4"/>
  <c r="AD290" i="4"/>
  <c r="AB290" i="4"/>
  <c r="AA290" i="4"/>
  <c r="X290" i="4"/>
  <c r="U290" i="4"/>
  <c r="AH289" i="4"/>
  <c r="AG289" i="4"/>
  <c r="AE289" i="4"/>
  <c r="AD289" i="4"/>
  <c r="AB289" i="4"/>
  <c r="AA289" i="4"/>
  <c r="X289" i="4"/>
  <c r="U289" i="4"/>
  <c r="O289" i="4"/>
  <c r="Z289" i="4" s="1"/>
  <c r="V290" i="4" l="1"/>
  <c r="K290" i="4"/>
  <c r="O290" i="4"/>
  <c r="Z290" i="4" s="1"/>
  <c r="J290" i="4"/>
  <c r="L290" i="4"/>
  <c r="AI290" i="4"/>
  <c r="L289" i="4"/>
  <c r="J289" i="4"/>
  <c r="V289" i="4"/>
  <c r="AI289" i="4"/>
  <c r="K289" i="4"/>
  <c r="BB243" i="3" l="1"/>
  <c r="AY243" i="3" s="1"/>
  <c r="AW243" i="3"/>
  <c r="AX243" i="3" s="1"/>
  <c r="AV243" i="3"/>
  <c r="AS243" i="3"/>
  <c r="AO243" i="3"/>
  <c r="AM243" i="3"/>
  <c r="AH243" i="3"/>
  <c r="AI243" i="3" s="1"/>
  <c r="AG243" i="3"/>
  <c r="AE243" i="3"/>
  <c r="AD243" i="3"/>
  <c r="AB243" i="3"/>
  <c r="AA243" i="3"/>
  <c r="X243" i="3"/>
  <c r="U243" i="3"/>
  <c r="BB242" i="3"/>
  <c r="AY242" i="3" s="1"/>
  <c r="AW242" i="3"/>
  <c r="AX242" i="3" s="1"/>
  <c r="AV242" i="3"/>
  <c r="AS242" i="3"/>
  <c r="AO242" i="3"/>
  <c r="AM242" i="3"/>
  <c r="AH242" i="3"/>
  <c r="AG242" i="3"/>
  <c r="AE242" i="3"/>
  <c r="AD242" i="3"/>
  <c r="AB242" i="3"/>
  <c r="AA242" i="3"/>
  <c r="X242" i="3"/>
  <c r="U242" i="3"/>
  <c r="O242" i="3"/>
  <c r="Z242" i="3" s="1"/>
  <c r="AK242" i="3" s="1"/>
  <c r="J243" i="3" l="1"/>
  <c r="O243" i="3"/>
  <c r="Z243" i="3" s="1"/>
  <c r="AK243" i="3" s="1"/>
  <c r="K243" i="3"/>
  <c r="V243" i="3"/>
  <c r="L243" i="3"/>
  <c r="L242" i="3"/>
  <c r="V242" i="3"/>
  <c r="AI242" i="3"/>
  <c r="J242" i="3"/>
  <c r="K242" i="3"/>
  <c r="AH288" i="4"/>
  <c r="AG288" i="4"/>
  <c r="AE288" i="4"/>
  <c r="AD288" i="4"/>
  <c r="AB288" i="4"/>
  <c r="AA288" i="4"/>
  <c r="X288" i="4"/>
  <c r="U288" i="4"/>
  <c r="O288" i="4"/>
  <c r="Z288" i="4" s="1"/>
  <c r="AH287" i="4"/>
  <c r="AG287" i="4"/>
  <c r="AE287" i="4"/>
  <c r="AD287" i="4"/>
  <c r="AB287" i="4"/>
  <c r="AA287" i="4"/>
  <c r="X287" i="4"/>
  <c r="U287" i="4"/>
  <c r="J287" i="4"/>
  <c r="AH286" i="4"/>
  <c r="AG286" i="4"/>
  <c r="AE286" i="4"/>
  <c r="AD286" i="4"/>
  <c r="AB286" i="4"/>
  <c r="AA286" i="4"/>
  <c r="X286" i="4"/>
  <c r="U286" i="4"/>
  <c r="O286" i="4"/>
  <c r="Z286" i="4" s="1"/>
  <c r="AH285" i="4"/>
  <c r="AI285" i="4" s="1"/>
  <c r="AG285" i="4"/>
  <c r="AE285" i="4"/>
  <c r="AD285" i="4"/>
  <c r="AB285" i="4"/>
  <c r="AA285" i="4"/>
  <c r="X285" i="4"/>
  <c r="U285" i="4"/>
  <c r="AH284" i="4"/>
  <c r="AG284" i="4"/>
  <c r="AE284" i="4"/>
  <c r="AD284" i="4"/>
  <c r="AB284" i="4"/>
  <c r="AA284" i="4"/>
  <c r="X284" i="4"/>
  <c r="U284" i="4"/>
  <c r="O284" i="4"/>
  <c r="Z284" i="4" s="1"/>
  <c r="AH283" i="4"/>
  <c r="AG283" i="4"/>
  <c r="AE283" i="4"/>
  <c r="AD283" i="4"/>
  <c r="AB283" i="4"/>
  <c r="AA283" i="4"/>
  <c r="X283" i="4"/>
  <c r="U283" i="4"/>
  <c r="K283" i="4"/>
  <c r="V284" i="4" l="1"/>
  <c r="AI284" i="4"/>
  <c r="K286" i="4"/>
  <c r="J284" i="4"/>
  <c r="L284" i="4"/>
  <c r="L286" i="4"/>
  <c r="V287" i="4"/>
  <c r="J288" i="4"/>
  <c r="V286" i="4"/>
  <c r="AI286" i="4"/>
  <c r="V288" i="4"/>
  <c r="J286" i="4"/>
  <c r="K287" i="4"/>
  <c r="K284" i="4"/>
  <c r="J285" i="4"/>
  <c r="L287" i="4"/>
  <c r="AI287" i="4"/>
  <c r="K288" i="4"/>
  <c r="V285" i="4"/>
  <c r="O287" i="4"/>
  <c r="Z287" i="4" s="1"/>
  <c r="L288" i="4"/>
  <c r="AI288" i="4"/>
  <c r="O285" i="4"/>
  <c r="Z285" i="4" s="1"/>
  <c r="K285" i="4"/>
  <c r="L285" i="4"/>
  <c r="V283" i="4"/>
  <c r="O283" i="4"/>
  <c r="Z283" i="4" s="1"/>
  <c r="J283" i="4"/>
  <c r="L283" i="4"/>
  <c r="AI283" i="4"/>
  <c r="AH282" i="4"/>
  <c r="AG282" i="4"/>
  <c r="AE282" i="4"/>
  <c r="AD282" i="4"/>
  <c r="AB282" i="4"/>
  <c r="AA282" i="4"/>
  <c r="X282" i="4"/>
  <c r="U282" i="4"/>
  <c r="O282" i="4"/>
  <c r="Z282" i="4" s="1"/>
  <c r="V282" i="4" l="1"/>
  <c r="J282" i="4"/>
  <c r="K282" i="4"/>
  <c r="L282" i="4"/>
  <c r="AI282" i="4"/>
  <c r="CC1" i="1" l="1"/>
  <c r="CJ1" i="1"/>
  <c r="Z1" i="1" l="1"/>
  <c r="AH281" i="4" l="1"/>
  <c r="AG281" i="4"/>
  <c r="AE281" i="4"/>
  <c r="AD281" i="4"/>
  <c r="AB281" i="4"/>
  <c r="AA281" i="4"/>
  <c r="X281" i="4"/>
  <c r="U281" i="4"/>
  <c r="K281" i="4"/>
  <c r="L281" i="4" l="1"/>
  <c r="V281" i="4"/>
  <c r="AI281" i="4"/>
  <c r="O281" i="4"/>
  <c r="Z281" i="4" s="1"/>
  <c r="J281" i="4"/>
  <c r="AO241" i="3"/>
  <c r="AM241" i="3"/>
  <c r="AH241" i="3"/>
  <c r="AG241" i="3"/>
  <c r="AE241" i="3"/>
  <c r="AD241" i="3"/>
  <c r="AB241" i="3"/>
  <c r="AA241" i="3"/>
  <c r="X241" i="3"/>
  <c r="U241" i="3"/>
  <c r="K241" i="3"/>
  <c r="AO240" i="3"/>
  <c r="AM240" i="3"/>
  <c r="AH240" i="3"/>
  <c r="AG240" i="3"/>
  <c r="AE240" i="3"/>
  <c r="AD240" i="3"/>
  <c r="AB240" i="3"/>
  <c r="AA240" i="3"/>
  <c r="X240" i="3"/>
  <c r="U240" i="3"/>
  <c r="K240" i="3"/>
  <c r="AO239" i="3"/>
  <c r="AM239" i="3"/>
  <c r="AH239" i="3"/>
  <c r="AG239" i="3"/>
  <c r="AE239" i="3"/>
  <c r="AD239" i="3"/>
  <c r="AB239" i="3"/>
  <c r="AA239" i="3"/>
  <c r="X239" i="3"/>
  <c r="U239" i="3"/>
  <c r="K239" i="3"/>
  <c r="AO238" i="3"/>
  <c r="AM238" i="3"/>
  <c r="AH238" i="3"/>
  <c r="AG238" i="3"/>
  <c r="AE238" i="3"/>
  <c r="AD238" i="3"/>
  <c r="AB238" i="3"/>
  <c r="AA238" i="3"/>
  <c r="X238" i="3"/>
  <c r="U238" i="3"/>
  <c r="AO237" i="3"/>
  <c r="AM237" i="3"/>
  <c r="AH237" i="3"/>
  <c r="AG237" i="3"/>
  <c r="AE237" i="3"/>
  <c r="AD237" i="3"/>
  <c r="AB237" i="3"/>
  <c r="AA237" i="3"/>
  <c r="X237" i="3"/>
  <c r="U237" i="3"/>
  <c r="J237" i="3"/>
  <c r="AO236" i="3"/>
  <c r="AM236" i="3"/>
  <c r="AH236" i="3"/>
  <c r="AG236" i="3"/>
  <c r="AE236" i="3"/>
  <c r="AD236" i="3"/>
  <c r="AB236" i="3"/>
  <c r="AA236" i="3"/>
  <c r="X236" i="3"/>
  <c r="U236" i="3"/>
  <c r="K236" i="3"/>
  <c r="AO235" i="3"/>
  <c r="AM235" i="3"/>
  <c r="AH235" i="3"/>
  <c r="AG235" i="3"/>
  <c r="AE235" i="3"/>
  <c r="AD235" i="3"/>
  <c r="AB235" i="3"/>
  <c r="AA235" i="3"/>
  <c r="X235" i="3"/>
  <c r="U235" i="3"/>
  <c r="J235" i="3"/>
  <c r="AO234" i="3"/>
  <c r="AM234" i="3"/>
  <c r="AH234" i="3"/>
  <c r="AG234" i="3"/>
  <c r="AE234" i="3"/>
  <c r="AD234" i="3"/>
  <c r="AB234" i="3"/>
  <c r="AA234" i="3"/>
  <c r="X234" i="3"/>
  <c r="U234" i="3"/>
  <c r="J234" i="3"/>
  <c r="AO233" i="3"/>
  <c r="AM233" i="3"/>
  <c r="AH233" i="3"/>
  <c r="AG233" i="3"/>
  <c r="AE233" i="3"/>
  <c r="AD233" i="3"/>
  <c r="AB233" i="3"/>
  <c r="AA233" i="3"/>
  <c r="X233" i="3"/>
  <c r="U233" i="3"/>
  <c r="K233" i="3"/>
  <c r="AO232" i="3"/>
  <c r="AM232" i="3"/>
  <c r="AH232" i="3"/>
  <c r="AG232" i="3"/>
  <c r="AE232" i="3"/>
  <c r="AD232" i="3"/>
  <c r="AB232" i="3"/>
  <c r="AA232" i="3"/>
  <c r="X232" i="3"/>
  <c r="U232" i="3"/>
  <c r="V238" i="3" l="1"/>
  <c r="V232" i="3"/>
  <c r="L241" i="3"/>
  <c r="V241" i="3"/>
  <c r="AI241" i="3"/>
  <c r="L240" i="3"/>
  <c r="J241" i="3"/>
  <c r="O241" i="3"/>
  <c r="Z241" i="3" s="1"/>
  <c r="AK241" i="3" s="1"/>
  <c r="V240" i="3"/>
  <c r="AI240" i="3"/>
  <c r="O240" i="3"/>
  <c r="Z240" i="3" s="1"/>
  <c r="AK240" i="3" s="1"/>
  <c r="L239" i="3"/>
  <c r="J240" i="3"/>
  <c r="V239" i="3"/>
  <c r="AI239" i="3"/>
  <c r="O239" i="3"/>
  <c r="Z239" i="3" s="1"/>
  <c r="AK239" i="3" s="1"/>
  <c r="L238" i="3"/>
  <c r="J239" i="3"/>
  <c r="AI238" i="3"/>
  <c r="L237" i="3"/>
  <c r="J238" i="3"/>
  <c r="O238" i="3"/>
  <c r="Z238" i="3" s="1"/>
  <c r="AK238" i="3" s="1"/>
  <c r="K238" i="3"/>
  <c r="AI237" i="3"/>
  <c r="V237" i="3"/>
  <c r="K237" i="3"/>
  <c r="O237" i="3"/>
  <c r="Z237" i="3" s="1"/>
  <c r="AK237" i="3" s="1"/>
  <c r="L236" i="3"/>
  <c r="V236" i="3"/>
  <c r="AI236" i="3"/>
  <c r="O236" i="3"/>
  <c r="Z236" i="3" s="1"/>
  <c r="AK236" i="3" s="1"/>
  <c r="L235" i="3"/>
  <c r="J236" i="3"/>
  <c r="AI235" i="3"/>
  <c r="V235" i="3"/>
  <c r="K235" i="3"/>
  <c r="O235" i="3"/>
  <c r="Z235" i="3" s="1"/>
  <c r="AK235" i="3" s="1"/>
  <c r="L234" i="3"/>
  <c r="AI234" i="3"/>
  <c r="V234" i="3"/>
  <c r="K234" i="3"/>
  <c r="O234" i="3"/>
  <c r="Z234" i="3" s="1"/>
  <c r="AK234" i="3" s="1"/>
  <c r="L233" i="3"/>
  <c r="V233" i="3"/>
  <c r="AI233" i="3"/>
  <c r="J233" i="3"/>
  <c r="O233" i="3"/>
  <c r="Z233" i="3" s="1"/>
  <c r="AK233" i="3" s="1"/>
  <c r="O232" i="3"/>
  <c r="Z232" i="3" s="1"/>
  <c r="AK232" i="3" s="1"/>
  <c r="J232" i="3"/>
  <c r="L232" i="3"/>
  <c r="AI232" i="3"/>
  <c r="K232" i="3"/>
  <c r="AH280" i="4" l="1"/>
  <c r="AG280" i="4"/>
  <c r="AE280" i="4"/>
  <c r="AD280" i="4"/>
  <c r="AB280" i="4"/>
  <c r="AA280" i="4"/>
  <c r="X280" i="4"/>
  <c r="U280" i="4"/>
  <c r="AH279" i="4"/>
  <c r="AG279" i="4"/>
  <c r="AE279" i="4"/>
  <c r="AD279" i="4"/>
  <c r="AB279" i="4"/>
  <c r="AA279" i="4"/>
  <c r="X279" i="4"/>
  <c r="U279" i="4"/>
  <c r="AH278" i="4"/>
  <c r="AG278" i="4"/>
  <c r="AE278" i="4"/>
  <c r="AD278" i="4"/>
  <c r="AB278" i="4"/>
  <c r="AA278" i="4"/>
  <c r="X278" i="4"/>
  <c r="U278" i="4"/>
  <c r="AH277" i="4"/>
  <c r="AG277" i="4"/>
  <c r="AE277" i="4"/>
  <c r="AD277" i="4"/>
  <c r="AB277" i="4"/>
  <c r="AA277" i="4"/>
  <c r="X277" i="4"/>
  <c r="U277" i="4"/>
  <c r="O280" i="4" l="1"/>
  <c r="Z280" i="4" s="1"/>
  <c r="J280" i="4"/>
  <c r="AI279" i="4"/>
  <c r="J279" i="4"/>
  <c r="V278" i="4"/>
  <c r="J278" i="4"/>
  <c r="O277" i="4"/>
  <c r="Z277" i="4" s="1"/>
  <c r="J277" i="4"/>
  <c r="V279" i="4"/>
  <c r="L279" i="4"/>
  <c r="V280" i="4"/>
  <c r="L278" i="4"/>
  <c r="AI278" i="4"/>
  <c r="K279" i="4"/>
  <c r="O279" i="4"/>
  <c r="Z279" i="4" s="1"/>
  <c r="L280" i="4"/>
  <c r="AI280" i="4"/>
  <c r="K278" i="4"/>
  <c r="O278" i="4"/>
  <c r="Z278" i="4" s="1"/>
  <c r="K280" i="4"/>
  <c r="L277" i="4"/>
  <c r="V277" i="4"/>
  <c r="AI277" i="4"/>
  <c r="K277" i="4"/>
  <c r="AO231" i="3" l="1"/>
  <c r="AM231" i="3"/>
  <c r="AH231" i="3"/>
  <c r="AG231" i="3"/>
  <c r="AE231" i="3"/>
  <c r="AD231" i="3"/>
  <c r="AB231" i="3"/>
  <c r="AA231" i="3"/>
  <c r="X231" i="3"/>
  <c r="U231" i="3"/>
  <c r="K231" i="3"/>
  <c r="V231" i="3" l="1"/>
  <c r="AI231" i="3"/>
  <c r="J231" i="3"/>
  <c r="L231" i="3"/>
  <c r="O231" i="3"/>
  <c r="Z231" i="3" s="1"/>
  <c r="AK231" i="3" s="1"/>
  <c r="R37" i="12"/>
  <c r="O37" i="12"/>
  <c r="N37" i="12"/>
  <c r="R36" i="12"/>
  <c r="O36" i="12"/>
  <c r="N36" i="12"/>
  <c r="R35" i="12"/>
  <c r="O35" i="12"/>
  <c r="P35" i="12"/>
  <c r="R34" i="12"/>
  <c r="O34" i="12"/>
  <c r="N34" i="12"/>
  <c r="AH276" i="4" l="1"/>
  <c r="AG276" i="4"/>
  <c r="AE276" i="4"/>
  <c r="AD276" i="4"/>
  <c r="AB276" i="4"/>
  <c r="AA276" i="4"/>
  <c r="X276" i="4"/>
  <c r="U276" i="4"/>
  <c r="AH275" i="4"/>
  <c r="AG275" i="4"/>
  <c r="AE275" i="4"/>
  <c r="AD275" i="4"/>
  <c r="AB275" i="4"/>
  <c r="AA275" i="4"/>
  <c r="X275" i="4"/>
  <c r="U275" i="4"/>
  <c r="J275" i="4"/>
  <c r="AH274" i="4"/>
  <c r="AG274" i="4"/>
  <c r="AE274" i="4"/>
  <c r="AD274" i="4"/>
  <c r="AB274" i="4"/>
  <c r="AA274" i="4"/>
  <c r="X274" i="4"/>
  <c r="U274" i="4"/>
  <c r="AH273" i="4"/>
  <c r="AG273" i="4"/>
  <c r="AE273" i="4"/>
  <c r="AD273" i="4"/>
  <c r="AB273" i="4"/>
  <c r="AA273" i="4"/>
  <c r="X273" i="4"/>
  <c r="U273" i="4"/>
  <c r="J273" i="4"/>
  <c r="K274" i="4" l="1"/>
  <c r="J274" i="4"/>
  <c r="K276" i="4"/>
  <c r="J276" i="4"/>
  <c r="L275" i="4"/>
  <c r="AI275" i="4"/>
  <c r="L276" i="4"/>
  <c r="V275" i="4"/>
  <c r="V276" i="4"/>
  <c r="AI276" i="4"/>
  <c r="K275" i="4"/>
  <c r="O275" i="4"/>
  <c r="Z275" i="4" s="1"/>
  <c r="O276" i="4"/>
  <c r="Z276" i="4" s="1"/>
  <c r="L274" i="4"/>
  <c r="V274" i="4"/>
  <c r="AI274" i="4"/>
  <c r="O274" i="4"/>
  <c r="Z274" i="4" s="1"/>
  <c r="K273" i="4"/>
  <c r="V273" i="4"/>
  <c r="L273" i="4"/>
  <c r="AI273" i="4"/>
  <c r="O273" i="4"/>
  <c r="Z273" i="4" s="1"/>
  <c r="M37" i="12"/>
  <c r="L37" i="12"/>
  <c r="K37" i="12"/>
  <c r="J37" i="12"/>
  <c r="I37" i="12"/>
  <c r="H37" i="12"/>
  <c r="G37" i="12"/>
  <c r="E37" i="12"/>
  <c r="T24" i="12"/>
  <c r="R24" i="12"/>
  <c r="O24" i="12"/>
  <c r="M24" i="12"/>
  <c r="K24" i="12"/>
  <c r="AM272" i="4"/>
  <c r="AH272" i="4"/>
  <c r="AG272" i="4"/>
  <c r="AE272" i="4"/>
  <c r="AD272" i="4"/>
  <c r="AB272" i="4"/>
  <c r="AA272" i="4"/>
  <c r="X272" i="4"/>
  <c r="U272" i="4"/>
  <c r="J251" i="4"/>
  <c r="AM257" i="4"/>
  <c r="AH271" i="4"/>
  <c r="AG271" i="4"/>
  <c r="AE271" i="4"/>
  <c r="AD271" i="4"/>
  <c r="AB271" i="4"/>
  <c r="AA271" i="4"/>
  <c r="X271" i="4"/>
  <c r="U271" i="4"/>
  <c r="AH270" i="4"/>
  <c r="AG270" i="4"/>
  <c r="AE270" i="4"/>
  <c r="AD270" i="4"/>
  <c r="AB270" i="4"/>
  <c r="AA270" i="4"/>
  <c r="X270" i="4"/>
  <c r="U270" i="4"/>
  <c r="AH269" i="4"/>
  <c r="AG269" i="4"/>
  <c r="AE269" i="4"/>
  <c r="AD269" i="4"/>
  <c r="AB269" i="4"/>
  <c r="AA269" i="4"/>
  <c r="X269" i="4"/>
  <c r="U269" i="4"/>
  <c r="J269" i="4"/>
  <c r="AH268" i="4"/>
  <c r="AG268" i="4"/>
  <c r="AE268" i="4"/>
  <c r="AD268" i="4"/>
  <c r="AB268" i="4"/>
  <c r="AA268" i="4"/>
  <c r="X268" i="4"/>
  <c r="U268" i="4"/>
  <c r="AH267" i="4"/>
  <c r="AG267" i="4"/>
  <c r="AE267" i="4"/>
  <c r="AD267" i="4"/>
  <c r="AB267" i="4"/>
  <c r="AA267" i="4"/>
  <c r="X267" i="4"/>
  <c r="U267" i="4"/>
  <c r="O267" i="4"/>
  <c r="Z267" i="4" s="1"/>
  <c r="AI268" i="4" l="1"/>
  <c r="J268" i="4"/>
  <c r="AI270" i="4"/>
  <c r="J270" i="4"/>
  <c r="AI271" i="4"/>
  <c r="J271" i="4"/>
  <c r="AI272" i="4"/>
  <c r="J272" i="4"/>
  <c r="V272" i="4"/>
  <c r="V269" i="4"/>
  <c r="K272" i="4"/>
  <c r="O272" i="4"/>
  <c r="Z272" i="4" s="1"/>
  <c r="L272" i="4"/>
  <c r="K271" i="4"/>
  <c r="O271" i="4"/>
  <c r="Z271" i="4" s="1"/>
  <c r="V271" i="4"/>
  <c r="L271" i="4"/>
  <c r="L270" i="4"/>
  <c r="V270" i="4"/>
  <c r="L269" i="4"/>
  <c r="AI269" i="4"/>
  <c r="K270" i="4"/>
  <c r="O270" i="4"/>
  <c r="Z270" i="4" s="1"/>
  <c r="K269" i="4"/>
  <c r="O269" i="4"/>
  <c r="Z269" i="4" s="1"/>
  <c r="L267" i="4"/>
  <c r="J267" i="4"/>
  <c r="V267" i="4"/>
  <c r="AI267" i="4"/>
  <c r="K268" i="4"/>
  <c r="O268" i="4"/>
  <c r="Z268" i="4" s="1"/>
  <c r="V268" i="4"/>
  <c r="K267" i="4"/>
  <c r="L268" i="4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AH266" i="4"/>
  <c r="AG266" i="4"/>
  <c r="AE266" i="4"/>
  <c r="AD266" i="4"/>
  <c r="AB266" i="4"/>
  <c r="AA266" i="4"/>
  <c r="X266" i="4"/>
  <c r="U266" i="4"/>
  <c r="AH265" i="4"/>
  <c r="AG265" i="4"/>
  <c r="AE265" i="4"/>
  <c r="AD265" i="4"/>
  <c r="AB265" i="4"/>
  <c r="AA265" i="4"/>
  <c r="X265" i="4"/>
  <c r="U265" i="4"/>
  <c r="AI265" i="4" l="1"/>
  <c r="AI266" i="4"/>
  <c r="V266" i="4"/>
  <c r="K266" i="4"/>
  <c r="O266" i="4"/>
  <c r="Z266" i="4" s="1"/>
  <c r="J266" i="4"/>
  <c r="L266" i="4"/>
  <c r="O265" i="4"/>
  <c r="Z265" i="4" s="1"/>
  <c r="K265" i="4"/>
  <c r="V265" i="4"/>
  <c r="J265" i="4"/>
  <c r="L265" i="4"/>
  <c r="J230" i="3" l="1"/>
  <c r="U230" i="3"/>
  <c r="X230" i="3"/>
  <c r="AA230" i="3"/>
  <c r="AB230" i="3"/>
  <c r="AD230" i="3"/>
  <c r="AE230" i="3"/>
  <c r="AG230" i="3"/>
  <c r="AH230" i="3"/>
  <c r="AM230" i="3"/>
  <c r="AO230" i="3"/>
  <c r="J229" i="3"/>
  <c r="U229" i="3"/>
  <c r="X229" i="3"/>
  <c r="AA229" i="3"/>
  <c r="AB229" i="3"/>
  <c r="AD229" i="3"/>
  <c r="AE229" i="3"/>
  <c r="AG229" i="3"/>
  <c r="AH229" i="3"/>
  <c r="AM229" i="3"/>
  <c r="AO229" i="3"/>
  <c r="AH264" i="4"/>
  <c r="AG264" i="4"/>
  <c r="AE264" i="4"/>
  <c r="AD264" i="4"/>
  <c r="AB264" i="4"/>
  <c r="AA264" i="4"/>
  <c r="X264" i="4"/>
  <c r="U264" i="4"/>
  <c r="AI264" i="4"/>
  <c r="AH263" i="4"/>
  <c r="AG263" i="4"/>
  <c r="AE263" i="4"/>
  <c r="AD263" i="4"/>
  <c r="AB263" i="4"/>
  <c r="AA263" i="4"/>
  <c r="X263" i="4"/>
  <c r="U263" i="4"/>
  <c r="AI263" i="4"/>
  <c r="AH262" i="4"/>
  <c r="AG262" i="4"/>
  <c r="AE262" i="4"/>
  <c r="AD262" i="4"/>
  <c r="AB262" i="4"/>
  <c r="AA262" i="4"/>
  <c r="X262" i="4"/>
  <c r="U262" i="4"/>
  <c r="AI262" i="4"/>
  <c r="AH261" i="4"/>
  <c r="AI261" i="4" s="1"/>
  <c r="AG261" i="4"/>
  <c r="AE261" i="4"/>
  <c r="AD261" i="4"/>
  <c r="AB261" i="4"/>
  <c r="AA261" i="4"/>
  <c r="X261" i="4"/>
  <c r="U261" i="4"/>
  <c r="AI229" i="3" l="1"/>
  <c r="O230" i="3"/>
  <c r="Z230" i="3" s="1"/>
  <c r="O229" i="3"/>
  <c r="Z229" i="3" s="1"/>
  <c r="AK229" i="3" s="1"/>
  <c r="AI230" i="3"/>
  <c r="V230" i="3"/>
  <c r="K230" i="3"/>
  <c r="V229" i="3"/>
  <c r="K229" i="3"/>
  <c r="L230" i="3"/>
  <c r="L229" i="3"/>
  <c r="V264" i="4"/>
  <c r="K264" i="4"/>
  <c r="O264" i="4"/>
  <c r="Z264" i="4" s="1"/>
  <c r="J264" i="4"/>
  <c r="L264" i="4"/>
  <c r="V263" i="4"/>
  <c r="K263" i="4"/>
  <c r="O263" i="4"/>
  <c r="Z263" i="4" s="1"/>
  <c r="J263" i="4"/>
  <c r="L263" i="4"/>
  <c r="K262" i="4"/>
  <c r="O262" i="4"/>
  <c r="Z262" i="4" s="1"/>
  <c r="V262" i="4"/>
  <c r="J262" i="4"/>
  <c r="L262" i="4"/>
  <c r="K261" i="4"/>
  <c r="O261" i="4"/>
  <c r="Z261" i="4" s="1"/>
  <c r="V261" i="4"/>
  <c r="J261" i="4"/>
  <c r="L261" i="4"/>
  <c r="G24" i="12" l="1"/>
  <c r="N27" i="12"/>
  <c r="BT1" i="1" l="1"/>
  <c r="N40" i="12"/>
  <c r="N39" i="12"/>
  <c r="N38" i="12"/>
  <c r="L40" i="12"/>
  <c r="L39" i="12"/>
  <c r="L38" i="12"/>
  <c r="J40" i="12"/>
  <c r="J39" i="12"/>
  <c r="J38" i="12"/>
  <c r="H40" i="12"/>
  <c r="H39" i="12"/>
  <c r="H38" i="12"/>
  <c r="E40" i="12"/>
  <c r="E39" i="12"/>
  <c r="E38" i="12"/>
  <c r="S27" i="12"/>
  <c r="P27" i="12"/>
  <c r="L27" i="12"/>
  <c r="L26" i="12"/>
  <c r="J27" i="12"/>
  <c r="H27" i="12"/>
  <c r="H26" i="12"/>
  <c r="E27" i="12"/>
  <c r="E26" i="12"/>
  <c r="BY1" i="1" l="1"/>
  <c r="U27" i="12"/>
  <c r="U39" i="12"/>
  <c r="U40" i="12"/>
  <c r="B220" i="5"/>
  <c r="B219" i="5"/>
  <c r="AM260" i="4"/>
  <c r="AH260" i="4"/>
  <c r="AG260" i="4"/>
  <c r="AE260" i="4"/>
  <c r="AD260" i="4"/>
  <c r="AA260" i="4"/>
  <c r="X260" i="4"/>
  <c r="U260" i="4"/>
  <c r="L320" i="5"/>
  <c r="M320" i="5" s="1"/>
  <c r="L319" i="5"/>
  <c r="M319" i="5" s="1"/>
  <c r="L318" i="5"/>
  <c r="M318" i="5" s="1"/>
  <c r="L317" i="5"/>
  <c r="M317" i="5" s="1"/>
  <c r="L316" i="5"/>
  <c r="M316" i="5" s="1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 s="1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 s="1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 s="1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M252" i="5" s="1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 s="1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B218" i="5"/>
  <c r="AI260" i="4" l="1"/>
  <c r="L219" i="5"/>
  <c r="M219" i="5" s="1"/>
  <c r="L220" i="5"/>
  <c r="M220" i="5" s="1"/>
  <c r="J260" i="4"/>
  <c r="V260" i="4"/>
  <c r="L260" i="4"/>
  <c r="K260" i="4"/>
  <c r="O260" i="4"/>
  <c r="Z260" i="4" s="1"/>
  <c r="AB260" i="4"/>
  <c r="L218" i="5"/>
  <c r="M218" i="5" s="1"/>
  <c r="B217" i="5"/>
  <c r="L217" i="5" s="1"/>
  <c r="M217" i="5" s="1"/>
  <c r="B216" i="5" l="1"/>
  <c r="AH259" i="4"/>
  <c r="AG259" i="4"/>
  <c r="AE259" i="4"/>
  <c r="AD259" i="4"/>
  <c r="AB259" i="4"/>
  <c r="AA259" i="4"/>
  <c r="X259" i="4"/>
  <c r="U259" i="4"/>
  <c r="AH258" i="4"/>
  <c r="AI258" i="4" s="1"/>
  <c r="AG258" i="4"/>
  <c r="AE258" i="4"/>
  <c r="AD258" i="4"/>
  <c r="AB258" i="4"/>
  <c r="AA258" i="4"/>
  <c r="X258" i="4"/>
  <c r="U258" i="4"/>
  <c r="AH257" i="4"/>
  <c r="AI257" i="4" s="1"/>
  <c r="AG257" i="4"/>
  <c r="AE257" i="4"/>
  <c r="AD257" i="4"/>
  <c r="AB257" i="4"/>
  <c r="AA257" i="4"/>
  <c r="X257" i="4"/>
  <c r="U257" i="4"/>
  <c r="L216" i="5" l="1"/>
  <c r="M216" i="5" s="1"/>
  <c r="AI259" i="4"/>
  <c r="V259" i="4"/>
  <c r="K259" i="4"/>
  <c r="O259" i="4"/>
  <c r="Z259" i="4" s="1"/>
  <c r="J259" i="4"/>
  <c r="L259" i="4"/>
  <c r="L258" i="4"/>
  <c r="J258" i="4"/>
  <c r="V258" i="4"/>
  <c r="K258" i="4"/>
  <c r="O258" i="4"/>
  <c r="Z258" i="4" s="1"/>
  <c r="K257" i="4"/>
  <c r="O257" i="4"/>
  <c r="Z257" i="4" s="1"/>
  <c r="V257" i="4"/>
  <c r="J257" i="4"/>
  <c r="L257" i="4"/>
  <c r="AH256" i="4" l="1"/>
  <c r="AG256" i="4"/>
  <c r="AE256" i="4"/>
  <c r="AD256" i="4"/>
  <c r="AB256" i="4"/>
  <c r="AA256" i="4"/>
  <c r="X256" i="4"/>
  <c r="U256" i="4"/>
  <c r="AH255" i="4"/>
  <c r="AG255" i="4"/>
  <c r="AE255" i="4"/>
  <c r="AD255" i="4"/>
  <c r="AB255" i="4"/>
  <c r="AA255" i="4"/>
  <c r="X255" i="4"/>
  <c r="U255" i="4"/>
  <c r="AI255" i="4"/>
  <c r="AH254" i="4"/>
  <c r="AG254" i="4"/>
  <c r="AE254" i="4"/>
  <c r="AD254" i="4"/>
  <c r="AB254" i="4"/>
  <c r="AA254" i="4"/>
  <c r="X254" i="4"/>
  <c r="U254" i="4"/>
  <c r="AI254" i="4"/>
  <c r="AH253" i="4"/>
  <c r="AG253" i="4"/>
  <c r="AE253" i="4"/>
  <c r="AD253" i="4"/>
  <c r="AB253" i="4"/>
  <c r="AA253" i="4"/>
  <c r="X253" i="4"/>
  <c r="U253" i="4"/>
  <c r="AH252" i="4"/>
  <c r="AG252" i="4"/>
  <c r="AE252" i="4"/>
  <c r="AD252" i="4"/>
  <c r="AB252" i="4"/>
  <c r="AA252" i="4"/>
  <c r="X252" i="4"/>
  <c r="U252" i="4"/>
  <c r="AI252" i="4"/>
  <c r="AH251" i="4"/>
  <c r="AG251" i="4"/>
  <c r="AE251" i="4"/>
  <c r="AD251" i="4"/>
  <c r="AB251" i="4"/>
  <c r="AA251" i="4"/>
  <c r="X251" i="4"/>
  <c r="U251" i="4"/>
  <c r="AI253" i="4" l="1"/>
  <c r="AI251" i="4"/>
  <c r="AI256" i="4"/>
  <c r="V256" i="4"/>
  <c r="K256" i="4"/>
  <c r="O256" i="4"/>
  <c r="Z256" i="4" s="1"/>
  <c r="J256" i="4"/>
  <c r="L256" i="4"/>
  <c r="V255" i="4"/>
  <c r="K255" i="4"/>
  <c r="O255" i="4"/>
  <c r="Z255" i="4" s="1"/>
  <c r="J255" i="4"/>
  <c r="L255" i="4"/>
  <c r="V254" i="4"/>
  <c r="K254" i="4"/>
  <c r="O254" i="4"/>
  <c r="Z254" i="4" s="1"/>
  <c r="J254" i="4"/>
  <c r="L254" i="4"/>
  <c r="V253" i="4"/>
  <c r="K253" i="4"/>
  <c r="O253" i="4"/>
  <c r="Z253" i="4" s="1"/>
  <c r="J253" i="4"/>
  <c r="L253" i="4"/>
  <c r="V252" i="4"/>
  <c r="K252" i="4"/>
  <c r="O252" i="4"/>
  <c r="Z252" i="4" s="1"/>
  <c r="J252" i="4"/>
  <c r="L252" i="4"/>
  <c r="O251" i="4"/>
  <c r="Z251" i="4" s="1"/>
  <c r="V251" i="4"/>
  <c r="J26" i="12" l="1"/>
  <c r="I24" i="12"/>
  <c r="L251" i="4"/>
  <c r="K251" i="4"/>
  <c r="P34" i="12" l="1"/>
  <c r="P37" i="12"/>
  <c r="P36" i="12"/>
  <c r="N26" i="12"/>
  <c r="S24" i="12"/>
  <c r="P24" i="12"/>
  <c r="N24" i="12"/>
  <c r="L24" i="12"/>
  <c r="E24" i="12"/>
  <c r="J24" i="12"/>
  <c r="H24" i="12"/>
  <c r="N25" i="12"/>
  <c r="S26" i="12"/>
  <c r="P25" i="12"/>
  <c r="P26" i="12"/>
  <c r="L25" i="12"/>
  <c r="J25" i="12"/>
  <c r="H25" i="12"/>
  <c r="E25" i="12"/>
  <c r="AH250" i="4"/>
  <c r="AG250" i="4"/>
  <c r="AE250" i="4"/>
  <c r="AD250" i="4"/>
  <c r="AB250" i="4"/>
  <c r="AA250" i="4"/>
  <c r="X250" i="4"/>
  <c r="U250" i="4"/>
  <c r="AH249" i="4"/>
  <c r="AG249" i="4"/>
  <c r="AE249" i="4"/>
  <c r="AD249" i="4"/>
  <c r="AB249" i="4"/>
  <c r="AA249" i="4"/>
  <c r="X249" i="4"/>
  <c r="U249" i="4"/>
  <c r="AI249" i="4"/>
  <c r="U26" i="12" l="1"/>
  <c r="AI250" i="4"/>
  <c r="O250" i="4"/>
  <c r="Z250" i="4" s="1"/>
  <c r="V250" i="4"/>
  <c r="O249" i="4"/>
  <c r="Z249" i="4" s="1"/>
  <c r="V249" i="4"/>
  <c r="J227" i="3"/>
  <c r="J228" i="3"/>
  <c r="U228" i="3"/>
  <c r="X228" i="3"/>
  <c r="AA228" i="3"/>
  <c r="AB228" i="3"/>
  <c r="AD228" i="3"/>
  <c r="AE228" i="3"/>
  <c r="AG228" i="3"/>
  <c r="AH228" i="3"/>
  <c r="AM228" i="3"/>
  <c r="AO228" i="3"/>
  <c r="U227" i="3"/>
  <c r="X227" i="3"/>
  <c r="AA227" i="3"/>
  <c r="AB227" i="3"/>
  <c r="AD227" i="3"/>
  <c r="AE227" i="3"/>
  <c r="AG227" i="3"/>
  <c r="AH227" i="3"/>
  <c r="AM227" i="3"/>
  <c r="AO227" i="3"/>
  <c r="AO226" i="3"/>
  <c r="AM226" i="3"/>
  <c r="AH226" i="3"/>
  <c r="AG226" i="3"/>
  <c r="AE226" i="3"/>
  <c r="AD226" i="3"/>
  <c r="AB226" i="3"/>
  <c r="AA226" i="3"/>
  <c r="X226" i="3"/>
  <c r="U226" i="3"/>
  <c r="AM248" i="4"/>
  <c r="AH248" i="4"/>
  <c r="AG248" i="4"/>
  <c r="AE248" i="4"/>
  <c r="AD248" i="4"/>
  <c r="AB248" i="4"/>
  <c r="AA248" i="4"/>
  <c r="X248" i="4"/>
  <c r="U248" i="4"/>
  <c r="AI248" i="4"/>
  <c r="AI226" i="3" l="1"/>
  <c r="O228" i="3"/>
  <c r="Z228" i="3" s="1"/>
  <c r="AK228" i="3" s="1"/>
  <c r="AI228" i="3"/>
  <c r="K228" i="3"/>
  <c r="V227" i="3"/>
  <c r="V228" i="3"/>
  <c r="L228" i="3"/>
  <c r="O227" i="3"/>
  <c r="Z227" i="3" s="1"/>
  <c r="AK227" i="3" s="1"/>
  <c r="K227" i="3"/>
  <c r="AI227" i="3"/>
  <c r="L227" i="3"/>
  <c r="K226" i="3"/>
  <c r="O226" i="3"/>
  <c r="Z226" i="3" s="1"/>
  <c r="AK226" i="3" s="1"/>
  <c r="V226" i="3"/>
  <c r="J226" i="3"/>
  <c r="L226" i="3"/>
  <c r="L248" i="4"/>
  <c r="J248" i="4"/>
  <c r="V248" i="4"/>
  <c r="K248" i="4"/>
  <c r="O248" i="4"/>
  <c r="Z248" i="4" s="1"/>
  <c r="L250" i="4" l="1"/>
  <c r="J250" i="4"/>
  <c r="K250" i="4"/>
  <c r="L249" i="4"/>
  <c r="J249" i="4"/>
  <c r="K249" i="4"/>
  <c r="D5" i="16"/>
  <c r="F5" i="16" s="1"/>
  <c r="F15" i="11"/>
  <c r="F14" i="11"/>
  <c r="D15" i="11"/>
  <c r="D14" i="11"/>
  <c r="B15" i="11"/>
  <c r="B14" i="11"/>
  <c r="A95" i="16" l="1"/>
  <c r="C10" i="14"/>
  <c r="D10" i="14" s="1"/>
  <c r="C6" i="14"/>
  <c r="D6" i="14" s="1"/>
  <c r="C25" i="14"/>
  <c r="D25" i="14" s="1"/>
  <c r="C29" i="14"/>
  <c r="D29" i="14" s="1"/>
  <c r="C7" i="14"/>
  <c r="D7" i="14" s="1"/>
  <c r="C24" i="14"/>
  <c r="D24" i="14" s="1"/>
  <c r="C28" i="14"/>
  <c r="D28" i="14" s="1"/>
  <c r="L34" i="6"/>
  <c r="J34" i="6"/>
  <c r="H34" i="6"/>
  <c r="E34" i="6"/>
  <c r="M34" i="6"/>
  <c r="K34" i="6"/>
  <c r="I34" i="6"/>
  <c r="F34" i="6"/>
  <c r="D34" i="6"/>
  <c r="C8" i="14"/>
  <c r="D8" i="14" s="1"/>
  <c r="C23" i="14"/>
  <c r="D23" i="14" s="1"/>
  <c r="C27" i="14"/>
  <c r="D27" i="14" s="1"/>
  <c r="C9" i="14"/>
  <c r="D9" i="14" s="1"/>
  <c r="C5" i="14"/>
  <c r="C26" i="14"/>
  <c r="D26" i="14" s="1"/>
  <c r="C16" i="14"/>
  <c r="D16" i="14" s="1"/>
  <c r="C14" i="14"/>
  <c r="D14" i="14" s="1"/>
  <c r="C12" i="14"/>
  <c r="D12" i="14" s="1"/>
  <c r="C22" i="14"/>
  <c r="D22" i="14" s="1"/>
  <c r="C20" i="14"/>
  <c r="D20" i="14" s="1"/>
  <c r="C15" i="14"/>
  <c r="D15" i="14" s="1"/>
  <c r="C13" i="14"/>
  <c r="D13" i="14" s="1"/>
  <c r="C11" i="14"/>
  <c r="D11" i="14" s="1"/>
  <c r="C21" i="14"/>
  <c r="D21" i="14" s="1"/>
  <c r="A16" i="15"/>
  <c r="C18" i="14"/>
  <c r="B34" i="6"/>
  <c r="C34" i="6"/>
  <c r="C19" i="14"/>
  <c r="D19" i="14" s="1"/>
  <c r="M90" i="16"/>
  <c r="M91" i="16" s="1"/>
  <c r="I91" i="16"/>
  <c r="E91" i="16"/>
  <c r="J90" i="16"/>
  <c r="J91" i="16" s="1"/>
  <c r="F91" i="16"/>
  <c r="B91" i="16"/>
  <c r="K90" i="16"/>
  <c r="K91" i="16" s="1"/>
  <c r="G91" i="16"/>
  <c r="C91" i="16"/>
  <c r="L90" i="16"/>
  <c r="L91" i="16" s="1"/>
  <c r="H91" i="16"/>
  <c r="D91" i="16"/>
  <c r="G34" i="6"/>
  <c r="K26" i="6"/>
  <c r="K30" i="6" s="1"/>
  <c r="G26" i="6"/>
  <c r="G30" i="6" s="1"/>
  <c r="C26" i="6"/>
  <c r="C30" i="6" s="1"/>
  <c r="A29" i="9"/>
  <c r="J26" i="6"/>
  <c r="J30" i="6" s="1"/>
  <c r="F26" i="6"/>
  <c r="F30" i="6" s="1"/>
  <c r="M26" i="6"/>
  <c r="M30" i="6" s="1"/>
  <c r="I26" i="6"/>
  <c r="I30" i="6" s="1"/>
  <c r="E26" i="6"/>
  <c r="E30" i="6" s="1"/>
  <c r="B26" i="6"/>
  <c r="B30" i="6" s="1"/>
  <c r="L26" i="6"/>
  <c r="L30" i="6" s="1"/>
  <c r="H26" i="6"/>
  <c r="H30" i="6" s="1"/>
  <c r="D26" i="6"/>
  <c r="D30" i="6" s="1"/>
  <c r="L31" i="7"/>
  <c r="L27" i="7"/>
  <c r="L23" i="7"/>
  <c r="L19" i="7"/>
  <c r="L15" i="7"/>
  <c r="L11" i="7"/>
  <c r="L7" i="7"/>
  <c r="K11" i="7"/>
  <c r="K32" i="7"/>
  <c r="K28" i="7"/>
  <c r="K24" i="7"/>
  <c r="K20" i="7"/>
  <c r="K16" i="7"/>
  <c r="K12" i="7"/>
  <c r="K6" i="7"/>
  <c r="J32" i="7"/>
  <c r="J24" i="7"/>
  <c r="J20" i="7"/>
  <c r="J16" i="7"/>
  <c r="J12" i="7"/>
  <c r="J8" i="7"/>
  <c r="J4" i="7"/>
  <c r="I31" i="7"/>
  <c r="I27" i="7"/>
  <c r="I23" i="7"/>
  <c r="I19" i="7"/>
  <c r="I15" i="7"/>
  <c r="I11" i="7"/>
  <c r="I7" i="7"/>
  <c r="H34" i="7"/>
  <c r="H30" i="7"/>
  <c r="H26" i="7"/>
  <c r="H22" i="7"/>
  <c r="H18" i="7"/>
  <c r="H14" i="7"/>
  <c r="H10" i="7"/>
  <c r="H6" i="7"/>
  <c r="G32" i="7"/>
  <c r="G28" i="7"/>
  <c r="G24" i="7"/>
  <c r="G20" i="7"/>
  <c r="G16" i="7"/>
  <c r="G12" i="7"/>
  <c r="G8" i="7"/>
  <c r="G4" i="7"/>
  <c r="F31" i="7"/>
  <c r="F27" i="7"/>
  <c r="F23" i="7"/>
  <c r="F19" i="7"/>
  <c r="F15" i="7"/>
  <c r="F11" i="7"/>
  <c r="F7" i="7"/>
  <c r="E33" i="7"/>
  <c r="E29" i="7"/>
  <c r="E25" i="7"/>
  <c r="E21" i="7"/>
  <c r="E17" i="7"/>
  <c r="E13" i="7"/>
  <c r="E9" i="7"/>
  <c r="E5" i="7"/>
  <c r="E10" i="7"/>
  <c r="L34" i="7"/>
  <c r="L30" i="7"/>
  <c r="L26" i="7"/>
  <c r="L22" i="7"/>
  <c r="L18" i="7"/>
  <c r="L14" i="7"/>
  <c r="L10" i="7"/>
  <c r="L6" i="7"/>
  <c r="K10" i="7"/>
  <c r="K31" i="7"/>
  <c r="K27" i="7"/>
  <c r="K23" i="7"/>
  <c r="K19" i="7"/>
  <c r="K15" i="7"/>
  <c r="K9" i="7"/>
  <c r="K5" i="7"/>
  <c r="J31" i="7"/>
  <c r="J27" i="7"/>
  <c r="J23" i="7"/>
  <c r="J19" i="7"/>
  <c r="J15" i="7"/>
  <c r="J11" i="7"/>
  <c r="J7" i="7"/>
  <c r="I34" i="7"/>
  <c r="I30" i="7"/>
  <c r="I26" i="7"/>
  <c r="I22" i="7"/>
  <c r="I18" i="7"/>
  <c r="I14" i="7"/>
  <c r="I10" i="7"/>
  <c r="I6" i="7"/>
  <c r="H33" i="7"/>
  <c r="H29" i="7"/>
  <c r="H25" i="7"/>
  <c r="H21" i="7"/>
  <c r="H17" i="7"/>
  <c r="H13" i="7"/>
  <c r="H9" i="7"/>
  <c r="H5" i="7"/>
  <c r="G31" i="7"/>
  <c r="G27" i="7"/>
  <c r="G23" i="7"/>
  <c r="G19" i="7"/>
  <c r="G15" i="7"/>
  <c r="G11" i="7"/>
  <c r="G7" i="7"/>
  <c r="F34" i="7"/>
  <c r="F30" i="7"/>
  <c r="F26" i="7"/>
  <c r="F22" i="7"/>
  <c r="F18" i="7"/>
  <c r="F14" i="7"/>
  <c r="F10" i="7"/>
  <c r="F6" i="7"/>
  <c r="E32" i="7"/>
  <c r="E28" i="7"/>
  <c r="E24" i="7"/>
  <c r="E20" i="7"/>
  <c r="E16" i="7"/>
  <c r="E12" i="7"/>
  <c r="E8" i="7"/>
  <c r="E4" i="7"/>
  <c r="L33" i="7"/>
  <c r="L29" i="7"/>
  <c r="L25" i="7"/>
  <c r="L21" i="7"/>
  <c r="L17" i="7"/>
  <c r="L13" i="7"/>
  <c r="L9" i="7"/>
  <c r="L5" i="7"/>
  <c r="K34" i="7"/>
  <c r="K30" i="7"/>
  <c r="K26" i="7"/>
  <c r="K22" i="7"/>
  <c r="K18" i="7"/>
  <c r="K14" i="7"/>
  <c r="K8" i="7"/>
  <c r="K4" i="7"/>
  <c r="J30" i="7"/>
  <c r="J26" i="7"/>
  <c r="J22" i="7"/>
  <c r="J18" i="7"/>
  <c r="J14" i="7"/>
  <c r="J10" i="7"/>
  <c r="J6" i="7"/>
  <c r="I33" i="7"/>
  <c r="I29" i="7"/>
  <c r="I25" i="7"/>
  <c r="I21" i="7"/>
  <c r="I17" i="7"/>
  <c r="I13" i="7"/>
  <c r="I9" i="7"/>
  <c r="I5" i="7"/>
  <c r="H32" i="7"/>
  <c r="H28" i="7"/>
  <c r="H24" i="7"/>
  <c r="H20" i="7"/>
  <c r="H16" i="7"/>
  <c r="H12" i="7"/>
  <c r="H8" i="7"/>
  <c r="G30" i="7"/>
  <c r="G26" i="7"/>
  <c r="G22" i="7"/>
  <c r="G18" i="7"/>
  <c r="G14" i="7"/>
  <c r="G10" i="7"/>
  <c r="G6" i="7"/>
  <c r="F33" i="7"/>
  <c r="F29" i="7"/>
  <c r="F25" i="7"/>
  <c r="F21" i="7"/>
  <c r="F17" i="7"/>
  <c r="F13" i="7"/>
  <c r="F9" i="7"/>
  <c r="F5" i="7"/>
  <c r="E31" i="7"/>
  <c r="E27" i="7"/>
  <c r="E23" i="7"/>
  <c r="E19" i="7"/>
  <c r="E15" i="7"/>
  <c r="E11" i="7"/>
  <c r="E7" i="7"/>
  <c r="E14" i="7"/>
  <c r="L32" i="7"/>
  <c r="L28" i="7"/>
  <c r="L24" i="7"/>
  <c r="L20" i="7"/>
  <c r="L16" i="7"/>
  <c r="L12" i="7"/>
  <c r="L8" i="7"/>
  <c r="L4" i="7"/>
  <c r="K33" i="7"/>
  <c r="K29" i="7"/>
  <c r="K25" i="7"/>
  <c r="K21" i="7"/>
  <c r="K17" i="7"/>
  <c r="K13" i="7"/>
  <c r="K7" i="7"/>
  <c r="J33" i="7"/>
  <c r="J29" i="7"/>
  <c r="J25" i="7"/>
  <c r="J21" i="7"/>
  <c r="J17" i="7"/>
  <c r="J13" i="7"/>
  <c r="J9" i="7"/>
  <c r="J5" i="7"/>
  <c r="I32" i="7"/>
  <c r="I28" i="7"/>
  <c r="I24" i="7"/>
  <c r="I20" i="7"/>
  <c r="I16" i="7"/>
  <c r="I12" i="7"/>
  <c r="I8" i="7"/>
  <c r="I4" i="7"/>
  <c r="H31" i="7"/>
  <c r="H27" i="7"/>
  <c r="H23" i="7"/>
  <c r="H19" i="7"/>
  <c r="H15" i="7"/>
  <c r="H11" i="7"/>
  <c r="H7" i="7"/>
  <c r="G33" i="7"/>
  <c r="G29" i="7"/>
  <c r="G25" i="7"/>
  <c r="G21" i="7"/>
  <c r="G17" i="7"/>
  <c r="G13" i="7"/>
  <c r="G9" i="7"/>
  <c r="G5" i="7"/>
  <c r="F32" i="7"/>
  <c r="F28" i="7"/>
  <c r="F24" i="7"/>
  <c r="F20" i="7"/>
  <c r="F16" i="7"/>
  <c r="F12" i="7"/>
  <c r="F8" i="7"/>
  <c r="F4" i="7"/>
  <c r="E30" i="7"/>
  <c r="E26" i="7"/>
  <c r="E22" i="7"/>
  <c r="E18" i="7"/>
  <c r="E6" i="7"/>
  <c r="AM247" i="4"/>
  <c r="AH247" i="4"/>
  <c r="AG247" i="4"/>
  <c r="AE247" i="4"/>
  <c r="AD247" i="4"/>
  <c r="AA247" i="4"/>
  <c r="X247" i="4"/>
  <c r="U247" i="4"/>
  <c r="J247" i="4"/>
  <c r="K244" i="4"/>
  <c r="U244" i="4"/>
  <c r="X244" i="4"/>
  <c r="AA244" i="4"/>
  <c r="AB244" i="4"/>
  <c r="AD244" i="4"/>
  <c r="AE244" i="4"/>
  <c r="AG244" i="4"/>
  <c r="AH244" i="4"/>
  <c r="J245" i="4"/>
  <c r="K245" i="4"/>
  <c r="L245" i="4"/>
  <c r="U245" i="4"/>
  <c r="X245" i="4"/>
  <c r="AA245" i="4"/>
  <c r="AB245" i="4"/>
  <c r="AD245" i="4"/>
  <c r="AE245" i="4"/>
  <c r="AG245" i="4"/>
  <c r="AH245" i="4"/>
  <c r="J246" i="4"/>
  <c r="K246" i="4"/>
  <c r="L246" i="4"/>
  <c r="D18" i="14" l="1"/>
  <c r="D30" i="14" s="1"/>
  <c r="C30" i="14"/>
  <c r="D5" i="14"/>
  <c r="D17" i="14" s="1"/>
  <c r="C17" i="14"/>
  <c r="L247" i="4"/>
  <c r="AI247" i="4"/>
  <c r="AB247" i="4"/>
  <c r="J244" i="4"/>
  <c r="V247" i="4"/>
  <c r="K247" i="4"/>
  <c r="O245" i="4"/>
  <c r="Z245" i="4" s="1"/>
  <c r="V244" i="4"/>
  <c r="O247" i="4"/>
  <c r="Z247" i="4" s="1"/>
  <c r="O244" i="4"/>
  <c r="Z244" i="4" s="1"/>
  <c r="AI245" i="4"/>
  <c r="V245" i="4"/>
  <c r="AI244" i="4"/>
  <c r="L244" i="4"/>
  <c r="J224" i="3" l="1"/>
  <c r="AO225" i="3"/>
  <c r="AM225" i="3"/>
  <c r="AH225" i="3"/>
  <c r="AG225" i="3"/>
  <c r="AE225" i="3"/>
  <c r="AD225" i="3"/>
  <c r="AB225" i="3"/>
  <c r="AA225" i="3"/>
  <c r="X225" i="3"/>
  <c r="U225" i="3"/>
  <c r="AO224" i="3"/>
  <c r="AM224" i="3"/>
  <c r="AH224" i="3"/>
  <c r="AG224" i="3"/>
  <c r="AE224" i="3"/>
  <c r="AD224" i="3"/>
  <c r="AB224" i="3"/>
  <c r="AA224" i="3"/>
  <c r="X224" i="3"/>
  <c r="U224" i="3"/>
  <c r="AO223" i="3"/>
  <c r="AM223" i="3"/>
  <c r="AH223" i="3"/>
  <c r="AG223" i="3"/>
  <c r="AE223" i="3"/>
  <c r="AD223" i="3"/>
  <c r="AA223" i="3"/>
  <c r="X223" i="3"/>
  <c r="U223" i="3"/>
  <c r="AO222" i="3"/>
  <c r="AM222" i="3"/>
  <c r="AH222" i="3"/>
  <c r="AG222" i="3"/>
  <c r="AE222" i="3"/>
  <c r="AD222" i="3"/>
  <c r="AB222" i="3"/>
  <c r="AA222" i="3"/>
  <c r="X222" i="3"/>
  <c r="U222" i="3"/>
  <c r="AI222" i="3" l="1"/>
  <c r="AB223" i="3"/>
  <c r="V225" i="3"/>
  <c r="L225" i="3"/>
  <c r="AI225" i="3"/>
  <c r="O225" i="3"/>
  <c r="Z225" i="3" s="1"/>
  <c r="AK225" i="3" s="1"/>
  <c r="J225" i="3"/>
  <c r="K225" i="3"/>
  <c r="L224" i="3"/>
  <c r="V224" i="3"/>
  <c r="K224" i="3"/>
  <c r="O224" i="3"/>
  <c r="Z224" i="3" s="1"/>
  <c r="AK224" i="3" s="1"/>
  <c r="AI224" i="3"/>
  <c r="L223" i="3"/>
  <c r="AI223" i="3"/>
  <c r="J223" i="3"/>
  <c r="V223" i="3"/>
  <c r="O223" i="3"/>
  <c r="Z223" i="3" s="1"/>
  <c r="AK223" i="3" s="1"/>
  <c r="K223" i="3"/>
  <c r="K222" i="3"/>
  <c r="O222" i="3"/>
  <c r="Z222" i="3" s="1"/>
  <c r="AK222" i="3" s="1"/>
  <c r="V222" i="3"/>
  <c r="J222" i="3"/>
  <c r="L222" i="3"/>
  <c r="B3" i="3"/>
  <c r="BD169" i="3"/>
  <c r="BD168" i="3"/>
  <c r="BD167" i="3"/>
  <c r="BD166" i="3"/>
  <c r="BD165" i="3"/>
  <c r="BD164" i="3"/>
  <c r="BD163" i="3"/>
  <c r="BD162" i="3"/>
  <c r="BD161" i="3"/>
  <c r="BD157" i="3"/>
  <c r="BD156" i="3"/>
  <c r="BD155" i="3"/>
  <c r="BD154" i="3"/>
  <c r="BD149" i="3"/>
  <c r="BD148" i="3"/>
  <c r="BD147" i="3"/>
  <c r="BD146" i="3"/>
  <c r="BD145" i="3"/>
  <c r="BD141" i="3"/>
  <c r="BD140" i="3"/>
  <c r="BD139" i="3"/>
  <c r="BD130" i="3"/>
  <c r="BD129" i="3"/>
  <c r="A4" i="9" l="1"/>
  <c r="N41" i="12"/>
  <c r="O38" i="12"/>
  <c r="M38" i="12"/>
  <c r="M36" i="12"/>
  <c r="L36" i="12"/>
  <c r="M35" i="12"/>
  <c r="N35" i="12"/>
  <c r="L35" i="12"/>
  <c r="M34" i="12"/>
  <c r="I11" i="12" l="1"/>
  <c r="L41" i="12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H196" i="5" s="1"/>
  <c r="B197" i="5"/>
  <c r="H197" i="5" s="1"/>
  <c r="B198" i="5"/>
  <c r="H198" i="5" s="1"/>
  <c r="B199" i="5"/>
  <c r="H199" i="5" s="1"/>
  <c r="B200" i="5"/>
  <c r="H200" i="5" s="1"/>
  <c r="B201" i="5"/>
  <c r="H201" i="5" s="1"/>
  <c r="B202" i="5"/>
  <c r="H202" i="5" s="1"/>
  <c r="B203" i="5"/>
  <c r="H203" i="5" s="1"/>
  <c r="B204" i="5"/>
  <c r="H204" i="5" s="1"/>
  <c r="B205" i="5"/>
  <c r="H205" i="5" s="1"/>
  <c r="B206" i="5"/>
  <c r="H206" i="5" s="1"/>
  <c r="B207" i="5"/>
  <c r="H207" i="5" s="1"/>
  <c r="B208" i="5"/>
  <c r="H208" i="5" s="1"/>
  <c r="B209" i="5"/>
  <c r="H209" i="5" s="1"/>
  <c r="B210" i="5"/>
  <c r="H210" i="5" s="1"/>
  <c r="B211" i="5"/>
  <c r="H211" i="5" s="1"/>
  <c r="B212" i="5"/>
  <c r="H212" i="5" s="1"/>
  <c r="B213" i="5"/>
  <c r="H213" i="5" s="1"/>
  <c r="B214" i="5"/>
  <c r="H214" i="5" s="1"/>
  <c r="B215" i="5"/>
  <c r="H215" i="5" s="1"/>
  <c r="AO221" i="3" l="1"/>
  <c r="AM221" i="3"/>
  <c r="AH221" i="3"/>
  <c r="AI221" i="3" s="1"/>
  <c r="AG221" i="3"/>
  <c r="AE221" i="3"/>
  <c r="AD221" i="3"/>
  <c r="AB221" i="3"/>
  <c r="AA221" i="3"/>
  <c r="X221" i="3"/>
  <c r="U221" i="3"/>
  <c r="L221" i="3" l="1"/>
  <c r="J221" i="3"/>
  <c r="V221" i="3"/>
  <c r="K221" i="3"/>
  <c r="O221" i="3"/>
  <c r="Z221" i="3" s="1"/>
  <c r="AO220" i="3"/>
  <c r="AM220" i="3"/>
  <c r="AH220" i="3"/>
  <c r="AG220" i="3"/>
  <c r="AE220" i="3"/>
  <c r="AD220" i="3"/>
  <c r="AA220" i="3"/>
  <c r="X220" i="3"/>
  <c r="U220" i="3"/>
  <c r="J220" i="3"/>
  <c r="K220" i="3" l="1"/>
  <c r="AB220" i="3"/>
  <c r="V220" i="3"/>
  <c r="L220" i="3"/>
  <c r="AI220" i="3"/>
  <c r="O220" i="3"/>
  <c r="Z220" i="3" s="1"/>
  <c r="Q14" i="12"/>
  <c r="L243" i="4" l="1"/>
  <c r="L242" i="4"/>
  <c r="L241" i="4"/>
  <c r="L240" i="4"/>
  <c r="AH239" i="4"/>
  <c r="AG239" i="4"/>
  <c r="AE239" i="4"/>
  <c r="AD239" i="4"/>
  <c r="AB239" i="4"/>
  <c r="AA239" i="4"/>
  <c r="X239" i="4"/>
  <c r="U239" i="4"/>
  <c r="L196" i="5"/>
  <c r="M196" i="5" s="1"/>
  <c r="L197" i="5"/>
  <c r="M197" i="5" s="1"/>
  <c r="L198" i="5"/>
  <c r="M198" i="5" s="1"/>
  <c r="L199" i="5"/>
  <c r="M199" i="5" s="1"/>
  <c r="L200" i="5"/>
  <c r="M200" i="5" s="1"/>
  <c r="L201" i="5"/>
  <c r="M201" i="5" s="1"/>
  <c r="L202" i="5"/>
  <c r="M202" i="5" s="1"/>
  <c r="L203" i="5"/>
  <c r="M203" i="5" s="1"/>
  <c r="L204" i="5"/>
  <c r="M204" i="5" s="1"/>
  <c r="L205" i="5"/>
  <c r="M205" i="5" s="1"/>
  <c r="L206" i="5"/>
  <c r="M206" i="5" s="1"/>
  <c r="L207" i="5"/>
  <c r="M207" i="5" s="1"/>
  <c r="L208" i="5"/>
  <c r="M208" i="5" s="1"/>
  <c r="L209" i="5"/>
  <c r="M209" i="5" s="1"/>
  <c r="L210" i="5"/>
  <c r="M210" i="5" s="1"/>
  <c r="L211" i="5"/>
  <c r="M211" i="5" s="1"/>
  <c r="L212" i="5"/>
  <c r="M212" i="5" s="1"/>
  <c r="L213" i="5"/>
  <c r="M213" i="5" s="1"/>
  <c r="L214" i="5"/>
  <c r="M214" i="5" s="1"/>
  <c r="AM238" i="4"/>
  <c r="AH238" i="4"/>
  <c r="AI238" i="4" s="1"/>
  <c r="AG238" i="4"/>
  <c r="AE238" i="4"/>
  <c r="AD238" i="4"/>
  <c r="AB238" i="4"/>
  <c r="AA238" i="4"/>
  <c r="X238" i="4"/>
  <c r="U238" i="4"/>
  <c r="V239" i="4" l="1"/>
  <c r="K243" i="4"/>
  <c r="J243" i="4"/>
  <c r="J242" i="4"/>
  <c r="K242" i="4"/>
  <c r="L239" i="4"/>
  <c r="J240" i="4"/>
  <c r="J241" i="4"/>
  <c r="K240" i="4"/>
  <c r="K241" i="4"/>
  <c r="AI239" i="4"/>
  <c r="K239" i="4"/>
  <c r="O239" i="4"/>
  <c r="Z239" i="4" s="1"/>
  <c r="J239" i="4"/>
  <c r="K238" i="4"/>
  <c r="O238" i="4"/>
  <c r="Z238" i="4" s="1"/>
  <c r="V238" i="4"/>
  <c r="J238" i="4"/>
  <c r="L238" i="4"/>
  <c r="AM237" i="4"/>
  <c r="AH237" i="4"/>
  <c r="AG237" i="4"/>
  <c r="AE237" i="4"/>
  <c r="AD237" i="4"/>
  <c r="AB237" i="4"/>
  <c r="AA237" i="4"/>
  <c r="X237" i="4"/>
  <c r="U237" i="4"/>
  <c r="J237" i="4"/>
  <c r="AH236" i="4"/>
  <c r="AG236" i="4"/>
  <c r="AE236" i="4"/>
  <c r="AD236" i="4"/>
  <c r="AB236" i="4"/>
  <c r="AA236" i="4"/>
  <c r="X236" i="4"/>
  <c r="U236" i="4"/>
  <c r="J236" i="4"/>
  <c r="AH235" i="4"/>
  <c r="AG235" i="4"/>
  <c r="AE235" i="4"/>
  <c r="AD235" i="4"/>
  <c r="AB235" i="4"/>
  <c r="AA235" i="4"/>
  <c r="X235" i="4"/>
  <c r="U235" i="4"/>
  <c r="O235" i="4"/>
  <c r="Z235" i="4" s="1"/>
  <c r="AH234" i="4"/>
  <c r="AG234" i="4"/>
  <c r="AE234" i="4"/>
  <c r="AD234" i="4"/>
  <c r="AB234" i="4"/>
  <c r="AA234" i="4"/>
  <c r="X234" i="4"/>
  <c r="U234" i="4"/>
  <c r="AH233" i="4"/>
  <c r="AG233" i="4"/>
  <c r="AE233" i="4"/>
  <c r="AD233" i="4"/>
  <c r="AB233" i="4"/>
  <c r="AA233" i="4"/>
  <c r="X233" i="4"/>
  <c r="U233" i="4"/>
  <c r="K233" i="4"/>
  <c r="V234" i="4" l="1"/>
  <c r="L237" i="4"/>
  <c r="AI237" i="4"/>
  <c r="V237" i="4"/>
  <c r="K237" i="4"/>
  <c r="O237" i="4"/>
  <c r="Z237" i="4" s="1"/>
  <c r="L236" i="4"/>
  <c r="AI236" i="4"/>
  <c r="V235" i="4"/>
  <c r="AI234" i="4"/>
  <c r="J235" i="4"/>
  <c r="K235" i="4"/>
  <c r="V236" i="4"/>
  <c r="L235" i="4"/>
  <c r="AI235" i="4"/>
  <c r="K236" i="4"/>
  <c r="O236" i="4"/>
  <c r="Z236" i="4" s="1"/>
  <c r="L234" i="4"/>
  <c r="O234" i="4"/>
  <c r="Z234" i="4" s="1"/>
  <c r="L233" i="4"/>
  <c r="J234" i="4"/>
  <c r="K234" i="4"/>
  <c r="V233" i="4"/>
  <c r="AI233" i="4"/>
  <c r="O233" i="4"/>
  <c r="Z233" i="4" s="1"/>
  <c r="J233" i="4"/>
  <c r="AO219" i="3"/>
  <c r="AM219" i="3"/>
  <c r="AH219" i="3"/>
  <c r="AG219" i="3"/>
  <c r="AE219" i="3"/>
  <c r="AD219" i="3"/>
  <c r="AB219" i="3"/>
  <c r="AA219" i="3"/>
  <c r="X219" i="3"/>
  <c r="U219" i="3"/>
  <c r="AO218" i="3"/>
  <c r="AM218" i="3"/>
  <c r="AH218" i="3"/>
  <c r="AI218" i="3" s="1"/>
  <c r="AG218" i="3"/>
  <c r="AE218" i="3"/>
  <c r="AD218" i="3"/>
  <c r="AB218" i="3"/>
  <c r="AA218" i="3"/>
  <c r="X218" i="3"/>
  <c r="U218" i="3"/>
  <c r="AO217" i="3"/>
  <c r="AM217" i="3"/>
  <c r="AH217" i="3"/>
  <c r="AG217" i="3"/>
  <c r="AE217" i="3"/>
  <c r="AD217" i="3"/>
  <c r="AB217" i="3"/>
  <c r="AA217" i="3"/>
  <c r="X217" i="3"/>
  <c r="U217" i="3"/>
  <c r="J217" i="3"/>
  <c r="AO216" i="3"/>
  <c r="AM216" i="3"/>
  <c r="AH216" i="3"/>
  <c r="AG216" i="3"/>
  <c r="AE216" i="3"/>
  <c r="AD216" i="3"/>
  <c r="AB216" i="3"/>
  <c r="AA216" i="3"/>
  <c r="X216" i="3"/>
  <c r="U216" i="3"/>
  <c r="K216" i="3"/>
  <c r="AO215" i="3"/>
  <c r="AM215" i="3"/>
  <c r="AH215" i="3"/>
  <c r="AG215" i="3"/>
  <c r="AE215" i="3"/>
  <c r="AD215" i="3"/>
  <c r="AB215" i="3"/>
  <c r="AA215" i="3"/>
  <c r="X215" i="3"/>
  <c r="U215" i="3"/>
  <c r="AO214" i="3"/>
  <c r="AM214" i="3"/>
  <c r="AH214" i="3"/>
  <c r="AG214" i="3"/>
  <c r="AE214" i="3"/>
  <c r="AD214" i="3"/>
  <c r="AB214" i="3"/>
  <c r="AA214" i="3"/>
  <c r="X214" i="3"/>
  <c r="U214" i="3"/>
  <c r="K214" i="3"/>
  <c r="AO213" i="3"/>
  <c r="AM213" i="3"/>
  <c r="AH213" i="3"/>
  <c r="AG213" i="3"/>
  <c r="AE213" i="3"/>
  <c r="AD213" i="3"/>
  <c r="AB213" i="3"/>
  <c r="AA213" i="3"/>
  <c r="X213" i="3"/>
  <c r="U213" i="3"/>
  <c r="V213" i="3" s="1"/>
  <c r="AO212" i="3"/>
  <c r="AM212" i="3"/>
  <c r="AH212" i="3"/>
  <c r="AG212" i="3"/>
  <c r="AE212" i="3"/>
  <c r="AD212" i="3"/>
  <c r="AB212" i="3"/>
  <c r="AA212" i="3"/>
  <c r="X212" i="3"/>
  <c r="U212" i="3"/>
  <c r="J212" i="3"/>
  <c r="V219" i="3" l="1"/>
  <c r="V215" i="3"/>
  <c r="L219" i="3"/>
  <c r="AI219" i="3"/>
  <c r="O219" i="3"/>
  <c r="Z219" i="3" s="1"/>
  <c r="J219" i="3"/>
  <c r="K219" i="3"/>
  <c r="V218" i="3"/>
  <c r="O218" i="3"/>
  <c r="Z218" i="3" s="1"/>
  <c r="J218" i="3"/>
  <c r="K218" i="3"/>
  <c r="L218" i="3"/>
  <c r="L217" i="3"/>
  <c r="AI217" i="3"/>
  <c r="V217" i="3"/>
  <c r="K217" i="3"/>
  <c r="O217" i="3"/>
  <c r="Z217" i="3" s="1"/>
  <c r="L216" i="3"/>
  <c r="V216" i="3"/>
  <c r="AI216" i="3"/>
  <c r="L215" i="3"/>
  <c r="J216" i="3"/>
  <c r="O216" i="3"/>
  <c r="Z216" i="3" s="1"/>
  <c r="AI215" i="3"/>
  <c r="L214" i="3"/>
  <c r="O215" i="3"/>
  <c r="Z215" i="3" s="1"/>
  <c r="V214" i="3"/>
  <c r="AI214" i="3"/>
  <c r="J215" i="3"/>
  <c r="K215" i="3"/>
  <c r="J214" i="3"/>
  <c r="O214" i="3"/>
  <c r="Z214" i="3" s="1"/>
  <c r="L213" i="3"/>
  <c r="AI213" i="3"/>
  <c r="K212" i="3"/>
  <c r="O213" i="3"/>
  <c r="Z213" i="3" s="1"/>
  <c r="AI212" i="3"/>
  <c r="J213" i="3"/>
  <c r="L212" i="3"/>
  <c r="K213" i="3"/>
  <c r="V212" i="3"/>
  <c r="O212" i="3"/>
  <c r="Z212" i="3" s="1"/>
  <c r="AH232" i="4"/>
  <c r="AG232" i="4"/>
  <c r="AE232" i="4"/>
  <c r="AD232" i="4"/>
  <c r="AB232" i="4"/>
  <c r="AA232" i="4"/>
  <c r="X232" i="4"/>
  <c r="U232" i="4"/>
  <c r="AI232" i="4"/>
  <c r="AH231" i="4"/>
  <c r="AG231" i="4"/>
  <c r="AE231" i="4"/>
  <c r="AD231" i="4"/>
  <c r="AB231" i="4"/>
  <c r="AA231" i="4"/>
  <c r="X231" i="4"/>
  <c r="U231" i="4"/>
  <c r="AH230" i="4"/>
  <c r="AG230" i="4"/>
  <c r="AE230" i="4"/>
  <c r="AD230" i="4"/>
  <c r="AB230" i="4"/>
  <c r="AA230" i="4"/>
  <c r="X230" i="4"/>
  <c r="U230" i="4"/>
  <c r="AI230" i="4"/>
  <c r="AH229" i="4"/>
  <c r="AG229" i="4"/>
  <c r="AE229" i="4"/>
  <c r="AD229" i="4"/>
  <c r="AB229" i="4"/>
  <c r="AA229" i="4"/>
  <c r="X229" i="4"/>
  <c r="U229" i="4"/>
  <c r="AI229" i="4"/>
  <c r="AH228" i="4"/>
  <c r="AG228" i="4"/>
  <c r="AE228" i="4"/>
  <c r="AD228" i="4"/>
  <c r="AB228" i="4"/>
  <c r="AA228" i="4"/>
  <c r="X228" i="4"/>
  <c r="U228" i="4"/>
  <c r="AM227" i="4"/>
  <c r="AH227" i="4"/>
  <c r="AG227" i="4"/>
  <c r="AE227" i="4"/>
  <c r="AD227" i="4"/>
  <c r="AB227" i="4"/>
  <c r="AA227" i="4"/>
  <c r="X227" i="4"/>
  <c r="U227" i="4"/>
  <c r="AI227" i="4"/>
  <c r="AH226" i="4"/>
  <c r="AI226" i="4" s="1"/>
  <c r="AG226" i="4"/>
  <c r="AE226" i="4"/>
  <c r="AD226" i="4"/>
  <c r="AB226" i="4"/>
  <c r="AA226" i="4"/>
  <c r="X226" i="4"/>
  <c r="U226" i="4"/>
  <c r="AH225" i="4"/>
  <c r="AI225" i="4" s="1"/>
  <c r="AG225" i="4"/>
  <c r="AE225" i="4"/>
  <c r="AD225" i="4"/>
  <c r="AB225" i="4"/>
  <c r="AA225" i="4"/>
  <c r="X225" i="4"/>
  <c r="U225" i="4"/>
  <c r="AH224" i="4"/>
  <c r="AG224" i="4"/>
  <c r="AE224" i="4"/>
  <c r="AD224" i="4"/>
  <c r="AB224" i="4"/>
  <c r="AA224" i="4"/>
  <c r="X224" i="4"/>
  <c r="U224" i="4"/>
  <c r="AI231" i="4" l="1"/>
  <c r="AI228" i="4"/>
  <c r="K232" i="4"/>
  <c r="O232" i="4"/>
  <c r="Z232" i="4" s="1"/>
  <c r="V232" i="4"/>
  <c r="J232" i="4"/>
  <c r="L232" i="4"/>
  <c r="K231" i="4"/>
  <c r="O231" i="4"/>
  <c r="Z231" i="4" s="1"/>
  <c r="V231" i="4"/>
  <c r="J231" i="4"/>
  <c r="L231" i="4"/>
  <c r="K230" i="4"/>
  <c r="O230" i="4"/>
  <c r="Z230" i="4" s="1"/>
  <c r="V230" i="4"/>
  <c r="J230" i="4"/>
  <c r="L230" i="4"/>
  <c r="K229" i="4"/>
  <c r="O229" i="4"/>
  <c r="Z229" i="4" s="1"/>
  <c r="V229" i="4"/>
  <c r="J229" i="4"/>
  <c r="L229" i="4"/>
  <c r="K228" i="4"/>
  <c r="O228" i="4"/>
  <c r="Z228" i="4" s="1"/>
  <c r="V228" i="4"/>
  <c r="J228" i="4"/>
  <c r="L228" i="4"/>
  <c r="K227" i="4"/>
  <c r="O227" i="4"/>
  <c r="Z227" i="4" s="1"/>
  <c r="V227" i="4"/>
  <c r="J227" i="4"/>
  <c r="L227" i="4"/>
  <c r="AI224" i="4"/>
  <c r="K226" i="4"/>
  <c r="O226" i="4"/>
  <c r="Z226" i="4" s="1"/>
  <c r="V226" i="4"/>
  <c r="J226" i="4"/>
  <c r="L226" i="4"/>
  <c r="V225" i="4"/>
  <c r="K225" i="4"/>
  <c r="O225" i="4"/>
  <c r="Z225" i="4" s="1"/>
  <c r="J225" i="4"/>
  <c r="L225" i="4"/>
  <c r="V224" i="4"/>
  <c r="K224" i="4"/>
  <c r="O224" i="4"/>
  <c r="Z224" i="4" s="1"/>
  <c r="J224" i="4"/>
  <c r="L224" i="4"/>
  <c r="AH223" i="4" l="1"/>
  <c r="AG223" i="4"/>
  <c r="AE223" i="4"/>
  <c r="AD223" i="4"/>
  <c r="AB223" i="4"/>
  <c r="AA223" i="4"/>
  <c r="X223" i="4"/>
  <c r="U223" i="4"/>
  <c r="K223" i="4"/>
  <c r="AH222" i="4"/>
  <c r="AG222" i="4"/>
  <c r="AE222" i="4"/>
  <c r="AD222" i="4"/>
  <c r="AB222" i="4"/>
  <c r="AA222" i="4"/>
  <c r="X222" i="4"/>
  <c r="U222" i="4"/>
  <c r="AM221" i="4"/>
  <c r="AH221" i="4"/>
  <c r="AG221" i="4"/>
  <c r="AE221" i="4"/>
  <c r="AD221" i="4"/>
  <c r="AB221" i="4"/>
  <c r="AA221" i="4"/>
  <c r="X221" i="4"/>
  <c r="U221" i="4"/>
  <c r="AI221" i="4" l="1"/>
  <c r="V222" i="4"/>
  <c r="L223" i="4"/>
  <c r="V223" i="4"/>
  <c r="AI223" i="4"/>
  <c r="J223" i="4"/>
  <c r="O223" i="4"/>
  <c r="Z223" i="4" s="1"/>
  <c r="L222" i="4"/>
  <c r="AI222" i="4"/>
  <c r="J222" i="4"/>
  <c r="O222" i="4"/>
  <c r="Z222" i="4" s="1"/>
  <c r="K222" i="4"/>
  <c r="L221" i="4"/>
  <c r="J221" i="4"/>
  <c r="V221" i="4"/>
  <c r="K221" i="4"/>
  <c r="O221" i="4"/>
  <c r="Z221" i="4" s="1"/>
  <c r="AH211" i="3"/>
  <c r="AG211" i="3"/>
  <c r="AE211" i="3"/>
  <c r="AD211" i="3"/>
  <c r="AB211" i="3"/>
  <c r="AA211" i="3"/>
  <c r="U211" i="3"/>
  <c r="O211" i="3"/>
  <c r="Z211" i="3" s="1"/>
  <c r="AH210" i="3"/>
  <c r="AG210" i="3"/>
  <c r="AE210" i="3"/>
  <c r="AD210" i="3"/>
  <c r="AB210" i="3"/>
  <c r="AA210" i="3"/>
  <c r="U210" i="3"/>
  <c r="O210" i="3"/>
  <c r="Z210" i="3" s="1"/>
  <c r="AH220" i="4"/>
  <c r="AG220" i="4"/>
  <c r="AE220" i="4"/>
  <c r="AD220" i="4"/>
  <c r="AB220" i="4"/>
  <c r="AA220" i="4"/>
  <c r="X220" i="4"/>
  <c r="U220" i="4"/>
  <c r="AI220" i="4"/>
  <c r="AH219" i="4"/>
  <c r="AI219" i="4" s="1"/>
  <c r="AG219" i="4"/>
  <c r="AE219" i="4"/>
  <c r="AD219" i="4"/>
  <c r="AB219" i="4"/>
  <c r="AA219" i="4"/>
  <c r="X219" i="4"/>
  <c r="U219" i="4"/>
  <c r="AH218" i="4"/>
  <c r="AG218" i="4"/>
  <c r="AE218" i="4"/>
  <c r="AD218" i="4"/>
  <c r="AB218" i="4"/>
  <c r="AA218" i="4"/>
  <c r="X218" i="4"/>
  <c r="U218" i="4"/>
  <c r="AI218" i="4"/>
  <c r="AH217" i="4"/>
  <c r="AI217" i="4" s="1"/>
  <c r="AG217" i="4"/>
  <c r="AE217" i="4"/>
  <c r="AD217" i="4"/>
  <c r="AB217" i="4"/>
  <c r="AA217" i="4"/>
  <c r="X217" i="4"/>
  <c r="U217" i="4"/>
  <c r="AH216" i="4"/>
  <c r="AG216" i="4"/>
  <c r="AE216" i="4"/>
  <c r="AD216" i="4"/>
  <c r="AB216" i="4"/>
  <c r="AA216" i="4"/>
  <c r="X216" i="4"/>
  <c r="U216" i="4"/>
  <c r="AI216" i="4"/>
  <c r="S25" i="12" l="1"/>
  <c r="L211" i="3"/>
  <c r="V211" i="3"/>
  <c r="AI211" i="3"/>
  <c r="K210" i="3"/>
  <c r="J211" i="3"/>
  <c r="K211" i="3"/>
  <c r="L210" i="3"/>
  <c r="V210" i="3"/>
  <c r="J210" i="3"/>
  <c r="AI210" i="3"/>
  <c r="K220" i="4"/>
  <c r="O220" i="4"/>
  <c r="Z220" i="4" s="1"/>
  <c r="V220" i="4"/>
  <c r="J220" i="4"/>
  <c r="L220" i="4"/>
  <c r="V219" i="4"/>
  <c r="K219" i="4"/>
  <c r="O219" i="4"/>
  <c r="Z219" i="4" s="1"/>
  <c r="J219" i="4"/>
  <c r="L219" i="4"/>
  <c r="V218" i="4"/>
  <c r="K218" i="4"/>
  <c r="O218" i="4"/>
  <c r="Z218" i="4" s="1"/>
  <c r="J218" i="4"/>
  <c r="L218" i="4"/>
  <c r="K217" i="4"/>
  <c r="O217" i="4"/>
  <c r="Z217" i="4" s="1"/>
  <c r="V217" i="4"/>
  <c r="J217" i="4"/>
  <c r="L217" i="4"/>
  <c r="K216" i="4"/>
  <c r="O216" i="4"/>
  <c r="Z216" i="4" s="1"/>
  <c r="V216" i="4"/>
  <c r="J216" i="4"/>
  <c r="L216" i="4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S42" i="12"/>
  <c r="T25" i="12"/>
  <c r="T23" i="12"/>
  <c r="T22" i="12"/>
  <c r="T21" i="12"/>
  <c r="L34" i="12"/>
  <c r="K38" i="12"/>
  <c r="K36" i="12"/>
  <c r="K35" i="12"/>
  <c r="K34" i="12"/>
  <c r="J41" i="12"/>
  <c r="J36" i="12"/>
  <c r="J35" i="12"/>
  <c r="J34" i="12"/>
  <c r="I38" i="12"/>
  <c r="I36" i="12"/>
  <c r="I35" i="12"/>
  <c r="I34" i="12"/>
  <c r="H36" i="12"/>
  <c r="H35" i="12"/>
  <c r="H34" i="12"/>
  <c r="G38" i="12"/>
  <c r="G36" i="12"/>
  <c r="G35" i="12"/>
  <c r="G34" i="12"/>
  <c r="E36" i="12"/>
  <c r="E35" i="12"/>
  <c r="E34" i="12"/>
  <c r="A15" i="9"/>
  <c r="T29" i="12" l="1"/>
  <c r="H15" i="11"/>
  <c r="H14" i="11"/>
  <c r="J14" i="11" s="1"/>
  <c r="K42" i="12"/>
  <c r="M42" i="12"/>
  <c r="I42" i="12"/>
  <c r="L42" i="12"/>
  <c r="H41" i="12"/>
  <c r="H42" i="12" s="1"/>
  <c r="E41" i="12"/>
  <c r="J42" i="12"/>
  <c r="G42" i="12"/>
  <c r="R25" i="12"/>
  <c r="R23" i="12"/>
  <c r="R22" i="12"/>
  <c r="R21" i="12"/>
  <c r="O25" i="12"/>
  <c r="O23" i="12"/>
  <c r="O22" i="12"/>
  <c r="O21" i="12"/>
  <c r="R29" i="12" l="1"/>
  <c r="O29" i="12"/>
  <c r="J15" i="11"/>
  <c r="K25" i="12"/>
  <c r="K23" i="12"/>
  <c r="K22" i="12"/>
  <c r="K21" i="12"/>
  <c r="AH215" i="4"/>
  <c r="AG215" i="4"/>
  <c r="AE215" i="4"/>
  <c r="AD215" i="4"/>
  <c r="AB215" i="4"/>
  <c r="AA215" i="4"/>
  <c r="X215" i="4"/>
  <c r="U215" i="4"/>
  <c r="AH214" i="4"/>
  <c r="AG214" i="4"/>
  <c r="AE214" i="4"/>
  <c r="AD214" i="4"/>
  <c r="AB214" i="4"/>
  <c r="AA214" i="4"/>
  <c r="X214" i="4"/>
  <c r="U214" i="4"/>
  <c r="AI214" i="4"/>
  <c r="J209" i="3"/>
  <c r="U209" i="3"/>
  <c r="X209" i="3"/>
  <c r="AA209" i="3"/>
  <c r="AB209" i="3"/>
  <c r="AD209" i="3"/>
  <c r="AE209" i="3"/>
  <c r="AG209" i="3"/>
  <c r="AH209" i="3"/>
  <c r="AH208" i="3"/>
  <c r="AI208" i="3" s="1"/>
  <c r="AG208" i="3"/>
  <c r="AE208" i="3"/>
  <c r="AD208" i="3"/>
  <c r="AB208" i="3"/>
  <c r="AA208" i="3"/>
  <c r="X208" i="3"/>
  <c r="U208" i="3"/>
  <c r="J207" i="3"/>
  <c r="U207" i="3"/>
  <c r="X207" i="3"/>
  <c r="AA207" i="3"/>
  <c r="AD207" i="3"/>
  <c r="AE207" i="3"/>
  <c r="AG207" i="3"/>
  <c r="AH207" i="3"/>
  <c r="K29" i="12" l="1"/>
  <c r="AI215" i="4"/>
  <c r="V215" i="4"/>
  <c r="K215" i="4"/>
  <c r="O215" i="4"/>
  <c r="Z215" i="4" s="1"/>
  <c r="J215" i="4"/>
  <c r="L215" i="4"/>
  <c r="K214" i="4"/>
  <c r="O214" i="4"/>
  <c r="Z214" i="4" s="1"/>
  <c r="V214" i="4"/>
  <c r="J214" i="4"/>
  <c r="L214" i="4"/>
  <c r="AB207" i="3"/>
  <c r="AI207" i="3"/>
  <c r="AI209" i="3"/>
  <c r="V209" i="3"/>
  <c r="O209" i="3"/>
  <c r="Z209" i="3" s="1"/>
  <c r="K209" i="3"/>
  <c r="L209" i="3"/>
  <c r="O207" i="3"/>
  <c r="Z207" i="3" s="1"/>
  <c r="K207" i="3"/>
  <c r="K208" i="3"/>
  <c r="O208" i="3"/>
  <c r="Z208" i="3" s="1"/>
  <c r="V208" i="3"/>
  <c r="J208" i="3"/>
  <c r="L208" i="3"/>
  <c r="V207" i="3"/>
  <c r="L207" i="3"/>
  <c r="AH206" i="3"/>
  <c r="AG206" i="3"/>
  <c r="AE206" i="3"/>
  <c r="AD206" i="3"/>
  <c r="AB206" i="3"/>
  <c r="AA206" i="3"/>
  <c r="U206" i="3"/>
  <c r="J206" i="3"/>
  <c r="AH205" i="3"/>
  <c r="AG205" i="3"/>
  <c r="AE205" i="3"/>
  <c r="AD205" i="3"/>
  <c r="AB205" i="3"/>
  <c r="AA205" i="3"/>
  <c r="U205" i="3"/>
  <c r="K205" i="3"/>
  <c r="J213" i="4"/>
  <c r="U213" i="4"/>
  <c r="X213" i="4"/>
  <c r="Z213" i="4"/>
  <c r="AA213" i="4"/>
  <c r="AB213" i="4"/>
  <c r="AD213" i="4"/>
  <c r="AE213" i="4"/>
  <c r="AG213" i="4"/>
  <c r="AH213" i="4"/>
  <c r="AH212" i="4"/>
  <c r="AG212" i="4"/>
  <c r="AE212" i="4"/>
  <c r="AD212" i="4"/>
  <c r="AB212" i="4"/>
  <c r="AA212" i="4"/>
  <c r="Z212" i="4"/>
  <c r="X212" i="4"/>
  <c r="U212" i="4"/>
  <c r="J212" i="4"/>
  <c r="AH211" i="4"/>
  <c r="AG211" i="4"/>
  <c r="AE211" i="4"/>
  <c r="AD211" i="4"/>
  <c r="AB211" i="4"/>
  <c r="AA211" i="4"/>
  <c r="Z211" i="4"/>
  <c r="X211" i="4"/>
  <c r="U211" i="4"/>
  <c r="L211" i="4"/>
  <c r="AH210" i="4"/>
  <c r="AI210" i="4" s="1"/>
  <c r="AG210" i="4"/>
  <c r="AE210" i="4"/>
  <c r="AD210" i="4"/>
  <c r="AB210" i="4"/>
  <c r="AA210" i="4"/>
  <c r="X210" i="4"/>
  <c r="U210" i="4"/>
  <c r="AH209" i="4"/>
  <c r="AG209" i="4"/>
  <c r="AE209" i="4"/>
  <c r="AD209" i="4"/>
  <c r="AB209" i="4"/>
  <c r="AA209" i="4"/>
  <c r="X209" i="4"/>
  <c r="U209" i="4"/>
  <c r="K209" i="4"/>
  <c r="AH204" i="3"/>
  <c r="AG204" i="3"/>
  <c r="AE204" i="3"/>
  <c r="AD204" i="3"/>
  <c r="AB204" i="3"/>
  <c r="AA204" i="3"/>
  <c r="X204" i="3"/>
  <c r="U204" i="3"/>
  <c r="J204" i="3"/>
  <c r="AH203" i="3"/>
  <c r="AG203" i="3"/>
  <c r="AE203" i="3"/>
  <c r="AD203" i="3"/>
  <c r="AB203" i="3"/>
  <c r="AA203" i="3"/>
  <c r="U203" i="3"/>
  <c r="O203" i="3"/>
  <c r="Z203" i="3" s="1"/>
  <c r="P43" i="12"/>
  <c r="N43" i="12"/>
  <c r="L43" i="12"/>
  <c r="J43" i="12"/>
  <c r="H43" i="12"/>
  <c r="K208" i="4"/>
  <c r="AH207" i="4"/>
  <c r="AG207" i="4"/>
  <c r="AE207" i="4"/>
  <c r="AD207" i="4"/>
  <c r="AB207" i="4"/>
  <c r="AA207" i="4"/>
  <c r="X207" i="4"/>
  <c r="U207" i="4"/>
  <c r="AI207" i="4" l="1"/>
  <c r="K206" i="3"/>
  <c r="V206" i="3"/>
  <c r="L206" i="3"/>
  <c r="AI206" i="3"/>
  <c r="O206" i="3"/>
  <c r="Z206" i="3" s="1"/>
  <c r="L205" i="3"/>
  <c r="V205" i="3"/>
  <c r="AI205" i="3"/>
  <c r="J205" i="3"/>
  <c r="O205" i="3"/>
  <c r="Z205" i="3" s="1"/>
  <c r="AI213" i="4"/>
  <c r="V213" i="4"/>
  <c r="L213" i="4"/>
  <c r="K213" i="4"/>
  <c r="V212" i="4"/>
  <c r="AI212" i="4"/>
  <c r="K212" i="4"/>
  <c r="L212" i="4"/>
  <c r="V211" i="4"/>
  <c r="AI211" i="4"/>
  <c r="J211" i="4"/>
  <c r="V210" i="4"/>
  <c r="K211" i="4"/>
  <c r="L209" i="4"/>
  <c r="K210" i="4"/>
  <c r="O210" i="4"/>
  <c r="Z210" i="4" s="1"/>
  <c r="J210" i="4"/>
  <c r="L210" i="4"/>
  <c r="V209" i="4"/>
  <c r="AI209" i="4"/>
  <c r="O209" i="4"/>
  <c r="Z209" i="4" s="1"/>
  <c r="J209" i="4"/>
  <c r="G25" i="12"/>
  <c r="V204" i="3"/>
  <c r="AI204" i="3"/>
  <c r="K204" i="3"/>
  <c r="L204" i="3"/>
  <c r="O204" i="3"/>
  <c r="Z204" i="3" s="1"/>
  <c r="K203" i="3"/>
  <c r="L203" i="3"/>
  <c r="AI203" i="3"/>
  <c r="J203" i="3"/>
  <c r="V203" i="3"/>
  <c r="J208" i="4"/>
  <c r="L208" i="4"/>
  <c r="V207" i="4"/>
  <c r="K207" i="4"/>
  <c r="O207" i="4"/>
  <c r="Z207" i="4" s="1"/>
  <c r="J207" i="4"/>
  <c r="L207" i="4"/>
  <c r="E21" i="12" l="1"/>
  <c r="G23" i="12"/>
  <c r="G21" i="12"/>
  <c r="G22" i="12"/>
  <c r="AF206" i="4"/>
  <c r="AE206" i="4"/>
  <c r="AC206" i="4"/>
  <c r="AB206" i="4"/>
  <c r="Z206" i="4"/>
  <c r="Y206" i="4"/>
  <c r="V206" i="4"/>
  <c r="S206" i="4"/>
  <c r="AF205" i="4"/>
  <c r="AE205" i="4"/>
  <c r="AC205" i="4"/>
  <c r="AB205" i="4"/>
  <c r="Z205" i="4"/>
  <c r="Y205" i="4"/>
  <c r="V205" i="4"/>
  <c r="S205" i="4"/>
  <c r="M205" i="4"/>
  <c r="X205" i="4" s="1"/>
  <c r="AI205" i="4" s="1"/>
  <c r="I25" i="12"/>
  <c r="G29" i="12" l="1"/>
  <c r="I23" i="12"/>
  <c r="I21" i="12"/>
  <c r="I22" i="12"/>
  <c r="T206" i="4"/>
  <c r="J206" i="4"/>
  <c r="AG206" i="4"/>
  <c r="M206" i="4"/>
  <c r="X206" i="4" s="1"/>
  <c r="AI206" i="4" s="1"/>
  <c r="T205" i="4"/>
  <c r="J205" i="4"/>
  <c r="AG205" i="4"/>
  <c r="O8" i="12"/>
  <c r="O7" i="12"/>
  <c r="O6" i="12"/>
  <c r="L6" i="12"/>
  <c r="L9" i="12"/>
  <c r="L8" i="12"/>
  <c r="L7" i="12"/>
  <c r="I29" i="12" l="1"/>
  <c r="P9" i="12"/>
  <c r="P6" i="12"/>
  <c r="P8" i="12"/>
  <c r="P7" i="12"/>
  <c r="E22" i="12" l="1"/>
  <c r="E23" i="12"/>
  <c r="K5" i="12"/>
  <c r="M7" i="12" s="1"/>
  <c r="F5" i="12"/>
  <c r="J6" i="12" s="1"/>
  <c r="J204" i="4"/>
  <c r="A14" i="12" l="1"/>
  <c r="A10" i="9" s="1"/>
  <c r="K10" i="9" s="1"/>
  <c r="M9" i="12"/>
  <c r="M6" i="12"/>
  <c r="M8" i="12"/>
  <c r="J8" i="12"/>
  <c r="J7" i="12"/>
  <c r="J9" i="12"/>
  <c r="E8" i="12"/>
  <c r="E6" i="12"/>
  <c r="A16" i="12" l="1"/>
  <c r="DA1" i="1"/>
  <c r="E42" i="12"/>
  <c r="E43" i="12" s="1"/>
  <c r="U41" i="12"/>
  <c r="L28" i="12"/>
  <c r="N28" i="12"/>
  <c r="P28" i="12"/>
  <c r="S28" i="12"/>
  <c r="J28" i="12"/>
  <c r="E28" i="12"/>
  <c r="E29" i="12" s="1"/>
  <c r="H28" i="12"/>
  <c r="T38" i="12"/>
  <c r="E9" i="12"/>
  <c r="E7" i="12"/>
  <c r="AH202" i="3"/>
  <c r="AG202" i="3"/>
  <c r="AE202" i="3"/>
  <c r="AD202" i="3"/>
  <c r="AB202" i="3"/>
  <c r="AA202" i="3"/>
  <c r="X202" i="3"/>
  <c r="U202" i="3"/>
  <c r="O202" i="3"/>
  <c r="Z202" i="3" s="1"/>
  <c r="AH201" i="3"/>
  <c r="AI201" i="3" s="1"/>
  <c r="AG201" i="3"/>
  <c r="AE201" i="3"/>
  <c r="AD201" i="3"/>
  <c r="AB201" i="3"/>
  <c r="AA201" i="3"/>
  <c r="X201" i="3"/>
  <c r="U201" i="3"/>
  <c r="AF203" i="4"/>
  <c r="AE203" i="4"/>
  <c r="AC203" i="4"/>
  <c r="AB203" i="4"/>
  <c r="Z203" i="4"/>
  <c r="Y203" i="4"/>
  <c r="X203" i="4"/>
  <c r="AI203" i="4" s="1"/>
  <c r="V203" i="4"/>
  <c r="S203" i="4"/>
  <c r="AF202" i="4"/>
  <c r="AE202" i="4"/>
  <c r="AC202" i="4"/>
  <c r="AB202" i="4"/>
  <c r="Z202" i="4"/>
  <c r="Y202" i="4"/>
  <c r="X202" i="4"/>
  <c r="AI202" i="4" s="1"/>
  <c r="V202" i="4"/>
  <c r="S202" i="4"/>
  <c r="AF201" i="4"/>
  <c r="AE201" i="4"/>
  <c r="AC201" i="4"/>
  <c r="AB201" i="4"/>
  <c r="Z201" i="4"/>
  <c r="Y201" i="4"/>
  <c r="X201" i="4"/>
  <c r="AI201" i="4" s="1"/>
  <c r="V201" i="4"/>
  <c r="S201" i="4"/>
  <c r="AF200" i="4"/>
  <c r="AE200" i="4"/>
  <c r="AC200" i="4"/>
  <c r="AB200" i="4"/>
  <c r="Z200" i="4"/>
  <c r="Y200" i="4"/>
  <c r="X200" i="4"/>
  <c r="AI200" i="4" s="1"/>
  <c r="V200" i="4"/>
  <c r="S200" i="4"/>
  <c r="AF199" i="4"/>
  <c r="AE199" i="4"/>
  <c r="AC199" i="4"/>
  <c r="AB199" i="4"/>
  <c r="Z199" i="4"/>
  <c r="Y199" i="4"/>
  <c r="X199" i="4"/>
  <c r="AI199" i="4" s="1"/>
  <c r="V199" i="4"/>
  <c r="S199" i="4"/>
  <c r="AF198" i="4"/>
  <c r="AE198" i="4"/>
  <c r="AC198" i="4"/>
  <c r="AB198" i="4"/>
  <c r="Z198" i="4"/>
  <c r="Y198" i="4"/>
  <c r="X198" i="4"/>
  <c r="AI198" i="4" s="1"/>
  <c r="V198" i="4"/>
  <c r="S198" i="4"/>
  <c r="J197" i="4"/>
  <c r="AF196" i="4"/>
  <c r="AE196" i="4"/>
  <c r="AC196" i="4"/>
  <c r="AB196" i="4"/>
  <c r="Z196" i="4"/>
  <c r="Y196" i="4"/>
  <c r="V196" i="4"/>
  <c r="S196" i="4"/>
  <c r="AG196" i="4"/>
  <c r="CO1" i="1" l="1"/>
  <c r="T36" i="12"/>
  <c r="T37" i="12"/>
  <c r="T34" i="12"/>
  <c r="T35" i="12"/>
  <c r="J21" i="12"/>
  <c r="L23" i="12"/>
  <c r="L21" i="12"/>
  <c r="L22" i="12"/>
  <c r="S23" i="12"/>
  <c r="S22" i="12"/>
  <c r="S21" i="12"/>
  <c r="P23" i="12"/>
  <c r="P22" i="12"/>
  <c r="P21" i="12"/>
  <c r="N23" i="12"/>
  <c r="N22" i="12"/>
  <c r="N21" i="12"/>
  <c r="M25" i="12"/>
  <c r="U25" i="12" s="1"/>
  <c r="M23" i="12"/>
  <c r="M21" i="12"/>
  <c r="M22" i="12"/>
  <c r="J23" i="12"/>
  <c r="J22" i="12"/>
  <c r="H23" i="12"/>
  <c r="H22" i="12"/>
  <c r="H21" i="12"/>
  <c r="U28" i="12"/>
  <c r="J10" i="12"/>
  <c r="AG198" i="4"/>
  <c r="O10" i="12"/>
  <c r="O11" i="12"/>
  <c r="P11" i="12" s="1"/>
  <c r="L10" i="12"/>
  <c r="AG199" i="4"/>
  <c r="AG201" i="4"/>
  <c r="AG202" i="4"/>
  <c r="AG203" i="4"/>
  <c r="AG200" i="4"/>
  <c r="V202" i="3"/>
  <c r="J202" i="3"/>
  <c r="AI202" i="3"/>
  <c r="O201" i="3"/>
  <c r="Z201" i="3" s="1"/>
  <c r="AK201" i="3" s="1"/>
  <c r="V201" i="3"/>
  <c r="J201" i="3"/>
  <c r="T202" i="4"/>
  <c r="T203" i="4"/>
  <c r="J203" i="4"/>
  <c r="T201" i="4"/>
  <c r="J202" i="4"/>
  <c r="J201" i="4"/>
  <c r="J199" i="4"/>
  <c r="T199" i="4"/>
  <c r="J200" i="4"/>
  <c r="T200" i="4"/>
  <c r="T198" i="4"/>
  <c r="J198" i="4"/>
  <c r="M196" i="4"/>
  <c r="X196" i="4" s="1"/>
  <c r="AI196" i="4" s="1"/>
  <c r="T196" i="4"/>
  <c r="J196" i="4"/>
  <c r="AH200" i="3"/>
  <c r="AG200" i="3"/>
  <c r="AE200" i="3"/>
  <c r="AD200" i="3"/>
  <c r="AB200" i="3"/>
  <c r="AA200" i="3"/>
  <c r="X200" i="3"/>
  <c r="U200" i="3"/>
  <c r="AI200" i="3"/>
  <c r="AG199" i="3"/>
  <c r="AE199" i="3"/>
  <c r="AD199" i="3"/>
  <c r="AB199" i="3"/>
  <c r="AA199" i="3"/>
  <c r="X199" i="3"/>
  <c r="U199" i="3"/>
  <c r="AI199" i="3"/>
  <c r="AH198" i="3"/>
  <c r="AG198" i="3"/>
  <c r="AE198" i="3"/>
  <c r="AD198" i="3"/>
  <c r="AB198" i="3"/>
  <c r="AA198" i="3"/>
  <c r="X198" i="3"/>
  <c r="U198" i="3"/>
  <c r="AI198" i="3"/>
  <c r="AH197" i="3"/>
  <c r="AG197" i="3"/>
  <c r="AE197" i="3"/>
  <c r="AD197" i="3"/>
  <c r="AB197" i="3"/>
  <c r="AA197" i="3"/>
  <c r="X197" i="3"/>
  <c r="U197" i="3"/>
  <c r="AI197" i="3"/>
  <c r="AH196" i="3"/>
  <c r="AG196" i="3"/>
  <c r="AE196" i="3"/>
  <c r="AD196" i="3"/>
  <c r="AB196" i="3"/>
  <c r="AA196" i="3"/>
  <c r="X196" i="3"/>
  <c r="U196" i="3"/>
  <c r="AI196" i="3"/>
  <c r="AH195" i="3"/>
  <c r="AG195" i="3"/>
  <c r="AE195" i="3"/>
  <c r="AD195" i="3"/>
  <c r="AB195" i="3"/>
  <c r="AA195" i="3"/>
  <c r="X195" i="3"/>
  <c r="U195" i="3"/>
  <c r="AI195" i="3"/>
  <c r="AH194" i="3"/>
  <c r="AI194" i="3" s="1"/>
  <c r="AG194" i="3"/>
  <c r="AE194" i="3"/>
  <c r="AD194" i="3"/>
  <c r="AB194" i="3"/>
  <c r="AA194" i="3"/>
  <c r="X194" i="3"/>
  <c r="U194" i="3"/>
  <c r="AH193" i="3"/>
  <c r="AG193" i="3"/>
  <c r="AE193" i="3"/>
  <c r="AD193" i="3"/>
  <c r="AB193" i="3"/>
  <c r="AA193" i="3"/>
  <c r="X193" i="3"/>
  <c r="U193" i="3"/>
  <c r="AI193" i="3"/>
  <c r="P29" i="12" l="1"/>
  <c r="P30" i="12" s="1"/>
  <c r="S29" i="12"/>
  <c r="S30" i="12" s="1"/>
  <c r="M29" i="12"/>
  <c r="H29" i="12"/>
  <c r="H30" i="12" s="1"/>
  <c r="N29" i="12"/>
  <c r="N30" i="12" s="1"/>
  <c r="L29" i="12"/>
  <c r="J29" i="12"/>
  <c r="J30" i="12" s="1"/>
  <c r="T42" i="12"/>
  <c r="S43" i="12" s="1"/>
  <c r="U24" i="12"/>
  <c r="U22" i="12"/>
  <c r="U23" i="12"/>
  <c r="U21" i="12"/>
  <c r="P10" i="12"/>
  <c r="P12" i="12" s="1"/>
  <c r="M10" i="12"/>
  <c r="L11" i="12"/>
  <c r="V200" i="3"/>
  <c r="O200" i="3"/>
  <c r="Z200" i="3" s="1"/>
  <c r="AK200" i="3" s="1"/>
  <c r="J200" i="3"/>
  <c r="V199" i="3"/>
  <c r="J199" i="3"/>
  <c r="O199" i="3"/>
  <c r="Z199" i="3" s="1"/>
  <c r="AK199" i="3" s="1"/>
  <c r="O198" i="3"/>
  <c r="Z198" i="3" s="1"/>
  <c r="AK198" i="3" s="1"/>
  <c r="V198" i="3"/>
  <c r="J198" i="3"/>
  <c r="V197" i="3"/>
  <c r="O197" i="3"/>
  <c r="Z197" i="3" s="1"/>
  <c r="AK197" i="3" s="1"/>
  <c r="J197" i="3"/>
  <c r="O196" i="3"/>
  <c r="Z196" i="3" s="1"/>
  <c r="AK196" i="3" s="1"/>
  <c r="V196" i="3"/>
  <c r="J196" i="3"/>
  <c r="O195" i="3"/>
  <c r="Z195" i="3" s="1"/>
  <c r="AK195" i="3" s="1"/>
  <c r="V195" i="3"/>
  <c r="J195" i="3"/>
  <c r="V194" i="3"/>
  <c r="O194" i="3"/>
  <c r="Z194" i="3" s="1"/>
  <c r="AK194" i="3" s="1"/>
  <c r="J194" i="3"/>
  <c r="V193" i="3"/>
  <c r="O193" i="3"/>
  <c r="Z193" i="3" s="1"/>
  <c r="AK193" i="3" s="1"/>
  <c r="J193" i="3"/>
  <c r="J195" i="4"/>
  <c r="AM194" i="4"/>
  <c r="AF194" i="4"/>
  <c r="AE194" i="4"/>
  <c r="AC194" i="4"/>
  <c r="AB194" i="4"/>
  <c r="Z194" i="4"/>
  <c r="Y194" i="4"/>
  <c r="V194" i="4"/>
  <c r="S194" i="4"/>
  <c r="J192" i="3"/>
  <c r="U192" i="3"/>
  <c r="X192" i="3"/>
  <c r="AA192" i="3"/>
  <c r="AB192" i="3"/>
  <c r="AD192" i="3"/>
  <c r="AE192" i="3"/>
  <c r="AG192" i="3"/>
  <c r="AH192" i="3"/>
  <c r="AH191" i="3"/>
  <c r="AI191" i="3" s="1"/>
  <c r="AG191" i="3"/>
  <c r="AE191" i="3"/>
  <c r="AD191" i="3"/>
  <c r="AB191" i="3"/>
  <c r="AA191" i="3"/>
  <c r="X191" i="3"/>
  <c r="U191" i="3"/>
  <c r="AH190" i="3"/>
  <c r="AG190" i="3"/>
  <c r="AE190" i="3"/>
  <c r="AD190" i="3"/>
  <c r="AB190" i="3"/>
  <c r="AA190" i="3"/>
  <c r="X190" i="3"/>
  <c r="U190" i="3"/>
  <c r="O190" i="3"/>
  <c r="Z190" i="3" s="1"/>
  <c r="AK190" i="3" s="1"/>
  <c r="AM193" i="4"/>
  <c r="AF193" i="4"/>
  <c r="AE193" i="4"/>
  <c r="AC193" i="4"/>
  <c r="AB193" i="4"/>
  <c r="Z193" i="4"/>
  <c r="Y193" i="4"/>
  <c r="V193" i="4"/>
  <c r="S193" i="4"/>
  <c r="AG193" i="4"/>
  <c r="AG194" i="4" l="1"/>
  <c r="E30" i="12"/>
  <c r="L30" i="12"/>
  <c r="U30" i="12"/>
  <c r="M11" i="12"/>
  <c r="M12" i="12" s="1"/>
  <c r="M194" i="4"/>
  <c r="X194" i="4" s="1"/>
  <c r="AI194" i="4" s="1"/>
  <c r="T194" i="4"/>
  <c r="J194" i="4"/>
  <c r="AI192" i="3"/>
  <c r="V192" i="3"/>
  <c r="O192" i="3"/>
  <c r="Z192" i="3" s="1"/>
  <c r="AK192" i="3" s="1"/>
  <c r="O191" i="3"/>
  <c r="Z191" i="3" s="1"/>
  <c r="AK191" i="3" s="1"/>
  <c r="V191" i="3"/>
  <c r="J191" i="3"/>
  <c r="V190" i="3"/>
  <c r="AI190" i="3"/>
  <c r="J190" i="3"/>
  <c r="T193" i="4"/>
  <c r="M193" i="4"/>
  <c r="X193" i="4" s="1"/>
  <c r="AI193" i="4" s="1"/>
  <c r="J193" i="4"/>
  <c r="AH189" i="3"/>
  <c r="AG189" i="3"/>
  <c r="AE189" i="3"/>
  <c r="AD189" i="3"/>
  <c r="AB189" i="3"/>
  <c r="AA189" i="3"/>
  <c r="X189" i="3"/>
  <c r="U189" i="3"/>
  <c r="O189" i="3"/>
  <c r="Z189" i="3" s="1"/>
  <c r="AK189" i="3" s="1"/>
  <c r="AH188" i="3"/>
  <c r="AG188" i="3"/>
  <c r="AE188" i="3"/>
  <c r="AD188" i="3"/>
  <c r="AB188" i="3"/>
  <c r="AA188" i="3"/>
  <c r="X188" i="3"/>
  <c r="U188" i="3"/>
  <c r="J192" i="4"/>
  <c r="AF191" i="4"/>
  <c r="AE191" i="4"/>
  <c r="AC191" i="4"/>
  <c r="AB191" i="4"/>
  <c r="Z191" i="4"/>
  <c r="Y191" i="4"/>
  <c r="X191" i="4"/>
  <c r="AI191" i="4" s="1"/>
  <c r="V191" i="4"/>
  <c r="S191" i="4"/>
  <c r="J191" i="4"/>
  <c r="AF190" i="4"/>
  <c r="AE190" i="4"/>
  <c r="AC190" i="4"/>
  <c r="AB190" i="4"/>
  <c r="Z190" i="4"/>
  <c r="Y190" i="4"/>
  <c r="X190" i="4"/>
  <c r="AI190" i="4" s="1"/>
  <c r="V190" i="4"/>
  <c r="S190" i="4"/>
  <c r="J190" i="4"/>
  <c r="AF189" i="4"/>
  <c r="AE189" i="4"/>
  <c r="AC189" i="4"/>
  <c r="AB189" i="4"/>
  <c r="Z189" i="4"/>
  <c r="Y189" i="4"/>
  <c r="V189" i="4"/>
  <c r="S189" i="4"/>
  <c r="M189" i="4"/>
  <c r="X189" i="4" s="1"/>
  <c r="AI189" i="4" s="1"/>
  <c r="AF188" i="4"/>
  <c r="AE188" i="4"/>
  <c r="AC188" i="4"/>
  <c r="AB188" i="4"/>
  <c r="Z188" i="4"/>
  <c r="Y188" i="4"/>
  <c r="V188" i="4"/>
  <c r="S188" i="4"/>
  <c r="M188" i="4"/>
  <c r="X188" i="4" s="1"/>
  <c r="AI188" i="4" s="1"/>
  <c r="AM187" i="4"/>
  <c r="AF187" i="4"/>
  <c r="AG187" i="4" s="1"/>
  <c r="AE187" i="4"/>
  <c r="AC187" i="4"/>
  <c r="AB187" i="4"/>
  <c r="Z187" i="4"/>
  <c r="Y187" i="4"/>
  <c r="V187" i="4"/>
  <c r="S187" i="4"/>
  <c r="V188" i="3" l="1"/>
  <c r="J188" i="3"/>
  <c r="J189" i="3"/>
  <c r="V189" i="3"/>
  <c r="AI189" i="3"/>
  <c r="AI188" i="3"/>
  <c r="O188" i="3"/>
  <c r="Z188" i="3" s="1"/>
  <c r="AK188" i="3" s="1"/>
  <c r="T190" i="4"/>
  <c r="T191" i="4"/>
  <c r="AG190" i="4"/>
  <c r="AG191" i="4"/>
  <c r="J188" i="4"/>
  <c r="J189" i="4"/>
  <c r="T189" i="4"/>
  <c r="AG189" i="4"/>
  <c r="T188" i="4"/>
  <c r="AG188" i="4"/>
  <c r="T187" i="4"/>
  <c r="M187" i="4"/>
  <c r="X187" i="4" s="1"/>
  <c r="AI187" i="4" s="1"/>
  <c r="J187" i="4"/>
  <c r="AF186" i="4"/>
  <c r="AG186" i="4" s="1"/>
  <c r="AE186" i="4"/>
  <c r="AC186" i="4"/>
  <c r="AB186" i="4"/>
  <c r="Z186" i="4"/>
  <c r="Y186" i="4"/>
  <c r="V186" i="4"/>
  <c r="S186" i="4"/>
  <c r="J186" i="4" l="1"/>
  <c r="T186" i="4"/>
  <c r="M186" i="4"/>
  <c r="X186" i="4" s="1"/>
  <c r="AI186" i="4" s="1"/>
  <c r="AF185" i="4"/>
  <c r="AE185" i="4"/>
  <c r="AC185" i="4"/>
  <c r="AB185" i="4"/>
  <c r="Z185" i="4"/>
  <c r="Y185" i="4"/>
  <c r="X185" i="4"/>
  <c r="AI185" i="4" s="1"/>
  <c r="V185" i="4"/>
  <c r="S185" i="4"/>
  <c r="AF184" i="4"/>
  <c r="AE184" i="4"/>
  <c r="AC184" i="4"/>
  <c r="AB184" i="4"/>
  <c r="Z184" i="4"/>
  <c r="Y184" i="4"/>
  <c r="V184" i="4"/>
  <c r="S184" i="4"/>
  <c r="J184" i="4"/>
  <c r="AF183" i="4"/>
  <c r="AE183" i="4"/>
  <c r="AC183" i="4"/>
  <c r="AB183" i="4"/>
  <c r="Z183" i="4"/>
  <c r="Y183" i="4"/>
  <c r="V183" i="4"/>
  <c r="S183" i="4"/>
  <c r="M183" i="4"/>
  <c r="X183" i="4" s="1"/>
  <c r="AI183" i="4" s="1"/>
  <c r="AF182" i="4"/>
  <c r="AE182" i="4"/>
  <c r="AC182" i="4"/>
  <c r="AB182" i="4"/>
  <c r="Z182" i="4"/>
  <c r="Y182" i="4"/>
  <c r="V182" i="4"/>
  <c r="S182" i="4"/>
  <c r="M182" i="4"/>
  <c r="X182" i="4" s="1"/>
  <c r="AI182" i="4" s="1"/>
  <c r="AF181" i="4"/>
  <c r="AE181" i="4"/>
  <c r="AC181" i="4"/>
  <c r="AB181" i="4"/>
  <c r="Z181" i="4"/>
  <c r="Y181" i="4"/>
  <c r="V181" i="4"/>
  <c r="S181" i="4"/>
  <c r="AG181" i="4"/>
  <c r="AF180" i="4"/>
  <c r="AE180" i="4"/>
  <c r="AC180" i="4"/>
  <c r="AB180" i="4"/>
  <c r="Z180" i="4"/>
  <c r="Y180" i="4"/>
  <c r="V180" i="4"/>
  <c r="S180" i="4"/>
  <c r="M180" i="4"/>
  <c r="X180" i="4" s="1"/>
  <c r="AI180" i="4" s="1"/>
  <c r="AH187" i="3"/>
  <c r="AG187" i="3"/>
  <c r="AE187" i="3"/>
  <c r="AD187" i="3"/>
  <c r="AB187" i="3"/>
  <c r="AA187" i="3"/>
  <c r="X187" i="3"/>
  <c r="U187" i="3"/>
  <c r="O187" i="3"/>
  <c r="Z187" i="3" s="1"/>
  <c r="AK187" i="3" s="1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AG185" i="4" l="1"/>
  <c r="T184" i="4"/>
  <c r="M184" i="4"/>
  <c r="X184" i="4" s="1"/>
  <c r="AI184" i="4" s="1"/>
  <c r="AG184" i="4"/>
  <c r="J183" i="4"/>
  <c r="T185" i="4"/>
  <c r="J185" i="4"/>
  <c r="T183" i="4"/>
  <c r="AG183" i="4"/>
  <c r="J181" i="4"/>
  <c r="M181" i="4"/>
  <c r="X181" i="4" s="1"/>
  <c r="AI181" i="4" s="1"/>
  <c r="J182" i="4"/>
  <c r="T182" i="4"/>
  <c r="AG182" i="4"/>
  <c r="T181" i="4"/>
  <c r="T180" i="4"/>
  <c r="J180" i="4"/>
  <c r="AG180" i="4"/>
  <c r="V187" i="3"/>
  <c r="AI187" i="3"/>
  <c r="J187" i="3"/>
  <c r="AF179" i="4"/>
  <c r="AG179" i="4" s="1"/>
  <c r="AE179" i="4"/>
  <c r="AC179" i="4"/>
  <c r="AB179" i="4"/>
  <c r="Z179" i="4"/>
  <c r="Y179" i="4"/>
  <c r="V179" i="4"/>
  <c r="S179" i="4"/>
  <c r="M179" i="4" l="1"/>
  <c r="X179" i="4" s="1"/>
  <c r="AI179" i="4" s="1"/>
  <c r="T179" i="4"/>
  <c r="J179" i="4"/>
  <c r="AF178" i="4"/>
  <c r="AE178" i="4"/>
  <c r="AC178" i="4"/>
  <c r="AB178" i="4"/>
  <c r="Z178" i="4"/>
  <c r="Y178" i="4"/>
  <c r="V178" i="4"/>
  <c r="S178" i="4"/>
  <c r="AF177" i="4"/>
  <c r="AE177" i="4"/>
  <c r="AC177" i="4"/>
  <c r="AB177" i="4"/>
  <c r="Z177" i="4"/>
  <c r="Y177" i="4"/>
  <c r="V177" i="4"/>
  <c r="S177" i="4"/>
  <c r="M177" i="4"/>
  <c r="X177" i="4" s="1"/>
  <c r="AI177" i="4" s="1"/>
  <c r="AF176" i="4"/>
  <c r="AE176" i="4"/>
  <c r="AC176" i="4"/>
  <c r="AB176" i="4"/>
  <c r="Z176" i="4"/>
  <c r="Y176" i="4"/>
  <c r="V176" i="4"/>
  <c r="S176" i="4"/>
  <c r="AF175" i="4"/>
  <c r="AE175" i="4"/>
  <c r="AC175" i="4"/>
  <c r="AB175" i="4"/>
  <c r="Z175" i="4"/>
  <c r="Y175" i="4"/>
  <c r="V175" i="4"/>
  <c r="S175" i="4"/>
  <c r="AG175" i="4"/>
  <c r="AF174" i="4"/>
  <c r="AE174" i="4"/>
  <c r="AC174" i="4"/>
  <c r="AB174" i="4"/>
  <c r="Z174" i="4"/>
  <c r="Y174" i="4"/>
  <c r="V174" i="4"/>
  <c r="S174" i="4"/>
  <c r="AF173" i="4"/>
  <c r="AE173" i="4"/>
  <c r="AC173" i="4"/>
  <c r="AB173" i="4"/>
  <c r="Z173" i="4"/>
  <c r="Y173" i="4"/>
  <c r="V173" i="4"/>
  <c r="S173" i="4"/>
  <c r="AG173" i="4"/>
  <c r="AF172" i="4"/>
  <c r="AE172" i="4"/>
  <c r="AC172" i="4"/>
  <c r="AB172" i="4"/>
  <c r="Z172" i="4"/>
  <c r="Y172" i="4"/>
  <c r="V172" i="4"/>
  <c r="S172" i="4"/>
  <c r="AF171" i="4"/>
  <c r="AE171" i="4"/>
  <c r="AC171" i="4"/>
  <c r="AB171" i="4"/>
  <c r="Z171" i="4"/>
  <c r="Y171" i="4"/>
  <c r="V171" i="4"/>
  <c r="S171" i="4"/>
  <c r="M171" i="4"/>
  <c r="X171" i="4" s="1"/>
  <c r="AI171" i="4" s="1"/>
  <c r="AF170" i="4"/>
  <c r="AG170" i="4" s="1"/>
  <c r="AE170" i="4"/>
  <c r="AC170" i="4"/>
  <c r="AB170" i="4"/>
  <c r="Z170" i="4"/>
  <c r="Y170" i="4"/>
  <c r="V170" i="4"/>
  <c r="S170" i="4"/>
  <c r="AF169" i="4"/>
  <c r="AG169" i="4" s="1"/>
  <c r="AE169" i="4"/>
  <c r="AC169" i="4"/>
  <c r="AB169" i="4"/>
  <c r="Z169" i="4"/>
  <c r="Y169" i="4"/>
  <c r="V169" i="4"/>
  <c r="S169" i="4"/>
  <c r="AF168" i="4"/>
  <c r="AE168" i="4"/>
  <c r="AC168" i="4"/>
  <c r="AB168" i="4"/>
  <c r="Z168" i="4"/>
  <c r="Y168" i="4"/>
  <c r="V168" i="4"/>
  <c r="S168" i="4"/>
  <c r="M168" i="4"/>
  <c r="X168" i="4" s="1"/>
  <c r="AI168" i="4" s="1"/>
  <c r="AF167" i="4"/>
  <c r="AE167" i="4"/>
  <c r="AC167" i="4"/>
  <c r="AB167" i="4"/>
  <c r="Z167" i="4"/>
  <c r="Y167" i="4"/>
  <c r="V167" i="4"/>
  <c r="S167" i="4"/>
  <c r="AH186" i="3"/>
  <c r="AI186" i="3" s="1"/>
  <c r="AG186" i="3"/>
  <c r="AE186" i="3"/>
  <c r="AD186" i="3"/>
  <c r="AB186" i="3"/>
  <c r="AA186" i="3"/>
  <c r="X186" i="3"/>
  <c r="U186" i="3"/>
  <c r="AG167" i="4" l="1"/>
  <c r="AG174" i="4"/>
  <c r="AG172" i="4"/>
  <c r="AG178" i="4"/>
  <c r="AG176" i="4"/>
  <c r="T177" i="4"/>
  <c r="J177" i="4"/>
  <c r="AG177" i="4"/>
  <c r="M178" i="4"/>
  <c r="X178" i="4" s="1"/>
  <c r="AI178" i="4" s="1"/>
  <c r="T178" i="4"/>
  <c r="J178" i="4"/>
  <c r="M176" i="4"/>
  <c r="X176" i="4" s="1"/>
  <c r="AI176" i="4" s="1"/>
  <c r="T176" i="4"/>
  <c r="J176" i="4"/>
  <c r="J175" i="4"/>
  <c r="T175" i="4"/>
  <c r="M175" i="4"/>
  <c r="X175" i="4" s="1"/>
  <c r="AI175" i="4" s="1"/>
  <c r="M174" i="4"/>
  <c r="X174" i="4" s="1"/>
  <c r="AI174" i="4" s="1"/>
  <c r="T174" i="4"/>
  <c r="J174" i="4"/>
  <c r="T173" i="4"/>
  <c r="M173" i="4"/>
  <c r="X173" i="4" s="1"/>
  <c r="AI173" i="4" s="1"/>
  <c r="J173" i="4"/>
  <c r="T171" i="4"/>
  <c r="J168" i="4"/>
  <c r="J171" i="4"/>
  <c r="M170" i="4"/>
  <c r="X170" i="4" s="1"/>
  <c r="AI170" i="4" s="1"/>
  <c r="T170" i="4"/>
  <c r="AG171" i="4"/>
  <c r="M172" i="4"/>
  <c r="X172" i="4" s="1"/>
  <c r="AI172" i="4" s="1"/>
  <c r="T172" i="4"/>
  <c r="T168" i="4"/>
  <c r="J170" i="4"/>
  <c r="J172" i="4"/>
  <c r="M167" i="4"/>
  <c r="X167" i="4" s="1"/>
  <c r="AI167" i="4" s="1"/>
  <c r="T167" i="4"/>
  <c r="AG168" i="4"/>
  <c r="M169" i="4"/>
  <c r="X169" i="4" s="1"/>
  <c r="AI169" i="4" s="1"/>
  <c r="T169" i="4"/>
  <c r="J167" i="4"/>
  <c r="J169" i="4"/>
  <c r="O186" i="3"/>
  <c r="Z186" i="3" s="1"/>
  <c r="AK186" i="3" s="1"/>
  <c r="V186" i="3"/>
  <c r="J186" i="3"/>
  <c r="E33" i="8"/>
  <c r="E32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D34" i="8"/>
  <c r="D33" i="8"/>
  <c r="D32" i="8"/>
  <c r="D31" i="8"/>
  <c r="D30" i="8"/>
  <c r="D29" i="8"/>
  <c r="D28" i="8"/>
  <c r="H183" i="5"/>
  <c r="H184" i="5"/>
  <c r="H186" i="5"/>
  <c r="H187" i="5"/>
  <c r="H188" i="5"/>
  <c r="H189" i="5"/>
  <c r="H190" i="5"/>
  <c r="H191" i="5"/>
  <c r="H192" i="5"/>
  <c r="H193" i="5"/>
  <c r="H194" i="5"/>
  <c r="H195" i="5"/>
  <c r="L215" i="5"/>
  <c r="M215" i="5" s="1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L135" i="5" l="1"/>
  <c r="M135" i="5" s="1"/>
  <c r="H123" i="5"/>
  <c r="L123" i="5"/>
  <c r="M123" i="5" s="1"/>
  <c r="H117" i="5"/>
  <c r="H113" i="5"/>
  <c r="H107" i="5"/>
  <c r="H103" i="5"/>
  <c r="H99" i="5"/>
  <c r="H93" i="5"/>
  <c r="H89" i="5"/>
  <c r="H83" i="5"/>
  <c r="H79" i="5"/>
  <c r="H75" i="5"/>
  <c r="H73" i="5"/>
  <c r="H127" i="5"/>
  <c r="L127" i="5"/>
  <c r="M127" i="5" s="1"/>
  <c r="H182" i="5"/>
  <c r="L182" i="5"/>
  <c r="M182" i="5" s="1"/>
  <c r="H180" i="5"/>
  <c r="L180" i="5"/>
  <c r="M180" i="5" s="1"/>
  <c r="H178" i="5"/>
  <c r="L178" i="5"/>
  <c r="M178" i="5" s="1"/>
  <c r="H176" i="5"/>
  <c r="L176" i="5"/>
  <c r="M176" i="5" s="1"/>
  <c r="H174" i="5"/>
  <c r="L174" i="5"/>
  <c r="M174" i="5" s="1"/>
  <c r="H172" i="5"/>
  <c r="L172" i="5"/>
  <c r="M172" i="5" s="1"/>
  <c r="H170" i="5"/>
  <c r="L170" i="5"/>
  <c r="M170" i="5" s="1"/>
  <c r="H168" i="5"/>
  <c r="L168" i="5"/>
  <c r="M168" i="5" s="1"/>
  <c r="H166" i="5"/>
  <c r="L166" i="5"/>
  <c r="M166" i="5" s="1"/>
  <c r="H164" i="5"/>
  <c r="L164" i="5"/>
  <c r="M164" i="5" s="1"/>
  <c r="H163" i="5"/>
  <c r="L163" i="5"/>
  <c r="M163" i="5" s="1"/>
  <c r="H162" i="5"/>
  <c r="L162" i="5"/>
  <c r="M162" i="5" s="1"/>
  <c r="H161" i="5"/>
  <c r="L161" i="5"/>
  <c r="M161" i="5" s="1"/>
  <c r="H160" i="5"/>
  <c r="L160" i="5"/>
  <c r="M160" i="5" s="1"/>
  <c r="H159" i="5"/>
  <c r="L159" i="5"/>
  <c r="M159" i="5" s="1"/>
  <c r="H158" i="5"/>
  <c r="L158" i="5"/>
  <c r="M158" i="5" s="1"/>
  <c r="H157" i="5"/>
  <c r="L157" i="5"/>
  <c r="M157" i="5" s="1"/>
  <c r="H156" i="5"/>
  <c r="L156" i="5"/>
  <c r="M156" i="5" s="1"/>
  <c r="H155" i="5"/>
  <c r="L155" i="5"/>
  <c r="M155" i="5" s="1"/>
  <c r="H154" i="5"/>
  <c r="L154" i="5"/>
  <c r="M154" i="5" s="1"/>
  <c r="H153" i="5"/>
  <c r="L153" i="5"/>
  <c r="M153" i="5" s="1"/>
  <c r="H152" i="5"/>
  <c r="L152" i="5"/>
  <c r="M152" i="5" s="1"/>
  <c r="H151" i="5"/>
  <c r="L151" i="5"/>
  <c r="M151" i="5" s="1"/>
  <c r="H150" i="5"/>
  <c r="L150" i="5"/>
  <c r="M150" i="5" s="1"/>
  <c r="H149" i="5"/>
  <c r="L149" i="5"/>
  <c r="M149" i="5" s="1"/>
  <c r="H148" i="5"/>
  <c r="L148" i="5"/>
  <c r="M148" i="5" s="1"/>
  <c r="H147" i="5"/>
  <c r="L147" i="5"/>
  <c r="M147" i="5" s="1"/>
  <c r="H146" i="5"/>
  <c r="L146" i="5"/>
  <c r="M146" i="5" s="1"/>
  <c r="H145" i="5"/>
  <c r="L145" i="5"/>
  <c r="M145" i="5" s="1"/>
  <c r="H144" i="5"/>
  <c r="L144" i="5"/>
  <c r="M144" i="5" s="1"/>
  <c r="H143" i="5"/>
  <c r="L143" i="5"/>
  <c r="M143" i="5" s="1"/>
  <c r="H142" i="5"/>
  <c r="L142" i="5"/>
  <c r="M142" i="5" s="1"/>
  <c r="H141" i="5"/>
  <c r="L141" i="5"/>
  <c r="M141" i="5" s="1"/>
  <c r="H140" i="5"/>
  <c r="L140" i="5"/>
  <c r="M140" i="5" s="1"/>
  <c r="H139" i="5"/>
  <c r="L139" i="5"/>
  <c r="M139" i="5" s="1"/>
  <c r="H138" i="5"/>
  <c r="L138" i="5"/>
  <c r="M138" i="5" s="1"/>
  <c r="H137" i="5"/>
  <c r="L137" i="5"/>
  <c r="M137" i="5" s="1"/>
  <c r="H136" i="5"/>
  <c r="L136" i="5"/>
  <c r="M136" i="5" s="1"/>
  <c r="H134" i="5"/>
  <c r="L134" i="5"/>
  <c r="M134" i="5" s="1"/>
  <c r="H133" i="5"/>
  <c r="L133" i="5"/>
  <c r="M133" i="5" s="1"/>
  <c r="H132" i="5"/>
  <c r="L132" i="5"/>
  <c r="M132" i="5" s="1"/>
  <c r="H131" i="5"/>
  <c r="L131" i="5"/>
  <c r="M131" i="5" s="1"/>
  <c r="H130" i="5"/>
  <c r="L130" i="5"/>
  <c r="M130" i="5" s="1"/>
  <c r="H129" i="5"/>
  <c r="L129" i="5"/>
  <c r="M129" i="5" s="1"/>
  <c r="H128" i="5"/>
  <c r="L128" i="5"/>
  <c r="M128" i="5" s="1"/>
  <c r="H125" i="5"/>
  <c r="H121" i="5"/>
  <c r="H119" i="5"/>
  <c r="H115" i="5"/>
  <c r="H111" i="5"/>
  <c r="H109" i="5"/>
  <c r="H105" i="5"/>
  <c r="H101" i="5"/>
  <c r="H97" i="5"/>
  <c r="H95" i="5"/>
  <c r="H91" i="5"/>
  <c r="H87" i="5"/>
  <c r="H85" i="5"/>
  <c r="H81" i="5"/>
  <c r="H77" i="5"/>
  <c r="H126" i="5"/>
  <c r="H124" i="5"/>
  <c r="L124" i="5"/>
  <c r="M124" i="5" s="1"/>
  <c r="H122" i="5"/>
  <c r="H120" i="5"/>
  <c r="H118" i="5"/>
  <c r="H116" i="5"/>
  <c r="H114" i="5"/>
  <c r="H112" i="5"/>
  <c r="H110" i="5"/>
  <c r="H108" i="5"/>
  <c r="H106" i="5"/>
  <c r="H104" i="5"/>
  <c r="H102" i="5"/>
  <c r="H100" i="5"/>
  <c r="H98" i="5"/>
  <c r="H96" i="5"/>
  <c r="H94" i="5"/>
  <c r="H92" i="5"/>
  <c r="H90" i="5"/>
  <c r="H88" i="5"/>
  <c r="H86" i="5"/>
  <c r="H84" i="5"/>
  <c r="H82" i="5"/>
  <c r="H80" i="5"/>
  <c r="H78" i="5"/>
  <c r="H76" i="5"/>
  <c r="H74" i="5"/>
  <c r="H181" i="5"/>
  <c r="L181" i="5"/>
  <c r="M181" i="5" s="1"/>
  <c r="H179" i="5"/>
  <c r="L179" i="5"/>
  <c r="M179" i="5" s="1"/>
  <c r="H177" i="5"/>
  <c r="L177" i="5"/>
  <c r="M177" i="5" s="1"/>
  <c r="H175" i="5"/>
  <c r="L175" i="5"/>
  <c r="M175" i="5" s="1"/>
  <c r="H173" i="5"/>
  <c r="L173" i="5"/>
  <c r="M173" i="5" s="1"/>
  <c r="H171" i="5"/>
  <c r="L171" i="5"/>
  <c r="M171" i="5" s="1"/>
  <c r="H169" i="5"/>
  <c r="L169" i="5"/>
  <c r="M169" i="5" s="1"/>
  <c r="H167" i="5"/>
  <c r="L167" i="5"/>
  <c r="M167" i="5" s="1"/>
  <c r="H165" i="5"/>
  <c r="L165" i="5"/>
  <c r="M165" i="5" s="1"/>
  <c r="L190" i="5"/>
  <c r="M190" i="5" s="1"/>
  <c r="L185" i="5"/>
  <c r="M185" i="5" s="1"/>
  <c r="L191" i="5"/>
  <c r="M191" i="5" s="1"/>
  <c r="L184" i="5"/>
  <c r="M184" i="5" s="1"/>
  <c r="H185" i="5"/>
  <c r="L193" i="5"/>
  <c r="M193" i="5" s="1"/>
  <c r="L192" i="5"/>
  <c r="M192" i="5" s="1"/>
  <c r="L189" i="5"/>
  <c r="M189" i="5" s="1"/>
  <c r="L195" i="5"/>
  <c r="M195" i="5" s="1"/>
  <c r="L194" i="5"/>
  <c r="M194" i="5" s="1"/>
  <c r="L188" i="5"/>
  <c r="M188" i="5" s="1"/>
  <c r="L187" i="5"/>
  <c r="M187" i="5" s="1"/>
  <c r="L183" i="5"/>
  <c r="M183" i="5" s="1"/>
  <c r="L186" i="5"/>
  <c r="M186" i="5" s="1"/>
  <c r="L122" i="5"/>
  <c r="L121" i="5"/>
  <c r="L120" i="5"/>
  <c r="L119" i="5"/>
  <c r="M119" i="5" l="1"/>
  <c r="M121" i="5"/>
  <c r="M120" i="5"/>
  <c r="M122" i="5"/>
  <c r="AF166" i="4"/>
  <c r="AE166" i="4"/>
  <c r="AC166" i="4"/>
  <c r="AB166" i="4"/>
  <c r="Z166" i="4"/>
  <c r="Y166" i="4"/>
  <c r="X166" i="4"/>
  <c r="AI166" i="4" s="1"/>
  <c r="V166" i="4"/>
  <c r="S166" i="4"/>
  <c r="L111" i="5" l="1"/>
  <c r="M111" i="5" s="1"/>
  <c r="L116" i="5"/>
  <c r="M116" i="5" s="1"/>
  <c r="L110" i="5"/>
  <c r="M110" i="5" s="1"/>
  <c r="L115" i="5"/>
  <c r="M115" i="5" s="1"/>
  <c r="L113" i="5"/>
  <c r="M113" i="5" s="1"/>
  <c r="L117" i="5"/>
  <c r="M117" i="5" s="1"/>
  <c r="L114" i="5"/>
  <c r="M114" i="5" s="1"/>
  <c r="L118" i="5"/>
  <c r="M118" i="5" s="1"/>
  <c r="AG166" i="4"/>
  <c r="J166" i="4"/>
  <c r="T166" i="4"/>
  <c r="AF165" i="4" l="1"/>
  <c r="AE165" i="4"/>
  <c r="AC165" i="4"/>
  <c r="AB165" i="4"/>
  <c r="Z165" i="4"/>
  <c r="Y165" i="4"/>
  <c r="V165" i="4"/>
  <c r="S165" i="4"/>
  <c r="M165" i="4"/>
  <c r="X165" i="4" s="1"/>
  <c r="AI165" i="4" s="1"/>
  <c r="T165" i="4" l="1"/>
  <c r="J165" i="4"/>
  <c r="AG165" i="4"/>
  <c r="AF164" i="4"/>
  <c r="AE164" i="4"/>
  <c r="AC164" i="4"/>
  <c r="AB164" i="4"/>
  <c r="Z164" i="4"/>
  <c r="Y164" i="4"/>
  <c r="X164" i="4"/>
  <c r="AI164" i="4" s="1"/>
  <c r="V164" i="4"/>
  <c r="S164" i="4"/>
  <c r="J164" i="4"/>
  <c r="AF163" i="4"/>
  <c r="AE163" i="4"/>
  <c r="AC163" i="4"/>
  <c r="AB163" i="4"/>
  <c r="Z163" i="4"/>
  <c r="Y163" i="4"/>
  <c r="V163" i="4"/>
  <c r="S163" i="4"/>
  <c r="T163" i="4" l="1"/>
  <c r="T164" i="4"/>
  <c r="AG164" i="4"/>
  <c r="J163" i="4"/>
  <c r="AG163" i="4"/>
  <c r="M163" i="4"/>
  <c r="X163" i="4" s="1"/>
  <c r="AI163" i="4" s="1"/>
  <c r="G7" i="10"/>
  <c r="F7" i="10"/>
  <c r="E7" i="10"/>
  <c r="L126" i="5"/>
  <c r="L104" i="5" l="1"/>
  <c r="M104" i="5" s="1"/>
  <c r="L109" i="5"/>
  <c r="M109" i="5" s="1"/>
  <c r="L105" i="5"/>
  <c r="M105" i="5" s="1"/>
  <c r="L106" i="5"/>
  <c r="M106" i="5" s="1"/>
  <c r="L103" i="5"/>
  <c r="M103" i="5" s="1"/>
  <c r="L125" i="5"/>
  <c r="M125" i="5" s="1"/>
  <c r="L108" i="5"/>
  <c r="M108" i="5" s="1"/>
  <c r="L112" i="5"/>
  <c r="M112" i="5" s="1"/>
  <c r="L107" i="5"/>
  <c r="M107" i="5" s="1"/>
  <c r="AH185" i="3"/>
  <c r="AG185" i="3"/>
  <c r="AE185" i="3"/>
  <c r="AD185" i="3"/>
  <c r="AB185" i="3"/>
  <c r="AA185" i="3"/>
  <c r="X185" i="3"/>
  <c r="U185" i="3"/>
  <c r="J185" i="3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4" i="5" l="1"/>
  <c r="M94" i="5" s="1"/>
  <c r="L98" i="5"/>
  <c r="M98" i="5" s="1"/>
  <c r="L102" i="5"/>
  <c r="M102" i="5" s="1"/>
  <c r="L95" i="5"/>
  <c r="M95" i="5" s="1"/>
  <c r="L99" i="5"/>
  <c r="M99" i="5" s="1"/>
  <c r="L96" i="5"/>
  <c r="M96" i="5" s="1"/>
  <c r="L100" i="5"/>
  <c r="M100" i="5" s="1"/>
  <c r="L93" i="5"/>
  <c r="M93" i="5" s="1"/>
  <c r="L97" i="5"/>
  <c r="M97" i="5" s="1"/>
  <c r="L101" i="5"/>
  <c r="M101" i="5" s="1"/>
  <c r="O185" i="3"/>
  <c r="Z185" i="3" s="1"/>
  <c r="AK185" i="3" s="1"/>
  <c r="V185" i="3"/>
  <c r="AI185" i="3"/>
  <c r="M54" i="6"/>
  <c r="L54" i="6"/>
  <c r="K54" i="6"/>
  <c r="J54" i="6"/>
  <c r="I54" i="6"/>
  <c r="H54" i="6"/>
  <c r="G54" i="6"/>
  <c r="F54" i="6"/>
  <c r="E54" i="6"/>
  <c r="D54" i="6"/>
  <c r="C54" i="6"/>
  <c r="C58" i="6" s="1"/>
  <c r="B54" i="6"/>
  <c r="J162" i="4"/>
  <c r="AF161" i="4"/>
  <c r="AE161" i="4"/>
  <c r="AC161" i="4"/>
  <c r="AB161" i="4"/>
  <c r="Z161" i="4"/>
  <c r="Y161" i="4"/>
  <c r="V161" i="4"/>
  <c r="S161" i="4"/>
  <c r="J161" i="4"/>
  <c r="AF160" i="4"/>
  <c r="AG160" i="4" s="1"/>
  <c r="AE160" i="4"/>
  <c r="AC160" i="4"/>
  <c r="AB160" i="4"/>
  <c r="Z160" i="4"/>
  <c r="Y160" i="4"/>
  <c r="V160" i="4"/>
  <c r="S160" i="4"/>
  <c r="AF159" i="4"/>
  <c r="AE159" i="4"/>
  <c r="AC159" i="4"/>
  <c r="AB159" i="4"/>
  <c r="Z159" i="4"/>
  <c r="Y159" i="4"/>
  <c r="V159" i="4"/>
  <c r="S159" i="4"/>
  <c r="M159" i="4"/>
  <c r="X159" i="4" s="1"/>
  <c r="AI159" i="4" s="1"/>
  <c r="AF158" i="4"/>
  <c r="AE158" i="4"/>
  <c r="AC158" i="4"/>
  <c r="AB158" i="4"/>
  <c r="Z158" i="4"/>
  <c r="Y158" i="4"/>
  <c r="V158" i="4"/>
  <c r="S158" i="4"/>
  <c r="J158" i="4"/>
  <c r="AF157" i="4"/>
  <c r="AE157" i="4"/>
  <c r="AC157" i="4"/>
  <c r="AB157" i="4"/>
  <c r="Z157" i="4"/>
  <c r="Y157" i="4"/>
  <c r="V157" i="4"/>
  <c r="S157" i="4"/>
  <c r="AF156" i="4"/>
  <c r="AE156" i="4"/>
  <c r="AC156" i="4"/>
  <c r="AB156" i="4"/>
  <c r="Z156" i="4"/>
  <c r="Y156" i="4"/>
  <c r="V156" i="4"/>
  <c r="S156" i="4"/>
  <c r="J156" i="4"/>
  <c r="AF155" i="4"/>
  <c r="AE155" i="4"/>
  <c r="AC155" i="4"/>
  <c r="AB155" i="4"/>
  <c r="Z155" i="4"/>
  <c r="Y155" i="4"/>
  <c r="V155" i="4"/>
  <c r="S155" i="4"/>
  <c r="M155" i="4"/>
  <c r="X155" i="4" s="1"/>
  <c r="AI155" i="4" s="1"/>
  <c r="AF154" i="4"/>
  <c r="AE154" i="4"/>
  <c r="AC154" i="4"/>
  <c r="AB154" i="4"/>
  <c r="Z154" i="4"/>
  <c r="Y154" i="4"/>
  <c r="V154" i="4"/>
  <c r="S154" i="4"/>
  <c r="M154" i="4"/>
  <c r="X154" i="4" s="1"/>
  <c r="AI154" i="4" s="1"/>
  <c r="AF153" i="4"/>
  <c r="AE153" i="4"/>
  <c r="AC153" i="4"/>
  <c r="AB153" i="4"/>
  <c r="Z153" i="4"/>
  <c r="Y153" i="4"/>
  <c r="V153" i="4"/>
  <c r="S153" i="4"/>
  <c r="AF152" i="4"/>
  <c r="AE152" i="4"/>
  <c r="AC152" i="4"/>
  <c r="AB152" i="4"/>
  <c r="Z152" i="4"/>
  <c r="Y152" i="4"/>
  <c r="V152" i="4"/>
  <c r="S152" i="4"/>
  <c r="AH180" i="3"/>
  <c r="AG180" i="3"/>
  <c r="AE180" i="3"/>
  <c r="AD180" i="3"/>
  <c r="AB180" i="3"/>
  <c r="AA180" i="3"/>
  <c r="X180" i="3"/>
  <c r="U180" i="3"/>
  <c r="AG157" i="4" l="1"/>
  <c r="T152" i="4"/>
  <c r="T153" i="4"/>
  <c r="M161" i="4"/>
  <c r="X161" i="4" s="1"/>
  <c r="AI161" i="4" s="1"/>
  <c r="T156" i="4"/>
  <c r="T160" i="4"/>
  <c r="T161" i="4"/>
  <c r="AG161" i="4"/>
  <c r="T159" i="4"/>
  <c r="M160" i="4"/>
  <c r="X160" i="4" s="1"/>
  <c r="AI160" i="4" s="1"/>
  <c r="M158" i="4"/>
  <c r="X158" i="4" s="1"/>
  <c r="AI158" i="4" s="1"/>
  <c r="J159" i="4"/>
  <c r="AG159" i="4"/>
  <c r="T157" i="4"/>
  <c r="J160" i="4"/>
  <c r="T158" i="4"/>
  <c r="AG158" i="4"/>
  <c r="M157" i="4"/>
  <c r="X157" i="4" s="1"/>
  <c r="AI157" i="4" s="1"/>
  <c r="M156" i="4"/>
  <c r="X156" i="4" s="1"/>
  <c r="AI156" i="4" s="1"/>
  <c r="J157" i="4"/>
  <c r="AG156" i="4"/>
  <c r="J155" i="4"/>
  <c r="T155" i="4"/>
  <c r="AG155" i="4"/>
  <c r="T154" i="4"/>
  <c r="J154" i="4"/>
  <c r="AG154" i="4"/>
  <c r="J153" i="4"/>
  <c r="M153" i="4"/>
  <c r="X153" i="4" s="1"/>
  <c r="AI153" i="4" s="1"/>
  <c r="J152" i="4"/>
  <c r="AG153" i="4"/>
  <c r="AG152" i="4"/>
  <c r="M152" i="4"/>
  <c r="X152" i="4" s="1"/>
  <c r="AI152" i="4" s="1"/>
  <c r="V180" i="3"/>
  <c r="J180" i="3"/>
  <c r="AI180" i="3"/>
  <c r="O180" i="3"/>
  <c r="Z180" i="3" s="1"/>
  <c r="AK180" i="3" s="1"/>
  <c r="AF147" i="4"/>
  <c r="AE147" i="4"/>
  <c r="AC147" i="4"/>
  <c r="AB147" i="4"/>
  <c r="Z147" i="4"/>
  <c r="Y147" i="4"/>
  <c r="V147" i="4"/>
  <c r="S147" i="4"/>
  <c r="AF151" i="4"/>
  <c r="AE151" i="4"/>
  <c r="AC151" i="4"/>
  <c r="AB151" i="4"/>
  <c r="Z151" i="4"/>
  <c r="Y151" i="4"/>
  <c r="V151" i="4"/>
  <c r="S151" i="4"/>
  <c r="J151" i="4"/>
  <c r="AF150" i="4"/>
  <c r="AE150" i="4"/>
  <c r="AC150" i="4"/>
  <c r="AB150" i="4"/>
  <c r="Z150" i="4"/>
  <c r="Y150" i="4"/>
  <c r="V150" i="4"/>
  <c r="S150" i="4"/>
  <c r="AF149" i="4"/>
  <c r="AE149" i="4"/>
  <c r="AC149" i="4"/>
  <c r="AB149" i="4"/>
  <c r="Z149" i="4"/>
  <c r="Y149" i="4"/>
  <c r="V149" i="4"/>
  <c r="S149" i="4"/>
  <c r="AF148" i="4"/>
  <c r="AE148" i="4"/>
  <c r="AC148" i="4"/>
  <c r="AB148" i="4"/>
  <c r="Z148" i="4"/>
  <c r="Y148" i="4"/>
  <c r="V148" i="4"/>
  <c r="S148" i="4"/>
  <c r="F17" i="11"/>
  <c r="D17" i="11"/>
  <c r="B17" i="11"/>
  <c r="AF146" i="4"/>
  <c r="AE146" i="4"/>
  <c r="AC146" i="4"/>
  <c r="AB146" i="4"/>
  <c r="Z146" i="4"/>
  <c r="Y146" i="4"/>
  <c r="V146" i="4"/>
  <c r="S146" i="4"/>
  <c r="AG146" i="4"/>
  <c r="J2" i="11"/>
  <c r="F18" i="11"/>
  <c r="D18" i="11"/>
  <c r="B18" i="11"/>
  <c r="F16" i="11"/>
  <c r="D16" i="11"/>
  <c r="B16" i="11"/>
  <c r="F13" i="11"/>
  <c r="D13" i="11"/>
  <c r="B13" i="11"/>
  <c r="F12" i="11"/>
  <c r="D12" i="11"/>
  <c r="B12" i="11"/>
  <c r="F11" i="11"/>
  <c r="D11" i="11"/>
  <c r="B11" i="11"/>
  <c r="F10" i="11"/>
  <c r="D10" i="11"/>
  <c r="B10" i="11"/>
  <c r="F9" i="11"/>
  <c r="D9" i="11"/>
  <c r="B9" i="11"/>
  <c r="D8" i="11"/>
  <c r="F8" i="11"/>
  <c r="B8" i="11"/>
  <c r="T147" i="4" l="1"/>
  <c r="T150" i="4"/>
  <c r="T149" i="4"/>
  <c r="J147" i="4"/>
  <c r="M151" i="4"/>
  <c r="X151" i="4" s="1"/>
  <c r="AI151" i="4" s="1"/>
  <c r="AG147" i="4"/>
  <c r="T148" i="4"/>
  <c r="T151" i="4"/>
  <c r="M147" i="4"/>
  <c r="X147" i="4" s="1"/>
  <c r="AI147" i="4" s="1"/>
  <c r="AG151" i="4"/>
  <c r="M150" i="4"/>
  <c r="X150" i="4" s="1"/>
  <c r="AI150" i="4" s="1"/>
  <c r="AG150" i="4"/>
  <c r="J150" i="4"/>
  <c r="J148" i="4"/>
  <c r="J149" i="4"/>
  <c r="AG149" i="4"/>
  <c r="M149" i="4"/>
  <c r="X149" i="4" s="1"/>
  <c r="AI149" i="4" s="1"/>
  <c r="AG148" i="4"/>
  <c r="M148" i="4"/>
  <c r="X148" i="4" s="1"/>
  <c r="AI148" i="4" s="1"/>
  <c r="T146" i="4"/>
  <c r="J146" i="4"/>
  <c r="M146" i="4"/>
  <c r="X146" i="4" s="1"/>
  <c r="AI146" i="4" s="1"/>
  <c r="F19" i="11"/>
  <c r="D19" i="11"/>
  <c r="B19" i="11"/>
  <c r="AH179" i="3"/>
  <c r="AI179" i="3" s="1"/>
  <c r="AG179" i="3"/>
  <c r="AE179" i="3"/>
  <c r="AD179" i="3"/>
  <c r="AB179" i="3"/>
  <c r="AA179" i="3"/>
  <c r="X179" i="3"/>
  <c r="U179" i="3"/>
  <c r="AH178" i="3"/>
  <c r="AI178" i="3" s="1"/>
  <c r="AG178" i="3"/>
  <c r="AE178" i="3"/>
  <c r="AD178" i="3"/>
  <c r="AB178" i="3"/>
  <c r="AA178" i="3"/>
  <c r="X178" i="3"/>
  <c r="U178" i="3"/>
  <c r="AH177" i="3"/>
  <c r="AG177" i="3"/>
  <c r="AE177" i="3"/>
  <c r="AD177" i="3"/>
  <c r="AB177" i="3"/>
  <c r="AA177" i="3"/>
  <c r="X177" i="3"/>
  <c r="U177" i="3"/>
  <c r="O177" i="3"/>
  <c r="Z177" i="3" s="1"/>
  <c r="AK177" i="3" s="1"/>
  <c r="AH176" i="3"/>
  <c r="AI176" i="3" s="1"/>
  <c r="AG176" i="3"/>
  <c r="AE176" i="3"/>
  <c r="AD176" i="3"/>
  <c r="AB176" i="3"/>
  <c r="AA176" i="3"/>
  <c r="X176" i="3"/>
  <c r="U176" i="3"/>
  <c r="AH175" i="3"/>
  <c r="AG175" i="3"/>
  <c r="AE175" i="3"/>
  <c r="AD175" i="3"/>
  <c r="AB175" i="3"/>
  <c r="AA175" i="3"/>
  <c r="X175" i="3"/>
  <c r="U175" i="3"/>
  <c r="AH174" i="3"/>
  <c r="AG174" i="3"/>
  <c r="AE174" i="3"/>
  <c r="AD174" i="3"/>
  <c r="AB174" i="3"/>
  <c r="AA174" i="3"/>
  <c r="X174" i="3"/>
  <c r="U174" i="3"/>
  <c r="AH173" i="3"/>
  <c r="AG173" i="3"/>
  <c r="AE173" i="3"/>
  <c r="AD173" i="3"/>
  <c r="AB173" i="3"/>
  <c r="AA173" i="3"/>
  <c r="X173" i="3"/>
  <c r="U173" i="3"/>
  <c r="AH172" i="3"/>
  <c r="AG172" i="3"/>
  <c r="AE172" i="3"/>
  <c r="AD172" i="3"/>
  <c r="AB172" i="3"/>
  <c r="AA172" i="3"/>
  <c r="X172" i="3"/>
  <c r="U172" i="3"/>
  <c r="AH171" i="3"/>
  <c r="AG171" i="3"/>
  <c r="AE171" i="3"/>
  <c r="AD171" i="3"/>
  <c r="AB171" i="3"/>
  <c r="AA171" i="3"/>
  <c r="X171" i="3"/>
  <c r="U171" i="3"/>
  <c r="C8" i="11" l="1"/>
  <c r="C15" i="11"/>
  <c r="C14" i="11"/>
  <c r="G16" i="11"/>
  <c r="G15" i="11"/>
  <c r="G14" i="11"/>
  <c r="E18" i="11"/>
  <c r="E14" i="11"/>
  <c r="E15" i="11"/>
  <c r="AI172" i="3"/>
  <c r="AI174" i="3"/>
  <c r="V173" i="3"/>
  <c r="G17" i="11"/>
  <c r="E17" i="11"/>
  <c r="C17" i="11"/>
  <c r="V171" i="3"/>
  <c r="V175" i="3"/>
  <c r="E16" i="11"/>
  <c r="G13" i="11"/>
  <c r="G8" i="11"/>
  <c r="C13" i="11"/>
  <c r="E10" i="11"/>
  <c r="E8" i="11"/>
  <c r="E12" i="11"/>
  <c r="C18" i="11"/>
  <c r="G10" i="11"/>
  <c r="G11" i="11"/>
  <c r="G12" i="11"/>
  <c r="C11" i="11"/>
  <c r="E9" i="11"/>
  <c r="C9" i="11"/>
  <c r="C10" i="11"/>
  <c r="C12" i="11"/>
  <c r="G18" i="11"/>
  <c r="E11" i="11"/>
  <c r="C16" i="11"/>
  <c r="G9" i="11"/>
  <c r="E13" i="11"/>
  <c r="V179" i="3"/>
  <c r="O179" i="3"/>
  <c r="Z179" i="3" s="1"/>
  <c r="AK179" i="3" s="1"/>
  <c r="J179" i="3"/>
  <c r="V177" i="3"/>
  <c r="J174" i="3"/>
  <c r="J172" i="3"/>
  <c r="V174" i="3"/>
  <c r="J176" i="3"/>
  <c r="V172" i="3"/>
  <c r="V176" i="3"/>
  <c r="V178" i="3"/>
  <c r="J171" i="3"/>
  <c r="AI171" i="3"/>
  <c r="O172" i="3"/>
  <c r="Z172" i="3" s="1"/>
  <c r="AK172" i="3" s="1"/>
  <c r="J173" i="3"/>
  <c r="AI173" i="3"/>
  <c r="O174" i="3"/>
  <c r="Z174" i="3" s="1"/>
  <c r="AK174" i="3" s="1"/>
  <c r="J175" i="3"/>
  <c r="AI175" i="3"/>
  <c r="O176" i="3"/>
  <c r="Z176" i="3" s="1"/>
  <c r="AK176" i="3" s="1"/>
  <c r="J177" i="3"/>
  <c r="AI177" i="3"/>
  <c r="O178" i="3"/>
  <c r="Z178" i="3" s="1"/>
  <c r="AK178" i="3" s="1"/>
  <c r="O171" i="3"/>
  <c r="Z171" i="3" s="1"/>
  <c r="AK171" i="3" s="1"/>
  <c r="O173" i="3"/>
  <c r="Z173" i="3" s="1"/>
  <c r="AK173" i="3" s="1"/>
  <c r="O175" i="3"/>
  <c r="Z175" i="3" s="1"/>
  <c r="AK175" i="3" s="1"/>
  <c r="J178" i="3"/>
  <c r="G19" i="11" l="1"/>
  <c r="C19" i="11"/>
  <c r="E19" i="11"/>
  <c r="AF145" i="4"/>
  <c r="AE145" i="4"/>
  <c r="AC145" i="4"/>
  <c r="AB145" i="4"/>
  <c r="Z145" i="4"/>
  <c r="Y145" i="4"/>
  <c r="V145" i="4"/>
  <c r="S145" i="4"/>
  <c r="M145" i="4"/>
  <c r="X145" i="4" s="1"/>
  <c r="AI145" i="4" s="1"/>
  <c r="AF144" i="4"/>
  <c r="AE144" i="4"/>
  <c r="AC144" i="4"/>
  <c r="AB144" i="4"/>
  <c r="Z144" i="4"/>
  <c r="Y144" i="4"/>
  <c r="V144" i="4"/>
  <c r="S144" i="4"/>
  <c r="J144" i="4"/>
  <c r="T145" i="4" l="1"/>
  <c r="J145" i="4"/>
  <c r="AG145" i="4"/>
  <c r="T144" i="4"/>
  <c r="AG144" i="4"/>
  <c r="M144" i="4"/>
  <c r="X144" i="4" s="1"/>
  <c r="AI144" i="4" s="1"/>
  <c r="J11" i="12" l="1"/>
  <c r="J12" i="12" s="1"/>
  <c r="J143" i="4"/>
  <c r="U35" i="12" l="1"/>
  <c r="U36" i="12"/>
  <c r="U34" i="12"/>
  <c r="U37" i="12"/>
  <c r="U38" i="12"/>
  <c r="I7" i="10"/>
  <c r="C7" i="10" s="1"/>
  <c r="H10" i="11"/>
  <c r="J10" i="11" s="1"/>
  <c r="AF141" i="4"/>
  <c r="AE141" i="4"/>
  <c r="AC141" i="4"/>
  <c r="AB141" i="4"/>
  <c r="Z141" i="4"/>
  <c r="Y141" i="4"/>
  <c r="V141" i="4"/>
  <c r="S141" i="4"/>
  <c r="M141" i="4"/>
  <c r="X141" i="4" s="1"/>
  <c r="AI141" i="4" s="1"/>
  <c r="J140" i="4"/>
  <c r="AH170" i="3"/>
  <c r="AG170" i="3"/>
  <c r="AE170" i="3"/>
  <c r="AD170" i="3"/>
  <c r="AB170" i="3"/>
  <c r="AA170" i="3"/>
  <c r="X170" i="3"/>
  <c r="U170" i="3"/>
  <c r="AN169" i="3"/>
  <c r="AH169" i="3"/>
  <c r="AG169" i="3"/>
  <c r="AE169" i="3"/>
  <c r="AD169" i="3"/>
  <c r="AB169" i="3"/>
  <c r="AA169" i="3"/>
  <c r="X169" i="3"/>
  <c r="U169" i="3"/>
  <c r="O169" i="3"/>
  <c r="AK169" i="3" s="1"/>
  <c r="U43" i="12" l="1"/>
  <c r="A47" i="12" s="1"/>
  <c r="H17" i="11"/>
  <c r="H18" i="11"/>
  <c r="J18" i="11" s="1"/>
  <c r="H16" i="11"/>
  <c r="J16" i="11" s="1"/>
  <c r="H13" i="11"/>
  <c r="J13" i="11" s="1"/>
  <c r="H12" i="11"/>
  <c r="J12" i="11" s="1"/>
  <c r="H9" i="11"/>
  <c r="J9" i="11" s="1"/>
  <c r="H8" i="11"/>
  <c r="J8" i="11" s="1"/>
  <c r="T141" i="4"/>
  <c r="AG141" i="4"/>
  <c r="AI170" i="3"/>
  <c r="O170" i="3"/>
  <c r="Z170" i="3" s="1"/>
  <c r="AK170" i="3" s="1"/>
  <c r="V170" i="3"/>
  <c r="J170" i="3"/>
  <c r="V169" i="3"/>
  <c r="J169" i="3"/>
  <c r="AI169" i="3"/>
  <c r="J139" i="4"/>
  <c r="AF138" i="4"/>
  <c r="AE138" i="4"/>
  <c r="AC138" i="4"/>
  <c r="AB138" i="4"/>
  <c r="Z138" i="4"/>
  <c r="Y138" i="4"/>
  <c r="V138" i="4"/>
  <c r="S138" i="4"/>
  <c r="AF137" i="4"/>
  <c r="AE137" i="4"/>
  <c r="AC137" i="4"/>
  <c r="AB137" i="4"/>
  <c r="Z137" i="4"/>
  <c r="Y137" i="4"/>
  <c r="V137" i="4"/>
  <c r="S137" i="4"/>
  <c r="AG137" i="4"/>
  <c r="AF136" i="4"/>
  <c r="AE136" i="4"/>
  <c r="AC136" i="4"/>
  <c r="AB136" i="4"/>
  <c r="Z136" i="4"/>
  <c r="Y136" i="4"/>
  <c r="V136" i="4"/>
  <c r="S136" i="4"/>
  <c r="AF135" i="4"/>
  <c r="AE135" i="4"/>
  <c r="AC135" i="4"/>
  <c r="AB135" i="4"/>
  <c r="Z135" i="4"/>
  <c r="Y135" i="4"/>
  <c r="V135" i="4"/>
  <c r="S135" i="4"/>
  <c r="AG136" i="4" l="1"/>
  <c r="AG135" i="4"/>
  <c r="J17" i="11"/>
  <c r="AG138" i="4"/>
  <c r="T138" i="4"/>
  <c r="M138" i="4"/>
  <c r="X138" i="4" s="1"/>
  <c r="AI138" i="4" s="1"/>
  <c r="J138" i="4"/>
  <c r="T137" i="4"/>
  <c r="J137" i="4"/>
  <c r="M137" i="4"/>
  <c r="X137" i="4" s="1"/>
  <c r="AI137" i="4" s="1"/>
  <c r="T136" i="4"/>
  <c r="M136" i="4"/>
  <c r="X136" i="4" s="1"/>
  <c r="AI136" i="4" s="1"/>
  <c r="J136" i="4"/>
  <c r="T135" i="4"/>
  <c r="J135" i="4"/>
  <c r="M135" i="4"/>
  <c r="X135" i="4" s="1"/>
  <c r="AI135" i="4" s="1"/>
  <c r="A19" i="9"/>
  <c r="D27" i="8" l="1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M58" i="6"/>
  <c r="M59" i="6" s="1"/>
  <c r="L58" i="6"/>
  <c r="L59" i="6" s="1"/>
  <c r="K58" i="6"/>
  <c r="K59" i="6" s="1"/>
  <c r="J58" i="6"/>
  <c r="J59" i="6" s="1"/>
  <c r="I58" i="6"/>
  <c r="I59" i="6" s="1"/>
  <c r="H58" i="6"/>
  <c r="H59" i="6" s="1"/>
  <c r="G58" i="6"/>
  <c r="G59" i="6" s="1"/>
  <c r="F58" i="6"/>
  <c r="F59" i="6" s="1"/>
  <c r="E58" i="6"/>
  <c r="E59" i="6" s="1"/>
  <c r="D58" i="6"/>
  <c r="D59" i="6" s="1"/>
  <c r="D35" i="8" l="1"/>
  <c r="B56" i="6"/>
  <c r="C59" i="6"/>
  <c r="B58" i="6"/>
  <c r="B59" i="6" s="1"/>
  <c r="AN168" i="3" l="1"/>
  <c r="AH168" i="3"/>
  <c r="AG168" i="3"/>
  <c r="AE168" i="3"/>
  <c r="AD168" i="3"/>
  <c r="AB168" i="3"/>
  <c r="AA168" i="3"/>
  <c r="X168" i="3"/>
  <c r="U168" i="3"/>
  <c r="AN167" i="3"/>
  <c r="AH167" i="3"/>
  <c r="AG167" i="3"/>
  <c r="AE167" i="3"/>
  <c r="AD167" i="3"/>
  <c r="AB167" i="3"/>
  <c r="AA167" i="3"/>
  <c r="X167" i="3"/>
  <c r="U167" i="3"/>
  <c r="O167" i="3"/>
  <c r="AK167" i="3" s="1"/>
  <c r="AN166" i="3"/>
  <c r="AH166" i="3"/>
  <c r="AG166" i="3"/>
  <c r="AE166" i="3"/>
  <c r="AD166" i="3"/>
  <c r="AB166" i="3"/>
  <c r="AA166" i="3"/>
  <c r="X166" i="3"/>
  <c r="U166" i="3"/>
  <c r="J166" i="3"/>
  <c r="AN165" i="3"/>
  <c r="AH165" i="3"/>
  <c r="AG165" i="3"/>
  <c r="AE165" i="3"/>
  <c r="AD165" i="3"/>
  <c r="AB165" i="3"/>
  <c r="AA165" i="3"/>
  <c r="X165" i="3"/>
  <c r="U165" i="3"/>
  <c r="J165" i="3"/>
  <c r="AN164" i="3"/>
  <c r="AH164" i="3"/>
  <c r="AG164" i="3"/>
  <c r="AE164" i="3"/>
  <c r="AD164" i="3"/>
  <c r="AB164" i="3"/>
  <c r="AA164" i="3"/>
  <c r="X164" i="3"/>
  <c r="U164" i="3"/>
  <c r="O164" i="3"/>
  <c r="Z164" i="3" s="1"/>
  <c r="AK164" i="3" s="1"/>
  <c r="AN163" i="3"/>
  <c r="AH163" i="3"/>
  <c r="AG163" i="3"/>
  <c r="AE163" i="3"/>
  <c r="AD163" i="3"/>
  <c r="AB163" i="3"/>
  <c r="AA163" i="3"/>
  <c r="X163" i="3"/>
  <c r="U163" i="3"/>
  <c r="J163" i="3"/>
  <c r="AN162" i="3"/>
  <c r="AH162" i="3"/>
  <c r="AG162" i="3"/>
  <c r="AE162" i="3"/>
  <c r="AD162" i="3"/>
  <c r="AB162" i="3"/>
  <c r="AA162" i="3"/>
  <c r="X162" i="3"/>
  <c r="U162" i="3"/>
  <c r="AN161" i="3"/>
  <c r="AH161" i="3"/>
  <c r="AG161" i="3"/>
  <c r="AE161" i="3"/>
  <c r="AD161" i="3"/>
  <c r="AB161" i="3"/>
  <c r="AA161" i="3"/>
  <c r="X161" i="3"/>
  <c r="U161" i="3"/>
  <c r="O161" i="3"/>
  <c r="Z161" i="3" s="1"/>
  <c r="AK161" i="3" s="1"/>
  <c r="J119" i="4"/>
  <c r="J120" i="4"/>
  <c r="J121" i="4"/>
  <c r="J122" i="4"/>
  <c r="J123" i="4"/>
  <c r="J124" i="4"/>
  <c r="J125" i="4"/>
  <c r="J126" i="4"/>
  <c r="V168" i="3" l="1"/>
  <c r="V162" i="3"/>
  <c r="O168" i="3"/>
  <c r="AK168" i="3" s="1"/>
  <c r="AI168" i="3"/>
  <c r="J168" i="3"/>
  <c r="V167" i="3"/>
  <c r="J167" i="3"/>
  <c r="AI167" i="3"/>
  <c r="O166" i="3"/>
  <c r="Z166" i="3" s="1"/>
  <c r="AK166" i="3" s="1"/>
  <c r="V166" i="3"/>
  <c r="AI166" i="3"/>
  <c r="V165" i="3"/>
  <c r="J164" i="3"/>
  <c r="AI165" i="3"/>
  <c r="O165" i="3"/>
  <c r="Z165" i="3" s="1"/>
  <c r="AK165" i="3" s="1"/>
  <c r="O163" i="3"/>
  <c r="Z163" i="3" s="1"/>
  <c r="AK163" i="3" s="1"/>
  <c r="V164" i="3"/>
  <c r="AI164" i="3"/>
  <c r="V163" i="3"/>
  <c r="AI163" i="3"/>
  <c r="O162" i="3"/>
  <c r="Z162" i="3" s="1"/>
  <c r="AK162" i="3" s="1"/>
  <c r="AI162" i="3"/>
  <c r="J162" i="3"/>
  <c r="V161" i="3"/>
  <c r="J161" i="3"/>
  <c r="AI161" i="3"/>
  <c r="AH160" i="3"/>
  <c r="AG160" i="3"/>
  <c r="AE160" i="3"/>
  <c r="AD160" i="3"/>
  <c r="AA160" i="3"/>
  <c r="X160" i="3"/>
  <c r="U160" i="3"/>
  <c r="AH159" i="3"/>
  <c r="AG159" i="3"/>
  <c r="AE159" i="3"/>
  <c r="AD159" i="3"/>
  <c r="AA159" i="3"/>
  <c r="X159" i="3"/>
  <c r="U159" i="3"/>
  <c r="AF118" i="4"/>
  <c r="AE118" i="4"/>
  <c r="AC118" i="4"/>
  <c r="AB118" i="4"/>
  <c r="Z118" i="4"/>
  <c r="Y118" i="4"/>
  <c r="V118" i="4"/>
  <c r="S118" i="4"/>
  <c r="AG118" i="4"/>
  <c r="AF117" i="4"/>
  <c r="AE117" i="4"/>
  <c r="AC117" i="4"/>
  <c r="AB117" i="4"/>
  <c r="Z117" i="4"/>
  <c r="Y117" i="4"/>
  <c r="V117" i="4"/>
  <c r="S117" i="4"/>
  <c r="M117" i="4"/>
  <c r="X117" i="4" s="1"/>
  <c r="AI117" i="4" s="1"/>
  <c r="AF116" i="4"/>
  <c r="AE116" i="4"/>
  <c r="AC116" i="4"/>
  <c r="AB116" i="4"/>
  <c r="Z116" i="4"/>
  <c r="Y116" i="4"/>
  <c r="V116" i="4"/>
  <c r="S116" i="4"/>
  <c r="AF115" i="4"/>
  <c r="AE115" i="4"/>
  <c r="AC115" i="4"/>
  <c r="AB115" i="4"/>
  <c r="Z115" i="4"/>
  <c r="Y115" i="4"/>
  <c r="V115" i="4"/>
  <c r="S115" i="4"/>
  <c r="J114" i="4"/>
  <c r="J113" i="4"/>
  <c r="AF112" i="4"/>
  <c r="AE112" i="4"/>
  <c r="AC112" i="4"/>
  <c r="AB112" i="4"/>
  <c r="Z112" i="4"/>
  <c r="Y112" i="4"/>
  <c r="V112" i="4"/>
  <c r="S112" i="4"/>
  <c r="AF111" i="4"/>
  <c r="AE111" i="4"/>
  <c r="AC111" i="4"/>
  <c r="AB111" i="4"/>
  <c r="Z111" i="4"/>
  <c r="Y111" i="4"/>
  <c r="V111" i="4"/>
  <c r="S111" i="4"/>
  <c r="M111" i="4"/>
  <c r="X111" i="4" s="1"/>
  <c r="AI111" i="4" s="1"/>
  <c r="AF110" i="4"/>
  <c r="AE110" i="4"/>
  <c r="AC110" i="4"/>
  <c r="AB110" i="4"/>
  <c r="Z110" i="4"/>
  <c r="Y110" i="4"/>
  <c r="V110" i="4"/>
  <c r="S110" i="4"/>
  <c r="AG110" i="4"/>
  <c r="AF109" i="4"/>
  <c r="AE109" i="4"/>
  <c r="AC109" i="4"/>
  <c r="AB109" i="4"/>
  <c r="Z109" i="4"/>
  <c r="Y109" i="4"/>
  <c r="V109" i="4"/>
  <c r="S109" i="4"/>
  <c r="AF108" i="4"/>
  <c r="AE108" i="4"/>
  <c r="AC108" i="4"/>
  <c r="AB108" i="4"/>
  <c r="Z108" i="4"/>
  <c r="Y108" i="4"/>
  <c r="V108" i="4"/>
  <c r="S108" i="4"/>
  <c r="AG108" i="4"/>
  <c r="AF107" i="4"/>
  <c r="AE107" i="4"/>
  <c r="AC107" i="4"/>
  <c r="AB107" i="4"/>
  <c r="Z107" i="4"/>
  <c r="Y107" i="4"/>
  <c r="V107" i="4"/>
  <c r="S107" i="4"/>
  <c r="M107" i="4"/>
  <c r="X107" i="4" s="1"/>
  <c r="AI107" i="4" s="1"/>
  <c r="AF106" i="4"/>
  <c r="AE106" i="4"/>
  <c r="AC106" i="4"/>
  <c r="AB106" i="4"/>
  <c r="Z106" i="4"/>
  <c r="Y106" i="4"/>
  <c r="V106" i="4"/>
  <c r="S106" i="4"/>
  <c r="AF105" i="4"/>
  <c r="AE105" i="4"/>
  <c r="AC105" i="4"/>
  <c r="AB105" i="4"/>
  <c r="Z105" i="4"/>
  <c r="Y105" i="4"/>
  <c r="V105" i="4"/>
  <c r="S105" i="4"/>
  <c r="M105" i="4"/>
  <c r="X105" i="4" s="1"/>
  <c r="AI105" i="4" s="1"/>
  <c r="AN157" i="3"/>
  <c r="AH157" i="3"/>
  <c r="AI157" i="3" s="1"/>
  <c r="AG157" i="3"/>
  <c r="AE157" i="3"/>
  <c r="AD157" i="3"/>
  <c r="AB157" i="3"/>
  <c r="AA157" i="3"/>
  <c r="X157" i="3"/>
  <c r="U157" i="3"/>
  <c r="AN156" i="3"/>
  <c r="AH156" i="3"/>
  <c r="AI156" i="3" s="1"/>
  <c r="AG156" i="3"/>
  <c r="AE156" i="3"/>
  <c r="AD156" i="3"/>
  <c r="AB156" i="3"/>
  <c r="AA156" i="3"/>
  <c r="X156" i="3"/>
  <c r="U156" i="3"/>
  <c r="AN155" i="3"/>
  <c r="AH155" i="3"/>
  <c r="AG155" i="3"/>
  <c r="AE155" i="3"/>
  <c r="AD155" i="3"/>
  <c r="AB155" i="3"/>
  <c r="AA155" i="3"/>
  <c r="X155" i="3"/>
  <c r="U155" i="3"/>
  <c r="AN154" i="3"/>
  <c r="AH154" i="3"/>
  <c r="AG154" i="3"/>
  <c r="AE154" i="3"/>
  <c r="AD154" i="3"/>
  <c r="AB154" i="3"/>
  <c r="AA154" i="3"/>
  <c r="X154" i="3"/>
  <c r="U154" i="3"/>
  <c r="AH153" i="3"/>
  <c r="AI153" i="3" s="1"/>
  <c r="AG153" i="3"/>
  <c r="AE153" i="3"/>
  <c r="AD153" i="3"/>
  <c r="AB153" i="3"/>
  <c r="AA153" i="3"/>
  <c r="X153" i="3"/>
  <c r="U153" i="3"/>
  <c r="AH152" i="3"/>
  <c r="AI152" i="3" s="1"/>
  <c r="AG152" i="3"/>
  <c r="AE152" i="3"/>
  <c r="AD152" i="3"/>
  <c r="AB152" i="3"/>
  <c r="AA152" i="3"/>
  <c r="X152" i="3"/>
  <c r="U152" i="3"/>
  <c r="AG106" i="4" l="1"/>
  <c r="AI155" i="3"/>
  <c r="AB160" i="3"/>
  <c r="J160" i="3"/>
  <c r="AI160" i="3"/>
  <c r="V160" i="3"/>
  <c r="O160" i="3"/>
  <c r="Z160" i="3" s="1"/>
  <c r="AK160" i="3" s="1"/>
  <c r="T115" i="4"/>
  <c r="AG116" i="4"/>
  <c r="AI159" i="3"/>
  <c r="T109" i="4"/>
  <c r="O159" i="3"/>
  <c r="Z159" i="3" s="1"/>
  <c r="AK159" i="3" s="1"/>
  <c r="V159" i="3"/>
  <c r="AB159" i="3"/>
  <c r="J159" i="3"/>
  <c r="AG112" i="4"/>
  <c r="AI154" i="3"/>
  <c r="T117" i="4"/>
  <c r="J116" i="4"/>
  <c r="T116" i="4"/>
  <c r="T118" i="4"/>
  <c r="J115" i="4"/>
  <c r="AG115" i="4"/>
  <c r="M116" i="4"/>
  <c r="X116" i="4" s="1"/>
  <c r="AI116" i="4" s="1"/>
  <c r="J117" i="4"/>
  <c r="AG117" i="4"/>
  <c r="M118" i="4"/>
  <c r="X118" i="4" s="1"/>
  <c r="AI118" i="4" s="1"/>
  <c r="M115" i="4"/>
  <c r="X115" i="4" s="1"/>
  <c r="AI115" i="4" s="1"/>
  <c r="J118" i="4"/>
  <c r="J107" i="4"/>
  <c r="T111" i="4"/>
  <c r="J111" i="4"/>
  <c r="J109" i="4"/>
  <c r="AG109" i="4"/>
  <c r="M110" i="4"/>
  <c r="X110" i="4" s="1"/>
  <c r="AI110" i="4" s="1"/>
  <c r="T110" i="4"/>
  <c r="AG111" i="4"/>
  <c r="M112" i="4"/>
  <c r="X112" i="4" s="1"/>
  <c r="AI112" i="4" s="1"/>
  <c r="T112" i="4"/>
  <c r="M109" i="4"/>
  <c r="X109" i="4" s="1"/>
  <c r="AI109" i="4" s="1"/>
  <c r="J110" i="4"/>
  <c r="J112" i="4"/>
  <c r="J105" i="4"/>
  <c r="T105" i="4"/>
  <c r="AG105" i="4"/>
  <c r="T107" i="4"/>
  <c r="AG107" i="4"/>
  <c r="M106" i="4"/>
  <c r="X106" i="4" s="1"/>
  <c r="AI106" i="4" s="1"/>
  <c r="T106" i="4"/>
  <c r="M108" i="4"/>
  <c r="X108" i="4" s="1"/>
  <c r="AI108" i="4" s="1"/>
  <c r="T108" i="4"/>
  <c r="J106" i="4"/>
  <c r="J108" i="4"/>
  <c r="O157" i="3"/>
  <c r="Z157" i="3" s="1"/>
  <c r="AK157" i="3" s="1"/>
  <c r="V157" i="3"/>
  <c r="J157" i="3"/>
  <c r="O156" i="3"/>
  <c r="Z156" i="3" s="1"/>
  <c r="AK156" i="3" s="1"/>
  <c r="V156" i="3"/>
  <c r="J156" i="3"/>
  <c r="O155" i="3"/>
  <c r="Z155" i="3" s="1"/>
  <c r="AK155" i="3" s="1"/>
  <c r="V155" i="3"/>
  <c r="J155" i="3"/>
  <c r="O154" i="3"/>
  <c r="Z154" i="3" s="1"/>
  <c r="AK154" i="3" s="1"/>
  <c r="V154" i="3"/>
  <c r="J154" i="3"/>
  <c r="O153" i="3"/>
  <c r="Z153" i="3" s="1"/>
  <c r="AK153" i="3" s="1"/>
  <c r="V153" i="3"/>
  <c r="J153" i="3"/>
  <c r="O152" i="3"/>
  <c r="Z152" i="3" s="1"/>
  <c r="AK152" i="3" s="1"/>
  <c r="V152" i="3"/>
  <c r="J152" i="3"/>
  <c r="AH151" i="3"/>
  <c r="AG151" i="3"/>
  <c r="AE151" i="3"/>
  <c r="AD151" i="3"/>
  <c r="AA151" i="3"/>
  <c r="X151" i="3"/>
  <c r="U151" i="3"/>
  <c r="AI151" i="3" l="1"/>
  <c r="O151" i="3"/>
  <c r="Z151" i="3" s="1"/>
  <c r="AK151" i="3" s="1"/>
  <c r="V151" i="3"/>
  <c r="AB151" i="3"/>
  <c r="J151" i="3"/>
  <c r="AH150" i="3"/>
  <c r="AG150" i="3"/>
  <c r="AE150" i="3"/>
  <c r="AD150" i="3"/>
  <c r="AB150" i="3"/>
  <c r="AA150" i="3"/>
  <c r="X150" i="3"/>
  <c r="U150" i="3"/>
  <c r="O150" i="3"/>
  <c r="Z150" i="3" s="1"/>
  <c r="AK150" i="3" s="1"/>
  <c r="AN149" i="3"/>
  <c r="AH149" i="3"/>
  <c r="AI149" i="3" s="1"/>
  <c r="AG149" i="3"/>
  <c r="AE149" i="3"/>
  <c r="AD149" i="3"/>
  <c r="AB149" i="3"/>
  <c r="AA149" i="3"/>
  <c r="X149" i="3"/>
  <c r="U149" i="3"/>
  <c r="AN148" i="3"/>
  <c r="AH148" i="3"/>
  <c r="AI148" i="3" s="1"/>
  <c r="AG148" i="3"/>
  <c r="AE148" i="3"/>
  <c r="AD148" i="3"/>
  <c r="AB148" i="3"/>
  <c r="AA148" i="3"/>
  <c r="X148" i="3"/>
  <c r="U148" i="3"/>
  <c r="AN147" i="3"/>
  <c r="AH147" i="3"/>
  <c r="AI147" i="3" s="1"/>
  <c r="AG147" i="3"/>
  <c r="AE147" i="3"/>
  <c r="AD147" i="3"/>
  <c r="AB147" i="3"/>
  <c r="AA147" i="3"/>
  <c r="X147" i="3"/>
  <c r="U147" i="3"/>
  <c r="AN146" i="3"/>
  <c r="AH146" i="3"/>
  <c r="AI146" i="3" s="1"/>
  <c r="AG146" i="3"/>
  <c r="AE146" i="3"/>
  <c r="AD146" i="3"/>
  <c r="AB146" i="3"/>
  <c r="AA146" i="3"/>
  <c r="X146" i="3"/>
  <c r="U146" i="3"/>
  <c r="H11" i="11" l="1"/>
  <c r="J150" i="3"/>
  <c r="V150" i="3"/>
  <c r="AI150" i="3"/>
  <c r="O149" i="3"/>
  <c r="Z149" i="3" s="1"/>
  <c r="AK149" i="3" s="1"/>
  <c r="V149" i="3"/>
  <c r="J149" i="3"/>
  <c r="V148" i="3"/>
  <c r="J148" i="3"/>
  <c r="O148" i="3"/>
  <c r="Z148" i="3" s="1"/>
  <c r="AK148" i="3" s="1"/>
  <c r="O147" i="3"/>
  <c r="Z147" i="3" s="1"/>
  <c r="AK147" i="3" s="1"/>
  <c r="V147" i="3"/>
  <c r="J147" i="3"/>
  <c r="V146" i="3"/>
  <c r="O146" i="3"/>
  <c r="Z146" i="3" s="1"/>
  <c r="AK146" i="3" s="1"/>
  <c r="J146" i="3"/>
  <c r="J11" i="11" l="1"/>
  <c r="H19" i="11"/>
  <c r="AN145" i="3"/>
  <c r="AH145" i="3"/>
  <c r="AG145" i="3"/>
  <c r="AE145" i="3"/>
  <c r="AD145" i="3"/>
  <c r="AB145" i="3"/>
  <c r="AA145" i="3"/>
  <c r="X145" i="3"/>
  <c r="U145" i="3"/>
  <c r="I11" i="11" l="1"/>
  <c r="I15" i="11"/>
  <c r="I17" i="11"/>
  <c r="J19" i="11"/>
  <c r="I12" i="11"/>
  <c r="I13" i="11"/>
  <c r="I8" i="11"/>
  <c r="I9" i="11"/>
  <c r="I16" i="11"/>
  <c r="I18" i="11"/>
  <c r="I14" i="11"/>
  <c r="I10" i="11"/>
  <c r="AI145" i="3"/>
  <c r="V145" i="3"/>
  <c r="J145" i="3"/>
  <c r="O145" i="3"/>
  <c r="Z145" i="3" s="1"/>
  <c r="AK145" i="3" s="1"/>
  <c r="K14" i="11" l="1"/>
  <c r="K15" i="11"/>
  <c r="K18" i="11"/>
  <c r="K17" i="11"/>
  <c r="K12" i="11"/>
  <c r="K10" i="11"/>
  <c r="K8" i="11"/>
  <c r="K16" i="11"/>
  <c r="K13" i="11"/>
  <c r="K9" i="11"/>
  <c r="K11" i="11"/>
  <c r="I19" i="11"/>
  <c r="AF104" i="4"/>
  <c r="AE104" i="4"/>
  <c r="AC104" i="4"/>
  <c r="AB104" i="4"/>
  <c r="Z104" i="4"/>
  <c r="Y104" i="4"/>
  <c r="V104" i="4"/>
  <c r="S104" i="4"/>
  <c r="AG104" i="4" l="1"/>
  <c r="K19" i="11"/>
  <c r="M104" i="4"/>
  <c r="X104" i="4" s="1"/>
  <c r="AI104" i="4" s="1"/>
  <c r="T104" i="4"/>
  <c r="J104" i="4"/>
  <c r="AH144" i="3"/>
  <c r="AG144" i="3"/>
  <c r="AE144" i="3"/>
  <c r="AD144" i="3"/>
  <c r="AB144" i="3"/>
  <c r="AA144" i="3"/>
  <c r="X144" i="3"/>
  <c r="U144" i="3"/>
  <c r="AH143" i="3"/>
  <c r="AG143" i="3"/>
  <c r="AE143" i="3"/>
  <c r="AD143" i="3"/>
  <c r="AB143" i="3"/>
  <c r="AA143" i="3"/>
  <c r="X143" i="3"/>
  <c r="U143" i="3"/>
  <c r="AI143" i="3"/>
  <c r="AH142" i="3"/>
  <c r="AG142" i="3"/>
  <c r="AE142" i="3"/>
  <c r="AD142" i="3"/>
  <c r="AA142" i="3"/>
  <c r="X142" i="3"/>
  <c r="U142" i="3"/>
  <c r="S103" i="4"/>
  <c r="J103" i="4"/>
  <c r="J102" i="4"/>
  <c r="J101" i="4"/>
  <c r="J100" i="4"/>
  <c r="J99" i="4"/>
  <c r="J98" i="4"/>
  <c r="J97" i="4"/>
  <c r="J96" i="4"/>
  <c r="J95" i="4"/>
  <c r="J94" i="4"/>
  <c r="J93" i="4"/>
  <c r="J92" i="4"/>
  <c r="AF91" i="4"/>
  <c r="AE91" i="4"/>
  <c r="AC91" i="4"/>
  <c r="AB91" i="4"/>
  <c r="Z91" i="4"/>
  <c r="Y91" i="4"/>
  <c r="V91" i="4"/>
  <c r="S91" i="4"/>
  <c r="AG91" i="4" l="1"/>
  <c r="AI144" i="3"/>
  <c r="O144" i="3"/>
  <c r="Z144" i="3" s="1"/>
  <c r="AK144" i="3" s="1"/>
  <c r="V144" i="3"/>
  <c r="J144" i="3"/>
  <c r="O143" i="3"/>
  <c r="Z143" i="3" s="1"/>
  <c r="AK143" i="3" s="1"/>
  <c r="V143" i="3"/>
  <c r="AI142" i="3"/>
  <c r="J143" i="3"/>
  <c r="O142" i="3"/>
  <c r="Z142" i="3" s="1"/>
  <c r="AK142" i="3" s="1"/>
  <c r="V142" i="3"/>
  <c r="AB142" i="3"/>
  <c r="J142" i="3"/>
  <c r="T103" i="4"/>
  <c r="M103" i="4"/>
  <c r="J91" i="4"/>
  <c r="T91" i="4"/>
  <c r="M91" i="4"/>
  <c r="X91" i="4" s="1"/>
  <c r="AI91" i="4" s="1"/>
  <c r="J90" i="4"/>
  <c r="K2" i="10" l="1"/>
  <c r="G23" i="10"/>
  <c r="G25" i="10" s="1"/>
  <c r="F23" i="10"/>
  <c r="F25" i="10" s="1"/>
  <c r="E23" i="10"/>
  <c r="E25" i="10" s="1"/>
  <c r="D23" i="10"/>
  <c r="D25" i="10" s="1"/>
  <c r="C23" i="10"/>
  <c r="AN141" i="3"/>
  <c r="AH141" i="3"/>
  <c r="AG141" i="3"/>
  <c r="AE141" i="3"/>
  <c r="AD141" i="3"/>
  <c r="AB141" i="3"/>
  <c r="AA141" i="3"/>
  <c r="X141" i="3"/>
  <c r="U141" i="3"/>
  <c r="O141" i="3"/>
  <c r="Z141" i="3" s="1"/>
  <c r="AK141" i="3" s="1"/>
  <c r="AN140" i="3"/>
  <c r="AH140" i="3"/>
  <c r="AG140" i="3"/>
  <c r="AE140" i="3"/>
  <c r="AD140" i="3"/>
  <c r="AB140" i="3"/>
  <c r="AA140" i="3"/>
  <c r="X140" i="3"/>
  <c r="U140" i="3"/>
  <c r="O140" i="3"/>
  <c r="Z140" i="3" s="1"/>
  <c r="AK140" i="3" s="1"/>
  <c r="AN139" i="3"/>
  <c r="AH139" i="3"/>
  <c r="AG139" i="3"/>
  <c r="AE139" i="3"/>
  <c r="AD139" i="3"/>
  <c r="AB139" i="3"/>
  <c r="AA139" i="3"/>
  <c r="X139" i="3"/>
  <c r="U139" i="3"/>
  <c r="O139" i="3"/>
  <c r="Z139" i="3" s="1"/>
  <c r="AK139" i="3" s="1"/>
  <c r="E26" i="10" l="1"/>
  <c r="V141" i="3"/>
  <c r="AI141" i="3"/>
  <c r="J141" i="3"/>
  <c r="V140" i="3"/>
  <c r="AI140" i="3"/>
  <c r="J140" i="3"/>
  <c r="J139" i="3"/>
  <c r="V139" i="3"/>
  <c r="AI139" i="3"/>
  <c r="AH138" i="3"/>
  <c r="AG138" i="3"/>
  <c r="AE138" i="3"/>
  <c r="AD138" i="3"/>
  <c r="AB138" i="3"/>
  <c r="AA138" i="3"/>
  <c r="X138" i="3"/>
  <c r="U138" i="3"/>
  <c r="AI138" i="3"/>
  <c r="J89" i="4"/>
  <c r="AF88" i="4"/>
  <c r="AE88" i="4"/>
  <c r="AC88" i="4"/>
  <c r="AB88" i="4"/>
  <c r="Z88" i="4"/>
  <c r="Y88" i="4"/>
  <c r="V88" i="4"/>
  <c r="S88" i="4"/>
  <c r="AF87" i="4"/>
  <c r="AE87" i="4"/>
  <c r="AC87" i="4"/>
  <c r="AB87" i="4"/>
  <c r="Z87" i="4"/>
  <c r="Y87" i="4"/>
  <c r="V87" i="4"/>
  <c r="S87" i="4"/>
  <c r="AF86" i="4"/>
  <c r="AE86" i="4"/>
  <c r="AC86" i="4"/>
  <c r="AB86" i="4"/>
  <c r="Z86" i="4"/>
  <c r="Y86" i="4"/>
  <c r="V86" i="4"/>
  <c r="S86" i="4"/>
  <c r="AG86" i="4"/>
  <c r="J85" i="4"/>
  <c r="AF84" i="4"/>
  <c r="AE84" i="4"/>
  <c r="AC84" i="4"/>
  <c r="AB84" i="4"/>
  <c r="Z84" i="4"/>
  <c r="Y84" i="4"/>
  <c r="V84" i="4"/>
  <c r="S84" i="4"/>
  <c r="AF83" i="4"/>
  <c r="AE83" i="4"/>
  <c r="AC83" i="4"/>
  <c r="AB83" i="4"/>
  <c r="Z83" i="4"/>
  <c r="Y83" i="4"/>
  <c r="V83" i="4"/>
  <c r="S83" i="4"/>
  <c r="AF82" i="4"/>
  <c r="AE82" i="4"/>
  <c r="AC82" i="4"/>
  <c r="AB82" i="4"/>
  <c r="Z82" i="4"/>
  <c r="Y82" i="4"/>
  <c r="V82" i="4"/>
  <c r="S82" i="4"/>
  <c r="AG87" i="4" l="1"/>
  <c r="AG88" i="4"/>
  <c r="AG84" i="4"/>
  <c r="AG83" i="4"/>
  <c r="AG82" i="4"/>
  <c r="O138" i="3"/>
  <c r="Z138" i="3" s="1"/>
  <c r="AK138" i="3" s="1"/>
  <c r="V138" i="3"/>
  <c r="J138" i="3"/>
  <c r="J87" i="4"/>
  <c r="J83" i="4"/>
  <c r="J88" i="4"/>
  <c r="J86" i="4"/>
  <c r="J84" i="4"/>
  <c r="T88" i="4"/>
  <c r="M88" i="4"/>
  <c r="X88" i="4" s="1"/>
  <c r="AI88" i="4" s="1"/>
  <c r="T87" i="4"/>
  <c r="M87" i="4"/>
  <c r="X87" i="4" s="1"/>
  <c r="AI87" i="4" s="1"/>
  <c r="T86" i="4"/>
  <c r="M86" i="4"/>
  <c r="X86" i="4" s="1"/>
  <c r="AI86" i="4" s="1"/>
  <c r="M84" i="4"/>
  <c r="X84" i="4" s="1"/>
  <c r="AI84" i="4" s="1"/>
  <c r="T84" i="4"/>
  <c r="M83" i="4"/>
  <c r="X83" i="4" s="1"/>
  <c r="AI83" i="4" s="1"/>
  <c r="T83" i="4"/>
  <c r="M82" i="4"/>
  <c r="X82" i="4" s="1"/>
  <c r="AI82" i="4" s="1"/>
  <c r="T82" i="4"/>
  <c r="J82" i="4"/>
  <c r="AH137" i="3"/>
  <c r="AI137" i="3" s="1"/>
  <c r="AG137" i="3"/>
  <c r="AE137" i="3"/>
  <c r="AD137" i="3"/>
  <c r="AB137" i="3"/>
  <c r="AA137" i="3"/>
  <c r="X137" i="3"/>
  <c r="U137" i="3"/>
  <c r="AH136" i="3"/>
  <c r="AG136" i="3"/>
  <c r="AE136" i="3"/>
  <c r="AD136" i="3"/>
  <c r="AB136" i="3"/>
  <c r="AA136" i="3"/>
  <c r="X136" i="3"/>
  <c r="U136" i="3"/>
  <c r="O136" i="3"/>
  <c r="Z136" i="3" s="1"/>
  <c r="AK136" i="3" s="1"/>
  <c r="AH135" i="3"/>
  <c r="AG135" i="3"/>
  <c r="AE135" i="3"/>
  <c r="AD135" i="3"/>
  <c r="AB135" i="3"/>
  <c r="AA135" i="3"/>
  <c r="X135" i="3"/>
  <c r="U135" i="3"/>
  <c r="O135" i="3"/>
  <c r="Z135" i="3" s="1"/>
  <c r="AK135" i="3" s="1"/>
  <c r="O137" i="3" l="1"/>
  <c r="Z137" i="3" s="1"/>
  <c r="V137" i="3"/>
  <c r="J137" i="3"/>
  <c r="V136" i="3"/>
  <c r="AI136" i="3"/>
  <c r="J136" i="3"/>
  <c r="V135" i="3"/>
  <c r="AI135" i="3"/>
  <c r="J135" i="3"/>
  <c r="AH134" i="3"/>
  <c r="AG134" i="3"/>
  <c r="AE134" i="3"/>
  <c r="AD134" i="3"/>
  <c r="AB134" i="3"/>
  <c r="AA134" i="3"/>
  <c r="X134" i="3"/>
  <c r="U134" i="3"/>
  <c r="AI134" i="3"/>
  <c r="AF81" i="4"/>
  <c r="AE81" i="4"/>
  <c r="AC81" i="4"/>
  <c r="AB81" i="4"/>
  <c r="Z81" i="4"/>
  <c r="Y81" i="4"/>
  <c r="X81" i="4"/>
  <c r="AI81" i="4" s="1"/>
  <c r="V81" i="4"/>
  <c r="S81" i="4"/>
  <c r="AF80" i="4"/>
  <c r="AE80" i="4"/>
  <c r="AC80" i="4"/>
  <c r="AB80" i="4"/>
  <c r="Z80" i="4"/>
  <c r="Y80" i="4"/>
  <c r="V80" i="4"/>
  <c r="S80" i="4"/>
  <c r="AG80" i="4"/>
  <c r="AF79" i="4"/>
  <c r="AE79" i="4"/>
  <c r="AC79" i="4"/>
  <c r="AB79" i="4"/>
  <c r="Z79" i="4"/>
  <c r="Y79" i="4"/>
  <c r="V79" i="4"/>
  <c r="S79" i="4"/>
  <c r="AF78" i="4"/>
  <c r="AE78" i="4"/>
  <c r="AC78" i="4"/>
  <c r="AB78" i="4"/>
  <c r="Z78" i="4"/>
  <c r="Y78" i="4"/>
  <c r="V78" i="4"/>
  <c r="S78" i="4"/>
  <c r="AG78" i="4"/>
  <c r="AF77" i="4"/>
  <c r="AE77" i="4"/>
  <c r="AC77" i="4"/>
  <c r="AB77" i="4"/>
  <c r="Z77" i="4"/>
  <c r="Y77" i="4"/>
  <c r="V77" i="4"/>
  <c r="S77" i="4"/>
  <c r="AF76" i="4"/>
  <c r="AE76" i="4"/>
  <c r="AC76" i="4"/>
  <c r="AB76" i="4"/>
  <c r="Z76" i="4"/>
  <c r="Y76" i="4"/>
  <c r="V76" i="4"/>
  <c r="S76" i="4"/>
  <c r="AG76" i="4"/>
  <c r="AF75" i="4"/>
  <c r="AE75" i="4"/>
  <c r="AC75" i="4"/>
  <c r="AB75" i="4"/>
  <c r="Z75" i="4"/>
  <c r="Y75" i="4"/>
  <c r="V75" i="4"/>
  <c r="S75" i="4"/>
  <c r="AF74" i="4"/>
  <c r="AE74" i="4"/>
  <c r="AC74" i="4"/>
  <c r="AB74" i="4"/>
  <c r="Z74" i="4"/>
  <c r="Y74" i="4"/>
  <c r="V74" i="4"/>
  <c r="S74" i="4"/>
  <c r="AF73" i="4"/>
  <c r="AE73" i="4"/>
  <c r="AC73" i="4"/>
  <c r="AB73" i="4"/>
  <c r="Z73" i="4"/>
  <c r="Y73" i="4"/>
  <c r="V73" i="4"/>
  <c r="S73" i="4"/>
  <c r="AF72" i="4"/>
  <c r="AG72" i="4" s="1"/>
  <c r="AE72" i="4"/>
  <c r="AC72" i="4"/>
  <c r="AB72" i="4"/>
  <c r="Z72" i="4"/>
  <c r="Y72" i="4"/>
  <c r="V72" i="4"/>
  <c r="S72" i="4"/>
  <c r="AF71" i="4"/>
  <c r="AE71" i="4"/>
  <c r="AC71" i="4"/>
  <c r="AB71" i="4"/>
  <c r="Z71" i="4"/>
  <c r="Y71" i="4"/>
  <c r="V71" i="4"/>
  <c r="S71" i="4"/>
  <c r="AF70" i="4"/>
  <c r="AE70" i="4"/>
  <c r="AC70" i="4"/>
  <c r="AB70" i="4"/>
  <c r="Z70" i="4"/>
  <c r="Y70" i="4"/>
  <c r="V70" i="4"/>
  <c r="S70" i="4"/>
  <c r="AG70" i="4"/>
  <c r="AF69" i="4"/>
  <c r="AE69" i="4"/>
  <c r="AC69" i="4"/>
  <c r="AB69" i="4"/>
  <c r="Z69" i="4"/>
  <c r="Y69" i="4"/>
  <c r="V69" i="4"/>
  <c r="S69" i="4"/>
  <c r="M69" i="4"/>
  <c r="X69" i="4" s="1"/>
  <c r="AI69" i="4" s="1"/>
  <c r="AF68" i="4"/>
  <c r="AE68" i="4"/>
  <c r="AC68" i="4"/>
  <c r="AB68" i="4"/>
  <c r="Z68" i="4"/>
  <c r="Y68" i="4"/>
  <c r="V68" i="4"/>
  <c r="S68" i="4"/>
  <c r="AG68" i="4" l="1"/>
  <c r="AG77" i="4"/>
  <c r="AG79" i="4"/>
  <c r="AG75" i="4"/>
  <c r="AG74" i="4"/>
  <c r="AG71" i="4"/>
  <c r="AG73" i="4"/>
  <c r="AG81" i="4"/>
  <c r="V134" i="3"/>
  <c r="O134" i="3"/>
  <c r="Z134" i="3" s="1"/>
  <c r="AK134" i="3" s="1"/>
  <c r="J134" i="3"/>
  <c r="J81" i="4"/>
  <c r="T81" i="4"/>
  <c r="T80" i="4"/>
  <c r="M80" i="4"/>
  <c r="X80" i="4" s="1"/>
  <c r="AI80" i="4" s="1"/>
  <c r="J80" i="4"/>
  <c r="M79" i="4"/>
  <c r="X79" i="4" s="1"/>
  <c r="AI79" i="4" s="1"/>
  <c r="T79" i="4"/>
  <c r="J79" i="4"/>
  <c r="M78" i="4"/>
  <c r="X78" i="4" s="1"/>
  <c r="AI78" i="4" s="1"/>
  <c r="T78" i="4"/>
  <c r="J78" i="4"/>
  <c r="M77" i="4"/>
  <c r="X77" i="4" s="1"/>
  <c r="AI77" i="4" s="1"/>
  <c r="T77" i="4"/>
  <c r="J77" i="4"/>
  <c r="M76" i="4"/>
  <c r="X76" i="4" s="1"/>
  <c r="AI76" i="4" s="1"/>
  <c r="T76" i="4"/>
  <c r="J76" i="4"/>
  <c r="T75" i="4"/>
  <c r="M75" i="4"/>
  <c r="X75" i="4" s="1"/>
  <c r="AI75" i="4" s="1"/>
  <c r="J75" i="4"/>
  <c r="M74" i="4"/>
  <c r="X74" i="4" s="1"/>
  <c r="AI74" i="4" s="1"/>
  <c r="T74" i="4"/>
  <c r="J74" i="4"/>
  <c r="J73" i="4"/>
  <c r="T73" i="4"/>
  <c r="M73" i="4"/>
  <c r="X73" i="4" s="1"/>
  <c r="AI73" i="4" s="1"/>
  <c r="M72" i="4"/>
  <c r="X72" i="4" s="1"/>
  <c r="AI72" i="4" s="1"/>
  <c r="T72" i="4"/>
  <c r="J72" i="4"/>
  <c r="M71" i="4"/>
  <c r="X71" i="4" s="1"/>
  <c r="AI71" i="4" s="1"/>
  <c r="T71" i="4"/>
  <c r="J71" i="4"/>
  <c r="T70" i="4"/>
  <c r="M70" i="4"/>
  <c r="X70" i="4" s="1"/>
  <c r="AI70" i="4" s="1"/>
  <c r="J70" i="4"/>
  <c r="T69" i="4"/>
  <c r="AG69" i="4"/>
  <c r="J69" i="4"/>
  <c r="J68" i="4"/>
  <c r="T68" i="4"/>
  <c r="M68" i="4"/>
  <c r="X68" i="4" s="1"/>
  <c r="AI68" i="4" s="1"/>
  <c r="AF67" i="4"/>
  <c r="AE67" i="4"/>
  <c r="AC67" i="4"/>
  <c r="AB67" i="4"/>
  <c r="Z67" i="4"/>
  <c r="Y67" i="4"/>
  <c r="V67" i="4"/>
  <c r="S67" i="4"/>
  <c r="H23" i="10" l="1"/>
  <c r="H25" i="10" s="1"/>
  <c r="T67" i="4"/>
  <c r="J67" i="4"/>
  <c r="AG67" i="4"/>
  <c r="M67" i="4"/>
  <c r="X67" i="4" s="1"/>
  <c r="AI67" i="4" s="1"/>
  <c r="M44" i="6"/>
  <c r="M48" i="6" s="1"/>
  <c r="M49" i="6" s="1"/>
  <c r="L44" i="6"/>
  <c r="L48" i="6" s="1"/>
  <c r="L49" i="6" s="1"/>
  <c r="K44" i="6"/>
  <c r="K48" i="6" s="1"/>
  <c r="K49" i="6" s="1"/>
  <c r="J44" i="6"/>
  <c r="J48" i="6" s="1"/>
  <c r="J49" i="6" s="1"/>
  <c r="I44" i="6"/>
  <c r="I48" i="6" s="1"/>
  <c r="I49" i="6" s="1"/>
  <c r="H44" i="6"/>
  <c r="H48" i="6" s="1"/>
  <c r="H49" i="6" s="1"/>
  <c r="G44" i="6"/>
  <c r="G48" i="6" s="1"/>
  <c r="G49" i="6" s="1"/>
  <c r="F44" i="6"/>
  <c r="F48" i="6" s="1"/>
  <c r="F49" i="6" s="1"/>
  <c r="E44" i="6"/>
  <c r="E48" i="6" s="1"/>
  <c r="E49" i="6" s="1"/>
  <c r="D44" i="6"/>
  <c r="D48" i="6" s="1"/>
  <c r="D49" i="6" s="1"/>
  <c r="C44" i="6"/>
  <c r="C48" i="6" s="1"/>
  <c r="C49" i="6" s="1"/>
  <c r="B44" i="6"/>
  <c r="L20" i="5"/>
  <c r="M20" i="5" s="1"/>
  <c r="L21" i="5"/>
  <c r="M21" i="5" s="1"/>
  <c r="L22" i="5"/>
  <c r="M22" i="5" s="1"/>
  <c r="L23" i="5"/>
  <c r="M23" i="5" s="1"/>
  <c r="L24" i="5"/>
  <c r="M24" i="5" s="1"/>
  <c r="L25" i="5"/>
  <c r="M25" i="5" s="1"/>
  <c r="L26" i="5"/>
  <c r="M26" i="5" s="1"/>
  <c r="L27" i="5"/>
  <c r="M27" i="5" s="1"/>
  <c r="L28" i="5"/>
  <c r="M28" i="5" s="1"/>
  <c r="L29" i="5"/>
  <c r="M29" i="5" s="1"/>
  <c r="L30" i="5"/>
  <c r="M30" i="5" s="1"/>
  <c r="L31" i="5"/>
  <c r="M31" i="5" s="1"/>
  <c r="L32" i="5"/>
  <c r="M32" i="5" s="1"/>
  <c r="L33" i="5"/>
  <c r="M33" i="5" s="1"/>
  <c r="L34" i="5"/>
  <c r="M34" i="5" s="1"/>
  <c r="L35" i="5"/>
  <c r="M35" i="5" s="1"/>
  <c r="L36" i="5"/>
  <c r="M36" i="5" s="1"/>
  <c r="L37" i="5"/>
  <c r="M37" i="5" s="1"/>
  <c r="L38" i="5"/>
  <c r="M38" i="5" s="1"/>
  <c r="L39" i="5"/>
  <c r="M39" i="5" s="1"/>
  <c r="L40" i="5"/>
  <c r="M40" i="5" s="1"/>
  <c r="L41" i="5"/>
  <c r="M41" i="5" s="1"/>
  <c r="L42" i="5"/>
  <c r="M42" i="5" s="1"/>
  <c r="L43" i="5"/>
  <c r="M43" i="5" s="1"/>
  <c r="L44" i="5"/>
  <c r="M44" i="5" s="1"/>
  <c r="L45" i="5"/>
  <c r="M45" i="5" s="1"/>
  <c r="L46" i="5"/>
  <c r="M46" i="5" s="1"/>
  <c r="L48" i="5"/>
  <c r="M48" i="5" s="1"/>
  <c r="L49" i="5"/>
  <c r="M49" i="5" s="1"/>
  <c r="L50" i="5"/>
  <c r="M50" i="5" s="1"/>
  <c r="L51" i="5"/>
  <c r="M51" i="5" s="1"/>
  <c r="L52" i="5"/>
  <c r="M52" i="5" s="1"/>
  <c r="L53" i="5"/>
  <c r="M53" i="5" s="1"/>
  <c r="L54" i="5"/>
  <c r="M54" i="5" s="1"/>
  <c r="L55" i="5"/>
  <c r="M55" i="5" s="1"/>
  <c r="L56" i="5"/>
  <c r="M56" i="5" s="1"/>
  <c r="L57" i="5"/>
  <c r="M57" i="5" s="1"/>
  <c r="L58" i="5"/>
  <c r="M58" i="5" s="1"/>
  <c r="L59" i="5"/>
  <c r="M59" i="5" s="1"/>
  <c r="L60" i="5"/>
  <c r="M60" i="5" s="1"/>
  <c r="L61" i="5"/>
  <c r="M61" i="5" s="1"/>
  <c r="L62" i="5"/>
  <c r="M62" i="5" s="1"/>
  <c r="L63" i="5"/>
  <c r="M63" i="5" s="1"/>
  <c r="L64" i="5"/>
  <c r="M64" i="5" s="1"/>
  <c r="L65" i="5"/>
  <c r="M65" i="5" s="1"/>
  <c r="L66" i="5"/>
  <c r="M66" i="5" s="1"/>
  <c r="L67" i="5"/>
  <c r="M67" i="5" s="1"/>
  <c r="L68" i="5"/>
  <c r="M68" i="5" s="1"/>
  <c r="L69" i="5"/>
  <c r="M69" i="5" s="1"/>
  <c r="L70" i="5"/>
  <c r="M70" i="5" s="1"/>
  <c r="L71" i="5"/>
  <c r="M71" i="5" s="1"/>
  <c r="L72" i="5"/>
  <c r="M72" i="5" s="1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126" i="5"/>
  <c r="AH133" i="3"/>
  <c r="AG133" i="3"/>
  <c r="AE133" i="3"/>
  <c r="AD133" i="3"/>
  <c r="AB133" i="3"/>
  <c r="AA133" i="3"/>
  <c r="X133" i="3"/>
  <c r="U133" i="3"/>
  <c r="O133" i="3"/>
  <c r="Z133" i="3" s="1"/>
  <c r="AK133" i="3" s="1"/>
  <c r="B48" i="6" l="1"/>
  <c r="B49" i="6" s="1"/>
  <c r="B46" i="6"/>
  <c r="M73" i="5"/>
  <c r="L47" i="5"/>
  <c r="M47" i="5" s="1"/>
  <c r="G12" i="9"/>
  <c r="V133" i="3"/>
  <c r="AI133" i="3"/>
  <c r="J133" i="3"/>
  <c r="AN130" i="3"/>
  <c r="AH132" i="3"/>
  <c r="AG132" i="3"/>
  <c r="AE132" i="3"/>
  <c r="AD132" i="3"/>
  <c r="AB132" i="3"/>
  <c r="AA132" i="3"/>
  <c r="X132" i="3"/>
  <c r="U132" i="3"/>
  <c r="AI132" i="3"/>
  <c r="AH131" i="3"/>
  <c r="AI131" i="3" s="1"/>
  <c r="AG131" i="3"/>
  <c r="AE131" i="3"/>
  <c r="AD131" i="3"/>
  <c r="AB131" i="3"/>
  <c r="AA131" i="3"/>
  <c r="X131" i="3"/>
  <c r="U131" i="3"/>
  <c r="V132" i="3" l="1"/>
  <c r="O132" i="3"/>
  <c r="Z132" i="3" s="1"/>
  <c r="AK132" i="3" s="1"/>
  <c r="J132" i="3"/>
  <c r="J131" i="3"/>
  <c r="V131" i="3"/>
  <c r="O131" i="3"/>
  <c r="Z131" i="3" s="1"/>
  <c r="AK131" i="3" s="1"/>
  <c r="AH130" i="3" l="1"/>
  <c r="AG130" i="3"/>
  <c r="AE130" i="3"/>
  <c r="AD130" i="3"/>
  <c r="AB130" i="3"/>
  <c r="AA130" i="3"/>
  <c r="X130" i="3"/>
  <c r="U130" i="3"/>
  <c r="AN129" i="3"/>
  <c r="AH129" i="3"/>
  <c r="AG129" i="3"/>
  <c r="AE129" i="3"/>
  <c r="AD129" i="3"/>
  <c r="AB129" i="3"/>
  <c r="AA129" i="3"/>
  <c r="X129" i="3"/>
  <c r="U129" i="3"/>
  <c r="AI129" i="3" l="1"/>
  <c r="AI130" i="3"/>
  <c r="O130" i="3"/>
  <c r="Z130" i="3" s="1"/>
  <c r="AK130" i="3" s="1"/>
  <c r="V130" i="3"/>
  <c r="J130" i="3"/>
  <c r="V129" i="3"/>
  <c r="O129" i="3"/>
  <c r="Z129" i="3" s="1"/>
  <c r="AK129" i="3" s="1"/>
  <c r="J129" i="3"/>
  <c r="K12" i="9" l="1"/>
  <c r="L37" i="6" l="1"/>
  <c r="B2" i="9"/>
  <c r="L6" i="9"/>
  <c r="K6" i="9"/>
  <c r="J6" i="9"/>
  <c r="I6" i="9"/>
  <c r="H6" i="9"/>
  <c r="G6" i="9"/>
  <c r="F6" i="9"/>
  <c r="E6" i="9"/>
  <c r="D6" i="9"/>
  <c r="C6" i="9"/>
  <c r="B6" i="9"/>
  <c r="A6" i="9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F10" i="6"/>
  <c r="F14" i="6" s="1"/>
  <c r="E31" i="8"/>
  <c r="J2" i="6"/>
  <c r="M10" i="6"/>
  <c r="M14" i="6" s="1"/>
  <c r="L10" i="6"/>
  <c r="L14" i="6" s="1"/>
  <c r="K10" i="6"/>
  <c r="K14" i="6" s="1"/>
  <c r="J10" i="6"/>
  <c r="J14" i="6" s="1"/>
  <c r="I10" i="6"/>
  <c r="I14" i="6" s="1"/>
  <c r="H10" i="6"/>
  <c r="H14" i="6" s="1"/>
  <c r="G10" i="6"/>
  <c r="G14" i="6" s="1"/>
  <c r="E10" i="6"/>
  <c r="E14" i="6" s="1"/>
  <c r="D10" i="6"/>
  <c r="D14" i="6" s="1"/>
  <c r="C10" i="6"/>
  <c r="C14" i="6" s="1"/>
  <c r="B10" i="6"/>
  <c r="B14" i="6" s="1"/>
  <c r="F35" i="8" l="1"/>
  <c r="L35" i="8"/>
  <c r="J35" i="8"/>
  <c r="I35" i="8"/>
  <c r="K35" i="8"/>
  <c r="M35" i="8"/>
  <c r="H35" i="8"/>
  <c r="G35" i="8"/>
  <c r="E35" i="8"/>
  <c r="C35" i="8"/>
  <c r="B35" i="8"/>
  <c r="C35" i="7"/>
  <c r="D35" i="7"/>
  <c r="E35" i="7"/>
  <c r="J35" i="7"/>
  <c r="H35" i="7"/>
  <c r="I35" i="7"/>
  <c r="G35" i="7"/>
  <c r="L35" i="7"/>
  <c r="B35" i="7"/>
  <c r="K35" i="7"/>
  <c r="F35" i="7"/>
  <c r="M35" i="7"/>
  <c r="H4" i="5"/>
  <c r="K3" i="5"/>
  <c r="B3" i="5"/>
  <c r="AH128" i="3"/>
  <c r="AG128" i="3"/>
  <c r="AE128" i="3"/>
  <c r="AD128" i="3"/>
  <c r="AB128" i="3"/>
  <c r="AA128" i="3"/>
  <c r="X128" i="3"/>
  <c r="U128" i="3"/>
  <c r="O128" i="3"/>
  <c r="Z128" i="3" s="1"/>
  <c r="AK128" i="3" s="1"/>
  <c r="L3" i="5" l="1"/>
  <c r="M3" i="5" s="1"/>
  <c r="C17" i="10"/>
  <c r="C12" i="10"/>
  <c r="H37" i="6"/>
  <c r="J37" i="6"/>
  <c r="I37" i="6"/>
  <c r="K37" i="6"/>
  <c r="E37" i="6"/>
  <c r="C37" i="6"/>
  <c r="F37" i="6"/>
  <c r="B37" i="6"/>
  <c r="D37" i="6"/>
  <c r="D5" i="6"/>
  <c r="M37" i="6"/>
  <c r="G37" i="6"/>
  <c r="B36" i="8"/>
  <c r="B36" i="7"/>
  <c r="H3" i="5"/>
  <c r="L4" i="5"/>
  <c r="M4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 s="1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V128" i="3"/>
  <c r="J128" i="3"/>
  <c r="AI128" i="3"/>
  <c r="AH127" i="3"/>
  <c r="AG127" i="3"/>
  <c r="AE127" i="3"/>
  <c r="AD127" i="3"/>
  <c r="AB127" i="3"/>
  <c r="AA127" i="3"/>
  <c r="X127" i="3"/>
  <c r="U127" i="3"/>
  <c r="O127" i="3"/>
  <c r="Z127" i="3" s="1"/>
  <c r="AK127" i="3" s="1"/>
  <c r="AH126" i="3"/>
  <c r="AG126" i="3"/>
  <c r="AE126" i="3"/>
  <c r="AD126" i="3"/>
  <c r="AA126" i="3"/>
  <c r="X126" i="3"/>
  <c r="U126" i="3"/>
  <c r="O126" i="3"/>
  <c r="Z126" i="3" s="1"/>
  <c r="AK126" i="3" s="1"/>
  <c r="AH125" i="3"/>
  <c r="AG125" i="3"/>
  <c r="AE125" i="3"/>
  <c r="AD125" i="3"/>
  <c r="AB125" i="3"/>
  <c r="AA125" i="3"/>
  <c r="X125" i="3"/>
  <c r="U125" i="3"/>
  <c r="O125" i="3"/>
  <c r="Z125" i="3" s="1"/>
  <c r="AK125" i="3" s="1"/>
  <c r="C24" i="10" l="1"/>
  <c r="I23" i="10"/>
  <c r="I25" i="10" s="1"/>
  <c r="B39" i="6"/>
  <c r="M41" i="6" s="1"/>
  <c r="P2" i="5"/>
  <c r="V127" i="3"/>
  <c r="J127" i="3"/>
  <c r="AI127" i="3"/>
  <c r="V126" i="3"/>
  <c r="AB126" i="3"/>
  <c r="J126" i="3"/>
  <c r="AI126" i="3"/>
  <c r="V125" i="3"/>
  <c r="J125" i="3"/>
  <c r="AI125" i="3"/>
  <c r="X102" i="3"/>
  <c r="E41" i="6" l="1"/>
  <c r="D41" i="6"/>
  <c r="J41" i="6"/>
  <c r="C41" i="6"/>
  <c r="G41" i="6"/>
  <c r="L41" i="6"/>
  <c r="F41" i="6"/>
  <c r="H41" i="6"/>
  <c r="I41" i="6"/>
  <c r="K41" i="6"/>
  <c r="B41" i="6"/>
  <c r="J66" i="4"/>
  <c r="AH101" i="3"/>
  <c r="AG101" i="3"/>
  <c r="AE101" i="3"/>
  <c r="AD101" i="3"/>
  <c r="AB101" i="3"/>
  <c r="AA101" i="3"/>
  <c r="X101" i="3"/>
  <c r="U101" i="3"/>
  <c r="O101" i="3"/>
  <c r="Z101" i="3" s="1"/>
  <c r="AK101" i="3" s="1"/>
  <c r="AH100" i="3"/>
  <c r="AG100" i="3"/>
  <c r="AE100" i="3"/>
  <c r="AD100" i="3"/>
  <c r="AB100" i="3"/>
  <c r="AA100" i="3"/>
  <c r="X100" i="3"/>
  <c r="U100" i="3"/>
  <c r="O100" i="3"/>
  <c r="Z100" i="3" s="1"/>
  <c r="AK100" i="3" s="1"/>
  <c r="J5" i="6" l="1"/>
  <c r="L5" i="6" s="1"/>
  <c r="J100" i="3"/>
  <c r="J101" i="3"/>
  <c r="V101" i="3"/>
  <c r="AI101" i="3"/>
  <c r="V100" i="3"/>
  <c r="AI100" i="3"/>
  <c r="J65" i="4" l="1"/>
  <c r="AH99" i="3"/>
  <c r="AG99" i="3"/>
  <c r="AE99" i="3"/>
  <c r="AD99" i="3"/>
  <c r="AB99" i="3"/>
  <c r="AA99" i="3"/>
  <c r="X99" i="3"/>
  <c r="U99" i="3"/>
  <c r="O99" i="3"/>
  <c r="Z99" i="3" s="1"/>
  <c r="AK99" i="3" s="1"/>
  <c r="V99" i="3" l="1"/>
  <c r="AI99" i="3"/>
  <c r="J99" i="3"/>
  <c r="J62" i="4"/>
  <c r="J63" i="4"/>
  <c r="J64" i="4"/>
  <c r="AF61" i="4" l="1"/>
  <c r="AE61" i="4"/>
  <c r="AC61" i="4"/>
  <c r="AB61" i="4"/>
  <c r="Z61" i="4"/>
  <c r="Y61" i="4"/>
  <c r="V61" i="4"/>
  <c r="S61" i="4"/>
  <c r="M61" i="4"/>
  <c r="X61" i="4" s="1"/>
  <c r="AI61" i="4" s="1"/>
  <c r="AF60" i="4"/>
  <c r="AE60" i="4"/>
  <c r="AC60" i="4"/>
  <c r="AB60" i="4"/>
  <c r="Z60" i="4"/>
  <c r="Y60" i="4"/>
  <c r="V60" i="4"/>
  <c r="S60" i="4"/>
  <c r="M60" i="4"/>
  <c r="X60" i="4" s="1"/>
  <c r="AI60" i="4" s="1"/>
  <c r="AF59" i="4"/>
  <c r="AE59" i="4"/>
  <c r="AC59" i="4"/>
  <c r="AB59" i="4"/>
  <c r="Z59" i="4"/>
  <c r="Y59" i="4"/>
  <c r="V59" i="4"/>
  <c r="S59" i="4"/>
  <c r="M59" i="4"/>
  <c r="X59" i="4" s="1"/>
  <c r="AI59" i="4" s="1"/>
  <c r="T61" i="4" l="1"/>
  <c r="T60" i="4"/>
  <c r="J61" i="4"/>
  <c r="AG61" i="4"/>
  <c r="T59" i="4"/>
  <c r="J60" i="4"/>
  <c r="AG60" i="4"/>
  <c r="J59" i="4"/>
  <c r="AG59" i="4"/>
  <c r="AH98" i="3"/>
  <c r="AG98" i="3"/>
  <c r="AE98" i="3"/>
  <c r="AD98" i="3"/>
  <c r="AA98" i="3"/>
  <c r="X98" i="3"/>
  <c r="U98" i="3"/>
  <c r="O98" i="3"/>
  <c r="Z98" i="3" s="1"/>
  <c r="AK98" i="3" s="1"/>
  <c r="AH97" i="3"/>
  <c r="AG97" i="3"/>
  <c r="AE97" i="3"/>
  <c r="AD97" i="3"/>
  <c r="AB97" i="3"/>
  <c r="AA97" i="3"/>
  <c r="X97" i="3"/>
  <c r="U97" i="3"/>
  <c r="O97" i="3"/>
  <c r="Z97" i="3" s="1"/>
  <c r="AK97" i="3" s="1"/>
  <c r="AH96" i="3"/>
  <c r="AG96" i="3"/>
  <c r="AE96" i="3"/>
  <c r="AD96" i="3"/>
  <c r="AB96" i="3"/>
  <c r="AA96" i="3"/>
  <c r="X96" i="3"/>
  <c r="U96" i="3"/>
  <c r="O96" i="3"/>
  <c r="Z96" i="3" s="1"/>
  <c r="AK96" i="3" s="1"/>
  <c r="V98" i="3" l="1"/>
  <c r="V97" i="3"/>
  <c r="AB98" i="3"/>
  <c r="J98" i="3"/>
  <c r="AI98" i="3"/>
  <c r="J97" i="3"/>
  <c r="AI97" i="3"/>
  <c r="V96" i="3"/>
  <c r="AI96" i="3"/>
  <c r="J96" i="3"/>
  <c r="AF57" i="4" l="1"/>
  <c r="AG57" i="4" s="1"/>
  <c r="AE57" i="4"/>
  <c r="AC57" i="4"/>
  <c r="AB57" i="4"/>
  <c r="Z57" i="4"/>
  <c r="Y57" i="4"/>
  <c r="V57" i="4"/>
  <c r="S57" i="4"/>
  <c r="M58" i="4" l="1"/>
  <c r="J58" i="4"/>
  <c r="T57" i="4"/>
  <c r="M57" i="4"/>
  <c r="X57" i="4" s="1"/>
  <c r="AI57" i="4" s="1"/>
  <c r="J57" i="4"/>
  <c r="AF56" i="4" l="1"/>
  <c r="AE56" i="4"/>
  <c r="AC56" i="4"/>
  <c r="AB56" i="4"/>
  <c r="Z56" i="4"/>
  <c r="Y56" i="4"/>
  <c r="V56" i="4"/>
  <c r="S56" i="4"/>
  <c r="M56" i="4"/>
  <c r="X56" i="4" s="1"/>
  <c r="AI56" i="4" s="1"/>
  <c r="AF55" i="4"/>
  <c r="AE55" i="4"/>
  <c r="AC55" i="4"/>
  <c r="AB55" i="4"/>
  <c r="Z55" i="4"/>
  <c r="Y55" i="4"/>
  <c r="V55" i="4"/>
  <c r="S55" i="4"/>
  <c r="M55" i="4"/>
  <c r="X55" i="4" s="1"/>
  <c r="AI55" i="4" s="1"/>
  <c r="AF54" i="4"/>
  <c r="AE54" i="4"/>
  <c r="AC54" i="4"/>
  <c r="AB54" i="4"/>
  <c r="Z54" i="4"/>
  <c r="Y54" i="4"/>
  <c r="V54" i="4"/>
  <c r="S54" i="4"/>
  <c r="M54" i="4"/>
  <c r="X54" i="4" s="1"/>
  <c r="AI54" i="4" s="1"/>
  <c r="AF53" i="4"/>
  <c r="AE53" i="4"/>
  <c r="AC53" i="4"/>
  <c r="AB53" i="4"/>
  <c r="Z53" i="4"/>
  <c r="Y53" i="4"/>
  <c r="V53" i="4"/>
  <c r="S53" i="4"/>
  <c r="M53" i="4"/>
  <c r="X53" i="4" s="1"/>
  <c r="AI53" i="4" s="1"/>
  <c r="AF52" i="4"/>
  <c r="AE52" i="4"/>
  <c r="AC52" i="4"/>
  <c r="AB52" i="4"/>
  <c r="Z52" i="4"/>
  <c r="Y52" i="4"/>
  <c r="V52" i="4"/>
  <c r="S52" i="4"/>
  <c r="M52" i="4"/>
  <c r="X52" i="4" s="1"/>
  <c r="AI52" i="4" s="1"/>
  <c r="AF51" i="4"/>
  <c r="AE51" i="4"/>
  <c r="AC51" i="4"/>
  <c r="AB51" i="4"/>
  <c r="Z51" i="4"/>
  <c r="Y51" i="4"/>
  <c r="V51" i="4"/>
  <c r="S51" i="4"/>
  <c r="M51" i="4"/>
  <c r="X51" i="4" s="1"/>
  <c r="AI51" i="4" s="1"/>
  <c r="AF50" i="4"/>
  <c r="AE50" i="4"/>
  <c r="AC50" i="4"/>
  <c r="AB50" i="4"/>
  <c r="Z50" i="4"/>
  <c r="Y50" i="4"/>
  <c r="V50" i="4"/>
  <c r="S50" i="4"/>
  <c r="M50" i="4"/>
  <c r="X50" i="4" s="1"/>
  <c r="AI50" i="4" s="1"/>
  <c r="AF49" i="4"/>
  <c r="AE49" i="4"/>
  <c r="AC49" i="4"/>
  <c r="AB49" i="4"/>
  <c r="Z49" i="4"/>
  <c r="Y49" i="4"/>
  <c r="V49" i="4"/>
  <c r="S49" i="4"/>
  <c r="O95" i="3"/>
  <c r="O94" i="3"/>
  <c r="O93" i="3"/>
  <c r="AG49" i="4" l="1"/>
  <c r="T56" i="4"/>
  <c r="J56" i="4"/>
  <c r="AG56" i="4"/>
  <c r="T55" i="4"/>
  <c r="J55" i="4"/>
  <c r="AG55" i="4"/>
  <c r="T54" i="4"/>
  <c r="J54" i="4"/>
  <c r="AG54" i="4"/>
  <c r="T53" i="4"/>
  <c r="J53" i="4"/>
  <c r="AG53" i="4"/>
  <c r="T52" i="4"/>
  <c r="J52" i="4"/>
  <c r="AG52" i="4"/>
  <c r="T51" i="4"/>
  <c r="J51" i="4"/>
  <c r="AG51" i="4"/>
  <c r="T50" i="4"/>
  <c r="J50" i="4"/>
  <c r="AG50" i="4"/>
  <c r="T49" i="4"/>
  <c r="M49" i="4"/>
  <c r="X49" i="4" s="1"/>
  <c r="AI49" i="4" s="1"/>
  <c r="J49" i="4"/>
  <c r="J95" i="3"/>
  <c r="J94" i="3"/>
  <c r="J93" i="3"/>
  <c r="O92" i="3" l="1"/>
  <c r="O91" i="3"/>
  <c r="J92" i="3" l="1"/>
  <c r="J91" i="3"/>
  <c r="AC90" i="3" l="1"/>
  <c r="Q90" i="3"/>
  <c r="O90" i="3"/>
  <c r="AH89" i="3"/>
  <c r="AG89" i="3"/>
  <c r="AE89" i="3"/>
  <c r="AD89" i="3"/>
  <c r="AA89" i="3"/>
  <c r="X89" i="3"/>
  <c r="U89" i="3"/>
  <c r="AH88" i="3"/>
  <c r="AG88" i="3"/>
  <c r="AE88" i="3"/>
  <c r="AD88" i="3"/>
  <c r="AB88" i="3"/>
  <c r="AA88" i="3"/>
  <c r="X88" i="3"/>
  <c r="U88" i="3"/>
  <c r="O88" i="3"/>
  <c r="Z88" i="3" s="1"/>
  <c r="AK88" i="3" s="1"/>
  <c r="AH87" i="3"/>
  <c r="AG87" i="3"/>
  <c r="AE87" i="3"/>
  <c r="AD87" i="3"/>
  <c r="AB87" i="3"/>
  <c r="AA87" i="3"/>
  <c r="X87" i="3"/>
  <c r="U87" i="3"/>
  <c r="O87" i="3"/>
  <c r="Z87" i="3" s="1"/>
  <c r="AK87" i="3" s="1"/>
  <c r="AB89" i="3" l="1"/>
  <c r="J90" i="3"/>
  <c r="AA90" i="3"/>
  <c r="AJ90" i="3"/>
  <c r="J89" i="3"/>
  <c r="AI89" i="3"/>
  <c r="V89" i="3"/>
  <c r="O89" i="3"/>
  <c r="Z89" i="3" s="1"/>
  <c r="AK89" i="3" s="1"/>
  <c r="J88" i="3"/>
  <c r="V88" i="3"/>
  <c r="AI88" i="3"/>
  <c r="J87" i="3"/>
  <c r="V87" i="3"/>
  <c r="AI87" i="3"/>
  <c r="J48" i="4" l="1"/>
  <c r="M47" i="4"/>
  <c r="X47" i="4" s="1"/>
  <c r="AI47" i="4" s="1"/>
  <c r="AF48" i="4"/>
  <c r="AE48" i="4"/>
  <c r="AC48" i="4"/>
  <c r="AB48" i="4"/>
  <c r="Z48" i="4"/>
  <c r="Y48" i="4"/>
  <c r="V48" i="4"/>
  <c r="S48" i="4"/>
  <c r="AF47" i="4"/>
  <c r="AE47" i="4"/>
  <c r="AC47" i="4"/>
  <c r="AB47" i="4"/>
  <c r="Z47" i="4"/>
  <c r="Y47" i="4"/>
  <c r="V47" i="4"/>
  <c r="S47" i="4"/>
  <c r="T47" i="4" l="1"/>
  <c r="T48" i="4"/>
  <c r="J47" i="4"/>
  <c r="M48" i="4"/>
  <c r="X48" i="4" s="1"/>
  <c r="AI48" i="4" s="1"/>
  <c r="AG47" i="4"/>
  <c r="AG48" i="4"/>
  <c r="AF46" i="4"/>
  <c r="AG46" i="4" s="1"/>
  <c r="AE46" i="4"/>
  <c r="AC46" i="4"/>
  <c r="AB46" i="4"/>
  <c r="Z46" i="4"/>
  <c r="Y46" i="4"/>
  <c r="V46" i="4"/>
  <c r="S46" i="4"/>
  <c r="T46" i="4" s="1"/>
  <c r="M46" i="4"/>
  <c r="X46" i="4" s="1"/>
  <c r="AI46" i="4" s="1"/>
  <c r="J46" i="4"/>
  <c r="AF45" i="4"/>
  <c r="AE45" i="4"/>
  <c r="AC45" i="4"/>
  <c r="AB45" i="4"/>
  <c r="Z45" i="4"/>
  <c r="Y45" i="4"/>
  <c r="V45" i="4"/>
  <c r="S45" i="4"/>
  <c r="AF44" i="4"/>
  <c r="AG44" i="4" s="1"/>
  <c r="AE44" i="4"/>
  <c r="AC44" i="4"/>
  <c r="AB44" i="4"/>
  <c r="Z44" i="4"/>
  <c r="Y44" i="4"/>
  <c r="V44" i="4"/>
  <c r="S44" i="4"/>
  <c r="T44" i="4" s="1"/>
  <c r="M44" i="4"/>
  <c r="X44" i="4" s="1"/>
  <c r="AI44" i="4" s="1"/>
  <c r="J44" i="4"/>
  <c r="AF43" i="4"/>
  <c r="AG43" i="4" s="1"/>
  <c r="AE43" i="4"/>
  <c r="AC43" i="4"/>
  <c r="AB43" i="4"/>
  <c r="Z43" i="4"/>
  <c r="Y43" i="4"/>
  <c r="V43" i="4"/>
  <c r="S43" i="4"/>
  <c r="AG45" i="4" l="1"/>
  <c r="J45" i="4"/>
  <c r="T45" i="4"/>
  <c r="M45" i="4"/>
  <c r="X45" i="4" s="1"/>
  <c r="AI45" i="4" s="1"/>
  <c r="T43" i="4"/>
  <c r="M43" i="4"/>
  <c r="X43" i="4" s="1"/>
  <c r="AI43" i="4" s="1"/>
  <c r="J43" i="4"/>
  <c r="AF42" i="4"/>
  <c r="AG42" i="4" s="1"/>
  <c r="AE42" i="4"/>
  <c r="AC42" i="4"/>
  <c r="AB42" i="4"/>
  <c r="Z42" i="4"/>
  <c r="Y42" i="4"/>
  <c r="V42" i="4"/>
  <c r="S42" i="4"/>
  <c r="AF41" i="4"/>
  <c r="AG41" i="4" s="1"/>
  <c r="AE41" i="4"/>
  <c r="AC41" i="4"/>
  <c r="AB41" i="4"/>
  <c r="Z41" i="4"/>
  <c r="Y41" i="4"/>
  <c r="V41" i="4"/>
  <c r="S41" i="4"/>
  <c r="T41" i="4" s="1"/>
  <c r="M41" i="4"/>
  <c r="X41" i="4" s="1"/>
  <c r="AI41" i="4" s="1"/>
  <c r="J41" i="4"/>
  <c r="AF40" i="4"/>
  <c r="AG40" i="4" s="1"/>
  <c r="AE40" i="4"/>
  <c r="AC40" i="4"/>
  <c r="AB40" i="4"/>
  <c r="Z40" i="4"/>
  <c r="Y40" i="4"/>
  <c r="V40" i="4"/>
  <c r="S40" i="4"/>
  <c r="AF39" i="4"/>
  <c r="AE39" i="4"/>
  <c r="AC39" i="4"/>
  <c r="AB39" i="4"/>
  <c r="Z39" i="4"/>
  <c r="Y39" i="4"/>
  <c r="V39" i="4"/>
  <c r="S39" i="4"/>
  <c r="AG39" i="4" l="1"/>
  <c r="M42" i="4"/>
  <c r="X42" i="4" s="1"/>
  <c r="AI42" i="4" s="1"/>
  <c r="T42" i="4"/>
  <c r="J42" i="4"/>
  <c r="T40" i="4"/>
  <c r="M40" i="4"/>
  <c r="X40" i="4" s="1"/>
  <c r="AI40" i="4" s="1"/>
  <c r="J40" i="4"/>
  <c r="M39" i="4"/>
  <c r="X39" i="4" s="1"/>
  <c r="AI39" i="4" s="1"/>
  <c r="T39" i="4"/>
  <c r="J39" i="4"/>
  <c r="AH86" i="3" l="1"/>
  <c r="AG86" i="3"/>
  <c r="AE86" i="3"/>
  <c r="AD86" i="3"/>
  <c r="AB86" i="3"/>
  <c r="AA86" i="3"/>
  <c r="X86" i="3"/>
  <c r="U86" i="3"/>
  <c r="O86" i="3"/>
  <c r="Z86" i="3" s="1"/>
  <c r="AK86" i="3" s="1"/>
  <c r="J86" i="3" l="1"/>
  <c r="V86" i="3"/>
  <c r="AI86" i="3"/>
  <c r="J38" i="4"/>
  <c r="S38" i="4"/>
  <c r="V38" i="4"/>
  <c r="Y38" i="4"/>
  <c r="Z38" i="4"/>
  <c r="AB38" i="4"/>
  <c r="AC38" i="4"/>
  <c r="AE38" i="4"/>
  <c r="AF38" i="4"/>
  <c r="AF37" i="4"/>
  <c r="AE37" i="4"/>
  <c r="AC37" i="4"/>
  <c r="AB37" i="4"/>
  <c r="Z37" i="4"/>
  <c r="Y37" i="4"/>
  <c r="V37" i="4"/>
  <c r="S37" i="4"/>
  <c r="AG37" i="4"/>
  <c r="AF36" i="4"/>
  <c r="AE36" i="4"/>
  <c r="AC36" i="4"/>
  <c r="AB36" i="4"/>
  <c r="Z36" i="4"/>
  <c r="Y36" i="4"/>
  <c r="V36" i="4"/>
  <c r="S36" i="4"/>
  <c r="M36" i="4"/>
  <c r="X36" i="4" s="1"/>
  <c r="AI36" i="4" s="1"/>
  <c r="AG38" i="4" l="1"/>
  <c r="T38" i="4"/>
  <c r="M38" i="4"/>
  <c r="X38" i="4" s="1"/>
  <c r="AI38" i="4" s="1"/>
  <c r="T36" i="4"/>
  <c r="J36" i="4"/>
  <c r="T37" i="4"/>
  <c r="AG36" i="4"/>
  <c r="M37" i="4"/>
  <c r="X37" i="4" s="1"/>
  <c r="AI37" i="4" s="1"/>
  <c r="J37" i="4"/>
  <c r="AF35" i="4" l="1"/>
  <c r="AE35" i="4"/>
  <c r="AC35" i="4"/>
  <c r="AB35" i="4"/>
  <c r="Z35" i="4"/>
  <c r="Y35" i="4"/>
  <c r="V35" i="4"/>
  <c r="S35" i="4"/>
  <c r="M35" i="4"/>
  <c r="X35" i="4" s="1"/>
  <c r="AI35" i="4" s="1"/>
  <c r="T35" i="4" l="1"/>
  <c r="AG35" i="4"/>
  <c r="J35" i="4"/>
  <c r="AF34" i="4"/>
  <c r="AE34" i="4"/>
  <c r="AC34" i="4"/>
  <c r="AB34" i="4"/>
  <c r="Z34" i="4"/>
  <c r="Y34" i="4"/>
  <c r="V34" i="4"/>
  <c r="S34" i="4"/>
  <c r="M34" i="4"/>
  <c r="X34" i="4" s="1"/>
  <c r="AI34" i="4" s="1"/>
  <c r="J34" i="4" l="1"/>
  <c r="T34" i="4"/>
  <c r="AG34" i="4"/>
  <c r="J33" i="4"/>
  <c r="S33" i="4"/>
  <c r="V33" i="4"/>
  <c r="Y33" i="4"/>
  <c r="Z33" i="4"/>
  <c r="AB33" i="4"/>
  <c r="AC33" i="4"/>
  <c r="AE33" i="4"/>
  <c r="AF33" i="4"/>
  <c r="J32" i="4"/>
  <c r="S32" i="4"/>
  <c r="V32" i="4"/>
  <c r="Y32" i="4"/>
  <c r="Z32" i="4"/>
  <c r="AB32" i="4"/>
  <c r="AC32" i="4"/>
  <c r="AE32" i="4"/>
  <c r="AF32" i="4"/>
  <c r="AH85" i="3"/>
  <c r="AG85" i="3"/>
  <c r="AE85" i="3"/>
  <c r="AD85" i="3"/>
  <c r="AB85" i="3"/>
  <c r="AA85" i="3"/>
  <c r="X85" i="3"/>
  <c r="U85" i="3"/>
  <c r="O85" i="3"/>
  <c r="Z85" i="3" s="1"/>
  <c r="AK85" i="3" s="1"/>
  <c r="AH84" i="3"/>
  <c r="AG84" i="3"/>
  <c r="AE84" i="3"/>
  <c r="AD84" i="3"/>
  <c r="AB84" i="3"/>
  <c r="AA84" i="3"/>
  <c r="X84" i="3"/>
  <c r="U84" i="3"/>
  <c r="O84" i="3"/>
  <c r="Z84" i="3" s="1"/>
  <c r="AK84" i="3" s="1"/>
  <c r="AH83" i="3"/>
  <c r="AG83" i="3"/>
  <c r="AE83" i="3"/>
  <c r="AD83" i="3"/>
  <c r="AB83" i="3"/>
  <c r="AA83" i="3"/>
  <c r="X83" i="3"/>
  <c r="U83" i="3"/>
  <c r="O83" i="3"/>
  <c r="Z83" i="3" s="1"/>
  <c r="AK83" i="3" s="1"/>
  <c r="AG33" i="4" l="1"/>
  <c r="M33" i="4"/>
  <c r="X33" i="4" s="1"/>
  <c r="AI33" i="4" s="1"/>
  <c r="AG32" i="4"/>
  <c r="T33" i="4"/>
  <c r="M32" i="4"/>
  <c r="X32" i="4" s="1"/>
  <c r="AI32" i="4" s="1"/>
  <c r="T32" i="4"/>
  <c r="J83" i="3"/>
  <c r="J84" i="3"/>
  <c r="J85" i="3"/>
  <c r="V85" i="3"/>
  <c r="AI85" i="3"/>
  <c r="V84" i="3"/>
  <c r="AI84" i="3"/>
  <c r="V83" i="3"/>
  <c r="AI83" i="3"/>
  <c r="AF31" i="4" l="1"/>
  <c r="AE31" i="4"/>
  <c r="AC31" i="4"/>
  <c r="AB31" i="4"/>
  <c r="Z31" i="4"/>
  <c r="Y31" i="4"/>
  <c r="V31" i="4"/>
  <c r="S31" i="4"/>
  <c r="AG31" i="4" l="1"/>
  <c r="M31" i="4"/>
  <c r="X31" i="4" s="1"/>
  <c r="AI31" i="4" s="1"/>
  <c r="T31" i="4"/>
  <c r="J31" i="4"/>
  <c r="AH82" i="3"/>
  <c r="AG82" i="3"/>
  <c r="AE82" i="3"/>
  <c r="AD82" i="3"/>
  <c r="AB82" i="3"/>
  <c r="AA82" i="3"/>
  <c r="X82" i="3"/>
  <c r="U82" i="3"/>
  <c r="AI82" i="3"/>
  <c r="V82" i="3" l="1"/>
  <c r="O82" i="3"/>
  <c r="Z82" i="3" s="1"/>
  <c r="AK82" i="3" s="1"/>
  <c r="J82" i="3"/>
  <c r="AH81" i="3" l="1"/>
  <c r="AG81" i="3"/>
  <c r="AE81" i="3"/>
  <c r="AD81" i="3"/>
  <c r="AB81" i="3"/>
  <c r="AA81" i="3"/>
  <c r="X81" i="3"/>
  <c r="U81" i="3"/>
  <c r="AI81" i="3"/>
  <c r="AH80" i="3"/>
  <c r="AG80" i="3"/>
  <c r="AE80" i="3"/>
  <c r="AD80" i="3"/>
  <c r="AB80" i="3"/>
  <c r="AA80" i="3"/>
  <c r="X80" i="3"/>
  <c r="U80" i="3"/>
  <c r="O80" i="3"/>
  <c r="Z80" i="3" s="1"/>
  <c r="AK80" i="3" s="1"/>
  <c r="O81" i="3" l="1"/>
  <c r="Z81" i="3" s="1"/>
  <c r="AK81" i="3" s="1"/>
  <c r="V81" i="3"/>
  <c r="J81" i="3"/>
  <c r="AI80" i="3"/>
  <c r="V80" i="3"/>
  <c r="J80" i="3"/>
  <c r="AF30" i="4" l="1"/>
  <c r="AG30" i="4" s="1"/>
  <c r="AE30" i="4"/>
  <c r="AC30" i="4"/>
  <c r="AB30" i="4"/>
  <c r="Z30" i="4"/>
  <c r="Y30" i="4"/>
  <c r="V30" i="4"/>
  <c r="S30" i="4"/>
  <c r="F5" i="6" l="1"/>
  <c r="J30" i="4"/>
  <c r="T30" i="4"/>
  <c r="M30" i="4"/>
  <c r="X30" i="4" s="1"/>
  <c r="AI30" i="4" s="1"/>
  <c r="A12" i="9" l="1"/>
  <c r="C12" i="9"/>
  <c r="AH79" i="3"/>
  <c r="AG79" i="3"/>
  <c r="AE79" i="3"/>
  <c r="AD79" i="3"/>
  <c r="AA79" i="3"/>
  <c r="X79" i="3"/>
  <c r="U79" i="3"/>
  <c r="AH78" i="3"/>
  <c r="AG78" i="3"/>
  <c r="AE78" i="3"/>
  <c r="AD78" i="3"/>
  <c r="AB78" i="3"/>
  <c r="AA78" i="3"/>
  <c r="X78" i="3"/>
  <c r="U78" i="3"/>
  <c r="O78" i="3"/>
  <c r="Z78" i="3" s="1"/>
  <c r="AK78" i="3" s="1"/>
  <c r="AH77" i="3"/>
  <c r="AG77" i="3"/>
  <c r="AE77" i="3"/>
  <c r="AD77" i="3"/>
  <c r="AB77" i="3"/>
  <c r="AA77" i="3"/>
  <c r="X77" i="3"/>
  <c r="U77" i="3"/>
  <c r="O77" i="3"/>
  <c r="Z77" i="3" s="1"/>
  <c r="AK77" i="3" s="1"/>
  <c r="K13" i="9" l="1"/>
  <c r="E12" i="9"/>
  <c r="E13" i="9" s="1"/>
  <c r="G13" i="9"/>
  <c r="J13" i="9"/>
  <c r="C13" i="9"/>
  <c r="A13" i="9"/>
  <c r="L8" i="9"/>
  <c r="A8" i="9"/>
  <c r="B8" i="9"/>
  <c r="D8" i="9"/>
  <c r="F8" i="9"/>
  <c r="H8" i="9"/>
  <c r="J8" i="9"/>
  <c r="C8" i="9"/>
  <c r="E8" i="9"/>
  <c r="G8" i="9"/>
  <c r="I8" i="9"/>
  <c r="K8" i="9"/>
  <c r="AI79" i="3"/>
  <c r="V78" i="3"/>
  <c r="O79" i="3"/>
  <c r="Z79" i="3" s="1"/>
  <c r="AK79" i="3" s="1"/>
  <c r="V79" i="3"/>
  <c r="AB79" i="3"/>
  <c r="J79" i="3"/>
  <c r="J77" i="3"/>
  <c r="J78" i="3"/>
  <c r="AI78" i="3"/>
  <c r="V77" i="3"/>
  <c r="AI77" i="3"/>
  <c r="AH76" i="3"/>
  <c r="AG76" i="3"/>
  <c r="AE76" i="3"/>
  <c r="AD76" i="3"/>
  <c r="AB76" i="3"/>
  <c r="AA76" i="3"/>
  <c r="X76" i="3"/>
  <c r="U76" i="3"/>
  <c r="O76" i="3"/>
  <c r="Z76" i="3" s="1"/>
  <c r="AK76" i="3" s="1"/>
  <c r="AH75" i="3"/>
  <c r="AG75" i="3"/>
  <c r="AE75" i="3"/>
  <c r="AD75" i="3"/>
  <c r="AB75" i="3"/>
  <c r="AA75" i="3"/>
  <c r="X75" i="3"/>
  <c r="U75" i="3"/>
  <c r="O75" i="3"/>
  <c r="AK75" i="3" s="1"/>
  <c r="AH74" i="3"/>
  <c r="AG74" i="3"/>
  <c r="AE74" i="3"/>
  <c r="AD74" i="3"/>
  <c r="AB74" i="3"/>
  <c r="AA74" i="3"/>
  <c r="X74" i="3"/>
  <c r="U74" i="3"/>
  <c r="O74" i="3"/>
  <c r="Z74" i="3" s="1"/>
  <c r="AK74" i="3" s="1"/>
  <c r="I12" i="9" l="1"/>
  <c r="I13" i="9" s="1"/>
  <c r="J76" i="3"/>
  <c r="V76" i="3"/>
  <c r="AI76" i="3"/>
  <c r="J75" i="3"/>
  <c r="V75" i="3"/>
  <c r="AI75" i="3"/>
  <c r="J74" i="3"/>
  <c r="V74" i="3"/>
  <c r="AI74" i="3"/>
  <c r="AF29" i="4" l="1"/>
  <c r="AE29" i="4"/>
  <c r="AC29" i="4"/>
  <c r="AB29" i="4"/>
  <c r="Z29" i="4"/>
  <c r="Y29" i="4"/>
  <c r="V29" i="4"/>
  <c r="S29" i="4"/>
  <c r="M29" i="4"/>
  <c r="X29" i="4" s="1"/>
  <c r="J26" i="4"/>
  <c r="J27" i="4"/>
  <c r="J28" i="4"/>
  <c r="J25" i="4"/>
  <c r="AF24" i="4"/>
  <c r="AE24" i="4"/>
  <c r="AC24" i="4"/>
  <c r="AB24" i="4"/>
  <c r="Z24" i="4"/>
  <c r="Y24" i="4"/>
  <c r="V24" i="4"/>
  <c r="S24" i="4"/>
  <c r="J24" i="4"/>
  <c r="AF23" i="4"/>
  <c r="AE23" i="4"/>
  <c r="AC23" i="4"/>
  <c r="AB23" i="4"/>
  <c r="Z23" i="4"/>
  <c r="Y23" i="4"/>
  <c r="V23" i="4"/>
  <c r="S23" i="4"/>
  <c r="M23" i="4"/>
  <c r="X23" i="4" s="1"/>
  <c r="AF22" i="4"/>
  <c r="AE22" i="4"/>
  <c r="AC22" i="4"/>
  <c r="AB22" i="4"/>
  <c r="Z22" i="4"/>
  <c r="Y22" i="4"/>
  <c r="V22" i="4"/>
  <c r="S22" i="4"/>
  <c r="AF21" i="4"/>
  <c r="AE21" i="4"/>
  <c r="AC21" i="4"/>
  <c r="AB21" i="4"/>
  <c r="Z21" i="4"/>
  <c r="Y21" i="4"/>
  <c r="V21" i="4"/>
  <c r="S21" i="4"/>
  <c r="AF20" i="4"/>
  <c r="AG20" i="4" s="1"/>
  <c r="AE20" i="4"/>
  <c r="AC20" i="4"/>
  <c r="AB20" i="4"/>
  <c r="Z20" i="4"/>
  <c r="Y20" i="4"/>
  <c r="V20" i="4"/>
  <c r="S20" i="4"/>
  <c r="AF19" i="4"/>
  <c r="AG19" i="4" s="1"/>
  <c r="AE19" i="4"/>
  <c r="AC19" i="4"/>
  <c r="AB19" i="4"/>
  <c r="Z19" i="4"/>
  <c r="Y19" i="4"/>
  <c r="V19" i="4"/>
  <c r="S19" i="4"/>
  <c r="AF18" i="4"/>
  <c r="AG18" i="4" s="1"/>
  <c r="AE18" i="4"/>
  <c r="AC18" i="4"/>
  <c r="AB18" i="4"/>
  <c r="Z18" i="4"/>
  <c r="Y18" i="4"/>
  <c r="V18" i="4"/>
  <c r="S18" i="4"/>
  <c r="AF17" i="4"/>
  <c r="AG17" i="4" s="1"/>
  <c r="AE17" i="4"/>
  <c r="AC17" i="4"/>
  <c r="AB17" i="4"/>
  <c r="Z17" i="4"/>
  <c r="Y17" i="4"/>
  <c r="V17" i="4"/>
  <c r="S17" i="4"/>
  <c r="AH73" i="3"/>
  <c r="AI73" i="3" s="1"/>
  <c r="AG73" i="3"/>
  <c r="AE73" i="3"/>
  <c r="AD73" i="3"/>
  <c r="AB73" i="3"/>
  <c r="AA73" i="3"/>
  <c r="X73" i="3"/>
  <c r="U73" i="3"/>
  <c r="AG21" i="4" l="1"/>
  <c r="AG22" i="4"/>
  <c r="J29" i="4"/>
  <c r="T29" i="4"/>
  <c r="AG29" i="4"/>
  <c r="T24" i="4"/>
  <c r="T23" i="4"/>
  <c r="AG24" i="4"/>
  <c r="M24" i="4"/>
  <c r="X24" i="4" s="1"/>
  <c r="J23" i="4"/>
  <c r="AG23" i="4"/>
  <c r="J22" i="4"/>
  <c r="T22" i="4"/>
  <c r="M22" i="4"/>
  <c r="X22" i="4" s="1"/>
  <c r="AI22" i="4" s="1"/>
  <c r="M21" i="4"/>
  <c r="X21" i="4" s="1"/>
  <c r="AI21" i="4" s="1"/>
  <c r="T21" i="4"/>
  <c r="J21" i="4"/>
  <c r="M20" i="4"/>
  <c r="X20" i="4" s="1"/>
  <c r="AI20" i="4" s="1"/>
  <c r="T20" i="4"/>
  <c r="J20" i="4"/>
  <c r="T19" i="4"/>
  <c r="M19" i="4"/>
  <c r="X19" i="4" s="1"/>
  <c r="AI19" i="4" s="1"/>
  <c r="J19" i="4"/>
  <c r="T17" i="4"/>
  <c r="M18" i="4"/>
  <c r="X18" i="4" s="1"/>
  <c r="AI18" i="4" s="1"/>
  <c r="T18" i="4"/>
  <c r="J17" i="4"/>
  <c r="J18" i="4"/>
  <c r="M17" i="4"/>
  <c r="X17" i="4" s="1"/>
  <c r="AI17" i="4" s="1"/>
  <c r="O73" i="3"/>
  <c r="Z73" i="3" s="1"/>
  <c r="AK73" i="3" s="1"/>
  <c r="V73" i="3"/>
  <c r="J73" i="3"/>
  <c r="AF16" i="4" l="1"/>
  <c r="AE16" i="4"/>
  <c r="AC16" i="4"/>
  <c r="AB16" i="4"/>
  <c r="Z16" i="4"/>
  <c r="Y16" i="4"/>
  <c r="V16" i="4"/>
  <c r="S16" i="4"/>
  <c r="AG16" i="4"/>
  <c r="AF15" i="4"/>
  <c r="AE15" i="4"/>
  <c r="AC15" i="4"/>
  <c r="AB15" i="4"/>
  <c r="Z15" i="4"/>
  <c r="Y15" i="4"/>
  <c r="V15" i="4"/>
  <c r="S15" i="4"/>
  <c r="AG15" i="4"/>
  <c r="AF14" i="4"/>
  <c r="AE14" i="4"/>
  <c r="AC14" i="4"/>
  <c r="AB14" i="4"/>
  <c r="Z14" i="4"/>
  <c r="Y14" i="4"/>
  <c r="V14" i="4"/>
  <c r="S14" i="4"/>
  <c r="AF13" i="4"/>
  <c r="AG13" i="4" s="1"/>
  <c r="AE13" i="4"/>
  <c r="AC13" i="4"/>
  <c r="AB13" i="4"/>
  <c r="Z13" i="4"/>
  <c r="Y13" i="4"/>
  <c r="V13" i="4"/>
  <c r="S13" i="4"/>
  <c r="AF12" i="4"/>
  <c r="AG12" i="4" s="1"/>
  <c r="AE12" i="4"/>
  <c r="AC12" i="4"/>
  <c r="AB12" i="4"/>
  <c r="Z12" i="4"/>
  <c r="Y12" i="4"/>
  <c r="V12" i="4"/>
  <c r="S12" i="4"/>
  <c r="AF11" i="4"/>
  <c r="AG11" i="4" s="1"/>
  <c r="AE11" i="4"/>
  <c r="AC11" i="4"/>
  <c r="AB11" i="4"/>
  <c r="Z11" i="4"/>
  <c r="Y11" i="4"/>
  <c r="V11" i="4"/>
  <c r="S11" i="4"/>
  <c r="AF10" i="4"/>
  <c r="AG10" i="4" s="1"/>
  <c r="AE10" i="4"/>
  <c r="AC10" i="4"/>
  <c r="AB10" i="4"/>
  <c r="Z10" i="4"/>
  <c r="Y10" i="4"/>
  <c r="V10" i="4"/>
  <c r="S10" i="4"/>
  <c r="AF9" i="4"/>
  <c r="AG9" i="4" s="1"/>
  <c r="AE9" i="4"/>
  <c r="AC9" i="4"/>
  <c r="AB9" i="4"/>
  <c r="Z9" i="4"/>
  <c r="Y9" i="4"/>
  <c r="V9" i="4"/>
  <c r="S9" i="4"/>
  <c r="AF8" i="4"/>
  <c r="AG8" i="4" s="1"/>
  <c r="AE8" i="4"/>
  <c r="AC8" i="4"/>
  <c r="AB8" i="4"/>
  <c r="Z8" i="4"/>
  <c r="Y8" i="4"/>
  <c r="V8" i="4"/>
  <c r="S8" i="4"/>
  <c r="AF7" i="4"/>
  <c r="AG7" i="4" s="1"/>
  <c r="AE7" i="4"/>
  <c r="AC7" i="4"/>
  <c r="AB7" i="4"/>
  <c r="Z7" i="4"/>
  <c r="Y7" i="4"/>
  <c r="V7" i="4"/>
  <c r="S7" i="4"/>
  <c r="AF6" i="4"/>
  <c r="AG6" i="4" s="1"/>
  <c r="AE6" i="4"/>
  <c r="AC6" i="4"/>
  <c r="AB6" i="4"/>
  <c r="Z6" i="4"/>
  <c r="Y6" i="4"/>
  <c r="V6" i="4"/>
  <c r="S6" i="4"/>
  <c r="AF5" i="4"/>
  <c r="AE5" i="4"/>
  <c r="AC5" i="4"/>
  <c r="AB5" i="4"/>
  <c r="Z5" i="4"/>
  <c r="Y5" i="4"/>
  <c r="V5" i="4"/>
  <c r="S5" i="4"/>
  <c r="AF4" i="4"/>
  <c r="AE4" i="4"/>
  <c r="AC4" i="4"/>
  <c r="AB4" i="4"/>
  <c r="Z4" i="4"/>
  <c r="Y4" i="4"/>
  <c r="V4" i="4"/>
  <c r="S4" i="4"/>
  <c r="B4" i="4"/>
  <c r="AF3" i="4"/>
  <c r="AE3" i="4"/>
  <c r="AC3" i="4"/>
  <c r="AB3" i="4"/>
  <c r="Z3" i="4"/>
  <c r="Y3" i="4"/>
  <c r="V3" i="4"/>
  <c r="S3" i="4"/>
  <c r="B3" i="4"/>
  <c r="AG3" i="4" s="1"/>
  <c r="AG5" i="4" l="1"/>
  <c r="AG14" i="4"/>
  <c r="AG4" i="4"/>
  <c r="M16" i="4"/>
  <c r="X16" i="4" s="1"/>
  <c r="AI16" i="4" s="1"/>
  <c r="T16" i="4"/>
  <c r="J16" i="4"/>
  <c r="M15" i="4"/>
  <c r="X15" i="4" s="1"/>
  <c r="AI15" i="4" s="1"/>
  <c r="T15" i="4"/>
  <c r="J15" i="4"/>
  <c r="M14" i="4"/>
  <c r="X14" i="4" s="1"/>
  <c r="AI14" i="4" s="1"/>
  <c r="T14" i="4"/>
  <c r="J14" i="4"/>
  <c r="T13" i="4"/>
  <c r="M13" i="4"/>
  <c r="X13" i="4" s="1"/>
  <c r="AI13" i="4" s="1"/>
  <c r="J13" i="4"/>
  <c r="T12" i="4"/>
  <c r="M12" i="4"/>
  <c r="X12" i="4" s="1"/>
  <c r="AI12" i="4" s="1"/>
  <c r="J12" i="4"/>
  <c r="M11" i="4"/>
  <c r="X11" i="4" s="1"/>
  <c r="AI11" i="4" s="1"/>
  <c r="T11" i="4"/>
  <c r="J11" i="4"/>
  <c r="M10" i="4"/>
  <c r="X10" i="4" s="1"/>
  <c r="AI10" i="4" s="1"/>
  <c r="T10" i="4"/>
  <c r="J10" i="4"/>
  <c r="M9" i="4"/>
  <c r="X9" i="4" s="1"/>
  <c r="AI9" i="4" s="1"/>
  <c r="T9" i="4"/>
  <c r="J9" i="4"/>
  <c r="J8" i="4"/>
  <c r="T8" i="4"/>
  <c r="M8" i="4"/>
  <c r="X8" i="4" s="1"/>
  <c r="AI8" i="4" s="1"/>
  <c r="T7" i="4"/>
  <c r="M7" i="4"/>
  <c r="X7" i="4" s="1"/>
  <c r="AI7" i="4" s="1"/>
  <c r="J7" i="4"/>
  <c r="J6" i="4"/>
  <c r="T6" i="4"/>
  <c r="M6" i="4"/>
  <c r="X6" i="4" s="1"/>
  <c r="AI6" i="4" s="1"/>
  <c r="T5" i="4"/>
  <c r="M5" i="4"/>
  <c r="X5" i="4" s="1"/>
  <c r="AI5" i="4" s="1"/>
  <c r="J5" i="4"/>
  <c r="T4" i="4"/>
  <c r="M4" i="4"/>
  <c r="X4" i="4" s="1"/>
  <c r="AI4" i="4" s="1"/>
  <c r="J4" i="4"/>
  <c r="T3" i="4"/>
  <c r="M3" i="4"/>
  <c r="X3" i="4" s="1"/>
  <c r="AI3" i="4" s="1"/>
  <c r="J3" i="4"/>
  <c r="AH72" i="3"/>
  <c r="AG72" i="3"/>
  <c r="AE72" i="3"/>
  <c r="AD72" i="3"/>
  <c r="AB72" i="3"/>
  <c r="AA72" i="3"/>
  <c r="X72" i="3"/>
  <c r="U72" i="3"/>
  <c r="O72" i="3"/>
  <c r="Z72" i="3" s="1"/>
  <c r="AK72" i="3" s="1"/>
  <c r="AH71" i="3"/>
  <c r="AI71" i="3" s="1"/>
  <c r="AG71" i="3"/>
  <c r="AE71" i="3"/>
  <c r="AD71" i="3"/>
  <c r="AB71" i="3"/>
  <c r="AA71" i="3"/>
  <c r="X71" i="3"/>
  <c r="U71" i="3"/>
  <c r="J72" i="3" l="1"/>
  <c r="V72" i="3"/>
  <c r="AI72" i="3"/>
  <c r="O71" i="3"/>
  <c r="Z71" i="3" s="1"/>
  <c r="AK71" i="3" s="1"/>
  <c r="V71" i="3"/>
  <c r="J71" i="3"/>
  <c r="AH70" i="3"/>
  <c r="AG70" i="3"/>
  <c r="AE70" i="3"/>
  <c r="AD70" i="3"/>
  <c r="AB70" i="3"/>
  <c r="AA70" i="3"/>
  <c r="X70" i="3"/>
  <c r="U70" i="3"/>
  <c r="AH69" i="3"/>
  <c r="AI69" i="3" s="1"/>
  <c r="AG69" i="3"/>
  <c r="AE69" i="3"/>
  <c r="AD69" i="3"/>
  <c r="AB69" i="3"/>
  <c r="AA69" i="3"/>
  <c r="X69" i="3"/>
  <c r="U69" i="3"/>
  <c r="AI70" i="3" l="1"/>
  <c r="O70" i="3"/>
  <c r="Z70" i="3" s="1"/>
  <c r="AK70" i="3" s="1"/>
  <c r="V70" i="3"/>
  <c r="J70" i="3"/>
  <c r="O69" i="3"/>
  <c r="Z69" i="3" s="1"/>
  <c r="AK69" i="3" s="1"/>
  <c r="V69" i="3"/>
  <c r="J69" i="3"/>
  <c r="AH68" i="3" l="1"/>
  <c r="AG68" i="3"/>
  <c r="AE68" i="3"/>
  <c r="AD68" i="3"/>
  <c r="AB68" i="3"/>
  <c r="AA68" i="3"/>
  <c r="X68" i="3"/>
  <c r="U68" i="3"/>
  <c r="O68" i="3"/>
  <c r="Z68" i="3" s="1"/>
  <c r="AK68" i="3" s="1"/>
  <c r="AH67" i="3"/>
  <c r="AG67" i="3"/>
  <c r="AE67" i="3"/>
  <c r="AD67" i="3"/>
  <c r="AB67" i="3"/>
  <c r="AA67" i="3"/>
  <c r="X67" i="3"/>
  <c r="U67" i="3"/>
  <c r="AI67" i="3"/>
  <c r="AH66" i="3"/>
  <c r="AG66" i="3"/>
  <c r="AE66" i="3"/>
  <c r="AD66" i="3"/>
  <c r="AB66" i="3"/>
  <c r="AA66" i="3"/>
  <c r="X66" i="3"/>
  <c r="U66" i="3"/>
  <c r="O66" i="3"/>
  <c r="Z66" i="3" s="1"/>
  <c r="AK66" i="3" s="1"/>
  <c r="J68" i="3" l="1"/>
  <c r="V68" i="3"/>
  <c r="AI68" i="3"/>
  <c r="O67" i="3"/>
  <c r="Z67" i="3" s="1"/>
  <c r="AK67" i="3" s="1"/>
  <c r="V67" i="3"/>
  <c r="J67" i="3"/>
  <c r="V66" i="3"/>
  <c r="J66" i="3"/>
  <c r="AI66" i="3"/>
  <c r="AH65" i="3"/>
  <c r="AG65" i="3"/>
  <c r="AE65" i="3"/>
  <c r="AD65" i="3"/>
  <c r="AB65" i="3"/>
  <c r="AA65" i="3"/>
  <c r="X65" i="3"/>
  <c r="U65" i="3"/>
  <c r="O65" i="3"/>
  <c r="Z65" i="3" s="1"/>
  <c r="AK65" i="3" s="1"/>
  <c r="AH64" i="3"/>
  <c r="AG64" i="3"/>
  <c r="AE64" i="3"/>
  <c r="AD64" i="3"/>
  <c r="AB64" i="3"/>
  <c r="AA64" i="3"/>
  <c r="X64" i="3"/>
  <c r="U64" i="3"/>
  <c r="O64" i="3"/>
  <c r="Z64" i="3" s="1"/>
  <c r="AK64" i="3" s="1"/>
  <c r="V65" i="3" l="1"/>
  <c r="J65" i="3"/>
  <c r="AI65" i="3"/>
  <c r="J64" i="3"/>
  <c r="V64" i="3"/>
  <c r="AI64" i="3"/>
  <c r="AH63" i="3" l="1"/>
  <c r="AG63" i="3"/>
  <c r="AE63" i="3"/>
  <c r="AD63" i="3"/>
  <c r="AB63" i="3"/>
  <c r="AA63" i="3"/>
  <c r="X63" i="3"/>
  <c r="U63" i="3"/>
  <c r="O63" i="3"/>
  <c r="Z63" i="3" s="1"/>
  <c r="AK63" i="3" s="1"/>
  <c r="AH62" i="3"/>
  <c r="AG62" i="3"/>
  <c r="AE62" i="3"/>
  <c r="AD62" i="3"/>
  <c r="AB62" i="3"/>
  <c r="AA62" i="3"/>
  <c r="X62" i="3"/>
  <c r="U62" i="3"/>
  <c r="O62" i="3"/>
  <c r="Z62" i="3" s="1"/>
  <c r="AK62" i="3" s="1"/>
  <c r="AH61" i="3"/>
  <c r="AG61" i="3"/>
  <c r="AE61" i="3"/>
  <c r="AD61" i="3"/>
  <c r="AB61" i="3"/>
  <c r="AA61" i="3"/>
  <c r="X61" i="3"/>
  <c r="U61" i="3"/>
  <c r="O61" i="3"/>
  <c r="Z61" i="3" s="1"/>
  <c r="AK61" i="3" s="1"/>
  <c r="AH60" i="3"/>
  <c r="AG60" i="3"/>
  <c r="AE60" i="3"/>
  <c r="AD60" i="3"/>
  <c r="AB60" i="3"/>
  <c r="AA60" i="3"/>
  <c r="X60" i="3"/>
  <c r="U60" i="3"/>
  <c r="O60" i="3"/>
  <c r="Z60" i="3" s="1"/>
  <c r="AK60" i="3" s="1"/>
  <c r="AH59" i="3"/>
  <c r="AG59" i="3"/>
  <c r="AE59" i="3"/>
  <c r="AD59" i="3"/>
  <c r="AB59" i="3"/>
  <c r="AA59" i="3"/>
  <c r="X59" i="3"/>
  <c r="U59" i="3"/>
  <c r="O59" i="3"/>
  <c r="Z59" i="3" s="1"/>
  <c r="AK59" i="3" s="1"/>
  <c r="J63" i="3" l="1"/>
  <c r="V63" i="3"/>
  <c r="AI63" i="3"/>
  <c r="V62" i="3"/>
  <c r="AI62" i="3"/>
  <c r="J62" i="3"/>
  <c r="J61" i="3"/>
  <c r="V61" i="3"/>
  <c r="AI61" i="3"/>
  <c r="J60" i="3"/>
  <c r="V60" i="3"/>
  <c r="AI60" i="3"/>
  <c r="J59" i="3"/>
  <c r="V59" i="3"/>
  <c r="AI59" i="3"/>
  <c r="AH58" i="3" l="1"/>
  <c r="AG58" i="3"/>
  <c r="AE58" i="3"/>
  <c r="AD58" i="3"/>
  <c r="AB58" i="3"/>
  <c r="AA58" i="3"/>
  <c r="X58" i="3"/>
  <c r="U58" i="3"/>
  <c r="O58" i="3"/>
  <c r="Z58" i="3" s="1"/>
  <c r="AK58" i="3" s="1"/>
  <c r="AH57" i="3"/>
  <c r="AG57" i="3"/>
  <c r="AE57" i="3"/>
  <c r="AD57" i="3"/>
  <c r="AB57" i="3"/>
  <c r="AA57" i="3"/>
  <c r="X57" i="3"/>
  <c r="U57" i="3"/>
  <c r="O57" i="3"/>
  <c r="Z57" i="3" s="1"/>
  <c r="AK57" i="3" s="1"/>
  <c r="AH56" i="3"/>
  <c r="AG56" i="3"/>
  <c r="AE56" i="3"/>
  <c r="AD56" i="3"/>
  <c r="AB56" i="3"/>
  <c r="AA56" i="3"/>
  <c r="X56" i="3"/>
  <c r="U56" i="3"/>
  <c r="O56" i="3"/>
  <c r="Z56" i="3" s="1"/>
  <c r="AK56" i="3" s="1"/>
  <c r="X55" i="3"/>
  <c r="U55" i="3"/>
  <c r="O53" i="3"/>
  <c r="O54" i="3"/>
  <c r="Z54" i="3" s="1"/>
  <c r="O55" i="3"/>
  <c r="Z55" i="3" s="1"/>
  <c r="X54" i="3"/>
  <c r="U54" i="3"/>
  <c r="J57" i="3" l="1"/>
  <c r="J58" i="3"/>
  <c r="V58" i="3"/>
  <c r="AI58" i="3"/>
  <c r="V57" i="3"/>
  <c r="AI57" i="3"/>
  <c r="J56" i="3"/>
  <c r="V56" i="3"/>
  <c r="AI56" i="3"/>
  <c r="J53" i="3"/>
  <c r="V54" i="3"/>
  <c r="V55" i="3"/>
  <c r="J54" i="3"/>
  <c r="J55" i="3"/>
  <c r="AL52" i="3"/>
  <c r="AH52" i="3"/>
  <c r="AG52" i="3"/>
  <c r="AE52" i="3"/>
  <c r="AD52" i="3"/>
  <c r="AB52" i="3"/>
  <c r="AA52" i="3"/>
  <c r="X52" i="3"/>
  <c r="U52" i="3"/>
  <c r="AL51" i="3"/>
  <c r="AH51" i="3"/>
  <c r="AG51" i="3"/>
  <c r="AE51" i="3"/>
  <c r="AD51" i="3"/>
  <c r="AB51" i="3"/>
  <c r="AA51" i="3"/>
  <c r="X51" i="3"/>
  <c r="U51" i="3"/>
  <c r="O51" i="3"/>
  <c r="Z51" i="3" s="1"/>
  <c r="AL50" i="3"/>
  <c r="AH50" i="3"/>
  <c r="AG50" i="3"/>
  <c r="AE50" i="3"/>
  <c r="AD50" i="3"/>
  <c r="AA50" i="3"/>
  <c r="X50" i="3"/>
  <c r="U50" i="3"/>
  <c r="AL49" i="3"/>
  <c r="AH49" i="3"/>
  <c r="AG49" i="3"/>
  <c r="AE49" i="3"/>
  <c r="AD49" i="3"/>
  <c r="AB49" i="3"/>
  <c r="AA49" i="3"/>
  <c r="X49" i="3"/>
  <c r="U49" i="3"/>
  <c r="AL48" i="3"/>
  <c r="AH48" i="3"/>
  <c r="AG48" i="3"/>
  <c r="AE48" i="3"/>
  <c r="AD48" i="3"/>
  <c r="AB48" i="3"/>
  <c r="AA48" i="3"/>
  <c r="X48" i="3"/>
  <c r="U48" i="3"/>
  <c r="AI52" i="3" l="1"/>
  <c r="AI48" i="3"/>
  <c r="AI49" i="3"/>
  <c r="O52" i="3"/>
  <c r="Z52" i="3" s="1"/>
  <c r="V52" i="3"/>
  <c r="AI50" i="3"/>
  <c r="J52" i="3"/>
  <c r="V51" i="3"/>
  <c r="AI51" i="3"/>
  <c r="J51" i="3"/>
  <c r="V50" i="3"/>
  <c r="O50" i="3"/>
  <c r="Z50" i="3" s="1"/>
  <c r="AB50" i="3"/>
  <c r="J50" i="3"/>
  <c r="O49" i="3"/>
  <c r="Z49" i="3" s="1"/>
  <c r="V49" i="3"/>
  <c r="J49" i="3"/>
  <c r="O48" i="3"/>
  <c r="Z48" i="3" s="1"/>
  <c r="V48" i="3"/>
  <c r="J48" i="3"/>
  <c r="AL47" i="3"/>
  <c r="AH47" i="3"/>
  <c r="AG47" i="3"/>
  <c r="AE47" i="3"/>
  <c r="AD47" i="3"/>
  <c r="AB47" i="3"/>
  <c r="AA47" i="3"/>
  <c r="X47" i="3"/>
  <c r="U47" i="3"/>
  <c r="AD41" i="3"/>
  <c r="AE41" i="3"/>
  <c r="AG41" i="3"/>
  <c r="AH41" i="3"/>
  <c r="AL41" i="3"/>
  <c r="AD42" i="3"/>
  <c r="AE42" i="3"/>
  <c r="AG42" i="3"/>
  <c r="AH42" i="3"/>
  <c r="AL42" i="3"/>
  <c r="AD43" i="3"/>
  <c r="AE43" i="3"/>
  <c r="AG43" i="3"/>
  <c r="AH43" i="3"/>
  <c r="AL43" i="3"/>
  <c r="AD44" i="3"/>
  <c r="AE44" i="3"/>
  <c r="AG44" i="3"/>
  <c r="AH44" i="3"/>
  <c r="AL44" i="3"/>
  <c r="AD45" i="3"/>
  <c r="AE45" i="3"/>
  <c r="AG45" i="3"/>
  <c r="AH45" i="3"/>
  <c r="AL45" i="3"/>
  <c r="AD46" i="3"/>
  <c r="AE46" i="3"/>
  <c r="AG46" i="3"/>
  <c r="AH46" i="3"/>
  <c r="AL46" i="3"/>
  <c r="AB46" i="3"/>
  <c r="AA46" i="3"/>
  <c r="X46" i="3"/>
  <c r="U46" i="3"/>
  <c r="O46" i="3"/>
  <c r="Z46" i="3" s="1"/>
  <c r="AB45" i="3"/>
  <c r="AA45" i="3"/>
  <c r="X45" i="3"/>
  <c r="U45" i="3"/>
  <c r="O45" i="3"/>
  <c r="Z45" i="3" s="1"/>
  <c r="J44" i="3"/>
  <c r="U44" i="3"/>
  <c r="X44" i="3"/>
  <c r="AA44" i="3"/>
  <c r="AB44" i="3"/>
  <c r="AI47" i="3" l="1"/>
  <c r="O47" i="3"/>
  <c r="Z47" i="3" s="1"/>
  <c r="V47" i="3"/>
  <c r="J47" i="3"/>
  <c r="AI46" i="3"/>
  <c r="AI45" i="3"/>
  <c r="AI44" i="3"/>
  <c r="O44" i="3"/>
  <c r="Z44" i="3" s="1"/>
  <c r="J46" i="3"/>
  <c r="V46" i="3"/>
  <c r="V45" i="3"/>
  <c r="J45" i="3"/>
  <c r="V44" i="3"/>
  <c r="AB43" i="3"/>
  <c r="AA43" i="3"/>
  <c r="X43" i="3"/>
  <c r="U43" i="3"/>
  <c r="AI43" i="3"/>
  <c r="AB42" i="3"/>
  <c r="AA42" i="3"/>
  <c r="X42" i="3"/>
  <c r="U42" i="3"/>
  <c r="AI42" i="3"/>
  <c r="AA41" i="3"/>
  <c r="X41" i="3"/>
  <c r="U41" i="3"/>
  <c r="AI41" i="3"/>
  <c r="O43" i="3" l="1"/>
  <c r="Z43" i="3" s="1"/>
  <c r="V43" i="3"/>
  <c r="J43" i="3"/>
  <c r="AB41" i="3"/>
  <c r="O42" i="3"/>
  <c r="Z42" i="3" s="1"/>
  <c r="V42" i="3"/>
  <c r="J42" i="3"/>
  <c r="V41" i="3"/>
  <c r="J41" i="3"/>
  <c r="O41" i="3"/>
  <c r="Z41" i="3" s="1"/>
  <c r="O3" i="3"/>
  <c r="AK40" i="3"/>
  <c r="AJ40" i="3"/>
  <c r="AG40" i="3"/>
  <c r="AF40" i="3"/>
  <c r="AD40" i="3"/>
  <c r="AC40" i="3"/>
  <c r="AA40" i="3"/>
  <c r="X40" i="3"/>
  <c r="U40" i="3"/>
  <c r="O40" i="3"/>
  <c r="Z40" i="3" s="1"/>
  <c r="AL40" i="3" s="1"/>
  <c r="V40" i="3" l="1"/>
  <c r="J40" i="3"/>
  <c r="O39" i="3" l="1"/>
  <c r="J39" i="3" l="1"/>
  <c r="AK38" i="3"/>
  <c r="AJ38" i="3"/>
  <c r="AG38" i="3"/>
  <c r="AF38" i="3"/>
  <c r="AD38" i="3"/>
  <c r="AC38" i="3"/>
  <c r="AA38" i="3"/>
  <c r="X38" i="3"/>
  <c r="U38" i="3"/>
  <c r="J38" i="3"/>
  <c r="O38" i="3" l="1"/>
  <c r="Z38" i="3" s="1"/>
  <c r="AL38" i="3" s="1"/>
  <c r="V38" i="3"/>
  <c r="AK37" i="3" l="1"/>
  <c r="AJ37" i="3"/>
  <c r="AG37" i="3"/>
  <c r="AF37" i="3"/>
  <c r="AD37" i="3"/>
  <c r="AC37" i="3"/>
  <c r="AA37" i="3"/>
  <c r="X37" i="3"/>
  <c r="U37" i="3"/>
  <c r="O37" i="3"/>
  <c r="Z37" i="3" s="1"/>
  <c r="AL37" i="3" s="1"/>
  <c r="V37" i="3" l="1"/>
  <c r="J37" i="3"/>
  <c r="AK36" i="3"/>
  <c r="AJ36" i="3"/>
  <c r="AG36" i="3"/>
  <c r="AF36" i="3"/>
  <c r="AD36" i="3"/>
  <c r="AC36" i="3"/>
  <c r="AA36" i="3"/>
  <c r="X36" i="3"/>
  <c r="U36" i="3"/>
  <c r="J36" i="3"/>
  <c r="AK35" i="3"/>
  <c r="AJ35" i="3"/>
  <c r="AG35" i="3"/>
  <c r="AF35" i="3"/>
  <c r="AD35" i="3"/>
  <c r="AC35" i="3"/>
  <c r="AA35" i="3"/>
  <c r="X35" i="3"/>
  <c r="U35" i="3"/>
  <c r="J35" i="3"/>
  <c r="AK34" i="3"/>
  <c r="AJ34" i="3"/>
  <c r="AG34" i="3"/>
  <c r="AF34" i="3"/>
  <c r="AD34" i="3"/>
  <c r="AC34" i="3"/>
  <c r="AA34" i="3"/>
  <c r="X34" i="3"/>
  <c r="U34" i="3"/>
  <c r="J34" i="3"/>
  <c r="AK33" i="3"/>
  <c r="AJ33" i="3"/>
  <c r="AG33" i="3"/>
  <c r="AF33" i="3"/>
  <c r="AD33" i="3"/>
  <c r="AC33" i="3"/>
  <c r="AA33" i="3"/>
  <c r="X33" i="3"/>
  <c r="U33" i="3"/>
  <c r="J33" i="3"/>
  <c r="AK32" i="3"/>
  <c r="AJ32" i="3"/>
  <c r="AG32" i="3"/>
  <c r="AF32" i="3"/>
  <c r="AD32" i="3"/>
  <c r="AC32" i="3"/>
  <c r="AA32" i="3"/>
  <c r="X32" i="3"/>
  <c r="U32" i="3"/>
  <c r="J32" i="3"/>
  <c r="AK31" i="3"/>
  <c r="AJ31" i="3"/>
  <c r="AG31" i="3"/>
  <c r="AF31" i="3"/>
  <c r="AD31" i="3"/>
  <c r="AC31" i="3"/>
  <c r="AA31" i="3"/>
  <c r="X31" i="3"/>
  <c r="U31" i="3"/>
  <c r="O31" i="3"/>
  <c r="Z31" i="3" s="1"/>
  <c r="AL31" i="3" s="1"/>
  <c r="O36" i="3" l="1"/>
  <c r="Z36" i="3" s="1"/>
  <c r="AL36" i="3" s="1"/>
  <c r="V36" i="3"/>
  <c r="O35" i="3"/>
  <c r="Z35" i="3" s="1"/>
  <c r="AL35" i="3" s="1"/>
  <c r="V35" i="3"/>
  <c r="O34" i="3"/>
  <c r="Z34" i="3" s="1"/>
  <c r="AL34" i="3" s="1"/>
  <c r="V34" i="3"/>
  <c r="O33" i="3"/>
  <c r="Z33" i="3" s="1"/>
  <c r="AL33" i="3" s="1"/>
  <c r="V33" i="3"/>
  <c r="O32" i="3"/>
  <c r="Z32" i="3" s="1"/>
  <c r="AL32" i="3" s="1"/>
  <c r="V32" i="3"/>
  <c r="V31" i="3"/>
  <c r="J31" i="3"/>
  <c r="AK30" i="3"/>
  <c r="AJ30" i="3"/>
  <c r="AG30" i="3"/>
  <c r="AF30" i="3"/>
  <c r="AD30" i="3"/>
  <c r="AC30" i="3"/>
  <c r="AA30" i="3"/>
  <c r="X30" i="3"/>
  <c r="U30" i="3"/>
  <c r="O30" i="3"/>
  <c r="Z30" i="3" s="1"/>
  <c r="AL30" i="3" s="1"/>
  <c r="AK29" i="3"/>
  <c r="AJ29" i="3"/>
  <c r="AG29" i="3"/>
  <c r="AF29" i="3"/>
  <c r="AD29" i="3"/>
  <c r="AC29" i="3"/>
  <c r="AA29" i="3"/>
  <c r="X29" i="3"/>
  <c r="U29" i="3"/>
  <c r="O29" i="3"/>
  <c r="Z29" i="3" s="1"/>
  <c r="AL29" i="3" s="1"/>
  <c r="AK28" i="3"/>
  <c r="AJ28" i="3"/>
  <c r="AG28" i="3"/>
  <c r="AF28" i="3"/>
  <c r="AD28" i="3"/>
  <c r="AC28" i="3"/>
  <c r="AA28" i="3"/>
  <c r="X28" i="3"/>
  <c r="U28" i="3"/>
  <c r="J28" i="3"/>
  <c r="V30" i="3" l="1"/>
  <c r="J30" i="3"/>
  <c r="J29" i="3"/>
  <c r="V29" i="3"/>
  <c r="O28" i="3"/>
  <c r="Z28" i="3" s="1"/>
  <c r="AL28" i="3" s="1"/>
  <c r="V28" i="3"/>
  <c r="J27" i="3" l="1"/>
  <c r="U27" i="3"/>
  <c r="X27" i="3"/>
  <c r="AA27" i="3"/>
  <c r="AC27" i="3"/>
  <c r="AD27" i="3"/>
  <c r="AF27" i="3"/>
  <c r="AG27" i="3"/>
  <c r="AJ27" i="3"/>
  <c r="AK27" i="3"/>
  <c r="V27" i="3" l="1"/>
  <c r="O27" i="3"/>
  <c r="Z27" i="3" s="1"/>
  <c r="AL27" i="3" s="1"/>
  <c r="O25" i="3" l="1"/>
  <c r="Z25" i="3" s="1"/>
  <c r="AL25" i="3" s="1"/>
  <c r="O26" i="3"/>
  <c r="Z26" i="3" s="1"/>
  <c r="AL26" i="3" s="1"/>
  <c r="AK26" i="3"/>
  <c r="AJ26" i="3"/>
  <c r="AG26" i="3"/>
  <c r="AF26" i="3"/>
  <c r="AD26" i="3"/>
  <c r="AC26" i="3"/>
  <c r="AA26" i="3"/>
  <c r="X26" i="3"/>
  <c r="U26" i="3"/>
  <c r="AK25" i="3"/>
  <c r="AJ25" i="3"/>
  <c r="AG25" i="3"/>
  <c r="AF25" i="3"/>
  <c r="AD25" i="3"/>
  <c r="AC25" i="3"/>
  <c r="AA25" i="3"/>
  <c r="X25" i="3"/>
  <c r="U25" i="3"/>
  <c r="J26" i="3" l="1"/>
  <c r="V26" i="3"/>
  <c r="V25" i="3"/>
  <c r="J25" i="3"/>
  <c r="J22" i="3" l="1"/>
  <c r="J23" i="3"/>
  <c r="AK24" i="3"/>
  <c r="AH24" i="3"/>
  <c r="AG24" i="3"/>
  <c r="AE24" i="3"/>
  <c r="AD24" i="3"/>
  <c r="AB24" i="3"/>
  <c r="Y24" i="3"/>
  <c r="V24" i="3"/>
  <c r="AK23" i="3"/>
  <c r="AH23" i="3"/>
  <c r="AG23" i="3"/>
  <c r="AE23" i="3"/>
  <c r="AD23" i="3"/>
  <c r="AB23" i="3"/>
  <c r="Y23" i="3"/>
  <c r="V23" i="3"/>
  <c r="AK22" i="3"/>
  <c r="AH22" i="3"/>
  <c r="AG22" i="3"/>
  <c r="AE22" i="3"/>
  <c r="AD22" i="3"/>
  <c r="AB22" i="3"/>
  <c r="Y22" i="3"/>
  <c r="V22" i="3"/>
  <c r="J24" i="3" l="1"/>
  <c r="O24" i="3"/>
  <c r="AA24" i="3" s="1"/>
  <c r="W24" i="3"/>
  <c r="O23" i="3"/>
  <c r="AA23" i="3" s="1"/>
  <c r="W23" i="3"/>
  <c r="W22" i="3"/>
  <c r="O22" i="3"/>
  <c r="AA22" i="3" s="1"/>
  <c r="J12" i="3" l="1"/>
  <c r="AK12" i="3"/>
  <c r="AJ12" i="3"/>
  <c r="AG12" i="3"/>
  <c r="AF12" i="3"/>
  <c r="AD12" i="3"/>
  <c r="AC12" i="3"/>
  <c r="AA12" i="3"/>
  <c r="X12" i="3"/>
  <c r="U12" i="3"/>
  <c r="J13" i="3"/>
  <c r="AK13" i="3"/>
  <c r="AJ13" i="3"/>
  <c r="AG13" i="3"/>
  <c r="AF13" i="3"/>
  <c r="AD13" i="3"/>
  <c r="AC13" i="3"/>
  <c r="AA13" i="3"/>
  <c r="X13" i="3"/>
  <c r="U13" i="3"/>
  <c r="O12" i="3" l="1"/>
  <c r="Z12" i="3" s="1"/>
  <c r="V12" i="3"/>
  <c r="O13" i="3"/>
  <c r="Z13" i="3" s="1"/>
  <c r="V13" i="3"/>
  <c r="AK11" i="3" l="1"/>
  <c r="AJ11" i="3"/>
  <c r="AG11" i="3"/>
  <c r="AF11" i="3"/>
  <c r="AD11" i="3"/>
  <c r="AC11" i="3"/>
  <c r="AA11" i="3"/>
  <c r="X11" i="3"/>
  <c r="U11" i="3"/>
  <c r="J11" i="3"/>
  <c r="AK10" i="3"/>
  <c r="AJ10" i="3"/>
  <c r="AG10" i="3"/>
  <c r="AF10" i="3"/>
  <c r="AD10" i="3"/>
  <c r="AC10" i="3"/>
  <c r="AA10" i="3"/>
  <c r="X10" i="3"/>
  <c r="U10" i="3"/>
  <c r="J10" i="3"/>
  <c r="AK9" i="3"/>
  <c r="AJ9" i="3"/>
  <c r="AG9" i="3"/>
  <c r="AF9" i="3"/>
  <c r="AD9" i="3"/>
  <c r="AC9" i="3"/>
  <c r="AA9" i="3"/>
  <c r="X9" i="3"/>
  <c r="U9" i="3"/>
  <c r="J9" i="3"/>
  <c r="AK8" i="3"/>
  <c r="AJ8" i="3"/>
  <c r="AG8" i="3"/>
  <c r="AF8" i="3"/>
  <c r="AD8" i="3"/>
  <c r="AC8" i="3"/>
  <c r="AA8" i="3"/>
  <c r="X8" i="3"/>
  <c r="U8" i="3"/>
  <c r="O8" i="3"/>
  <c r="Z8" i="3" s="1"/>
  <c r="O11" i="3" l="1"/>
  <c r="Z11" i="3" s="1"/>
  <c r="V11" i="3"/>
  <c r="O10" i="3"/>
  <c r="Z10" i="3" s="1"/>
  <c r="V10" i="3"/>
  <c r="V9" i="3"/>
  <c r="O9" i="3"/>
  <c r="Z9" i="3" s="1"/>
  <c r="V8" i="3"/>
  <c r="J8" i="3"/>
  <c r="AK21" i="3"/>
  <c r="AJ21" i="3"/>
  <c r="AG21" i="3"/>
  <c r="AF21" i="3"/>
  <c r="AD21" i="3"/>
  <c r="AC21" i="3"/>
  <c r="AA21" i="3"/>
  <c r="X21" i="3"/>
  <c r="U21" i="3"/>
  <c r="AK20" i="3"/>
  <c r="AJ20" i="3"/>
  <c r="AG20" i="3"/>
  <c r="AF20" i="3"/>
  <c r="AD20" i="3"/>
  <c r="AC20" i="3"/>
  <c r="AA20" i="3"/>
  <c r="X20" i="3"/>
  <c r="U20" i="3"/>
  <c r="O20" i="3"/>
  <c r="Z20" i="3" s="1"/>
  <c r="AK19" i="3"/>
  <c r="AJ19" i="3"/>
  <c r="AG19" i="3"/>
  <c r="AF19" i="3"/>
  <c r="AD19" i="3"/>
  <c r="AC19" i="3"/>
  <c r="AA19" i="3"/>
  <c r="X19" i="3"/>
  <c r="U19" i="3"/>
  <c r="V19" i="3" l="1"/>
  <c r="V21" i="3"/>
  <c r="O19" i="3"/>
  <c r="Z19" i="3" s="1"/>
  <c r="O21" i="3"/>
  <c r="Z21" i="3" s="1"/>
  <c r="J21" i="3"/>
  <c r="J19" i="3"/>
  <c r="V20" i="3"/>
  <c r="J20" i="3"/>
  <c r="AG7" i="3" l="1"/>
  <c r="AF7" i="3"/>
  <c r="AD7" i="3"/>
  <c r="AC7" i="3"/>
  <c r="AA7" i="3"/>
  <c r="X7" i="3"/>
  <c r="U7" i="3"/>
  <c r="O7" i="3"/>
  <c r="Z7" i="3" s="1"/>
  <c r="V7" i="3" l="1"/>
  <c r="J7" i="3"/>
  <c r="AK4" i="3"/>
  <c r="AJ4" i="3"/>
  <c r="AG4" i="3"/>
  <c r="AF4" i="3"/>
  <c r="AD4" i="3"/>
  <c r="AC4" i="3"/>
  <c r="AA4" i="3"/>
  <c r="X4" i="3"/>
  <c r="U4" i="3"/>
  <c r="J4" i="3"/>
  <c r="AK3" i="3"/>
  <c r="AJ3" i="3"/>
  <c r="AG3" i="3"/>
  <c r="AF3" i="3"/>
  <c r="AD3" i="3"/>
  <c r="AC3" i="3"/>
  <c r="AA3" i="3"/>
  <c r="X3" i="3"/>
  <c r="U3" i="3"/>
  <c r="Z3" i="3"/>
  <c r="O4" i="3" l="1"/>
  <c r="Z4" i="3" s="1"/>
  <c r="V4" i="3"/>
  <c r="V3" i="3"/>
  <c r="J3" i="3"/>
  <c r="AK6" i="3" l="1"/>
  <c r="AG6" i="3"/>
  <c r="AF6" i="3"/>
  <c r="AD6" i="3"/>
  <c r="AC6" i="3"/>
  <c r="AA6" i="3"/>
  <c r="X6" i="3"/>
  <c r="U6" i="3"/>
  <c r="O6" i="3"/>
  <c r="Z6" i="3" s="1"/>
  <c r="V6" i="3" l="1"/>
  <c r="J6" i="3"/>
  <c r="AK5" i="3" l="1"/>
  <c r="AJ5" i="3"/>
  <c r="AG5" i="3"/>
  <c r="AF5" i="3"/>
  <c r="AD5" i="3"/>
  <c r="AC5" i="3"/>
  <c r="AA5" i="3"/>
  <c r="X5" i="3"/>
  <c r="U5" i="3"/>
  <c r="J5" i="3"/>
  <c r="V5" i="3" l="1"/>
  <c r="O5" i="3"/>
  <c r="Z5" i="3" s="1"/>
  <c r="AK18" i="3"/>
  <c r="AJ18" i="3"/>
  <c r="AG18" i="3"/>
  <c r="AF18" i="3"/>
  <c r="AD18" i="3"/>
  <c r="AC18" i="3"/>
  <c r="AA18" i="3"/>
  <c r="X18" i="3"/>
  <c r="U18" i="3"/>
  <c r="O18" i="3"/>
  <c r="AK17" i="3"/>
  <c r="AJ17" i="3"/>
  <c r="AG17" i="3"/>
  <c r="AF17" i="3"/>
  <c r="AD17" i="3"/>
  <c r="AC17" i="3"/>
  <c r="AA17" i="3"/>
  <c r="X17" i="3"/>
  <c r="U17" i="3"/>
  <c r="O17" i="3"/>
  <c r="AK16" i="3"/>
  <c r="AJ16" i="3"/>
  <c r="AG16" i="3"/>
  <c r="AF16" i="3"/>
  <c r="AD16" i="3"/>
  <c r="AC16" i="3"/>
  <c r="AA16" i="3"/>
  <c r="X16" i="3"/>
  <c r="U16" i="3"/>
  <c r="J16" i="3"/>
  <c r="AK15" i="3"/>
  <c r="AJ15" i="3"/>
  <c r="AG15" i="3"/>
  <c r="AF15" i="3"/>
  <c r="AD15" i="3"/>
  <c r="AC15" i="3"/>
  <c r="AA15" i="3"/>
  <c r="X15" i="3"/>
  <c r="U15" i="3"/>
  <c r="O15" i="3"/>
  <c r="AK14" i="3"/>
  <c r="AJ14" i="3"/>
  <c r="AG14" i="3"/>
  <c r="AF14" i="3"/>
  <c r="AD14" i="3"/>
  <c r="AC14" i="3"/>
  <c r="AA14" i="3"/>
  <c r="X14" i="3"/>
  <c r="U14" i="3"/>
  <c r="J14" i="3"/>
  <c r="J18" i="3" l="1"/>
  <c r="V18" i="3"/>
  <c r="J17" i="3"/>
  <c r="O16" i="3"/>
  <c r="V17" i="3"/>
  <c r="V16" i="3"/>
  <c r="O14" i="3"/>
  <c r="V14" i="3"/>
  <c r="V15" i="3"/>
  <c r="J15" i="3"/>
  <c r="C22" i="10" l="1"/>
  <c r="C25" i="10" s="1"/>
  <c r="E10" i="12"/>
  <c r="G22" i="10" l="1"/>
  <c r="E11" i="12"/>
  <c r="E12" i="12" s="1"/>
  <c r="L22" i="6" l="1"/>
  <c r="J22" i="6"/>
  <c r="H22" i="6"/>
  <c r="F22" i="6"/>
  <c r="D22" i="6"/>
  <c r="B22" i="6"/>
  <c r="M22" i="6"/>
  <c r="K22" i="6"/>
  <c r="I22" i="6"/>
  <c r="G22" i="6"/>
  <c r="E22" i="6"/>
  <c r="C22" i="6"/>
</calcChain>
</file>

<file path=xl/sharedStrings.xml><?xml version="1.0" encoding="utf-8"?>
<sst xmlns="http://schemas.openxmlformats.org/spreadsheetml/2006/main" count="16700" uniqueCount="3492">
  <si>
    <t>first calving</t>
  </si>
  <si>
    <t>last calving</t>
  </si>
  <si>
    <t>last Insemination date:</t>
  </si>
  <si>
    <t>Nr insem.</t>
  </si>
  <si>
    <t>serving interval</t>
  </si>
  <si>
    <t>PD status</t>
  </si>
  <si>
    <t>PD date</t>
  </si>
  <si>
    <t>ECD:</t>
  </si>
  <si>
    <t>cc</t>
  </si>
  <si>
    <t>Бирка</t>
  </si>
  <si>
    <t>Дата рождения</t>
  </si>
  <si>
    <t>РИ</t>
  </si>
  <si>
    <t>кол-во осем.</t>
  </si>
  <si>
    <t>сервис-период</t>
  </si>
  <si>
    <t>счет</t>
  </si>
  <si>
    <t xml:space="preserve"> дата ожидаемого отела</t>
  </si>
  <si>
    <t>дата последнего отела</t>
  </si>
  <si>
    <t>происхождение</t>
  </si>
  <si>
    <t>№ п/п</t>
  </si>
  <si>
    <t>ФИО ДОЯРКИ</t>
  </si>
  <si>
    <t>КЛИЧКА</t>
  </si>
  <si>
    <t>№ коровника</t>
  </si>
  <si>
    <t>ДАТА на СЕГОДНЯ</t>
  </si>
  <si>
    <t>ВОЗРАСТ Ж-ГО</t>
  </si>
  <si>
    <t>КОНТРОЛЬ</t>
  </si>
  <si>
    <t>ДАТА ВОЗМОЖНОЙ ОХОТЫ</t>
  </si>
  <si>
    <t>дата РИ ФАКТ</t>
  </si>
  <si>
    <t>Слава</t>
  </si>
  <si>
    <t>55094</t>
  </si>
  <si>
    <t>Руслана</t>
  </si>
  <si>
    <t>55097</t>
  </si>
  <si>
    <t>Мигрень</t>
  </si>
  <si>
    <t>55098</t>
  </si>
  <si>
    <t>Кошка</t>
  </si>
  <si>
    <t>55978</t>
  </si>
  <si>
    <t>Рябина</t>
  </si>
  <si>
    <t>55985</t>
  </si>
  <si>
    <t>Иволга</t>
  </si>
  <si>
    <t>55993</t>
  </si>
  <si>
    <t>Рига</t>
  </si>
  <si>
    <t>83309</t>
  </si>
  <si>
    <t>Почта</t>
  </si>
  <si>
    <t>83336</t>
  </si>
  <si>
    <t>Марта</t>
  </si>
  <si>
    <t>83352</t>
  </si>
  <si>
    <t>Фокусница</t>
  </si>
  <si>
    <t>175492</t>
  </si>
  <si>
    <t>Цитата</t>
  </si>
  <si>
    <t>175493</t>
  </si>
  <si>
    <t>Пенка</t>
  </si>
  <si>
    <t>175497</t>
  </si>
  <si>
    <t>Аврора</t>
  </si>
  <si>
    <t>175524</t>
  </si>
  <si>
    <t>Проза</t>
  </si>
  <si>
    <t>175530</t>
  </si>
  <si>
    <t>Бомба</t>
  </si>
  <si>
    <t>175531</t>
  </si>
  <si>
    <t>Канада</t>
  </si>
  <si>
    <t>175533</t>
  </si>
  <si>
    <t>Ната</t>
  </si>
  <si>
    <t>175551</t>
  </si>
  <si>
    <t>Рулька</t>
  </si>
  <si>
    <t>175816</t>
  </si>
  <si>
    <t>Ершиха</t>
  </si>
  <si>
    <t>175845</t>
  </si>
  <si>
    <t>Варежка</t>
  </si>
  <si>
    <t>175886</t>
  </si>
  <si>
    <t>Качеля</t>
  </si>
  <si>
    <t>175889</t>
  </si>
  <si>
    <t>Айва</t>
  </si>
  <si>
    <t>789</t>
  </si>
  <si>
    <t>Пилюля</t>
  </si>
  <si>
    <t>760</t>
  </si>
  <si>
    <t>Тихоня</t>
  </si>
  <si>
    <t>1004</t>
  </si>
  <si>
    <t>Милена</t>
  </si>
  <si>
    <t>1090</t>
  </si>
  <si>
    <t>дата первого отела</t>
  </si>
  <si>
    <t>ЗАО Бобравское</t>
  </si>
  <si>
    <t>Прима</t>
  </si>
  <si>
    <t>1254</t>
  </si>
  <si>
    <t>Алая</t>
  </si>
  <si>
    <t>1360</t>
  </si>
  <si>
    <t>Мальва</t>
  </si>
  <si>
    <t>1253</t>
  </si>
  <si>
    <t>Змейка</t>
  </si>
  <si>
    <t>11169</t>
  </si>
  <si>
    <t>ЗАО Троицкое</t>
  </si>
  <si>
    <t>Нимфа</t>
  </si>
  <si>
    <t>1083</t>
  </si>
  <si>
    <t>Чинара</t>
  </si>
  <si>
    <t>Маслина</t>
  </si>
  <si>
    <t>1433</t>
  </si>
  <si>
    <t>Алгебра</t>
  </si>
  <si>
    <t>175577</t>
  </si>
  <si>
    <t>Матрёшка</t>
  </si>
  <si>
    <t>Шумовка</t>
  </si>
  <si>
    <t>58</t>
  </si>
  <si>
    <t>1536</t>
  </si>
  <si>
    <t>Жучка</t>
  </si>
  <si>
    <t>11011</t>
  </si>
  <si>
    <t>Заря</t>
  </si>
  <si>
    <t>835</t>
  </si>
  <si>
    <t>30.03.12.</t>
  </si>
  <si>
    <t>Метелица</t>
  </si>
  <si>
    <t>Румянка</t>
  </si>
  <si>
    <t>38</t>
  </si>
  <si>
    <t>821</t>
  </si>
  <si>
    <t>Шкода</t>
  </si>
  <si>
    <t>1170</t>
  </si>
  <si>
    <t>Вилка</t>
  </si>
  <si>
    <t>1447</t>
  </si>
  <si>
    <t>Рябинка</t>
  </si>
  <si>
    <t>1689</t>
  </si>
  <si>
    <t>Роса</t>
  </si>
  <si>
    <t>1577</t>
  </si>
  <si>
    <t>Чипса</t>
  </si>
  <si>
    <t>669</t>
  </si>
  <si>
    <t>Монета</t>
  </si>
  <si>
    <t>1139</t>
  </si>
  <si>
    <t>Малина</t>
  </si>
  <si>
    <t>44</t>
  </si>
  <si>
    <t>Медведица</t>
  </si>
  <si>
    <t>11129</t>
  </si>
  <si>
    <t>Серьга</t>
  </si>
  <si>
    <t>10208</t>
  </si>
  <si>
    <t>Мурзилка</t>
  </si>
  <si>
    <t>11053</t>
  </si>
  <si>
    <t>Кудря</t>
  </si>
  <si>
    <t>11017</t>
  </si>
  <si>
    <t>Кадушка</t>
  </si>
  <si>
    <t>11245</t>
  </si>
  <si>
    <t>Ячейка</t>
  </si>
  <si>
    <t>11105</t>
  </si>
  <si>
    <t>Юлька</t>
  </si>
  <si>
    <t>10358</t>
  </si>
  <si>
    <t>Мурка</t>
  </si>
  <si>
    <t>10356</t>
  </si>
  <si>
    <t>Весна</t>
  </si>
  <si>
    <t>10234</t>
  </si>
  <si>
    <t>Артистка</t>
  </si>
  <si>
    <t>693</t>
  </si>
  <si>
    <t>Малу</t>
  </si>
  <si>
    <t>1060</t>
  </si>
  <si>
    <t>Мошка</t>
  </si>
  <si>
    <t>11056</t>
  </si>
  <si>
    <t>Белка</t>
  </si>
  <si>
    <t>11181</t>
  </si>
  <si>
    <t>Кислица</t>
  </si>
  <si>
    <t>11226</t>
  </si>
  <si>
    <t>Брошка</t>
  </si>
  <si>
    <t>40</t>
  </si>
  <si>
    <t>Незабудка</t>
  </si>
  <si>
    <t>776</t>
  </si>
  <si>
    <t>Кобра</t>
  </si>
  <si>
    <t>11043</t>
  </si>
  <si>
    <t>Радуга</t>
  </si>
  <si>
    <t>741</t>
  </si>
  <si>
    <t>Гармония</t>
  </si>
  <si>
    <t>11202</t>
  </si>
  <si>
    <t>Разгадка</t>
  </si>
  <si>
    <t>11227</t>
  </si>
  <si>
    <t>Сопатка</t>
  </si>
  <si>
    <t>Яблочко</t>
  </si>
  <si>
    <t>11233</t>
  </si>
  <si>
    <t>Медуница</t>
  </si>
  <si>
    <t>11170</t>
  </si>
  <si>
    <t>Знатная</t>
  </si>
  <si>
    <t>11076</t>
  </si>
  <si>
    <t>Бухара</t>
  </si>
  <si>
    <t>11231</t>
  </si>
  <si>
    <t>Лучина</t>
  </si>
  <si>
    <t>11140</t>
  </si>
  <si>
    <t>Ласкуша</t>
  </si>
  <si>
    <t>11103</t>
  </si>
  <si>
    <t>Нанка</t>
  </si>
  <si>
    <t>11029</t>
  </si>
  <si>
    <t>Чехарда</t>
  </si>
  <si>
    <t>11027</t>
  </si>
  <si>
    <t>Зорюшка</t>
  </si>
  <si>
    <t>11045</t>
  </si>
  <si>
    <t>Пальма</t>
  </si>
  <si>
    <t>10242</t>
  </si>
  <si>
    <t>Якутка</t>
  </si>
  <si>
    <t>11021</t>
  </si>
  <si>
    <t>Роза</t>
  </si>
  <si>
    <t>875</t>
  </si>
  <si>
    <t>Ворона</t>
  </si>
  <si>
    <t>11118</t>
  </si>
  <si>
    <t>10276</t>
  </si>
  <si>
    <t>Лента</t>
  </si>
  <si>
    <t>11114</t>
  </si>
  <si>
    <t>Монтана</t>
  </si>
  <si>
    <t>11041</t>
  </si>
  <si>
    <t>Чечётка</t>
  </si>
  <si>
    <t>676</t>
  </si>
  <si>
    <t>Нитка</t>
  </si>
  <si>
    <t>770</t>
  </si>
  <si>
    <t>Гильза</t>
  </si>
  <si>
    <t>1053</t>
  </si>
  <si>
    <t>Макушка</t>
  </si>
  <si>
    <t>1265</t>
  </si>
  <si>
    <t>Роща</t>
  </si>
  <si>
    <t>1285</t>
  </si>
  <si>
    <t>Нулёвка</t>
  </si>
  <si>
    <t>303</t>
  </si>
  <si>
    <t>Медуза</t>
  </si>
  <si>
    <t>1390</t>
  </si>
  <si>
    <t>1711</t>
  </si>
  <si>
    <t>Ириска</t>
  </si>
  <si>
    <t>1656</t>
  </si>
  <si>
    <t>Голубика</t>
  </si>
  <si>
    <t>1566</t>
  </si>
  <si>
    <t>Житница</t>
  </si>
  <si>
    <t>1900</t>
  </si>
  <si>
    <t>Гвоздика</t>
  </si>
  <si>
    <t>1586</t>
  </si>
  <si>
    <t>Алмазная</t>
  </si>
  <si>
    <t>1744</t>
  </si>
  <si>
    <t>Графа</t>
  </si>
  <si>
    <t>1699</t>
  </si>
  <si>
    <t>Бурёнка</t>
  </si>
  <si>
    <t>1754</t>
  </si>
  <si>
    <t>Веснянка</t>
  </si>
  <si>
    <t>1493</t>
  </si>
  <si>
    <t>Верба</t>
  </si>
  <si>
    <t>1692</t>
  </si>
  <si>
    <t>Матиола</t>
  </si>
  <si>
    <t>1703</t>
  </si>
  <si>
    <t>Фигурка</t>
  </si>
  <si>
    <t>1648</t>
  </si>
  <si>
    <t>Рёва</t>
  </si>
  <si>
    <t>1400</t>
  </si>
  <si>
    <t>Рубина</t>
  </si>
  <si>
    <t>1561</t>
  </si>
  <si>
    <t>Лоза</t>
  </si>
  <si>
    <t>1621</t>
  </si>
  <si>
    <t>Целина</t>
  </si>
  <si>
    <t>1602</t>
  </si>
  <si>
    <t>Южная</t>
  </si>
  <si>
    <t>1637</t>
  </si>
  <si>
    <t>Кокетка</t>
  </si>
  <si>
    <t>1676</t>
  </si>
  <si>
    <t>Удача</t>
  </si>
  <si>
    <t>1468</t>
  </si>
  <si>
    <t>Шашка</t>
  </si>
  <si>
    <t>1729</t>
  </si>
  <si>
    <t>Ряска</t>
  </si>
  <si>
    <t>1747</t>
  </si>
  <si>
    <t>1766</t>
  </si>
  <si>
    <t>Снегурка</t>
  </si>
  <si>
    <t>1777</t>
  </si>
  <si>
    <t>Золушка</t>
  </si>
  <si>
    <t>1745</t>
  </si>
  <si>
    <t>Бирюза</t>
  </si>
  <si>
    <t>1442</t>
  </si>
  <si>
    <t>Юрмола</t>
  </si>
  <si>
    <t>1674</t>
  </si>
  <si>
    <t>Клипса</t>
  </si>
  <si>
    <t>1569</t>
  </si>
  <si>
    <t>Костяника</t>
  </si>
  <si>
    <t>1749</t>
  </si>
  <si>
    <t>Нуга</t>
  </si>
  <si>
    <t>1684</t>
  </si>
  <si>
    <t>Душица</t>
  </si>
  <si>
    <t>1509</t>
  </si>
  <si>
    <t>Барыня</t>
  </si>
  <si>
    <t>1801</t>
  </si>
  <si>
    <t>Астра</t>
  </si>
  <si>
    <t>1647</t>
  </si>
  <si>
    <t>1504</t>
  </si>
  <si>
    <t>Ажурная</t>
  </si>
  <si>
    <t>1438</t>
  </si>
  <si>
    <t>Нури</t>
  </si>
  <si>
    <t>1707</t>
  </si>
  <si>
    <t>Лея</t>
  </si>
  <si>
    <t>1091</t>
  </si>
  <si>
    <t>Флора</t>
  </si>
  <si>
    <t>1679</t>
  </si>
  <si>
    <t>Пижма</t>
  </si>
  <si>
    <t>1715</t>
  </si>
  <si>
    <t>Ангара</t>
  </si>
  <si>
    <t>1346</t>
  </si>
  <si>
    <t>Дубрава</t>
  </si>
  <si>
    <t>1797</t>
  </si>
  <si>
    <t>784</t>
  </si>
  <si>
    <t>60</t>
  </si>
  <si>
    <t>Икра</t>
  </si>
  <si>
    <t>1652</t>
  </si>
  <si>
    <t>Нерпа</t>
  </si>
  <si>
    <t>1537</t>
  </si>
  <si>
    <t>1643</t>
  </si>
  <si>
    <t>Удалая</t>
  </si>
  <si>
    <t>1716</t>
  </si>
  <si>
    <t>Леска</t>
  </si>
  <si>
    <t>1796</t>
  </si>
  <si>
    <t>Хна</t>
  </si>
  <si>
    <t>1630</t>
  </si>
  <si>
    <t>Афина</t>
  </si>
  <si>
    <t>1620</t>
  </si>
  <si>
    <t>1758</t>
  </si>
  <si>
    <t>Репка</t>
  </si>
  <si>
    <t>1598</t>
  </si>
  <si>
    <t>Надежда</t>
  </si>
  <si>
    <t>1695</t>
  </si>
  <si>
    <t>Чита</t>
  </si>
  <si>
    <t>71</t>
  </si>
  <si>
    <t>Мерзлякова</t>
  </si>
  <si>
    <t>Мурлыка</t>
  </si>
  <si>
    <t>1740</t>
  </si>
  <si>
    <t>Искра</t>
  </si>
  <si>
    <t>991</t>
  </si>
  <si>
    <t>Ранетка</t>
  </si>
  <si>
    <t>1287</t>
  </si>
  <si>
    <t>Ночка</t>
  </si>
  <si>
    <t>1353</t>
  </si>
  <si>
    <t>Кума</t>
  </si>
  <si>
    <t>1142</t>
  </si>
  <si>
    <t>1057</t>
  </si>
  <si>
    <t>Лисичка</t>
  </si>
  <si>
    <t>987</t>
  </si>
  <si>
    <t>Купава</t>
  </si>
  <si>
    <t>797</t>
  </si>
  <si>
    <t>Думка</t>
  </si>
  <si>
    <t>1078</t>
  </si>
  <si>
    <t>Купчиха</t>
  </si>
  <si>
    <t>1059</t>
  </si>
  <si>
    <t>Лисма</t>
  </si>
  <si>
    <t>24</t>
  </si>
  <si>
    <t>Перина</t>
  </si>
  <si>
    <t>836</t>
  </si>
  <si>
    <t>Лама</t>
  </si>
  <si>
    <t>993</t>
  </si>
  <si>
    <t>Навага</t>
  </si>
  <si>
    <t>1207</t>
  </si>
  <si>
    <t>1089</t>
  </si>
  <si>
    <t>Кувшинка</t>
  </si>
  <si>
    <t>1204</t>
  </si>
  <si>
    <t>Забава</t>
  </si>
  <si>
    <t>1018</t>
  </si>
  <si>
    <t>Рада</t>
  </si>
  <si>
    <t>1054</t>
  </si>
  <si>
    <t>Лапа</t>
  </si>
  <si>
    <t>1246</t>
  </si>
  <si>
    <t>Гречиха</t>
  </si>
  <si>
    <t>1175</t>
  </si>
  <si>
    <t>Модель</t>
  </si>
  <si>
    <t>1099</t>
  </si>
  <si>
    <t>Милка</t>
  </si>
  <si>
    <t>243</t>
  </si>
  <si>
    <t>Славянка</t>
  </si>
  <si>
    <t>1183</t>
  </si>
  <si>
    <t>Чарка</t>
  </si>
  <si>
    <t>1180</t>
  </si>
  <si>
    <t>Фата</t>
  </si>
  <si>
    <t>1037</t>
  </si>
  <si>
    <t>Мушка</t>
  </si>
  <si>
    <t>998</t>
  </si>
  <si>
    <t>Валюта</t>
  </si>
  <si>
    <t>1009</t>
  </si>
  <si>
    <t>1299</t>
  </si>
  <si>
    <t>Парча</t>
  </si>
  <si>
    <t>1260</t>
  </si>
  <si>
    <t>Пуля</t>
  </si>
  <si>
    <t>1194</t>
  </si>
  <si>
    <t>Крапива</t>
  </si>
  <si>
    <t>1243</t>
  </si>
  <si>
    <t>Фуксия</t>
  </si>
  <si>
    <t>330</t>
  </si>
  <si>
    <t>Пава</t>
  </si>
  <si>
    <t>1363</t>
  </si>
  <si>
    <t>1417</t>
  </si>
  <si>
    <t>51</t>
  </si>
  <si>
    <t>666</t>
  </si>
  <si>
    <t>919</t>
  </si>
  <si>
    <t>Ромашка</t>
  </si>
  <si>
    <t>43</t>
  </si>
  <si>
    <t>Нива</t>
  </si>
  <si>
    <t>844</t>
  </si>
  <si>
    <t>Легенда</t>
  </si>
  <si>
    <t>1033</t>
  </si>
  <si>
    <t>Ирга</t>
  </si>
  <si>
    <t>870</t>
  </si>
  <si>
    <t>Флейта</t>
  </si>
  <si>
    <t>1276</t>
  </si>
  <si>
    <t>Голубка</t>
  </si>
  <si>
    <t>1186</t>
  </si>
  <si>
    <t>Сосна</t>
  </si>
  <si>
    <t>530</t>
  </si>
  <si>
    <t>547</t>
  </si>
  <si>
    <t>Эврика</t>
  </si>
  <si>
    <t>701</t>
  </si>
  <si>
    <t>5585</t>
  </si>
  <si>
    <t>11</t>
  </si>
  <si>
    <t>Вакса</t>
  </si>
  <si>
    <t>73</t>
  </si>
  <si>
    <t>Судьба</t>
  </si>
  <si>
    <t>1592</t>
  </si>
  <si>
    <t>Ниагара</t>
  </si>
  <si>
    <t>1751</t>
  </si>
  <si>
    <t>Пилотка</t>
  </si>
  <si>
    <t>1824</t>
  </si>
  <si>
    <t>Пароша</t>
  </si>
  <si>
    <t>1831</t>
  </si>
  <si>
    <t>Зорька</t>
  </si>
  <si>
    <t>1856</t>
  </si>
  <si>
    <t>1858</t>
  </si>
  <si>
    <t>Пикша</t>
  </si>
  <si>
    <t>1884</t>
  </si>
  <si>
    <t>Ракита</t>
  </si>
  <si>
    <t>1891</t>
  </si>
  <si>
    <t>Булка</t>
  </si>
  <si>
    <t>1892</t>
  </si>
  <si>
    <t>1893</t>
  </si>
  <si>
    <t>Мулатка</t>
  </si>
  <si>
    <t>1919</t>
  </si>
  <si>
    <t>Бейка</t>
  </si>
  <si>
    <t>Фасолька</t>
  </si>
  <si>
    <t>1924</t>
  </si>
  <si>
    <t>Матроска</t>
  </si>
  <si>
    <t>1932</t>
  </si>
  <si>
    <t>Хаврошка</t>
  </si>
  <si>
    <t>1939</t>
  </si>
  <si>
    <t>Серебрянка</t>
  </si>
  <si>
    <t>1943</t>
  </si>
  <si>
    <t>Чайка</t>
  </si>
  <si>
    <t>1962</t>
  </si>
  <si>
    <t>Еденичка</t>
  </si>
  <si>
    <t>1985</t>
  </si>
  <si>
    <t>Фацелия</t>
  </si>
  <si>
    <t>1986</t>
  </si>
  <si>
    <t>Флёра</t>
  </si>
  <si>
    <t>1987</t>
  </si>
  <si>
    <t>Неженка</t>
  </si>
  <si>
    <t>1990</t>
  </si>
  <si>
    <t>1991</t>
  </si>
  <si>
    <t>2014</t>
  </si>
  <si>
    <t>Бахрома</t>
  </si>
  <si>
    <t>2025</t>
  </si>
  <si>
    <t>Богиня</t>
  </si>
  <si>
    <t>11038</t>
  </si>
  <si>
    <t>Кикимора</t>
  </si>
  <si>
    <t>11049</t>
  </si>
  <si>
    <t>44034</t>
  </si>
  <si>
    <t>Пуговка</t>
  </si>
  <si>
    <t>44040</t>
  </si>
  <si>
    <t>Спайка</t>
  </si>
  <si>
    <t>277260</t>
  </si>
  <si>
    <t>Джина</t>
  </si>
  <si>
    <t>277265</t>
  </si>
  <si>
    <t>277329</t>
  </si>
  <si>
    <t>Мята</t>
  </si>
  <si>
    <t>277374</t>
  </si>
  <si>
    <t>277542</t>
  </si>
  <si>
    <t>Криветка</t>
  </si>
  <si>
    <t>277579</t>
  </si>
  <si>
    <t>Подушка</t>
  </si>
  <si>
    <t>277594</t>
  </si>
  <si>
    <t>277608</t>
  </si>
  <si>
    <t>Драчунья</t>
  </si>
  <si>
    <t>277619</t>
  </si>
  <si>
    <t>Вредина</t>
  </si>
  <si>
    <t>277637</t>
  </si>
  <si>
    <t>Кружка</t>
  </si>
  <si>
    <t>277650</t>
  </si>
  <si>
    <t>Мурашка</t>
  </si>
  <si>
    <t>277689</t>
  </si>
  <si>
    <t>Марина</t>
  </si>
  <si>
    <t>277912</t>
  </si>
  <si>
    <t>Лелия</t>
  </si>
  <si>
    <t>76/1753</t>
  </si>
  <si>
    <t>Шутка</t>
  </si>
  <si>
    <t>277303</t>
  </si>
  <si>
    <t>Чижиха</t>
  </si>
  <si>
    <t>277399</t>
  </si>
  <si>
    <t>Сухостой</t>
  </si>
  <si>
    <t>Таволга</t>
  </si>
  <si>
    <t>80</t>
  </si>
  <si>
    <t>Дамка</t>
  </si>
  <si>
    <t>1713</t>
  </si>
  <si>
    <t>Паутинка</t>
  </si>
  <si>
    <t>1757</t>
  </si>
  <si>
    <t>Лава</t>
  </si>
  <si>
    <t>1784</t>
  </si>
  <si>
    <t>Кета</t>
  </si>
  <si>
    <t>1814</t>
  </si>
  <si>
    <t>1833</t>
  </si>
  <si>
    <t>1838</t>
  </si>
  <si>
    <t>Гагара</t>
  </si>
  <si>
    <t>1850</t>
  </si>
  <si>
    <t>1853</t>
  </si>
  <si>
    <t>Водица</t>
  </si>
  <si>
    <t>1867</t>
  </si>
  <si>
    <t>Ласка</t>
  </si>
  <si>
    <t>1868</t>
  </si>
  <si>
    <t>Сказка</t>
  </si>
  <si>
    <t>1871</t>
  </si>
  <si>
    <t>1877</t>
  </si>
  <si>
    <t>1878</t>
  </si>
  <si>
    <t>Ветла</t>
  </si>
  <si>
    <t>1888</t>
  </si>
  <si>
    <t>Антоновка</t>
  </si>
  <si>
    <t>1936</t>
  </si>
  <si>
    <t>Маслёнка</t>
  </si>
  <si>
    <t>Игошина Н.Л.</t>
  </si>
  <si>
    <t>Смородина</t>
  </si>
  <si>
    <t>12</t>
  </si>
  <si>
    <t>34</t>
  </si>
  <si>
    <t>Манета</t>
  </si>
  <si>
    <t>934</t>
  </si>
  <si>
    <t>Добрая</t>
  </si>
  <si>
    <t>1021</t>
  </si>
  <si>
    <t>Ундина</t>
  </si>
  <si>
    <t>1270</t>
  </si>
  <si>
    <t>1325</t>
  </si>
  <si>
    <t>Черемуха</t>
  </si>
  <si>
    <t>1407</t>
  </si>
  <si>
    <t>Атлантида</t>
  </si>
  <si>
    <t>1481</t>
  </si>
  <si>
    <t>Эгида</t>
  </si>
  <si>
    <t>1499</t>
  </si>
  <si>
    <t>Сливочная</t>
  </si>
  <si>
    <t>1998</t>
  </si>
  <si>
    <t>Луна</t>
  </si>
  <si>
    <t>13208</t>
  </si>
  <si>
    <t>13316</t>
  </si>
  <si>
    <t>Точка</t>
  </si>
  <si>
    <t>Канавка</t>
  </si>
  <si>
    <t>13318</t>
  </si>
  <si>
    <t>Пестравка</t>
  </si>
  <si>
    <t>13321</t>
  </si>
  <si>
    <t>13330</t>
  </si>
  <si>
    <t>Маркиза</t>
  </si>
  <si>
    <t>13345</t>
  </si>
  <si>
    <t>13350</t>
  </si>
  <si>
    <t>Почка</t>
  </si>
  <si>
    <t>Гора</t>
  </si>
  <si>
    <t>13409</t>
  </si>
  <si>
    <t>13423</t>
  </si>
  <si>
    <t>Земля</t>
  </si>
  <si>
    <t>14024</t>
  </si>
  <si>
    <t>Улитка</t>
  </si>
  <si>
    <t>Дива</t>
  </si>
  <si>
    <t>1952</t>
  </si>
  <si>
    <t>2127</t>
  </si>
  <si>
    <t>Свистунья</t>
  </si>
  <si>
    <t>Капля</t>
  </si>
  <si>
    <t>13276</t>
  </si>
  <si>
    <t>13240</t>
  </si>
  <si>
    <t>Курочка</t>
  </si>
  <si>
    <t>13403</t>
  </si>
  <si>
    <t>1959</t>
  </si>
  <si>
    <t>Косуля</t>
  </si>
  <si>
    <t>11006</t>
  </si>
  <si>
    <t>Яблонька</t>
  </si>
  <si>
    <t>1972</t>
  </si>
  <si>
    <t>Мидия</t>
  </si>
  <si>
    <t>1993</t>
  </si>
  <si>
    <t>Куница</t>
  </si>
  <si>
    <t>2009</t>
  </si>
  <si>
    <t>Салфетка</t>
  </si>
  <si>
    <t>2125</t>
  </si>
  <si>
    <t>Груша</t>
  </si>
  <si>
    <t>11058</t>
  </si>
  <si>
    <t>44001</t>
  </si>
  <si>
    <t>Газета</t>
  </si>
  <si>
    <t>Каска</t>
  </si>
  <si>
    <t>44014</t>
  </si>
  <si>
    <t>Десятка</t>
  </si>
  <si>
    <t>277270</t>
  </si>
  <si>
    <t>Мантия</t>
  </si>
  <si>
    <t>277317</t>
  </si>
  <si>
    <t>Морковка</t>
  </si>
  <si>
    <t>277321</t>
  </si>
  <si>
    <t>Слеза</t>
  </si>
  <si>
    <t>277326</t>
  </si>
  <si>
    <t>Загадка</t>
  </si>
  <si>
    <t>277350</t>
  </si>
  <si>
    <t>Селёдка</t>
  </si>
  <si>
    <t>277360</t>
  </si>
  <si>
    <t>277538</t>
  </si>
  <si>
    <t>Кочка</t>
  </si>
  <si>
    <t>277568</t>
  </si>
  <si>
    <t>Жадина</t>
  </si>
  <si>
    <t>277570</t>
  </si>
  <si>
    <t>Мистика</t>
  </si>
  <si>
    <t>277588</t>
  </si>
  <si>
    <t>277595</t>
  </si>
  <si>
    <t>277616</t>
  </si>
  <si>
    <t>Тычинка</t>
  </si>
  <si>
    <t>277631</t>
  </si>
  <si>
    <t>Планета</t>
  </si>
  <si>
    <t>Воля</t>
  </si>
  <si>
    <t>277672</t>
  </si>
  <si>
    <t>Мойша</t>
  </si>
  <si>
    <t>277953</t>
  </si>
  <si>
    <t>277961</t>
  </si>
  <si>
    <t>Шоколадка</t>
  </si>
  <si>
    <t>1528</t>
  </si>
  <si>
    <t>Ладушка</t>
  </si>
  <si>
    <t>1523</t>
  </si>
  <si>
    <t>Мурава</t>
  </si>
  <si>
    <t>1633</t>
  </si>
  <si>
    <t>ООО Агро-Нептун</t>
  </si>
  <si>
    <t>кол-во отелов</t>
  </si>
  <si>
    <t>Физиологическое состояние</t>
  </si>
  <si>
    <t>Дней лактации</t>
  </si>
  <si>
    <t>1922</t>
  </si>
  <si>
    <t>Рыбка</t>
  </si>
  <si>
    <t>1834</t>
  </si>
  <si>
    <t>Дождинка</t>
  </si>
  <si>
    <t>1410</t>
  </si>
  <si>
    <t>ООО Луч</t>
  </si>
  <si>
    <t>К2</t>
  </si>
  <si>
    <t>К1</t>
  </si>
  <si>
    <t>К3</t>
  </si>
  <si>
    <t>СВИН</t>
  </si>
  <si>
    <t>ЗАБОЙ</t>
  </si>
  <si>
    <t>2495</t>
  </si>
  <si>
    <t xml:space="preserve"> </t>
  </si>
  <si>
    <t>ООО Черноземье</t>
  </si>
  <si>
    <t>Смола</t>
  </si>
  <si>
    <t>1562</t>
  </si>
  <si>
    <t>Пышка</t>
  </si>
  <si>
    <t>1580</t>
  </si>
  <si>
    <t>Медовая</t>
  </si>
  <si>
    <t>1583</t>
  </si>
  <si>
    <t>Маковка</t>
  </si>
  <si>
    <t>1629</t>
  </si>
  <si>
    <t>Лилия</t>
  </si>
  <si>
    <t>1655</t>
  </si>
  <si>
    <t>Казачка</t>
  </si>
  <si>
    <t>1842</t>
  </si>
  <si>
    <t>Рисовка</t>
  </si>
  <si>
    <t>1872</t>
  </si>
  <si>
    <t>2000</t>
  </si>
  <si>
    <t>Корица</t>
  </si>
  <si>
    <t>2027</t>
  </si>
  <si>
    <t>Ширма</t>
  </si>
  <si>
    <t>2030</t>
  </si>
  <si>
    <t>Янтарка</t>
  </si>
  <si>
    <t>2045</t>
  </si>
  <si>
    <t>2055</t>
  </si>
  <si>
    <t>2063</t>
  </si>
  <si>
    <t>Зимовка</t>
  </si>
  <si>
    <t>2070</t>
  </si>
  <si>
    <t>Задорная</t>
  </si>
  <si>
    <t>2079</t>
  </si>
  <si>
    <t>Бадейка</t>
  </si>
  <si>
    <t>2112</t>
  </si>
  <si>
    <t>Махровая</t>
  </si>
  <si>
    <t>2153</t>
  </si>
  <si>
    <t>Евруша</t>
  </si>
  <si>
    <t>5026</t>
  </si>
  <si>
    <t>Соломка</t>
  </si>
  <si>
    <t>5114</t>
  </si>
  <si>
    <t>Ганка</t>
  </si>
  <si>
    <t>7159</t>
  </si>
  <si>
    <t>7200</t>
  </si>
  <si>
    <t>Мирная</t>
  </si>
  <si>
    <t>13134</t>
  </si>
  <si>
    <t>Служанка</t>
  </si>
  <si>
    <t>13192</t>
  </si>
  <si>
    <t>Круглая</t>
  </si>
  <si>
    <t>13310</t>
  </si>
  <si>
    <t>Каюта</t>
  </si>
  <si>
    <t>13312</t>
  </si>
  <si>
    <t>Сметанка</t>
  </si>
  <si>
    <t>Лепка</t>
  </si>
  <si>
    <t>13317</t>
  </si>
  <si>
    <t>Шапка</t>
  </si>
  <si>
    <t>13320</t>
  </si>
  <si>
    <t>13328</t>
  </si>
  <si>
    <t>Крошка</t>
  </si>
  <si>
    <t>13334</t>
  </si>
  <si>
    <t>13341</t>
  </si>
  <si>
    <t>Рогатая</t>
  </si>
  <si>
    <t>13343</t>
  </si>
  <si>
    <t>Волга</t>
  </si>
  <si>
    <t>13358</t>
  </si>
  <si>
    <t>Снежинка</t>
  </si>
  <si>
    <t>13360</t>
  </si>
  <si>
    <t>Красавка</t>
  </si>
  <si>
    <t>13392</t>
  </si>
  <si>
    <t>Мятная</t>
  </si>
  <si>
    <t>72</t>
  </si>
  <si>
    <t>Моржиха</t>
  </si>
  <si>
    <t>79</t>
  </si>
  <si>
    <t>Русалка</t>
  </si>
  <si>
    <t>344</t>
  </si>
  <si>
    <t>749</t>
  </si>
  <si>
    <t>Кашка</t>
  </si>
  <si>
    <t>1259</t>
  </si>
  <si>
    <t>Масленка</t>
  </si>
  <si>
    <t>1345</t>
  </si>
  <si>
    <t>Капелька</t>
  </si>
  <si>
    <t>1531</t>
  </si>
  <si>
    <t>Лаванда</t>
  </si>
  <si>
    <t>1741</t>
  </si>
  <si>
    <t>Азалия</t>
  </si>
  <si>
    <t>1819</t>
  </si>
  <si>
    <t>Метелка</t>
  </si>
  <si>
    <t>1911</t>
  </si>
  <si>
    <t>1931</t>
  </si>
  <si>
    <t>Горошина</t>
  </si>
  <si>
    <t>1937</t>
  </si>
  <si>
    <t>Азотка</t>
  </si>
  <si>
    <t>1951</t>
  </si>
  <si>
    <t xml:space="preserve"> Акация</t>
  </si>
  <si>
    <t>1955</t>
  </si>
  <si>
    <t>Картинка</t>
  </si>
  <si>
    <t>1981</t>
  </si>
  <si>
    <t>Цапля</t>
  </si>
  <si>
    <t>1997</t>
  </si>
  <si>
    <t>Мишура</t>
  </si>
  <si>
    <t>2018</t>
  </si>
  <si>
    <t>Муха</t>
  </si>
  <si>
    <t>277355</t>
  </si>
  <si>
    <t>Горка</t>
  </si>
  <si>
    <t>277941</t>
  </si>
  <si>
    <t>Сова</t>
  </si>
  <si>
    <t>ЗАО Дон</t>
  </si>
  <si>
    <t>ООО Нива</t>
  </si>
  <si>
    <t>ООО Воронеж-пищеп</t>
  </si>
  <si>
    <t>Нарядка</t>
  </si>
  <si>
    <t>1960</t>
  </si>
  <si>
    <t>1519</t>
  </si>
  <si>
    <t>Злюка</t>
  </si>
  <si>
    <t>7112</t>
  </si>
  <si>
    <t>1448</t>
  </si>
  <si>
    <t>1554</t>
  </si>
  <si>
    <t>Майка</t>
  </si>
  <si>
    <t>7139</t>
  </si>
  <si>
    <t>Лунка</t>
  </si>
  <si>
    <t>7247</t>
  </si>
  <si>
    <t>Бабочка</t>
  </si>
  <si>
    <t>494</t>
  </si>
  <si>
    <t>25</t>
  </si>
  <si>
    <t>Гитара</t>
  </si>
  <si>
    <t>1379</t>
  </si>
  <si>
    <t>Дыня</t>
  </si>
  <si>
    <t>463</t>
  </si>
  <si>
    <t>21</t>
  </si>
  <si>
    <t>Клубника</t>
  </si>
  <si>
    <t>5404</t>
  </si>
  <si>
    <t>Лимонка</t>
  </si>
  <si>
    <t>940</t>
  </si>
  <si>
    <t>Мина</t>
  </si>
  <si>
    <t>6</t>
  </si>
  <si>
    <t>Родинка</t>
  </si>
  <si>
    <t>739</t>
  </si>
  <si>
    <t>Сосулька</t>
  </si>
  <si>
    <t>1405</t>
  </si>
  <si>
    <t>Фатима</t>
  </si>
  <si>
    <t>Шишка</t>
  </si>
  <si>
    <t>5029</t>
  </si>
  <si>
    <t>Южанка</t>
  </si>
  <si>
    <t>5027</t>
  </si>
  <si>
    <t>Дельта</t>
  </si>
  <si>
    <t>1382</t>
  </si>
  <si>
    <t>Лада</t>
  </si>
  <si>
    <t>1551</t>
  </si>
  <si>
    <t>Лиана</t>
  </si>
  <si>
    <t>1615</t>
  </si>
  <si>
    <t>Мечта</t>
  </si>
  <si>
    <t>1155</t>
  </si>
  <si>
    <t>Новинка</t>
  </si>
  <si>
    <t>1395</t>
  </si>
  <si>
    <t>Чача</t>
  </si>
  <si>
    <t>1326</t>
  </si>
  <si>
    <t>Виктория</t>
  </si>
  <si>
    <t>5381</t>
  </si>
  <si>
    <t>Душка</t>
  </si>
  <si>
    <t>7172</t>
  </si>
  <si>
    <t>7185</t>
  </si>
  <si>
    <t>Узорная</t>
  </si>
  <si>
    <t>1247</t>
  </si>
  <si>
    <t>Хвоя</t>
  </si>
  <si>
    <t>1631</t>
  </si>
  <si>
    <t>7322</t>
  </si>
  <si>
    <t xml:space="preserve">  Рыбка</t>
  </si>
  <si>
    <t>1687</t>
  </si>
  <si>
    <t>Упайка</t>
  </si>
  <si>
    <t>1694</t>
  </si>
  <si>
    <t>Фиерия</t>
  </si>
  <si>
    <t>1691</t>
  </si>
  <si>
    <t>Глюкоза</t>
  </si>
  <si>
    <t>1681</t>
  </si>
  <si>
    <t>Саржа</t>
  </si>
  <si>
    <t>698</t>
  </si>
  <si>
    <t>Умка</t>
  </si>
  <si>
    <t>109</t>
  </si>
  <si>
    <t>Фиалка</t>
  </si>
  <si>
    <t>315</t>
  </si>
  <si>
    <t>ОАО Воронежское</t>
  </si>
  <si>
    <t>ООО Дуслык</t>
  </si>
  <si>
    <t>забой</t>
  </si>
  <si>
    <t>2465</t>
  </si>
  <si>
    <t>Камаева А.А.</t>
  </si>
  <si>
    <t>ДАТА ЗАПУСКА. ФАКТ</t>
  </si>
  <si>
    <t>В СУХОСТОЙ. ПЛАН</t>
  </si>
  <si>
    <t>56</t>
  </si>
  <si>
    <t>Умница</t>
  </si>
  <si>
    <t>61</t>
  </si>
  <si>
    <t>Калина</t>
  </si>
  <si>
    <t>399</t>
  </si>
  <si>
    <t>Зима</t>
  </si>
  <si>
    <t>1303</t>
  </si>
  <si>
    <t>1340</t>
  </si>
  <si>
    <t>1408</t>
  </si>
  <si>
    <t>Ясная</t>
  </si>
  <si>
    <t>1436</t>
  </si>
  <si>
    <t xml:space="preserve"> 1455</t>
  </si>
  <si>
    <t>Молния</t>
  </si>
  <si>
    <t>1464</t>
  </si>
  <si>
    <t>1469</t>
  </si>
  <si>
    <t>Виола</t>
  </si>
  <si>
    <t>1491</t>
  </si>
  <si>
    <t>Пушинка</t>
  </si>
  <si>
    <t>1503</t>
  </si>
  <si>
    <t>Невада</t>
  </si>
  <si>
    <t>1518</t>
  </si>
  <si>
    <t>Радуница</t>
  </si>
  <si>
    <t>1527</t>
  </si>
  <si>
    <t>1530</t>
  </si>
  <si>
    <t>1553</t>
  </si>
  <si>
    <t>1572</t>
  </si>
  <si>
    <t>Бархотка</t>
  </si>
  <si>
    <t>1576</t>
  </si>
  <si>
    <t>Росянка</t>
  </si>
  <si>
    <t>1579</t>
  </si>
  <si>
    <t>Анисовка</t>
  </si>
  <si>
    <t>1590</t>
  </si>
  <si>
    <t>Сластена</t>
  </si>
  <si>
    <t>1600</t>
  </si>
  <si>
    <t>1610</t>
  </si>
  <si>
    <t>Беретка</t>
  </si>
  <si>
    <t>1645</t>
  </si>
  <si>
    <t>Стрелка</t>
  </si>
  <si>
    <t>1778</t>
  </si>
  <si>
    <t>Алсу</t>
  </si>
  <si>
    <t>5032</t>
  </si>
  <si>
    <t>5636</t>
  </si>
  <si>
    <t>Синька</t>
  </si>
  <si>
    <t>7049</t>
  </si>
  <si>
    <t>Лайка</t>
  </si>
  <si>
    <t>7057</t>
  </si>
  <si>
    <t>Кира</t>
  </si>
  <si>
    <t>7089</t>
  </si>
  <si>
    <t>Жуля</t>
  </si>
  <si>
    <t>7109</t>
  </si>
  <si>
    <t>Клецка</t>
  </si>
  <si>
    <t>1673</t>
  </si>
  <si>
    <t>Юнатка</t>
  </si>
  <si>
    <t>1365</t>
  </si>
  <si>
    <t>4</t>
  </si>
  <si>
    <t>Удойная</t>
  </si>
  <si>
    <t>8</t>
  </si>
  <si>
    <t>13</t>
  </si>
  <si>
    <t>Елка</t>
  </si>
  <si>
    <t>35</t>
  </si>
  <si>
    <t>Софка</t>
  </si>
  <si>
    <t>221</t>
  </si>
  <si>
    <t>440</t>
  </si>
  <si>
    <t>Швея</t>
  </si>
  <si>
    <t>598</t>
  </si>
  <si>
    <t>Чистюля</t>
  </si>
  <si>
    <t>1005</t>
  </si>
  <si>
    <t>1347</t>
  </si>
  <si>
    <t>1366</t>
  </si>
  <si>
    <t>Лужа</t>
  </si>
  <si>
    <t>1376</t>
  </si>
  <si>
    <t>Корона</t>
  </si>
  <si>
    <t>1403</t>
  </si>
  <si>
    <t>Стежка</t>
  </si>
  <si>
    <t>1506</t>
  </si>
  <si>
    <t>Циния</t>
  </si>
  <si>
    <t>1557</t>
  </si>
  <si>
    <t>Баранесса</t>
  </si>
  <si>
    <t>1563</t>
  </si>
  <si>
    <t>1585</t>
  </si>
  <si>
    <t>Зарница</t>
  </si>
  <si>
    <t>1601</t>
  </si>
  <si>
    <t>1607</t>
  </si>
  <si>
    <t>1608</t>
  </si>
  <si>
    <t>Лавина</t>
  </si>
  <si>
    <t>1628</t>
  </si>
  <si>
    <t>1632</t>
  </si>
  <si>
    <t>1666</t>
  </si>
  <si>
    <t>1671</t>
  </si>
  <si>
    <t>Милиса</t>
  </si>
  <si>
    <t>1701</t>
  </si>
  <si>
    <t>1704</t>
  </si>
  <si>
    <t>1731</t>
  </si>
  <si>
    <t>Шальная</t>
  </si>
  <si>
    <t>1733</t>
  </si>
  <si>
    <t>Капля 2</t>
  </si>
  <si>
    <t>5116</t>
  </si>
  <si>
    <t>5146</t>
  </si>
  <si>
    <t>Березка</t>
  </si>
  <si>
    <t>5154</t>
  </si>
  <si>
    <t>Капля1</t>
  </si>
  <si>
    <t>5211</t>
  </si>
  <si>
    <t>Яикова О.М.</t>
  </si>
  <si>
    <t>Федорова Г.Ж.</t>
  </si>
  <si>
    <t>Болотова Ю.Ф.</t>
  </si>
  <si>
    <t>КОРОВНИК №3</t>
  </si>
  <si>
    <t>Суркова Д.Г.</t>
  </si>
  <si>
    <t>Данькина Е.Ф.</t>
  </si>
  <si>
    <t>Абрамова Н.В.</t>
  </si>
  <si>
    <t>СУХОСТОЙ</t>
  </si>
  <si>
    <t>ОАО Племпредприятие Воронеж</t>
  </si>
  <si>
    <t>ООО Воронеж-пищепродукт</t>
  </si>
  <si>
    <t>ООО  Агро-Нептун</t>
  </si>
  <si>
    <t>5344</t>
  </si>
  <si>
    <t>Графиня</t>
  </si>
  <si>
    <t>5361</t>
  </si>
  <si>
    <t>Листовка</t>
  </si>
  <si>
    <t>7041</t>
  </si>
  <si>
    <t>Янка</t>
  </si>
  <si>
    <t>7103</t>
  </si>
  <si>
    <t>7115</t>
  </si>
  <si>
    <t>Марка</t>
  </si>
  <si>
    <t>7182</t>
  </si>
  <si>
    <t>Речка</t>
  </si>
  <si>
    <t>7245</t>
  </si>
  <si>
    <t>Манка</t>
  </si>
  <si>
    <t>13308</t>
  </si>
  <si>
    <t>Редиска</t>
  </si>
  <si>
    <t>1851</t>
  </si>
  <si>
    <t>Ледянка</t>
  </si>
  <si>
    <t>2023</t>
  </si>
  <si>
    <t>Ресничка</t>
  </si>
  <si>
    <t>1984</t>
  </si>
  <si>
    <t>2159</t>
  </si>
  <si>
    <t>13408</t>
  </si>
  <si>
    <t>13311</t>
  </si>
  <si>
    <t>Брага</t>
  </si>
  <si>
    <t>2019</t>
  </si>
  <si>
    <t>Залетка</t>
  </si>
  <si>
    <t>2029</t>
  </si>
  <si>
    <t>Сахарная</t>
  </si>
  <si>
    <t>1977</t>
  </si>
  <si>
    <t>Сирена</t>
  </si>
  <si>
    <t>Амазонка</t>
  </si>
  <si>
    <t>2098</t>
  </si>
  <si>
    <t>Фисташка</t>
  </si>
  <si>
    <t>2138</t>
  </si>
  <si>
    <t>2016</t>
  </si>
  <si>
    <t>2115</t>
  </si>
  <si>
    <t>2205</t>
  </si>
  <si>
    <t>2224</t>
  </si>
  <si>
    <t>2222</t>
  </si>
  <si>
    <t>2284</t>
  </si>
  <si>
    <t>2376</t>
  </si>
  <si>
    <t>2304</t>
  </si>
  <si>
    <t>2360</t>
  </si>
  <si>
    <t>2395</t>
  </si>
  <si>
    <t>2391</t>
  </si>
  <si>
    <t>2388</t>
  </si>
  <si>
    <t>2326</t>
  </si>
  <si>
    <t>2351</t>
  </si>
  <si>
    <t>2379</t>
  </si>
  <si>
    <t>2394</t>
  </si>
  <si>
    <t>2363</t>
  </si>
  <si>
    <t>2361</t>
  </si>
  <si>
    <t>2367</t>
  </si>
  <si>
    <t>2343</t>
  </si>
  <si>
    <t>2352</t>
  </si>
  <si>
    <t>2485</t>
  </si>
  <si>
    <t>2401</t>
  </si>
  <si>
    <t>2417</t>
  </si>
  <si>
    <t>2440</t>
  </si>
  <si>
    <t>2474</t>
  </si>
  <si>
    <t>2460</t>
  </si>
  <si>
    <t>2469</t>
  </si>
  <si>
    <t>2437</t>
  </si>
  <si>
    <t>2429</t>
  </si>
  <si>
    <t>2424</t>
  </si>
  <si>
    <t>2414</t>
  </si>
  <si>
    <t>2423</t>
  </si>
  <si>
    <t>2458</t>
  </si>
  <si>
    <t>2422</t>
  </si>
  <si>
    <t>2421</t>
  </si>
  <si>
    <t>2453</t>
  </si>
  <si>
    <t>2480</t>
  </si>
  <si>
    <t>2491</t>
  </si>
  <si>
    <t>2498</t>
  </si>
  <si>
    <t>2443</t>
  </si>
  <si>
    <t>2430</t>
  </si>
  <si>
    <t>2427</t>
  </si>
  <si>
    <t>2445</t>
  </si>
  <si>
    <t>2464</t>
  </si>
  <si>
    <t>2461</t>
  </si>
  <si>
    <t>2462</t>
  </si>
  <si>
    <t>2402</t>
  </si>
  <si>
    <t>2489</t>
  </si>
  <si>
    <t>2477</t>
  </si>
  <si>
    <t>2484</t>
  </si>
  <si>
    <t>2419</t>
  </si>
  <si>
    <t>2466</t>
  </si>
  <si>
    <t>2449</t>
  </si>
  <si>
    <t>2434</t>
  </si>
  <si>
    <t>2441</t>
  </si>
  <si>
    <t>2467</t>
  </si>
  <si>
    <t>2418</t>
  </si>
  <si>
    <t>2537</t>
  </si>
  <si>
    <t>2501</t>
  </si>
  <si>
    <t>2503</t>
  </si>
  <si>
    <t>2500</t>
  </si>
  <si>
    <t>2550</t>
  </si>
  <si>
    <t>2540</t>
  </si>
  <si>
    <t>2525</t>
  </si>
  <si>
    <t>2506</t>
  </si>
  <si>
    <t>2549</t>
  </si>
  <si>
    <t>2576</t>
  </si>
  <si>
    <t>2526</t>
  </si>
  <si>
    <t>2552</t>
  </si>
  <si>
    <t>2575</t>
  </si>
  <si>
    <t>2563</t>
  </si>
  <si>
    <t>2561</t>
  </si>
  <si>
    <t>2568</t>
  </si>
  <si>
    <t>2557</t>
  </si>
  <si>
    <t>2518</t>
  </si>
  <si>
    <t>2523</t>
  </si>
  <si>
    <t>2513</t>
  </si>
  <si>
    <t>2512</t>
  </si>
  <si>
    <t>2545</t>
  </si>
  <si>
    <t>2565</t>
  </si>
  <si>
    <t>2541</t>
  </si>
  <si>
    <t>2553</t>
  </si>
  <si>
    <t>2574</t>
  </si>
  <si>
    <t>2535</t>
  </si>
  <si>
    <t>2502</t>
  </si>
  <si>
    <t>2582</t>
  </si>
  <si>
    <t>2521</t>
  </si>
  <si>
    <t>2564</t>
  </si>
  <si>
    <t>2559</t>
  </si>
  <si>
    <t>2538</t>
  </si>
  <si>
    <t>2554</t>
  </si>
  <si>
    <t>2548</t>
  </si>
  <si>
    <t>Сетин В.В.</t>
  </si>
  <si>
    <t>Коновалова Г.В.</t>
  </si>
  <si>
    <t>2602</t>
  </si>
  <si>
    <t>2625</t>
  </si>
  <si>
    <t>ДАТА ВЫБЫТИЯ</t>
  </si>
  <si>
    <t>РОДИЛКА</t>
  </si>
  <si>
    <t>Сдана</t>
  </si>
  <si>
    <t>Шелковая</t>
  </si>
  <si>
    <t>Дикуша</t>
  </si>
  <si>
    <t>Ворчунья</t>
  </si>
  <si>
    <t>Гордая</t>
  </si>
  <si>
    <t>Енотка</t>
  </si>
  <si>
    <t>Люпинка</t>
  </si>
  <si>
    <t>Шлюпка</t>
  </si>
  <si>
    <t>Апельсинка</t>
  </si>
  <si>
    <t>Медина</t>
  </si>
  <si>
    <t>Кружева</t>
  </si>
  <si>
    <t>Жемчужина</t>
  </si>
  <si>
    <t>Косынка</t>
  </si>
  <si>
    <t>Речушка</t>
  </si>
  <si>
    <t>Юрга</t>
  </si>
  <si>
    <t>Бийка</t>
  </si>
  <si>
    <t>Найдёна</t>
  </si>
  <si>
    <t>Криница</t>
  </si>
  <si>
    <t>Сивка</t>
  </si>
  <si>
    <t>Лампа</t>
  </si>
  <si>
    <t>Зазноба</t>
  </si>
  <si>
    <t>Валдайка</t>
  </si>
  <si>
    <t>Ваза</t>
  </si>
  <si>
    <t>Алазань</t>
  </si>
  <si>
    <t>Невидимка</t>
  </si>
  <si>
    <t>Разиня</t>
  </si>
  <si>
    <t>Форелька</t>
  </si>
  <si>
    <t>Дружба</t>
  </si>
  <si>
    <t>Дрёма</t>
  </si>
  <si>
    <t>Уклейка</t>
  </si>
  <si>
    <t>Шатенка</t>
  </si>
  <si>
    <t>Бронзовая</t>
  </si>
  <si>
    <t>Алтайка</t>
  </si>
  <si>
    <t>Рогожка</t>
  </si>
  <si>
    <t>История</t>
  </si>
  <si>
    <t>Яровая</t>
  </si>
  <si>
    <t>Нотка</t>
  </si>
  <si>
    <t>Музыка</t>
  </si>
  <si>
    <t>Сахароза</t>
  </si>
  <si>
    <t>Морошка</t>
  </si>
  <si>
    <t>Сойка</t>
  </si>
  <si>
    <t>Юркая</t>
  </si>
  <si>
    <t>Регата</t>
  </si>
  <si>
    <t>Клякса</t>
  </si>
  <si>
    <t>Патока</t>
  </si>
  <si>
    <t>Сайка</t>
  </si>
  <si>
    <t>Киянка</t>
  </si>
  <si>
    <t>Белянка</t>
  </si>
  <si>
    <t>Лагуна</t>
  </si>
  <si>
    <t>Соловушка</t>
  </si>
  <si>
    <t>Полоска</t>
  </si>
  <si>
    <t>Нормушка</t>
  </si>
  <si>
    <t>Шмелиха</t>
  </si>
  <si>
    <t>Юшка</t>
  </si>
  <si>
    <t>Ракета</t>
  </si>
  <si>
    <t>Юрмала</t>
  </si>
  <si>
    <t>Слезинка</t>
  </si>
  <si>
    <t>Фольга</t>
  </si>
  <si>
    <t>Идилия</t>
  </si>
  <si>
    <t>Слойка</t>
  </si>
  <si>
    <t>Дача</t>
  </si>
  <si>
    <t>Кудель</t>
  </si>
  <si>
    <t>Правда</t>
  </si>
  <si>
    <t>Атаманша</t>
  </si>
  <si>
    <t>Задира</t>
  </si>
  <si>
    <t>Норка</t>
  </si>
  <si>
    <t>Горлинка</t>
  </si>
  <si>
    <t>Наука</t>
  </si>
  <si>
    <t>Метёлка</t>
  </si>
  <si>
    <t>Свистулька</t>
  </si>
  <si>
    <t>Аляска</t>
  </si>
  <si>
    <t>Игла</t>
  </si>
  <si>
    <t>Россомаха</t>
  </si>
  <si>
    <t>Пчёлка</t>
  </si>
  <si>
    <t>Вата</t>
  </si>
  <si>
    <t>Пелюшка</t>
  </si>
  <si>
    <t>Лактоза</t>
  </si>
  <si>
    <t>Черничка</t>
  </si>
  <si>
    <t>Афиша</t>
  </si>
  <si>
    <t>Кукушка</t>
  </si>
  <si>
    <t>вынужденный забой, язва желудка(сычуга), воспаление тонкого отдела кишечника</t>
  </si>
  <si>
    <t>1938</t>
  </si>
  <si>
    <t>2005</t>
  </si>
  <si>
    <t>2012</t>
  </si>
  <si>
    <t>2021</t>
  </si>
  <si>
    <t>2024</t>
  </si>
  <si>
    <t>2041</t>
  </si>
  <si>
    <t>2049</t>
  </si>
  <si>
    <t>2058</t>
  </si>
  <si>
    <t>2068</t>
  </si>
  <si>
    <t>2074</t>
  </si>
  <si>
    <t>2075</t>
  </si>
  <si>
    <t>2086</t>
  </si>
  <si>
    <t>2087</t>
  </si>
  <si>
    <t>2088</t>
  </si>
  <si>
    <t>2090</t>
  </si>
  <si>
    <t>2091</t>
  </si>
  <si>
    <t>2124</t>
  </si>
  <si>
    <t>2130</t>
  </si>
  <si>
    <t>2139</t>
  </si>
  <si>
    <t>2142</t>
  </si>
  <si>
    <t>2143</t>
  </si>
  <si>
    <t>2145</t>
  </si>
  <si>
    <t>2146</t>
  </si>
  <si>
    <t>2147</t>
  </si>
  <si>
    <t>2148</t>
  </si>
  <si>
    <t>2151</t>
  </si>
  <si>
    <t>2160</t>
  </si>
  <si>
    <t>2161</t>
  </si>
  <si>
    <t>2163</t>
  </si>
  <si>
    <t>2164</t>
  </si>
  <si>
    <t>2167</t>
  </si>
  <si>
    <t>2170</t>
  </si>
  <si>
    <t>2172</t>
  </si>
  <si>
    <t>2176</t>
  </si>
  <si>
    <t>2180</t>
  </si>
  <si>
    <t>2181</t>
  </si>
  <si>
    <t>2182</t>
  </si>
  <si>
    <t>2184</t>
  </si>
  <si>
    <t>2185</t>
  </si>
  <si>
    <t>2187</t>
  </si>
  <si>
    <t>2188</t>
  </si>
  <si>
    <t>2190</t>
  </si>
  <si>
    <t>2192</t>
  </si>
  <si>
    <t>2194</t>
  </si>
  <si>
    <t>2196</t>
  </si>
  <si>
    <t>2200</t>
  </si>
  <si>
    <t>2201</t>
  </si>
  <si>
    <t>2202</t>
  </si>
  <si>
    <t>2206</t>
  </si>
  <si>
    <t>2207</t>
  </si>
  <si>
    <t>2209</t>
  </si>
  <si>
    <t>2210</t>
  </si>
  <si>
    <t>2212</t>
  </si>
  <si>
    <t>2213</t>
  </si>
  <si>
    <t>2214</t>
  </si>
  <si>
    <t>2228</t>
  </si>
  <si>
    <t>2231</t>
  </si>
  <si>
    <t>2232</t>
  </si>
  <si>
    <t>2235</t>
  </si>
  <si>
    <t>2236</t>
  </si>
  <si>
    <t>2237</t>
  </si>
  <si>
    <t>2238</t>
  </si>
  <si>
    <t>2239</t>
  </si>
  <si>
    <t>2241</t>
  </si>
  <si>
    <t>2243</t>
  </si>
  <si>
    <t>2245</t>
  </si>
  <si>
    <t>2254</t>
  </si>
  <si>
    <t>2255</t>
  </si>
  <si>
    <t>2257</t>
  </si>
  <si>
    <t>2258</t>
  </si>
  <si>
    <t>2261</t>
  </si>
  <si>
    <t>2263</t>
  </si>
  <si>
    <t>2268</t>
  </si>
  <si>
    <t>2278</t>
  </si>
  <si>
    <t>2280</t>
  </si>
  <si>
    <t>2282</t>
  </si>
  <si>
    <t>2287</t>
  </si>
  <si>
    <t>2291</t>
  </si>
  <si>
    <t>2302</t>
  </si>
  <si>
    <t>2303</t>
  </si>
  <si>
    <t>2311</t>
  </si>
  <si>
    <t>2315</t>
  </si>
  <si>
    <t>2316</t>
  </si>
  <si>
    <t>2317</t>
  </si>
  <si>
    <t>2323</t>
  </si>
  <si>
    <t>2324</t>
  </si>
  <si>
    <t>2325</t>
  </si>
  <si>
    <t>2327</t>
  </si>
  <si>
    <t>2333</t>
  </si>
  <si>
    <t>2338</t>
  </si>
  <si>
    <t>2339</t>
  </si>
  <si>
    <t>2342</t>
  </si>
  <si>
    <t>2344</t>
  </si>
  <si>
    <t>2345</t>
  </si>
  <si>
    <t>2348</t>
  </si>
  <si>
    <t>2349</t>
  </si>
  <si>
    <t>2350</t>
  </si>
  <si>
    <t>2354</t>
  </si>
  <si>
    <t>2356</t>
  </si>
  <si>
    <t>2357</t>
  </si>
  <si>
    <t>2368</t>
  </si>
  <si>
    <t>2369</t>
  </si>
  <si>
    <t>2372</t>
  </si>
  <si>
    <t>2378</t>
  </si>
  <si>
    <t>2380</t>
  </si>
  <si>
    <t>2383</t>
  </si>
  <si>
    <t>2387</t>
  </si>
  <si>
    <t>2396</t>
  </si>
  <si>
    <t>2404</t>
  </si>
  <si>
    <t>2413</t>
  </si>
  <si>
    <t>2373</t>
  </si>
  <si>
    <t>2415</t>
  </si>
  <si>
    <t>1742</t>
  </si>
  <si>
    <t>1849</t>
  </si>
  <si>
    <t>1914</t>
  </si>
  <si>
    <t>1953</t>
  </si>
  <si>
    <t>1976</t>
  </si>
  <si>
    <t>2031</t>
  </si>
  <si>
    <t>2038</t>
  </si>
  <si>
    <t>2040</t>
  </si>
  <si>
    <t>2057</t>
  </si>
  <si>
    <t>2060</t>
  </si>
  <si>
    <t>2065</t>
  </si>
  <si>
    <t>2066</t>
  </si>
  <si>
    <t>2071</t>
  </si>
  <si>
    <t>2073</t>
  </si>
  <si>
    <t>2082</t>
  </si>
  <si>
    <t>2083</t>
  </si>
  <si>
    <t>2092</t>
  </si>
  <si>
    <t>2099</t>
  </si>
  <si>
    <t>2107</t>
  </si>
  <si>
    <t>2114</t>
  </si>
  <si>
    <t>2123</t>
  </si>
  <si>
    <t>2129</t>
  </si>
  <si>
    <t>2133</t>
  </si>
  <si>
    <t>2134</t>
  </si>
  <si>
    <t>2155</t>
  </si>
  <si>
    <t>Лизуха</t>
  </si>
  <si>
    <t>Радужная</t>
  </si>
  <si>
    <t>Росписная</t>
  </si>
  <si>
    <t>Лунная</t>
  </si>
  <si>
    <t>Шипучка</t>
  </si>
  <si>
    <t>Павушка</t>
  </si>
  <si>
    <t>Ягодка</t>
  </si>
  <si>
    <t>Кредитка</t>
  </si>
  <si>
    <t>Зеленушка</t>
  </si>
  <si>
    <t>Лужайка</t>
  </si>
  <si>
    <t>Улыбка</t>
  </si>
  <si>
    <t>Смелая</t>
  </si>
  <si>
    <t>Миска</t>
  </si>
  <si>
    <t>Майская</t>
  </si>
  <si>
    <t>Говорунья</t>
  </si>
  <si>
    <t>Малиновка</t>
  </si>
  <si>
    <t>Медея</t>
  </si>
  <si>
    <t>Линза</t>
  </si>
  <si>
    <t>Хрустальная</t>
  </si>
  <si>
    <t>Краска</t>
  </si>
  <si>
    <t>Зарянка</t>
  </si>
  <si>
    <t>Листва</t>
  </si>
  <si>
    <t>Чёлка</t>
  </si>
  <si>
    <t>Мозаика</t>
  </si>
  <si>
    <t>Болтушка</t>
  </si>
  <si>
    <t>Луковка</t>
  </si>
  <si>
    <t>Зенитка</t>
  </si>
  <si>
    <t>Буква</t>
  </si>
  <si>
    <t>Лазурная</t>
  </si>
  <si>
    <t>Вязига</t>
  </si>
  <si>
    <t>Дорогуша</t>
  </si>
  <si>
    <t>Лоретка</t>
  </si>
  <si>
    <t>Улочка</t>
  </si>
  <si>
    <t>Арена</t>
  </si>
  <si>
    <t>Дотация</t>
  </si>
  <si>
    <t>Ласковая</t>
  </si>
  <si>
    <t>Фемида</t>
  </si>
  <si>
    <t>Мадонна</t>
  </si>
  <si>
    <t>Резинка</t>
  </si>
  <si>
    <t>Былина</t>
  </si>
  <si>
    <t>Фаворитка</t>
  </si>
  <si>
    <t>Унция</t>
  </si>
  <si>
    <t>Арника</t>
  </si>
  <si>
    <t>Кедровая</t>
  </si>
  <si>
    <t>Браслетка</t>
  </si>
  <si>
    <t>Троица</t>
  </si>
  <si>
    <t>Зубатка</t>
  </si>
  <si>
    <t>Люлька</t>
  </si>
  <si>
    <t>Лузга</t>
  </si>
  <si>
    <t>Морена</t>
  </si>
  <si>
    <t>Мода</t>
  </si>
  <si>
    <t>Дочка</t>
  </si>
  <si>
    <t>Минутка</t>
  </si>
  <si>
    <t>Майна</t>
  </si>
  <si>
    <t>Абелия</t>
  </si>
  <si>
    <t>Байка</t>
  </si>
  <si>
    <t>Кавычка</t>
  </si>
  <si>
    <t>Элегия</t>
  </si>
  <si>
    <t>Медянка</t>
  </si>
  <si>
    <t>Диадема</t>
  </si>
  <si>
    <t>Рулада</t>
  </si>
  <si>
    <t>Антилопа</t>
  </si>
  <si>
    <t>Бравая</t>
  </si>
  <si>
    <t>Казарка</t>
  </si>
  <si>
    <t>Грозная</t>
  </si>
  <si>
    <t>Сирень</t>
  </si>
  <si>
    <t>Букля</t>
  </si>
  <si>
    <t>Вишера</t>
  </si>
  <si>
    <t>Рёвушка</t>
  </si>
  <si>
    <t>Драцена</t>
  </si>
  <si>
    <t>Макрель</t>
  </si>
  <si>
    <t>Рута</t>
  </si>
  <si>
    <t>Череда</t>
  </si>
  <si>
    <t>Яйла</t>
  </si>
  <si>
    <t>Мицелла</t>
  </si>
  <si>
    <t>Цесарка</t>
  </si>
  <si>
    <t>Мелодика</t>
  </si>
  <si>
    <t>Мимозка</t>
  </si>
  <si>
    <t>Ламбада</t>
  </si>
  <si>
    <t>Лебеда</t>
  </si>
  <si>
    <t>Батиста</t>
  </si>
  <si>
    <t>Февралька</t>
  </si>
  <si>
    <t>Багрянка</t>
  </si>
  <si>
    <t>Бубновая</t>
  </si>
  <si>
    <t>Лесная</t>
  </si>
  <si>
    <t>Кнопка</t>
  </si>
  <si>
    <t>Барбариска</t>
  </si>
  <si>
    <t>Еловая</t>
  </si>
  <si>
    <t>Цепочка</t>
  </si>
  <si>
    <t>Молочная</t>
  </si>
  <si>
    <t>Проба</t>
  </si>
  <si>
    <t>Гильдия</t>
  </si>
  <si>
    <t>Ручка</t>
  </si>
  <si>
    <t>Волжанка</t>
  </si>
  <si>
    <t>Долька</t>
  </si>
  <si>
    <t>Жалейка</t>
  </si>
  <si>
    <t>Карамелька</t>
  </si>
  <si>
    <t>Гадалка</t>
  </si>
  <si>
    <t>Лейка</t>
  </si>
  <si>
    <t>Золотая</t>
  </si>
  <si>
    <t>Галушка</t>
  </si>
  <si>
    <t>Беседа</t>
  </si>
  <si>
    <t>Пума</t>
  </si>
  <si>
    <t>Келья</t>
  </si>
  <si>
    <t>Рыжуха</t>
  </si>
  <si>
    <t>Клюква</t>
  </si>
  <si>
    <t>Мазурка</t>
  </si>
  <si>
    <t>Вербена</t>
  </si>
  <si>
    <t>Фонтанка</t>
  </si>
  <si>
    <t>Монашка</t>
  </si>
  <si>
    <t>2283</t>
  </si>
  <si>
    <t>Дата РИ ПЛАН</t>
  </si>
  <si>
    <t>Крупица</t>
  </si>
  <si>
    <t>14047</t>
  </si>
  <si>
    <t>13213</t>
  </si>
  <si>
    <t>277863</t>
  </si>
  <si>
    <t>21 дн до отела</t>
  </si>
  <si>
    <t xml:space="preserve">падеж, песок в сычуге и семена просо, гнойный эксудат в матке, </t>
  </si>
  <si>
    <t>Сорока</t>
  </si>
  <si>
    <t>Печёра</t>
  </si>
  <si>
    <t>Альма</t>
  </si>
  <si>
    <t>Журавка</t>
  </si>
  <si>
    <t>81(2047)</t>
  </si>
  <si>
    <t>Мальвина</t>
  </si>
  <si>
    <t>13352</t>
  </si>
  <si>
    <t>Кудряшка</t>
  </si>
  <si>
    <t>13373</t>
  </si>
  <si>
    <t>Амалия</t>
  </si>
  <si>
    <t>13394</t>
  </si>
  <si>
    <t>14052</t>
  </si>
  <si>
    <t>Зозуля</t>
  </si>
  <si>
    <t>13263</t>
  </si>
  <si>
    <t>Слива</t>
  </si>
  <si>
    <t>14066</t>
  </si>
  <si>
    <t>13313</t>
  </si>
  <si>
    <t>Апрелька</t>
  </si>
  <si>
    <t>13156</t>
  </si>
  <si>
    <t>Муся</t>
  </si>
  <si>
    <t>13361</t>
  </si>
  <si>
    <t>Лоция</t>
  </si>
  <si>
    <t>13041</t>
  </si>
  <si>
    <t>13181</t>
  </si>
  <si>
    <t>13189</t>
  </si>
  <si>
    <t>Ракушка</t>
  </si>
  <si>
    <t>13194</t>
  </si>
  <si>
    <t>Завивка</t>
  </si>
  <si>
    <t>13228</t>
  </si>
  <si>
    <t>13238</t>
  </si>
  <si>
    <t>Клуша</t>
  </si>
  <si>
    <t>13271</t>
  </si>
  <si>
    <t>1541</t>
  </si>
  <si>
    <t>75</t>
  </si>
  <si>
    <t>Линория</t>
  </si>
  <si>
    <t>1698</t>
  </si>
  <si>
    <t>Басня</t>
  </si>
  <si>
    <t>983</t>
  </si>
  <si>
    <t>Дереза</t>
  </si>
  <si>
    <t>1696</t>
  </si>
  <si>
    <t>корова побитая, с пролежнями, с шишкой под челюстью</t>
  </si>
  <si>
    <t>припадошная корова, плохо вставала на цепи</t>
  </si>
  <si>
    <t>2120</t>
  </si>
  <si>
    <t>Молочница</t>
  </si>
  <si>
    <t>1946</t>
  </si>
  <si>
    <t>2169</t>
  </si>
  <si>
    <t>2229</t>
  </si>
  <si>
    <t>2230</t>
  </si>
  <si>
    <t>Рубиновая</t>
  </si>
  <si>
    <t>2298</t>
  </si>
  <si>
    <t>Сага</t>
  </si>
  <si>
    <t>Ветошка</t>
  </si>
  <si>
    <t>2191</t>
  </si>
  <si>
    <t>Юла</t>
  </si>
  <si>
    <t>Аллея</t>
  </si>
  <si>
    <t>277663</t>
  </si>
  <si>
    <t>Мерзлякова М.Ф.</t>
  </si>
  <si>
    <t>Яйкова О.М.</t>
  </si>
  <si>
    <t>490</t>
  </si>
  <si>
    <t>Лафа</t>
  </si>
  <si>
    <t>745</t>
  </si>
  <si>
    <t>Марго</t>
  </si>
  <si>
    <t>яловая</t>
  </si>
  <si>
    <t>вынужденный забой, травматичесуий</t>
  </si>
  <si>
    <t>ФИО ТЕХНИКА-ОСЕМЕНАТОРА</t>
  </si>
  <si>
    <t>Горшкова Н.В.</t>
  </si>
  <si>
    <t>Цветуха</t>
  </si>
  <si>
    <t>1997/2</t>
  </si>
  <si>
    <t>Филиппова Л.Н.</t>
  </si>
  <si>
    <t>2614</t>
  </si>
  <si>
    <t>1293</t>
  </si>
  <si>
    <t>277642</t>
  </si>
  <si>
    <t>ПЛОЩАДКА</t>
  </si>
  <si>
    <t>РО_ДОЙНЫЕ</t>
  </si>
  <si>
    <t>ИНД. № БЫКА</t>
  </si>
  <si>
    <t>460</t>
  </si>
  <si>
    <t>Дата первого осеменения/ или ОХОТЫ</t>
  </si>
  <si>
    <t>Дата последнего осеменения/ или ОХОТЫ</t>
  </si>
  <si>
    <t>date of Birth</t>
  </si>
  <si>
    <t>2654</t>
  </si>
  <si>
    <t>2604</t>
  </si>
  <si>
    <t>2645</t>
  </si>
  <si>
    <t>2600</t>
  </si>
  <si>
    <t>2585</t>
  </si>
  <si>
    <t>2605</t>
  </si>
  <si>
    <t>2578</t>
  </si>
  <si>
    <t>2594</t>
  </si>
  <si>
    <t>2583</t>
  </si>
  <si>
    <t>2607</t>
  </si>
  <si>
    <t>2635</t>
  </si>
  <si>
    <t>2543</t>
  </si>
  <si>
    <t>2622</t>
  </si>
  <si>
    <t>2570</t>
  </si>
  <si>
    <t>2642</t>
  </si>
  <si>
    <t>2616</t>
  </si>
  <si>
    <t>2628</t>
  </si>
  <si>
    <t>2520</t>
  </si>
  <si>
    <t>2630</t>
  </si>
  <si>
    <t>БЫК(Г)</t>
  </si>
  <si>
    <t>БЫК(Ф)</t>
  </si>
  <si>
    <t>Г+Ф</t>
  </si>
  <si>
    <t>ИТОГО:</t>
  </si>
  <si>
    <t>TODAY</t>
  </si>
  <si>
    <t>Лидаза</t>
  </si>
  <si>
    <t>Мимоза</t>
  </si>
  <si>
    <t>Заноза</t>
  </si>
  <si>
    <t>Дунайка</t>
  </si>
  <si>
    <t>Утёска</t>
  </si>
  <si>
    <t>Карета</t>
  </si>
  <si>
    <t>Дулёвка</t>
  </si>
  <si>
    <t>Вертушка</t>
  </si>
  <si>
    <t>Сдоба</t>
  </si>
  <si>
    <t>Блудница</t>
  </si>
  <si>
    <t>Виза</t>
  </si>
  <si>
    <t>Акция</t>
  </si>
  <si>
    <t>Горшкова Н.В</t>
  </si>
  <si>
    <t>острая тимпания</t>
  </si>
  <si>
    <t>Кисточка_1</t>
  </si>
  <si>
    <t>Кисточка_2</t>
  </si>
  <si>
    <t>Кор № 2</t>
  </si>
  <si>
    <t>Кор № 1</t>
  </si>
  <si>
    <t>Краса</t>
  </si>
  <si>
    <t>СВИНАРНИК</t>
  </si>
  <si>
    <t>11182</t>
  </si>
  <si>
    <t>Пилка</t>
  </si>
  <si>
    <t>Кор № 3</t>
  </si>
  <si>
    <t>2650</t>
  </si>
  <si>
    <t>2657</t>
  </si>
  <si>
    <t>2608</t>
  </si>
  <si>
    <t>2685</t>
  </si>
  <si>
    <t>2665</t>
  </si>
  <si>
    <t>2673</t>
  </si>
  <si>
    <t>2653</t>
  </si>
  <si>
    <t>2664</t>
  </si>
  <si>
    <t>2629</t>
  </si>
  <si>
    <t>2619</t>
  </si>
  <si>
    <t>2544</t>
  </si>
  <si>
    <t>2588</t>
  </si>
  <si>
    <t>2587</t>
  </si>
  <si>
    <t>Поляна</t>
  </si>
  <si>
    <t>Улица</t>
  </si>
  <si>
    <t>Ветка</t>
  </si>
  <si>
    <t>Погода</t>
  </si>
  <si>
    <t>Ласточка</t>
  </si>
  <si>
    <t>Красотка</t>
  </si>
  <si>
    <t>Песчинка</t>
  </si>
  <si>
    <t>Минога</t>
  </si>
  <si>
    <t>Квинта</t>
  </si>
  <si>
    <t>2003</t>
  </si>
  <si>
    <t>вынужденный забой, кетоз</t>
  </si>
  <si>
    <t>ОСТАЛОСЬ ДО ОТЕЛА, дн.</t>
  </si>
  <si>
    <t>ОСТАЛОСЬ ДО РИ, дн.</t>
  </si>
  <si>
    <r>
      <t xml:space="preserve">ПЕРЕВОД в  БРАК_ </t>
    </r>
    <r>
      <rPr>
        <b/>
        <sz val="12"/>
        <rFont val="Times New Roman"/>
        <family val="1"/>
        <charset val="204"/>
      </rPr>
      <t>ПЛАН</t>
    </r>
  </si>
  <si>
    <r>
      <t xml:space="preserve">ПЕРЕВОД в  БРАК_ </t>
    </r>
    <r>
      <rPr>
        <b/>
        <sz val="12"/>
        <rFont val="Times New Roman"/>
        <family val="1"/>
        <charset val="204"/>
      </rPr>
      <t>ФАКТ</t>
    </r>
  </si>
  <si>
    <t>низкоудойная</t>
  </si>
  <si>
    <r>
      <t xml:space="preserve">ПЕРЕВОД КОРОВ в группу </t>
    </r>
    <r>
      <rPr>
        <b/>
        <sz val="6"/>
        <color indexed="8"/>
        <rFont val="Times New Roman"/>
        <family val="1"/>
        <charset val="204"/>
      </rPr>
      <t>Низкопитательного рациона</t>
    </r>
  </si>
  <si>
    <r>
      <t>1240</t>
    </r>
    <r>
      <rPr>
        <b/>
        <sz val="6"/>
        <rFont val="Times New Roman"/>
        <family val="1"/>
        <charset val="204"/>
      </rPr>
      <t>(1270)</t>
    </r>
  </si>
  <si>
    <t>2661</t>
  </si>
  <si>
    <t>2668</t>
  </si>
  <si>
    <t>2603</t>
  </si>
  <si>
    <t>2675</t>
  </si>
  <si>
    <t>2655</t>
  </si>
  <si>
    <t>2689</t>
  </si>
  <si>
    <t>2666</t>
  </si>
  <si>
    <t>2681</t>
  </si>
  <si>
    <t>2669</t>
  </si>
  <si>
    <t>2676</t>
  </si>
  <si>
    <t>Мимика</t>
  </si>
  <si>
    <t>Утеска</t>
  </si>
  <si>
    <t>Киксия</t>
  </si>
  <si>
    <t>Дойна</t>
  </si>
  <si>
    <t>МОЛ</t>
  </si>
  <si>
    <t>МАРКОВА Т.В.</t>
  </si>
  <si>
    <t>3116</t>
  </si>
  <si>
    <t>бычок</t>
  </si>
  <si>
    <t>заболевание ЖКТ</t>
  </si>
  <si>
    <t>защемления нервов поясничного отдела позвоночника</t>
  </si>
  <si>
    <t>3117</t>
  </si>
  <si>
    <t>яловая , ожирение</t>
  </si>
  <si>
    <t>3127</t>
  </si>
  <si>
    <t>тёлочка</t>
  </si>
  <si>
    <t>3126</t>
  </si>
  <si>
    <t>3125</t>
  </si>
  <si>
    <t>3124</t>
  </si>
  <si>
    <t>3123</t>
  </si>
  <si>
    <t>3122</t>
  </si>
  <si>
    <t>3121</t>
  </si>
  <si>
    <t>3120</t>
  </si>
  <si>
    <t>3118</t>
  </si>
  <si>
    <t>3119</t>
  </si>
  <si>
    <t>3128</t>
  </si>
  <si>
    <t>3129</t>
  </si>
  <si>
    <t>3130</t>
  </si>
  <si>
    <t>3131</t>
  </si>
  <si>
    <t>3132</t>
  </si>
  <si>
    <t>3133</t>
  </si>
  <si>
    <t>3134</t>
  </si>
  <si>
    <t>3135</t>
  </si>
  <si>
    <t>однососковая, жирная, 1,5 литра по утренней дойке перед сдачей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</si>
  <si>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</si>
  <si>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</si>
  <si>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</si>
  <si>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</si>
  <si>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</si>
  <si>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</si>
  <si>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</si>
  <si>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</si>
  <si>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</si>
  <si>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</si>
  <si>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</si>
  <si>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</si>
  <si>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</si>
  <si>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</si>
  <si>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</si>
  <si>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</si>
  <si>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</si>
  <si>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</si>
  <si>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</si>
  <si>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</si>
  <si>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</si>
  <si>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</si>
  <si>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</si>
  <si>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</si>
  <si>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</si>
  <si>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уродливо вымя/непригодное для доения/не отдавала молоко без окситоцина</t>
  </si>
  <si>
    <t>3161</t>
  </si>
  <si>
    <t>3162</t>
  </si>
  <si>
    <t>3163</t>
  </si>
  <si>
    <t>3164</t>
  </si>
  <si>
    <t>ПРИЧИНА ВЫБЫТИЯ</t>
  </si>
  <si>
    <t>ВЕС ПРИ ПРОДАЖЕ</t>
  </si>
  <si>
    <t>ПРОДАЖА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</si>
  <si>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</si>
  <si>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</si>
  <si>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</si>
  <si>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</si>
  <si>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</si>
  <si>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</si>
  <si>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</si>
  <si>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</si>
  <si>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</si>
  <si>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</si>
  <si>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</si>
  <si>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</si>
  <si>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</si>
  <si>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</si>
  <si>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</si>
  <si>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Падёж</t>
  </si>
  <si>
    <t>3180</t>
  </si>
  <si>
    <t>3181</t>
  </si>
  <si>
    <t>Данькин А.И.</t>
  </si>
  <si>
    <t>Светлая</t>
  </si>
  <si>
    <t>ФЕДОРОВА Р.П.</t>
  </si>
  <si>
    <t>3101</t>
  </si>
  <si>
    <t>3102</t>
  </si>
  <si>
    <t>3091</t>
  </si>
  <si>
    <t>3111</t>
  </si>
  <si>
    <t>3073</t>
  </si>
  <si>
    <t>3079</t>
  </si>
  <si>
    <t>3115</t>
  </si>
  <si>
    <t>3039</t>
  </si>
  <si>
    <t>3044</t>
  </si>
  <si>
    <t>3051</t>
  </si>
  <si>
    <t>3020</t>
  </si>
  <si>
    <t>3045</t>
  </si>
  <si>
    <t>3046</t>
  </si>
  <si>
    <t>3030</t>
  </si>
  <si>
    <t>3040</t>
  </si>
  <si>
    <t>3032</t>
  </si>
  <si>
    <t>3055</t>
  </si>
  <si>
    <t>3052</t>
  </si>
  <si>
    <t>3097</t>
  </si>
  <si>
    <t>3080</t>
  </si>
  <si>
    <t>3070</t>
  </si>
  <si>
    <t>3108</t>
  </si>
  <si>
    <t>3094</t>
  </si>
  <si>
    <t>3086</t>
  </si>
  <si>
    <t>3057</t>
  </si>
  <si>
    <t>3084</t>
  </si>
  <si>
    <t>3060</t>
  </si>
  <si>
    <t>3100</t>
  </si>
  <si>
    <t>3093</t>
  </si>
  <si>
    <t>3090</t>
  </si>
  <si>
    <t>3077</t>
  </si>
  <si>
    <t>3063</t>
  </si>
  <si>
    <t>3095</t>
  </si>
  <si>
    <t>3089</t>
  </si>
  <si>
    <t>3071</t>
  </si>
  <si>
    <t>2983</t>
  </si>
  <si>
    <t>3022</t>
  </si>
  <si>
    <t>3009</t>
  </si>
  <si>
    <t>3016</t>
  </si>
  <si>
    <t>2986</t>
  </si>
  <si>
    <t>2958</t>
  </si>
  <si>
    <t>3024</t>
  </si>
  <si>
    <t>3061</t>
  </si>
  <si>
    <t>2985</t>
  </si>
  <si>
    <t>3012</t>
  </si>
  <si>
    <t>2979</t>
  </si>
  <si>
    <t>2970</t>
  </si>
  <si>
    <t>2974</t>
  </si>
  <si>
    <t>2993</t>
  </si>
  <si>
    <t>3006</t>
  </si>
  <si>
    <t>3007</t>
  </si>
  <si>
    <t>2957</t>
  </si>
  <si>
    <t>2984</t>
  </si>
  <si>
    <t>2956</t>
  </si>
  <si>
    <t>2960</t>
  </si>
  <si>
    <t>2955</t>
  </si>
  <si>
    <t>3023</t>
  </si>
  <si>
    <t>3015</t>
  </si>
  <si>
    <t>2901</t>
  </si>
  <si>
    <t>3013</t>
  </si>
  <si>
    <t>3000</t>
  </si>
  <si>
    <t>3021</t>
  </si>
  <si>
    <t>2972</t>
  </si>
  <si>
    <t>2945</t>
  </si>
  <si>
    <t>3037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</si>
  <si>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</si>
  <si>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</si>
  <si>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</si>
  <si>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</si>
  <si>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</si>
  <si>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</si>
  <si>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</si>
  <si>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</si>
  <si>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</si>
  <si>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</si>
  <si>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</si>
  <si>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</si>
  <si>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</si>
  <si>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2905</t>
  </si>
  <si>
    <t>2842</t>
  </si>
  <si>
    <t>2952</t>
  </si>
  <si>
    <t>2963</t>
  </si>
  <si>
    <t>2951</t>
  </si>
  <si>
    <t>2936</t>
  </si>
  <si>
    <t>2808</t>
  </si>
  <si>
    <t>2909</t>
  </si>
  <si>
    <t>2927</t>
  </si>
  <si>
    <t>2852</t>
  </si>
  <si>
    <t>2914</t>
  </si>
  <si>
    <t>2846</t>
  </si>
  <si>
    <t>2889</t>
  </si>
  <si>
    <t>2903</t>
  </si>
  <si>
    <t>2962</t>
  </si>
  <si>
    <t>2828</t>
  </si>
  <si>
    <t>2907</t>
  </si>
  <si>
    <t>2975</t>
  </si>
  <si>
    <t>2934</t>
  </si>
  <si>
    <t>2910</t>
  </si>
  <si>
    <t>2919</t>
  </si>
  <si>
    <t>2865</t>
  </si>
  <si>
    <t>2930</t>
  </si>
  <si>
    <t>2959</t>
  </si>
  <si>
    <t>2911</t>
  </si>
  <si>
    <t>2878</t>
  </si>
  <si>
    <t>2892</t>
  </si>
  <si>
    <t>2840</t>
  </si>
  <si>
    <t>2862</t>
  </si>
  <si>
    <t>2950</t>
  </si>
  <si>
    <t>2906</t>
  </si>
  <si>
    <t>БОРИСОВА С.В.</t>
  </si>
  <si>
    <t>2931</t>
  </si>
  <si>
    <t>2937</t>
  </si>
  <si>
    <t>2917</t>
  </si>
  <si>
    <t>2897</t>
  </si>
  <si>
    <t>2932</t>
  </si>
  <si>
    <t>2965</t>
  </si>
  <si>
    <t>2885</t>
  </si>
  <si>
    <t>2973</t>
  </si>
  <si>
    <t>2953</t>
  </si>
  <si>
    <t>2898</t>
  </si>
  <si>
    <t>2923</t>
  </si>
  <si>
    <t>2838</t>
  </si>
  <si>
    <t>2968</t>
  </si>
  <si>
    <t>2904</t>
  </si>
  <si>
    <t>2988</t>
  </si>
  <si>
    <t>2964</t>
  </si>
  <si>
    <t>2869</t>
  </si>
  <si>
    <t>2922</t>
  </si>
  <si>
    <t>2847</t>
  </si>
  <si>
    <t>2943</t>
  </si>
  <si>
    <t>2871</t>
  </si>
  <si>
    <t>2829</t>
  </si>
  <si>
    <t>2926</t>
  </si>
  <si>
    <t>2929</t>
  </si>
  <si>
    <t>2875</t>
  </si>
  <si>
    <t>2877</t>
  </si>
  <si>
    <t>2860</t>
  </si>
  <si>
    <t>2859</t>
  </si>
  <si>
    <t>2853</t>
  </si>
  <si>
    <t>2971</t>
  </si>
  <si>
    <t>2823</t>
  </si>
  <si>
    <t>2804</t>
  </si>
  <si>
    <t>2882</t>
  </si>
  <si>
    <t>2982</t>
  </si>
  <si>
    <t>2832</t>
  </si>
  <si>
    <t>2856</t>
  </si>
  <si>
    <t>2874</t>
  </si>
  <si>
    <t>2848</t>
  </si>
  <si>
    <t>2873</t>
  </si>
  <si>
    <t>2980</t>
  </si>
  <si>
    <t>2805</t>
  </si>
  <si>
    <t>2839</t>
  </si>
  <si>
    <t>2948</t>
  </si>
  <si>
    <t>2867</t>
  </si>
  <si>
    <t>2857</t>
  </si>
  <si>
    <t>2845</t>
  </si>
  <si>
    <t>2837</t>
  </si>
  <si>
    <t>2836</t>
  </si>
  <si>
    <t>2834</t>
  </si>
  <si>
    <t>2921</t>
  </si>
  <si>
    <t>2831</t>
  </si>
  <si>
    <t>2880</t>
  </si>
  <si>
    <t>2822</t>
  </si>
  <si>
    <t>2896</t>
  </si>
  <si>
    <t>2782</t>
  </si>
  <si>
    <t>2849</t>
  </si>
  <si>
    <t>2815</t>
  </si>
  <si>
    <t>2814</t>
  </si>
  <si>
    <t>2854</t>
  </si>
  <si>
    <t>2870</t>
  </si>
  <si>
    <t>2899</t>
  </si>
  <si>
    <t>2928</t>
  </si>
  <si>
    <t>2833</t>
  </si>
  <si>
    <t>0695</t>
  </si>
  <si>
    <t>9560</t>
  </si>
  <si>
    <t>3195</t>
  </si>
  <si>
    <t>3196</t>
  </si>
  <si>
    <t>3197</t>
  </si>
  <si>
    <t>7762</t>
  </si>
  <si>
    <t>2195</t>
  </si>
  <si>
    <t>1538</t>
  </si>
  <si>
    <t>3198</t>
  </si>
  <si>
    <t>3199</t>
  </si>
  <si>
    <t>3200</t>
  </si>
  <si>
    <t>9320</t>
  </si>
  <si>
    <t>2707</t>
  </si>
  <si>
    <t>2703</t>
  </si>
  <si>
    <t>2679</t>
  </si>
  <si>
    <t>2670</t>
  </si>
  <si>
    <t>2659</t>
  </si>
  <si>
    <t>2674</t>
  </si>
  <si>
    <t>Милая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</si>
  <si>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</si>
  <si>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</si>
  <si>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</si>
  <si>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</si>
  <si>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</si>
  <si>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</si>
  <si>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</si>
  <si>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</si>
  <si>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</si>
  <si>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</si>
  <si>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</si>
  <si>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</si>
  <si>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</si>
  <si>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</si>
  <si>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</si>
  <si>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</si>
  <si>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1331</t>
  </si>
  <si>
    <t>331129</t>
  </si>
  <si>
    <t>3217</t>
  </si>
  <si>
    <t>3218</t>
  </si>
  <si>
    <t>3219</t>
  </si>
  <si>
    <t>3220</t>
  </si>
  <si>
    <t>3221</t>
  </si>
  <si>
    <t>3222</t>
  </si>
  <si>
    <t>3223</t>
  </si>
  <si>
    <t>3224</t>
  </si>
  <si>
    <t>агалактия(самозапуск)</t>
  </si>
  <si>
    <t>анорексия</t>
  </si>
  <si>
    <t>2694</t>
  </si>
  <si>
    <t>2710</t>
  </si>
  <si>
    <t>2686</t>
  </si>
  <si>
    <t>2709</t>
  </si>
  <si>
    <t>Фрейлина</t>
  </si>
  <si>
    <t>Свечка</t>
  </si>
  <si>
    <t>Шалунья</t>
  </si>
  <si>
    <t>БРАК</t>
  </si>
  <si>
    <t>3225</t>
  </si>
  <si>
    <t>3226</t>
  </si>
  <si>
    <t>3227</t>
  </si>
  <si>
    <t>3228</t>
  </si>
  <si>
    <t>3229</t>
  </si>
  <si>
    <t>3230</t>
  </si>
  <si>
    <t>3231</t>
  </si>
  <si>
    <t>Снежка</t>
  </si>
  <si>
    <t>3232</t>
  </si>
  <si>
    <t>3233</t>
  </si>
  <si>
    <t>2618</t>
  </si>
  <si>
    <t>1061</t>
  </si>
  <si>
    <t>8488</t>
  </si>
  <si>
    <t>3234</t>
  </si>
  <si>
    <t>3235</t>
  </si>
  <si>
    <t>3236</t>
  </si>
  <si>
    <t>сама себя доила</t>
  </si>
  <si>
    <t>воспаление суставов</t>
  </si>
  <si>
    <t>приросший кишечник/предворительный диагноз заворот кишечника</t>
  </si>
  <si>
    <t>3238</t>
  </si>
  <si>
    <t>3237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</si>
  <si>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</si>
  <si>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</si>
  <si>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</si>
  <si>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</si>
  <si>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</si>
  <si>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</si>
  <si>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</si>
  <si>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</si>
  <si>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</si>
  <si>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</si>
  <si>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</si>
  <si>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</si>
  <si>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Красюкова Ю.А.</t>
  </si>
  <si>
    <t>3251</t>
  </si>
  <si>
    <t>2663</t>
  </si>
  <si>
    <t>Парез</t>
  </si>
  <si>
    <t>Травматический перекардит</t>
  </si>
  <si>
    <t>Гастроэнтерит</t>
  </si>
  <si>
    <t>Паралич задних конечностей</t>
  </si>
  <si>
    <t>3254</t>
  </si>
  <si>
    <t>2702</t>
  </si>
  <si>
    <t>2714</t>
  </si>
  <si>
    <t>2700</t>
  </si>
  <si>
    <t>2715</t>
  </si>
  <si>
    <t>2708</t>
  </si>
  <si>
    <t>2691</t>
  </si>
  <si>
    <t>Левада</t>
  </si>
  <si>
    <t>Азбука</t>
  </si>
  <si>
    <t>2658</t>
  </si>
  <si>
    <t>Сорокина А.</t>
  </si>
  <si>
    <t>Морячка</t>
  </si>
  <si>
    <t>5005</t>
  </si>
  <si>
    <t>По старости</t>
  </si>
  <si>
    <t>Ланита</t>
  </si>
  <si>
    <t>779</t>
  </si>
  <si>
    <t>Юрта</t>
  </si>
  <si>
    <t>538</t>
  </si>
  <si>
    <t>Заболевание ног.</t>
  </si>
  <si>
    <t>Липа</t>
  </si>
  <si>
    <t>996</t>
  </si>
  <si>
    <t>10287</t>
  </si>
  <si>
    <t>ст</t>
  </si>
  <si>
    <t>Травма  живота.</t>
  </si>
  <si>
    <t>175473</t>
  </si>
  <si>
    <t>Зебра</t>
  </si>
  <si>
    <t>1791</t>
  </si>
  <si>
    <t>Реакция на туб.</t>
  </si>
  <si>
    <t>1465</t>
  </si>
  <si>
    <t>Слюда</t>
  </si>
  <si>
    <t>2103</t>
  </si>
  <si>
    <t>новотел.</t>
  </si>
  <si>
    <t>Трудные роды,крупный плод.</t>
  </si>
  <si>
    <t>Султанша</t>
  </si>
  <si>
    <t>11180</t>
  </si>
  <si>
    <t>1192</t>
  </si>
  <si>
    <t>Липучка</t>
  </si>
  <si>
    <t>Ракуша</t>
  </si>
  <si>
    <t>11238</t>
  </si>
  <si>
    <t>Воронка</t>
  </si>
  <si>
    <t>277598</t>
  </si>
  <si>
    <t>83335</t>
  </si>
  <si>
    <t>Черёмуха</t>
  </si>
  <si>
    <t>5639</t>
  </si>
  <si>
    <t>Ивушка</t>
  </si>
  <si>
    <t>5165</t>
  </si>
  <si>
    <t>55</t>
  </si>
  <si>
    <t>Рюшка</t>
  </si>
  <si>
    <t>1634</t>
  </si>
  <si>
    <t>1611</t>
  </si>
  <si>
    <t>14010</t>
  </si>
  <si>
    <t>748</t>
  </si>
  <si>
    <t>Златка</t>
  </si>
  <si>
    <t>1945</t>
  </si>
  <si>
    <t>Плем.предпр.Воронеж</t>
  </si>
  <si>
    <t>26.06.11.</t>
  </si>
  <si>
    <t>ООО НИВА</t>
  </si>
  <si>
    <t>низкоудойная.яловая</t>
  </si>
  <si>
    <t>ожирение,яловая</t>
  </si>
  <si>
    <t>патология матки.непригодна к воспроизводству,</t>
  </si>
  <si>
    <t>кетоз</t>
  </si>
  <si>
    <t>Артрит суставов</t>
  </si>
  <si>
    <t>Деформация вымени   Брак</t>
  </si>
  <si>
    <t>Парез задних конечностей</t>
  </si>
  <si>
    <t>яловая Брак,</t>
  </si>
  <si>
    <t>яловая,брак,</t>
  </si>
  <si>
    <t>тилома копыт,</t>
  </si>
  <si>
    <t>Ожирение,не стельная,</t>
  </si>
  <si>
    <t>Флегмона венчика ,(заболевание конечностей),</t>
  </si>
  <si>
    <t>заболевание ЖКТ,</t>
  </si>
  <si>
    <t>некроз копытного рога задних конечностей,</t>
  </si>
  <si>
    <t>ушиб вымени и правой(грудной,межреберной обл,перитонит,)стельная,</t>
  </si>
  <si>
    <t>кахексия.парез задних конечностей</t>
  </si>
  <si>
    <t>низкоудойная(уродство теленка)</t>
  </si>
  <si>
    <t>Аспирационная пневмония</t>
  </si>
  <si>
    <t>нефрит.цистит</t>
  </si>
  <si>
    <t>заболевание сердца</t>
  </si>
  <si>
    <t>травматический ретикулоперитонит</t>
  </si>
  <si>
    <t>гепатит печени</t>
  </si>
  <si>
    <t>мастит.абсцес брюшной полости</t>
  </si>
  <si>
    <t>низкоудойная,яловая.</t>
  </si>
  <si>
    <t>патология  яичников</t>
  </si>
  <si>
    <t>цервицит</t>
  </si>
  <si>
    <t>травматический ретикулоперикардит</t>
  </si>
  <si>
    <t>2-х сосковая.яловая</t>
  </si>
  <si>
    <t>агалактия.яловая.</t>
  </si>
  <si>
    <t>сальпингит</t>
  </si>
  <si>
    <t>абсцесс вымени</t>
  </si>
  <si>
    <t>патологические роды</t>
  </si>
  <si>
    <t>ожирение</t>
  </si>
  <si>
    <t>патология сердца.нефрит.жкт</t>
  </si>
  <si>
    <t>яловая/низкоудойная</t>
  </si>
  <si>
    <t>яловая/ожирение</t>
  </si>
  <si>
    <t>хронический мастит</t>
  </si>
  <si>
    <t>яловая/цервицит</t>
  </si>
  <si>
    <t>парез</t>
  </si>
  <si>
    <t>3252</t>
  </si>
  <si>
    <t>3253</t>
  </si>
  <si>
    <t>3255</t>
  </si>
  <si>
    <t>3256</t>
  </si>
  <si>
    <t>3257</t>
  </si>
  <si>
    <t>3258</t>
  </si>
  <si>
    <t>3259</t>
  </si>
  <si>
    <t>ДАТА ЗАМЕТКИ</t>
  </si>
  <si>
    <t>ПРИМЕЧАНИЕ</t>
  </si>
  <si>
    <t>КОНТРОЛЬ ОХОТЫ №2</t>
  </si>
  <si>
    <t>Кор №3</t>
  </si>
  <si>
    <t>кровь</t>
  </si>
  <si>
    <t>КОНТРОЛЬ/ ОСТАЛОСЬ ДНЕЙ ДО ОСМОТРА</t>
  </si>
  <si>
    <t>ФОРМУЛА</t>
  </si>
  <si>
    <t>КОЛ-ВО ГОЛОВО ПОД ОСМОТР НА СЕГОДНЯ</t>
  </si>
  <si>
    <t>забой, детская матка</t>
  </si>
  <si>
    <t>Физиологическое состояние_ НЕТЕЛЬ</t>
  </si>
  <si>
    <t>Физиологическое состояние_ ЯЛОВАЯ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</si>
  <si>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</si>
  <si>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</si>
  <si>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</si>
  <si>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</si>
  <si>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</si>
  <si>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</si>
  <si>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</si>
  <si>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</si>
  <si>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</si>
  <si>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</si>
  <si>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</si>
  <si>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</si>
  <si>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% стельности</t>
  </si>
  <si>
    <t>МЕСЯЦ</t>
  </si>
  <si>
    <t>НОРМА</t>
  </si>
  <si>
    <t xml:space="preserve"> ПО ХОЗЯЙСТВУ</t>
  </si>
  <si>
    <t>ОТКЛОНЕНИЕ</t>
  </si>
  <si>
    <t>ПО ХОЗЯЙСТВУ</t>
  </si>
  <si>
    <t>ДАТА НА СЕГОДНЯ</t>
  </si>
  <si>
    <t>СЕРВИС-ПЕРИОД ПО СТАДУ, ДН.</t>
  </si>
  <si>
    <t>КОЛИЧЕСТВО ЛАКТАЦИОННЫХ ДНЕЙ СРЕДНЕМ ПО СТАДУ, ДН.</t>
  </si>
  <si>
    <t>ВСЕГО БЫЛО ОСЕМЕНЕНО ПО МЕСЯЦАМ ЗА 2016 ГОД, гол.</t>
  </si>
  <si>
    <t>ЧИСЛО МЕСЯЦА/МЕСЯЦ</t>
  </si>
  <si>
    <t>физиологическое состояние - осемененная корова/телка</t>
  </si>
  <si>
    <t>итого:</t>
  </si>
  <si>
    <t>физиологическое состояние - СТЕЛЬНАЯ корова/телка</t>
  </si>
  <si>
    <t>КОЛ-ВО СТЕЛЬНЫХ КОРОВ И НЕТЕЛЕЙ ИЗ ОСЕМЕНЕННЫХ ЗА МЕСЯЦ 2016 ГОДА</t>
  </si>
  <si>
    <t>ФИЗИОЛОГИЧЕСКАЯ СТРУКТУРА СТАДА ООО "АГРО-НЕПТУН"</t>
  </si>
  <si>
    <t>КОЛИЧЕСТВО ФУРАЖНЫХ КОРОВ</t>
  </si>
  <si>
    <t>КОЛИЧЕСТВО ДОЙНЫХ КОРОВ</t>
  </si>
  <si>
    <t>1-й отел</t>
  </si>
  <si>
    <t>2-ой отел</t>
  </si>
  <si>
    <t>3-ий отел</t>
  </si>
  <si>
    <t>4-ый отел</t>
  </si>
  <si>
    <t>5-ый отел</t>
  </si>
  <si>
    <t>6-ой отел</t>
  </si>
  <si>
    <t>7-отел</t>
  </si>
  <si>
    <t>8-ой отел</t>
  </si>
  <si>
    <t>9-ый отел</t>
  </si>
  <si>
    <t>10-ый отел</t>
  </si>
  <si>
    <t>11-отел</t>
  </si>
  <si>
    <t>12-ый отел</t>
  </si>
  <si>
    <t>% в стаде</t>
  </si>
  <si>
    <r>
      <rPr>
        <b/>
        <sz val="16"/>
        <color theme="8" tint="0.79998168889431442"/>
        <rFont val="Arial"/>
        <family val="2"/>
        <charset val="204"/>
      </rPr>
      <t xml:space="preserve">БРАК__ </t>
    </r>
    <r>
      <rPr>
        <b/>
        <sz val="8"/>
        <color theme="8" tint="0.79998168889431442"/>
        <rFont val="Arial"/>
        <family val="2"/>
        <charset val="204"/>
      </rPr>
      <t>КОМП./ ФАКТ</t>
    </r>
  </si>
  <si>
    <t>СТЕЛЬНЫХ_ КОРОВ</t>
  </si>
  <si>
    <t>ОСЕМЕНЕННЫХ_ КОРОВ</t>
  </si>
  <si>
    <t>НОВОТЕЛЬНЫХ_ КОРОВ</t>
  </si>
  <si>
    <r>
      <rPr>
        <b/>
        <sz val="12"/>
        <color theme="8" tint="0.79998168889431442"/>
        <rFont val="Arial"/>
        <family val="2"/>
        <charset val="204"/>
      </rPr>
      <t>ЯЛОВЫХ</t>
    </r>
    <r>
      <rPr>
        <b/>
        <sz val="10"/>
        <color theme="8" tint="0.79998168889431442"/>
        <rFont val="Arial"/>
        <family val="2"/>
        <charset val="204"/>
      </rPr>
      <t>_ КОРОВ</t>
    </r>
  </si>
  <si>
    <t>КОЛИЧЕСТВО СТЕЛЬНЫХ КОРОВ ПО КРАТНОСТИ ОСЕМЕНЕНИЯ</t>
  </si>
  <si>
    <t>ВЫРАЖЕНИЕ В %</t>
  </si>
  <si>
    <t>Физиологическое состояние_       DRY COW</t>
  </si>
  <si>
    <r>
      <t xml:space="preserve">В ПЕРИОДЕ </t>
    </r>
    <r>
      <rPr>
        <b/>
        <u/>
        <sz val="12"/>
        <rFont val="Arial"/>
        <family val="2"/>
        <charset val="204"/>
      </rPr>
      <t>Д.О</t>
    </r>
    <r>
      <rPr>
        <b/>
        <u/>
        <sz val="8"/>
        <rFont val="Arial"/>
        <family val="2"/>
        <charset val="204"/>
      </rPr>
      <t xml:space="preserve">. </t>
    </r>
    <r>
      <rPr>
        <b/>
        <sz val="6"/>
        <rFont val="Arial"/>
        <family val="2"/>
        <charset val="204"/>
      </rPr>
      <t>(ДОБРОВОЛЬНОГО ОЖИДАНИЯ)</t>
    </r>
  </si>
  <si>
    <t>3260</t>
  </si>
  <si>
    <t>3261</t>
  </si>
  <si>
    <t>3262</t>
  </si>
  <si>
    <t>Камаева</t>
  </si>
  <si>
    <t>Кор №1</t>
  </si>
  <si>
    <t>Абрамова</t>
  </si>
  <si>
    <t>кровь после осеменения</t>
  </si>
  <si>
    <t>Сетин</t>
  </si>
  <si>
    <t>Игошина</t>
  </si>
  <si>
    <t>Федорова</t>
  </si>
  <si>
    <t>3263</t>
  </si>
  <si>
    <t>2711</t>
  </si>
  <si>
    <t>2717</t>
  </si>
  <si>
    <t>2725</t>
  </si>
  <si>
    <t>2729</t>
  </si>
  <si>
    <t>2734</t>
  </si>
  <si>
    <t>2740</t>
  </si>
  <si>
    <t>2741</t>
  </si>
  <si>
    <t>2743</t>
  </si>
  <si>
    <t>2744</t>
  </si>
  <si>
    <t>2747</t>
  </si>
  <si>
    <t>2749</t>
  </si>
  <si>
    <t>2750</t>
  </si>
  <si>
    <t>2752</t>
  </si>
  <si>
    <t>2755</t>
  </si>
  <si>
    <t>2756</t>
  </si>
  <si>
    <t>2757</t>
  </si>
  <si>
    <t>2759</t>
  </si>
  <si>
    <t>2760</t>
  </si>
  <si>
    <t>2762</t>
  </si>
  <si>
    <t>2763</t>
  </si>
  <si>
    <t>2767</t>
  </si>
  <si>
    <t>2771</t>
  </si>
  <si>
    <t>2773</t>
  </si>
  <si>
    <t>2775</t>
  </si>
  <si>
    <t>2776</t>
  </si>
  <si>
    <t>2777</t>
  </si>
  <si>
    <t>2779</t>
  </si>
  <si>
    <t>2780</t>
  </si>
  <si>
    <t>2781</t>
  </si>
  <si>
    <t>2783</t>
  </si>
  <si>
    <t>2784</t>
  </si>
  <si>
    <t>2785</t>
  </si>
  <si>
    <t>2786</t>
  </si>
  <si>
    <t>2787</t>
  </si>
  <si>
    <t>2788</t>
  </si>
  <si>
    <t>2791</t>
  </si>
  <si>
    <t>2795</t>
  </si>
  <si>
    <t>2800</t>
  </si>
  <si>
    <t>2801</t>
  </si>
  <si>
    <t>2803</t>
  </si>
  <si>
    <t>травма вымени</t>
  </si>
  <si>
    <t>поликистоз</t>
  </si>
  <si>
    <t>Кор №2</t>
  </si>
  <si>
    <t>кровь после осеменения 6.10.16</t>
  </si>
  <si>
    <t>кровь (ИО 4.10.16)</t>
  </si>
  <si>
    <t>кровь после осем. 5.10.16 быком</t>
  </si>
  <si>
    <t>кровь ( ИО8.10.16)</t>
  </si>
  <si>
    <t>кровь (ИО 10.10.16)брак</t>
  </si>
  <si>
    <t>кровь ИО9.10.16</t>
  </si>
  <si>
    <t xml:space="preserve">Данькина </t>
  </si>
  <si>
    <t>ПРОДАЖА/УРЕНЕВУ</t>
  </si>
  <si>
    <t>ФАКТИЧЕСКИЙ ОТЕЛ КОРОВ И НЕТЕЛЕЙ ПО МЕСЯЦАМ (2016 ГОД), гол.(ЖИВЫХ В СТАДЕ)</t>
  </si>
  <si>
    <t>3264</t>
  </si>
  <si>
    <t>3265</t>
  </si>
  <si>
    <t>КОРОВНИК №1</t>
  </si>
  <si>
    <t>ИТОГО(в стаде):</t>
  </si>
  <si>
    <t>разница между живыми в стаде и фактическим отелом(отход новотельных коров и первотелок)</t>
  </si>
  <si>
    <t>ФАКТИЧЕСКИЙ ОТЕЛ КОРОВ И НЕТЕЛЕЙ ПО МЕСЯЦАМ (2016 ГОД), гол.(ВСЕГО)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</si>
  <si>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</si>
  <si>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</si>
  <si>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</si>
  <si>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</si>
  <si>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</si>
  <si>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</si>
  <si>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</si>
  <si>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</si>
  <si>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</si>
  <si>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</si>
  <si>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</si>
  <si>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</si>
  <si>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</si>
  <si>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</si>
  <si>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</si>
  <si>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</si>
  <si>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</si>
  <si>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</si>
  <si>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вынужденный забой меокардит</t>
  </si>
  <si>
    <t>НЕ ОТДАВАЛА МОЛОКО БЕЗ ОКСИТОЦИНА/УРОДЛИВОЕ ВЫМЯ/НИЗКОУДОЙНАЯ</t>
  </si>
  <si>
    <t>3286</t>
  </si>
  <si>
    <t>3284</t>
  </si>
  <si>
    <t>Брак</t>
  </si>
  <si>
    <t>забой внутри хозяйства</t>
  </si>
  <si>
    <t>СЛАБЫЕ СВЯЗКИ ПЯСТНОГО СУТАВА/низкоудойная</t>
  </si>
  <si>
    <t>кровь после осем</t>
  </si>
  <si>
    <t>КРОВЬ</t>
  </si>
  <si>
    <t>ЧАЙКА</t>
  </si>
  <si>
    <t>МЕТЕЛИЦА</t>
  </si>
  <si>
    <t>№1</t>
  </si>
  <si>
    <t>брак</t>
  </si>
  <si>
    <t>БЫК(Р)</t>
  </si>
  <si>
    <t>ФИО оператора машинного доения</t>
  </si>
  <si>
    <t>ВСЕГО коров</t>
  </si>
  <si>
    <t>Осеменены</t>
  </si>
  <si>
    <t>Стельные</t>
  </si>
  <si>
    <t>Новотельные</t>
  </si>
  <si>
    <t>Яловые</t>
  </si>
  <si>
    <t>На выбраковку</t>
  </si>
  <si>
    <t>Кол-во отелов и абортов</t>
  </si>
  <si>
    <t>Кол.во полученного приплода за мес.</t>
  </si>
  <si>
    <t>Таджибаева И.Т.</t>
  </si>
  <si>
    <t>Кулагина Л.П.</t>
  </si>
  <si>
    <t>Род отделение_ДОЙНЫЕ</t>
  </si>
  <si>
    <t>Итого дойных</t>
  </si>
  <si>
    <t>Сомнительные по РИ</t>
  </si>
  <si>
    <t>Зарег-ая ОХОТА (но не осем.)</t>
  </si>
  <si>
    <t>Сводка по воспроизводству коров ООО "Агро-Нептун"</t>
  </si>
  <si>
    <t>3285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</si>
  <si>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</si>
  <si>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</si>
  <si>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</si>
  <si>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</si>
  <si>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</si>
  <si>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</si>
  <si>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</si>
  <si>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</si>
  <si>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</si>
  <si>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</si>
  <si>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</si>
  <si>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</si>
  <si>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</si>
  <si>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</si>
  <si>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</si>
  <si>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</si>
  <si>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</si>
  <si>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</si>
  <si>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</si>
  <si>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</si>
  <si>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</si>
  <si>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</si>
  <si>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№3</t>
  </si>
  <si>
    <t>3309</t>
  </si>
  <si>
    <t>3310</t>
  </si>
  <si>
    <t>3311</t>
  </si>
  <si>
    <t>3312</t>
  </si>
  <si>
    <t>кровь после осем 19.11.16</t>
  </si>
  <si>
    <t>3313</t>
  </si>
  <si>
    <t>3314</t>
  </si>
  <si>
    <t>Выбит глаз, малоудойная(13л.)</t>
  </si>
  <si>
    <t>Малоудойная - 2,5-3литра</t>
  </si>
  <si>
    <t>жкт(понос)</t>
  </si>
  <si>
    <t>Ф+Г</t>
  </si>
  <si>
    <t>кровь осем по схеме 5.11.16</t>
  </si>
  <si>
    <t>Забой</t>
  </si>
  <si>
    <t>Зайка</t>
  </si>
  <si>
    <t>Мира</t>
  </si>
  <si>
    <t>Тучка</t>
  </si>
  <si>
    <t>Балтика</t>
  </si>
  <si>
    <t>3315</t>
  </si>
  <si>
    <t>3316</t>
  </si>
  <si>
    <t>3317</t>
  </si>
  <si>
    <t>3318</t>
  </si>
  <si>
    <t>3319</t>
  </si>
  <si>
    <t>3320</t>
  </si>
  <si>
    <t>3321</t>
  </si>
  <si>
    <t>3322</t>
  </si>
  <si>
    <t>ДВУРЯДКА</t>
  </si>
  <si>
    <t>2826</t>
  </si>
  <si>
    <t>2793</t>
  </si>
  <si>
    <t>2802</t>
  </si>
  <si>
    <t>2792</t>
  </si>
  <si>
    <t>2794</t>
  </si>
  <si>
    <t>кровь , быстро прокровила</t>
  </si>
  <si>
    <t>кровь после осем. 1.12.16</t>
  </si>
  <si>
    <t>3323</t>
  </si>
  <si>
    <t>3324</t>
  </si>
  <si>
    <t>Вынужденный забой</t>
  </si>
  <si>
    <t>3325</t>
  </si>
  <si>
    <t>3326</t>
  </si>
  <si>
    <t>3327</t>
  </si>
  <si>
    <t>3328</t>
  </si>
  <si>
    <t>Свинарник</t>
  </si>
  <si>
    <t>3329</t>
  </si>
  <si>
    <t>Игош</t>
  </si>
  <si>
    <t>падёж</t>
  </si>
  <si>
    <t>3330</t>
  </si>
  <si>
    <t>3331</t>
  </si>
  <si>
    <t>14.12.16.</t>
  </si>
  <si>
    <t>3332</t>
  </si>
  <si>
    <t>3333</t>
  </si>
  <si>
    <t>3334</t>
  </si>
  <si>
    <t>3335</t>
  </si>
  <si>
    <t>кровь после осем.13.12</t>
  </si>
  <si>
    <t>Кулагина</t>
  </si>
  <si>
    <t>кровь после осем.14.12</t>
  </si>
  <si>
    <t>кровь после осем.5.12.</t>
  </si>
  <si>
    <t>-</t>
  </si>
  <si>
    <t>---------</t>
  </si>
  <si>
    <t>3336</t>
  </si>
  <si>
    <t>7632</t>
  </si>
  <si>
    <t xml:space="preserve">гематома на позвоночнике </t>
  </si>
  <si>
    <t>пленка в желудке</t>
  </si>
  <si>
    <t>3337</t>
  </si>
  <si>
    <t>3338</t>
  </si>
  <si>
    <t>3339</t>
  </si>
  <si>
    <t>Фед</t>
  </si>
  <si>
    <t>3340</t>
  </si>
  <si>
    <t>3341</t>
  </si>
  <si>
    <t>3342</t>
  </si>
  <si>
    <t>3343</t>
  </si>
  <si>
    <t>кровь новотельная 36 дн</t>
  </si>
  <si>
    <t>кровь после осем. 20.12.16</t>
  </si>
  <si>
    <t>3344</t>
  </si>
  <si>
    <t>3345</t>
  </si>
  <si>
    <t>Таджибаева</t>
  </si>
  <si>
    <t>кровь(перед схемой)</t>
  </si>
  <si>
    <t>кровь (к быку)</t>
  </si>
  <si>
    <t>Данькин</t>
  </si>
  <si>
    <t>3346</t>
  </si>
  <si>
    <t>3347</t>
  </si>
  <si>
    <t>3349</t>
  </si>
  <si>
    <t>3351</t>
  </si>
  <si>
    <t>3354</t>
  </si>
  <si>
    <t>3355</t>
  </si>
  <si>
    <t>7765</t>
  </si>
  <si>
    <t>печень?</t>
  </si>
  <si>
    <t>Фауна</t>
  </si>
  <si>
    <t>3356</t>
  </si>
  <si>
    <t>3357</t>
  </si>
  <si>
    <t>3358</t>
  </si>
  <si>
    <t>3359</t>
  </si>
  <si>
    <t>3360</t>
  </si>
  <si>
    <t>3362</t>
  </si>
  <si>
    <t>3363</t>
  </si>
  <si>
    <t>3368</t>
  </si>
  <si>
    <t>3369</t>
  </si>
  <si>
    <t>3370</t>
  </si>
  <si>
    <t>3371</t>
  </si>
  <si>
    <t>3372</t>
  </si>
  <si>
    <t>Клочкова Ю.А.</t>
  </si>
  <si>
    <t>3373</t>
  </si>
  <si>
    <t>3374</t>
  </si>
  <si>
    <t>3375</t>
  </si>
  <si>
    <t>3377</t>
  </si>
  <si>
    <t>3378</t>
  </si>
  <si>
    <t>ВСЕГО БЫЛО ОСЕМЕНЕНО ПО МЕСЯЦАМ ЗА 2017 ГОД, гол.</t>
  </si>
  <si>
    <t>ФАКТИЧЕСКИЙ ОТЕЛ КОРОВ И НЕТЕЛЕЙ ПО МЕСЯЦАМ (2017 ГОД), гол.(ЖИВЫХ В СТАДЕ)</t>
  </si>
  <si>
    <t>ФАКТИЧЕСКИЙ ОТЕЛ КОРОВ И НЕТЕЛЕЙ ПО МЕСЯЦАМ (2017 ГОД), гол.(ВСЕГО)</t>
  </si>
  <si>
    <t>СТРУКТУРА СТЕЛЬНЫХ КОРОВ ПО МЕСЯЦАМ 2016 - 2017 ГОД</t>
  </si>
  <si>
    <t>ВОЗРАСТ СТАДА В ОТЕЛАХ</t>
  </si>
  <si>
    <t>3379</t>
  </si>
  <si>
    <t>3380</t>
  </si>
  <si>
    <t>3381</t>
  </si>
  <si>
    <t>3382</t>
  </si>
  <si>
    <t>3383</t>
  </si>
  <si>
    <t>3384</t>
  </si>
  <si>
    <t>вынужденный забой</t>
  </si>
  <si>
    <t>БЫК(В)</t>
  </si>
  <si>
    <t>3385</t>
  </si>
  <si>
    <t>3386</t>
  </si>
  <si>
    <t xml:space="preserve">кровь осем 13.01.17 </t>
  </si>
  <si>
    <t>3387</t>
  </si>
  <si>
    <t>3388</t>
  </si>
  <si>
    <t>3389</t>
  </si>
  <si>
    <t>3390</t>
  </si>
  <si>
    <t>9750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</si>
  <si>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</si>
  <si>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</si>
  <si>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</si>
  <si>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</si>
  <si>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</si>
  <si>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</si>
  <si>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</si>
  <si>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</si>
  <si>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</si>
  <si>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</si>
  <si>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</si>
  <si>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охота</t>
  </si>
  <si>
    <t>3402</t>
  </si>
  <si>
    <t>3403</t>
  </si>
  <si>
    <t>3404</t>
  </si>
  <si>
    <t>3376</t>
  </si>
  <si>
    <t>3364</t>
  </si>
  <si>
    <t>3405</t>
  </si>
  <si>
    <t>3406</t>
  </si>
  <si>
    <t>3407</t>
  </si>
  <si>
    <t>3408</t>
  </si>
  <si>
    <t>Параметрит</t>
  </si>
  <si>
    <t>Яловая, дней лактации увеличенное.</t>
  </si>
  <si>
    <t>Хранический мастит</t>
  </si>
  <si>
    <t>Спайки на шейке матки</t>
  </si>
  <si>
    <t>Хранический эндометрит</t>
  </si>
  <si>
    <t>Непроходимость яйцепроводов</t>
  </si>
  <si>
    <t>Атрофия обоих яичников,  2-х сосковая</t>
  </si>
  <si>
    <t>3409</t>
  </si>
  <si>
    <t>Наяда</t>
  </si>
  <si>
    <t>Воздвиженская Ю.Н.</t>
  </si>
  <si>
    <t>кол-во</t>
  </si>
  <si>
    <t>%</t>
  </si>
  <si>
    <t>ФИО Техника по ИО</t>
  </si>
  <si>
    <t>СТЕЛЬНЫХ</t>
  </si>
  <si>
    <t>ЯЛОВЫХ</t>
  </si>
  <si>
    <t>ОСЕМЕНЕНО</t>
  </si>
  <si>
    <t>СОМНИТЕЛЬНЫХ</t>
  </si>
  <si>
    <t>ВСЕГО</t>
  </si>
  <si>
    <t>ВСЕГО:</t>
  </si>
  <si>
    <t>АНАЛИЗ РАБОТЫ ТЕХНИКОВ ПО ИСКУССТЕВЕННОМУ ОСЕМЕНЕНИЮ</t>
  </si>
  <si>
    <t>В+Ф</t>
  </si>
  <si>
    <t>3410</t>
  </si>
  <si>
    <t>3411</t>
  </si>
  <si>
    <t>3412</t>
  </si>
  <si>
    <t>3413</t>
  </si>
  <si>
    <t>3414</t>
  </si>
  <si>
    <t>3415</t>
  </si>
  <si>
    <t>3416</t>
  </si>
  <si>
    <t>3417</t>
  </si>
  <si>
    <t>Хронический эндометрит</t>
  </si>
  <si>
    <t>родилка</t>
  </si>
  <si>
    <t>3418</t>
  </si>
  <si>
    <t>3419</t>
  </si>
  <si>
    <t>3420</t>
  </si>
  <si>
    <t>кровь осем. 4.02.17</t>
  </si>
  <si>
    <t xml:space="preserve">кровь  (осем 3.02.утро) </t>
  </si>
  <si>
    <t>кровь осем. 26.01.17</t>
  </si>
  <si>
    <t>Яикова</t>
  </si>
  <si>
    <t>Абсцес  вымени</t>
  </si>
  <si>
    <t>Атрофия обоих яичников</t>
  </si>
  <si>
    <t>Ацедоз</t>
  </si>
  <si>
    <t>Аборт</t>
  </si>
  <si>
    <t>кровь осем.4.02,5.02.17</t>
  </si>
  <si>
    <t>бычёк</t>
  </si>
  <si>
    <t>3421</t>
  </si>
  <si>
    <t>Яловая</t>
  </si>
  <si>
    <t>Матрешка</t>
  </si>
  <si>
    <t>К4</t>
  </si>
  <si>
    <t>3422</t>
  </si>
  <si>
    <t>3423</t>
  </si>
  <si>
    <t>3424</t>
  </si>
  <si>
    <t>3425</t>
  </si>
  <si>
    <t>3426</t>
  </si>
  <si>
    <t>3427</t>
  </si>
  <si>
    <t>3428</t>
  </si>
  <si>
    <t>АБОРТ</t>
  </si>
  <si>
    <t>3429</t>
  </si>
  <si>
    <t>3430</t>
  </si>
  <si>
    <t>3431</t>
  </si>
  <si>
    <t>кровь (осем.16.02.17)</t>
  </si>
  <si>
    <t>кровь(осем.16.02.17)</t>
  </si>
  <si>
    <t>кровь(осем.9.01.17)</t>
  </si>
  <si>
    <t>кровь (новотельная)</t>
  </si>
  <si>
    <t>кровь(осем. 2дозы 5.02.17)</t>
  </si>
  <si>
    <t>3432</t>
  </si>
  <si>
    <t>3433</t>
  </si>
  <si>
    <t>кровь(осем.18.02.17)</t>
  </si>
  <si>
    <t>3434</t>
  </si>
  <si>
    <t>3435</t>
  </si>
  <si>
    <t>2 аборта на одинаковом сроке.</t>
  </si>
  <si>
    <t>3436</t>
  </si>
  <si>
    <t>3437</t>
  </si>
  <si>
    <t>3438</t>
  </si>
  <si>
    <t>3439</t>
  </si>
  <si>
    <t>3440</t>
  </si>
  <si>
    <t>РОД. ОТДЕЛ.</t>
  </si>
  <si>
    <t>3441</t>
  </si>
  <si>
    <t>3442</t>
  </si>
  <si>
    <t>3443</t>
  </si>
  <si>
    <t>3444</t>
  </si>
  <si>
    <t>3445</t>
  </si>
  <si>
    <t>СТРУКТУРА ОСЕМЕНЕННЫХ ЖИВОТНЫХ НА СТАДЕ ООО "АГРО-НЕПТУН" НА 2017 ГОД.</t>
  </si>
  <si>
    <t>смещение сычуга</t>
  </si>
  <si>
    <t>кровь (яловая)</t>
  </si>
  <si>
    <t>кровь (ос. 01.02.17)</t>
  </si>
  <si>
    <t>кровь (ос. 19.02.17</t>
  </si>
  <si>
    <t>кровь (25.01.17)</t>
  </si>
  <si>
    <t>кровь (ос. 05.01.17)</t>
  </si>
  <si>
    <t>кровь (ос. 23.02.17)</t>
  </si>
  <si>
    <t>кровь ос.23.02.17)</t>
  </si>
  <si>
    <t>кровь (ос.  28.01.17)</t>
  </si>
  <si>
    <t>кровь(ос.20.02.17)</t>
  </si>
  <si>
    <t>кровь(ос.  25.02.17)</t>
  </si>
  <si>
    <t>3446</t>
  </si>
  <si>
    <t>3449</t>
  </si>
  <si>
    <t>3450</t>
  </si>
  <si>
    <t>3447</t>
  </si>
  <si>
    <t>3448</t>
  </si>
  <si>
    <t>3451</t>
  </si>
  <si>
    <t>3452</t>
  </si>
  <si>
    <t>3453</t>
  </si>
  <si>
    <t>3454</t>
  </si>
  <si>
    <t>Падёж. Печень, почки.</t>
  </si>
  <si>
    <t>3455</t>
  </si>
  <si>
    <t>кровь(ос.10.02.17)</t>
  </si>
  <si>
    <t>кровь(ос.02.03.17)</t>
  </si>
  <si>
    <t>кровь(ос.04.03.17)</t>
  </si>
  <si>
    <t>кровь(ос.23.02.17)</t>
  </si>
  <si>
    <t>кровь(ос.26.02.17)</t>
  </si>
  <si>
    <t>3456</t>
  </si>
  <si>
    <t>3457</t>
  </si>
  <si>
    <t>3458</t>
  </si>
  <si>
    <t>3459</t>
  </si>
  <si>
    <t>кровь(24.02.17)</t>
  </si>
  <si>
    <t>3460</t>
  </si>
  <si>
    <t>3461</t>
  </si>
  <si>
    <t>3462</t>
  </si>
  <si>
    <t>3463</t>
  </si>
  <si>
    <t>3464</t>
  </si>
  <si>
    <t>3465</t>
  </si>
  <si>
    <t>3466</t>
  </si>
  <si>
    <t>3467</t>
  </si>
  <si>
    <t>Забой Силикат</t>
  </si>
  <si>
    <t>кровь(ос.03.11.17)</t>
  </si>
  <si>
    <t>кровь(ос.09.03.11)</t>
  </si>
  <si>
    <t>3468</t>
  </si>
  <si>
    <t>3469</t>
  </si>
  <si>
    <t>3470</t>
  </si>
  <si>
    <t>3471</t>
  </si>
  <si>
    <t>2825</t>
  </si>
  <si>
    <t>кровь( ос. 02.02.17)</t>
  </si>
  <si>
    <t>кровь (ос.10.03.17)</t>
  </si>
  <si>
    <t>кровь (ос.24.11.16)</t>
  </si>
  <si>
    <t>кровь (ос. 10.10.16)</t>
  </si>
  <si>
    <t>107770</t>
  </si>
  <si>
    <t>3472</t>
  </si>
  <si>
    <t>Род. Отдел.</t>
  </si>
  <si>
    <t>Спец забой</t>
  </si>
  <si>
    <t>3473</t>
  </si>
  <si>
    <t>3474</t>
  </si>
  <si>
    <t>Деформация тонк. Отд. Кишеч. В следствии тяж. Родов.</t>
  </si>
  <si>
    <t>хроническая темпания</t>
  </si>
  <si>
    <t>жкт(анарексия)</t>
  </si>
  <si>
    <t>ПЛЕМ. ПРОДАЖА (НЕТЕЛЬ)</t>
  </si>
  <si>
    <t>3475</t>
  </si>
  <si>
    <t>кровь(отел 30.01.17)</t>
  </si>
  <si>
    <t>3476</t>
  </si>
  <si>
    <t>Увеличенное кол-во дней локтации</t>
  </si>
  <si>
    <t>3477</t>
  </si>
  <si>
    <t>3478</t>
  </si>
  <si>
    <t>3479</t>
  </si>
  <si>
    <t>КРС</t>
  </si>
  <si>
    <r>
      <rPr>
        <b/>
        <sz val="20"/>
        <rFont val="Arial"/>
        <family val="2"/>
        <charset val="204"/>
      </rPr>
      <t>Р.О.</t>
    </r>
    <r>
      <rPr>
        <b/>
        <sz val="18"/>
        <rFont val="Arial"/>
        <family val="2"/>
        <charset val="204"/>
      </rPr>
      <t xml:space="preserve"> "ДОЙНЫЕ"</t>
    </r>
  </si>
  <si>
    <t>СУХОСТОЙНЫЕ КОРОВЫ</t>
  </si>
  <si>
    <t>21 ДЕНЬ ДО ОТЕЛА</t>
  </si>
  <si>
    <t>КОРОВЫ</t>
  </si>
  <si>
    <t>НЕТЕЛЯ</t>
  </si>
  <si>
    <t>Осеменено</t>
  </si>
  <si>
    <t>ДОЙНЫЕ</t>
  </si>
  <si>
    <t>СУХОСТОЙНЫЕ</t>
  </si>
  <si>
    <t>ФУРАЖНЫЕ</t>
  </si>
  <si>
    <t>МОЛ КРС</t>
  </si>
  <si>
    <t>кровь(новотельная)</t>
  </si>
  <si>
    <t>76</t>
  </si>
  <si>
    <t>кровь ?</t>
  </si>
  <si>
    <t>КАМАЕВА А.А.</t>
  </si>
  <si>
    <t>3480</t>
  </si>
  <si>
    <t>3481</t>
  </si>
  <si>
    <t>3482</t>
  </si>
  <si>
    <t>3483</t>
  </si>
  <si>
    <t>3484</t>
  </si>
  <si>
    <t>3485</t>
  </si>
  <si>
    <t>ПОЛОВОЗРАСТНАЯ ГРУППА Ж-Х</t>
  </si>
  <si>
    <t>0 - 2 мес.</t>
  </si>
  <si>
    <t>2 - 4 мес.</t>
  </si>
  <si>
    <t>4 - 6 мес.</t>
  </si>
  <si>
    <t>6 - 12 мес.</t>
  </si>
  <si>
    <t>ВОЗРАСТ Ж-ГО_ ГОД</t>
  </si>
  <si>
    <t>ВОЗРАСТ Ж-ГО_ МЕС.</t>
  </si>
  <si>
    <t>ВОЗРАСТ Ж-ГО_ ДН.</t>
  </si>
  <si>
    <t>3486</t>
  </si>
  <si>
    <t>3487</t>
  </si>
  <si>
    <t>за кем закреплена группа ж-х</t>
  </si>
  <si>
    <t>телочка</t>
  </si>
  <si>
    <t>бычек</t>
  </si>
  <si>
    <t>3488</t>
  </si>
  <si>
    <t>3489</t>
  </si>
  <si>
    <t>3490</t>
  </si>
  <si>
    <t>НАИМЕНОВАНИЕ БАЗЫ</t>
  </si>
  <si>
    <t>Т1</t>
  </si>
  <si>
    <t>Т2</t>
  </si>
  <si>
    <t>Т3А</t>
  </si>
  <si>
    <t>Т3B</t>
  </si>
  <si>
    <t>T4A</t>
  </si>
  <si>
    <t>T4B</t>
  </si>
  <si>
    <t>T4C</t>
  </si>
  <si>
    <t>П1</t>
  </si>
  <si>
    <t>П2</t>
  </si>
  <si>
    <t>П3</t>
  </si>
  <si>
    <t>С1</t>
  </si>
  <si>
    <t>С2</t>
  </si>
  <si>
    <t>BULLS PAN_ K3K</t>
  </si>
  <si>
    <t>кровь (осем.22.03 утро)</t>
  </si>
  <si>
    <t>3491</t>
  </si>
  <si>
    <t>3492</t>
  </si>
  <si>
    <t>Выпадение матки</t>
  </si>
  <si>
    <t>Ж.К.Т.</t>
  </si>
  <si>
    <t>3493</t>
  </si>
  <si>
    <t>3494</t>
  </si>
  <si>
    <t>3495</t>
  </si>
  <si>
    <t>3496</t>
  </si>
  <si>
    <t>3497</t>
  </si>
  <si>
    <t>3498</t>
  </si>
  <si>
    <t>3499</t>
  </si>
  <si>
    <t>Лейкоз</t>
  </si>
  <si>
    <t>Вынужд. Забой</t>
  </si>
  <si>
    <t>3352</t>
  </si>
  <si>
    <t>3353</t>
  </si>
  <si>
    <t>3348</t>
  </si>
  <si>
    <t>3350</t>
  </si>
  <si>
    <t>3365</t>
  </si>
  <si>
    <t>3367</t>
  </si>
  <si>
    <t>3366</t>
  </si>
  <si>
    <t>3361</t>
  </si>
  <si>
    <t>3500</t>
  </si>
  <si>
    <t>МУНТЯН Г.И.</t>
  </si>
  <si>
    <t>Т4А</t>
  </si>
  <si>
    <t>Т4С</t>
  </si>
  <si>
    <t>Т3В</t>
  </si>
  <si>
    <t>ДЁМИН Н. А.</t>
  </si>
  <si>
    <t>12 мес. и старше(НЕ СТЕЛЬНЫЕ)</t>
  </si>
  <si>
    <t>6845</t>
  </si>
  <si>
    <t>3501</t>
  </si>
  <si>
    <t>3502</t>
  </si>
  <si>
    <t>3503</t>
  </si>
  <si>
    <t>3504</t>
  </si>
  <si>
    <t>3505</t>
  </si>
  <si>
    <t>3506</t>
  </si>
  <si>
    <t>3507</t>
  </si>
  <si>
    <t>3508</t>
  </si>
  <si>
    <t>ДЁМИН Н.А.</t>
  </si>
  <si>
    <t>ДЁМИНА Н.А.</t>
  </si>
  <si>
    <t>СВИНАРНИК:       ДЁМИН Н. А.</t>
  </si>
  <si>
    <t>3509</t>
  </si>
  <si>
    <t>К3К</t>
  </si>
  <si>
    <t>3510</t>
  </si>
  <si>
    <t>3511</t>
  </si>
  <si>
    <t>кровь+слизь</t>
  </si>
  <si>
    <t>кровь небольшое кол-во</t>
  </si>
  <si>
    <t>слизь+кровь</t>
  </si>
  <si>
    <t>кровь ( со слов скотн)</t>
  </si>
  <si>
    <t>3512</t>
  </si>
  <si>
    <t>3513</t>
  </si>
  <si>
    <t>1275</t>
  </si>
  <si>
    <t>кровь??</t>
  </si>
  <si>
    <t>кровь(в браке)</t>
  </si>
  <si>
    <t>кровь(осем.30.03.17)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</si>
  <si>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</si>
  <si>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</si>
  <si>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</si>
  <si>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</si>
  <si>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</si>
  <si>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</si>
  <si>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</si>
  <si>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</si>
  <si>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</si>
  <si>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</si>
  <si>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</si>
  <si>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кровь(осем.утром)</t>
  </si>
  <si>
    <t>3525</t>
  </si>
  <si>
    <t>3526</t>
  </si>
  <si>
    <t>3527</t>
  </si>
  <si>
    <t>ЗАБОЙ НА ЯРМАРКУ</t>
  </si>
  <si>
    <t>3528</t>
  </si>
  <si>
    <t>Хронический серозный мастит.</t>
  </si>
  <si>
    <t>РИД</t>
  </si>
  <si>
    <t>Яловая  дней лактации увеличенное</t>
  </si>
  <si>
    <t>Яловая дней лактации увеличенное</t>
  </si>
  <si>
    <t>Яловая аглактия</t>
  </si>
  <si>
    <t>3529</t>
  </si>
  <si>
    <t>3530</t>
  </si>
  <si>
    <t>3531</t>
  </si>
  <si>
    <t>3532</t>
  </si>
  <si>
    <t>3533</t>
  </si>
  <si>
    <t>3534</t>
  </si>
  <si>
    <t>кровь (осем.18.03)</t>
  </si>
  <si>
    <t>кровь (осем.23.03)</t>
  </si>
  <si>
    <t>3535</t>
  </si>
  <si>
    <t>3536</t>
  </si>
  <si>
    <t>3537</t>
  </si>
  <si>
    <t>3538</t>
  </si>
  <si>
    <t>Сулейманова</t>
  </si>
  <si>
    <t>3539</t>
  </si>
  <si>
    <t>БРАК 15.04.17</t>
  </si>
  <si>
    <t>кровь+слизь(осем.16.04.17)</t>
  </si>
  <si>
    <t>Лейкоз  ГЕМ.</t>
  </si>
  <si>
    <t>БРАК 18.04.17</t>
  </si>
  <si>
    <t>кровь (осем.17.04.17)</t>
  </si>
  <si>
    <t>кровь (осем.28.03.17)</t>
  </si>
  <si>
    <t>3540</t>
  </si>
  <si>
    <t>3541</t>
  </si>
  <si>
    <t>Сулейманова И.Л.</t>
  </si>
  <si>
    <t>3542</t>
  </si>
  <si>
    <t>Дней лактации на момент выбытия</t>
  </si>
  <si>
    <t xml:space="preserve">                     ПРИЧИНЫ ВЫБЫТИЯ</t>
  </si>
  <si>
    <t>3543</t>
  </si>
  <si>
    <t>7703</t>
  </si>
  <si>
    <t>9783</t>
  </si>
  <si>
    <t>БРАК 25.03.17</t>
  </si>
  <si>
    <t>БРАК 19.04.17</t>
  </si>
  <si>
    <t>21.04.17г</t>
  </si>
  <si>
    <t>Лейкоз ГЕМ</t>
  </si>
  <si>
    <t>завал книжки, вынужденный забой . 5:00 утра</t>
  </si>
  <si>
    <t>4939</t>
  </si>
  <si>
    <t>3544</t>
  </si>
  <si>
    <t>3545</t>
  </si>
  <si>
    <t>3546</t>
  </si>
  <si>
    <t>3547</t>
  </si>
  <si>
    <t>3548</t>
  </si>
  <si>
    <t>3549</t>
  </si>
  <si>
    <t>БЫК(К)</t>
  </si>
  <si>
    <t>3550</t>
  </si>
  <si>
    <t>3551</t>
  </si>
  <si>
    <t>3552</t>
  </si>
  <si>
    <t>3553</t>
  </si>
  <si>
    <t>3554</t>
  </si>
  <si>
    <t>Сдана(аборт)</t>
  </si>
  <si>
    <t>Туберкулёз</t>
  </si>
  <si>
    <t>жкт</t>
  </si>
  <si>
    <t>3555</t>
  </si>
  <si>
    <t>3556</t>
  </si>
  <si>
    <t>3557</t>
  </si>
  <si>
    <t>3558</t>
  </si>
  <si>
    <t>3559</t>
  </si>
  <si>
    <t>3560</t>
  </si>
  <si>
    <t>Пневмония</t>
  </si>
  <si>
    <t>3561</t>
  </si>
  <si>
    <t>3562</t>
  </si>
  <si>
    <t>3563</t>
  </si>
  <si>
    <t>ПЦР</t>
  </si>
  <si>
    <t>3564</t>
  </si>
  <si>
    <t>3565</t>
  </si>
  <si>
    <t>кровь(ос.17.04.17)</t>
  </si>
  <si>
    <t>кровь(ос.04.05.17)</t>
  </si>
  <si>
    <t>3566</t>
  </si>
  <si>
    <t>3567</t>
  </si>
  <si>
    <t>3568</t>
  </si>
  <si>
    <t>3569</t>
  </si>
  <si>
    <t>3570</t>
  </si>
  <si>
    <t>3571</t>
  </si>
  <si>
    <t>3572</t>
  </si>
  <si>
    <t>12 мес. и старше(ОСЕМЕНЕННЫЕ)</t>
  </si>
  <si>
    <t>13 мес. и старше(СОМНИТЕЛЬНЫЕ)</t>
  </si>
  <si>
    <t>ОБЩЕЕ ПОГОЛОВЬЕ ООО "АГРО-НЕПТУН"</t>
  </si>
  <si>
    <t>3573</t>
  </si>
  <si>
    <t>3574</t>
  </si>
  <si>
    <t>3575</t>
  </si>
  <si>
    <t>3576</t>
  </si>
  <si>
    <t>3577</t>
  </si>
  <si>
    <t>3578</t>
  </si>
  <si>
    <t>Пиелонифрит, цистит</t>
  </si>
  <si>
    <t>абсцесс левых долей вымени</t>
  </si>
  <si>
    <t>3579</t>
  </si>
  <si>
    <t>3580</t>
  </si>
  <si>
    <t>3581</t>
  </si>
  <si>
    <t>3582</t>
  </si>
  <si>
    <t>3583</t>
  </si>
  <si>
    <t>кровь на хвосте</t>
  </si>
  <si>
    <t>3584</t>
  </si>
  <si>
    <t>3585</t>
  </si>
  <si>
    <t>3586</t>
  </si>
  <si>
    <t>3587</t>
  </si>
  <si>
    <t>кровь (ос.13.05.17)</t>
  </si>
  <si>
    <t>слизь с кровью</t>
  </si>
  <si>
    <t>3588</t>
  </si>
  <si>
    <t>3589</t>
  </si>
  <si>
    <t>3590</t>
  </si>
  <si>
    <t>3591</t>
  </si>
  <si>
    <t>3592</t>
  </si>
  <si>
    <t>3593</t>
  </si>
  <si>
    <t>3594</t>
  </si>
  <si>
    <t>3595</t>
  </si>
  <si>
    <t>2770</t>
  </si>
  <si>
    <t>Т2ОТКОРМ (Т2О)</t>
  </si>
  <si>
    <t>Т2О</t>
  </si>
  <si>
    <t>3596</t>
  </si>
  <si>
    <t>Родильный парез.</t>
  </si>
  <si>
    <t>3597</t>
  </si>
  <si>
    <t>3598</t>
  </si>
  <si>
    <t>кровь (осем утро 19.05.17)</t>
  </si>
  <si>
    <t>Данькина</t>
  </si>
  <si>
    <t>Пала,замерший плод</t>
  </si>
  <si>
    <t>Выбраковка</t>
  </si>
  <si>
    <t>3599</t>
  </si>
  <si>
    <t>3600</t>
  </si>
  <si>
    <t>3601</t>
  </si>
  <si>
    <t>3602</t>
  </si>
  <si>
    <t>кровь(ос. 22.05.17)</t>
  </si>
  <si>
    <t>кровь(ос.18.05.17)</t>
  </si>
  <si>
    <t>кровь(ос.26.04.17)</t>
  </si>
  <si>
    <t>ДАТА ВАКЦИНАЦИИ</t>
  </si>
  <si>
    <t>ДНЕЙ ПОСЛЕ ВАКЦИНАЦИИ</t>
  </si>
  <si>
    <t>3603</t>
  </si>
  <si>
    <t>3604</t>
  </si>
  <si>
    <t>ПАЛА</t>
  </si>
  <si>
    <t>3605</t>
  </si>
  <si>
    <t>ПЕРЕВОД КОРОВ в группу Низкопит. рациона</t>
  </si>
  <si>
    <t>ДОЗА, МЛ</t>
  </si>
  <si>
    <t>ВНИМАНИЕ!!! НЕОБХОДИМА ВАКЦИНАЦИЯ ТЕЛЁНКА</t>
  </si>
  <si>
    <t>НА КАКОЙ ДЕНЬ ЖИЗНИ ПРОВАКЦИНИРОВАНО Ж-Е</t>
  </si>
  <si>
    <t>ВНИМАНИЕ!!! НЕОБХОДИМА ВАКЦИНАЦИЯ стельной коровы/нетели</t>
  </si>
  <si>
    <t>ДАТА ВАКЦИНАЦИИ, ФАКТ</t>
  </si>
  <si>
    <t>ДОЗА, МЛ.</t>
  </si>
  <si>
    <t>НА КАКОЙ ДЕНЬ ОТ ПЛОД. ОСЕМ. ПРОВАКЦ.</t>
  </si>
  <si>
    <t>ВНИМАНИЕ!!! НЕОБХОДИМА БУСТЕРНАЯ ДОЗА ВАКЦИНЫ</t>
  </si>
  <si>
    <t>ВНИМАНИЕ!!! НЕОБХОДИМА РЕВАКЦИНАЦИЯ стельной коровы/нетели</t>
  </si>
  <si>
    <t>ИНФОРС-3 (ДОЗА 2 МЛ ИНТРАНОЗАЛЬНО)</t>
  </si>
  <si>
    <t>ДАТА ВАКЦИНАЦИИ, ПЛАН</t>
  </si>
  <si>
    <t>РАЗНИЦА ПЛАНА С ФАКТОМ В ДНЯХ</t>
  </si>
  <si>
    <t>УСПЕШНОСТЬ ВАЦИНАЦИИ</t>
  </si>
  <si>
    <t>кровь(осем 25.05)</t>
  </si>
  <si>
    <t>реакция на tbc</t>
  </si>
  <si>
    <t>некроз копыт/травма ребра/</t>
  </si>
  <si>
    <t>некроз копыт/не вставала в новой родилке/</t>
  </si>
  <si>
    <t>р-т пред-щей контр. Дойки</t>
  </si>
  <si>
    <t>УТРО</t>
  </si>
  <si>
    <t>ВЕЧЕР</t>
  </si>
  <si>
    <t>ИТОГО</t>
  </si>
  <si>
    <t>разница с предыдущей</t>
  </si>
  <si>
    <t>КОНТРОЛЬНАЯ ДОЙКА</t>
  </si>
  <si>
    <t>ЖИР</t>
  </si>
  <si>
    <t>БЕЛОК</t>
  </si>
  <si>
    <t>СОМАТИКА</t>
  </si>
  <si>
    <t>КОНТРОЛЬНАЯ ДОЙКА ООО "АГРО-НЕПТУН"</t>
  </si>
  <si>
    <t>3606</t>
  </si>
  <si>
    <t>3607</t>
  </si>
  <si>
    <t>3608</t>
  </si>
  <si>
    <t>3609</t>
  </si>
  <si>
    <t>3612</t>
  </si>
  <si>
    <t>3611</t>
  </si>
  <si>
    <t>3610</t>
  </si>
  <si>
    <t>Вольва</t>
  </si>
  <si>
    <t>Кедровка</t>
  </si>
  <si>
    <t>Плутовка</t>
  </si>
  <si>
    <t>Акула</t>
  </si>
  <si>
    <t>Держава</t>
  </si>
  <si>
    <t>Худышка</t>
  </si>
  <si>
    <t>Сливовая</t>
  </si>
  <si>
    <t>Акация</t>
  </si>
  <si>
    <t>Грация</t>
  </si>
  <si>
    <t>Плюшка</t>
  </si>
  <si>
    <t>Абрикоска</t>
  </si>
  <si>
    <t>Фантазия</t>
  </si>
  <si>
    <t>Зелёнка</t>
  </si>
  <si>
    <t>Могучая</t>
  </si>
  <si>
    <t>Лапчатка</t>
  </si>
  <si>
    <t>Рация</t>
  </si>
  <si>
    <t>Шкатулка</t>
  </si>
  <si>
    <t>Нагайка</t>
  </si>
  <si>
    <t>Европа</t>
  </si>
  <si>
    <t>Гренада</t>
  </si>
  <si>
    <t>Зимушка</t>
  </si>
  <si>
    <t>Севрюга</t>
  </si>
  <si>
    <t>Розочка</t>
  </si>
  <si>
    <t>Мочалка</t>
  </si>
  <si>
    <t>Фреска</t>
  </si>
  <si>
    <t>8,,4</t>
  </si>
  <si>
    <t>14,,8</t>
  </si>
  <si>
    <t>14,,2</t>
  </si>
  <si>
    <t>14,,7</t>
  </si>
  <si>
    <t>3613</t>
  </si>
  <si>
    <t>3614</t>
  </si>
  <si>
    <t>3615</t>
  </si>
  <si>
    <t>ВНИМАНИЕ!!! НЕОБХОДИМА ВАКЦИНАЦИЯ</t>
  </si>
  <si>
    <t>ВНИМАНИЕ!!! НЕОБХОДИМА РЕВАКЦИНАЦИЯ</t>
  </si>
  <si>
    <t>0-10 л.</t>
  </si>
  <si>
    <t>20 - 30 л.</t>
  </si>
  <si>
    <t>10 - 20 л.</t>
  </si>
  <si>
    <t>30 - 40 л.</t>
  </si>
  <si>
    <t>40 - 50 л.</t>
  </si>
  <si>
    <t>50 л и выше</t>
  </si>
  <si>
    <t xml:space="preserve">КЭТЛ МАСТЕР ГОЛД FP5 </t>
  </si>
  <si>
    <t>(ДОЗА 5 МЛ ПОДКОЖНО В ШЕЮ)</t>
  </si>
  <si>
    <t>СКОУГАРД 4КС</t>
  </si>
  <si>
    <t>(ДОЗА 2 МЛ ВНУТРИМЫШЕЧНО В ШЕЮ)</t>
  </si>
  <si>
    <t>МОЛОКО по последней КД</t>
  </si>
  <si>
    <t>кровь(осем. 31.05.17)</t>
  </si>
  <si>
    <t>10001</t>
  </si>
  <si>
    <t>10002</t>
  </si>
  <si>
    <t>10003</t>
  </si>
  <si>
    <t>молоко посл. К.Д.</t>
  </si>
  <si>
    <t>3616</t>
  </si>
  <si>
    <t>10004</t>
  </si>
  <si>
    <t>НИЖНИЙ ОТГОН</t>
  </si>
  <si>
    <t>ВЕРХНИЙ ОТГОН</t>
  </si>
  <si>
    <t>10005</t>
  </si>
  <si>
    <t>10006</t>
  </si>
  <si>
    <t>3617</t>
  </si>
  <si>
    <t>10007</t>
  </si>
  <si>
    <t>3618</t>
  </si>
  <si>
    <t>3619</t>
  </si>
  <si>
    <t>3620</t>
  </si>
  <si>
    <t>10008</t>
  </si>
  <si>
    <t>3622</t>
  </si>
  <si>
    <t>3621</t>
  </si>
  <si>
    <t>РЯД №2</t>
  </si>
  <si>
    <t>РЯД №1</t>
  </si>
  <si>
    <t>РЯД №4</t>
  </si>
  <si>
    <t>ЛЛ</t>
  </si>
  <si>
    <t>10009</t>
  </si>
  <si>
    <t>10010</t>
  </si>
  <si>
    <t>3623</t>
  </si>
  <si>
    <t>10011</t>
  </si>
  <si>
    <t>3624</t>
  </si>
  <si>
    <t>3625</t>
  </si>
  <si>
    <t>10012</t>
  </si>
  <si>
    <t>10013</t>
  </si>
  <si>
    <t>10014</t>
  </si>
  <si>
    <t>3626</t>
  </si>
  <si>
    <t>10015</t>
  </si>
  <si>
    <t>ВНИМАНИЕ!!! ПОДТВЕРЖДЕНИЕ СТЕЛЬНОСТИ!!!</t>
  </si>
  <si>
    <t>ОСТАЛОСЬ ДО РИ_2, дн.</t>
  </si>
  <si>
    <t>Дата РИ ФАКТ</t>
  </si>
  <si>
    <t>БРАК 23.6.17</t>
  </si>
  <si>
    <t>3627</t>
  </si>
  <si>
    <t>10016</t>
  </si>
  <si>
    <t>кровь (осем.21.06)</t>
  </si>
  <si>
    <t>10017</t>
  </si>
  <si>
    <t>10018</t>
  </si>
  <si>
    <t>мясо/не вакц.</t>
  </si>
  <si>
    <t>3628</t>
  </si>
  <si>
    <t>10019</t>
  </si>
  <si>
    <t>ОБЕД</t>
  </si>
  <si>
    <t>10020</t>
  </si>
  <si>
    <t>3629</t>
  </si>
  <si>
    <t>Забой на мясо</t>
  </si>
  <si>
    <t>на мясо/не вакц.</t>
  </si>
  <si>
    <t>3630</t>
  </si>
  <si>
    <t>10021</t>
  </si>
  <si>
    <t>Л</t>
  </si>
  <si>
    <t>Р3</t>
  </si>
  <si>
    <t>Р4</t>
  </si>
  <si>
    <t>Р1</t>
  </si>
  <si>
    <t>8.,5</t>
  </si>
  <si>
    <t>Р2</t>
  </si>
  <si>
    <t>3631</t>
  </si>
  <si>
    <t>10022</t>
  </si>
  <si>
    <t>10023</t>
  </si>
  <si>
    <t>10024</t>
  </si>
  <si>
    <t>10025</t>
  </si>
  <si>
    <t>3632</t>
  </si>
  <si>
    <t>3633</t>
  </si>
  <si>
    <t>7046</t>
  </si>
  <si>
    <t>10026</t>
  </si>
  <si>
    <t>3634</t>
  </si>
  <si>
    <t>3635</t>
  </si>
  <si>
    <t>3636</t>
  </si>
  <si>
    <t>3637</t>
  </si>
  <si>
    <t>2РЯДНЫЙ</t>
  </si>
  <si>
    <t>3638</t>
  </si>
  <si>
    <t>СУЛЕЙМАНОВА И.</t>
  </si>
  <si>
    <t>10027</t>
  </si>
  <si>
    <t>БРАК1.7.17</t>
  </si>
  <si>
    <t>3639</t>
  </si>
  <si>
    <t>3640</t>
  </si>
  <si>
    <t>3641</t>
  </si>
  <si>
    <t>3642</t>
  </si>
  <si>
    <t>INDEX ОСЕМЕНЕНИЯ ПО КОРОВАМ</t>
  </si>
  <si>
    <t>INDEX ОСЕМЕНЕНИЯ ПО ТЕЛКАМ</t>
  </si>
  <si>
    <r>
      <t xml:space="preserve">КОЛ-ВО СТЕЛЬНЫХ </t>
    </r>
    <r>
      <rPr>
        <b/>
        <sz val="12"/>
        <color theme="9" tint="0.79998168889431442"/>
        <rFont val="Arial"/>
        <family val="2"/>
        <charset val="204"/>
      </rPr>
      <t>КОРОВ</t>
    </r>
    <r>
      <rPr>
        <b/>
        <sz val="8"/>
        <color theme="9" tint="0.79998168889431442"/>
        <rFont val="Arial"/>
        <family val="2"/>
        <charset val="204"/>
      </rPr>
      <t xml:space="preserve"> ИЗ ОСЕМЕНЕННЫХ ЗА МЕСЯЦ 2017 ГОДА</t>
    </r>
  </si>
  <si>
    <r>
      <t xml:space="preserve">КОЛ-ВО СТЕЛЬНЫХ </t>
    </r>
    <r>
      <rPr>
        <b/>
        <sz val="12"/>
        <color theme="9" tint="0.79998168889431442"/>
        <rFont val="Arial"/>
        <family val="2"/>
        <charset val="204"/>
      </rPr>
      <t>НЕТЕЛЕЙ</t>
    </r>
    <r>
      <rPr>
        <b/>
        <sz val="8"/>
        <color theme="9" tint="0.79998168889431442"/>
        <rFont val="Arial"/>
        <family val="2"/>
        <charset val="204"/>
      </rPr>
      <t xml:space="preserve"> ИЗ ОСЕМЕНЕННЫХ ЗА МЕСЯЦ 2017 ГОДА</t>
    </r>
  </si>
  <si>
    <t>3643</t>
  </si>
  <si>
    <t>КОЛИЧЕСТВО СТЕЛЬНЫХ ТЕЛОК</t>
  </si>
  <si>
    <t>10028</t>
  </si>
  <si>
    <t>10029</t>
  </si>
  <si>
    <t>кровь(осем 6.07)</t>
  </si>
  <si>
    <t>3644</t>
  </si>
  <si>
    <t>3645</t>
  </si>
  <si>
    <t>3646</t>
  </si>
  <si>
    <t>3647</t>
  </si>
  <si>
    <t>ТО</t>
  </si>
  <si>
    <t>D1</t>
  </si>
  <si>
    <t>10030</t>
  </si>
  <si>
    <t>3648</t>
  </si>
  <si>
    <t>НИЖНИЙ КОР.</t>
  </si>
  <si>
    <t>3649</t>
  </si>
  <si>
    <t>10031</t>
  </si>
  <si>
    <t>3650</t>
  </si>
  <si>
    <t>10032</t>
  </si>
  <si>
    <t>3651</t>
  </si>
  <si>
    <t>БРАК 16.07.17</t>
  </si>
  <si>
    <t>81</t>
  </si>
  <si>
    <t>3652</t>
  </si>
  <si>
    <t>3653</t>
  </si>
  <si>
    <t>10033</t>
  </si>
  <si>
    <t>3654</t>
  </si>
  <si>
    <t>падеж</t>
  </si>
  <si>
    <t>некроз копытцевого рога обоих задних конечностей</t>
  </si>
  <si>
    <t xml:space="preserve">хрон. Мастит </t>
  </si>
  <si>
    <t>Малышка</t>
  </si>
  <si>
    <t>Лапка</t>
  </si>
  <si>
    <t>Ежевика</t>
  </si>
  <si>
    <t>Горлица</t>
  </si>
  <si>
    <t>Кукла</t>
  </si>
  <si>
    <t>Мирта</t>
  </si>
  <si>
    <t>7427</t>
  </si>
  <si>
    <t>3655</t>
  </si>
  <si>
    <t>10034</t>
  </si>
  <si>
    <t>10035</t>
  </si>
  <si>
    <t>8824</t>
  </si>
  <si>
    <t>5584</t>
  </si>
  <si>
    <t>3656</t>
  </si>
  <si>
    <t>ПЛАН ФАКТИЧЕСКОГО ОЖИДАЕМОГО ОТЕЛА КОРОВ И НЕТЕЛЕЙ НА 2017-2018 ГОД, гол.</t>
  </si>
  <si>
    <t>ПЛАН ФАКТИЧЕСКОГО ОЖИДАЕМОГО ОТЕЛА НЕТЕЛЕЙ НА 2017-2018 ГОД, гол.</t>
  </si>
  <si>
    <t>10036</t>
  </si>
  <si>
    <t>3657</t>
  </si>
  <si>
    <t>3658</t>
  </si>
  <si>
    <t>3659</t>
  </si>
  <si>
    <t>СТЕЛЬНЫХ, гол.</t>
  </si>
  <si>
    <t>в статусе осемененные, гол.</t>
  </si>
  <si>
    <t>отклонение от плана</t>
  </si>
  <si>
    <t>ИНДЕКС ОСЕМЕНЕНИЯ ПО КОРОВАМ</t>
  </si>
  <si>
    <t>ИНДЕКС ОСЕМЕНЕНИЯ ПО ТЕЛКАМ</t>
  </si>
  <si>
    <t>СВОДНАЯ ТАБЛИЦА ОСЕМЕНЕНИЯ ТЕЛОК  ООО "АГРО-НЕПТУН"</t>
  </si>
  <si>
    <t>СВОДНАЯ ТАБЛИЦА ОСЕМЕНЕНИЯ КОРОВ  ООО "АГРО-НЕПТУН"</t>
  </si>
  <si>
    <t>ЗАБОЙ НА МЯСО</t>
  </si>
  <si>
    <t>ОСЕМЕНЕННЫХ</t>
  </si>
  <si>
    <t>НОВОТЕЛЬНЫХ</t>
  </si>
  <si>
    <t>ГОДНЫЕ К ВОСПРОИЗВОДСТВУ</t>
  </si>
  <si>
    <t>ВЫБРАКОВАНО</t>
  </si>
  <si>
    <t>ВСЕГО В БРАКЕ</t>
  </si>
  <si>
    <t>В ВЫБРАКОВКЕ</t>
  </si>
  <si>
    <t>НОВОТЕЛЬНЫЕ ДО 65 дн. ПОСЛЕ ОТЕЛА</t>
  </si>
  <si>
    <t>ЯНВАРЬ_2017</t>
  </si>
  <si>
    <t>ЯНВАРЬ_2018</t>
  </si>
  <si>
    <t>ФЕВРАЛЬ_2017</t>
  </si>
  <si>
    <t>МАРТ_2017</t>
  </si>
  <si>
    <t>АПРЕЛЬ_2017</t>
  </si>
  <si>
    <t>МАЙ_2017</t>
  </si>
  <si>
    <t>ИЮНЬ_2017</t>
  </si>
  <si>
    <t>ИЮЛЬ_2017</t>
  </si>
  <si>
    <t>АВГУСТ_2017</t>
  </si>
  <si>
    <t>СЕНТЯБРЬ_2017</t>
  </si>
  <si>
    <t>ОКТЯБРЬ_2017</t>
  </si>
  <si>
    <t>НОЯБРЬ_2017</t>
  </si>
  <si>
    <t>ДЕКАБРЬ_2017</t>
  </si>
  <si>
    <t>ФЕВРАЛЬ_2018</t>
  </si>
  <si>
    <t>МАРТ_2018</t>
  </si>
  <si>
    <t>АПРЕЛЬ_2018</t>
  </si>
  <si>
    <t>МАЙ_2018</t>
  </si>
  <si>
    <t>ИЮНЬ_2018</t>
  </si>
  <si>
    <t>ИЮЛЬ_2018</t>
  </si>
  <si>
    <t>АВГУСТ_2018</t>
  </si>
  <si>
    <t>СЕНТЯБРЬ_2018</t>
  </si>
  <si>
    <t>ОКТЯБРЬ_2018</t>
  </si>
  <si>
    <t>НОЯБРЬ_2018</t>
  </si>
  <si>
    <t>ДЕКАБРЬ_2018</t>
  </si>
  <si>
    <t>ОЖИДАЕМЫЙ ОТЕЛ КОРОВ И НЕТЕЛЕЙ ООО "АГРО-НЕПТУН"</t>
  </si>
  <si>
    <t>10037</t>
  </si>
  <si>
    <t>3660</t>
  </si>
  <si>
    <t>СТЕЛЬНЫХ ВСЕГО С СУХОСТОЕМ</t>
  </si>
  <si>
    <t>Кор. № 1</t>
  </si>
  <si>
    <t>10038</t>
  </si>
  <si>
    <t>7269</t>
  </si>
  <si>
    <t>МА_30.07.17</t>
  </si>
  <si>
    <t>10039</t>
  </si>
  <si>
    <t>ПОСЛ. СХ. МА_28.07.17</t>
  </si>
  <si>
    <t>ПОСЛЕ СХ. МА29.7.17</t>
  </si>
  <si>
    <t>10040</t>
  </si>
  <si>
    <t>ЗАБОЙ ВНУТРИ ХОЗ.</t>
  </si>
  <si>
    <t>3661</t>
  </si>
  <si>
    <t>10041</t>
  </si>
  <si>
    <t>10042</t>
  </si>
  <si>
    <t>10043</t>
  </si>
  <si>
    <t>острый сероз. Мастит</t>
  </si>
  <si>
    <t>артроз пер. колен. Сустава</t>
  </si>
  <si>
    <t>10044</t>
  </si>
  <si>
    <t>10045</t>
  </si>
  <si>
    <t>МОЛ БРАК28.7.17</t>
  </si>
  <si>
    <t>10046</t>
  </si>
  <si>
    <t>10047</t>
  </si>
  <si>
    <t>перитонит в следствии выпадения матки</t>
  </si>
  <si>
    <r>
      <t>ГОДНЫЕ К ВОСПРОИЗВОДСТВУ</t>
    </r>
    <r>
      <rPr>
        <b/>
        <sz val="10"/>
        <rFont val="Arial"/>
        <family val="2"/>
        <charset val="204"/>
      </rPr>
      <t>+</t>
    </r>
    <r>
      <rPr>
        <b/>
        <sz val="6"/>
        <rFont val="Arial"/>
        <family val="2"/>
        <charset val="204"/>
      </rPr>
      <t>не осем. До 120 дн.</t>
    </r>
  </si>
  <si>
    <r>
      <t xml:space="preserve">ВСЕГО БЫЛО ОСЕМЕНЕНО ПО МЕСЯЦАМ ЗА 2017 ГОД, гол. </t>
    </r>
    <r>
      <rPr>
        <b/>
        <sz val="10"/>
        <rFont val="Arial"/>
        <family val="2"/>
        <charset val="204"/>
      </rPr>
      <t>ФАКТ</t>
    </r>
  </si>
  <si>
    <r>
      <rPr>
        <b/>
        <sz val="10"/>
        <rFont val="Arial"/>
        <family val="2"/>
        <charset val="204"/>
      </rPr>
      <t>ПЛАН</t>
    </r>
    <r>
      <rPr>
        <b/>
        <sz val="6"/>
        <rFont val="Arial"/>
        <family val="2"/>
        <charset val="204"/>
      </rPr>
      <t xml:space="preserve"> ОСЕМЕНЕНИЯ ЗА МЕСЯЦ, гол.</t>
    </r>
  </si>
  <si>
    <t>кровь(была ст)</t>
  </si>
  <si>
    <t>кровь(осем.1.08)</t>
  </si>
  <si>
    <t>кровь(осем.3.08)</t>
  </si>
  <si>
    <t>10048</t>
  </si>
  <si>
    <t>3662</t>
  </si>
  <si>
    <t>10049</t>
  </si>
  <si>
    <t>3663</t>
  </si>
  <si>
    <t>3664</t>
  </si>
  <si>
    <t>3665</t>
  </si>
  <si>
    <t>10050</t>
  </si>
  <si>
    <t>3666</t>
  </si>
  <si>
    <t>10051</t>
  </si>
  <si>
    <t>3667</t>
  </si>
  <si>
    <t>10052</t>
  </si>
  <si>
    <t>10053</t>
  </si>
  <si>
    <t>10054</t>
  </si>
  <si>
    <t>10055</t>
  </si>
  <si>
    <t>3668</t>
  </si>
  <si>
    <t>кровь(осем.10.08)</t>
  </si>
  <si>
    <t>аборт11.08.2017</t>
  </si>
  <si>
    <t>3669</t>
  </si>
  <si>
    <t>10056</t>
  </si>
  <si>
    <t>3670</t>
  </si>
  <si>
    <t>3671</t>
  </si>
  <si>
    <t>3672</t>
  </si>
  <si>
    <t>10057</t>
  </si>
  <si>
    <t>3673</t>
  </si>
  <si>
    <t>Флегмона венчика левой задней конечности</t>
  </si>
  <si>
    <t>цистит</t>
  </si>
  <si>
    <t>ламинит</t>
  </si>
  <si>
    <t>10058</t>
  </si>
  <si>
    <t>10059</t>
  </si>
  <si>
    <t>10060</t>
  </si>
  <si>
    <t xml:space="preserve">  </t>
  </si>
  <si>
    <t>10061</t>
  </si>
  <si>
    <t>10062</t>
  </si>
  <si>
    <t>ВЕРХНИЙ КОР.</t>
  </si>
  <si>
    <t>КОРОВНИК №2</t>
  </si>
  <si>
    <t>кровь и слизь</t>
  </si>
  <si>
    <t>3674</t>
  </si>
  <si>
    <t>10063</t>
  </si>
  <si>
    <t>3675</t>
  </si>
  <si>
    <t>ПАДЕЖ ПОСЛЕ ВАКЦИНАЦИИ</t>
  </si>
  <si>
    <t>Агалактия</t>
  </si>
  <si>
    <t>10064</t>
  </si>
  <si>
    <t>3676</t>
  </si>
  <si>
    <t>10065</t>
  </si>
  <si>
    <t>3677</t>
  </si>
  <si>
    <t>10066</t>
  </si>
  <si>
    <t>3678</t>
  </si>
  <si>
    <t>БРАК_25.08.17</t>
  </si>
  <si>
    <t>БРАК_11.08.17</t>
  </si>
  <si>
    <t>БРАК_03.08.17</t>
  </si>
  <si>
    <t>кровь(ос.24.08)</t>
  </si>
  <si>
    <t>3679</t>
  </si>
  <si>
    <t>3680</t>
  </si>
  <si>
    <t>3681</t>
  </si>
  <si>
    <t>3682</t>
  </si>
  <si>
    <t>3683</t>
  </si>
  <si>
    <t>3684</t>
  </si>
  <si>
    <t>остеомаляция</t>
  </si>
  <si>
    <t>28-29 августа 2017 года</t>
  </si>
  <si>
    <t>дата вакцинации ФАКТ</t>
  </si>
  <si>
    <t>доза, мл</t>
  </si>
  <si>
    <t>дней после вакцинации</t>
  </si>
  <si>
    <t>в каком возрасте привито животное, мес.</t>
  </si>
  <si>
    <t>БЕШЕНСТВО</t>
  </si>
  <si>
    <t>ПАДЕЖ</t>
  </si>
  <si>
    <t>19.08ю17</t>
  </si>
  <si>
    <t>10067</t>
  </si>
  <si>
    <t>3685</t>
  </si>
  <si>
    <t>3686</t>
  </si>
  <si>
    <t>3687</t>
  </si>
  <si>
    <t>10068</t>
  </si>
  <si>
    <t>10069</t>
  </si>
  <si>
    <t>??? кровь(стельная)</t>
  </si>
  <si>
    <t>кровь(ос.31.08)</t>
  </si>
  <si>
    <t>правостороннее смещение сычуга</t>
  </si>
  <si>
    <t>перелом последнего ребра на левой стороне/некроз копытного рога задних конечностей</t>
  </si>
  <si>
    <t>3688</t>
  </si>
  <si>
    <t>3689</t>
  </si>
  <si>
    <t>3690</t>
  </si>
  <si>
    <t>3691</t>
  </si>
  <si>
    <t>3692</t>
  </si>
  <si>
    <t>10070</t>
  </si>
  <si>
    <t>19970</t>
  </si>
  <si>
    <t>БРАК08.09.17</t>
  </si>
  <si>
    <t>10071</t>
  </si>
  <si>
    <t>отравление</t>
  </si>
  <si>
    <t>3693</t>
  </si>
  <si>
    <t>агалактия</t>
  </si>
  <si>
    <t>флегмона</t>
  </si>
  <si>
    <t>гинекология</t>
  </si>
  <si>
    <t>парез задних конечностей</t>
  </si>
  <si>
    <t>кровь(ос.8.09)</t>
  </si>
  <si>
    <t>МОЛ_БРАК 10.9.17</t>
  </si>
  <si>
    <t>3694</t>
  </si>
  <si>
    <t>ЗАБОЙ НА СИЛИКАТ</t>
  </si>
  <si>
    <t>10077</t>
  </si>
  <si>
    <t>10078</t>
  </si>
  <si>
    <t>3695</t>
  </si>
  <si>
    <t>10079</t>
  </si>
  <si>
    <t>3696</t>
  </si>
  <si>
    <t>3697</t>
  </si>
  <si>
    <t>10080</t>
  </si>
  <si>
    <t>3698</t>
  </si>
  <si>
    <t>3699</t>
  </si>
  <si>
    <t>10081</t>
  </si>
  <si>
    <t>10082</t>
  </si>
  <si>
    <t>3700</t>
  </si>
  <si>
    <t>3701</t>
  </si>
  <si>
    <t>10083</t>
  </si>
  <si>
    <t>3703</t>
  </si>
  <si>
    <t>3702</t>
  </si>
  <si>
    <t>3704</t>
  </si>
  <si>
    <t>10084</t>
  </si>
  <si>
    <t>3705</t>
  </si>
  <si>
    <t>10085</t>
  </si>
  <si>
    <t>10086</t>
  </si>
  <si>
    <t>3706</t>
  </si>
  <si>
    <t>БРАК 20.09.17</t>
  </si>
  <si>
    <t>3707</t>
  </si>
  <si>
    <t>3708</t>
  </si>
  <si>
    <t>10087</t>
  </si>
  <si>
    <t>ПАДЁЖ</t>
  </si>
  <si>
    <t>ЖКТ</t>
  </si>
  <si>
    <t>10088</t>
  </si>
  <si>
    <t>3709</t>
  </si>
  <si>
    <t>10089</t>
  </si>
  <si>
    <t>10090</t>
  </si>
  <si>
    <t>10091</t>
  </si>
  <si>
    <t>10092</t>
  </si>
  <si>
    <t>10093</t>
  </si>
  <si>
    <t>3710</t>
  </si>
  <si>
    <t>10072</t>
  </si>
  <si>
    <t>10073</t>
  </si>
  <si>
    <t>10074</t>
  </si>
  <si>
    <t>10075</t>
  </si>
  <si>
    <t>10076</t>
  </si>
  <si>
    <t>ЭМКАР</t>
  </si>
  <si>
    <t>3711</t>
  </si>
  <si>
    <t>3712</t>
  </si>
  <si>
    <t>3713</t>
  </si>
  <si>
    <t>10094</t>
  </si>
  <si>
    <t>10095</t>
  </si>
  <si>
    <t>29 сентября 2017 г.</t>
  </si>
  <si>
    <r>
      <t xml:space="preserve">РИ_2 </t>
    </r>
    <r>
      <rPr>
        <sz val="6"/>
        <rFont val="Arial"/>
        <family val="1"/>
        <charset val="204"/>
      </rPr>
      <t>(72 ДЕНЬ)</t>
    </r>
  </si>
  <si>
    <r>
      <t xml:space="preserve">ПЕРЕВОД в  БРАК_ </t>
    </r>
    <r>
      <rPr>
        <sz val="12"/>
        <rFont val="Arial"/>
        <family val="1"/>
        <charset val="204"/>
      </rPr>
      <t>ПЛАН</t>
    </r>
  </si>
  <si>
    <r>
      <t xml:space="preserve">ПЕРЕВОД в  БРАК_ </t>
    </r>
    <r>
      <rPr>
        <sz val="12"/>
        <rFont val="Arial"/>
        <family val="1"/>
        <charset val="204"/>
      </rPr>
      <t>ФАКТ</t>
    </r>
  </si>
  <si>
    <t>кровь (на браке)</t>
  </si>
  <si>
    <t>кровь (ос.29.09)</t>
  </si>
  <si>
    <t>кровь (на лечении)</t>
  </si>
  <si>
    <t>кровь(ос. 30.09)</t>
  </si>
  <si>
    <t>10096</t>
  </si>
  <si>
    <t>3714</t>
  </si>
  <si>
    <t>1455</t>
  </si>
  <si>
    <t>10097</t>
  </si>
  <si>
    <t>РО_ТРАНЗИТ</t>
  </si>
  <si>
    <t>РО_СУХ</t>
  </si>
  <si>
    <t>РЯД № 1</t>
  </si>
  <si>
    <t>РЯД № 2</t>
  </si>
  <si>
    <t>РЯД № 3</t>
  </si>
  <si>
    <t>РЯД № 4</t>
  </si>
  <si>
    <t>3715</t>
  </si>
  <si>
    <t>РЯД №3</t>
  </si>
  <si>
    <t>РО</t>
  </si>
  <si>
    <t>нетеля РО_СУХ</t>
  </si>
  <si>
    <t>кровь(ос.05.10.17)</t>
  </si>
  <si>
    <t>3716</t>
  </si>
  <si>
    <t>10098</t>
  </si>
  <si>
    <t>10099</t>
  </si>
  <si>
    <t>слабые связки вымени, воспаление суставов  задних конечностей, пододерматит</t>
  </si>
  <si>
    <t>флегмона венчика лев. Задней конечности</t>
  </si>
  <si>
    <t>3717</t>
  </si>
  <si>
    <t>24.09.117</t>
  </si>
  <si>
    <t>Забой на мясо-Ярмарка</t>
  </si>
  <si>
    <t>кровь(ос.4.10)</t>
  </si>
  <si>
    <t>кровь(ос.5.10)</t>
  </si>
  <si>
    <t>кровь+слизь(ос.4.10)</t>
  </si>
  <si>
    <t>кровь(на леч.ФК)</t>
  </si>
  <si>
    <t>кровь(брак)</t>
  </si>
  <si>
    <t>10100</t>
  </si>
  <si>
    <t>10101</t>
  </si>
  <si>
    <t>3718</t>
  </si>
  <si>
    <t>10102</t>
  </si>
  <si>
    <t>3719</t>
  </si>
  <si>
    <t>Вынужденный забой, темпания</t>
  </si>
  <si>
    <t>ИТОГО СТЕЛЬНЫХ ЗА 2017 ГОД К ОТЕЛУ, ГОЛ.</t>
  </si>
  <si>
    <t>ИТОГО СТЕЛЬНЫХ ЗА 2018 ГОД К ОТЕЛУ, ГОЛ.</t>
  </si>
  <si>
    <t>кровь(ос.06.10.17)</t>
  </si>
  <si>
    <t>10103</t>
  </si>
  <si>
    <t>кровь(ос.15.09.17</t>
  </si>
  <si>
    <t>кровь(ос.15.09.17)</t>
  </si>
  <si>
    <t>Единичка</t>
  </si>
  <si>
    <t>Германия</t>
  </si>
  <si>
    <t>61900</t>
  </si>
  <si>
    <t>50364</t>
  </si>
  <si>
    <t>50368</t>
  </si>
  <si>
    <t>50374</t>
  </si>
  <si>
    <t>50379</t>
  </si>
  <si>
    <t>50385</t>
  </si>
  <si>
    <t>50388</t>
  </si>
  <si>
    <t>50389</t>
  </si>
  <si>
    <t>50390</t>
  </si>
  <si>
    <t>74596</t>
  </si>
  <si>
    <t>74689</t>
  </si>
  <si>
    <t>48336</t>
  </si>
  <si>
    <t>63480</t>
  </si>
  <si>
    <t>58693</t>
  </si>
  <si>
    <t>16077</t>
  </si>
  <si>
    <t>65426</t>
  </si>
  <si>
    <t>65431</t>
  </si>
  <si>
    <t>65440</t>
  </si>
  <si>
    <t>08125</t>
  </si>
  <si>
    <t>08126</t>
  </si>
  <si>
    <t>27235</t>
  </si>
  <si>
    <t>81838</t>
  </si>
  <si>
    <t>42416</t>
  </si>
  <si>
    <t>42436</t>
  </si>
  <si>
    <t>44956</t>
  </si>
  <si>
    <t>44960</t>
  </si>
  <si>
    <t>96409</t>
  </si>
  <si>
    <t>96411</t>
  </si>
  <si>
    <t>42935</t>
  </si>
  <si>
    <t>42941</t>
  </si>
  <si>
    <t>42943</t>
  </si>
  <si>
    <t>55114</t>
  </si>
  <si>
    <t>56771</t>
  </si>
  <si>
    <t>56785</t>
  </si>
  <si>
    <t>СР4</t>
  </si>
  <si>
    <t>10104</t>
  </si>
  <si>
    <t>10105</t>
  </si>
  <si>
    <t>Ср4</t>
  </si>
  <si>
    <t>81129</t>
  </si>
  <si>
    <t>64267</t>
  </si>
  <si>
    <t>64278</t>
  </si>
  <si>
    <t>64288</t>
  </si>
  <si>
    <t>64291</t>
  </si>
  <si>
    <t>78924</t>
  </si>
  <si>
    <t>78932</t>
  </si>
  <si>
    <t>78950</t>
  </si>
  <si>
    <t>04629</t>
  </si>
  <si>
    <t>48291</t>
  </si>
  <si>
    <t>48313</t>
  </si>
  <si>
    <t>69764</t>
  </si>
  <si>
    <t>17269</t>
  </si>
  <si>
    <t>17272</t>
  </si>
  <si>
    <t>17273</t>
  </si>
  <si>
    <t>17275</t>
  </si>
  <si>
    <t>34189</t>
  </si>
  <si>
    <t>72583</t>
  </si>
  <si>
    <t>85184</t>
  </si>
  <si>
    <t>85195</t>
  </si>
  <si>
    <t>10157</t>
  </si>
  <si>
    <t>10161</t>
  </si>
  <si>
    <t>10165</t>
  </si>
  <si>
    <t>56160</t>
  </si>
  <si>
    <t>56161</t>
  </si>
  <si>
    <t>56162</t>
  </si>
  <si>
    <t>56164</t>
  </si>
  <si>
    <t>56165</t>
  </si>
  <si>
    <t>56169</t>
  </si>
  <si>
    <t>56170</t>
  </si>
  <si>
    <t>56176</t>
  </si>
  <si>
    <t>52465</t>
  </si>
  <si>
    <t>52475</t>
  </si>
  <si>
    <t>64256</t>
  </si>
  <si>
    <t>кровь(ос.12.10)</t>
  </si>
  <si>
    <t>кровь(ос.13.10)</t>
  </si>
  <si>
    <t>кровь(ос.14.10)</t>
  </si>
  <si>
    <t>3720</t>
  </si>
  <si>
    <t>3721</t>
  </si>
  <si>
    <t>10106</t>
  </si>
  <si>
    <t>10107</t>
  </si>
  <si>
    <t>3722</t>
  </si>
  <si>
    <t>10108</t>
  </si>
  <si>
    <t>3723</t>
  </si>
  <si>
    <t>3724</t>
  </si>
  <si>
    <t>3725</t>
  </si>
  <si>
    <t>КРОВЬ(НА БРАКЕ)</t>
  </si>
  <si>
    <t>т.3215</t>
  </si>
  <si>
    <t>10109</t>
  </si>
  <si>
    <t>БУРЕЕВ В. В.</t>
  </si>
  <si>
    <t>БРАК 17.10.17</t>
  </si>
  <si>
    <t>10110</t>
  </si>
  <si>
    <t>10111</t>
  </si>
  <si>
    <t>3726</t>
  </si>
  <si>
    <t>кровь(ос.19.10.17)</t>
  </si>
  <si>
    <t>кровь(ос.20.10.17)</t>
  </si>
  <si>
    <t>кровь(ос.29.09.17)</t>
  </si>
  <si>
    <t>10112</t>
  </si>
  <si>
    <t>3727</t>
  </si>
  <si>
    <t>кровь(ос.22.10.17)</t>
  </si>
  <si>
    <t>3728</t>
  </si>
  <si>
    <t>болеет/сустав</t>
  </si>
  <si>
    <t>10113</t>
  </si>
  <si>
    <t>БРАК 25.10.17</t>
  </si>
  <si>
    <t>Т2В</t>
  </si>
  <si>
    <t>Т2Д</t>
  </si>
  <si>
    <t>Т2К</t>
  </si>
  <si>
    <t>ЛТФ-130</t>
  </si>
  <si>
    <t>КОНЦЕНТРАЦИЯ, ДОЗ.</t>
  </si>
  <si>
    <t>дата вакцинации ПЛАН</t>
  </si>
  <si>
    <t>ПРОВАКЦ.</t>
  </si>
  <si>
    <t>НЕБХ. ПРОВАКЦ.</t>
  </si>
  <si>
    <t>3729</t>
  </si>
  <si>
    <t>ЦЕЛЬ</t>
  </si>
  <si>
    <t>НАИМЕОВАНИЕ ПРЕПАРАТА</t>
  </si>
  <si>
    <t>ДНЕЙ ПОСЛЕ ОБРАБОТКИ</t>
  </si>
  <si>
    <t>ДЕГЕЛЬМИНТИЗАЦИЯ</t>
  </si>
  <si>
    <t>ДАТА ОБРАБОТКИ_ ФАКТ</t>
  </si>
  <si>
    <t>ПОДКОЖ. ОВОД/ НЕМАТОДЫ</t>
  </si>
  <si>
    <t>ЭПРЕЦИС 2%</t>
  </si>
  <si>
    <t>МЕСТО ВВЕДЕНИЯ</t>
  </si>
  <si>
    <t>П/К</t>
  </si>
  <si>
    <t>кровь(ос.26.10)</t>
  </si>
  <si>
    <t>кровь(ос.27.10)</t>
  </si>
  <si>
    <t>3730</t>
  </si>
  <si>
    <t>10114</t>
  </si>
  <si>
    <t>10115</t>
  </si>
  <si>
    <t>74839</t>
  </si>
  <si>
    <t>4016</t>
  </si>
  <si>
    <t>75091</t>
  </si>
  <si>
    <t>40597</t>
  </si>
  <si>
    <t>47033</t>
  </si>
  <si>
    <t>71582</t>
  </si>
  <si>
    <t>88716</t>
  </si>
  <si>
    <t>кровь утром(ос.27.10)</t>
  </si>
  <si>
    <t>КРОВЬ  (НА БРАКЕ)</t>
  </si>
  <si>
    <t>кровь(ос.25.10)</t>
  </si>
  <si>
    <t>30 октября 2017 года</t>
  </si>
  <si>
    <t>3731</t>
  </si>
  <si>
    <t>10116</t>
  </si>
  <si>
    <t>08923</t>
  </si>
  <si>
    <t>79344</t>
  </si>
  <si>
    <t>21032</t>
  </si>
  <si>
    <t>91684</t>
  </si>
  <si>
    <t>33551</t>
  </si>
  <si>
    <t>06571</t>
  </si>
  <si>
    <t>28698</t>
  </si>
  <si>
    <t>10679</t>
  </si>
  <si>
    <t>Хаси</t>
  </si>
  <si>
    <t>4053</t>
  </si>
  <si>
    <t>Лара</t>
  </si>
  <si>
    <t>Сенда</t>
  </si>
  <si>
    <t>14251</t>
  </si>
  <si>
    <t>9605</t>
  </si>
  <si>
    <t>47165</t>
  </si>
  <si>
    <t>74909</t>
  </si>
  <si>
    <t>4143</t>
  </si>
  <si>
    <t>7421</t>
  </si>
  <si>
    <t>06949</t>
  </si>
  <si>
    <t>31625</t>
  </si>
  <si>
    <t>7239</t>
  </si>
  <si>
    <t>49388</t>
  </si>
  <si>
    <t>00473</t>
  </si>
  <si>
    <t>И.О Германия</t>
  </si>
  <si>
    <t>СДАЧА НА МЯСО</t>
  </si>
  <si>
    <t>10117</t>
  </si>
  <si>
    <t>3733</t>
  </si>
  <si>
    <t>кровь(Брак)</t>
  </si>
  <si>
    <t>3732</t>
  </si>
  <si>
    <t>3734</t>
  </si>
  <si>
    <t>3735</t>
  </si>
  <si>
    <t>3736</t>
  </si>
  <si>
    <t>кровь(ос.02.11.17)</t>
  </si>
  <si>
    <t>10118</t>
  </si>
  <si>
    <t>БРАК 04.11.17</t>
  </si>
  <si>
    <t>10119</t>
  </si>
  <si>
    <t>3737</t>
  </si>
  <si>
    <t>кровь(после аборта)</t>
  </si>
  <si>
    <t>тимпания</t>
  </si>
  <si>
    <t>кровь(ос. 04.11.17)</t>
  </si>
  <si>
    <t>аборт от 11.08.17</t>
  </si>
  <si>
    <t>кровь(ос.05.11.17)</t>
  </si>
  <si>
    <t>10120</t>
  </si>
  <si>
    <t>Мелоди</t>
  </si>
  <si>
    <t>Миссури</t>
  </si>
  <si>
    <t>Мирабелла</t>
  </si>
  <si>
    <t>Ралли</t>
  </si>
  <si>
    <t>Гоша</t>
  </si>
  <si>
    <t>Лекси 216</t>
  </si>
  <si>
    <t>Моника</t>
  </si>
  <si>
    <t>Сигара 238</t>
  </si>
  <si>
    <t>Бонита</t>
  </si>
  <si>
    <t>Мика</t>
  </si>
  <si>
    <t>Реана</t>
  </si>
  <si>
    <t>Рейке</t>
  </si>
  <si>
    <t>Волблю</t>
  </si>
  <si>
    <t>Танья</t>
  </si>
  <si>
    <t>Наоки</t>
  </si>
  <si>
    <t>Блёте</t>
  </si>
  <si>
    <t>Фрида</t>
  </si>
  <si>
    <t>Мовис</t>
  </si>
  <si>
    <t>Лена</t>
  </si>
  <si>
    <t>Лотта</t>
  </si>
  <si>
    <t>Балда</t>
  </si>
  <si>
    <t>Лесса</t>
  </si>
  <si>
    <t>Лонни</t>
  </si>
  <si>
    <t>Ариэль</t>
  </si>
  <si>
    <t>Беа</t>
  </si>
  <si>
    <t>Лана</t>
  </si>
  <si>
    <t>Малена</t>
  </si>
  <si>
    <t>Гинта</t>
  </si>
  <si>
    <t>Ханна</t>
  </si>
  <si>
    <t>Робелла</t>
  </si>
  <si>
    <t>Эвелина</t>
  </si>
  <si>
    <t>Анита</t>
  </si>
  <si>
    <t>Нельке</t>
  </si>
  <si>
    <t>Мари 227</t>
  </si>
  <si>
    <t>10121</t>
  </si>
  <si>
    <t>10122</t>
  </si>
  <si>
    <t>БРАК 10.11.17</t>
  </si>
  <si>
    <t>ХРИПЫ ПРИ ДЫХАНИИ</t>
  </si>
  <si>
    <t>немного крови+слизь(ос.9.11)</t>
  </si>
  <si>
    <t>немного крови+слизь(ос.10.11)</t>
  </si>
  <si>
    <t>БРАК 11.11.17</t>
  </si>
  <si>
    <t>10123</t>
  </si>
  <si>
    <t>3738</t>
  </si>
  <si>
    <t>3739</t>
  </si>
  <si>
    <t>Субитте</t>
  </si>
  <si>
    <t>Санелла</t>
  </si>
  <si>
    <t>Алексис</t>
  </si>
  <si>
    <t>Дюрана</t>
  </si>
  <si>
    <t>Элли</t>
  </si>
  <si>
    <t>Криста</t>
  </si>
  <si>
    <t>Марен</t>
  </si>
  <si>
    <t>Натжа</t>
  </si>
  <si>
    <t>Рикола</t>
  </si>
  <si>
    <t>Регина</t>
  </si>
  <si>
    <t>Каджон</t>
  </si>
  <si>
    <t>Вера</t>
  </si>
  <si>
    <t>Велла</t>
  </si>
  <si>
    <t>Лиза</t>
  </si>
  <si>
    <t>Голди</t>
  </si>
  <si>
    <t>Лиса</t>
  </si>
  <si>
    <t>Лотита</t>
  </si>
  <si>
    <t>Леонита</t>
  </si>
  <si>
    <t>Ютина</t>
  </si>
  <si>
    <t>Зенти</t>
  </si>
  <si>
    <t>Джайя</t>
  </si>
  <si>
    <t>Руби</t>
  </si>
  <si>
    <t>Лейна</t>
  </si>
  <si>
    <t>Нилка</t>
  </si>
  <si>
    <t>Джули</t>
  </si>
  <si>
    <t>Фоллета</t>
  </si>
  <si>
    <t>Латифа</t>
  </si>
  <si>
    <t>Карин</t>
  </si>
  <si>
    <t>Ханут</t>
  </si>
  <si>
    <t>ЗОО-БРАК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</si>
</sst>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-* #,##0.00\ &quot;р.&quot;_-;\-* #,##0.00\ &quot;р.&quot;_-;_-* &quot;-&quot;??\ &quot;р.&quot;_-;_-@_-"/>
    <numFmt numFmtId="165" formatCode="dd/mm/yy;@"/>
    <numFmt numFmtId="166" formatCode="d/m/yy;@"/>
    <numFmt numFmtId="167" formatCode="0.0"/>
    <numFmt numFmtId="168" formatCode="#,##0.00_ ;\-#,##0.00\ "/>
    <numFmt numFmtId="169" formatCode="#,##0.0_ ;\-#,##0.0\ "/>
    <numFmt numFmtId="170" formatCode="0.0%"/>
    <numFmt numFmtId="171" formatCode="#,##0_ ;\-#,##0\ "/>
    <numFmt numFmtId="172" formatCode="[$-F800]dddd\,\ mmmm\ dd\,\ yyyy"/>
    <numFmt numFmtId="173" formatCode="0.000"/>
  </numFmts>
  <fonts count="262" x14ac:knownFonts="1">
    <font>
      <sz val="10"/>
      <name val="Arial"/>
    </font>
    <font>
      <sz val="8"/>
      <name val="Arial"/>
      <family val="2"/>
    </font>
    <font>
      <sz val="12"/>
      <name val="Times New Roman"/>
      <family val="1"/>
    </font>
    <font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8"/>
      <name val="Times New Roman"/>
      <family val="1"/>
      <charset val="204"/>
    </font>
    <font>
      <sz val="12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7"/>
      <name val="Times New Roman"/>
      <family val="1"/>
      <charset val="204"/>
    </font>
    <font>
      <sz val="8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b/>
      <sz val="10"/>
      <name val="Arial"/>
      <family val="2"/>
      <charset val="204"/>
    </font>
    <font>
      <b/>
      <sz val="10"/>
      <color theme="0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theme="0"/>
      <name val="Arial"/>
      <family val="2"/>
      <charset val="204"/>
    </font>
    <font>
      <b/>
      <sz val="14"/>
      <name val="Arial"/>
      <family val="2"/>
      <charset val="204"/>
    </font>
    <font>
      <b/>
      <sz val="18"/>
      <name val="Arial"/>
      <family val="2"/>
      <charset val="204"/>
    </font>
    <font>
      <b/>
      <sz val="8"/>
      <color theme="0"/>
      <name val="Times New Roman"/>
      <family val="1"/>
      <charset val="204"/>
    </font>
    <font>
      <sz val="10"/>
      <name val="Arial"/>
      <family val="2"/>
      <charset val="204"/>
    </font>
    <font>
      <b/>
      <sz val="6"/>
      <color indexed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6"/>
      <color theme="0"/>
      <name val="Times New Roman"/>
      <family val="1"/>
      <charset val="204"/>
    </font>
    <font>
      <b/>
      <sz val="10"/>
      <color theme="0"/>
      <name val="Times New Roman"/>
      <family val="1"/>
      <charset val="204"/>
    </font>
    <font>
      <sz val="10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b/>
      <sz val="7"/>
      <color indexed="8"/>
      <name val="Times New Roman"/>
      <family val="1"/>
      <charset val="204"/>
    </font>
    <font>
      <b/>
      <sz val="16"/>
      <color theme="6" tint="0.79998168889431442"/>
      <name val="Arial"/>
      <family val="2"/>
      <charset val="204"/>
    </font>
    <font>
      <b/>
      <sz val="16"/>
      <color theme="9" tint="0.79998168889431442"/>
      <name val="Arial"/>
      <family val="2"/>
      <charset val="204"/>
    </font>
    <font>
      <b/>
      <sz val="10"/>
      <color indexed="8"/>
      <name val="Times New Roman"/>
      <family val="1"/>
      <charset val="204"/>
    </font>
    <font>
      <sz val="8"/>
      <color theme="4" tint="0.79998168889431442"/>
      <name val="Times New Roman"/>
      <family val="1"/>
      <charset val="204"/>
    </font>
    <font>
      <sz val="8"/>
      <name val="Arial"/>
      <family val="2"/>
      <charset val="204"/>
    </font>
    <font>
      <b/>
      <sz val="6"/>
      <color theme="7" tint="0.79998168889431442"/>
      <name val="Times New Roman"/>
      <family val="1"/>
      <charset val="204"/>
    </font>
    <font>
      <b/>
      <sz val="8"/>
      <color theme="7" tint="0.79998168889431442"/>
      <name val="Times New Roman"/>
      <family val="1"/>
      <charset val="204"/>
    </font>
    <font>
      <sz val="11"/>
      <color theme="7" tint="0.79998168889431442"/>
      <name val="Times New Roman"/>
      <family val="1"/>
      <charset val="204"/>
    </font>
    <font>
      <b/>
      <sz val="11"/>
      <color theme="7" tint="0.79998168889431442"/>
      <name val="Times New Roman"/>
      <family val="1"/>
      <charset val="204"/>
    </font>
    <font>
      <b/>
      <sz val="16"/>
      <name val="Arial"/>
      <family val="2"/>
      <charset val="204"/>
    </font>
    <font>
      <sz val="8"/>
      <color theme="9" tint="0.79998168889431442"/>
      <name val="Arial"/>
      <family val="2"/>
      <charset val="204"/>
    </font>
    <font>
      <b/>
      <sz val="6"/>
      <name val="Arial"/>
      <family val="2"/>
      <charset val="204"/>
    </font>
    <font>
      <b/>
      <sz val="8"/>
      <name val="Arial"/>
      <family val="2"/>
      <charset val="204"/>
    </font>
    <font>
      <sz val="10"/>
      <color theme="0"/>
      <name val="Arial"/>
      <family val="2"/>
      <charset val="204"/>
    </font>
    <font>
      <b/>
      <sz val="7"/>
      <name val="Arial"/>
      <family val="2"/>
      <charset val="204"/>
    </font>
    <font>
      <b/>
      <sz val="18"/>
      <color theme="6" tint="0.79998168889431442"/>
      <name val="Arial"/>
      <family val="2"/>
      <charset val="204"/>
    </font>
    <font>
      <b/>
      <sz val="8"/>
      <color theme="8" tint="-0.499984740745262"/>
      <name val="Arial"/>
      <family val="2"/>
      <charset val="204"/>
    </font>
    <font>
      <b/>
      <sz val="8"/>
      <color theme="8" tint="0.79998168889431442"/>
      <name val="Arial"/>
      <family val="2"/>
      <charset val="204"/>
    </font>
    <font>
      <b/>
      <sz val="8"/>
      <color theme="9" tint="0.79998168889431442"/>
      <name val="Arial"/>
      <family val="2"/>
      <charset val="204"/>
    </font>
    <font>
      <b/>
      <sz val="6"/>
      <color theme="9" tint="0.79998168889431442"/>
      <name val="Arial"/>
      <family val="2"/>
      <charset val="204"/>
    </font>
    <font>
      <sz val="12"/>
      <color theme="9" tint="0.79998168889431442"/>
      <name val="Arial"/>
      <family val="2"/>
      <charset val="204"/>
    </font>
    <font>
      <b/>
      <sz val="20"/>
      <name val="Arial"/>
      <family val="2"/>
      <charset val="204"/>
    </font>
    <font>
      <b/>
      <sz val="20"/>
      <color theme="6" tint="0.79998168889431442"/>
      <name val="Arial"/>
      <family val="2"/>
      <charset val="204"/>
    </font>
    <font>
      <b/>
      <sz val="10"/>
      <color theme="6" tint="0.79998168889431442"/>
      <name val="Arial"/>
      <family val="2"/>
      <charset val="204"/>
    </font>
    <font>
      <b/>
      <sz val="12"/>
      <color theme="6" tint="0.79998168889431442"/>
      <name val="Arial"/>
      <family val="2"/>
      <charset val="204"/>
    </font>
    <font>
      <b/>
      <sz val="10"/>
      <color theme="8" tint="0.79998168889431442"/>
      <name val="Arial"/>
      <family val="2"/>
      <charset val="204"/>
    </font>
    <font>
      <b/>
      <sz val="20"/>
      <color theme="8" tint="-0.499984740745262"/>
      <name val="Arial"/>
      <family val="2"/>
      <charset val="204"/>
    </font>
    <font>
      <b/>
      <sz val="35"/>
      <color theme="8" tint="-0.499984740745262"/>
      <name val="Arial"/>
      <family val="2"/>
      <charset val="204"/>
    </font>
    <font>
      <b/>
      <sz val="12"/>
      <color theme="8" tint="0.79998168889431442"/>
      <name val="Arial"/>
      <family val="2"/>
      <charset val="204"/>
    </font>
    <font>
      <b/>
      <sz val="20"/>
      <color theme="8" tint="0.79998168889431442"/>
      <name val="Arial"/>
      <family val="2"/>
      <charset val="204"/>
    </font>
    <font>
      <b/>
      <u/>
      <sz val="12"/>
      <name val="Arial"/>
      <family val="2"/>
      <charset val="204"/>
    </font>
    <font>
      <b/>
      <u/>
      <sz val="8"/>
      <name val="Arial"/>
      <family val="2"/>
      <charset val="204"/>
    </font>
    <font>
      <b/>
      <sz val="16"/>
      <color theme="8" tint="0.79998168889431442"/>
      <name val="Arial"/>
      <family val="2"/>
      <charset val="204"/>
    </font>
    <font>
      <b/>
      <sz val="15"/>
      <color theme="8" tint="-0.499984740745262"/>
      <name val="Arial"/>
      <family val="2"/>
      <charset val="204"/>
    </font>
    <font>
      <b/>
      <sz val="20"/>
      <color theme="0"/>
      <name val="Arial"/>
      <family val="2"/>
      <charset val="204"/>
    </font>
    <font>
      <b/>
      <sz val="8"/>
      <color theme="0"/>
      <name val="Arial"/>
      <family val="2"/>
      <charset val="204"/>
    </font>
    <font>
      <b/>
      <sz val="10"/>
      <color rgb="FF592A03"/>
      <name val="Arial"/>
      <family val="2"/>
      <charset val="204"/>
    </font>
    <font>
      <b/>
      <sz val="35"/>
      <color rgb="FF592A03"/>
      <name val="Arial"/>
      <family val="2"/>
      <charset val="204"/>
    </font>
    <font>
      <b/>
      <sz val="14"/>
      <color rgb="FF592A03"/>
      <name val="Arial"/>
      <family val="2"/>
      <charset val="204"/>
    </font>
    <font>
      <b/>
      <sz val="12"/>
      <color rgb="FF592A03"/>
      <name val="Arial"/>
      <family val="2"/>
      <charset val="204"/>
    </font>
    <font>
      <b/>
      <sz val="7"/>
      <color rgb="FF592A03"/>
      <name val="Arial"/>
      <family val="2"/>
      <charset val="204"/>
    </font>
    <font>
      <b/>
      <sz val="18"/>
      <color rgb="FF592A03"/>
      <name val="Arial"/>
      <family val="2"/>
      <charset val="204"/>
    </font>
    <font>
      <b/>
      <sz val="8"/>
      <color rgb="FF592A03"/>
      <name val="Arial"/>
      <family val="2"/>
      <charset val="204"/>
    </font>
    <font>
      <b/>
      <sz val="7"/>
      <color rgb="FFFFC000"/>
      <name val="Arial"/>
      <family val="2"/>
      <charset val="204"/>
    </font>
    <font>
      <b/>
      <sz val="10"/>
      <color theme="9" tint="0.79998168889431442"/>
      <name val="Dotum"/>
      <family val="2"/>
      <charset val="204"/>
    </font>
    <font>
      <b/>
      <sz val="12"/>
      <color theme="5" tint="0.79998168889431442"/>
      <name val="Arial"/>
      <family val="2"/>
      <charset val="204"/>
    </font>
    <font>
      <b/>
      <sz val="8"/>
      <color theme="5" tint="0.79998168889431442"/>
      <name val="Arial"/>
      <family val="2"/>
      <charset val="204"/>
    </font>
    <font>
      <b/>
      <sz val="16"/>
      <name val="Times New Roman"/>
      <family val="1"/>
      <charset val="204"/>
    </font>
    <font>
      <sz val="16"/>
      <name val="Arial"/>
      <family val="2"/>
      <charset val="204"/>
    </font>
    <font>
      <b/>
      <sz val="16"/>
      <color rgb="FF4D2403"/>
      <name val="Arial"/>
      <family val="2"/>
      <charset val="204"/>
    </font>
    <font>
      <b/>
      <sz val="8"/>
      <color theme="7" tint="0.79998168889431442"/>
      <name val="Arial"/>
      <family val="2"/>
      <charset val="204"/>
    </font>
    <font>
      <b/>
      <sz val="12"/>
      <color theme="7" tint="0.79998168889431442"/>
      <name val="Arial"/>
      <family val="2"/>
      <charset val="204"/>
    </font>
    <font>
      <sz val="8"/>
      <color theme="7" tint="0.79998168889431442"/>
      <name val="Arial"/>
      <family val="2"/>
      <charset val="204"/>
    </font>
    <font>
      <sz val="10"/>
      <color theme="7" tint="0.79998168889431442"/>
      <name val="Arial"/>
      <family val="2"/>
      <charset val="204"/>
    </font>
    <font>
      <sz val="6"/>
      <color theme="7" tint="0.79998168889431442"/>
      <name val="Arial"/>
      <family val="2"/>
      <charset val="204"/>
    </font>
    <font>
      <b/>
      <sz val="14"/>
      <color theme="0"/>
      <name val="Arial"/>
      <family val="2"/>
      <charset val="204"/>
    </font>
    <font>
      <b/>
      <sz val="20"/>
      <color theme="6" tint="-0.499984740745262"/>
      <name val="Arial"/>
      <family val="2"/>
      <charset val="204"/>
    </font>
    <font>
      <b/>
      <sz val="14"/>
      <color rgb="FF4D2403"/>
      <name val="Arial"/>
      <family val="2"/>
      <charset val="204"/>
    </font>
    <font>
      <b/>
      <sz val="25"/>
      <name val="Arial"/>
      <family val="2"/>
      <charset val="204"/>
    </font>
    <font>
      <sz val="6"/>
      <name val="Arial"/>
      <family val="2"/>
      <charset val="204"/>
    </font>
    <font>
      <b/>
      <sz val="18"/>
      <color theme="8" tint="0.79998168889431442"/>
      <name val="Arial"/>
      <family val="2"/>
      <charset val="204"/>
    </font>
    <font>
      <b/>
      <sz val="18"/>
      <color theme="9" tint="0.79998168889431442"/>
      <name val="Arial"/>
      <family val="2"/>
      <charset val="204"/>
    </font>
    <font>
      <b/>
      <sz val="18"/>
      <color rgb="FF093914"/>
      <name val="Arial"/>
      <family val="2"/>
      <charset val="204"/>
    </font>
    <font>
      <b/>
      <sz val="6"/>
      <color theme="8" tint="0.79998168889431442"/>
      <name val="Arial"/>
      <family val="2"/>
      <charset val="204"/>
    </font>
    <font>
      <b/>
      <sz val="18"/>
      <color rgb="FF4D2403"/>
      <name val="Arial"/>
      <family val="2"/>
      <charset val="204"/>
    </font>
    <font>
      <b/>
      <sz val="12"/>
      <color rgb="FF4D2403"/>
      <name val="Arial"/>
      <family val="2"/>
      <charset val="204"/>
    </font>
    <font>
      <b/>
      <sz val="18"/>
      <color theme="5" tint="-0.499984740745262"/>
      <name val="Arial"/>
      <family val="2"/>
      <charset val="204"/>
    </font>
    <font>
      <b/>
      <sz val="10"/>
      <color theme="9" tint="0.79998168889431442"/>
      <name val="Arial"/>
      <family val="2"/>
      <charset val="204"/>
    </font>
    <font>
      <b/>
      <sz val="25"/>
      <color rgb="FF093914"/>
      <name val="Arial"/>
      <family val="2"/>
      <charset val="204"/>
    </font>
    <font>
      <b/>
      <sz val="18"/>
      <color rgb="FF210106"/>
      <name val="Arial"/>
      <family val="2"/>
      <charset val="204"/>
    </font>
    <font>
      <b/>
      <sz val="18"/>
      <color rgb="FF000C3E"/>
      <name val="Arial"/>
      <family val="2"/>
      <charset val="204"/>
    </font>
    <font>
      <b/>
      <sz val="18"/>
      <color rgb="FF1A1300"/>
      <name val="Arial"/>
      <family val="2"/>
      <charset val="204"/>
    </font>
    <font>
      <b/>
      <sz val="16"/>
      <color rgb="FF006600"/>
      <name val="Arial"/>
      <family val="2"/>
      <charset val="204"/>
    </font>
    <font>
      <b/>
      <sz val="20"/>
      <color rgb="FF006600"/>
      <name val="Arial"/>
      <family val="2"/>
      <charset val="204"/>
    </font>
    <font>
      <b/>
      <sz val="16"/>
      <color theme="0"/>
      <name val="Arial"/>
      <family val="2"/>
      <charset val="204"/>
    </font>
    <font>
      <b/>
      <sz val="10"/>
      <color rgb="FF093914"/>
      <name val="Arial"/>
      <family val="2"/>
      <charset val="204"/>
    </font>
    <font>
      <b/>
      <sz val="18"/>
      <color theme="0"/>
      <name val="Arial"/>
      <family val="2"/>
      <charset val="204"/>
    </font>
    <font>
      <b/>
      <sz val="12"/>
      <color theme="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8"/>
      <color theme="0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b/>
      <sz val="10"/>
      <color theme="3" tint="-0.499984740745262"/>
      <name val="Arial"/>
      <family val="2"/>
      <charset val="204"/>
    </font>
    <font>
      <b/>
      <sz val="25"/>
      <color theme="5" tint="0.79998168889431442"/>
      <name val="Arial"/>
      <family val="2"/>
      <charset val="204"/>
    </font>
    <font>
      <sz val="70"/>
      <color theme="5" tint="-0.499984740745262"/>
      <name val="Impact"/>
      <family val="2"/>
      <charset val="204"/>
    </font>
    <font>
      <sz val="6"/>
      <name val="Times New Roman"/>
      <family val="1"/>
      <charset val="204"/>
    </font>
    <font>
      <b/>
      <sz val="5"/>
      <name val="Times New Roman"/>
      <family val="1"/>
      <charset val="204"/>
    </font>
    <font>
      <b/>
      <sz val="8"/>
      <name val="Times New Roman"/>
      <family val="1"/>
    </font>
    <font>
      <sz val="11"/>
      <color theme="2"/>
      <name val="Times New Roman"/>
      <family val="1"/>
      <charset val="204"/>
    </font>
    <font>
      <sz val="5"/>
      <name val="Times New Roman"/>
      <family val="1"/>
      <charset val="204"/>
    </font>
    <font>
      <b/>
      <sz val="11"/>
      <color theme="2"/>
      <name val="Times New Roman"/>
      <family val="1"/>
      <charset val="204"/>
    </font>
    <font>
      <b/>
      <sz val="12"/>
      <color theme="9" tint="0.79998168889431442"/>
      <name val="Arial"/>
      <family val="2"/>
      <charset val="204"/>
    </font>
    <font>
      <b/>
      <sz val="6"/>
      <name val="Times New Roman"/>
      <family val="1"/>
    </font>
    <font>
      <b/>
      <sz val="12"/>
      <color theme="6" tint="0.59999389629810485"/>
      <name val="Arial"/>
      <family val="2"/>
      <charset val="204"/>
    </font>
    <font>
      <b/>
      <sz val="9"/>
      <color theme="0"/>
      <name val="Arial"/>
      <family val="2"/>
      <charset val="204"/>
    </font>
    <font>
      <b/>
      <sz val="11"/>
      <name val="Arial"/>
      <family val="2"/>
      <charset val="204"/>
    </font>
    <font>
      <b/>
      <sz val="17"/>
      <name val="Arial"/>
      <family val="2"/>
      <charset val="204"/>
    </font>
    <font>
      <b/>
      <sz val="15"/>
      <name val="Arial"/>
      <family val="2"/>
      <charset val="204"/>
    </font>
    <font>
      <b/>
      <sz val="40"/>
      <name val="Arial"/>
      <family val="2"/>
      <charset val="204"/>
    </font>
    <font>
      <b/>
      <sz val="35"/>
      <name val="Arial"/>
      <family val="2"/>
      <charset val="204"/>
    </font>
    <font>
      <b/>
      <sz val="16"/>
      <name val="Agency FB"/>
      <family val="2"/>
    </font>
    <font>
      <b/>
      <sz val="9"/>
      <name val="Arial"/>
      <family val="2"/>
      <charset val="204"/>
    </font>
    <font>
      <b/>
      <sz val="10"/>
      <name val="Agency FB"/>
      <family val="2"/>
    </font>
    <font>
      <sz val="6"/>
      <name val="Arial"/>
      <family val="1"/>
      <charset val="204"/>
    </font>
    <font>
      <sz val="12"/>
      <name val="Arial"/>
      <family val="1"/>
      <charset val="204"/>
    </font>
    <font>
      <b/>
      <sz val="14"/>
      <name val="Times New Roman"/>
      <family val="1"/>
      <charset val="204"/>
    </font>
    <font>
      <sz val="7"/>
      <name val="Times New Roman"/>
      <family val="1"/>
      <charset val="204"/>
    </font>
    <font>
      <b/>
      <sz val="10"/>
      <color theme="0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5"/>
      <name val="Times New Roman"/>
      <family val="1"/>
      <charset val="204"/>
    </font>
    <font>
      <sz val="8"/>
      <color theme="4" tint="0.79998168889431442"/>
      <name val="Times New Roman"/>
      <family val="1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Calibri"/>
      <family val="2"/>
      <charset val="204"/>
      <scheme val="minor"/>
    </font>
    <font>
      <sz val="5"/>
      <name val="Times New Roman"/>
      <family val="1"/>
      <charset val="204"/>
    </font>
    <font>
      <sz val="11"/>
      <color theme="2"/>
      <name val="Times New Roman"/>
      <family val="1"/>
      <charset val="204"/>
    </font>
    <font>
      <b/>
      <sz val="11"/>
      <color theme="2"/>
      <name val="Times New Roman"/>
      <family val="1"/>
      <charset val="204"/>
    </font>
    <font>
      <b/>
      <sz val="11"/>
      <color theme="7" tint="0.79998168889431442"/>
      <name val="Times New Roman"/>
      <family val="1"/>
      <charset val="204"/>
    </font>
    <font>
      <sz val="11"/>
      <color theme="7" tint="0.79998168889431442"/>
      <name val="Times New Roman"/>
      <family val="1"/>
      <charset val="204"/>
    </font>
    <font>
      <sz val="12"/>
      <name val="Times New Roman"/>
      <family val="1"/>
      <charset val="204"/>
    </font>
    <font>
      <b/>
      <sz val="6"/>
      <name val="Times New Roman"/>
      <family val="1"/>
    </font>
    <font>
      <sz val="14"/>
      <name val="Arial"/>
      <family val="2"/>
      <charset val="204"/>
    </font>
    <font>
      <b/>
      <sz val="35"/>
      <color indexed="8"/>
      <name val="Times New Roman"/>
      <family val="1"/>
      <charset val="204"/>
    </font>
    <font>
      <b/>
      <sz val="60"/>
      <name val="Arial"/>
      <family val="2"/>
      <charset val="204"/>
    </font>
    <font>
      <b/>
      <sz val="10"/>
      <color theme="0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5"/>
      <name val="Times New Roman"/>
      <family val="1"/>
      <charset val="204"/>
    </font>
    <font>
      <sz val="8"/>
      <color theme="4" tint="0.79998168889431442"/>
      <name val="Times New Roman"/>
      <family val="1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Calibri"/>
      <family val="2"/>
      <charset val="204"/>
      <scheme val="minor"/>
    </font>
    <font>
      <sz val="5"/>
      <name val="Times New Roman"/>
      <family val="1"/>
      <charset val="204"/>
    </font>
    <font>
      <sz val="11"/>
      <color theme="2"/>
      <name val="Times New Roman"/>
      <family val="1"/>
      <charset val="204"/>
    </font>
    <font>
      <b/>
      <sz val="11"/>
      <color theme="2"/>
      <name val="Times New Roman"/>
      <family val="1"/>
      <charset val="204"/>
    </font>
    <font>
      <b/>
      <sz val="11"/>
      <color theme="7" tint="0.79998168889431442"/>
      <name val="Times New Roman"/>
      <family val="1"/>
      <charset val="204"/>
    </font>
    <font>
      <sz val="11"/>
      <color theme="7" tint="0.79998168889431442"/>
      <name val="Times New Roman"/>
      <family val="1"/>
      <charset val="204"/>
    </font>
    <font>
      <sz val="12"/>
      <name val="Times New Roman"/>
      <family val="1"/>
      <charset val="204"/>
    </font>
    <font>
      <sz val="6"/>
      <name val="Times New Roman"/>
      <family val="1"/>
      <charset val="204"/>
    </font>
    <font>
      <b/>
      <sz val="6"/>
      <name val="Times New Roman"/>
      <family val="1"/>
    </font>
    <font>
      <sz val="12"/>
      <name val="Times New Roman"/>
      <family val="1"/>
    </font>
    <font>
      <b/>
      <sz val="10"/>
      <color theme="0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5"/>
      <name val="Times New Roman"/>
      <family val="1"/>
      <charset val="204"/>
    </font>
    <font>
      <sz val="8"/>
      <color theme="4" tint="0.79998168889431442"/>
      <name val="Times New Roman"/>
      <family val="1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Calibri"/>
      <family val="2"/>
      <charset val="204"/>
      <scheme val="minor"/>
    </font>
    <font>
      <sz val="5"/>
      <name val="Times New Roman"/>
      <family val="1"/>
      <charset val="204"/>
    </font>
    <font>
      <sz val="11"/>
      <color theme="2"/>
      <name val="Times New Roman"/>
      <family val="1"/>
      <charset val="204"/>
    </font>
    <font>
      <b/>
      <sz val="11"/>
      <color theme="2"/>
      <name val="Times New Roman"/>
      <family val="1"/>
      <charset val="204"/>
    </font>
    <font>
      <b/>
      <sz val="11"/>
      <color theme="7" tint="0.79998168889431442"/>
      <name val="Times New Roman"/>
      <family val="1"/>
      <charset val="204"/>
    </font>
    <font>
      <sz val="11"/>
      <color theme="7" tint="0.79998168889431442"/>
      <name val="Times New Roman"/>
      <family val="1"/>
      <charset val="204"/>
    </font>
    <font>
      <sz val="12"/>
      <name val="Times New Roman"/>
      <family val="1"/>
      <charset val="204"/>
    </font>
    <font>
      <sz val="6"/>
      <name val="Times New Roman"/>
      <family val="1"/>
      <charset val="204"/>
    </font>
    <font>
      <b/>
      <sz val="6"/>
      <name val="Times New Roman"/>
      <family val="1"/>
    </font>
    <font>
      <b/>
      <sz val="7"/>
      <color indexed="8"/>
      <name val="Times New Roman"/>
      <family val="1"/>
      <charset val="204"/>
    </font>
    <font>
      <b/>
      <sz val="6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0"/>
      <color indexed="8"/>
      <name val="Calibri"/>
      <family val="2"/>
      <charset val="204"/>
      <scheme val="minor"/>
    </font>
    <font>
      <b/>
      <sz val="10"/>
      <color theme="0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6"/>
      <color theme="0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6"/>
      <color theme="2"/>
      <name val="Times New Roman"/>
      <family val="1"/>
      <charset val="204"/>
    </font>
    <font>
      <b/>
      <sz val="6"/>
      <color theme="7" tint="0.79998168889431442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2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b/>
      <sz val="5"/>
      <color theme="2"/>
      <name val="Times New Roman"/>
      <family val="1"/>
      <charset val="204"/>
    </font>
    <font>
      <b/>
      <sz val="7"/>
      <color theme="2"/>
      <name val="Times New Roman"/>
      <family val="1"/>
      <charset val="204"/>
    </font>
    <font>
      <b/>
      <sz val="8"/>
      <color theme="2"/>
      <name val="Times New Roman"/>
      <family val="1"/>
      <charset val="204"/>
    </font>
    <font>
      <b/>
      <sz val="8"/>
      <color theme="7" tint="0.79998168889431442"/>
      <name val="Times New Roman"/>
      <family val="1"/>
      <charset val="204"/>
    </font>
    <font>
      <b/>
      <sz val="5"/>
      <name val="Times New Roman"/>
      <family val="1"/>
      <charset val="204"/>
    </font>
    <font>
      <sz val="8"/>
      <color theme="4" tint="0.79998168889431442"/>
      <name val="Times New Roman"/>
      <family val="1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Calibri"/>
      <family val="2"/>
      <charset val="204"/>
      <scheme val="minor"/>
    </font>
    <font>
      <sz val="5"/>
      <name val="Times New Roman"/>
      <family val="1"/>
      <charset val="204"/>
    </font>
    <font>
      <sz val="11"/>
      <color theme="2"/>
      <name val="Times New Roman"/>
      <family val="1"/>
      <charset val="204"/>
    </font>
    <font>
      <b/>
      <sz val="11"/>
      <color theme="2"/>
      <name val="Times New Roman"/>
      <family val="1"/>
      <charset val="204"/>
    </font>
    <font>
      <b/>
      <sz val="11"/>
      <color theme="7" tint="0.79998168889431442"/>
      <name val="Times New Roman"/>
      <family val="1"/>
      <charset val="204"/>
    </font>
    <font>
      <sz val="11"/>
      <color theme="7" tint="0.79998168889431442"/>
      <name val="Times New Roman"/>
      <family val="1"/>
      <charset val="204"/>
    </font>
    <font>
      <sz val="12"/>
      <name val="Times New Roman"/>
      <family val="1"/>
      <charset val="204"/>
    </font>
    <font>
      <sz val="6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2"/>
      <name val="Times New Roman"/>
      <family val="1"/>
    </font>
    <font>
      <sz val="10"/>
      <color theme="0"/>
      <name val="Calibri"/>
      <family val="2"/>
      <charset val="204"/>
      <scheme val="minor"/>
    </font>
    <font>
      <b/>
      <sz val="10"/>
      <color theme="5" tint="0.79998168889431442"/>
      <name val="Times New Roman"/>
      <family val="1"/>
      <charset val="204"/>
    </font>
    <font>
      <sz val="7"/>
      <name val="Times New Roman"/>
      <family val="1"/>
      <charset val="204"/>
    </font>
    <font>
      <sz val="10"/>
      <name val="Times New Roman"/>
      <family val="1"/>
      <charset val="204"/>
    </font>
    <font>
      <b/>
      <sz val="25"/>
      <name val="Times New Roman"/>
      <family val="1"/>
      <charset val="204"/>
    </font>
    <font>
      <sz val="10"/>
      <name val="Arial"/>
      <family val="2"/>
      <charset val="204"/>
    </font>
    <font>
      <b/>
      <sz val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b/>
      <sz val="8"/>
      <color theme="6" tint="0.79998168889431442"/>
      <name val="Arial"/>
      <family val="2"/>
      <charset val="204"/>
    </font>
    <font>
      <b/>
      <sz val="30"/>
      <name val="Arial"/>
      <family val="2"/>
      <charset val="204"/>
    </font>
    <font>
      <b/>
      <sz val="7"/>
      <name val="Times New Roman"/>
      <family val="1"/>
      <charset val="204"/>
    </font>
    <font>
      <sz val="8"/>
      <color theme="4" tint="0.79998168889431442"/>
      <name val="Times New Roman"/>
      <family val="1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1"/>
      <color theme="7" tint="0.79998168889431442"/>
      <name val="Times New Roman"/>
      <family val="1"/>
      <charset val="204"/>
    </font>
    <font>
      <b/>
      <sz val="11"/>
      <color theme="6" tint="0.79998168889431442"/>
      <name val="Times New Roman"/>
      <family val="1"/>
      <charset val="204"/>
    </font>
    <font>
      <sz val="7"/>
      <name val="Times New Roman"/>
      <family val="1"/>
      <charset val="204"/>
    </font>
    <font>
      <b/>
      <sz val="20"/>
      <color theme="6" tint="-0.499984740745262"/>
      <name val="Times New Roman"/>
      <family val="1"/>
      <charset val="204"/>
    </font>
    <font>
      <b/>
      <u/>
      <sz val="6"/>
      <color theme="6" tint="-0.499984740745262"/>
      <name val="Times New Roman"/>
      <family val="1"/>
      <charset val="204"/>
    </font>
    <font>
      <b/>
      <sz val="20"/>
      <color theme="5" tint="-0.499984740745262"/>
      <name val="Times New Roman"/>
      <family val="1"/>
      <charset val="204"/>
    </font>
    <font>
      <b/>
      <u/>
      <sz val="6"/>
      <color theme="5" tint="-0.499984740745262"/>
      <name val="Times New Roman"/>
      <family val="1"/>
      <charset val="204"/>
    </font>
  </fonts>
  <fills count="6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AE41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gradientFill degree="90">
        <stop position="0">
          <color theme="7" tint="-0.25098422193060094"/>
        </stop>
        <stop position="1">
          <color theme="7" tint="-0.49803155613879818"/>
        </stop>
      </gradient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4D240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34EB1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16EA2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80F36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0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rgb="FFFFC000"/>
      </left>
      <right/>
      <top style="double">
        <color rgb="FFFFC000"/>
      </top>
      <bottom style="double">
        <color rgb="FFFFC000"/>
      </bottom>
      <diagonal/>
    </border>
    <border>
      <left/>
      <right/>
      <top style="double">
        <color rgb="FFFFC000"/>
      </top>
      <bottom style="double">
        <color rgb="FFFFC000"/>
      </bottom>
      <diagonal/>
    </border>
    <border>
      <left/>
      <right style="double">
        <color rgb="FFFFC000"/>
      </right>
      <top style="double">
        <color rgb="FFFFC000"/>
      </top>
      <bottom style="double">
        <color rgb="FFFFC000"/>
      </bottom>
      <diagonal/>
    </border>
    <border>
      <left style="double">
        <color theme="9" tint="-0.499984740745262"/>
      </left>
      <right/>
      <top style="double">
        <color theme="9" tint="-0.499984740745262"/>
      </top>
      <bottom/>
      <diagonal/>
    </border>
    <border>
      <left/>
      <right style="double">
        <color theme="9" tint="-0.499984740745262"/>
      </right>
      <top style="double">
        <color theme="9" tint="-0.499984740745262"/>
      </top>
      <bottom/>
      <diagonal/>
    </border>
    <border>
      <left style="double">
        <color theme="9" tint="-0.499984740745262"/>
      </left>
      <right/>
      <top/>
      <bottom style="double">
        <color theme="9" tint="-0.499984740745262"/>
      </bottom>
      <diagonal/>
    </border>
    <border>
      <left/>
      <right style="double">
        <color theme="9" tint="-0.499984740745262"/>
      </right>
      <top/>
      <bottom style="double">
        <color theme="9" tint="-0.49998474074526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8" tint="-0.499984740745262"/>
      </left>
      <right style="double">
        <color theme="8" tint="-0.499984740745262"/>
      </right>
      <top style="double">
        <color theme="8" tint="-0.499984740745262"/>
      </top>
      <bottom style="double">
        <color theme="8" tint="-0.499984740745262"/>
      </bottom>
      <diagonal/>
    </border>
    <border>
      <left/>
      <right style="double">
        <color theme="8" tint="-0.499984740745262"/>
      </right>
      <top style="double">
        <color theme="8" tint="-0.499984740745262"/>
      </top>
      <bottom style="double">
        <color theme="8" tint="-0.499984740745262"/>
      </bottom>
      <diagonal/>
    </border>
    <border>
      <left style="double">
        <color theme="8" tint="-0.499984740745262"/>
      </left>
      <right/>
      <top style="double">
        <color theme="8" tint="-0.499984740745262"/>
      </top>
      <bottom style="double">
        <color theme="8" tint="-0.499984740745262"/>
      </bottom>
      <diagonal/>
    </border>
    <border>
      <left style="double">
        <color theme="8" tint="-0.499984740745262"/>
      </left>
      <right style="double">
        <color theme="8" tint="-0.499984740745262"/>
      </right>
      <top/>
      <bottom style="double">
        <color theme="8" tint="-0.499984740745262"/>
      </bottom>
      <diagonal/>
    </border>
    <border>
      <left style="double">
        <color theme="8" tint="-0.499984740745262"/>
      </left>
      <right/>
      <top/>
      <bottom style="double">
        <color theme="8" tint="-0.499984740745262"/>
      </bottom>
      <diagonal/>
    </border>
    <border>
      <left/>
      <right style="double">
        <color theme="8" tint="-0.499984740745262"/>
      </right>
      <top/>
      <bottom style="double">
        <color theme="8" tint="-0.499984740745262"/>
      </bottom>
      <diagonal/>
    </border>
    <border>
      <left style="medium">
        <color indexed="64"/>
      </left>
      <right style="double">
        <color theme="8" tint="-0.499984740745262"/>
      </right>
      <top/>
      <bottom style="double">
        <color theme="8" tint="-0.499984740745262"/>
      </bottom>
      <diagonal/>
    </border>
    <border>
      <left style="double">
        <color theme="8" tint="-0.499984740745262"/>
      </left>
      <right style="medium">
        <color indexed="64"/>
      </right>
      <top/>
      <bottom style="double">
        <color theme="8" tint="-0.499984740745262"/>
      </bottom>
      <diagonal/>
    </border>
    <border>
      <left style="medium">
        <color indexed="64"/>
      </left>
      <right style="double">
        <color theme="8" tint="-0.499984740745262"/>
      </right>
      <top style="double">
        <color theme="8" tint="-0.499984740745262"/>
      </top>
      <bottom style="double">
        <color theme="8" tint="-0.499984740745262"/>
      </bottom>
      <diagonal/>
    </border>
    <border>
      <left style="double">
        <color theme="8" tint="-0.499984740745262"/>
      </left>
      <right style="medium">
        <color indexed="64"/>
      </right>
      <top style="double">
        <color theme="8" tint="-0.499984740745262"/>
      </top>
      <bottom style="double">
        <color theme="8" tint="-0.499984740745262"/>
      </bottom>
      <diagonal/>
    </border>
    <border>
      <left style="medium">
        <color indexed="64"/>
      </left>
      <right style="double">
        <color theme="8" tint="-0.499984740745262"/>
      </right>
      <top style="double">
        <color theme="8" tint="-0.499984740745262"/>
      </top>
      <bottom/>
      <diagonal/>
    </border>
    <border>
      <left style="double">
        <color theme="8" tint="-0.499984740745262"/>
      </left>
      <right style="double">
        <color theme="8" tint="-0.499984740745262"/>
      </right>
      <top style="double">
        <color theme="8" tint="-0.499984740745262"/>
      </top>
      <bottom/>
      <diagonal/>
    </border>
    <border>
      <left style="double">
        <color theme="8" tint="-0.499984740745262"/>
      </left>
      <right style="medium">
        <color indexed="64"/>
      </right>
      <top style="double">
        <color theme="8" tint="-0.499984740745262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auto="1"/>
      </left>
      <right style="thin">
        <color indexed="64"/>
      </right>
      <top style="double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 style="medium">
        <color indexed="64"/>
      </bottom>
      <diagonal/>
    </border>
    <border>
      <left style="thin">
        <color indexed="64"/>
      </left>
      <right style="double">
        <color auto="1"/>
      </right>
      <top style="double">
        <color auto="1"/>
      </top>
      <bottom style="medium">
        <color indexed="64"/>
      </bottom>
      <diagonal/>
    </border>
    <border>
      <left style="double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auto="1"/>
      </right>
      <top/>
      <bottom style="thin">
        <color indexed="64"/>
      </bottom>
      <diagonal/>
    </border>
    <border>
      <left style="double">
        <color auto="1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double">
        <color auto="1"/>
      </right>
      <top/>
      <bottom style="double">
        <color auto="1"/>
      </bottom>
      <diagonal/>
    </border>
    <border>
      <left/>
      <right style="double">
        <color theme="8" tint="-0.499984740745262"/>
      </right>
      <top style="double">
        <color theme="8" tint="-0.499984740745262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2" fillId="0" borderId="0" applyFont="0" applyFill="0" applyBorder="0" applyAlignment="0" applyProtection="0"/>
  </cellStyleXfs>
  <cellXfs count="1515">
    <xf numFmtId="0" fontId="0" fillId="0" borderId="0" xfId="0"/>
    <xf numFmtId="0" fontId="2" fillId="0" borderId="0" xfId="0" applyFont="1" applyFill="1"/>
    <xf numFmtId="0" fontId="3" fillId="0" borderId="0" xfId="0" applyFont="1" applyFill="1"/>
    <xf numFmtId="1" fontId="4" fillId="0" borderId="1" xfId="0" applyNumberFormat="1" applyFont="1" applyFill="1" applyBorder="1" applyAlignment="1">
      <alignment horizontal="center"/>
    </xf>
    <xf numFmtId="165" fontId="5" fillId="3" borderId="1" xfId="0" applyNumberFormat="1" applyFont="1" applyFill="1" applyBorder="1" applyAlignment="1">
      <alignment horizontal="center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3" fillId="4" borderId="0" xfId="0" applyFont="1" applyFill="1"/>
    <xf numFmtId="0" fontId="2" fillId="4" borderId="0" xfId="0" applyFont="1" applyFill="1"/>
    <xf numFmtId="1" fontId="5" fillId="2" borderId="1" xfId="0" applyNumberFormat="1" applyFont="1" applyFill="1" applyBorder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" fontId="5" fillId="3" borderId="1" xfId="0" applyNumberFormat="1" applyFont="1" applyFill="1" applyBorder="1" applyAlignment="1">
      <alignment horizontal="center" vertical="center" wrapText="1"/>
    </xf>
    <xf numFmtId="1" fontId="5" fillId="3" borderId="2" xfId="0" applyNumberFormat="1" applyFont="1" applyFill="1" applyBorder="1" applyAlignment="1">
      <alignment horizontal="center" vertical="center" wrapText="1"/>
    </xf>
    <xf numFmtId="165" fontId="5" fillId="4" borderId="6" xfId="0" applyNumberFormat="1" applyFont="1" applyFill="1" applyBorder="1" applyAlignment="1">
      <alignment horizontal="center" vertical="center" wrapText="1"/>
    </xf>
    <xf numFmtId="165" fontId="5" fillId="6" borderId="7" xfId="0" applyNumberFormat="1" applyFont="1" applyFill="1" applyBorder="1" applyAlignment="1">
      <alignment horizontal="center" vertical="center" wrapText="1"/>
    </xf>
    <xf numFmtId="165" fontId="7" fillId="2" borderId="3" xfId="0" applyNumberFormat="1" applyFont="1" applyFill="1" applyBorder="1" applyAlignment="1">
      <alignment horizontal="center" vertic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/>
    </xf>
    <xf numFmtId="1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>
      <alignment horizontal="center"/>
    </xf>
    <xf numFmtId="165" fontId="10" fillId="0" borderId="1" xfId="0" applyNumberFormat="1" applyFont="1" applyFill="1" applyBorder="1" applyAlignment="1">
      <alignment horizontal="center"/>
    </xf>
    <xf numFmtId="1" fontId="10" fillId="0" borderId="1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 vertical="center" wrapText="1"/>
    </xf>
    <xf numFmtId="1" fontId="5" fillId="5" borderId="8" xfId="0" applyNumberFormat="1" applyFont="1" applyFill="1" applyBorder="1" applyAlignment="1">
      <alignment horizontal="center" vertical="center" wrapText="1"/>
    </xf>
    <xf numFmtId="1" fontId="7" fillId="5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 vertical="center" wrapText="1"/>
    </xf>
    <xf numFmtId="165" fontId="7" fillId="3" borderId="7" xfId="0" applyNumberFormat="1" applyFont="1" applyFill="1" applyBorder="1" applyAlignment="1">
      <alignment horizontal="center" vertical="center" wrapText="1"/>
    </xf>
    <xf numFmtId="165" fontId="7" fillId="5" borderId="6" xfId="0" applyNumberFormat="1" applyFont="1" applyFill="1" applyBorder="1" applyAlignment="1">
      <alignment horizontal="center" vertical="center" wrapText="1"/>
    </xf>
    <xf numFmtId="165" fontId="14" fillId="0" borderId="1" xfId="0" applyNumberFormat="1" applyFont="1" applyFill="1" applyBorder="1" applyAlignment="1">
      <alignment horizontal="center" vertical="center" wrapText="1"/>
    </xf>
    <xf numFmtId="165" fontId="21" fillId="8" borderId="1" xfId="0" applyNumberFormat="1" applyFont="1" applyFill="1" applyBorder="1" applyAlignment="1">
      <alignment horizontal="center" vertical="center" wrapText="1"/>
    </xf>
    <xf numFmtId="169" fontId="7" fillId="2" borderId="1" xfId="1" applyNumberFormat="1" applyFont="1" applyFill="1" applyBorder="1" applyAlignment="1">
      <alignment horizontal="center" vertical="center" wrapText="1"/>
    </xf>
    <xf numFmtId="169" fontId="9" fillId="0" borderId="1" xfId="1" applyNumberFormat="1" applyFont="1" applyFill="1" applyBorder="1" applyAlignment="1">
      <alignment horizontal="center"/>
    </xf>
    <xf numFmtId="1" fontId="23" fillId="2" borderId="1" xfId="0" applyNumberFormat="1" applyFont="1" applyFill="1" applyBorder="1" applyAlignment="1">
      <alignment horizontal="center" vertical="center" wrapText="1"/>
    </xf>
    <xf numFmtId="166" fontId="23" fillId="2" borderId="1" xfId="0" applyNumberFormat="1" applyFont="1" applyFill="1" applyBorder="1" applyAlignment="1">
      <alignment horizontal="center" vertical="center" wrapText="1"/>
    </xf>
    <xf numFmtId="49" fontId="23" fillId="2" borderId="1" xfId="0" applyNumberFormat="1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169" fontId="23" fillId="2" borderId="1" xfId="1" applyNumberFormat="1" applyFont="1" applyFill="1" applyBorder="1" applyAlignment="1">
      <alignment horizontal="center" vertical="center" wrapText="1"/>
    </xf>
    <xf numFmtId="1" fontId="23" fillId="5" borderId="1" xfId="0" applyNumberFormat="1" applyFont="1" applyFill="1" applyBorder="1" applyAlignment="1">
      <alignment horizontal="center" vertical="center" wrapText="1"/>
    </xf>
    <xf numFmtId="165" fontId="24" fillId="3" borderId="1" xfId="0" applyNumberFormat="1" applyFont="1" applyFill="1" applyBorder="1" applyAlignment="1">
      <alignment horizontal="center" vertical="center" wrapText="1"/>
    </xf>
    <xf numFmtId="165" fontId="25" fillId="8" borderId="1" xfId="0" applyNumberFormat="1" applyFont="1" applyFill="1" applyBorder="1" applyAlignment="1">
      <alignment horizontal="center" vertical="center" wrapText="1"/>
    </xf>
    <xf numFmtId="1" fontId="24" fillId="5" borderId="1" xfId="0" applyNumberFormat="1" applyFont="1" applyFill="1" applyBorder="1" applyAlignment="1">
      <alignment horizontal="center" vertical="center" wrapText="1"/>
    </xf>
    <xf numFmtId="1" fontId="24" fillId="3" borderId="1" xfId="0" applyNumberFormat="1" applyFont="1" applyFill="1" applyBorder="1" applyAlignment="1">
      <alignment horizontal="center" vertical="center" wrapText="1"/>
    </xf>
    <xf numFmtId="1" fontId="24" fillId="3" borderId="2" xfId="0" applyNumberFormat="1" applyFont="1" applyFill="1" applyBorder="1" applyAlignment="1">
      <alignment horizontal="center" vertical="center" wrapText="1"/>
    </xf>
    <xf numFmtId="1" fontId="24" fillId="5" borderId="9" xfId="0" applyNumberFormat="1" applyFont="1" applyFill="1" applyBorder="1" applyAlignment="1">
      <alignment horizontal="center" vertical="center" wrapText="1"/>
    </xf>
    <xf numFmtId="165" fontId="24" fillId="4" borderId="4" xfId="0" applyNumberFormat="1" applyFont="1" applyFill="1" applyBorder="1" applyAlignment="1">
      <alignment horizontal="center" vertical="center" wrapText="1"/>
    </xf>
    <xf numFmtId="165" fontId="24" fillId="6" borderId="5" xfId="0" applyNumberFormat="1" applyFont="1" applyFill="1" applyBorder="1" applyAlignment="1">
      <alignment horizontal="center" vertical="center" wrapText="1"/>
    </xf>
    <xf numFmtId="165" fontId="24" fillId="5" borderId="4" xfId="0" applyNumberFormat="1" applyFont="1" applyFill="1" applyBorder="1" applyAlignment="1">
      <alignment horizontal="center" vertical="center" wrapText="1"/>
    </xf>
    <xf numFmtId="165" fontId="24" fillId="3" borderId="5" xfId="0" applyNumberFormat="1" applyFont="1" applyFill="1" applyBorder="1" applyAlignment="1">
      <alignment horizontal="center" vertical="center" wrapText="1"/>
    </xf>
    <xf numFmtId="165" fontId="24" fillId="2" borderId="3" xfId="0" applyNumberFormat="1" applyFont="1" applyFill="1" applyBorder="1" applyAlignment="1">
      <alignment horizontal="center" vertical="center" wrapText="1"/>
    </xf>
    <xf numFmtId="165" fontId="24" fillId="2" borderId="1" xfId="0" applyNumberFormat="1" applyFont="1" applyFill="1" applyBorder="1" applyAlignment="1">
      <alignment horizontal="center" vertical="center" wrapText="1"/>
    </xf>
    <xf numFmtId="1" fontId="24" fillId="2" borderId="1" xfId="0" applyNumberFormat="1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24" fillId="0" borderId="0" xfId="0" applyFont="1" applyFill="1" applyAlignment="1">
      <alignment horizontal="center" vertical="center" wrapText="1"/>
    </xf>
    <xf numFmtId="0" fontId="6" fillId="0" borderId="0" xfId="0" applyFont="1" applyFill="1" applyBorder="1"/>
    <xf numFmtId="1" fontId="3" fillId="0" borderId="0" xfId="0" applyNumberFormat="1" applyFont="1" applyFill="1"/>
    <xf numFmtId="1" fontId="5" fillId="0" borderId="1" xfId="0" applyNumberFormat="1" applyFont="1" applyFill="1" applyBorder="1" applyAlignment="1">
      <alignment horizontal="center" wrapText="1"/>
    </xf>
    <xf numFmtId="165" fontId="27" fillId="0" borderId="1" xfId="0" applyNumberFormat="1" applyFont="1" applyFill="1" applyBorder="1" applyAlignment="1">
      <alignment horizontal="center"/>
    </xf>
    <xf numFmtId="165" fontId="27" fillId="0" borderId="1" xfId="0" applyNumberFormat="1" applyFont="1" applyFill="1" applyBorder="1" applyAlignment="1">
      <alignment horizontal="center" vertical="center" wrapText="1"/>
    </xf>
    <xf numFmtId="165" fontId="28" fillId="2" borderId="1" xfId="0" applyNumberFormat="1" applyFont="1" applyFill="1" applyBorder="1" applyAlignment="1">
      <alignment horizontal="center" vertical="center" wrapText="1"/>
    </xf>
    <xf numFmtId="0" fontId="24" fillId="13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1" fontId="29" fillId="2" borderId="1" xfId="0" applyNumberFormat="1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165" fontId="32" fillId="2" borderId="1" xfId="0" applyNumberFormat="1" applyFont="1" applyFill="1" applyBorder="1" applyAlignment="1">
      <alignment horizontal="center" vertical="center" wrapText="1"/>
    </xf>
    <xf numFmtId="1" fontId="26" fillId="10" borderId="1" xfId="0" applyNumberFormat="1" applyFont="1" applyFill="1" applyBorder="1" applyAlignment="1">
      <alignment horizontal="center"/>
    </xf>
    <xf numFmtId="1" fontId="23" fillId="2" borderId="2" xfId="0" applyNumberFormat="1" applyFont="1" applyFill="1" applyBorder="1" applyAlignment="1">
      <alignment horizontal="center" vertical="center" wrapText="1"/>
    </xf>
    <xf numFmtId="1" fontId="7" fillId="2" borderId="2" xfId="0" applyNumberFormat="1" applyFont="1" applyFill="1" applyBorder="1" applyAlignment="1">
      <alignment horizontal="center" vertical="center" wrapText="1"/>
    </xf>
    <xf numFmtId="165" fontId="23" fillId="3" borderId="3" xfId="0" applyNumberFormat="1" applyFont="1" applyFill="1" applyBorder="1" applyAlignment="1">
      <alignment horizontal="center" vertical="center" wrapText="1"/>
    </xf>
    <xf numFmtId="165" fontId="7" fillId="3" borderId="3" xfId="0" applyNumberFormat="1" applyFont="1" applyFill="1" applyBorder="1" applyAlignment="1">
      <alignment horizontal="center" vertical="center" wrapText="1"/>
    </xf>
    <xf numFmtId="1" fontId="26" fillId="10" borderId="30" xfId="0" applyNumberFormat="1" applyFont="1" applyFill="1" applyBorder="1" applyAlignment="1">
      <alignment horizontal="center" vertical="center" wrapText="1"/>
    </xf>
    <xf numFmtId="1" fontId="26" fillId="12" borderId="30" xfId="0" applyNumberFormat="1" applyFont="1" applyFill="1" applyBorder="1" applyAlignment="1">
      <alignment horizontal="center" vertical="center" wrapText="1"/>
    </xf>
    <xf numFmtId="1" fontId="21" fillId="10" borderId="30" xfId="0" applyNumberFormat="1" applyFont="1" applyFill="1" applyBorder="1" applyAlignment="1">
      <alignment horizontal="center" vertical="center" wrapText="1"/>
    </xf>
    <xf numFmtId="1" fontId="21" fillId="12" borderId="30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/>
    </xf>
    <xf numFmtId="0" fontId="3" fillId="0" borderId="1" xfId="0" applyFont="1" applyFill="1" applyBorder="1"/>
    <xf numFmtId="2" fontId="0" fillId="0" borderId="0" xfId="0" applyNumberFormat="1" applyAlignment="1">
      <alignment wrapText="1"/>
    </xf>
    <xf numFmtId="0" fontId="3" fillId="0" borderId="1" xfId="0" applyFont="1" applyFill="1" applyBorder="1" applyAlignment="1">
      <alignment horizontal="center" vertical="center"/>
    </xf>
    <xf numFmtId="14" fontId="11" fillId="0" borderId="1" xfId="0" applyNumberFormat="1" applyFont="1" applyFill="1" applyBorder="1" applyAlignment="1">
      <alignment horizontal="center"/>
    </xf>
    <xf numFmtId="1" fontId="9" fillId="5" borderId="1" xfId="0" applyNumberFormat="1" applyFont="1" applyFill="1" applyBorder="1" applyAlignment="1">
      <alignment horizontal="center"/>
    </xf>
    <xf numFmtId="1" fontId="26" fillId="20" borderId="1" xfId="0" applyNumberFormat="1" applyFont="1" applyFill="1" applyBorder="1" applyAlignment="1">
      <alignment horizontal="center"/>
    </xf>
    <xf numFmtId="165" fontId="33" fillId="12" borderId="1" xfId="0" applyNumberFormat="1" applyFont="1" applyFill="1" applyBorder="1" applyAlignment="1">
      <alignment horizontal="center" vertical="center" wrapText="1"/>
    </xf>
    <xf numFmtId="165" fontId="9" fillId="3" borderId="1" xfId="0" applyNumberFormat="1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34" fillId="0" borderId="0" xfId="0" applyFont="1"/>
    <xf numFmtId="1" fontId="35" fillId="19" borderId="1" xfId="0" applyNumberFormat="1" applyFont="1" applyFill="1" applyBorder="1" applyAlignment="1">
      <alignment horizontal="center" vertical="center" wrapText="1"/>
    </xf>
    <xf numFmtId="1" fontId="37" fillId="19" borderId="1" xfId="0" applyNumberFormat="1" applyFont="1" applyFill="1" applyBorder="1" applyAlignment="1">
      <alignment horizontal="center" vertical="center" wrapText="1"/>
    </xf>
    <xf numFmtId="1" fontId="35" fillId="19" borderId="31" xfId="0" applyNumberFormat="1" applyFont="1" applyFill="1" applyBorder="1" applyAlignment="1">
      <alignment horizontal="center" vertical="center" wrapText="1"/>
    </xf>
    <xf numFmtId="1" fontId="36" fillId="21" borderId="1" xfId="0" applyNumberFormat="1" applyFont="1" applyFill="1" applyBorder="1" applyAlignment="1">
      <alignment horizontal="center" vertical="center" wrapText="1"/>
    </xf>
    <xf numFmtId="1" fontId="10" fillId="2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 vertical="center"/>
    </xf>
    <xf numFmtId="1" fontId="38" fillId="19" borderId="1" xfId="0" applyNumberFormat="1" applyFont="1" applyFill="1" applyBorder="1" applyAlignment="1">
      <alignment horizontal="center" vertical="center" wrapText="1"/>
    </xf>
    <xf numFmtId="1" fontId="21" fillId="10" borderId="1" xfId="0" applyNumberFormat="1" applyFont="1" applyFill="1" applyBorder="1" applyAlignment="1">
      <alignment horizontal="center" vertical="center" wrapText="1"/>
    </xf>
    <xf numFmtId="1" fontId="21" fillId="12" borderId="1" xfId="0" applyNumberFormat="1" applyFont="1" applyFill="1" applyBorder="1" applyAlignment="1">
      <alignment horizontal="center" vertical="center" wrapText="1"/>
    </xf>
    <xf numFmtId="165" fontId="7" fillId="3" borderId="1" xfId="0" applyNumberFormat="1" applyFont="1" applyFill="1" applyBorder="1" applyAlignment="1">
      <alignment horizontal="center" vertical="center" wrapText="1"/>
    </xf>
    <xf numFmtId="165" fontId="5" fillId="4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vertical="center" wrapText="1"/>
    </xf>
    <xf numFmtId="165" fontId="7" fillId="5" borderId="1" xfId="0" applyNumberFormat="1" applyFont="1" applyFill="1" applyBorder="1" applyAlignment="1">
      <alignment horizontal="center" vertical="center" wrapText="1"/>
    </xf>
    <xf numFmtId="1" fontId="26" fillId="2" borderId="1" xfId="0" applyNumberFormat="1" applyFont="1" applyFill="1" applyBorder="1" applyAlignment="1">
      <alignment horizontal="center" vertical="center" wrapText="1"/>
    </xf>
    <xf numFmtId="165" fontId="23" fillId="2" borderId="1" xfId="0" applyNumberFormat="1" applyFont="1" applyFill="1" applyBorder="1" applyAlignment="1">
      <alignment horizontal="center" vertical="center" wrapText="1"/>
    </xf>
    <xf numFmtId="165" fontId="25" fillId="2" borderId="1" xfId="0" applyNumberFormat="1" applyFont="1" applyFill="1" applyBorder="1" applyAlignment="1">
      <alignment horizontal="center" vertical="center" wrapText="1"/>
    </xf>
    <xf numFmtId="1" fontId="35" fillId="2" borderId="1" xfId="0" applyNumberFormat="1" applyFont="1" applyFill="1" applyBorder="1" applyAlignment="1">
      <alignment horizontal="center" vertical="center" wrapText="1"/>
    </xf>
    <xf numFmtId="2" fontId="9" fillId="0" borderId="1" xfId="0" applyNumberFormat="1" applyFont="1" applyFill="1" applyBorder="1" applyAlignment="1">
      <alignment horizontal="center" wrapText="1"/>
    </xf>
    <xf numFmtId="165" fontId="3" fillId="0" borderId="1" xfId="0" applyNumberFormat="1" applyFont="1" applyFill="1" applyBorder="1" applyAlignment="1">
      <alignment horizontal="center" vertical="center" wrapText="1"/>
    </xf>
    <xf numFmtId="165" fontId="8" fillId="0" borderId="1" xfId="0" applyNumberFormat="1" applyFont="1" applyFill="1" applyBorder="1" applyAlignment="1">
      <alignment horizontal="center"/>
    </xf>
    <xf numFmtId="2" fontId="26" fillId="0" borderId="1" xfId="0" applyNumberFormat="1" applyFont="1" applyFill="1" applyBorder="1" applyAlignment="1">
      <alignment horizontal="center" wrapText="1"/>
    </xf>
    <xf numFmtId="1" fontId="26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1" fontId="38" fillId="0" borderId="1" xfId="0" applyNumberFormat="1" applyFont="1" applyFill="1" applyBorder="1" applyAlignment="1">
      <alignment horizontal="center" vertical="center" wrapText="1"/>
    </xf>
    <xf numFmtId="1" fontId="37" fillId="0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/>
    </xf>
    <xf numFmtId="167" fontId="9" fillId="0" borderId="1" xfId="0" applyNumberFormat="1" applyFont="1" applyFill="1" applyBorder="1" applyAlignment="1">
      <alignment horizontal="center"/>
    </xf>
    <xf numFmtId="168" fontId="9" fillId="0" borderId="1" xfId="1" applyNumberFormat="1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26" fillId="2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5" fontId="3" fillId="0" borderId="1" xfId="0" applyNumberFormat="1" applyFont="1" applyFill="1" applyBorder="1" applyAlignment="1">
      <alignment horizontal="center"/>
    </xf>
    <xf numFmtId="1" fontId="5" fillId="0" borderId="2" xfId="0" applyNumberFormat="1" applyFont="1" applyFill="1" applyBorder="1" applyAlignment="1">
      <alignment horizontal="center" wrapText="1"/>
    </xf>
    <xf numFmtId="0" fontId="0" fillId="0" borderId="1" xfId="0" applyBorder="1"/>
    <xf numFmtId="0" fontId="3" fillId="0" borderId="1" xfId="0" applyFont="1" applyFill="1" applyBorder="1" applyAlignment="1">
      <alignment horizontal="left"/>
    </xf>
    <xf numFmtId="1" fontId="9" fillId="0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65" fontId="3" fillId="0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0" fontId="0" fillId="0" borderId="1" xfId="0" applyFill="1" applyBorder="1" applyAlignment="1">
      <alignment horizontal="left"/>
    </xf>
    <xf numFmtId="0" fontId="0" fillId="28" borderId="0" xfId="0" applyFill="1"/>
    <xf numFmtId="0" fontId="49" fillId="30" borderId="26" xfId="0" applyFont="1" applyFill="1" applyBorder="1" applyAlignment="1">
      <alignment horizontal="center" vertical="center" textRotation="90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40" fillId="30" borderId="26" xfId="0" applyFont="1" applyFill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/>
    </xf>
    <xf numFmtId="0" fontId="54" fillId="26" borderId="26" xfId="0" applyFont="1" applyFill="1" applyBorder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0" fillId="0" borderId="20" xfId="0" applyBorder="1"/>
    <xf numFmtId="0" fontId="0" fillId="0" borderId="11" xfId="0" applyBorder="1"/>
    <xf numFmtId="0" fontId="47" fillId="28" borderId="26" xfId="0" applyFont="1" applyFill="1" applyBorder="1" applyAlignment="1">
      <alignment horizontal="center" vertical="center"/>
    </xf>
    <xf numFmtId="0" fontId="56" fillId="0" borderId="26" xfId="0" applyFont="1" applyBorder="1" applyAlignment="1">
      <alignment horizontal="center" vertical="center"/>
    </xf>
    <xf numFmtId="170" fontId="55" fillId="28" borderId="26" xfId="0" applyNumberFormat="1" applyFont="1" applyFill="1" applyBorder="1" applyAlignment="1">
      <alignment horizontal="center" vertical="center"/>
    </xf>
    <xf numFmtId="0" fontId="18" fillId="13" borderId="26" xfId="0" applyFont="1" applyFill="1" applyBorder="1" applyAlignment="1">
      <alignment horizontal="center" vertical="center"/>
    </xf>
    <xf numFmtId="0" fontId="48" fillId="29" borderId="22" xfId="0" applyFont="1" applyFill="1" applyBorder="1" applyAlignment="1">
      <alignment horizontal="center" vertical="center"/>
    </xf>
    <xf numFmtId="0" fontId="48" fillId="29" borderId="26" xfId="0" applyFont="1" applyFill="1" applyBorder="1" applyAlignment="1">
      <alignment horizontal="center" vertical="center"/>
    </xf>
    <xf numFmtId="0" fontId="48" fillId="29" borderId="24" xfId="0" applyFont="1" applyFill="1" applyBorder="1" applyAlignment="1">
      <alignment horizontal="center" vertical="center"/>
    </xf>
    <xf numFmtId="0" fontId="68" fillId="7" borderId="37" xfId="0" applyFont="1" applyFill="1" applyBorder="1" applyAlignment="1">
      <alignment horizontal="center" vertical="center"/>
    </xf>
    <xf numFmtId="0" fontId="69" fillId="7" borderId="36" xfId="0" applyFont="1" applyFill="1" applyBorder="1" applyAlignment="1">
      <alignment horizontal="center" vertical="center"/>
    </xf>
    <xf numFmtId="0" fontId="69" fillId="7" borderId="37" xfId="0" applyFont="1" applyFill="1" applyBorder="1" applyAlignment="1">
      <alignment horizontal="center" vertical="center"/>
    </xf>
    <xf numFmtId="170" fontId="72" fillId="17" borderId="12" xfId="0" applyNumberFormat="1" applyFont="1" applyFill="1" applyBorder="1" applyAlignment="1">
      <alignment horizontal="center" vertical="center"/>
    </xf>
    <xf numFmtId="10" fontId="72" fillId="11" borderId="37" xfId="0" applyNumberFormat="1" applyFont="1" applyFill="1" applyBorder="1" applyAlignment="1">
      <alignment horizontal="center" vertical="center"/>
    </xf>
    <xf numFmtId="0" fontId="69" fillId="11" borderId="26" xfId="0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69" fillId="7" borderId="12" xfId="0" applyFont="1" applyFill="1" applyBorder="1" applyAlignment="1">
      <alignment horizontal="center" vertical="center"/>
    </xf>
    <xf numFmtId="0" fontId="69" fillId="7" borderId="13" xfId="0" applyFont="1" applyFill="1" applyBorder="1" applyAlignment="1">
      <alignment horizontal="center" vertical="center"/>
    </xf>
    <xf numFmtId="0" fontId="69" fillId="7" borderId="14" xfId="0" applyFont="1" applyFill="1" applyBorder="1" applyAlignment="1">
      <alignment horizontal="center" vertical="center"/>
    </xf>
    <xf numFmtId="0" fontId="58" fillId="16" borderId="12" xfId="0" applyFont="1" applyFill="1" applyBorder="1" applyAlignment="1">
      <alignment horizontal="center" vertical="center"/>
    </xf>
    <xf numFmtId="0" fontId="58" fillId="16" borderId="13" xfId="0" applyFont="1" applyFill="1" applyBorder="1" applyAlignment="1">
      <alignment horizontal="center" vertical="center"/>
    </xf>
    <xf numFmtId="0" fontId="58" fillId="16" borderId="14" xfId="0" applyFont="1" applyFill="1" applyBorder="1" applyAlignment="1">
      <alignment horizontal="center" vertical="center"/>
    </xf>
    <xf numFmtId="0" fontId="75" fillId="10" borderId="12" xfId="0" applyFont="1" applyFill="1" applyBorder="1" applyAlignment="1">
      <alignment horizontal="center" vertical="center"/>
    </xf>
    <xf numFmtId="170" fontId="76" fillId="10" borderId="12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 wrapText="1"/>
    </xf>
    <xf numFmtId="165" fontId="3" fillId="0" borderId="2" xfId="0" applyNumberFormat="1" applyFont="1" applyFill="1" applyBorder="1" applyAlignment="1">
      <alignment horizontal="center"/>
    </xf>
    <xf numFmtId="165" fontId="3" fillId="0" borderId="0" xfId="0" applyNumberFormat="1" applyFont="1" applyFill="1" applyAlignment="1">
      <alignment horizontal="center"/>
    </xf>
    <xf numFmtId="165" fontId="14" fillId="3" borderId="1" xfId="0" applyNumberFormat="1" applyFont="1" applyFill="1" applyBorder="1" applyAlignment="1">
      <alignment horizontal="center" wrapText="1"/>
    </xf>
    <xf numFmtId="165" fontId="6" fillId="0" borderId="0" xfId="0" applyNumberFormat="1" applyFont="1" applyAlignment="1">
      <alignment horizontal="center"/>
    </xf>
    <xf numFmtId="165" fontId="4" fillId="3" borderId="1" xfId="0" applyNumberFormat="1" applyFont="1" applyFill="1" applyBorder="1" applyAlignment="1">
      <alignment horizontal="center" vertical="center" wrapText="1"/>
    </xf>
    <xf numFmtId="0" fontId="13" fillId="0" borderId="0" xfId="0" applyFont="1"/>
    <xf numFmtId="0" fontId="15" fillId="32" borderId="26" xfId="0" applyFont="1" applyFill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17" fillId="7" borderId="26" xfId="0" applyFont="1" applyFill="1" applyBorder="1" applyAlignment="1">
      <alignment horizontal="center" vertical="center"/>
    </xf>
    <xf numFmtId="0" fontId="42" fillId="32" borderId="26" xfId="0" applyFont="1" applyFill="1" applyBorder="1" applyAlignment="1">
      <alignment horizontal="center" vertical="center" wrapText="1"/>
    </xf>
    <xf numFmtId="0" fontId="39" fillId="0" borderId="26" xfId="0" applyFont="1" applyBorder="1" applyAlignment="1">
      <alignment horizontal="center" vertical="center"/>
    </xf>
    <xf numFmtId="49" fontId="12" fillId="33" borderId="1" xfId="0" applyNumberFormat="1" applyFont="1" applyFill="1" applyBorder="1" applyAlignment="1">
      <alignment horizontal="center" vertical="center" wrapText="1"/>
    </xf>
    <xf numFmtId="49" fontId="12" fillId="0" borderId="21" xfId="0" applyNumberFormat="1" applyFont="1" applyFill="1" applyBorder="1" applyAlignment="1">
      <alignment horizontal="center" vertical="center" wrapText="1"/>
    </xf>
    <xf numFmtId="1" fontId="5" fillId="0" borderId="21" xfId="0" applyNumberFormat="1" applyFont="1" applyFill="1" applyBorder="1" applyAlignment="1">
      <alignment horizontal="center" wrapText="1"/>
    </xf>
    <xf numFmtId="1" fontId="10" fillId="0" borderId="21" xfId="0" applyNumberFormat="1" applyFont="1" applyFill="1" applyBorder="1" applyAlignment="1">
      <alignment horizontal="center"/>
    </xf>
    <xf numFmtId="49" fontId="4" fillId="0" borderId="21" xfId="0" applyNumberFormat="1" applyFont="1" applyFill="1" applyBorder="1" applyAlignment="1">
      <alignment horizontal="center"/>
    </xf>
    <xf numFmtId="0" fontId="11" fillId="0" borderId="21" xfId="0" applyFont="1" applyFill="1" applyBorder="1" applyAlignment="1">
      <alignment horizontal="center"/>
    </xf>
    <xf numFmtId="165" fontId="9" fillId="0" borderId="21" xfId="0" applyNumberFormat="1" applyFont="1" applyFill="1" applyBorder="1" applyAlignment="1">
      <alignment horizontal="center"/>
    </xf>
    <xf numFmtId="169" fontId="9" fillId="0" borderId="21" xfId="1" applyNumberFormat="1" applyFont="1" applyFill="1" applyBorder="1" applyAlignment="1">
      <alignment horizontal="center"/>
    </xf>
    <xf numFmtId="165" fontId="27" fillId="0" borderId="21" xfId="0" applyNumberFormat="1" applyFont="1" applyFill="1" applyBorder="1" applyAlignment="1">
      <alignment horizontal="center"/>
    </xf>
    <xf numFmtId="165" fontId="14" fillId="0" borderId="21" xfId="0" applyNumberFormat="1" applyFont="1" applyFill="1" applyBorder="1" applyAlignment="1">
      <alignment horizontal="center" vertical="center" wrapText="1"/>
    </xf>
    <xf numFmtId="1" fontId="9" fillId="5" borderId="21" xfId="0" applyNumberFormat="1" applyFont="1" applyFill="1" applyBorder="1" applyAlignment="1">
      <alignment horizontal="center"/>
    </xf>
    <xf numFmtId="1" fontId="9" fillId="0" borderId="21" xfId="0" applyNumberFormat="1" applyFont="1" applyFill="1" applyBorder="1" applyAlignment="1">
      <alignment horizontal="center"/>
    </xf>
    <xf numFmtId="1" fontId="26" fillId="10" borderId="21" xfId="0" applyNumberFormat="1" applyFont="1" applyFill="1" applyBorder="1" applyAlignment="1">
      <alignment horizontal="center"/>
    </xf>
    <xf numFmtId="49" fontId="26" fillId="20" borderId="21" xfId="0" applyNumberFormat="1" applyFont="1" applyFill="1" applyBorder="1" applyAlignment="1">
      <alignment horizontal="center"/>
    </xf>
    <xf numFmtId="165" fontId="10" fillId="0" borderId="21" xfId="0" applyNumberFormat="1" applyFont="1" applyFill="1" applyBorder="1" applyAlignment="1">
      <alignment horizontal="center"/>
    </xf>
    <xf numFmtId="1" fontId="4" fillId="0" borderId="21" xfId="0" applyNumberFormat="1" applyFont="1" applyFill="1" applyBorder="1" applyAlignment="1">
      <alignment horizontal="center"/>
    </xf>
    <xf numFmtId="1" fontId="38" fillId="19" borderId="21" xfId="0" applyNumberFormat="1" applyFont="1" applyFill="1" applyBorder="1" applyAlignment="1">
      <alignment horizontal="center" vertical="center" wrapText="1"/>
    </xf>
    <xf numFmtId="165" fontId="9" fillId="3" borderId="21" xfId="0" applyNumberFormat="1" applyFont="1" applyFill="1" applyBorder="1" applyAlignment="1">
      <alignment horizontal="center"/>
    </xf>
    <xf numFmtId="1" fontId="37" fillId="19" borderId="21" xfId="0" applyNumberFormat="1" applyFont="1" applyFill="1" applyBorder="1" applyAlignment="1">
      <alignment horizontal="center" vertical="center" wrapText="1"/>
    </xf>
    <xf numFmtId="1" fontId="10" fillId="2" borderId="21" xfId="0" applyNumberFormat="1" applyFont="1" applyFill="1" applyBorder="1" applyAlignment="1">
      <alignment horizontal="center"/>
    </xf>
    <xf numFmtId="0" fontId="3" fillId="0" borderId="21" xfId="0" applyFont="1" applyFill="1" applyBorder="1" applyAlignment="1">
      <alignment horizontal="center" vertical="center"/>
    </xf>
    <xf numFmtId="0" fontId="49" fillId="19" borderId="26" xfId="0" applyFont="1" applyFill="1" applyBorder="1" applyAlignment="1">
      <alignment horizontal="center" vertical="center" textRotation="90"/>
    </xf>
    <xf numFmtId="10" fontId="80" fillId="19" borderId="37" xfId="0" applyNumberFormat="1" applyFont="1" applyFill="1" applyBorder="1" applyAlignment="1">
      <alignment horizontal="center" vertical="center"/>
    </xf>
    <xf numFmtId="0" fontId="81" fillId="19" borderId="12" xfId="0" applyFont="1" applyFill="1" applyBorder="1" applyAlignment="1">
      <alignment horizontal="center" vertical="center"/>
    </xf>
    <xf numFmtId="0" fontId="81" fillId="19" borderId="13" xfId="0" applyFont="1" applyFill="1" applyBorder="1" applyAlignment="1">
      <alignment horizontal="center" vertical="center"/>
    </xf>
    <xf numFmtId="0" fontId="81" fillId="19" borderId="14" xfId="0" applyFont="1" applyFill="1" applyBorder="1" applyAlignment="1">
      <alignment horizontal="center" vertical="center"/>
    </xf>
    <xf numFmtId="0" fontId="82" fillId="19" borderId="26" xfId="0" applyFont="1" applyFill="1" applyBorder="1" applyAlignment="1">
      <alignment horizontal="center" vertical="center" wrapText="1"/>
    </xf>
    <xf numFmtId="0" fontId="81" fillId="19" borderId="26" xfId="0" applyFont="1" applyFill="1" applyBorder="1" applyAlignment="1">
      <alignment horizontal="center" vertical="center"/>
    </xf>
    <xf numFmtId="0" fontId="17" fillId="19" borderId="26" xfId="0" applyFont="1" applyFill="1" applyBorder="1" applyAlignment="1">
      <alignment horizontal="center" vertical="center"/>
    </xf>
    <xf numFmtId="0" fontId="84" fillId="19" borderId="26" xfId="0" applyFont="1" applyFill="1" applyBorder="1" applyAlignment="1">
      <alignment horizontal="center" vertical="center" wrapText="1"/>
    </xf>
    <xf numFmtId="0" fontId="50" fillId="19" borderId="26" xfId="0" applyFont="1" applyFill="1" applyBorder="1" applyAlignment="1">
      <alignment horizontal="center" vertical="center"/>
    </xf>
    <xf numFmtId="1" fontId="5" fillId="34" borderId="1" xfId="0" applyNumberFormat="1" applyFont="1" applyFill="1" applyBorder="1" applyAlignment="1">
      <alignment horizontal="center" wrapText="1"/>
    </xf>
    <xf numFmtId="1" fontId="10" fillId="33" borderId="1" xfId="0" applyNumberFormat="1" applyFont="1" applyFill="1" applyBorder="1" applyAlignment="1">
      <alignment horizontal="center"/>
    </xf>
    <xf numFmtId="1" fontId="10" fillId="18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35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left" vertical="center"/>
    </xf>
    <xf numFmtId="0" fontId="15" fillId="4" borderId="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left" vertical="center"/>
    </xf>
    <xf numFmtId="0" fontId="17" fillId="36" borderId="1" xfId="0" applyFont="1" applyFill="1" applyBorder="1" applyAlignment="1">
      <alignment horizontal="left" vertical="center"/>
    </xf>
    <xf numFmtId="0" fontId="17" fillId="37" borderId="1" xfId="0" applyFont="1" applyFill="1" applyBorder="1" applyAlignment="1">
      <alignment horizontal="left" vertical="center"/>
    </xf>
    <xf numFmtId="170" fontId="0" fillId="35" borderId="1" xfId="0" applyNumberFormat="1" applyFill="1" applyBorder="1" applyAlignment="1">
      <alignment horizontal="center" vertical="center" wrapText="1"/>
    </xf>
    <xf numFmtId="170" fontId="17" fillId="7" borderId="1" xfId="0" applyNumberFormat="1" applyFont="1" applyFill="1" applyBorder="1" applyAlignment="1">
      <alignment horizontal="center" vertical="center" wrapText="1"/>
    </xf>
    <xf numFmtId="170" fontId="0" fillId="0" borderId="0" xfId="0" applyNumberFormat="1" applyAlignment="1">
      <alignment horizontal="center" vertical="center" wrapText="1"/>
    </xf>
    <xf numFmtId="170" fontId="0" fillId="7" borderId="1" xfId="0" applyNumberFormat="1" applyFill="1" applyBorder="1" applyAlignment="1">
      <alignment horizontal="center" vertical="center" wrapText="1"/>
    </xf>
    <xf numFmtId="170" fontId="0" fillId="13" borderId="1" xfId="0" applyNumberFormat="1" applyFill="1" applyBorder="1" applyAlignment="1">
      <alignment horizontal="center" vertical="center" wrapText="1"/>
    </xf>
    <xf numFmtId="170" fontId="43" fillId="13" borderId="1" xfId="0" applyNumberFormat="1" applyFont="1" applyFill="1" applyBorder="1" applyAlignment="1">
      <alignment horizontal="center" vertical="center" wrapText="1"/>
    </xf>
    <xf numFmtId="170" fontId="15" fillId="4" borderId="1" xfId="0" applyNumberFormat="1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/>
    </xf>
    <xf numFmtId="14" fontId="24" fillId="2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1" fontId="10" fillId="0" borderId="21" xfId="0" applyNumberFormat="1" applyFont="1" applyFill="1" applyBorder="1" applyAlignment="1">
      <alignment horizontal="left"/>
    </xf>
    <xf numFmtId="14" fontId="10" fillId="0" borderId="1" xfId="0" applyNumberFormat="1" applyFont="1" applyFill="1" applyBorder="1" applyAlignment="1">
      <alignment horizontal="left"/>
    </xf>
    <xf numFmtId="49" fontId="4" fillId="8" borderId="1" xfId="0" applyNumberFormat="1" applyFont="1" applyFill="1" applyBorder="1" applyAlignment="1">
      <alignment horizontal="center"/>
    </xf>
    <xf numFmtId="169" fontId="9" fillId="40" borderId="1" xfId="1" applyNumberFormat="1" applyFont="1" applyFill="1" applyBorder="1" applyAlignment="1">
      <alignment horizontal="center"/>
    </xf>
    <xf numFmtId="0" fontId="39" fillId="28" borderId="21" xfId="0" applyFont="1" applyFill="1" applyBorder="1" applyAlignment="1">
      <alignment vertical="center"/>
    </xf>
    <xf numFmtId="0" fontId="89" fillId="41" borderId="1" xfId="0" applyFont="1" applyFill="1" applyBorder="1" applyAlignment="1">
      <alignment horizontal="center" vertical="center" wrapText="1"/>
    </xf>
    <xf numFmtId="0" fontId="39" fillId="28" borderId="37" xfId="0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/>
    </xf>
    <xf numFmtId="0" fontId="55" fillId="28" borderId="37" xfId="0" applyFont="1" applyFill="1" applyBorder="1" applyAlignment="1">
      <alignment horizontal="center" vertical="center"/>
    </xf>
    <xf numFmtId="0" fontId="92" fillId="25" borderId="1" xfId="0" applyFont="1" applyFill="1" applyBorder="1" applyAlignment="1">
      <alignment horizontal="center" vertical="center"/>
    </xf>
    <xf numFmtId="170" fontId="93" fillId="28" borderId="1" xfId="0" applyNumberFormat="1" applyFont="1" applyFill="1" applyBorder="1" applyAlignment="1">
      <alignment horizontal="center" vertical="center"/>
    </xf>
    <xf numFmtId="0" fontId="41" fillId="42" borderId="1" xfId="0" applyFont="1" applyFill="1" applyBorder="1" applyAlignment="1">
      <alignment horizontal="right" vertical="center" wrapText="1"/>
    </xf>
    <xf numFmtId="0" fontId="91" fillId="30" borderId="1" xfId="0" applyFont="1" applyFill="1" applyBorder="1" applyAlignment="1">
      <alignment vertical="center"/>
    </xf>
    <xf numFmtId="0" fontId="94" fillId="11" borderId="1" xfId="0" applyFont="1" applyFill="1" applyBorder="1" applyAlignment="1">
      <alignment vertical="center"/>
    </xf>
    <xf numFmtId="0" fontId="91" fillId="30" borderId="1" xfId="0" applyFont="1" applyFill="1" applyBorder="1" applyAlignment="1">
      <alignment vertical="center" wrapText="1"/>
    </xf>
    <xf numFmtId="0" fontId="94" fillId="7" borderId="1" xfId="0" applyFont="1" applyFill="1" applyBorder="1" applyAlignment="1">
      <alignment horizontal="center" vertical="center"/>
    </xf>
    <xf numFmtId="0" fontId="95" fillId="7" borderId="1" xfId="0" applyFont="1" applyFill="1" applyBorder="1" applyAlignment="1">
      <alignment horizontal="center" vertical="center"/>
    </xf>
    <xf numFmtId="0" fontId="96" fillId="44" borderId="1" xfId="0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right" vertical="center" wrapText="1"/>
    </xf>
    <xf numFmtId="0" fontId="94" fillId="13" borderId="1" xfId="0" applyFont="1" applyFill="1" applyBorder="1" applyAlignment="1">
      <alignment vertical="center"/>
    </xf>
    <xf numFmtId="0" fontId="94" fillId="13" borderId="1" xfId="0" applyFont="1" applyFill="1" applyBorder="1" applyAlignment="1">
      <alignment vertical="center" wrapText="1"/>
    </xf>
    <xf numFmtId="170" fontId="41" fillId="5" borderId="1" xfId="0" applyNumberFormat="1" applyFont="1" applyFill="1" applyBorder="1" applyAlignment="1">
      <alignment horizontal="center" vertical="center"/>
    </xf>
    <xf numFmtId="0" fontId="102" fillId="25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02" fillId="25" borderId="1" xfId="0" applyFont="1" applyFill="1" applyBorder="1" applyAlignment="1">
      <alignment horizontal="center" vertical="center"/>
    </xf>
    <xf numFmtId="0" fontId="104" fillId="28" borderId="1" xfId="0" applyFont="1" applyFill="1" applyBorder="1" applyAlignment="1">
      <alignment horizontal="center" vertical="center"/>
    </xf>
    <xf numFmtId="0" fontId="41" fillId="7" borderId="1" xfId="0" applyFont="1" applyFill="1" applyBorder="1" applyAlignment="1">
      <alignment horizontal="center" vertical="center"/>
    </xf>
    <xf numFmtId="0" fontId="41" fillId="5" borderId="1" xfId="0" applyFont="1" applyFill="1" applyBorder="1" applyAlignment="1">
      <alignment horizontal="center" vertical="center"/>
    </xf>
    <xf numFmtId="0" fontId="41" fillId="5" borderId="2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04" fillId="3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1" fontId="5" fillId="38" borderId="1" xfId="0" applyNumberFormat="1" applyFont="1" applyFill="1" applyBorder="1" applyAlignment="1">
      <alignment horizontal="center" wrapText="1"/>
    </xf>
    <xf numFmtId="49" fontId="12" fillId="48" borderId="1" xfId="0" applyNumberFormat="1" applyFont="1" applyFill="1" applyBorder="1" applyAlignment="1">
      <alignment horizontal="center" vertical="center" wrapText="1"/>
    </xf>
    <xf numFmtId="49" fontId="4" fillId="49" borderId="1" xfId="0" applyNumberFormat="1" applyFont="1" applyFill="1" applyBorder="1" applyAlignment="1">
      <alignment horizontal="center"/>
    </xf>
    <xf numFmtId="1" fontId="10" fillId="15" borderId="1" xfId="0" applyNumberFormat="1" applyFont="1" applyFill="1" applyBorder="1" applyAlignment="1">
      <alignment horizontal="center"/>
    </xf>
    <xf numFmtId="49" fontId="4" fillId="1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/>
    </xf>
    <xf numFmtId="165" fontId="3" fillId="0" borderId="21" xfId="0" applyNumberFormat="1" applyFont="1" applyFill="1" applyBorder="1" applyAlignment="1">
      <alignment horizontal="center" vertical="center"/>
    </xf>
    <xf numFmtId="0" fontId="65" fillId="10" borderId="2" xfId="0" applyFont="1" applyFill="1" applyBorder="1" applyAlignment="1">
      <alignment horizontal="center" vertical="center"/>
    </xf>
    <xf numFmtId="0" fontId="65" fillId="10" borderId="3" xfId="0" applyFont="1" applyFill="1" applyBorder="1" applyAlignment="1">
      <alignment horizontal="center" vertical="center"/>
    </xf>
    <xf numFmtId="0" fontId="65" fillId="10" borderId="10" xfId="0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 wrapText="1"/>
    </xf>
    <xf numFmtId="165" fontId="107" fillId="9" borderId="1" xfId="0" applyNumberFormat="1" applyFont="1" applyFill="1" applyBorder="1" applyAlignment="1">
      <alignment horizontal="center" vertical="center" wrapText="1"/>
    </xf>
    <xf numFmtId="165" fontId="107" fillId="9" borderId="21" xfId="0" applyNumberFormat="1" applyFont="1" applyFill="1" applyBorder="1" applyAlignment="1">
      <alignment horizontal="center" vertical="center" wrapText="1"/>
    </xf>
    <xf numFmtId="165" fontId="108" fillId="0" borderId="1" xfId="0" applyNumberFormat="1" applyFont="1" applyFill="1" applyBorder="1" applyAlignment="1">
      <alignment horizontal="center" vertical="center" wrapText="1"/>
    </xf>
    <xf numFmtId="165" fontId="108" fillId="0" borderId="1" xfId="0" applyNumberFormat="1" applyFont="1" applyFill="1" applyBorder="1" applyAlignment="1">
      <alignment horizontal="center" vertical="center"/>
    </xf>
    <xf numFmtId="165" fontId="108" fillId="0" borderId="1" xfId="0" applyNumberFormat="1" applyFont="1" applyBorder="1" applyAlignment="1">
      <alignment horizontal="center" vertical="center" wrapText="1"/>
    </xf>
    <xf numFmtId="165" fontId="108" fillId="0" borderId="0" xfId="0" applyNumberFormat="1" applyFont="1" applyAlignment="1">
      <alignment horizontal="center" vertical="center" wrapText="1"/>
    </xf>
    <xf numFmtId="0" fontId="109" fillId="9" borderId="1" xfId="0" applyFont="1" applyFill="1" applyBorder="1" applyAlignment="1">
      <alignment horizontal="left" vertical="center" wrapText="1"/>
    </xf>
    <xf numFmtId="0" fontId="110" fillId="0" borderId="1" xfId="0" applyFont="1" applyFill="1" applyBorder="1" applyAlignment="1">
      <alignment horizontal="left" vertical="center"/>
    </xf>
    <xf numFmtId="0" fontId="107" fillId="9" borderId="21" xfId="0" applyFont="1" applyFill="1" applyBorder="1" applyAlignment="1">
      <alignment horizontal="left" vertical="center" wrapText="1"/>
    </xf>
    <xf numFmtId="0" fontId="3" fillId="0" borderId="2" xfId="0" applyFont="1" applyFill="1" applyBorder="1"/>
    <xf numFmtId="0" fontId="15" fillId="4" borderId="1" xfId="0" applyFont="1" applyFill="1" applyBorder="1" applyAlignment="1">
      <alignment horizontal="center" vertical="center" wrapText="1"/>
    </xf>
    <xf numFmtId="49" fontId="4" fillId="36" borderId="1" xfId="0" applyNumberFormat="1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49" fontId="12" fillId="36" borderId="1" xfId="0" applyNumberFormat="1" applyFont="1" applyFill="1" applyBorder="1" applyAlignment="1">
      <alignment horizontal="center" vertical="center" wrapText="1"/>
    </xf>
    <xf numFmtId="49" fontId="4" fillId="13" borderId="1" xfId="0" applyNumberFormat="1" applyFont="1" applyFill="1" applyBorder="1" applyAlignment="1">
      <alignment horizontal="center"/>
    </xf>
    <xf numFmtId="167" fontId="3" fillId="0" borderId="1" xfId="0" applyNumberFormat="1" applyFont="1" applyFill="1" applyBorder="1" applyAlignment="1">
      <alignment horizontal="center" vertical="center"/>
    </xf>
    <xf numFmtId="14" fontId="14" fillId="45" borderId="1" xfId="0" applyNumberFormat="1" applyFont="1" applyFill="1" applyBorder="1" applyAlignment="1">
      <alignment horizontal="center" vertical="center"/>
    </xf>
    <xf numFmtId="171" fontId="9" fillId="40" borderId="1" xfId="1" applyNumberFormat="1" applyFont="1" applyFill="1" applyBorder="1" applyAlignment="1">
      <alignment horizontal="center"/>
    </xf>
    <xf numFmtId="171" fontId="9" fillId="0" borderId="1" xfId="1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65" fontId="3" fillId="0" borderId="3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/>
    </xf>
    <xf numFmtId="0" fontId="3" fillId="0" borderId="30" xfId="0" applyFont="1" applyFill="1" applyBorder="1" applyAlignment="1">
      <alignment horizontal="center" vertical="center"/>
    </xf>
    <xf numFmtId="0" fontId="24" fillId="0" borderId="49" xfId="0" applyFont="1" applyFill="1" applyBorder="1" applyAlignment="1">
      <alignment horizontal="center"/>
    </xf>
    <xf numFmtId="0" fontId="24" fillId="51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167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115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/>
    </xf>
    <xf numFmtId="14" fontId="5" fillId="5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53" xfId="0" applyFont="1" applyFill="1" applyBorder="1" applyAlignment="1">
      <alignment horizontal="center" vertical="center"/>
    </xf>
    <xf numFmtId="14" fontId="14" fillId="0" borderId="1" xfId="0" applyNumberFormat="1" applyFont="1" applyFill="1" applyBorder="1"/>
    <xf numFmtId="14" fontId="14" fillId="0" borderId="1" xfId="0" applyNumberFormat="1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/>
    </xf>
    <xf numFmtId="165" fontId="3" fillId="0" borderId="55" xfId="0" applyNumberFormat="1" applyFont="1" applyFill="1" applyBorder="1" applyAlignment="1">
      <alignment horizontal="center" vertical="center"/>
    </xf>
    <xf numFmtId="0" fontId="114" fillId="0" borderId="49" xfId="0" applyFont="1" applyFill="1" applyBorder="1" applyAlignment="1">
      <alignment horizontal="center" vertical="center"/>
    </xf>
    <xf numFmtId="0" fontId="3" fillId="0" borderId="30" xfId="0" applyFont="1" applyFill="1" applyBorder="1" applyAlignment="1">
      <alignment horizontal="left" vertical="center"/>
    </xf>
    <xf numFmtId="167" fontId="4" fillId="0" borderId="1" xfId="0" applyNumberFormat="1" applyFont="1" applyFill="1" applyBorder="1" applyAlignment="1">
      <alignment horizontal="center"/>
    </xf>
    <xf numFmtId="167" fontId="4" fillId="53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167" fontId="14" fillId="0" borderId="2" xfId="0" applyNumberFormat="1" applyFont="1" applyFill="1" applyBorder="1" applyAlignment="1">
      <alignment horizontal="center"/>
    </xf>
    <xf numFmtId="1" fontId="5" fillId="52" borderId="1" xfId="0" applyNumberFormat="1" applyFont="1" applyFill="1" applyBorder="1" applyAlignment="1">
      <alignment horizontal="center" wrapText="1"/>
    </xf>
    <xf numFmtId="1" fontId="117" fillId="31" borderId="1" xfId="0" applyNumberFormat="1" applyFont="1" applyFill="1" applyBorder="1" applyAlignment="1">
      <alignment horizontal="center"/>
    </xf>
    <xf numFmtId="1" fontId="118" fillId="0" borderId="1" xfId="0" applyNumberFormat="1" applyFont="1" applyFill="1" applyBorder="1" applyAlignment="1">
      <alignment horizontal="center"/>
    </xf>
    <xf numFmtId="0" fontId="4" fillId="51" borderId="1" xfId="0" applyFont="1" applyFill="1" applyBorder="1" applyAlignment="1">
      <alignment horizontal="center" vertical="center" wrapText="1"/>
    </xf>
    <xf numFmtId="165" fontId="119" fillId="31" borderId="1" xfId="0" applyNumberFormat="1" applyFont="1" applyFill="1" applyBorder="1" applyAlignment="1">
      <alignment horizontal="center"/>
    </xf>
    <xf numFmtId="0" fontId="14" fillId="0" borderId="50" xfId="0" applyFont="1" applyFill="1" applyBorder="1" applyAlignment="1">
      <alignment horizontal="center"/>
    </xf>
    <xf numFmtId="0" fontId="17" fillId="5" borderId="26" xfId="0" applyFont="1" applyFill="1" applyBorder="1" applyAlignment="1">
      <alignment horizontal="center" vertical="center"/>
    </xf>
    <xf numFmtId="172" fontId="0" fillId="0" borderId="0" xfId="0" applyNumberFormat="1"/>
    <xf numFmtId="172" fontId="49" fillId="19" borderId="74" xfId="0" applyNumberFormat="1" applyFont="1" applyFill="1" applyBorder="1" applyAlignment="1">
      <alignment horizontal="center" vertical="center" textRotation="90"/>
    </xf>
    <xf numFmtId="172" fontId="49" fillId="19" borderId="26" xfId="0" applyNumberFormat="1" applyFont="1" applyFill="1" applyBorder="1" applyAlignment="1">
      <alignment horizontal="center" vertical="center" textRotation="90"/>
    </xf>
    <xf numFmtId="172" fontId="49" fillId="19" borderId="75" xfId="0" applyNumberFormat="1" applyFont="1" applyFill="1" applyBorder="1" applyAlignment="1">
      <alignment horizontal="center" vertical="center" textRotation="90"/>
    </xf>
    <xf numFmtId="10" fontId="80" fillId="19" borderId="76" xfId="0" applyNumberFormat="1" applyFont="1" applyFill="1" applyBorder="1" applyAlignment="1">
      <alignment horizontal="center" vertical="center"/>
    </xf>
    <xf numFmtId="10" fontId="80" fillId="19" borderId="77" xfId="0" applyNumberFormat="1" applyFont="1" applyFill="1" applyBorder="1" applyAlignment="1">
      <alignment horizontal="center" vertical="center"/>
    </xf>
    <xf numFmtId="172" fontId="49" fillId="15" borderId="74" xfId="0" applyNumberFormat="1" applyFont="1" applyFill="1" applyBorder="1" applyAlignment="1">
      <alignment horizontal="center" vertical="center" textRotation="90"/>
    </xf>
    <xf numFmtId="172" fontId="49" fillId="15" borderId="26" xfId="0" applyNumberFormat="1" applyFont="1" applyFill="1" applyBorder="1" applyAlignment="1">
      <alignment horizontal="center" vertical="center" textRotation="90"/>
    </xf>
    <xf numFmtId="172" fontId="49" fillId="15" borderId="75" xfId="0" applyNumberFormat="1" applyFont="1" applyFill="1" applyBorder="1" applyAlignment="1">
      <alignment horizontal="center" vertical="center" textRotation="90"/>
    </xf>
    <xf numFmtId="0" fontId="68" fillId="7" borderId="76" xfId="0" applyNumberFormat="1" applyFont="1" applyFill="1" applyBorder="1" applyAlignment="1">
      <alignment horizontal="center" vertical="center"/>
    </xf>
    <xf numFmtId="0" fontId="68" fillId="7" borderId="37" xfId="0" applyNumberFormat="1" applyFont="1" applyFill="1" applyBorder="1" applyAlignment="1">
      <alignment horizontal="center" vertical="center"/>
    </xf>
    <xf numFmtId="0" fontId="68" fillId="7" borderId="77" xfId="0" applyNumberFormat="1" applyFont="1" applyFill="1" applyBorder="1" applyAlignment="1">
      <alignment horizontal="center" vertical="center"/>
    </xf>
    <xf numFmtId="0" fontId="68" fillId="45" borderId="76" xfId="0" applyNumberFormat="1" applyFont="1" applyFill="1" applyBorder="1" applyAlignment="1">
      <alignment horizontal="center" vertical="center"/>
    </xf>
    <xf numFmtId="0" fontId="68" fillId="45" borderId="37" xfId="0" applyNumberFormat="1" applyFont="1" applyFill="1" applyBorder="1" applyAlignment="1">
      <alignment horizontal="center" vertical="center"/>
    </xf>
    <xf numFmtId="0" fontId="68" fillId="45" borderId="77" xfId="0" applyNumberFormat="1" applyFont="1" applyFill="1" applyBorder="1" applyAlignment="1">
      <alignment horizontal="center" vertical="center"/>
    </xf>
    <xf numFmtId="14" fontId="3" fillId="29" borderId="1" xfId="0" applyNumberFormat="1" applyFont="1" applyFill="1" applyBorder="1" applyAlignment="1">
      <alignment horizontal="center" vertical="center"/>
    </xf>
    <xf numFmtId="165" fontId="3" fillId="56" borderId="2" xfId="0" applyNumberFormat="1" applyFont="1" applyFill="1" applyBorder="1" applyAlignment="1">
      <alignment horizontal="center"/>
    </xf>
    <xf numFmtId="14" fontId="3" fillId="56" borderId="1" xfId="0" applyNumberFormat="1" applyFont="1" applyFill="1" applyBorder="1" applyAlignment="1">
      <alignment horizontal="center" vertical="center"/>
    </xf>
    <xf numFmtId="165" fontId="3" fillId="5" borderId="2" xfId="0" applyNumberFormat="1" applyFont="1" applyFill="1" applyBorder="1" applyAlignment="1">
      <alignment horizontal="center"/>
    </xf>
    <xf numFmtId="0" fontId="69" fillId="11" borderId="74" xfId="0" applyNumberFormat="1" applyFont="1" applyFill="1" applyBorder="1" applyAlignment="1">
      <alignment horizontal="center" vertical="center"/>
    </xf>
    <xf numFmtId="0" fontId="69" fillId="11" borderId="26" xfId="0" applyNumberFormat="1" applyFont="1" applyFill="1" applyBorder="1" applyAlignment="1">
      <alignment horizontal="center" vertical="center"/>
    </xf>
    <xf numFmtId="0" fontId="69" fillId="11" borderId="75" xfId="0" applyNumberFormat="1" applyFont="1" applyFill="1" applyBorder="1" applyAlignment="1">
      <alignment horizontal="center" vertical="center"/>
    </xf>
    <xf numFmtId="1" fontId="10" fillId="57" borderId="1" xfId="0" applyNumberFormat="1" applyFont="1" applyFill="1" applyBorder="1" applyAlignment="1">
      <alignment horizontal="center"/>
    </xf>
    <xf numFmtId="49" fontId="4" fillId="57" borderId="1" xfId="0" applyNumberFormat="1" applyFont="1" applyFill="1" applyBorder="1" applyAlignment="1">
      <alignment horizontal="center"/>
    </xf>
    <xf numFmtId="165" fontId="14" fillId="0" borderId="36" xfId="0" applyNumberFormat="1" applyFont="1" applyFill="1" applyBorder="1" applyAlignment="1">
      <alignment horizontal="center" vertical="center"/>
    </xf>
    <xf numFmtId="165" fontId="121" fillId="0" borderId="36" xfId="0" applyNumberFormat="1" applyFont="1" applyFill="1" applyBorder="1" applyAlignment="1">
      <alignment horizontal="center" vertical="center" wrapText="1"/>
    </xf>
    <xf numFmtId="167" fontId="14" fillId="0" borderId="36" xfId="0" applyNumberFormat="1" applyFont="1" applyFill="1" applyBorder="1" applyAlignment="1">
      <alignment horizontal="center" vertical="center"/>
    </xf>
    <xf numFmtId="1" fontId="14" fillId="0" borderId="36" xfId="0" applyNumberFormat="1" applyFont="1" applyFill="1" applyBorder="1" applyAlignment="1">
      <alignment horizontal="center" vertical="center"/>
    </xf>
    <xf numFmtId="165" fontId="14" fillId="13" borderId="36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 vertical="center"/>
    </xf>
    <xf numFmtId="0" fontId="3" fillId="0" borderId="0" xfId="0" applyFont="1" applyFill="1" applyBorder="1"/>
    <xf numFmtId="0" fontId="3" fillId="4" borderId="0" xfId="0" applyFont="1" applyFill="1" applyBorder="1"/>
    <xf numFmtId="0" fontId="0" fillId="0" borderId="0" xfId="0" applyBorder="1"/>
    <xf numFmtId="0" fontId="2" fillId="4" borderId="0" xfId="0" applyFont="1" applyFill="1" applyBorder="1"/>
    <xf numFmtId="0" fontId="2" fillId="0" borderId="0" xfId="0" applyFont="1" applyFill="1" applyBorder="1"/>
    <xf numFmtId="0" fontId="122" fillId="26" borderId="36" xfId="0" applyFont="1" applyFill="1" applyBorder="1" applyAlignment="1">
      <alignment horizontal="center" vertical="center"/>
    </xf>
    <xf numFmtId="10" fontId="80" fillId="15" borderId="76" xfId="0" applyNumberFormat="1" applyFont="1" applyFill="1" applyBorder="1" applyAlignment="1">
      <alignment horizontal="center" vertical="center"/>
    </xf>
    <xf numFmtId="10" fontId="80" fillId="15" borderId="37" xfId="0" applyNumberFormat="1" applyFont="1" applyFill="1" applyBorder="1" applyAlignment="1">
      <alignment horizontal="center" vertical="center"/>
    </xf>
    <xf numFmtId="10" fontId="80" fillId="15" borderId="77" xfId="0" applyNumberFormat="1" applyFont="1" applyFill="1" applyBorder="1" applyAlignment="1">
      <alignment horizontal="center" vertical="center"/>
    </xf>
    <xf numFmtId="0" fontId="122" fillId="26" borderId="86" xfId="0" applyFont="1" applyFill="1" applyBorder="1" applyAlignment="1">
      <alignment horizontal="center" vertical="center"/>
    </xf>
    <xf numFmtId="0" fontId="69" fillId="7" borderId="87" xfId="0" applyFont="1" applyFill="1" applyBorder="1" applyAlignment="1">
      <alignment horizontal="center" vertical="center"/>
    </xf>
    <xf numFmtId="0" fontId="122" fillId="26" borderId="90" xfId="0" applyFont="1" applyFill="1" applyBorder="1" applyAlignment="1">
      <alignment horizontal="center" vertical="center"/>
    </xf>
    <xf numFmtId="0" fontId="122" fillId="26" borderId="91" xfId="0" applyFont="1" applyFill="1" applyBorder="1" applyAlignment="1">
      <alignment horizontal="center" vertical="center"/>
    </xf>
    <xf numFmtId="0" fontId="69" fillId="7" borderId="91" xfId="0" applyFont="1" applyFill="1" applyBorder="1" applyAlignment="1">
      <alignment horizontal="center" vertical="center"/>
    </xf>
    <xf numFmtId="0" fontId="69" fillId="7" borderId="9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right" vertical="center"/>
    </xf>
    <xf numFmtId="0" fontId="34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" fontId="39" fillId="0" borderId="26" xfId="0" applyNumberFormat="1" applyFont="1" applyBorder="1" applyAlignment="1">
      <alignment horizontal="center" vertical="center"/>
    </xf>
    <xf numFmtId="165" fontId="14" fillId="5" borderId="36" xfId="0" applyNumberFormat="1" applyFont="1" applyFill="1" applyBorder="1" applyAlignment="1">
      <alignment horizontal="center" vertical="center"/>
    </xf>
    <xf numFmtId="0" fontId="39" fillId="5" borderId="26" xfId="0" applyFont="1" applyFill="1" applyBorder="1" applyAlignment="1">
      <alignment horizontal="center" vertical="center"/>
    </xf>
    <xf numFmtId="0" fontId="17" fillId="0" borderId="26" xfId="0" applyFont="1" applyFill="1" applyBorder="1" applyAlignment="1">
      <alignment horizontal="right" vertical="center"/>
    </xf>
    <xf numFmtId="0" fontId="13" fillId="0" borderId="20" xfId="0" applyFont="1" applyBorder="1"/>
    <xf numFmtId="0" fontId="13" fillId="0" borderId="11" xfId="0" applyFont="1" applyBorder="1"/>
    <xf numFmtId="0" fontId="51" fillId="0" borderId="26" xfId="0" applyFont="1" applyBorder="1" applyAlignment="1">
      <alignment horizontal="center" vertical="center"/>
    </xf>
    <xf numFmtId="0" fontId="42" fillId="18" borderId="26" xfId="0" applyFont="1" applyFill="1" applyBorder="1" applyAlignment="1">
      <alignment horizontal="center" vertical="center"/>
    </xf>
    <xf numFmtId="170" fontId="15" fillId="18" borderId="26" xfId="0" applyNumberFormat="1" applyFont="1" applyFill="1" applyBorder="1" applyAlignment="1">
      <alignment horizontal="center" vertical="center"/>
    </xf>
    <xf numFmtId="170" fontId="124" fillId="18" borderId="26" xfId="0" applyNumberFormat="1" applyFont="1" applyFill="1" applyBorder="1" applyAlignment="1">
      <alignment horizontal="center" vertical="center"/>
    </xf>
    <xf numFmtId="0" fontId="41" fillId="40" borderId="26" xfId="0" applyFont="1" applyFill="1" applyBorder="1" applyAlignment="1">
      <alignment horizontal="center" vertical="center" wrapText="1"/>
    </xf>
    <xf numFmtId="0" fontId="125" fillId="61" borderId="26" xfId="0" applyFont="1" applyFill="1" applyBorder="1" applyAlignment="1">
      <alignment horizontal="center" vertical="center" wrapText="1"/>
    </xf>
    <xf numFmtId="170" fontId="124" fillId="61" borderId="26" xfId="0" applyNumberFormat="1" applyFont="1" applyFill="1" applyBorder="1" applyAlignment="1">
      <alignment horizontal="center" vertical="center"/>
    </xf>
    <xf numFmtId="1" fontId="125" fillId="61" borderId="26" xfId="0" applyNumberFormat="1" applyFont="1" applyFill="1" applyBorder="1" applyAlignment="1">
      <alignment horizontal="center" vertical="center" wrapText="1"/>
    </xf>
    <xf numFmtId="0" fontId="41" fillId="61" borderId="26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right" vertical="center"/>
    </xf>
    <xf numFmtId="0" fontId="13" fillId="0" borderId="0" xfId="0" applyNumberFormat="1" applyFont="1"/>
    <xf numFmtId="0" fontId="42" fillId="59" borderId="26" xfId="0" applyFont="1" applyFill="1" applyBorder="1" applyAlignment="1">
      <alignment horizontal="right" vertical="center" wrapText="1"/>
    </xf>
    <xf numFmtId="0" fontId="15" fillId="58" borderId="26" xfId="0" applyFont="1" applyFill="1" applyBorder="1" applyAlignment="1">
      <alignment horizontal="right" vertical="center"/>
    </xf>
    <xf numFmtId="0" fontId="42" fillId="58" borderId="26" xfId="0" applyFont="1" applyFill="1" applyBorder="1" applyAlignment="1">
      <alignment horizontal="right" vertical="center" wrapText="1"/>
    </xf>
    <xf numFmtId="0" fontId="41" fillId="58" borderId="74" xfId="0" applyNumberFormat="1" applyFont="1" applyFill="1" applyBorder="1" applyAlignment="1">
      <alignment horizontal="center" vertical="center" textRotation="90"/>
    </xf>
    <xf numFmtId="172" fontId="41" fillId="58" borderId="26" xfId="0" applyNumberFormat="1" applyFont="1" applyFill="1" applyBorder="1" applyAlignment="1">
      <alignment horizontal="center" vertical="center" textRotation="90"/>
    </xf>
    <xf numFmtId="172" fontId="41" fillId="58" borderId="75" xfId="0" applyNumberFormat="1" applyFont="1" applyFill="1" applyBorder="1" applyAlignment="1">
      <alignment horizontal="center" vertical="center" textRotation="90"/>
    </xf>
    <xf numFmtId="0" fontId="15" fillId="0" borderId="0" xfId="0" applyFont="1" applyAlignment="1">
      <alignment horizontal="right" vertical="center"/>
    </xf>
    <xf numFmtId="0" fontId="15" fillId="0" borderId="0" xfId="0" applyNumberFormat="1" applyFont="1"/>
    <xf numFmtId="0" fontId="15" fillId="0" borderId="0" xfId="0" applyFont="1"/>
    <xf numFmtId="0" fontId="13" fillId="58" borderId="0" xfId="0" applyFont="1" applyFill="1"/>
    <xf numFmtId="0" fontId="13" fillId="58" borderId="0" xfId="0" applyNumberFormat="1" applyFont="1" applyFill="1"/>
    <xf numFmtId="0" fontId="41" fillId="18" borderId="26" xfId="0" applyFont="1" applyFill="1" applyBorder="1" applyAlignment="1">
      <alignment horizontal="right" vertical="center" wrapText="1"/>
    </xf>
    <xf numFmtId="0" fontId="17" fillId="18" borderId="26" xfId="0" applyNumberFormat="1" applyFont="1" applyFill="1" applyBorder="1" applyAlignment="1">
      <alignment horizontal="center" vertical="center"/>
    </xf>
    <xf numFmtId="0" fontId="42" fillId="18" borderId="26" xfId="0" applyFont="1" applyFill="1" applyBorder="1" applyAlignment="1">
      <alignment horizontal="right" vertical="center" wrapText="1"/>
    </xf>
    <xf numFmtId="0" fontId="41" fillId="59" borderId="26" xfId="0" applyFont="1" applyFill="1" applyBorder="1" applyAlignment="1">
      <alignment horizontal="right" vertical="center" wrapText="1"/>
    </xf>
    <xf numFmtId="0" fontId="17" fillId="0" borderId="26" xfId="0" applyNumberFormat="1" applyFont="1" applyFill="1" applyBorder="1" applyAlignment="1">
      <alignment horizontal="center" vertical="center"/>
    </xf>
    <xf numFmtId="170" fontId="42" fillId="0" borderId="26" xfId="0" applyNumberFormat="1" applyFont="1" applyFill="1" applyBorder="1" applyAlignment="1">
      <alignment horizontal="center" vertical="center"/>
    </xf>
    <xf numFmtId="0" fontId="19" fillId="18" borderId="26" xfId="0" applyNumberFormat="1" applyFont="1" applyFill="1" applyBorder="1" applyAlignment="1">
      <alignment horizontal="center" vertical="center"/>
    </xf>
    <xf numFmtId="0" fontId="19" fillId="18" borderId="26" xfId="0" applyNumberFormat="1" applyFont="1" applyFill="1" applyBorder="1" applyAlignment="1">
      <alignment horizontal="center" vertical="center" wrapText="1"/>
    </xf>
    <xf numFmtId="0" fontId="15" fillId="18" borderId="26" xfId="0" applyNumberFormat="1" applyFont="1" applyFill="1" applyBorder="1" applyAlignment="1">
      <alignment horizontal="center" vertical="center"/>
    </xf>
    <xf numFmtId="0" fontId="41" fillId="39" borderId="26" xfId="0" applyNumberFormat="1" applyFont="1" applyFill="1" applyBorder="1" applyAlignment="1">
      <alignment horizontal="center" vertical="center"/>
    </xf>
    <xf numFmtId="0" fontId="89" fillId="39" borderId="26" xfId="0" applyNumberFormat="1" applyFont="1" applyFill="1" applyBorder="1" applyAlignment="1">
      <alignment horizontal="center" vertical="center"/>
    </xf>
    <xf numFmtId="1" fontId="41" fillId="39" borderId="26" xfId="0" applyNumberFormat="1" applyFont="1" applyFill="1" applyBorder="1" applyAlignment="1">
      <alignment horizontal="center" vertical="center"/>
    </xf>
    <xf numFmtId="0" fontId="17" fillId="60" borderId="26" xfId="0" applyFont="1" applyFill="1" applyBorder="1" applyAlignment="1">
      <alignment horizontal="right" vertical="center"/>
    </xf>
    <xf numFmtId="0" fontId="39" fillId="59" borderId="26" xfId="0" applyFont="1" applyFill="1" applyBorder="1" applyAlignment="1">
      <alignment horizontal="right" vertical="center"/>
    </xf>
    <xf numFmtId="0" fontId="39" fillId="59" borderId="26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1" fontId="5" fillId="39" borderId="1" xfId="0" applyNumberFormat="1" applyFont="1" applyFill="1" applyBorder="1" applyAlignment="1">
      <alignment horizontal="center" wrapText="1"/>
    </xf>
    <xf numFmtId="0" fontId="24" fillId="0" borderId="48" xfId="0" applyFont="1" applyFill="1" applyBorder="1" applyAlignment="1">
      <alignment horizontal="center"/>
    </xf>
    <xf numFmtId="0" fontId="3" fillId="0" borderId="55" xfId="0" applyFont="1" applyFill="1" applyBorder="1" applyAlignment="1">
      <alignment horizontal="center"/>
    </xf>
    <xf numFmtId="14" fontId="3" fillId="0" borderId="55" xfId="0" applyNumberFormat="1" applyFont="1" applyFill="1" applyBorder="1" applyAlignment="1">
      <alignment horizontal="center"/>
    </xf>
    <xf numFmtId="167" fontId="14" fillId="0" borderId="1" xfId="0" applyNumberFormat="1" applyFont="1" applyFill="1" applyBorder="1" applyAlignment="1">
      <alignment horizontal="center"/>
    </xf>
    <xf numFmtId="167" fontId="3" fillId="0" borderId="50" xfId="0" applyNumberFormat="1" applyFont="1" applyFill="1" applyBorder="1" applyAlignment="1">
      <alignment horizontal="center"/>
    </xf>
    <xf numFmtId="1" fontId="110" fillId="0" borderId="1" xfId="0" applyNumberFormat="1" applyFont="1" applyFill="1" applyBorder="1" applyAlignment="1">
      <alignment horizontal="left" vertical="center"/>
    </xf>
    <xf numFmtId="0" fontId="110" fillId="0" borderId="1" xfId="0" applyFont="1" applyBorder="1" applyAlignment="1">
      <alignment horizontal="left" vertical="center"/>
    </xf>
    <xf numFmtId="14" fontId="110" fillId="0" borderId="1" xfId="0" applyNumberFormat="1" applyFont="1" applyFill="1" applyBorder="1" applyAlignment="1">
      <alignment horizontal="left" vertical="center"/>
    </xf>
    <xf numFmtId="0" fontId="116" fillId="0" borderId="1" xfId="0" applyFont="1" applyFill="1" applyBorder="1" applyAlignment="1">
      <alignment horizontal="left" vertical="center"/>
    </xf>
    <xf numFmtId="0" fontId="14" fillId="0" borderId="50" xfId="0" applyFont="1" applyFill="1" applyBorder="1" applyAlignment="1">
      <alignment horizontal="left" vertical="center"/>
    </xf>
    <xf numFmtId="0" fontId="110" fillId="0" borderId="0" xfId="0" applyFont="1" applyAlignment="1">
      <alignment horizontal="left" vertical="center"/>
    </xf>
    <xf numFmtId="0" fontId="14" fillId="0" borderId="50" xfId="0" applyFont="1" applyFill="1" applyBorder="1" applyAlignment="1">
      <alignment horizontal="left" wrapText="1"/>
    </xf>
    <xf numFmtId="0" fontId="14" fillId="0" borderId="50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center" vertical="center"/>
    </xf>
    <xf numFmtId="0" fontId="19" fillId="25" borderId="26" xfId="0" applyNumberFormat="1" applyFont="1" applyFill="1" applyBorder="1" applyAlignment="1">
      <alignment horizontal="center" vertical="center" wrapText="1"/>
    </xf>
    <xf numFmtId="0" fontId="19" fillId="25" borderId="26" xfId="0" applyNumberFormat="1" applyFont="1" applyFill="1" applyBorder="1" applyAlignment="1">
      <alignment horizontal="center" vertical="center"/>
    </xf>
    <xf numFmtId="0" fontId="14" fillId="0" borderId="50" xfId="0" applyFont="1" applyFill="1" applyBorder="1" applyAlignment="1"/>
    <xf numFmtId="14" fontId="14" fillId="0" borderId="55" xfId="0" applyNumberFormat="1" applyFont="1" applyFill="1" applyBorder="1" applyAlignment="1">
      <alignment horizontal="center"/>
    </xf>
    <xf numFmtId="0" fontId="14" fillId="0" borderId="55" xfId="0" applyFont="1" applyFill="1" applyBorder="1" applyAlignment="1">
      <alignment horizontal="center"/>
    </xf>
    <xf numFmtId="0" fontId="140" fillId="2" borderId="1" xfId="0" applyFont="1" applyFill="1" applyBorder="1" applyAlignment="1">
      <alignment horizontal="center"/>
    </xf>
    <xf numFmtId="165" fontId="143" fillId="12" borderId="1" xfId="0" applyNumberFormat="1" applyFont="1" applyFill="1" applyBorder="1" applyAlignment="1">
      <alignment horizontal="center" vertical="center" wrapText="1"/>
    </xf>
    <xf numFmtId="49" fontId="144" fillId="0" borderId="1" xfId="0" applyNumberFormat="1" applyFont="1" applyFill="1" applyBorder="1" applyAlignment="1">
      <alignment horizontal="center" vertical="center" wrapText="1"/>
    </xf>
    <xf numFmtId="1" fontId="145" fillId="0" borderId="1" xfId="0" applyNumberFormat="1" applyFont="1" applyFill="1" applyBorder="1" applyAlignment="1">
      <alignment horizontal="center"/>
    </xf>
    <xf numFmtId="49" fontId="139" fillId="0" borderId="1" xfId="0" applyNumberFormat="1" applyFont="1" applyFill="1" applyBorder="1" applyAlignment="1">
      <alignment horizontal="center"/>
    </xf>
    <xf numFmtId="167" fontId="139" fillId="22" borderId="1" xfId="0" applyNumberFormat="1" applyFont="1" applyFill="1" applyBorder="1" applyAlignment="1">
      <alignment horizontal="center"/>
    </xf>
    <xf numFmtId="0" fontId="140" fillId="0" borderId="1" xfId="0" applyFont="1" applyFill="1" applyBorder="1" applyAlignment="1">
      <alignment horizontal="center"/>
    </xf>
    <xf numFmtId="165" fontId="146" fillId="0" borderId="1" xfId="0" applyNumberFormat="1" applyFont="1" applyFill="1" applyBorder="1" applyAlignment="1">
      <alignment horizontal="center"/>
    </xf>
    <xf numFmtId="169" fontId="146" fillId="40" borderId="1" xfId="1" applyNumberFormat="1" applyFont="1" applyFill="1" applyBorder="1" applyAlignment="1">
      <alignment horizontal="center"/>
    </xf>
    <xf numFmtId="171" fontId="146" fillId="40" borderId="1" xfId="1" applyNumberFormat="1" applyFont="1" applyFill="1" applyBorder="1" applyAlignment="1">
      <alignment horizontal="center"/>
    </xf>
    <xf numFmtId="165" fontId="147" fillId="0" borderId="1" xfId="0" applyNumberFormat="1" applyFont="1" applyFill="1" applyBorder="1" applyAlignment="1">
      <alignment horizontal="center"/>
    </xf>
    <xf numFmtId="165" fontId="138" fillId="0" borderId="1" xfId="0" applyNumberFormat="1" applyFont="1" applyFill="1" applyBorder="1" applyAlignment="1">
      <alignment horizontal="center" vertical="center" wrapText="1"/>
    </xf>
    <xf numFmtId="1" fontId="146" fillId="5" borderId="1" xfId="0" applyNumberFormat="1" applyFont="1" applyFill="1" applyBorder="1" applyAlignment="1">
      <alignment horizontal="center"/>
    </xf>
    <xf numFmtId="1" fontId="146" fillId="0" borderId="1" xfId="0" applyNumberFormat="1" applyFont="1" applyFill="1" applyBorder="1" applyAlignment="1">
      <alignment horizontal="center"/>
    </xf>
    <xf numFmtId="1" fontId="136" fillId="10" borderId="1" xfId="0" applyNumberFormat="1" applyFont="1" applyFill="1" applyBorder="1" applyAlignment="1">
      <alignment horizontal="center"/>
    </xf>
    <xf numFmtId="49" fontId="136" fillId="20" borderId="1" xfId="0" applyNumberFormat="1" applyFont="1" applyFill="1" applyBorder="1" applyAlignment="1">
      <alignment horizontal="center"/>
    </xf>
    <xf numFmtId="165" fontId="145" fillId="0" borderId="1" xfId="0" applyNumberFormat="1" applyFont="1" applyFill="1" applyBorder="1" applyAlignment="1">
      <alignment horizontal="center"/>
    </xf>
    <xf numFmtId="1" fontId="139" fillId="0" borderId="1" xfId="0" applyNumberFormat="1" applyFont="1" applyFill="1" applyBorder="1" applyAlignment="1">
      <alignment horizontal="center"/>
    </xf>
    <xf numFmtId="1" fontId="148" fillId="0" borderId="1" xfId="0" applyNumberFormat="1" applyFont="1" applyFill="1" applyBorder="1" applyAlignment="1">
      <alignment horizontal="center"/>
    </xf>
    <xf numFmtId="1" fontId="149" fillId="31" borderId="1" xfId="0" applyNumberFormat="1" applyFont="1" applyFill="1" applyBorder="1" applyAlignment="1">
      <alignment horizontal="center"/>
    </xf>
    <xf numFmtId="165" fontId="150" fillId="31" borderId="1" xfId="0" applyNumberFormat="1" applyFont="1" applyFill="1" applyBorder="1" applyAlignment="1">
      <alignment horizontal="center"/>
    </xf>
    <xf numFmtId="1" fontId="151" fillId="19" borderId="1" xfId="0" applyNumberFormat="1" applyFont="1" applyFill="1" applyBorder="1" applyAlignment="1">
      <alignment horizontal="center" vertical="center" wrapText="1"/>
    </xf>
    <xf numFmtId="165" fontId="146" fillId="3" borderId="1" xfId="0" applyNumberFormat="1" applyFont="1" applyFill="1" applyBorder="1" applyAlignment="1">
      <alignment horizontal="center"/>
    </xf>
    <xf numFmtId="1" fontId="152" fillId="19" borderId="1" xfId="0" applyNumberFormat="1" applyFont="1" applyFill="1" applyBorder="1" applyAlignment="1">
      <alignment horizontal="center" vertical="center" wrapText="1"/>
    </xf>
    <xf numFmtId="1" fontId="145" fillId="2" borderId="1" xfId="0" applyNumberFormat="1" applyFont="1" applyFill="1" applyBorder="1" applyAlignment="1">
      <alignment horizontal="center"/>
    </xf>
    <xf numFmtId="0" fontId="153" fillId="0" borderId="1" xfId="0" applyFont="1" applyFill="1" applyBorder="1" applyAlignment="1">
      <alignment horizontal="center" vertical="center"/>
    </xf>
    <xf numFmtId="0" fontId="144" fillId="0" borderId="1" xfId="0" applyFont="1" applyFill="1" applyBorder="1" applyAlignment="1">
      <alignment horizontal="center" vertical="center"/>
    </xf>
    <xf numFmtId="14" fontId="145" fillId="0" borderId="1" xfId="0" applyNumberFormat="1" applyFont="1" applyFill="1" applyBorder="1" applyAlignment="1">
      <alignment horizontal="center"/>
    </xf>
    <xf numFmtId="0" fontId="153" fillId="0" borderId="2" xfId="0" applyFont="1" applyFill="1" applyBorder="1" applyAlignment="1">
      <alignment horizontal="center"/>
    </xf>
    <xf numFmtId="14" fontId="153" fillId="0" borderId="55" xfId="0" applyNumberFormat="1" applyFont="1" applyFill="1" applyBorder="1" applyAlignment="1">
      <alignment horizontal="center"/>
    </xf>
    <xf numFmtId="167" fontId="138" fillId="0" borderId="1" xfId="0" applyNumberFormat="1" applyFont="1" applyFill="1" applyBorder="1" applyAlignment="1">
      <alignment horizontal="center"/>
    </xf>
    <xf numFmtId="0" fontId="153" fillId="0" borderId="1" xfId="0" applyFont="1" applyFill="1" applyBorder="1" applyAlignment="1">
      <alignment horizontal="center"/>
    </xf>
    <xf numFmtId="167" fontId="153" fillId="0" borderId="50" xfId="0" applyNumberFormat="1" applyFont="1" applyFill="1" applyBorder="1" applyAlignment="1">
      <alignment horizontal="center"/>
    </xf>
    <xf numFmtId="14" fontId="138" fillId="0" borderId="55" xfId="0" applyNumberFormat="1" applyFont="1" applyFill="1" applyBorder="1" applyAlignment="1">
      <alignment horizontal="center"/>
    </xf>
    <xf numFmtId="167" fontId="138" fillId="0" borderId="1" xfId="0" applyNumberFormat="1" applyFont="1" applyFill="1" applyBorder="1" applyAlignment="1">
      <alignment horizontal="center" vertical="center"/>
    </xf>
    <xf numFmtId="0" fontId="138" fillId="0" borderId="1" xfId="0" applyFont="1" applyFill="1" applyBorder="1" applyAlignment="1">
      <alignment horizontal="center" vertical="center"/>
    </xf>
    <xf numFmtId="14" fontId="141" fillId="5" borderId="1" xfId="0" applyNumberFormat="1" applyFont="1" applyFill="1" applyBorder="1" applyAlignment="1">
      <alignment horizontal="center" vertical="center"/>
    </xf>
    <xf numFmtId="0" fontId="142" fillId="0" borderId="1" xfId="0" applyFont="1" applyFill="1" applyBorder="1" applyAlignment="1">
      <alignment horizontal="center" vertical="center"/>
    </xf>
    <xf numFmtId="0" fontId="137" fillId="0" borderId="1" xfId="0" applyFont="1" applyFill="1" applyBorder="1" applyAlignment="1">
      <alignment horizontal="center"/>
    </xf>
    <xf numFmtId="0" fontId="141" fillId="0" borderId="1" xfId="0" applyFont="1" applyFill="1" applyBorder="1" applyAlignment="1">
      <alignment horizontal="center" vertical="center"/>
    </xf>
    <xf numFmtId="0" fontId="153" fillId="0" borderId="1" xfId="0" applyFont="1" applyFill="1" applyBorder="1"/>
    <xf numFmtId="165" fontId="138" fillId="5" borderId="36" xfId="0" applyNumberFormat="1" applyFont="1" applyFill="1" applyBorder="1" applyAlignment="1">
      <alignment horizontal="center" vertical="center"/>
    </xf>
    <xf numFmtId="165" fontId="154" fillId="0" borderId="36" xfId="0" applyNumberFormat="1" applyFont="1" applyFill="1" applyBorder="1" applyAlignment="1">
      <alignment horizontal="center" vertical="center" wrapText="1"/>
    </xf>
    <xf numFmtId="165" fontId="138" fillId="0" borderId="36" xfId="0" applyNumberFormat="1" applyFont="1" applyFill="1" applyBorder="1" applyAlignment="1">
      <alignment horizontal="center" vertical="center"/>
    </xf>
    <xf numFmtId="1" fontId="138" fillId="0" borderId="36" xfId="0" applyNumberFormat="1" applyFont="1" applyFill="1" applyBorder="1" applyAlignment="1">
      <alignment horizontal="center" vertical="center"/>
    </xf>
    <xf numFmtId="167" fontId="138" fillId="0" borderId="36" xfId="0" applyNumberFormat="1" applyFont="1" applyFill="1" applyBorder="1" applyAlignment="1">
      <alignment horizontal="center" vertical="center"/>
    </xf>
    <xf numFmtId="0" fontId="153" fillId="0" borderId="0" xfId="0" applyFont="1" applyFill="1"/>
    <xf numFmtId="0" fontId="155" fillId="0" borderId="0" xfId="0" applyFont="1"/>
    <xf numFmtId="0" fontId="91" fillId="30" borderId="1" xfId="0" applyFont="1" applyFill="1" applyBorder="1" applyAlignment="1">
      <alignment horizontal="center" vertical="center"/>
    </xf>
    <xf numFmtId="0" fontId="41" fillId="43" borderId="1" xfId="0" applyFont="1" applyFill="1" applyBorder="1" applyAlignment="1">
      <alignment horizontal="center" vertical="center" wrapText="1"/>
    </xf>
    <xf numFmtId="0" fontId="94" fillId="11" borderId="2" xfId="0" applyFont="1" applyFill="1" applyBorder="1" applyAlignment="1">
      <alignment vertical="center"/>
    </xf>
    <xf numFmtId="0" fontId="96" fillId="44" borderId="2" xfId="0" applyFont="1" applyFill="1" applyBorder="1" applyAlignment="1">
      <alignment horizontal="center" vertical="center"/>
    </xf>
    <xf numFmtId="0" fontId="39" fillId="43" borderId="2" xfId="0" applyFont="1" applyFill="1" applyBorder="1" applyAlignment="1">
      <alignment horizontal="center" vertical="center" wrapText="1"/>
    </xf>
    <xf numFmtId="0" fontId="91" fillId="30" borderId="2" xfId="0" applyFont="1" applyFill="1" applyBorder="1" applyAlignment="1">
      <alignment horizontal="center" vertical="center"/>
    </xf>
    <xf numFmtId="0" fontId="91" fillId="30" borderId="36" xfId="0" applyFont="1" applyFill="1" applyBorder="1" applyAlignment="1">
      <alignment vertical="center" wrapText="1"/>
    </xf>
    <xf numFmtId="0" fontId="94" fillId="11" borderId="47" xfId="0" applyFont="1" applyFill="1" applyBorder="1" applyAlignment="1">
      <alignment vertical="center"/>
    </xf>
    <xf numFmtId="167" fontId="139" fillId="52" borderId="1" xfId="0" applyNumberFormat="1" applyFont="1" applyFill="1" applyBorder="1" applyAlignment="1">
      <alignment horizontal="center"/>
    </xf>
    <xf numFmtId="0" fontId="162" fillId="2" borderId="1" xfId="0" applyFont="1" applyFill="1" applyBorder="1" applyAlignment="1">
      <alignment horizontal="center"/>
    </xf>
    <xf numFmtId="165" fontId="165" fillId="12" borderId="1" xfId="0" applyNumberFormat="1" applyFont="1" applyFill="1" applyBorder="1" applyAlignment="1">
      <alignment horizontal="center" vertical="center" wrapText="1"/>
    </xf>
    <xf numFmtId="49" fontId="166" fillId="0" borderId="1" xfId="0" applyNumberFormat="1" applyFont="1" applyFill="1" applyBorder="1" applyAlignment="1">
      <alignment horizontal="center" vertical="center" wrapText="1"/>
    </xf>
    <xf numFmtId="1" fontId="163" fillId="0" borderId="1" xfId="0" applyNumberFormat="1" applyFont="1" applyFill="1" applyBorder="1" applyAlignment="1">
      <alignment horizontal="center" wrapText="1"/>
    </xf>
    <xf numFmtId="1" fontId="167" fillId="0" borderId="1" xfId="0" applyNumberFormat="1" applyFont="1" applyFill="1" applyBorder="1" applyAlignment="1">
      <alignment horizontal="center"/>
    </xf>
    <xf numFmtId="49" fontId="161" fillId="0" borderId="1" xfId="0" applyNumberFormat="1" applyFont="1" applyFill="1" applyBorder="1" applyAlignment="1">
      <alignment horizontal="center"/>
    </xf>
    <xf numFmtId="0" fontId="162" fillId="0" borderId="1" xfId="0" applyFont="1" applyFill="1" applyBorder="1" applyAlignment="1">
      <alignment horizontal="center"/>
    </xf>
    <xf numFmtId="165" fontId="168" fillId="0" borderId="1" xfId="0" applyNumberFormat="1" applyFont="1" applyFill="1" applyBorder="1" applyAlignment="1">
      <alignment horizontal="center"/>
    </xf>
    <xf numFmtId="169" fontId="168" fillId="40" borderId="1" xfId="1" applyNumberFormat="1" applyFont="1" applyFill="1" applyBorder="1" applyAlignment="1">
      <alignment horizontal="center"/>
    </xf>
    <xf numFmtId="171" fontId="168" fillId="40" borderId="1" xfId="1" applyNumberFormat="1" applyFont="1" applyFill="1" applyBorder="1" applyAlignment="1">
      <alignment horizontal="center"/>
    </xf>
    <xf numFmtId="165" fontId="169" fillId="0" borderId="1" xfId="0" applyNumberFormat="1" applyFont="1" applyFill="1" applyBorder="1" applyAlignment="1">
      <alignment horizontal="center"/>
    </xf>
    <xf numFmtId="165" fontId="160" fillId="0" borderId="1" xfId="0" applyNumberFormat="1" applyFont="1" applyFill="1" applyBorder="1" applyAlignment="1">
      <alignment horizontal="center" vertical="center" wrapText="1"/>
    </xf>
    <xf numFmtId="1" fontId="168" fillId="5" borderId="1" xfId="0" applyNumberFormat="1" applyFont="1" applyFill="1" applyBorder="1" applyAlignment="1">
      <alignment horizontal="center"/>
    </xf>
    <xf numFmtId="1" fontId="168" fillId="0" borderId="1" xfId="0" applyNumberFormat="1" applyFont="1" applyFill="1" applyBorder="1" applyAlignment="1">
      <alignment horizontal="center"/>
    </xf>
    <xf numFmtId="1" fontId="158" fillId="10" borderId="1" xfId="0" applyNumberFormat="1" applyFont="1" applyFill="1" applyBorder="1" applyAlignment="1">
      <alignment horizontal="center"/>
    </xf>
    <xf numFmtId="49" fontId="158" fillId="20" borderId="1" xfId="0" applyNumberFormat="1" applyFont="1" applyFill="1" applyBorder="1" applyAlignment="1">
      <alignment horizontal="center"/>
    </xf>
    <xf numFmtId="165" fontId="167" fillId="0" borderId="1" xfId="0" applyNumberFormat="1" applyFont="1" applyFill="1" applyBorder="1" applyAlignment="1">
      <alignment horizontal="center"/>
    </xf>
    <xf numFmtId="1" fontId="161" fillId="0" borderId="1" xfId="0" applyNumberFormat="1" applyFont="1" applyFill="1" applyBorder="1" applyAlignment="1">
      <alignment horizontal="center"/>
    </xf>
    <xf numFmtId="1" fontId="170" fillId="0" borderId="1" xfId="0" applyNumberFormat="1" applyFont="1" applyFill="1" applyBorder="1" applyAlignment="1">
      <alignment horizontal="center"/>
    </xf>
    <xf numFmtId="1" fontId="171" fillId="31" borderId="1" xfId="0" applyNumberFormat="1" applyFont="1" applyFill="1" applyBorder="1" applyAlignment="1">
      <alignment horizontal="center"/>
    </xf>
    <xf numFmtId="165" fontId="172" fillId="31" borderId="1" xfId="0" applyNumberFormat="1" applyFont="1" applyFill="1" applyBorder="1" applyAlignment="1">
      <alignment horizontal="center"/>
    </xf>
    <xf numFmtId="1" fontId="173" fillId="19" borderId="1" xfId="0" applyNumberFormat="1" applyFont="1" applyFill="1" applyBorder="1" applyAlignment="1">
      <alignment horizontal="center" vertical="center" wrapText="1"/>
    </xf>
    <xf numFmtId="165" fontId="168" fillId="3" borderId="1" xfId="0" applyNumberFormat="1" applyFont="1" applyFill="1" applyBorder="1" applyAlignment="1">
      <alignment horizontal="center"/>
    </xf>
    <xf numFmtId="1" fontId="174" fillId="19" borderId="1" xfId="0" applyNumberFormat="1" applyFont="1" applyFill="1" applyBorder="1" applyAlignment="1">
      <alignment horizontal="center" vertical="center" wrapText="1"/>
    </xf>
    <xf numFmtId="1" fontId="167" fillId="2" borderId="1" xfId="0" applyNumberFormat="1" applyFont="1" applyFill="1" applyBorder="1" applyAlignment="1">
      <alignment horizontal="center"/>
    </xf>
    <xf numFmtId="0" fontId="175" fillId="0" borderId="1" xfId="0" applyFont="1" applyFill="1" applyBorder="1" applyAlignment="1">
      <alignment horizontal="center" vertical="center"/>
    </xf>
    <xf numFmtId="0" fontId="166" fillId="0" borderId="1" xfId="0" applyFont="1" applyFill="1" applyBorder="1" applyAlignment="1">
      <alignment horizontal="center" vertical="center"/>
    </xf>
    <xf numFmtId="14" fontId="167" fillId="0" borderId="1" xfId="0" applyNumberFormat="1" applyFont="1" applyFill="1" applyBorder="1" applyAlignment="1">
      <alignment horizontal="center"/>
    </xf>
    <xf numFmtId="0" fontId="175" fillId="0" borderId="2" xfId="0" applyFont="1" applyFill="1" applyBorder="1" applyAlignment="1">
      <alignment horizontal="center"/>
    </xf>
    <xf numFmtId="167" fontId="160" fillId="0" borderId="1" xfId="0" applyNumberFormat="1" applyFont="1" applyFill="1" applyBorder="1" applyAlignment="1">
      <alignment horizontal="center"/>
    </xf>
    <xf numFmtId="0" fontId="175" fillId="0" borderId="1" xfId="0" applyFont="1" applyFill="1" applyBorder="1" applyAlignment="1">
      <alignment horizontal="center"/>
    </xf>
    <xf numFmtId="167" fontId="175" fillId="0" borderId="50" xfId="0" applyNumberFormat="1" applyFont="1" applyFill="1" applyBorder="1" applyAlignment="1">
      <alignment horizontal="center"/>
    </xf>
    <xf numFmtId="0" fontId="159" fillId="0" borderId="48" xfId="0" applyFont="1" applyFill="1" applyBorder="1" applyAlignment="1">
      <alignment horizontal="center"/>
    </xf>
    <xf numFmtId="167" fontId="160" fillId="0" borderId="2" xfId="0" applyNumberFormat="1" applyFont="1" applyFill="1" applyBorder="1" applyAlignment="1">
      <alignment horizontal="center"/>
    </xf>
    <xf numFmtId="0" fontId="161" fillId="51" borderId="1" xfId="0" applyFont="1" applyFill="1" applyBorder="1" applyAlignment="1">
      <alignment horizontal="center" vertical="center" wrapText="1"/>
    </xf>
    <xf numFmtId="0" fontId="160" fillId="0" borderId="50" xfId="0" applyFont="1" applyFill="1" applyBorder="1" applyAlignment="1">
      <alignment horizontal="center"/>
    </xf>
    <xf numFmtId="0" fontId="176" fillId="0" borderId="49" xfId="0" applyFont="1" applyFill="1" applyBorder="1" applyAlignment="1">
      <alignment horizontal="center" vertical="center"/>
    </xf>
    <xf numFmtId="14" fontId="163" fillId="0" borderId="1" xfId="0" applyNumberFormat="1" applyFont="1" applyFill="1" applyBorder="1" applyAlignment="1">
      <alignment horizontal="center" vertical="center"/>
    </xf>
    <xf numFmtId="167" fontId="160" fillId="0" borderId="1" xfId="0" applyNumberFormat="1" applyFont="1" applyFill="1" applyBorder="1" applyAlignment="1">
      <alignment horizontal="center" vertical="center"/>
    </xf>
    <xf numFmtId="0" fontId="160" fillId="0" borderId="1" xfId="0" applyFont="1" applyFill="1" applyBorder="1" applyAlignment="1">
      <alignment horizontal="center" vertical="center"/>
    </xf>
    <xf numFmtId="0" fontId="159" fillId="0" borderId="1" xfId="0" applyFont="1" applyFill="1" applyBorder="1" applyAlignment="1">
      <alignment horizontal="center" vertical="center"/>
    </xf>
    <xf numFmtId="14" fontId="163" fillId="5" borderId="1" xfId="0" applyNumberFormat="1" applyFont="1" applyFill="1" applyBorder="1" applyAlignment="1">
      <alignment horizontal="center" vertical="center"/>
    </xf>
    <xf numFmtId="0" fontId="164" fillId="0" borderId="1" xfId="0" applyFont="1" applyFill="1" applyBorder="1" applyAlignment="1">
      <alignment horizontal="center" vertical="center"/>
    </xf>
    <xf numFmtId="0" fontId="159" fillId="0" borderId="1" xfId="0" applyFont="1" applyFill="1" applyBorder="1" applyAlignment="1">
      <alignment horizontal="center"/>
    </xf>
    <xf numFmtId="0" fontId="163" fillId="0" borderId="1" xfId="0" applyFont="1" applyFill="1" applyBorder="1" applyAlignment="1">
      <alignment horizontal="center" vertical="center"/>
    </xf>
    <xf numFmtId="0" fontId="175" fillId="0" borderId="1" xfId="0" applyFont="1" applyFill="1" applyBorder="1"/>
    <xf numFmtId="165" fontId="160" fillId="5" borderId="36" xfId="0" applyNumberFormat="1" applyFont="1" applyFill="1" applyBorder="1" applyAlignment="1">
      <alignment horizontal="center" vertical="center"/>
    </xf>
    <xf numFmtId="165" fontId="177" fillId="0" borderId="36" xfId="0" applyNumberFormat="1" applyFont="1" applyFill="1" applyBorder="1" applyAlignment="1">
      <alignment horizontal="center" vertical="center" wrapText="1"/>
    </xf>
    <xf numFmtId="165" fontId="160" fillId="0" borderId="36" xfId="0" applyNumberFormat="1" applyFont="1" applyFill="1" applyBorder="1" applyAlignment="1">
      <alignment horizontal="center" vertical="center"/>
    </xf>
    <xf numFmtId="1" fontId="160" fillId="0" borderId="36" xfId="0" applyNumberFormat="1" applyFont="1" applyFill="1" applyBorder="1" applyAlignment="1">
      <alignment horizontal="center" vertical="center"/>
    </xf>
    <xf numFmtId="167" fontId="160" fillId="0" borderId="36" xfId="0" applyNumberFormat="1" applyFont="1" applyFill="1" applyBorder="1" applyAlignment="1">
      <alignment horizontal="center" vertical="center"/>
    </xf>
    <xf numFmtId="0" fontId="175" fillId="0" borderId="0" xfId="0" applyFont="1" applyFill="1"/>
    <xf numFmtId="49" fontId="166" fillId="48" borderId="1" xfId="0" applyNumberFormat="1" applyFont="1" applyFill="1" applyBorder="1" applyAlignment="1">
      <alignment horizontal="center" vertical="center" wrapText="1"/>
    </xf>
    <xf numFmtId="49" fontId="161" fillId="8" borderId="1" xfId="0" applyNumberFormat="1" applyFont="1" applyFill="1" applyBorder="1" applyAlignment="1">
      <alignment horizontal="center"/>
    </xf>
    <xf numFmtId="14" fontId="175" fillId="0" borderId="1" xfId="0" applyNumberFormat="1" applyFont="1" applyFill="1" applyBorder="1" applyAlignment="1">
      <alignment horizontal="center"/>
    </xf>
    <xf numFmtId="167" fontId="161" fillId="53" borderId="1" xfId="0" applyNumberFormat="1" applyFont="1" applyFill="1" applyBorder="1" applyAlignment="1">
      <alignment horizontal="center"/>
    </xf>
    <xf numFmtId="0" fontId="178" fillId="0" borderId="0" xfId="0" applyFont="1" applyFill="1"/>
    <xf numFmtId="0" fontId="175" fillId="0" borderId="55" xfId="0" applyFont="1" applyFill="1" applyBorder="1" applyAlignment="1">
      <alignment horizontal="center"/>
    </xf>
    <xf numFmtId="0" fontId="160" fillId="0" borderId="55" xfId="0" applyFont="1" applyFill="1" applyBorder="1" applyAlignment="1">
      <alignment horizontal="center"/>
    </xf>
    <xf numFmtId="1" fontId="163" fillId="38" borderId="1" xfId="0" applyNumberFormat="1" applyFont="1" applyFill="1" applyBorder="1" applyAlignment="1">
      <alignment horizontal="center" wrapText="1"/>
    </xf>
    <xf numFmtId="167" fontId="161" fillId="0" borderId="1" xfId="0" applyNumberFormat="1" applyFont="1" applyFill="1" applyBorder="1" applyAlignment="1">
      <alignment horizontal="center"/>
    </xf>
    <xf numFmtId="169" fontId="168" fillId="0" borderId="1" xfId="1" applyNumberFormat="1" applyFont="1" applyFill="1" applyBorder="1" applyAlignment="1">
      <alignment horizontal="center"/>
    </xf>
    <xf numFmtId="171" fontId="168" fillId="0" borderId="1" xfId="1" applyNumberFormat="1" applyFont="1" applyFill="1" applyBorder="1" applyAlignment="1">
      <alignment horizontal="center"/>
    </xf>
    <xf numFmtId="165" fontId="14" fillId="0" borderId="2" xfId="0" applyNumberFormat="1" applyFont="1" applyFill="1" applyBorder="1" applyAlignment="1">
      <alignment horizontal="center" vertical="center" wrapText="1"/>
    </xf>
    <xf numFmtId="167" fontId="14" fillId="0" borderId="1" xfId="0" applyNumberFormat="1" applyFont="1" applyFill="1" applyBorder="1" applyAlignment="1">
      <alignment horizontal="center" vertical="center" wrapText="1"/>
    </xf>
    <xf numFmtId="167" fontId="14" fillId="0" borderId="47" xfId="0" applyNumberFormat="1" applyFont="1" applyFill="1" applyBorder="1" applyAlignment="1">
      <alignment horizontal="center" vertical="center"/>
    </xf>
    <xf numFmtId="1" fontId="14" fillId="0" borderId="47" xfId="0" applyNumberFormat="1" applyFont="1" applyFill="1" applyBorder="1" applyAlignment="1">
      <alignment horizontal="center" vertical="center"/>
    </xf>
    <xf numFmtId="1" fontId="160" fillId="0" borderId="47" xfId="0" applyNumberFormat="1" applyFont="1" applyFill="1" applyBorder="1" applyAlignment="1">
      <alignment horizontal="center" vertical="center"/>
    </xf>
    <xf numFmtId="14" fontId="14" fillId="0" borderId="50" xfId="0" applyNumberFormat="1" applyFont="1" applyFill="1" applyBorder="1" applyAlignment="1">
      <alignment horizontal="center"/>
    </xf>
    <xf numFmtId="167" fontId="42" fillId="41" borderId="59" xfId="0" applyNumberFormat="1" applyFont="1" applyFill="1" applyBorder="1" applyAlignment="1">
      <alignment horizontal="center" vertical="center"/>
    </xf>
    <xf numFmtId="0" fontId="42" fillId="25" borderId="59" xfId="0" applyFont="1" applyFill="1" applyBorder="1" applyAlignment="1">
      <alignment horizontal="center" vertical="center"/>
    </xf>
    <xf numFmtId="0" fontId="42" fillId="51" borderId="59" xfId="0" applyFont="1" applyFill="1" applyBorder="1" applyAlignment="1">
      <alignment horizontal="center" vertical="center"/>
    </xf>
    <xf numFmtId="167" fontId="42" fillId="53" borderId="59" xfId="0" applyNumberFormat="1" applyFont="1" applyFill="1" applyBorder="1" applyAlignment="1">
      <alignment horizontal="center" vertical="center"/>
    </xf>
    <xf numFmtId="167" fontId="19" fillId="0" borderId="56" xfId="0" applyNumberFormat="1" applyFont="1" applyBorder="1" applyAlignment="1">
      <alignment horizontal="center" vertical="center"/>
    </xf>
    <xf numFmtId="14" fontId="15" fillId="5" borderId="64" xfId="0" applyNumberFormat="1" applyFont="1" applyFill="1" applyBorder="1" applyAlignment="1">
      <alignment horizontal="center" vertical="center"/>
    </xf>
    <xf numFmtId="0" fontId="15" fillId="41" borderId="56" xfId="0" applyFont="1" applyFill="1" applyBorder="1" applyAlignment="1">
      <alignment horizontal="center" vertical="center"/>
    </xf>
    <xf numFmtId="14" fontId="15" fillId="5" borderId="57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7" fontId="58" fillId="28" borderId="56" xfId="0" applyNumberFormat="1" applyFont="1" applyFill="1" applyBorder="1" applyAlignment="1">
      <alignment horizontal="center" vertical="center"/>
    </xf>
    <xf numFmtId="167" fontId="55" fillId="28" borderId="56" xfId="0" applyNumberFormat="1" applyFont="1" applyFill="1" applyBorder="1" applyAlignment="1">
      <alignment horizontal="center" vertical="center"/>
    </xf>
    <xf numFmtId="0" fontId="55" fillId="28" borderId="56" xfId="0" applyFont="1" applyFill="1" applyBorder="1" applyAlignment="1">
      <alignment horizontal="center" vertical="center"/>
    </xf>
    <xf numFmtId="167" fontId="15" fillId="5" borderId="66" xfId="0" applyNumberFormat="1" applyFont="1" applyFill="1" applyBorder="1" applyAlignment="1">
      <alignment horizontal="center" vertical="center"/>
    </xf>
    <xf numFmtId="167" fontId="15" fillId="41" borderId="67" xfId="0" applyNumberFormat="1" applyFont="1" applyFill="1" applyBorder="1" applyAlignment="1">
      <alignment horizontal="center" vertical="center"/>
    </xf>
    <xf numFmtId="167" fontId="15" fillId="54" borderId="68" xfId="0" applyNumberFormat="1" applyFont="1" applyFill="1" applyBorder="1" applyAlignment="1">
      <alignment horizontal="center" vertical="center"/>
    </xf>
    <xf numFmtId="167" fontId="15" fillId="5" borderId="93" xfId="0" applyNumberFormat="1" applyFont="1" applyFill="1" applyBorder="1" applyAlignment="1">
      <alignment horizontal="center" vertical="center"/>
    </xf>
    <xf numFmtId="1" fontId="11" fillId="2" borderId="12" xfId="0" applyNumberFormat="1" applyFont="1" applyFill="1" applyBorder="1" applyAlignment="1">
      <alignment horizontal="center" vertical="center" wrapText="1"/>
    </xf>
    <xf numFmtId="166" fontId="5" fillId="2" borderId="13" xfId="0" applyNumberFormat="1" applyFont="1" applyFill="1" applyBorder="1" applyAlignment="1">
      <alignment horizontal="center" vertical="center" wrapText="1"/>
    </xf>
    <xf numFmtId="49" fontId="5" fillId="2" borderId="13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1" fontId="7" fillId="2" borderId="13" xfId="0" applyNumberFormat="1" applyFont="1" applyFill="1" applyBorder="1" applyAlignment="1">
      <alignment horizontal="center" vertical="center" wrapText="1"/>
    </xf>
    <xf numFmtId="165" fontId="7" fillId="2" borderId="52" xfId="0" applyNumberFormat="1" applyFont="1" applyFill="1" applyBorder="1" applyAlignment="1">
      <alignment horizontal="center" vertical="center" wrapText="1"/>
    </xf>
    <xf numFmtId="167" fontId="15" fillId="2" borderId="12" xfId="0" applyNumberFormat="1" applyFont="1" applyFill="1" applyBorder="1" applyAlignment="1">
      <alignment horizontal="center" vertical="center" wrapText="1"/>
    </xf>
    <xf numFmtId="167" fontId="17" fillId="2" borderId="13" xfId="0" applyNumberFormat="1" applyFont="1" applyFill="1" applyBorder="1" applyAlignment="1">
      <alignment horizontal="center" vertical="center" wrapText="1"/>
    </xf>
    <xf numFmtId="167" fontId="15" fillId="51" borderId="13" xfId="0" applyNumberFormat="1" applyFont="1" applyFill="1" applyBorder="1" applyAlignment="1">
      <alignment horizontal="center" vertical="center" wrapText="1"/>
    </xf>
    <xf numFmtId="0" fontId="15" fillId="51" borderId="13" xfId="0" applyFont="1" applyFill="1" applyBorder="1" applyAlignment="1">
      <alignment horizontal="center" vertical="center" wrapText="1"/>
    </xf>
    <xf numFmtId="0" fontId="15" fillId="25" borderId="14" xfId="0" applyFont="1" applyFill="1" applyBorder="1" applyAlignment="1">
      <alignment horizontal="center" vertical="center" wrapText="1"/>
    </xf>
    <xf numFmtId="167" fontId="15" fillId="2" borderId="51" xfId="0" applyNumberFormat="1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11" fillId="2" borderId="36" xfId="0" applyFont="1" applyFill="1" applyBorder="1" applyAlignment="1">
      <alignment horizontal="center"/>
    </xf>
    <xf numFmtId="165" fontId="33" fillId="12" borderId="36" xfId="0" applyNumberFormat="1" applyFont="1" applyFill="1" applyBorder="1" applyAlignment="1">
      <alignment horizontal="center" vertical="center" wrapText="1"/>
    </xf>
    <xf numFmtId="49" fontId="12" fillId="0" borderId="36" xfId="0" applyNumberFormat="1" applyFont="1" applyFill="1" applyBorder="1" applyAlignment="1">
      <alignment horizontal="center" vertical="center" wrapText="1"/>
    </xf>
    <xf numFmtId="1" fontId="5" fillId="0" borderId="36" xfId="0" applyNumberFormat="1" applyFont="1" applyFill="1" applyBorder="1" applyAlignment="1">
      <alignment horizontal="center" wrapText="1"/>
    </xf>
    <xf numFmtId="1" fontId="10" fillId="0" borderId="36" xfId="0" applyNumberFormat="1" applyFont="1" applyFill="1" applyBorder="1" applyAlignment="1">
      <alignment horizontal="center"/>
    </xf>
    <xf numFmtId="49" fontId="4" fillId="8" borderId="36" xfId="0" applyNumberFormat="1" applyFont="1" applyFill="1" applyBorder="1" applyAlignment="1">
      <alignment horizontal="center"/>
    </xf>
    <xf numFmtId="165" fontId="14" fillId="0" borderId="47" xfId="0" applyNumberFormat="1" applyFont="1" applyFill="1" applyBorder="1" applyAlignment="1">
      <alignment horizontal="center" vertical="center" wrapText="1"/>
    </xf>
    <xf numFmtId="167" fontId="15" fillId="44" borderId="49" xfId="0" applyNumberFormat="1" applyFont="1" applyFill="1" applyBorder="1" applyAlignment="1">
      <alignment horizontal="center" vertical="center"/>
    </xf>
    <xf numFmtId="167" fontId="17" fillId="0" borderId="36" xfId="0" applyNumberFormat="1" applyFont="1" applyBorder="1" applyAlignment="1">
      <alignment horizontal="center" vertical="center"/>
    </xf>
    <xf numFmtId="167" fontId="15" fillId="42" borderId="36" xfId="0" applyNumberFormat="1" applyFont="1" applyFill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167" fontId="15" fillId="25" borderId="9" xfId="0" applyNumberFormat="1" applyFont="1" applyFill="1" applyBorder="1" applyAlignment="1">
      <alignment horizontal="center" vertical="center"/>
    </xf>
    <xf numFmtId="167" fontId="15" fillId="0" borderId="36" xfId="0" applyNumberFormat="1" applyFont="1" applyBorder="1" applyAlignment="1">
      <alignment horizontal="center" vertical="center"/>
    </xf>
    <xf numFmtId="167" fontId="15" fillId="44" borderId="61" xfId="0" applyNumberFormat="1" applyFont="1" applyFill="1" applyBorder="1" applyAlignment="1">
      <alignment horizontal="center" vertical="center"/>
    </xf>
    <xf numFmtId="167" fontId="17" fillId="0" borderId="59" xfId="0" applyNumberFormat="1" applyFont="1" applyBorder="1" applyAlignment="1">
      <alignment horizontal="center" vertical="center"/>
    </xf>
    <xf numFmtId="167" fontId="15" fillId="0" borderId="59" xfId="0" applyNumberFormat="1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167" fontId="15" fillId="25" borderId="59" xfId="0" applyNumberFormat="1" applyFont="1" applyFill="1" applyBorder="1" applyAlignment="1">
      <alignment horizontal="center" vertical="center"/>
    </xf>
    <xf numFmtId="167" fontId="17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67" fontId="15" fillId="25" borderId="50" xfId="0" applyNumberFormat="1" applyFont="1" applyFill="1" applyBorder="1" applyAlignment="1">
      <alignment horizontal="center" vertical="center"/>
    </xf>
    <xf numFmtId="167" fontId="15" fillId="0" borderId="1" xfId="0" applyNumberFormat="1" applyFont="1" applyBorder="1" applyAlignment="1">
      <alignment horizontal="center" vertical="center"/>
    </xf>
    <xf numFmtId="167" fontId="15" fillId="25" borderId="56" xfId="0" applyNumberFormat="1" applyFont="1" applyFill="1" applyBorder="1" applyAlignment="1">
      <alignment horizontal="center" vertical="center"/>
    </xf>
    <xf numFmtId="1" fontId="10" fillId="38" borderId="1" xfId="0" applyNumberFormat="1" applyFont="1" applyFill="1" applyBorder="1" applyAlignment="1">
      <alignment horizontal="center"/>
    </xf>
    <xf numFmtId="49" fontId="4" fillId="38" borderId="1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1" fontId="10" fillId="13" borderId="1" xfId="0" applyNumberFormat="1" applyFont="1" applyFill="1" applyBorder="1" applyAlignment="1">
      <alignment horizontal="center"/>
    </xf>
    <xf numFmtId="49" fontId="4" fillId="39" borderId="1" xfId="0" applyNumberFormat="1" applyFont="1" applyFill="1" applyBorder="1" applyAlignment="1">
      <alignment horizontal="center"/>
    </xf>
    <xf numFmtId="165" fontId="14" fillId="0" borderId="50" xfId="0" applyNumberFormat="1" applyFont="1" applyFill="1" applyBorder="1" applyAlignment="1">
      <alignment horizontal="center" vertical="center" wrapText="1"/>
    </xf>
    <xf numFmtId="165" fontId="14" fillId="44" borderId="3" xfId="0" applyNumberFormat="1" applyFont="1" applyFill="1" applyBorder="1" applyAlignment="1">
      <alignment horizontal="center" vertical="center" wrapText="1"/>
    </xf>
    <xf numFmtId="165" fontId="14" fillId="44" borderId="55" xfId="0" applyNumberFormat="1" applyFont="1" applyFill="1" applyBorder="1" applyAlignment="1">
      <alignment horizontal="center" vertical="center" wrapText="1"/>
    </xf>
    <xf numFmtId="0" fontId="135" fillId="0" borderId="0" xfId="0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 wrapText="1"/>
    </xf>
    <xf numFmtId="1" fontId="10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 vertical="center" wrapText="1"/>
    </xf>
    <xf numFmtId="167" fontId="15" fillId="0" borderId="0" xfId="0" applyNumberFormat="1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27" borderId="26" xfId="0" applyFont="1" applyFill="1" applyBorder="1" applyAlignment="1">
      <alignment horizontal="right" vertical="center" wrapText="1"/>
    </xf>
    <xf numFmtId="0" fontId="51" fillId="27" borderId="26" xfId="0" applyFont="1" applyFill="1" applyBorder="1" applyAlignment="1">
      <alignment horizontal="center" vertical="center"/>
    </xf>
    <xf numFmtId="0" fontId="51" fillId="56" borderId="26" xfId="0" applyFont="1" applyFill="1" applyBorder="1" applyAlignment="1">
      <alignment horizontal="center" vertical="center"/>
    </xf>
    <xf numFmtId="1" fontId="51" fillId="27" borderId="26" xfId="0" applyNumberFormat="1" applyFont="1" applyFill="1" applyBorder="1" applyAlignment="1">
      <alignment horizontal="center" vertical="center"/>
    </xf>
    <xf numFmtId="0" fontId="183" fillId="2" borderId="1" xfId="0" applyFont="1" applyFill="1" applyBorder="1" applyAlignment="1">
      <alignment horizontal="center"/>
    </xf>
    <xf numFmtId="165" fontId="186" fillId="12" borderId="1" xfId="0" applyNumberFormat="1" applyFont="1" applyFill="1" applyBorder="1" applyAlignment="1">
      <alignment horizontal="center" vertical="center" wrapText="1"/>
    </xf>
    <xf numFmtId="49" fontId="187" fillId="0" borderId="1" xfId="0" applyNumberFormat="1" applyFont="1" applyFill="1" applyBorder="1" applyAlignment="1">
      <alignment horizontal="center" vertical="center" wrapText="1"/>
    </xf>
    <xf numFmtId="1" fontId="184" fillId="0" borderId="1" xfId="0" applyNumberFormat="1" applyFont="1" applyFill="1" applyBorder="1" applyAlignment="1">
      <alignment horizontal="center" wrapText="1"/>
    </xf>
    <xf numFmtId="1" fontId="188" fillId="0" borderId="1" xfId="0" applyNumberFormat="1" applyFont="1" applyFill="1" applyBorder="1" applyAlignment="1">
      <alignment horizontal="center"/>
    </xf>
    <xf numFmtId="49" fontId="182" fillId="0" borderId="1" xfId="0" applyNumberFormat="1" applyFont="1" applyFill="1" applyBorder="1" applyAlignment="1">
      <alignment horizontal="center"/>
    </xf>
    <xf numFmtId="0" fontId="183" fillId="0" borderId="1" xfId="0" applyFont="1" applyFill="1" applyBorder="1" applyAlignment="1">
      <alignment horizontal="center"/>
    </xf>
    <xf numFmtId="165" fontId="189" fillId="0" borderId="1" xfId="0" applyNumberFormat="1" applyFont="1" applyFill="1" applyBorder="1" applyAlignment="1">
      <alignment horizontal="center"/>
    </xf>
    <xf numFmtId="169" fontId="189" fillId="40" borderId="1" xfId="1" applyNumberFormat="1" applyFont="1" applyFill="1" applyBorder="1" applyAlignment="1">
      <alignment horizontal="center"/>
    </xf>
    <xf numFmtId="171" fontId="189" fillId="40" borderId="1" xfId="1" applyNumberFormat="1" applyFont="1" applyFill="1" applyBorder="1" applyAlignment="1">
      <alignment horizontal="center"/>
    </xf>
    <xf numFmtId="165" fontId="190" fillId="0" borderId="1" xfId="0" applyNumberFormat="1" applyFont="1" applyFill="1" applyBorder="1" applyAlignment="1">
      <alignment horizontal="center"/>
    </xf>
    <xf numFmtId="165" fontId="181" fillId="0" borderId="1" xfId="0" applyNumberFormat="1" applyFont="1" applyFill="1" applyBorder="1" applyAlignment="1">
      <alignment horizontal="center" vertical="center" wrapText="1"/>
    </xf>
    <xf numFmtId="1" fontId="189" fillId="5" borderId="1" xfId="0" applyNumberFormat="1" applyFont="1" applyFill="1" applyBorder="1" applyAlignment="1">
      <alignment horizontal="center"/>
    </xf>
    <xf numFmtId="1" fontId="189" fillId="0" borderId="1" xfId="0" applyNumberFormat="1" applyFont="1" applyFill="1" applyBorder="1" applyAlignment="1">
      <alignment horizontal="center"/>
    </xf>
    <xf numFmtId="1" fontId="179" fillId="10" borderId="1" xfId="0" applyNumberFormat="1" applyFont="1" applyFill="1" applyBorder="1" applyAlignment="1">
      <alignment horizontal="center"/>
    </xf>
    <xf numFmtId="49" fontId="179" fillId="20" borderId="1" xfId="0" applyNumberFormat="1" applyFont="1" applyFill="1" applyBorder="1" applyAlignment="1">
      <alignment horizontal="center"/>
    </xf>
    <xf numFmtId="165" fontId="188" fillId="0" borderId="1" xfId="0" applyNumberFormat="1" applyFont="1" applyFill="1" applyBorder="1" applyAlignment="1">
      <alignment horizontal="center"/>
    </xf>
    <xf numFmtId="1" fontId="182" fillId="0" borderId="1" xfId="0" applyNumberFormat="1" applyFont="1" applyFill="1" applyBorder="1" applyAlignment="1">
      <alignment horizontal="center"/>
    </xf>
    <xf numFmtId="1" fontId="191" fillId="0" borderId="1" xfId="0" applyNumberFormat="1" applyFont="1" applyFill="1" applyBorder="1" applyAlignment="1">
      <alignment horizontal="center"/>
    </xf>
    <xf numFmtId="1" fontId="192" fillId="31" borderId="1" xfId="0" applyNumberFormat="1" applyFont="1" applyFill="1" applyBorder="1" applyAlignment="1">
      <alignment horizontal="center"/>
    </xf>
    <xf numFmtId="165" fontId="193" fillId="31" borderId="1" xfId="0" applyNumberFormat="1" applyFont="1" applyFill="1" applyBorder="1" applyAlignment="1">
      <alignment horizontal="center"/>
    </xf>
    <xf numFmtId="1" fontId="194" fillId="19" borderId="1" xfId="0" applyNumberFormat="1" applyFont="1" applyFill="1" applyBorder="1" applyAlignment="1">
      <alignment horizontal="center" vertical="center" wrapText="1"/>
    </xf>
    <xf numFmtId="165" fontId="189" fillId="3" borderId="1" xfId="0" applyNumberFormat="1" applyFont="1" applyFill="1" applyBorder="1" applyAlignment="1">
      <alignment horizontal="center"/>
    </xf>
    <xf numFmtId="1" fontId="195" fillId="19" borderId="1" xfId="0" applyNumberFormat="1" applyFont="1" applyFill="1" applyBorder="1" applyAlignment="1">
      <alignment horizontal="center" vertical="center" wrapText="1"/>
    </xf>
    <xf numFmtId="1" fontId="188" fillId="2" borderId="1" xfId="0" applyNumberFormat="1" applyFont="1" applyFill="1" applyBorder="1" applyAlignment="1">
      <alignment horizontal="center"/>
    </xf>
    <xf numFmtId="0" fontId="196" fillId="0" borderId="1" xfId="0" applyFont="1" applyFill="1" applyBorder="1" applyAlignment="1">
      <alignment horizontal="center" vertical="center"/>
    </xf>
    <xf numFmtId="0" fontId="187" fillId="0" borderId="1" xfId="0" applyFont="1" applyFill="1" applyBorder="1" applyAlignment="1">
      <alignment horizontal="center" vertical="center"/>
    </xf>
    <xf numFmtId="14" fontId="188" fillId="0" borderId="1" xfId="0" applyNumberFormat="1" applyFont="1" applyFill="1" applyBorder="1" applyAlignment="1">
      <alignment horizontal="center"/>
    </xf>
    <xf numFmtId="0" fontId="196" fillId="0" borderId="2" xfId="0" applyFont="1" applyFill="1" applyBorder="1" applyAlignment="1">
      <alignment horizontal="center"/>
    </xf>
    <xf numFmtId="14" fontId="196" fillId="0" borderId="55" xfId="0" applyNumberFormat="1" applyFont="1" applyFill="1" applyBorder="1" applyAlignment="1">
      <alignment horizontal="center"/>
    </xf>
    <xf numFmtId="167" fontId="181" fillId="0" borderId="1" xfId="0" applyNumberFormat="1" applyFont="1" applyFill="1" applyBorder="1" applyAlignment="1">
      <alignment horizontal="center"/>
    </xf>
    <xf numFmtId="0" fontId="196" fillId="0" borderId="1" xfId="0" applyFont="1" applyFill="1" applyBorder="1" applyAlignment="1">
      <alignment horizontal="center"/>
    </xf>
    <xf numFmtId="167" fontId="196" fillId="0" borderId="50" xfId="0" applyNumberFormat="1" applyFont="1" applyFill="1" applyBorder="1" applyAlignment="1">
      <alignment horizontal="center"/>
    </xf>
    <xf numFmtId="14" fontId="181" fillId="0" borderId="55" xfId="0" applyNumberFormat="1" applyFont="1" applyFill="1" applyBorder="1" applyAlignment="1">
      <alignment horizontal="center"/>
    </xf>
    <xf numFmtId="167" fontId="181" fillId="0" borderId="2" xfId="0" applyNumberFormat="1" applyFont="1" applyFill="1" applyBorder="1" applyAlignment="1">
      <alignment horizontal="center"/>
    </xf>
    <xf numFmtId="0" fontId="182" fillId="51" borderId="1" xfId="0" applyFont="1" applyFill="1" applyBorder="1" applyAlignment="1">
      <alignment horizontal="center" vertical="center" wrapText="1"/>
    </xf>
    <xf numFmtId="0" fontId="181" fillId="0" borderId="50" xfId="0" applyFont="1" applyFill="1" applyBorder="1" applyAlignment="1">
      <alignment horizontal="center"/>
    </xf>
    <xf numFmtId="0" fontId="197" fillId="0" borderId="49" xfId="0" applyFont="1" applyFill="1" applyBorder="1" applyAlignment="1">
      <alignment horizontal="center" vertical="center"/>
    </xf>
    <xf numFmtId="14" fontId="184" fillId="0" borderId="1" xfId="0" applyNumberFormat="1" applyFont="1" applyFill="1" applyBorder="1" applyAlignment="1">
      <alignment horizontal="center" vertical="center"/>
    </xf>
    <xf numFmtId="167" fontId="181" fillId="0" borderId="1" xfId="0" applyNumberFormat="1" applyFont="1" applyFill="1" applyBorder="1" applyAlignment="1">
      <alignment horizontal="center" vertical="center"/>
    </xf>
    <xf numFmtId="0" fontId="181" fillId="0" borderId="1" xfId="0" applyFont="1" applyFill="1" applyBorder="1" applyAlignment="1">
      <alignment horizontal="center" vertical="center"/>
    </xf>
    <xf numFmtId="0" fontId="180" fillId="0" borderId="1" xfId="0" applyFont="1" applyFill="1" applyBorder="1" applyAlignment="1">
      <alignment horizontal="center" vertical="center"/>
    </xf>
    <xf numFmtId="14" fontId="184" fillId="5" borderId="1" xfId="0" applyNumberFormat="1" applyFont="1" applyFill="1" applyBorder="1" applyAlignment="1">
      <alignment horizontal="center" vertical="center"/>
    </xf>
    <xf numFmtId="0" fontId="185" fillId="0" borderId="1" xfId="0" applyFont="1" applyFill="1" applyBorder="1" applyAlignment="1">
      <alignment horizontal="center" vertical="center"/>
    </xf>
    <xf numFmtId="0" fontId="180" fillId="0" borderId="1" xfId="0" applyFont="1" applyFill="1" applyBorder="1" applyAlignment="1">
      <alignment horizontal="center"/>
    </xf>
    <xf numFmtId="0" fontId="184" fillId="0" borderId="1" xfId="0" applyFont="1" applyFill="1" applyBorder="1" applyAlignment="1">
      <alignment horizontal="center" vertical="center"/>
    </xf>
    <xf numFmtId="0" fontId="196" fillId="0" borderId="1" xfId="0" applyFont="1" applyFill="1" applyBorder="1"/>
    <xf numFmtId="165" fontId="181" fillId="5" borderId="36" xfId="0" applyNumberFormat="1" applyFont="1" applyFill="1" applyBorder="1" applyAlignment="1">
      <alignment horizontal="center" vertical="center"/>
    </xf>
    <xf numFmtId="165" fontId="198" fillId="0" borderId="36" xfId="0" applyNumberFormat="1" applyFont="1" applyFill="1" applyBorder="1" applyAlignment="1">
      <alignment horizontal="center" vertical="center" wrapText="1"/>
    </xf>
    <xf numFmtId="165" fontId="181" fillId="0" borderId="36" xfId="0" applyNumberFormat="1" applyFont="1" applyFill="1" applyBorder="1" applyAlignment="1">
      <alignment horizontal="center" vertical="center"/>
    </xf>
    <xf numFmtId="1" fontId="181" fillId="0" borderId="36" xfId="0" applyNumberFormat="1" applyFont="1" applyFill="1" applyBorder="1" applyAlignment="1">
      <alignment horizontal="center" vertical="center"/>
    </xf>
    <xf numFmtId="167" fontId="181" fillId="0" borderId="36" xfId="0" applyNumberFormat="1" applyFont="1" applyFill="1" applyBorder="1" applyAlignment="1">
      <alignment horizontal="center" vertical="center"/>
    </xf>
    <xf numFmtId="0" fontId="196" fillId="0" borderId="0" xfId="0" applyFont="1" applyFill="1"/>
    <xf numFmtId="167" fontId="182" fillId="53" borderId="1" xfId="0" applyNumberFormat="1" applyFont="1" applyFill="1" applyBorder="1" applyAlignment="1">
      <alignment horizontal="center"/>
    </xf>
    <xf numFmtId="0" fontId="14" fillId="0" borderId="48" xfId="0" applyFont="1" applyFill="1" applyBorder="1" applyAlignment="1">
      <alignment horizontal="left"/>
    </xf>
    <xf numFmtId="1" fontId="199" fillId="2" borderId="1" xfId="0" applyNumberFormat="1" applyFont="1" applyFill="1" applyBorder="1" applyAlignment="1">
      <alignment horizontal="center" vertical="center" wrapText="1"/>
    </xf>
    <xf numFmtId="166" fontId="200" fillId="2" borderId="1" xfId="0" applyNumberFormat="1" applyFont="1" applyFill="1" applyBorder="1" applyAlignment="1">
      <alignment horizontal="center" vertical="center" wrapText="1"/>
    </xf>
    <xf numFmtId="49" fontId="200" fillId="2" borderId="1" xfId="0" applyNumberFormat="1" applyFont="1" applyFill="1" applyBorder="1" applyAlignment="1">
      <alignment horizontal="center" vertical="center" wrapText="1"/>
    </xf>
    <xf numFmtId="1" fontId="200" fillId="2" borderId="1" xfId="0" applyNumberFormat="1" applyFont="1" applyFill="1" applyBorder="1" applyAlignment="1">
      <alignment horizontal="center" vertical="center" wrapText="1"/>
    </xf>
    <xf numFmtId="167" fontId="200" fillId="22" borderId="1" xfId="0" applyNumberFormat="1" applyFont="1" applyFill="1" applyBorder="1" applyAlignment="1">
      <alignment horizontal="center" vertical="center" wrapText="1"/>
    </xf>
    <xf numFmtId="0" fontId="200" fillId="2" borderId="1" xfId="0" applyFont="1" applyFill="1" applyBorder="1" applyAlignment="1">
      <alignment horizontal="center" vertical="center" wrapText="1"/>
    </xf>
    <xf numFmtId="165" fontId="201" fillId="2" borderId="1" xfId="0" applyNumberFormat="1" applyFont="1" applyFill="1" applyBorder="1" applyAlignment="1">
      <alignment horizontal="center" vertical="center" wrapText="1"/>
    </xf>
    <xf numFmtId="169" fontId="200" fillId="2" borderId="1" xfId="1" applyNumberFormat="1" applyFont="1" applyFill="1" applyBorder="1" applyAlignment="1">
      <alignment horizontal="center" vertical="center" wrapText="1"/>
    </xf>
    <xf numFmtId="171" fontId="200" fillId="2" borderId="1" xfId="1" applyNumberFormat="1" applyFont="1" applyFill="1" applyBorder="1" applyAlignment="1">
      <alignment horizontal="center" vertical="center" wrapText="1"/>
    </xf>
    <xf numFmtId="165" fontId="202" fillId="2" borderId="1" xfId="0" applyNumberFormat="1" applyFont="1" applyFill="1" applyBorder="1" applyAlignment="1">
      <alignment horizontal="center" vertical="center" wrapText="1"/>
    </xf>
    <xf numFmtId="1" fontId="203" fillId="2" borderId="1" xfId="0" applyNumberFormat="1" applyFont="1" applyFill="1" applyBorder="1" applyAlignment="1">
      <alignment horizontal="center" vertical="center" wrapText="1"/>
    </xf>
    <xf numFmtId="165" fontId="200" fillId="2" borderId="1" xfId="0" applyNumberFormat="1" applyFont="1" applyFill="1" applyBorder="1" applyAlignment="1">
      <alignment horizontal="center" vertical="center" wrapText="1"/>
    </xf>
    <xf numFmtId="165" fontId="204" fillId="2" borderId="1" xfId="0" applyNumberFormat="1" applyFont="1" applyFill="1" applyBorder="1" applyAlignment="1">
      <alignment horizontal="center" vertical="center" wrapText="1"/>
    </xf>
    <xf numFmtId="165" fontId="205" fillId="2" borderId="1" xfId="0" applyNumberFormat="1" applyFont="1" applyFill="1" applyBorder="1" applyAlignment="1">
      <alignment horizontal="center" vertical="center" wrapText="1"/>
    </xf>
    <xf numFmtId="1" fontId="204" fillId="2" borderId="1" xfId="0" applyNumberFormat="1" applyFont="1" applyFill="1" applyBorder="1" applyAlignment="1">
      <alignment horizontal="center" vertical="center" wrapText="1"/>
    </xf>
    <xf numFmtId="0" fontId="206" fillId="22" borderId="51" xfId="0" applyFont="1" applyFill="1" applyBorder="1" applyAlignment="1">
      <alignment horizontal="center" vertical="center" wrapText="1"/>
    </xf>
    <xf numFmtId="1" fontId="207" fillId="31" borderId="1" xfId="0" applyNumberFormat="1" applyFont="1" applyFill="1" applyBorder="1" applyAlignment="1">
      <alignment horizontal="center" vertical="center" wrapText="1"/>
    </xf>
    <xf numFmtId="165" fontId="207" fillId="31" borderId="1" xfId="0" applyNumberFormat="1" applyFont="1" applyFill="1" applyBorder="1" applyAlignment="1">
      <alignment horizontal="center" vertical="center" wrapText="1"/>
    </xf>
    <xf numFmtId="1" fontId="208" fillId="2" borderId="1" xfId="0" applyNumberFormat="1" applyFont="1" applyFill="1" applyBorder="1" applyAlignment="1">
      <alignment horizontal="center" vertical="center" wrapText="1"/>
    </xf>
    <xf numFmtId="165" fontId="209" fillId="2" borderId="1" xfId="0" applyNumberFormat="1" applyFont="1" applyFill="1" applyBorder="1" applyAlignment="1">
      <alignment vertical="center" wrapText="1"/>
    </xf>
    <xf numFmtId="0" fontId="204" fillId="2" borderId="1" xfId="0" applyFont="1" applyFill="1" applyBorder="1" applyAlignment="1">
      <alignment horizontal="center" vertical="center" wrapText="1"/>
    </xf>
    <xf numFmtId="14" fontId="204" fillId="2" borderId="1" xfId="0" applyNumberFormat="1" applyFont="1" applyFill="1" applyBorder="1" applyAlignment="1">
      <alignment horizontal="center" vertical="center" wrapText="1"/>
    </xf>
    <xf numFmtId="1" fontId="204" fillId="2" borderId="2" xfId="0" applyNumberFormat="1" applyFont="1" applyFill="1" applyBorder="1" applyAlignment="1">
      <alignment horizontal="center" vertical="center" wrapText="1"/>
    </xf>
    <xf numFmtId="1" fontId="210" fillId="42" borderId="4" xfId="0" applyNumberFormat="1" applyFont="1" applyFill="1" applyBorder="1" applyAlignment="1">
      <alignment horizontal="center" vertical="center" wrapText="1"/>
    </xf>
    <xf numFmtId="0" fontId="206" fillId="22" borderId="13" xfId="0" applyFont="1" applyFill="1" applyBorder="1" applyAlignment="1">
      <alignment horizontal="center" vertical="center" wrapText="1"/>
    </xf>
    <xf numFmtId="0" fontId="206" fillId="22" borderId="12" xfId="0" applyFont="1" applyFill="1" applyBorder="1" applyAlignment="1">
      <alignment horizontal="center" vertical="center" wrapText="1"/>
    </xf>
    <xf numFmtId="0" fontId="204" fillId="0" borderId="0" xfId="0" applyFont="1" applyFill="1" applyAlignment="1">
      <alignment horizontal="center" vertical="center" wrapText="1"/>
    </xf>
    <xf numFmtId="1" fontId="213" fillId="2" borderId="1" xfId="0" applyNumberFormat="1" applyFont="1" applyFill="1" applyBorder="1" applyAlignment="1">
      <alignment horizontal="center" vertical="center" wrapText="1"/>
    </xf>
    <xf numFmtId="166" fontId="214" fillId="2" borderId="1" xfId="0" applyNumberFormat="1" applyFont="1" applyFill="1" applyBorder="1" applyAlignment="1">
      <alignment horizontal="center" vertical="center" wrapText="1"/>
    </xf>
    <xf numFmtId="49" fontId="214" fillId="2" borderId="1" xfId="0" applyNumberFormat="1" applyFont="1" applyFill="1" applyBorder="1" applyAlignment="1">
      <alignment horizontal="center" vertical="center" wrapText="1"/>
    </xf>
    <xf numFmtId="1" fontId="214" fillId="2" borderId="1" xfId="0" applyNumberFormat="1" applyFont="1" applyFill="1" applyBorder="1" applyAlignment="1">
      <alignment horizontal="center" vertical="center" wrapText="1"/>
    </xf>
    <xf numFmtId="1" fontId="209" fillId="2" borderId="1" xfId="0" applyNumberFormat="1" applyFont="1" applyFill="1" applyBorder="1" applyAlignment="1">
      <alignment horizontal="center" vertical="center" wrapText="1"/>
    </xf>
    <xf numFmtId="167" fontId="209" fillId="22" borderId="1" xfId="0" applyNumberFormat="1" applyFont="1" applyFill="1" applyBorder="1" applyAlignment="1">
      <alignment horizontal="center" vertical="center" wrapText="1"/>
    </xf>
    <xf numFmtId="0" fontId="209" fillId="2" borderId="1" xfId="0" applyFont="1" applyFill="1" applyBorder="1" applyAlignment="1">
      <alignment horizontal="center" vertical="center" wrapText="1"/>
    </xf>
    <xf numFmtId="165" fontId="209" fillId="2" borderId="1" xfId="0" applyNumberFormat="1" applyFont="1" applyFill="1" applyBorder="1" applyAlignment="1">
      <alignment horizontal="center" vertical="center" wrapText="1"/>
    </xf>
    <xf numFmtId="169" fontId="209" fillId="2" borderId="1" xfId="1" applyNumberFormat="1" applyFont="1" applyFill="1" applyBorder="1" applyAlignment="1">
      <alignment horizontal="center" vertical="center" wrapText="1"/>
    </xf>
    <xf numFmtId="171" fontId="209" fillId="2" borderId="1" xfId="1" applyNumberFormat="1" applyFont="1" applyFill="1" applyBorder="1" applyAlignment="1">
      <alignment horizontal="center" vertical="center" wrapText="1"/>
    </xf>
    <xf numFmtId="1" fontId="209" fillId="5" borderId="1" xfId="0" applyNumberFormat="1" applyFont="1" applyFill="1" applyBorder="1" applyAlignment="1">
      <alignment horizontal="center" vertical="center" wrapText="1"/>
    </xf>
    <xf numFmtId="1" fontId="215" fillId="10" borderId="1" xfId="0" applyNumberFormat="1" applyFont="1" applyFill="1" applyBorder="1" applyAlignment="1">
      <alignment horizontal="center" vertical="center" wrapText="1"/>
    </xf>
    <xf numFmtId="1" fontId="215" fillId="12" borderId="1" xfId="0" applyNumberFormat="1" applyFont="1" applyFill="1" applyBorder="1" applyAlignment="1">
      <alignment horizontal="center" vertical="center" wrapText="1"/>
    </xf>
    <xf numFmtId="165" fontId="209" fillId="3" borderId="1" xfId="0" applyNumberFormat="1" applyFont="1" applyFill="1" applyBorder="1" applyAlignment="1">
      <alignment horizontal="center" vertical="center" wrapText="1"/>
    </xf>
    <xf numFmtId="165" fontId="214" fillId="3" borderId="1" xfId="0" applyNumberFormat="1" applyFont="1" applyFill="1" applyBorder="1" applyAlignment="1">
      <alignment horizontal="center" vertical="center" wrapText="1"/>
    </xf>
    <xf numFmtId="165" fontId="215" fillId="8" borderId="1" xfId="0" applyNumberFormat="1" applyFont="1" applyFill="1" applyBorder="1" applyAlignment="1">
      <alignment horizontal="center" vertical="center" wrapText="1"/>
    </xf>
    <xf numFmtId="1" fontId="214" fillId="5" borderId="1" xfId="0" applyNumberFormat="1" applyFont="1" applyFill="1" applyBorder="1" applyAlignment="1">
      <alignment horizontal="center" vertical="center" wrapText="1"/>
    </xf>
    <xf numFmtId="1" fontId="214" fillId="3" borderId="1" xfId="0" applyNumberFormat="1" applyFont="1" applyFill="1" applyBorder="1" applyAlignment="1">
      <alignment horizontal="center" vertical="center" wrapText="1"/>
    </xf>
    <xf numFmtId="1" fontId="216" fillId="31" borderId="1" xfId="0" applyNumberFormat="1" applyFont="1" applyFill="1" applyBorder="1" applyAlignment="1">
      <alignment horizontal="center" vertical="center" wrapText="1"/>
    </xf>
    <xf numFmtId="1" fontId="217" fillId="31" borderId="1" xfId="0" applyNumberFormat="1" applyFont="1" applyFill="1" applyBorder="1" applyAlignment="1">
      <alignment horizontal="center" vertical="center" wrapText="1"/>
    </xf>
    <xf numFmtId="1" fontId="218" fillId="31" borderId="1" xfId="0" applyNumberFormat="1" applyFont="1" applyFill="1" applyBorder="1" applyAlignment="1">
      <alignment horizontal="center" vertical="center" wrapText="1"/>
    </xf>
    <xf numFmtId="165" fontId="218" fillId="31" borderId="1" xfId="0" applyNumberFormat="1" applyFont="1" applyFill="1" applyBorder="1" applyAlignment="1">
      <alignment horizontal="center" vertical="center" wrapText="1"/>
    </xf>
    <xf numFmtId="165" fontId="214" fillId="4" borderId="1" xfId="0" applyNumberFormat="1" applyFont="1" applyFill="1" applyBorder="1" applyAlignment="1">
      <alignment horizontal="center" vertical="center" wrapText="1"/>
    </xf>
    <xf numFmtId="1" fontId="219" fillId="21" borderId="1" xfId="0" applyNumberFormat="1" applyFont="1" applyFill="1" applyBorder="1" applyAlignment="1">
      <alignment horizontal="center" vertical="center" wrapText="1"/>
    </xf>
    <xf numFmtId="165" fontId="214" fillId="6" borderId="1" xfId="0" applyNumberFormat="1" applyFont="1" applyFill="1" applyBorder="1" applyAlignment="1">
      <alignment horizontal="center" vertical="center" wrapText="1"/>
    </xf>
    <xf numFmtId="165" fontId="209" fillId="5" borderId="1" xfId="0" applyNumberFormat="1" applyFont="1" applyFill="1" applyBorder="1" applyAlignment="1">
      <alignment horizontal="center" vertical="center" wrapText="1"/>
    </xf>
    <xf numFmtId="165" fontId="214" fillId="2" borderId="1" xfId="0" applyNumberFormat="1" applyFont="1" applyFill="1" applyBorder="1" applyAlignment="1">
      <alignment horizontal="center" vertical="center" wrapText="1"/>
    </xf>
    <xf numFmtId="0" fontId="214" fillId="13" borderId="1" xfId="0" applyFont="1" applyFill="1" applyBorder="1" applyAlignment="1">
      <alignment horizontal="center" vertical="center" wrapText="1"/>
    </xf>
    <xf numFmtId="14" fontId="214" fillId="5" borderId="1" xfId="0" applyNumberFormat="1" applyFont="1" applyFill="1" applyBorder="1" applyAlignment="1">
      <alignment horizontal="center" vertical="center" wrapText="1"/>
    </xf>
    <xf numFmtId="0" fontId="214" fillId="5" borderId="2" xfId="0" applyFont="1" applyFill="1" applyBorder="1" applyAlignment="1">
      <alignment horizontal="center" vertical="center" wrapText="1"/>
    </xf>
    <xf numFmtId="0" fontId="214" fillId="61" borderId="55" xfId="0" applyFont="1" applyFill="1" applyBorder="1" applyAlignment="1">
      <alignment horizontal="center" vertical="center" wrapText="1"/>
    </xf>
    <xf numFmtId="167" fontId="214" fillId="61" borderId="1" xfId="0" applyNumberFormat="1" applyFont="1" applyFill="1" applyBorder="1" applyAlignment="1">
      <alignment horizontal="center" vertical="center" wrapText="1"/>
    </xf>
    <xf numFmtId="0" fontId="214" fillId="61" borderId="1" xfId="0" applyFont="1" applyFill="1" applyBorder="1" applyAlignment="1">
      <alignment horizontal="center" vertical="center" wrapText="1"/>
    </xf>
    <xf numFmtId="167" fontId="214" fillId="61" borderId="50" xfId="0" applyNumberFormat="1" applyFont="1" applyFill="1" applyBorder="1" applyAlignment="1">
      <alignment horizontal="center" vertical="center" wrapText="1"/>
    </xf>
    <xf numFmtId="0" fontId="214" fillId="63" borderId="55" xfId="0" applyFont="1" applyFill="1" applyBorder="1" applyAlignment="1">
      <alignment horizontal="center" vertical="center" wrapText="1"/>
    </xf>
    <xf numFmtId="167" fontId="214" fillId="63" borderId="1" xfId="0" applyNumberFormat="1" applyFont="1" applyFill="1" applyBorder="1" applyAlignment="1">
      <alignment horizontal="center" vertical="center" wrapText="1"/>
    </xf>
    <xf numFmtId="0" fontId="214" fillId="63" borderId="1" xfId="0" applyFont="1" applyFill="1" applyBorder="1" applyAlignment="1">
      <alignment horizontal="center" vertical="center" wrapText="1"/>
    </xf>
    <xf numFmtId="167" fontId="214" fillId="63" borderId="50" xfId="0" applyNumberFormat="1" applyFont="1" applyFill="1" applyBorder="1" applyAlignment="1">
      <alignment horizontal="center" vertical="center" wrapText="1"/>
    </xf>
    <xf numFmtId="0" fontId="214" fillId="37" borderId="94" xfId="0" applyFont="1" applyFill="1" applyBorder="1" applyAlignment="1">
      <alignment horizontal="center" vertical="center" wrapText="1"/>
    </xf>
    <xf numFmtId="0" fontId="214" fillId="37" borderId="54" xfId="0" applyFont="1" applyFill="1" applyBorder="1" applyAlignment="1">
      <alignment horizontal="center" vertical="center" wrapText="1"/>
    </xf>
    <xf numFmtId="167" fontId="214" fillId="37" borderId="54" xfId="0" applyNumberFormat="1" applyFont="1" applyFill="1" applyBorder="1" applyAlignment="1">
      <alignment horizontal="center" vertical="center" wrapText="1"/>
    </xf>
    <xf numFmtId="0" fontId="214" fillId="37" borderId="7" xfId="0" applyFont="1" applyFill="1" applyBorder="1" applyAlignment="1">
      <alignment horizontal="center" vertical="center" wrapText="1"/>
    </xf>
    <xf numFmtId="0" fontId="214" fillId="23" borderId="12" xfId="0" applyFont="1" applyFill="1" applyBorder="1" applyAlignment="1">
      <alignment horizontal="center" vertical="center" wrapText="1"/>
    </xf>
    <xf numFmtId="0" fontId="214" fillId="44" borderId="13" xfId="0" applyFont="1" applyFill="1" applyBorder="1" applyAlignment="1">
      <alignment horizontal="center" vertical="center" wrapText="1"/>
    </xf>
    <xf numFmtId="167" fontId="214" fillId="44" borderId="13" xfId="0" applyNumberFormat="1" applyFont="1" applyFill="1" applyBorder="1" applyAlignment="1">
      <alignment horizontal="center" vertical="center" wrapText="1"/>
    </xf>
    <xf numFmtId="0" fontId="214" fillId="44" borderId="14" xfId="0" applyFont="1" applyFill="1" applyBorder="1" applyAlignment="1">
      <alignment horizontal="center" vertical="center" wrapText="1"/>
    </xf>
    <xf numFmtId="14" fontId="214" fillId="44" borderId="13" xfId="0" applyNumberFormat="1" applyFont="1" applyFill="1" applyBorder="1" applyAlignment="1">
      <alignment horizontal="center" vertical="center" wrapText="1"/>
    </xf>
    <xf numFmtId="0" fontId="204" fillId="22" borderId="52" xfId="0" applyFont="1" applyFill="1" applyBorder="1" applyAlignment="1">
      <alignment horizontal="center" vertical="center" wrapText="1"/>
    </xf>
    <xf numFmtId="0" fontId="220" fillId="37" borderId="52" xfId="0" applyFont="1" applyFill="1" applyBorder="1" applyAlignment="1">
      <alignment horizontal="center" vertical="center" wrapText="1"/>
    </xf>
    <xf numFmtId="0" fontId="214" fillId="23" borderId="13" xfId="0" applyFont="1" applyFill="1" applyBorder="1" applyAlignment="1">
      <alignment horizontal="center" vertical="center" wrapText="1"/>
    </xf>
    <xf numFmtId="167" fontId="214" fillId="23" borderId="13" xfId="0" applyNumberFormat="1" applyFont="1" applyFill="1" applyBorder="1" applyAlignment="1">
      <alignment horizontal="center" vertical="center" wrapText="1"/>
    </xf>
    <xf numFmtId="0" fontId="214" fillId="42" borderId="12" xfId="0" applyFont="1" applyFill="1" applyBorder="1" applyAlignment="1">
      <alignment horizontal="center" vertical="center" wrapText="1"/>
    </xf>
    <xf numFmtId="0" fontId="214" fillId="51" borderId="13" xfId="0" applyFont="1" applyFill="1" applyBorder="1" applyAlignment="1">
      <alignment horizontal="center" vertical="center" wrapText="1"/>
    </xf>
    <xf numFmtId="167" fontId="214" fillId="51" borderId="13" xfId="0" applyNumberFormat="1" applyFont="1" applyFill="1" applyBorder="1" applyAlignment="1">
      <alignment horizontal="center" vertical="center" wrapText="1"/>
    </xf>
    <xf numFmtId="0" fontId="214" fillId="51" borderId="14" xfId="0" applyFont="1" applyFill="1" applyBorder="1" applyAlignment="1">
      <alignment horizontal="center" vertical="center" wrapText="1"/>
    </xf>
    <xf numFmtId="14" fontId="214" fillId="51" borderId="13" xfId="0" applyNumberFormat="1" applyFont="1" applyFill="1" applyBorder="1" applyAlignment="1">
      <alignment horizontal="center" vertical="center" wrapText="1"/>
    </xf>
    <xf numFmtId="0" fontId="204" fillId="44" borderId="52" xfId="0" applyFont="1" applyFill="1" applyBorder="1" applyAlignment="1">
      <alignment horizontal="center" vertical="center" wrapText="1"/>
    </xf>
    <xf numFmtId="0" fontId="214" fillId="41" borderId="51" xfId="0" applyFont="1" applyFill="1" applyBorder="1" applyAlignment="1">
      <alignment horizontal="center" vertical="center" wrapText="1"/>
    </xf>
    <xf numFmtId="0" fontId="214" fillId="41" borderId="13" xfId="0" applyFont="1" applyFill="1" applyBorder="1" applyAlignment="1">
      <alignment horizontal="center" vertical="center" wrapText="1"/>
    </xf>
    <xf numFmtId="167" fontId="214" fillId="41" borderId="13" xfId="0" applyNumberFormat="1" applyFont="1" applyFill="1" applyBorder="1" applyAlignment="1">
      <alignment horizontal="center" vertical="center" wrapText="1"/>
    </xf>
    <xf numFmtId="0" fontId="214" fillId="0" borderId="0" xfId="0" applyFont="1" applyFill="1" applyAlignment="1">
      <alignment horizontal="center" vertical="center" wrapText="1"/>
    </xf>
    <xf numFmtId="0" fontId="213" fillId="2" borderId="1" xfId="0" applyFont="1" applyFill="1" applyBorder="1" applyAlignment="1">
      <alignment horizontal="center"/>
    </xf>
    <xf numFmtId="165" fontId="221" fillId="12" borderId="1" xfId="0" applyNumberFormat="1" applyFont="1" applyFill="1" applyBorder="1" applyAlignment="1">
      <alignment horizontal="center" vertical="center" wrapText="1"/>
    </xf>
    <xf numFmtId="49" fontId="222" fillId="0" borderId="1" xfId="0" applyNumberFormat="1" applyFont="1" applyFill="1" applyBorder="1" applyAlignment="1">
      <alignment horizontal="center" vertical="center" wrapText="1"/>
    </xf>
    <xf numFmtId="1" fontId="214" fillId="0" borderId="1" xfId="0" applyNumberFormat="1" applyFont="1" applyFill="1" applyBorder="1" applyAlignment="1">
      <alignment horizontal="center" wrapText="1"/>
    </xf>
    <xf numFmtId="1" fontId="223" fillId="0" borderId="1" xfId="0" applyNumberFormat="1" applyFont="1" applyFill="1" applyBorder="1" applyAlignment="1">
      <alignment horizontal="center"/>
    </xf>
    <xf numFmtId="49" fontId="212" fillId="0" borderId="1" xfId="0" applyNumberFormat="1" applyFont="1" applyFill="1" applyBorder="1" applyAlignment="1">
      <alignment horizontal="center"/>
    </xf>
    <xf numFmtId="167" fontId="212" fillId="52" borderId="1" xfId="0" applyNumberFormat="1" applyFont="1" applyFill="1" applyBorder="1" applyAlignment="1">
      <alignment horizontal="center"/>
    </xf>
    <xf numFmtId="0" fontId="213" fillId="0" borderId="1" xfId="0" applyFont="1" applyFill="1" applyBorder="1" applyAlignment="1">
      <alignment horizontal="center"/>
    </xf>
    <xf numFmtId="165" fontId="224" fillId="0" borderId="1" xfId="0" applyNumberFormat="1" applyFont="1" applyFill="1" applyBorder="1" applyAlignment="1">
      <alignment horizontal="center"/>
    </xf>
    <xf numFmtId="169" fontId="224" fillId="40" borderId="1" xfId="1" applyNumberFormat="1" applyFont="1" applyFill="1" applyBorder="1" applyAlignment="1">
      <alignment horizontal="center"/>
    </xf>
    <xf numFmtId="171" fontId="224" fillId="40" borderId="1" xfId="1" applyNumberFormat="1" applyFont="1" applyFill="1" applyBorder="1" applyAlignment="1">
      <alignment horizontal="center"/>
    </xf>
    <xf numFmtId="165" fontId="225" fillId="0" borderId="1" xfId="0" applyNumberFormat="1" applyFont="1" applyFill="1" applyBorder="1" applyAlignment="1">
      <alignment horizontal="center"/>
    </xf>
    <xf numFmtId="165" fontId="211" fillId="0" borderId="1" xfId="0" applyNumberFormat="1" applyFont="1" applyFill="1" applyBorder="1" applyAlignment="1">
      <alignment horizontal="center" vertical="center" wrapText="1"/>
    </xf>
    <xf numFmtId="1" fontId="224" fillId="5" borderId="1" xfId="0" applyNumberFormat="1" applyFont="1" applyFill="1" applyBorder="1" applyAlignment="1">
      <alignment horizontal="center"/>
    </xf>
    <xf numFmtId="1" fontId="224" fillId="0" borderId="1" xfId="0" applyNumberFormat="1" applyFont="1" applyFill="1" applyBorder="1" applyAlignment="1">
      <alignment horizontal="center"/>
    </xf>
    <xf numFmtId="1" fontId="203" fillId="10" borderId="1" xfId="0" applyNumberFormat="1" applyFont="1" applyFill="1" applyBorder="1" applyAlignment="1">
      <alignment horizontal="center"/>
    </xf>
    <xf numFmtId="49" fontId="203" fillId="20" borderId="1" xfId="0" applyNumberFormat="1" applyFont="1" applyFill="1" applyBorder="1" applyAlignment="1">
      <alignment horizontal="center"/>
    </xf>
    <xf numFmtId="165" fontId="223" fillId="0" borderId="1" xfId="0" applyNumberFormat="1" applyFont="1" applyFill="1" applyBorder="1" applyAlignment="1">
      <alignment horizontal="center"/>
    </xf>
    <xf numFmtId="1" fontId="212" fillId="0" borderId="1" xfId="0" applyNumberFormat="1" applyFont="1" applyFill="1" applyBorder="1" applyAlignment="1">
      <alignment horizontal="center"/>
    </xf>
    <xf numFmtId="1" fontId="226" fillId="0" borderId="1" xfId="0" applyNumberFormat="1" applyFont="1" applyFill="1" applyBorder="1" applyAlignment="1">
      <alignment horizontal="center"/>
    </xf>
    <xf numFmtId="1" fontId="227" fillId="31" borderId="1" xfId="0" applyNumberFormat="1" applyFont="1" applyFill="1" applyBorder="1" applyAlignment="1">
      <alignment horizontal="center"/>
    </xf>
    <xf numFmtId="165" fontId="228" fillId="31" borderId="1" xfId="0" applyNumberFormat="1" applyFont="1" applyFill="1" applyBorder="1" applyAlignment="1">
      <alignment horizontal="center"/>
    </xf>
    <xf numFmtId="1" fontId="229" fillId="19" borderId="1" xfId="0" applyNumberFormat="1" applyFont="1" applyFill="1" applyBorder="1" applyAlignment="1">
      <alignment horizontal="center" vertical="center" wrapText="1"/>
    </xf>
    <xf numFmtId="165" fontId="224" fillId="3" borderId="1" xfId="0" applyNumberFormat="1" applyFont="1" applyFill="1" applyBorder="1" applyAlignment="1">
      <alignment horizontal="center"/>
    </xf>
    <xf numFmtId="1" fontId="230" fillId="19" borderId="1" xfId="0" applyNumberFormat="1" applyFont="1" applyFill="1" applyBorder="1" applyAlignment="1">
      <alignment horizontal="center" vertical="center" wrapText="1"/>
    </xf>
    <xf numFmtId="1" fontId="223" fillId="2" borderId="1" xfId="0" applyNumberFormat="1" applyFont="1" applyFill="1" applyBorder="1" applyAlignment="1">
      <alignment horizontal="center"/>
    </xf>
    <xf numFmtId="0" fontId="231" fillId="0" borderId="1" xfId="0" applyFont="1" applyFill="1" applyBorder="1" applyAlignment="1">
      <alignment horizontal="center" vertical="center"/>
    </xf>
    <xf numFmtId="0" fontId="222" fillId="0" borderId="1" xfId="0" applyFont="1" applyFill="1" applyBorder="1" applyAlignment="1">
      <alignment horizontal="center" vertical="center"/>
    </xf>
    <xf numFmtId="14" fontId="223" fillId="0" borderId="1" xfId="0" applyNumberFormat="1" applyFont="1" applyFill="1" applyBorder="1" applyAlignment="1">
      <alignment horizontal="center"/>
    </xf>
    <xf numFmtId="0" fontId="231" fillId="0" borderId="2" xfId="0" applyFont="1" applyFill="1" applyBorder="1" applyAlignment="1">
      <alignment horizontal="center"/>
    </xf>
    <xf numFmtId="14" fontId="231" fillId="0" borderId="55" xfId="0" applyNumberFormat="1" applyFont="1" applyFill="1" applyBorder="1" applyAlignment="1">
      <alignment horizontal="center"/>
    </xf>
    <xf numFmtId="167" fontId="211" fillId="0" borderId="1" xfId="0" applyNumberFormat="1" applyFont="1" applyFill="1" applyBorder="1" applyAlignment="1">
      <alignment horizontal="center"/>
    </xf>
    <xf numFmtId="0" fontId="231" fillId="40" borderId="1" xfId="0" applyFont="1" applyFill="1" applyBorder="1" applyAlignment="1">
      <alignment horizontal="center"/>
    </xf>
    <xf numFmtId="167" fontId="231" fillId="40" borderId="50" xfId="0" applyNumberFormat="1" applyFont="1" applyFill="1" applyBorder="1" applyAlignment="1">
      <alignment horizontal="center"/>
    </xf>
    <xf numFmtId="14" fontId="211" fillId="0" borderId="55" xfId="0" applyNumberFormat="1" applyFont="1" applyFill="1" applyBorder="1" applyAlignment="1">
      <alignment horizontal="center"/>
    </xf>
    <xf numFmtId="0" fontId="204" fillId="40" borderId="48" xfId="0" applyFont="1" applyFill="1" applyBorder="1" applyAlignment="1">
      <alignment horizontal="center"/>
    </xf>
    <xf numFmtId="0" fontId="231" fillId="0" borderId="1" xfId="0" applyFont="1" applyFill="1" applyBorder="1" applyAlignment="1">
      <alignment horizontal="center"/>
    </xf>
    <xf numFmtId="167" fontId="211" fillId="0" borderId="2" xfId="0" applyNumberFormat="1" applyFont="1" applyFill="1" applyBorder="1" applyAlignment="1">
      <alignment horizontal="center"/>
    </xf>
    <xf numFmtId="0" fontId="212" fillId="51" borderId="1" xfId="0" applyFont="1" applyFill="1" applyBorder="1" applyAlignment="1">
      <alignment horizontal="center" vertical="center" wrapText="1"/>
    </xf>
    <xf numFmtId="0" fontId="211" fillId="40" borderId="50" xfId="0" applyFont="1" applyFill="1" applyBorder="1" applyAlignment="1">
      <alignment horizontal="center"/>
    </xf>
    <xf numFmtId="0" fontId="232" fillId="40" borderId="49" xfId="0" applyFont="1" applyFill="1" applyBorder="1" applyAlignment="1">
      <alignment horizontal="center" vertical="center"/>
    </xf>
    <xf numFmtId="14" fontId="214" fillId="0" borderId="1" xfId="0" applyNumberFormat="1" applyFont="1" applyFill="1" applyBorder="1" applyAlignment="1">
      <alignment horizontal="center" vertical="center"/>
    </xf>
    <xf numFmtId="167" fontId="211" fillId="0" borderId="1" xfId="0" applyNumberFormat="1" applyFont="1" applyFill="1" applyBorder="1" applyAlignment="1">
      <alignment horizontal="center" vertical="center"/>
    </xf>
    <xf numFmtId="0" fontId="211" fillId="40" borderId="1" xfId="0" applyFont="1" applyFill="1" applyBorder="1" applyAlignment="1">
      <alignment horizontal="center" vertical="center"/>
    </xf>
    <xf numFmtId="0" fontId="204" fillId="40" borderId="1" xfId="0" applyFont="1" applyFill="1" applyBorder="1" applyAlignment="1">
      <alignment horizontal="center" vertical="center"/>
    </xf>
    <xf numFmtId="14" fontId="214" fillId="5" borderId="1" xfId="0" applyNumberFormat="1" applyFont="1" applyFill="1" applyBorder="1" applyAlignment="1">
      <alignment horizontal="center" vertical="center"/>
    </xf>
    <xf numFmtId="0" fontId="211" fillId="0" borderId="1" xfId="0" applyFont="1" applyFill="1" applyBorder="1" applyAlignment="1">
      <alignment horizontal="center" vertical="center"/>
    </xf>
    <xf numFmtId="0" fontId="220" fillId="0" borderId="1" xfId="0" applyFont="1" applyFill="1" applyBorder="1" applyAlignment="1">
      <alignment horizontal="center" vertical="center"/>
    </xf>
    <xf numFmtId="0" fontId="204" fillId="40" borderId="1" xfId="0" applyFont="1" applyFill="1" applyBorder="1" applyAlignment="1">
      <alignment horizontal="center"/>
    </xf>
    <xf numFmtId="0" fontId="214" fillId="0" borderId="1" xfId="0" applyFont="1" applyFill="1" applyBorder="1" applyAlignment="1">
      <alignment horizontal="center" vertical="center"/>
    </xf>
    <xf numFmtId="0" fontId="220" fillId="40" borderId="1" xfId="0" applyFont="1" applyFill="1" applyBorder="1" applyAlignment="1">
      <alignment horizontal="center" vertical="center"/>
    </xf>
    <xf numFmtId="0" fontId="231" fillId="0" borderId="1" xfId="0" applyFont="1" applyFill="1" applyBorder="1"/>
    <xf numFmtId="0" fontId="231" fillId="0" borderId="0" xfId="0" applyFont="1" applyFill="1"/>
    <xf numFmtId="167" fontId="212" fillId="22" borderId="1" xfId="0" applyNumberFormat="1" applyFont="1" applyFill="1" applyBorder="1" applyAlignment="1">
      <alignment horizontal="center"/>
    </xf>
    <xf numFmtId="1" fontId="214" fillId="52" borderId="1" xfId="0" applyNumberFormat="1" applyFont="1" applyFill="1" applyBorder="1" applyAlignment="1">
      <alignment horizontal="center" wrapText="1"/>
    </xf>
    <xf numFmtId="167" fontId="212" fillId="53" borderId="1" xfId="0" applyNumberFormat="1" applyFont="1" applyFill="1" applyBorder="1" applyAlignment="1">
      <alignment horizontal="center"/>
    </xf>
    <xf numFmtId="165" fontId="225" fillId="0" borderId="1" xfId="0" applyNumberFormat="1" applyFont="1" applyFill="1" applyBorder="1" applyAlignment="1">
      <alignment horizontal="center" vertical="center" wrapText="1"/>
    </xf>
    <xf numFmtId="49" fontId="222" fillId="48" borderId="1" xfId="0" applyNumberFormat="1" applyFont="1" applyFill="1" applyBorder="1" applyAlignment="1">
      <alignment horizontal="center" vertical="center" wrapText="1"/>
    </xf>
    <xf numFmtId="1" fontId="233" fillId="39" borderId="1" xfId="0" applyNumberFormat="1" applyFont="1" applyFill="1" applyBorder="1" applyAlignment="1">
      <alignment horizontal="center"/>
    </xf>
    <xf numFmtId="49" fontId="234" fillId="39" borderId="1" xfId="0" applyNumberFormat="1" applyFont="1" applyFill="1" applyBorder="1" applyAlignment="1">
      <alignment horizontal="center"/>
    </xf>
    <xf numFmtId="0" fontId="223" fillId="0" borderId="1" xfId="0" applyFont="1" applyFill="1" applyBorder="1" applyAlignment="1">
      <alignment horizontal="center"/>
    </xf>
    <xf numFmtId="0" fontId="212" fillId="0" borderId="1" xfId="0" applyFont="1" applyFill="1" applyBorder="1" applyAlignment="1">
      <alignment horizontal="center"/>
    </xf>
    <xf numFmtId="0" fontId="212" fillId="0" borderId="1" xfId="0" applyNumberFormat="1" applyFont="1" applyFill="1" applyBorder="1" applyAlignment="1">
      <alignment horizontal="center"/>
    </xf>
    <xf numFmtId="49" fontId="212" fillId="8" borderId="1" xfId="0" applyNumberFormat="1" applyFont="1" applyFill="1" applyBorder="1" applyAlignment="1">
      <alignment horizontal="center"/>
    </xf>
    <xf numFmtId="49" fontId="212" fillId="13" borderId="1" xfId="0" applyNumberFormat="1" applyFont="1" applyFill="1" applyBorder="1" applyAlignment="1">
      <alignment horizontal="center"/>
    </xf>
    <xf numFmtId="165" fontId="224" fillId="5" borderId="1" xfId="0" applyNumberFormat="1" applyFont="1" applyFill="1" applyBorder="1" applyAlignment="1">
      <alignment horizontal="center"/>
    </xf>
    <xf numFmtId="1" fontId="214" fillId="39" borderId="1" xfId="0" applyNumberFormat="1" applyFont="1" applyFill="1" applyBorder="1" applyAlignment="1">
      <alignment horizontal="center" wrapText="1"/>
    </xf>
    <xf numFmtId="1" fontId="223" fillId="5" borderId="1" xfId="0" applyNumberFormat="1" applyFont="1" applyFill="1" applyBorder="1" applyAlignment="1">
      <alignment horizontal="center"/>
    </xf>
    <xf numFmtId="1" fontId="223" fillId="13" borderId="1" xfId="0" applyNumberFormat="1" applyFont="1" applyFill="1" applyBorder="1" applyAlignment="1">
      <alignment horizontal="center"/>
    </xf>
    <xf numFmtId="49" fontId="212" fillId="39" borderId="1" xfId="0" applyNumberFormat="1" applyFont="1" applyFill="1" applyBorder="1" applyAlignment="1">
      <alignment horizontal="center"/>
    </xf>
    <xf numFmtId="14" fontId="231" fillId="0" borderId="1" xfId="0" applyNumberFormat="1" applyFont="1" applyFill="1" applyBorder="1" applyAlignment="1">
      <alignment horizontal="center"/>
    </xf>
    <xf numFmtId="1" fontId="223" fillId="39" borderId="1" xfId="0" applyNumberFormat="1" applyFont="1" applyFill="1" applyBorder="1" applyAlignment="1">
      <alignment horizontal="center"/>
    </xf>
    <xf numFmtId="49" fontId="212" fillId="49" borderId="1" xfId="0" applyNumberFormat="1" applyFont="1" applyFill="1" applyBorder="1" applyAlignment="1">
      <alignment horizontal="center"/>
    </xf>
    <xf numFmtId="14" fontId="213" fillId="0" borderId="1" xfId="0" applyNumberFormat="1" applyFont="1" applyFill="1" applyBorder="1" applyAlignment="1">
      <alignment horizontal="center"/>
    </xf>
    <xf numFmtId="0" fontId="235" fillId="0" borderId="0" xfId="0" applyFont="1" applyFill="1"/>
    <xf numFmtId="0" fontId="231" fillId="0" borderId="55" xfId="0" applyFont="1" applyFill="1" applyBorder="1" applyAlignment="1">
      <alignment horizontal="center"/>
    </xf>
    <xf numFmtId="1" fontId="214" fillId="62" borderId="1" xfId="0" applyNumberFormat="1" applyFont="1" applyFill="1" applyBorder="1" applyAlignment="1">
      <alignment horizontal="center" wrapText="1"/>
    </xf>
    <xf numFmtId="1" fontId="223" fillId="62" borderId="1" xfId="0" applyNumberFormat="1" applyFont="1" applyFill="1" applyBorder="1" applyAlignment="1">
      <alignment horizontal="center"/>
    </xf>
    <xf numFmtId="0" fontId="211" fillId="0" borderId="55" xfId="0" applyFont="1" applyFill="1" applyBorder="1" applyAlignment="1">
      <alignment horizontal="center"/>
    </xf>
    <xf numFmtId="165" fontId="236" fillId="0" borderId="1" xfId="0" applyNumberFormat="1" applyFont="1" applyFill="1" applyBorder="1" applyAlignment="1">
      <alignment horizontal="center"/>
    </xf>
    <xf numFmtId="1" fontId="214" fillId="38" borderId="1" xfId="0" applyNumberFormat="1" applyFont="1" applyFill="1" applyBorder="1" applyAlignment="1">
      <alignment horizontal="center" wrapText="1"/>
    </xf>
    <xf numFmtId="167" fontId="212" fillId="0" borderId="1" xfId="0" applyNumberFormat="1" applyFont="1" applyFill="1" applyBorder="1" applyAlignment="1">
      <alignment horizontal="center"/>
    </xf>
    <xf numFmtId="49" fontId="237" fillId="10" borderId="1" xfId="0" applyNumberFormat="1" applyFont="1" applyFill="1" applyBorder="1" applyAlignment="1">
      <alignment horizontal="center"/>
    </xf>
    <xf numFmtId="1" fontId="223" fillId="57" borderId="1" xfId="0" applyNumberFormat="1" applyFont="1" applyFill="1" applyBorder="1" applyAlignment="1">
      <alignment horizontal="center"/>
    </xf>
    <xf numFmtId="49" fontId="212" fillId="57" borderId="1" xfId="0" applyNumberFormat="1" applyFont="1" applyFill="1" applyBorder="1" applyAlignment="1">
      <alignment horizontal="center"/>
    </xf>
    <xf numFmtId="49" fontId="212" fillId="36" borderId="1" xfId="0" applyNumberFormat="1" applyFont="1" applyFill="1" applyBorder="1" applyAlignment="1">
      <alignment horizontal="center"/>
    </xf>
    <xf numFmtId="0" fontId="238" fillId="0" borderId="0" xfId="0" applyFont="1" applyFill="1" applyBorder="1" applyAlignment="1">
      <alignment horizontal="center"/>
    </xf>
    <xf numFmtId="166" fontId="223" fillId="0" borderId="0" xfId="0" applyNumberFormat="1" applyFont="1" applyFill="1" applyBorder="1" applyAlignment="1">
      <alignment horizontal="center" vertical="center" wrapText="1"/>
    </xf>
    <xf numFmtId="49" fontId="222" fillId="0" borderId="0" xfId="0" applyNumberFormat="1" applyFont="1" applyFill="1" applyBorder="1" applyAlignment="1">
      <alignment horizontal="center" vertical="center" wrapText="1"/>
    </xf>
    <xf numFmtId="1" fontId="214" fillId="0" borderId="0" xfId="0" applyNumberFormat="1" applyFont="1" applyFill="1" applyBorder="1" applyAlignment="1">
      <alignment horizontal="center" wrapText="1"/>
    </xf>
    <xf numFmtId="1" fontId="223" fillId="0" borderId="0" xfId="0" applyNumberFormat="1" applyFont="1" applyFill="1" applyBorder="1" applyAlignment="1">
      <alignment horizontal="center"/>
    </xf>
    <xf numFmtId="1" fontId="212" fillId="0" borderId="0" xfId="0" applyNumberFormat="1" applyFont="1" applyFill="1" applyBorder="1" applyAlignment="1">
      <alignment horizontal="center"/>
    </xf>
    <xf numFmtId="167" fontId="212" fillId="0" borderId="0" xfId="0" applyNumberFormat="1" applyFont="1" applyFill="1" applyBorder="1" applyAlignment="1">
      <alignment horizontal="center"/>
    </xf>
    <xf numFmtId="0" fontId="213" fillId="0" borderId="0" xfId="0" applyFont="1" applyFill="1" applyBorder="1" applyAlignment="1">
      <alignment horizontal="center"/>
    </xf>
    <xf numFmtId="165" fontId="224" fillId="0" borderId="0" xfId="0" applyNumberFormat="1" applyFont="1" applyFill="1" applyBorder="1" applyAlignment="1">
      <alignment horizontal="center"/>
    </xf>
    <xf numFmtId="169" fontId="224" fillId="0" borderId="0" xfId="1" applyNumberFormat="1" applyFont="1" applyFill="1" applyBorder="1" applyAlignment="1">
      <alignment horizontal="center"/>
    </xf>
    <xf numFmtId="171" fontId="224" fillId="0" borderId="0" xfId="1" applyNumberFormat="1" applyFont="1" applyFill="1" applyBorder="1" applyAlignment="1">
      <alignment horizontal="center"/>
    </xf>
    <xf numFmtId="165" fontId="225" fillId="0" borderId="0" xfId="0" applyNumberFormat="1" applyFont="1" applyFill="1" applyBorder="1" applyAlignment="1">
      <alignment horizontal="center"/>
    </xf>
    <xf numFmtId="165" fontId="211" fillId="0" borderId="0" xfId="0" applyNumberFormat="1" applyFont="1" applyFill="1" applyBorder="1" applyAlignment="1">
      <alignment horizontal="center" vertical="center" wrapText="1"/>
    </xf>
    <xf numFmtId="1" fontId="224" fillId="0" borderId="0" xfId="0" applyNumberFormat="1" applyFont="1" applyFill="1" applyBorder="1" applyAlignment="1">
      <alignment horizontal="center"/>
    </xf>
    <xf numFmtId="165" fontId="223" fillId="0" borderId="0" xfId="0" applyNumberFormat="1" applyFont="1" applyFill="1" applyBorder="1" applyAlignment="1">
      <alignment horizontal="center"/>
    </xf>
    <xf numFmtId="1" fontId="226" fillId="0" borderId="0" xfId="0" applyNumberFormat="1" applyFont="1" applyFill="1" applyBorder="1" applyAlignment="1">
      <alignment horizontal="center"/>
    </xf>
    <xf numFmtId="1" fontId="224" fillId="0" borderId="0" xfId="0" applyNumberFormat="1" applyFont="1" applyFill="1" applyBorder="1" applyAlignment="1">
      <alignment horizontal="center" vertical="center" wrapText="1"/>
    </xf>
    <xf numFmtId="1" fontId="230" fillId="0" borderId="0" xfId="0" applyNumberFormat="1" applyFont="1" applyFill="1" applyBorder="1" applyAlignment="1">
      <alignment horizontal="center" vertical="center" wrapText="1"/>
    </xf>
    <xf numFmtId="0" fontId="231" fillId="0" borderId="0" xfId="0" applyFont="1" applyFill="1" applyBorder="1" applyAlignment="1">
      <alignment horizontal="center" vertical="center"/>
    </xf>
    <xf numFmtId="14" fontId="223" fillId="0" borderId="0" xfId="0" applyNumberFormat="1" applyFont="1" applyFill="1" applyBorder="1" applyAlignment="1">
      <alignment horizontal="center"/>
    </xf>
    <xf numFmtId="0" fontId="231" fillId="0" borderId="0" xfId="0" applyFont="1" applyFill="1" applyAlignment="1">
      <alignment horizontal="center"/>
    </xf>
    <xf numFmtId="167" fontId="211" fillId="0" borderId="0" xfId="0" applyNumberFormat="1" applyFont="1" applyFill="1" applyAlignment="1">
      <alignment horizontal="center"/>
    </xf>
    <xf numFmtId="167" fontId="231" fillId="0" borderId="0" xfId="0" applyNumberFormat="1" applyFont="1" applyFill="1" applyAlignment="1">
      <alignment horizontal="center"/>
    </xf>
    <xf numFmtId="0" fontId="211" fillId="0" borderId="0" xfId="0" applyFont="1" applyFill="1" applyAlignment="1">
      <alignment horizontal="center"/>
    </xf>
    <xf numFmtId="0" fontId="239" fillId="0" borderId="0" xfId="0" applyFont="1" applyFill="1" applyAlignment="1">
      <alignment horizontal="center"/>
    </xf>
    <xf numFmtId="0" fontId="232" fillId="0" borderId="0" xfId="0" applyFont="1" applyFill="1" applyAlignment="1">
      <alignment horizontal="center" vertical="center"/>
    </xf>
    <xf numFmtId="0" fontId="214" fillId="0" borderId="0" xfId="0" applyFont="1" applyFill="1" applyAlignment="1">
      <alignment horizontal="center" vertical="center"/>
    </xf>
    <xf numFmtId="167" fontId="211" fillId="0" borderId="0" xfId="0" applyNumberFormat="1" applyFont="1" applyFill="1" applyAlignment="1">
      <alignment horizontal="center" vertical="center"/>
    </xf>
    <xf numFmtId="0" fontId="211" fillId="0" borderId="0" xfId="0" applyFont="1" applyFill="1" applyAlignment="1">
      <alignment horizontal="center" vertical="center"/>
    </xf>
    <xf numFmtId="0" fontId="204" fillId="0" borderId="0" xfId="0" applyFont="1" applyFill="1" applyAlignment="1">
      <alignment horizontal="center" vertical="center"/>
    </xf>
    <xf numFmtId="14" fontId="214" fillId="0" borderId="0" xfId="0" applyNumberFormat="1" applyFont="1" applyFill="1" applyAlignment="1">
      <alignment horizontal="center" vertical="center"/>
    </xf>
    <xf numFmtId="0" fontId="220" fillId="0" borderId="0" xfId="0" applyFont="1" applyFill="1" applyAlignment="1">
      <alignment horizontal="center" vertical="center"/>
    </xf>
    <xf numFmtId="0" fontId="204" fillId="0" borderId="0" xfId="0" applyFont="1" applyFill="1" applyAlignment="1">
      <alignment horizontal="center"/>
    </xf>
    <xf numFmtId="165" fontId="9" fillId="62" borderId="1" xfId="0" applyNumberFormat="1" applyFont="1" applyFill="1" applyBorder="1" applyAlignment="1">
      <alignment horizontal="center"/>
    </xf>
    <xf numFmtId="0" fontId="241" fillId="0" borderId="0" xfId="0" applyFont="1"/>
    <xf numFmtId="1" fontId="242" fillId="2" borderId="26" xfId="0" applyNumberFormat="1" applyFont="1" applyFill="1" applyBorder="1" applyAlignment="1">
      <alignment horizontal="center" vertical="center" wrapText="1"/>
    </xf>
    <xf numFmtId="166" fontId="242" fillId="2" borderId="26" xfId="0" applyNumberFormat="1" applyFont="1" applyFill="1" applyBorder="1" applyAlignment="1">
      <alignment horizontal="center" vertical="center" wrapText="1"/>
    </xf>
    <xf numFmtId="49" fontId="242" fillId="2" borderId="26" xfId="0" applyNumberFormat="1" applyFont="1" applyFill="1" applyBorder="1" applyAlignment="1">
      <alignment horizontal="center" vertical="center" wrapText="1"/>
    </xf>
    <xf numFmtId="49" fontId="243" fillId="2" borderId="26" xfId="0" applyNumberFormat="1" applyFont="1" applyFill="1" applyBorder="1" applyAlignment="1">
      <alignment horizontal="center" vertical="center" wrapText="1"/>
    </xf>
    <xf numFmtId="165" fontId="243" fillId="2" borderId="26" xfId="0" applyNumberFormat="1" applyFont="1" applyFill="1" applyBorder="1" applyAlignment="1">
      <alignment horizontal="center" vertical="center" wrapText="1"/>
    </xf>
    <xf numFmtId="1" fontId="243" fillId="5" borderId="26" xfId="0" applyNumberFormat="1" applyFont="1" applyFill="1" applyBorder="1" applyAlignment="1">
      <alignment horizontal="center" vertical="center" wrapText="1"/>
    </xf>
    <xf numFmtId="165" fontId="243" fillId="27" borderId="26" xfId="0" applyNumberFormat="1" applyFont="1" applyFill="1" applyBorder="1" applyAlignment="1">
      <alignment horizontal="center" vertical="center" wrapText="1"/>
    </xf>
    <xf numFmtId="165" fontId="244" fillId="8" borderId="26" xfId="0" applyNumberFormat="1" applyFont="1" applyFill="1" applyBorder="1" applyAlignment="1">
      <alignment horizontal="center" vertical="center" wrapText="1"/>
    </xf>
    <xf numFmtId="1" fontId="242" fillId="13" borderId="26" xfId="0" applyNumberFormat="1" applyFont="1" applyFill="1" applyBorder="1" applyAlignment="1">
      <alignment horizontal="center" vertical="center" wrapText="1"/>
    </xf>
    <xf numFmtId="1" fontId="242" fillId="13" borderId="28" xfId="0" applyNumberFormat="1" applyFont="1" applyFill="1" applyBorder="1" applyAlignment="1">
      <alignment horizontal="center" vertical="center" wrapText="1"/>
    </xf>
    <xf numFmtId="0" fontId="246" fillId="5" borderId="26" xfId="0" applyFont="1" applyFill="1" applyBorder="1" applyAlignment="1">
      <alignment horizontal="center" vertical="center"/>
    </xf>
    <xf numFmtId="0" fontId="247" fillId="2" borderId="36" xfId="0" applyFont="1" applyFill="1" applyBorder="1" applyAlignment="1">
      <alignment horizontal="center"/>
    </xf>
    <xf numFmtId="165" fontId="248" fillId="12" borderId="36" xfId="0" applyNumberFormat="1" applyFont="1" applyFill="1" applyBorder="1" applyAlignment="1">
      <alignment horizontal="center" vertical="center" wrapText="1"/>
    </xf>
    <xf numFmtId="49" fontId="249" fillId="0" borderId="36" xfId="0" applyNumberFormat="1" applyFont="1" applyFill="1" applyBorder="1" applyAlignment="1">
      <alignment horizontal="center" vertical="center" wrapText="1"/>
    </xf>
    <xf numFmtId="1" fontId="242" fillId="0" borderId="36" xfId="0" applyNumberFormat="1" applyFont="1" applyFill="1" applyBorder="1" applyAlignment="1">
      <alignment horizontal="center" wrapText="1"/>
    </xf>
    <xf numFmtId="1" fontId="250" fillId="0" borderId="36" xfId="0" applyNumberFormat="1" applyFont="1" applyFill="1" applyBorder="1" applyAlignment="1">
      <alignment horizontal="center"/>
    </xf>
    <xf numFmtId="49" fontId="251" fillId="27" borderId="36" xfId="0" applyNumberFormat="1" applyFont="1" applyFill="1" applyBorder="1" applyAlignment="1">
      <alignment horizontal="center"/>
    </xf>
    <xf numFmtId="165" fontId="252" fillId="0" borderId="36" xfId="0" applyNumberFormat="1" applyFont="1" applyFill="1" applyBorder="1" applyAlignment="1">
      <alignment horizontal="center" vertical="center" wrapText="1"/>
    </xf>
    <xf numFmtId="1" fontId="253" fillId="5" borderId="36" xfId="0" applyNumberFormat="1" applyFont="1" applyFill="1" applyBorder="1" applyAlignment="1">
      <alignment horizontal="center"/>
    </xf>
    <xf numFmtId="165" fontId="254" fillId="0" borderId="36" xfId="0" applyNumberFormat="1" applyFont="1" applyFill="1" applyBorder="1" applyAlignment="1">
      <alignment horizontal="center"/>
    </xf>
    <xf numFmtId="1" fontId="253" fillId="0" borderId="36" xfId="0" applyNumberFormat="1" applyFont="1" applyFill="1" applyBorder="1" applyAlignment="1">
      <alignment horizontal="center"/>
    </xf>
    <xf numFmtId="165" fontId="255" fillId="24" borderId="36" xfId="0" applyNumberFormat="1" applyFont="1" applyFill="1" applyBorder="1" applyAlignment="1">
      <alignment horizontal="center"/>
    </xf>
    <xf numFmtId="1" fontId="256" fillId="26" borderId="1" xfId="0" applyNumberFormat="1" applyFont="1" applyFill="1" applyBorder="1" applyAlignment="1">
      <alignment horizontal="center"/>
    </xf>
    <xf numFmtId="0" fontId="247" fillId="2" borderId="1" xfId="0" applyFont="1" applyFill="1" applyBorder="1" applyAlignment="1">
      <alignment horizontal="center"/>
    </xf>
    <xf numFmtId="49" fontId="249" fillId="0" borderId="1" xfId="0" applyNumberFormat="1" applyFont="1" applyFill="1" applyBorder="1" applyAlignment="1">
      <alignment horizontal="center" vertical="center" wrapText="1"/>
    </xf>
    <xf numFmtId="1" fontId="242" fillId="0" borderId="1" xfId="0" applyNumberFormat="1" applyFont="1" applyFill="1" applyBorder="1" applyAlignment="1">
      <alignment horizontal="center" wrapText="1"/>
    </xf>
    <xf numFmtId="1" fontId="250" fillId="0" borderId="1" xfId="0" applyNumberFormat="1" applyFont="1" applyFill="1" applyBorder="1" applyAlignment="1">
      <alignment horizontal="center"/>
    </xf>
    <xf numFmtId="165" fontId="252" fillId="0" borderId="1" xfId="0" applyNumberFormat="1" applyFont="1" applyFill="1" applyBorder="1" applyAlignment="1">
      <alignment horizontal="center" vertical="center" wrapText="1"/>
    </xf>
    <xf numFmtId="165" fontId="254" fillId="0" borderId="1" xfId="0" applyNumberFormat="1" applyFont="1" applyFill="1" applyBorder="1" applyAlignment="1">
      <alignment horizontal="center"/>
    </xf>
    <xf numFmtId="1" fontId="253" fillId="0" borderId="1" xfId="0" applyNumberFormat="1" applyFont="1" applyFill="1" applyBorder="1" applyAlignment="1">
      <alignment horizontal="center"/>
    </xf>
    <xf numFmtId="1" fontId="253" fillId="0" borderId="1" xfId="0" applyNumberFormat="1" applyFont="1" applyFill="1" applyBorder="1" applyAlignment="1">
      <alignment horizontal="center" wrapText="1"/>
    </xf>
    <xf numFmtId="165" fontId="254" fillId="0" borderId="0" xfId="0" applyNumberFormat="1" applyFont="1" applyFill="1" applyBorder="1" applyAlignment="1">
      <alignment horizontal="center"/>
    </xf>
    <xf numFmtId="49" fontId="251" fillId="27" borderId="1" xfId="0" applyNumberFormat="1" applyFont="1" applyFill="1" applyBorder="1" applyAlignment="1">
      <alignment horizontal="center"/>
    </xf>
    <xf numFmtId="1" fontId="253" fillId="5" borderId="1" xfId="0" applyNumberFormat="1" applyFont="1" applyFill="1" applyBorder="1" applyAlignment="1">
      <alignment horizontal="center"/>
    </xf>
    <xf numFmtId="1" fontId="253" fillId="0" borderId="0" xfId="0" applyNumberFormat="1" applyFont="1" applyFill="1" applyBorder="1" applyAlignment="1">
      <alignment horizontal="center"/>
    </xf>
    <xf numFmtId="0" fontId="257" fillId="2" borderId="1" xfId="0" applyFont="1" applyFill="1" applyBorder="1" applyAlignment="1">
      <alignment horizontal="center"/>
    </xf>
    <xf numFmtId="165" fontId="253" fillId="0" borderId="1" xfId="0" applyNumberFormat="1" applyFont="1" applyFill="1" applyBorder="1" applyAlignment="1">
      <alignment horizontal="center"/>
    </xf>
    <xf numFmtId="166" fontId="250" fillId="0" borderId="1" xfId="0" applyNumberFormat="1" applyFont="1" applyFill="1" applyBorder="1" applyAlignment="1">
      <alignment horizontal="center" vertical="center" wrapText="1"/>
    </xf>
    <xf numFmtId="49" fontId="251" fillId="0" borderId="1" xfId="0" applyNumberFormat="1" applyFont="1" applyFill="1" applyBorder="1" applyAlignment="1">
      <alignment horizontal="center"/>
    </xf>
    <xf numFmtId="0" fontId="257" fillId="2" borderId="0" xfId="0" applyFont="1" applyFill="1" applyBorder="1" applyAlignment="1">
      <alignment horizontal="center"/>
    </xf>
    <xf numFmtId="166" fontId="250" fillId="0" borderId="0" xfId="0" applyNumberFormat="1" applyFont="1" applyFill="1" applyBorder="1" applyAlignment="1">
      <alignment horizontal="center" vertical="center" wrapText="1"/>
    </xf>
    <xf numFmtId="49" fontId="249" fillId="0" borderId="0" xfId="0" applyNumberFormat="1" applyFont="1" applyFill="1" applyBorder="1" applyAlignment="1">
      <alignment horizontal="center" vertical="center" wrapText="1"/>
    </xf>
    <xf numFmtId="1" fontId="242" fillId="0" borderId="0" xfId="0" applyNumberFormat="1" applyFont="1" applyFill="1" applyBorder="1" applyAlignment="1">
      <alignment horizontal="center" wrapText="1"/>
    </xf>
    <xf numFmtId="1" fontId="250" fillId="0" borderId="0" xfId="0" applyNumberFormat="1" applyFont="1" applyFill="1" applyBorder="1" applyAlignment="1">
      <alignment horizontal="center"/>
    </xf>
    <xf numFmtId="49" fontId="251" fillId="0" borderId="0" xfId="0" applyNumberFormat="1" applyFont="1" applyFill="1" applyBorder="1" applyAlignment="1">
      <alignment horizontal="center"/>
    </xf>
    <xf numFmtId="165" fontId="252" fillId="0" borderId="0" xfId="0" applyNumberFormat="1" applyFont="1" applyFill="1" applyBorder="1" applyAlignment="1">
      <alignment horizontal="center" vertical="center" wrapText="1"/>
    </xf>
    <xf numFmtId="165" fontId="253" fillId="0" borderId="0" xfId="0" applyNumberFormat="1" applyFont="1" applyFill="1" applyBorder="1" applyAlignment="1">
      <alignment horizontal="center"/>
    </xf>
    <xf numFmtId="49" fontId="212" fillId="5" borderId="1" xfId="0" applyNumberFormat="1" applyFont="1" applyFill="1" applyBorder="1" applyAlignment="1">
      <alignment horizontal="center"/>
    </xf>
    <xf numFmtId="14" fontId="231" fillId="0" borderId="49" xfId="0" applyNumberFormat="1" applyFont="1" applyFill="1" applyBorder="1" applyAlignment="1">
      <alignment horizontal="center"/>
    </xf>
    <xf numFmtId="167" fontId="211" fillId="0" borderId="36" xfId="0" applyNumberFormat="1" applyFont="1" applyFill="1" applyBorder="1" applyAlignment="1">
      <alignment horizontal="center"/>
    </xf>
    <xf numFmtId="0" fontId="214" fillId="64" borderId="26" xfId="0" applyNumberFormat="1" applyFont="1" applyFill="1" applyBorder="1" applyAlignment="1">
      <alignment horizontal="center" vertical="center" wrapText="1"/>
    </xf>
    <xf numFmtId="0" fontId="5" fillId="64" borderId="26" xfId="0" applyNumberFormat="1" applyFont="1" applyFill="1" applyBorder="1" applyAlignment="1">
      <alignment horizontal="center" vertical="center" wrapText="1"/>
    </xf>
    <xf numFmtId="1" fontId="231" fillId="40" borderId="36" xfId="0" applyNumberFormat="1" applyFont="1" applyFill="1" applyBorder="1" applyAlignment="1">
      <alignment horizontal="center" vertical="center"/>
    </xf>
    <xf numFmtId="0" fontId="5" fillId="23" borderId="12" xfId="0" applyFont="1" applyFill="1" applyBorder="1" applyAlignment="1">
      <alignment horizontal="center" vertical="center" wrapText="1"/>
    </xf>
    <xf numFmtId="0" fontId="5" fillId="45" borderId="26" xfId="0" applyNumberFormat="1" applyFont="1" applyFill="1" applyBorder="1" applyAlignment="1">
      <alignment horizontal="center" vertical="center" wrapText="1"/>
    </xf>
    <xf numFmtId="1" fontId="135" fillId="25" borderId="47" xfId="0" applyNumberFormat="1" applyFont="1" applyFill="1" applyBorder="1" applyAlignment="1">
      <alignment horizontal="center" vertical="center"/>
    </xf>
    <xf numFmtId="165" fontId="5" fillId="65" borderId="26" xfId="0" applyNumberFormat="1" applyFont="1" applyFill="1" applyBorder="1" applyAlignment="1">
      <alignment horizontal="center" vertical="center" wrapText="1"/>
    </xf>
    <xf numFmtId="165" fontId="231" fillId="0" borderId="0" xfId="0" applyNumberFormat="1" applyFont="1" applyFill="1" applyAlignment="1">
      <alignment horizontal="center"/>
    </xf>
    <xf numFmtId="1" fontId="14" fillId="40" borderId="36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5" fontId="14" fillId="65" borderId="9" xfId="0" applyNumberFormat="1" applyFont="1" applyFill="1" applyBorder="1" applyAlignment="1">
      <alignment horizontal="center" vertical="center"/>
    </xf>
    <xf numFmtId="165" fontId="14" fillId="0" borderId="0" xfId="0" applyNumberFormat="1" applyFont="1" applyFill="1" applyAlignment="1">
      <alignment horizontal="center"/>
    </xf>
    <xf numFmtId="165" fontId="214" fillId="64" borderId="26" xfId="0" applyNumberFormat="1" applyFont="1" applyFill="1" applyBorder="1" applyAlignment="1">
      <alignment horizontal="center" vertical="center" wrapText="1"/>
    </xf>
    <xf numFmtId="165" fontId="231" fillId="0" borderId="49" xfId="0" applyNumberFormat="1" applyFont="1" applyFill="1" applyBorder="1" applyAlignment="1">
      <alignment horizontal="center"/>
    </xf>
    <xf numFmtId="165" fontId="231" fillId="0" borderId="55" xfId="0" applyNumberFormat="1" applyFont="1" applyFill="1" applyBorder="1" applyAlignment="1">
      <alignment horizontal="center"/>
    </xf>
    <xf numFmtId="0" fontId="258" fillId="25" borderId="26" xfId="0" applyNumberFormat="1" applyFont="1" applyFill="1" applyBorder="1" applyAlignment="1">
      <alignment horizontal="center" vertical="center" wrapText="1"/>
    </xf>
    <xf numFmtId="0" fontId="259" fillId="25" borderId="26" xfId="0" applyNumberFormat="1" applyFont="1" applyFill="1" applyBorder="1" applyAlignment="1">
      <alignment vertical="center" wrapText="1"/>
    </xf>
    <xf numFmtId="0" fontId="260" fillId="66" borderId="26" xfId="0" applyNumberFormat="1" applyFont="1" applyFill="1" applyBorder="1" applyAlignment="1">
      <alignment horizontal="center" vertical="center" wrapText="1"/>
    </xf>
    <xf numFmtId="0" fontId="261" fillId="66" borderId="22" xfId="0" applyNumberFormat="1" applyFont="1" applyFill="1" applyBorder="1" applyAlignment="1">
      <alignment horizontal="left" vertical="center" wrapText="1"/>
    </xf>
    <xf numFmtId="0" fontId="5" fillId="67" borderId="11" xfId="0" applyNumberFormat="1" applyFont="1" applyFill="1" applyBorder="1" applyAlignment="1">
      <alignment horizontal="center" vertical="center" wrapText="1"/>
    </xf>
    <xf numFmtId="0" fontId="5" fillId="67" borderId="29" xfId="0" applyNumberFormat="1" applyFont="1" applyFill="1" applyBorder="1" applyAlignment="1">
      <alignment horizontal="center" vertical="center" wrapText="1"/>
    </xf>
    <xf numFmtId="1" fontId="231" fillId="0" borderId="48" xfId="0" applyNumberFormat="1" applyFont="1" applyFill="1" applyBorder="1" applyAlignment="1">
      <alignment horizontal="center" vertical="center"/>
    </xf>
    <xf numFmtId="14" fontId="5" fillId="67" borderId="11" xfId="0" applyNumberFormat="1" applyFont="1" applyFill="1" applyBorder="1" applyAlignment="1">
      <alignment horizontal="center" vertical="center" wrapText="1"/>
    </xf>
    <xf numFmtId="14" fontId="231" fillId="0" borderId="48" xfId="0" applyNumberFormat="1" applyFont="1" applyFill="1" applyBorder="1" applyAlignment="1">
      <alignment horizontal="center" vertical="center"/>
    </xf>
    <xf numFmtId="14" fontId="231" fillId="0" borderId="0" xfId="0" applyNumberFormat="1" applyFont="1" applyFill="1" applyAlignment="1">
      <alignment horizontal="center"/>
    </xf>
    <xf numFmtId="1" fontId="3" fillId="0" borderId="48" xfId="0" applyNumberFormat="1" applyFont="1" applyFill="1" applyBorder="1" applyAlignment="1">
      <alignment horizontal="center" vertical="center"/>
    </xf>
    <xf numFmtId="0" fontId="24" fillId="67" borderId="11" xfId="0" applyNumberFormat="1" applyFont="1" applyFill="1" applyBorder="1" applyAlignment="1">
      <alignment horizontal="center" vertical="center" wrapText="1"/>
    </xf>
    <xf numFmtId="1" fontId="24" fillId="0" borderId="48" xfId="0" applyNumberFormat="1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/>
    </xf>
    <xf numFmtId="167" fontId="5" fillId="67" borderId="11" xfId="0" applyNumberFormat="1" applyFont="1" applyFill="1" applyBorder="1" applyAlignment="1">
      <alignment horizontal="center" vertical="center" wrapText="1"/>
    </xf>
    <xf numFmtId="167" fontId="14" fillId="0" borderId="48" xfId="0" applyNumberFormat="1" applyFont="1" applyFill="1" applyBorder="1" applyAlignment="1">
      <alignment horizontal="center" vertical="center"/>
    </xf>
    <xf numFmtId="167" fontId="14" fillId="0" borderId="0" xfId="0" applyNumberFormat="1" applyFont="1" applyFill="1" applyAlignment="1">
      <alignment horizontal="center"/>
    </xf>
    <xf numFmtId="1" fontId="14" fillId="40" borderId="48" xfId="0" applyNumberFormat="1" applyFont="1" applyFill="1" applyBorder="1" applyAlignment="1">
      <alignment horizontal="center" vertical="center"/>
    </xf>
    <xf numFmtId="167" fontId="19" fillId="0" borderId="56" xfId="0" applyNumberFormat="1" applyFont="1" applyBorder="1" applyAlignment="1">
      <alignment horizontal="center" vertical="center"/>
    </xf>
    <xf numFmtId="0" fontId="213" fillId="0" borderId="1" xfId="0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 wrapText="1"/>
    </xf>
    <xf numFmtId="0" fontId="6" fillId="0" borderId="0" xfId="0" applyFont="1"/>
    <xf numFmtId="49" fontId="212" fillId="15" borderId="1" xfId="0" applyNumberFormat="1" applyFont="1" applyFill="1" applyBorder="1" applyAlignment="1">
      <alignment horizontal="center"/>
    </xf>
    <xf numFmtId="0" fontId="24" fillId="0" borderId="1" xfId="0" applyFont="1" applyFill="1" applyBorder="1" applyAlignment="1">
      <alignment horizontal="left" vertical="center"/>
    </xf>
    <xf numFmtId="0" fontId="77" fillId="40" borderId="24" xfId="0" applyNumberFormat="1" applyFont="1" applyFill="1" applyBorder="1" applyAlignment="1">
      <alignment horizontal="center" vertical="center" wrapText="1"/>
    </xf>
    <xf numFmtId="0" fontId="77" fillId="40" borderId="25" xfId="0" applyNumberFormat="1" applyFont="1" applyFill="1" applyBorder="1" applyAlignment="1">
      <alignment horizontal="center" vertical="center" wrapText="1"/>
    </xf>
    <xf numFmtId="0" fontId="77" fillId="40" borderId="22" xfId="0" applyNumberFormat="1" applyFont="1" applyFill="1" applyBorder="1" applyAlignment="1">
      <alignment horizontal="center" vertical="center" wrapText="1"/>
    </xf>
    <xf numFmtId="1" fontId="206" fillId="61" borderId="95" xfId="0" applyNumberFormat="1" applyFont="1" applyFill="1" applyBorder="1" applyAlignment="1">
      <alignment horizontal="center" vertical="center" wrapText="1"/>
    </xf>
    <xf numFmtId="1" fontId="206" fillId="61" borderId="31" xfId="0" applyNumberFormat="1" applyFont="1" applyFill="1" applyBorder="1" applyAlignment="1">
      <alignment horizontal="center" vertical="center" wrapText="1"/>
    </xf>
    <xf numFmtId="1" fontId="206" fillId="61" borderId="96" xfId="0" applyNumberFormat="1" applyFont="1" applyFill="1" applyBorder="1" applyAlignment="1">
      <alignment horizontal="center" vertical="center" wrapText="1"/>
    </xf>
    <xf numFmtId="0" fontId="206" fillId="22" borderId="22" xfId="0" applyFont="1" applyFill="1" applyBorder="1" applyAlignment="1">
      <alignment horizontal="center" vertical="center" wrapText="1"/>
    </xf>
    <xf numFmtId="0" fontId="206" fillId="22" borderId="24" xfId="0" applyFont="1" applyFill="1" applyBorder="1" applyAlignment="1">
      <alignment horizontal="center" vertical="center" wrapText="1"/>
    </xf>
    <xf numFmtId="0" fontId="206" fillId="22" borderId="51" xfId="0" applyFont="1" applyFill="1" applyBorder="1" applyAlignment="1">
      <alignment horizontal="center" vertical="center" wrapText="1"/>
    </xf>
    <xf numFmtId="1" fontId="211" fillId="37" borderId="1" xfId="0" applyNumberFormat="1" applyFont="1" applyFill="1" applyBorder="1" applyAlignment="1">
      <alignment horizontal="center" vertical="center" wrapText="1"/>
    </xf>
    <xf numFmtId="0" fontId="212" fillId="22" borderId="52" xfId="0" applyFont="1" applyFill="1" applyBorder="1" applyAlignment="1">
      <alignment horizontal="center" vertical="center" wrapText="1"/>
    </xf>
    <xf numFmtId="0" fontId="212" fillId="22" borderId="24" xfId="0" applyFont="1" applyFill="1" applyBorder="1" applyAlignment="1">
      <alignment horizontal="center" vertical="center" wrapText="1"/>
    </xf>
    <xf numFmtId="0" fontId="212" fillId="22" borderId="51" xfId="0" applyFont="1" applyFill="1" applyBorder="1" applyAlignment="1">
      <alignment horizontal="center" vertical="center" wrapText="1"/>
    </xf>
    <xf numFmtId="0" fontId="211" fillId="22" borderId="52" xfId="0" applyFont="1" applyFill="1" applyBorder="1" applyAlignment="1">
      <alignment horizontal="center" vertical="center" wrapText="1"/>
    </xf>
    <xf numFmtId="0" fontId="211" fillId="22" borderId="24" xfId="0" applyFont="1" applyFill="1" applyBorder="1" applyAlignment="1">
      <alignment horizontal="center" vertical="center" wrapText="1"/>
    </xf>
    <xf numFmtId="0" fontId="211" fillId="22" borderId="51" xfId="0" applyFont="1" applyFill="1" applyBorder="1" applyAlignment="1">
      <alignment horizontal="center" vertical="center" wrapText="1"/>
    </xf>
    <xf numFmtId="0" fontId="206" fillId="42" borderId="52" xfId="0" applyFont="1" applyFill="1" applyBorder="1" applyAlignment="1">
      <alignment horizontal="center" vertical="center" wrapText="1"/>
    </xf>
    <xf numFmtId="0" fontId="206" fillId="42" borderId="24" xfId="0" applyFont="1" applyFill="1" applyBorder="1" applyAlignment="1">
      <alignment horizontal="center" vertical="center" wrapText="1"/>
    </xf>
    <xf numFmtId="0" fontId="206" fillId="42" borderId="51" xfId="0" applyFont="1" applyFill="1" applyBorder="1" applyAlignment="1">
      <alignment horizontal="center" vertical="center" wrapText="1"/>
    </xf>
    <xf numFmtId="0" fontId="206" fillId="22" borderId="52" xfId="0" applyFont="1" applyFill="1" applyBorder="1" applyAlignment="1">
      <alignment horizontal="center" vertical="center" wrapText="1"/>
    </xf>
    <xf numFmtId="1" fontId="206" fillId="63" borderId="95" xfId="0" applyNumberFormat="1" applyFont="1" applyFill="1" applyBorder="1" applyAlignment="1">
      <alignment horizontal="center" vertical="center" wrapText="1"/>
    </xf>
    <xf numFmtId="1" fontId="206" fillId="63" borderId="31" xfId="0" applyNumberFormat="1" applyFont="1" applyFill="1" applyBorder="1" applyAlignment="1">
      <alignment horizontal="center" vertical="center" wrapText="1"/>
    </xf>
    <xf numFmtId="1" fontId="206" fillId="63" borderId="96" xfId="0" applyNumberFormat="1" applyFont="1" applyFill="1" applyBorder="1" applyAlignment="1">
      <alignment horizontal="center" vertical="center" wrapText="1"/>
    </xf>
    <xf numFmtId="0" fontId="77" fillId="67" borderId="22" xfId="0" applyNumberFormat="1" applyFont="1" applyFill="1" applyBorder="1" applyAlignment="1">
      <alignment horizontal="center" vertical="center" wrapText="1"/>
    </xf>
    <xf numFmtId="0" fontId="77" fillId="67" borderId="24" xfId="0" applyNumberFormat="1" applyFont="1" applyFill="1" applyBorder="1" applyAlignment="1">
      <alignment horizontal="center" vertical="center" wrapText="1"/>
    </xf>
    <xf numFmtId="0" fontId="77" fillId="67" borderId="25" xfId="0" applyNumberFormat="1" applyFont="1" applyFill="1" applyBorder="1" applyAlignment="1">
      <alignment horizontal="center" vertical="center" wrapText="1"/>
    </xf>
    <xf numFmtId="167" fontId="15" fillId="41" borderId="56" xfId="0" applyNumberFormat="1" applyFont="1" applyFill="1" applyBorder="1" applyAlignment="1">
      <alignment horizontal="center" vertical="center"/>
    </xf>
    <xf numFmtId="14" fontId="17" fillId="54" borderId="65" xfId="0" applyNumberFormat="1" applyFont="1" applyFill="1" applyBorder="1" applyAlignment="1">
      <alignment horizontal="center" vertical="center"/>
    </xf>
    <xf numFmtId="172" fontId="15" fillId="23" borderId="12" xfId="0" applyNumberFormat="1" applyFont="1" applyFill="1" applyBorder="1" applyAlignment="1">
      <alignment horizontal="center" vertical="center"/>
    </xf>
    <xf numFmtId="172" fontId="15" fillId="23" borderId="13" xfId="0" applyNumberFormat="1" applyFont="1" applyFill="1" applyBorder="1" applyAlignment="1">
      <alignment horizontal="center" vertical="center"/>
    </xf>
    <xf numFmtId="172" fontId="15" fillId="23" borderId="14" xfId="0" applyNumberFormat="1" applyFont="1" applyFill="1" applyBorder="1" applyAlignment="1">
      <alignment horizontal="center" vertical="center"/>
    </xf>
    <xf numFmtId="172" fontId="15" fillId="41" borderId="12" xfId="0" applyNumberFormat="1" applyFont="1" applyFill="1" applyBorder="1" applyAlignment="1">
      <alignment horizontal="center" vertical="center"/>
    </xf>
    <xf numFmtId="172" fontId="15" fillId="41" borderId="13" xfId="0" applyNumberFormat="1" applyFont="1" applyFill="1" applyBorder="1" applyAlignment="1">
      <alignment horizontal="center" vertical="center"/>
    </xf>
    <xf numFmtId="172" fontId="15" fillId="41" borderId="14" xfId="0" applyNumberFormat="1" applyFont="1" applyFill="1" applyBorder="1" applyAlignment="1">
      <alignment horizontal="center" vertical="center"/>
    </xf>
    <xf numFmtId="0" fontId="134" fillId="42" borderId="15" xfId="0" applyFont="1" applyFill="1" applyBorder="1" applyAlignment="1">
      <alignment horizontal="center" vertical="center" wrapText="1"/>
    </xf>
    <xf numFmtId="0" fontId="134" fillId="42" borderId="16" xfId="0" applyFont="1" applyFill="1" applyBorder="1" applyAlignment="1">
      <alignment horizontal="center" vertical="center" wrapText="1"/>
    </xf>
    <xf numFmtId="0" fontId="134" fillId="42" borderId="18" xfId="0" applyFont="1" applyFill="1" applyBorder="1" applyAlignment="1">
      <alignment horizontal="center" vertical="center" wrapText="1"/>
    </xf>
    <xf numFmtId="0" fontId="134" fillId="42" borderId="0" xfId="0" applyFont="1" applyFill="1" applyBorder="1" applyAlignment="1">
      <alignment horizontal="center" vertical="center" wrapText="1"/>
    </xf>
    <xf numFmtId="0" fontId="134" fillId="42" borderId="11" xfId="0" applyFont="1" applyFill="1" applyBorder="1" applyAlignment="1">
      <alignment horizontal="center" vertical="center" wrapText="1"/>
    </xf>
    <xf numFmtId="0" fontId="134" fillId="42" borderId="19" xfId="0" applyFont="1" applyFill="1" applyBorder="1" applyAlignment="1">
      <alignment horizontal="center" vertical="center" wrapText="1"/>
    </xf>
    <xf numFmtId="167" fontId="42" fillId="52" borderId="61" xfId="0" applyNumberFormat="1" applyFont="1" applyFill="1" applyBorder="1" applyAlignment="1">
      <alignment horizontal="center" vertical="center"/>
    </xf>
    <xf numFmtId="167" fontId="42" fillId="52" borderId="59" xfId="0" applyNumberFormat="1" applyFont="1" applyFill="1" applyBorder="1" applyAlignment="1">
      <alignment horizontal="center" vertical="center"/>
    </xf>
    <xf numFmtId="167" fontId="42" fillId="53" borderId="60" xfId="0" applyNumberFormat="1" applyFont="1" applyFill="1" applyBorder="1" applyAlignment="1">
      <alignment horizontal="center" vertical="center"/>
    </xf>
    <xf numFmtId="167" fontId="42" fillId="53" borderId="61" xfId="0" applyNumberFormat="1" applyFont="1" applyFill="1" applyBorder="1" applyAlignment="1">
      <alignment horizontal="center" vertical="center"/>
    </xf>
    <xf numFmtId="0" fontId="42" fillId="42" borderId="59" xfId="0" applyFont="1" applyFill="1" applyBorder="1" applyAlignment="1">
      <alignment horizontal="center" vertical="center"/>
    </xf>
    <xf numFmtId="0" fontId="42" fillId="42" borderId="63" xfId="0" applyFont="1" applyFill="1" applyBorder="1" applyAlignment="1">
      <alignment horizontal="center" vertical="center"/>
    </xf>
    <xf numFmtId="167" fontId="19" fillId="0" borderId="57" xfId="0" applyNumberFormat="1" applyFont="1" applyBorder="1" applyAlignment="1">
      <alignment horizontal="center" vertical="center"/>
    </xf>
    <xf numFmtId="167" fontId="19" fillId="0" borderId="56" xfId="0" applyNumberFormat="1" applyFont="1" applyBorder="1" applyAlignment="1">
      <alignment horizontal="center" vertical="center"/>
    </xf>
    <xf numFmtId="167" fontId="19" fillId="0" borderId="58" xfId="0" applyNumberFormat="1" applyFont="1" applyBorder="1" applyAlignment="1">
      <alignment horizontal="center" vertical="center"/>
    </xf>
    <xf numFmtId="167" fontId="19" fillId="0" borderId="65" xfId="0" applyNumberFormat="1" applyFont="1" applyBorder="1" applyAlignment="1">
      <alignment horizontal="center" vertical="center"/>
    </xf>
    <xf numFmtId="14" fontId="156" fillId="2" borderId="15" xfId="0" applyNumberFormat="1" applyFont="1" applyFill="1" applyBorder="1" applyAlignment="1">
      <alignment horizontal="center" vertical="center" wrapText="1"/>
    </xf>
    <xf numFmtId="14" fontId="156" fillId="2" borderId="16" xfId="0" applyNumberFormat="1" applyFont="1" applyFill="1" applyBorder="1" applyAlignment="1">
      <alignment horizontal="center" vertical="center" wrapText="1"/>
    </xf>
    <xf numFmtId="14" fontId="156" fillId="2" borderId="18" xfId="0" applyNumberFormat="1" applyFont="1" applyFill="1" applyBorder="1" applyAlignment="1">
      <alignment horizontal="center" vertical="center" wrapText="1"/>
    </xf>
    <xf numFmtId="14" fontId="156" fillId="2" borderId="0" xfId="0" applyNumberFormat="1" applyFont="1" applyFill="1" applyBorder="1" applyAlignment="1">
      <alignment horizontal="center" vertical="center" wrapText="1"/>
    </xf>
    <xf numFmtId="167" fontId="42" fillId="52" borderId="62" xfId="0" applyNumberFormat="1" applyFont="1" applyFill="1" applyBorder="1" applyAlignment="1">
      <alignment horizontal="center" vertical="center"/>
    </xf>
    <xf numFmtId="167" fontId="19" fillId="0" borderId="64" xfId="0" applyNumberFormat="1" applyFont="1" applyBorder="1" applyAlignment="1">
      <alignment horizontal="center" vertical="center"/>
    </xf>
    <xf numFmtId="172" fontId="15" fillId="45" borderId="12" xfId="0" applyNumberFormat="1" applyFont="1" applyFill="1" applyBorder="1" applyAlignment="1">
      <alignment horizontal="center" vertical="center"/>
    </xf>
    <xf numFmtId="172" fontId="15" fillId="45" borderId="13" xfId="0" applyNumberFormat="1" applyFont="1" applyFill="1" applyBorder="1" applyAlignment="1">
      <alignment horizontal="center" vertical="center"/>
    </xf>
    <xf numFmtId="172" fontId="15" fillId="45" borderId="14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 wrapText="1"/>
    </xf>
    <xf numFmtId="0" fontId="14" fillId="0" borderId="102" xfId="0" applyFont="1" applyFill="1" applyBorder="1" applyAlignment="1">
      <alignment wrapText="1"/>
    </xf>
    <xf numFmtId="0" fontId="14" fillId="0" borderId="10" xfId="0" applyFont="1" applyFill="1" applyBorder="1" applyAlignment="1">
      <alignment wrapText="1"/>
    </xf>
    <xf numFmtId="0" fontId="14" fillId="0" borderId="3" xfId="0" applyFont="1" applyFill="1" applyBorder="1" applyAlignment="1">
      <alignment wrapText="1"/>
    </xf>
    <xf numFmtId="165" fontId="7" fillId="2" borderId="23" xfId="0" applyNumberFormat="1" applyFont="1" applyFill="1" applyBorder="1" applyAlignment="1">
      <alignment horizontal="center" vertical="center" wrapText="1"/>
    </xf>
    <xf numFmtId="165" fontId="7" fillId="2" borderId="32" xfId="0" applyNumberFormat="1" applyFont="1" applyFill="1" applyBorder="1" applyAlignment="1">
      <alignment horizontal="center" vertical="center" wrapText="1"/>
    </xf>
    <xf numFmtId="0" fontId="245" fillId="26" borderId="26" xfId="0" applyFont="1" applyFill="1" applyBorder="1" applyAlignment="1">
      <alignment horizontal="center" vertical="center" wrapText="1"/>
    </xf>
    <xf numFmtId="0" fontId="240" fillId="0" borderId="19" xfId="0" applyFont="1" applyFill="1" applyBorder="1" applyAlignment="1">
      <alignment horizontal="center" vertical="center" wrapText="1"/>
    </xf>
    <xf numFmtId="172" fontId="0" fillId="15" borderId="22" xfId="0" applyNumberFormat="1" applyFill="1" applyBorder="1" applyAlignment="1">
      <alignment horizontal="center"/>
    </xf>
    <xf numFmtId="172" fontId="0" fillId="15" borderId="24" xfId="0" applyNumberFormat="1" applyFill="1" applyBorder="1" applyAlignment="1">
      <alignment horizontal="center"/>
    </xf>
    <xf numFmtId="172" fontId="0" fillId="15" borderId="25" xfId="0" applyNumberFormat="1" applyFill="1" applyBorder="1" applyAlignment="1">
      <alignment horizontal="center"/>
    </xf>
    <xf numFmtId="172" fontId="85" fillId="19" borderId="15" xfId="0" applyNumberFormat="1" applyFont="1" applyFill="1" applyBorder="1" applyAlignment="1">
      <alignment horizontal="center" vertical="center"/>
    </xf>
    <xf numFmtId="172" fontId="85" fillId="19" borderId="16" xfId="0" applyNumberFormat="1" applyFont="1" applyFill="1" applyBorder="1" applyAlignment="1">
      <alignment horizontal="center" vertical="center"/>
    </xf>
    <xf numFmtId="172" fontId="85" fillId="19" borderId="17" xfId="0" applyNumberFormat="1" applyFont="1" applyFill="1" applyBorder="1" applyAlignment="1">
      <alignment horizontal="center" vertical="center"/>
    </xf>
    <xf numFmtId="172" fontId="85" fillId="19" borderId="11" xfId="0" applyNumberFormat="1" applyFont="1" applyFill="1" applyBorder="1" applyAlignment="1">
      <alignment horizontal="center" vertical="center"/>
    </xf>
    <xf numFmtId="172" fontId="85" fillId="19" borderId="19" xfId="0" applyNumberFormat="1" applyFont="1" applyFill="1" applyBorder="1" applyAlignment="1">
      <alignment horizontal="center" vertical="center"/>
    </xf>
    <xf numFmtId="172" fontId="85" fillId="19" borderId="20" xfId="0" applyNumberFormat="1" applyFont="1" applyFill="1" applyBorder="1" applyAlignment="1">
      <alignment horizontal="center" vertical="center"/>
    </xf>
    <xf numFmtId="2" fontId="86" fillId="0" borderId="15" xfId="0" applyNumberFormat="1" applyFont="1" applyBorder="1" applyAlignment="1">
      <alignment horizontal="center" vertical="center"/>
    </xf>
    <xf numFmtId="2" fontId="86" fillId="0" borderId="16" xfId="0" applyNumberFormat="1" applyFont="1" applyBorder="1" applyAlignment="1">
      <alignment horizontal="center" vertical="center"/>
    </xf>
    <xf numFmtId="2" fontId="86" fillId="0" borderId="17" xfId="0" applyNumberFormat="1" applyFont="1" applyBorder="1" applyAlignment="1">
      <alignment horizontal="center" vertical="center"/>
    </xf>
    <xf numFmtId="2" fontId="86" fillId="0" borderId="11" xfId="0" applyNumberFormat="1" applyFont="1" applyBorder="1" applyAlignment="1">
      <alignment horizontal="center" vertical="center"/>
    </xf>
    <xf numFmtId="2" fontId="86" fillId="0" borderId="19" xfId="0" applyNumberFormat="1" applyFont="1" applyBorder="1" applyAlignment="1">
      <alignment horizontal="center" vertical="center"/>
    </xf>
    <xf numFmtId="2" fontId="86" fillId="0" borderId="20" xfId="0" applyNumberFormat="1" applyFont="1" applyBorder="1" applyAlignment="1">
      <alignment horizontal="center" vertical="center"/>
    </xf>
    <xf numFmtId="172" fontId="0" fillId="19" borderId="22" xfId="0" applyNumberFormat="1" applyFill="1" applyBorder="1" applyAlignment="1">
      <alignment horizontal="center"/>
    </xf>
    <xf numFmtId="172" fontId="0" fillId="19" borderId="24" xfId="0" applyNumberFormat="1" applyFill="1" applyBorder="1" applyAlignment="1">
      <alignment horizontal="center"/>
    </xf>
    <xf numFmtId="172" fontId="0" fillId="19" borderId="25" xfId="0" applyNumberFormat="1" applyFill="1" applyBorder="1" applyAlignment="1">
      <alignment horizontal="center"/>
    </xf>
    <xf numFmtId="172" fontId="85" fillId="15" borderId="15" xfId="0" applyNumberFormat="1" applyFont="1" applyFill="1" applyBorder="1" applyAlignment="1">
      <alignment horizontal="center" vertical="center"/>
    </xf>
    <xf numFmtId="172" fontId="85" fillId="15" borderId="16" xfId="0" applyNumberFormat="1" applyFont="1" applyFill="1" applyBorder="1" applyAlignment="1">
      <alignment horizontal="center" vertical="center"/>
    </xf>
    <xf numFmtId="172" fontId="85" fillId="15" borderId="17" xfId="0" applyNumberFormat="1" applyFont="1" applyFill="1" applyBorder="1" applyAlignment="1">
      <alignment horizontal="center" vertical="center"/>
    </xf>
    <xf numFmtId="172" fontId="85" fillId="15" borderId="11" xfId="0" applyNumberFormat="1" applyFont="1" applyFill="1" applyBorder="1" applyAlignment="1">
      <alignment horizontal="center" vertical="center"/>
    </xf>
    <xf numFmtId="172" fontId="85" fillId="15" borderId="19" xfId="0" applyNumberFormat="1" applyFont="1" applyFill="1" applyBorder="1" applyAlignment="1">
      <alignment horizontal="center" vertical="center"/>
    </xf>
    <xf numFmtId="172" fontId="85" fillId="15" borderId="20" xfId="0" applyNumberFormat="1" applyFont="1" applyFill="1" applyBorder="1" applyAlignment="1">
      <alignment horizontal="center" vertical="center"/>
    </xf>
    <xf numFmtId="0" fontId="85" fillId="14" borderId="15" xfId="0" applyFont="1" applyFill="1" applyBorder="1" applyAlignment="1">
      <alignment horizontal="center" vertical="center"/>
    </xf>
    <xf numFmtId="0" fontId="85" fillId="14" borderId="16" xfId="0" applyFont="1" applyFill="1" applyBorder="1" applyAlignment="1">
      <alignment horizontal="center" vertical="center"/>
    </xf>
    <xf numFmtId="0" fontId="85" fillId="14" borderId="17" xfId="0" applyFont="1" applyFill="1" applyBorder="1" applyAlignment="1">
      <alignment horizontal="center" vertical="center"/>
    </xf>
    <xf numFmtId="0" fontId="85" fillId="14" borderId="11" xfId="0" applyFont="1" applyFill="1" applyBorder="1" applyAlignment="1">
      <alignment horizontal="center" vertical="center"/>
    </xf>
    <xf numFmtId="0" fontId="85" fillId="14" borderId="19" xfId="0" applyFont="1" applyFill="1" applyBorder="1" applyAlignment="1">
      <alignment horizontal="center" vertical="center"/>
    </xf>
    <xf numFmtId="0" fontId="85" fillId="14" borderId="20" xfId="0" applyFont="1" applyFill="1" applyBorder="1" applyAlignment="1">
      <alignment horizontal="center" vertical="center"/>
    </xf>
    <xf numFmtId="173" fontId="86" fillId="0" borderId="15" xfId="0" applyNumberFormat="1" applyFont="1" applyBorder="1" applyAlignment="1">
      <alignment horizontal="center" vertical="center"/>
    </xf>
    <xf numFmtId="173" fontId="86" fillId="0" borderId="16" xfId="0" applyNumberFormat="1" applyFont="1" applyBorder="1" applyAlignment="1">
      <alignment horizontal="center" vertical="center"/>
    </xf>
    <xf numFmtId="173" fontId="86" fillId="0" borderId="17" xfId="0" applyNumberFormat="1" applyFont="1" applyBorder="1" applyAlignment="1">
      <alignment horizontal="center" vertical="center"/>
    </xf>
    <xf numFmtId="173" fontId="86" fillId="0" borderId="11" xfId="0" applyNumberFormat="1" applyFont="1" applyBorder="1" applyAlignment="1">
      <alignment horizontal="center" vertical="center"/>
    </xf>
    <xf numFmtId="173" fontId="86" fillId="0" borderId="19" xfId="0" applyNumberFormat="1" applyFont="1" applyBorder="1" applyAlignment="1">
      <alignment horizontal="center" vertical="center"/>
    </xf>
    <xf numFmtId="173" fontId="86" fillId="0" borderId="20" xfId="0" applyNumberFormat="1" applyFont="1" applyBorder="1" applyAlignment="1">
      <alignment horizontal="center" vertical="center"/>
    </xf>
    <xf numFmtId="0" fontId="63" fillId="0" borderId="0" xfId="0" applyFont="1" applyAlignment="1">
      <alignment horizontal="center" wrapText="1"/>
    </xf>
    <xf numFmtId="0" fontId="55" fillId="28" borderId="15" xfId="0" applyFont="1" applyFill="1" applyBorder="1" applyAlignment="1">
      <alignment horizontal="center" vertical="center"/>
    </xf>
    <xf numFmtId="0" fontId="55" fillId="28" borderId="16" xfId="0" applyFont="1" applyFill="1" applyBorder="1" applyAlignment="1">
      <alignment horizontal="center" vertical="center"/>
    </xf>
    <xf numFmtId="0" fontId="55" fillId="28" borderId="17" xfId="0" applyFont="1" applyFill="1" applyBorder="1" applyAlignment="1">
      <alignment horizontal="center" vertical="center"/>
    </xf>
    <xf numFmtId="0" fontId="57" fillId="0" borderId="22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7" fillId="0" borderId="25" xfId="0" applyFont="1" applyBorder="1" applyAlignment="1">
      <alignment horizontal="center" vertical="center"/>
    </xf>
    <xf numFmtId="0" fontId="66" fillId="7" borderId="22" xfId="0" applyFont="1" applyFill="1" applyBorder="1" applyAlignment="1">
      <alignment horizontal="center" vertical="center"/>
    </xf>
    <xf numFmtId="0" fontId="66" fillId="7" borderId="25" xfId="0" applyFont="1" applyFill="1" applyBorder="1" applyAlignment="1">
      <alignment horizontal="center" vertical="center"/>
    </xf>
    <xf numFmtId="0" fontId="53" fillId="29" borderId="22" xfId="0" applyFont="1" applyFill="1" applyBorder="1" applyAlignment="1">
      <alignment horizontal="center" vertical="center"/>
    </xf>
    <xf numFmtId="0" fontId="53" fillId="29" borderId="24" xfId="0" applyFont="1" applyFill="1" applyBorder="1" applyAlignment="1">
      <alignment horizontal="center" vertical="center"/>
    </xf>
    <xf numFmtId="0" fontId="53" fillId="29" borderId="25" xfId="0" applyFont="1" applyFill="1" applyBorder="1" applyAlignment="1">
      <alignment horizontal="center" vertical="center"/>
    </xf>
    <xf numFmtId="14" fontId="43" fillId="28" borderId="22" xfId="0" applyNumberFormat="1" applyFont="1" applyFill="1" applyBorder="1" applyAlignment="1">
      <alignment horizontal="center"/>
    </xf>
    <xf numFmtId="0" fontId="43" fillId="28" borderId="24" xfId="0" applyFont="1" applyFill="1" applyBorder="1" applyAlignment="1">
      <alignment horizontal="center"/>
    </xf>
    <xf numFmtId="0" fontId="43" fillId="28" borderId="25" xfId="0" applyFont="1" applyFill="1" applyBorder="1" applyAlignment="1">
      <alignment horizontal="center"/>
    </xf>
    <xf numFmtId="0" fontId="67" fillId="7" borderId="24" xfId="0" applyFont="1" applyFill="1" applyBorder="1" applyAlignment="1">
      <alignment horizontal="center" vertical="center"/>
    </xf>
    <xf numFmtId="0" fontId="67" fillId="7" borderId="25" xfId="0" applyFont="1" applyFill="1" applyBorder="1" applyAlignment="1">
      <alignment horizontal="center" vertical="center"/>
    </xf>
    <xf numFmtId="0" fontId="58" fillId="28" borderId="22" xfId="0" applyFont="1" applyFill="1" applyBorder="1" applyAlignment="1">
      <alignment horizontal="center" vertical="center"/>
    </xf>
    <xf numFmtId="0" fontId="58" fillId="28" borderId="24" xfId="0" applyFont="1" applyFill="1" applyBorder="1" applyAlignment="1">
      <alignment horizontal="center" vertical="center"/>
    </xf>
    <xf numFmtId="0" fontId="58" fillId="28" borderId="25" xfId="0" applyFont="1" applyFill="1" applyBorder="1" applyAlignment="1">
      <alignment horizontal="center" vertical="center"/>
    </xf>
    <xf numFmtId="0" fontId="55" fillId="29" borderId="22" xfId="0" applyFont="1" applyFill="1" applyBorder="1" applyAlignment="1">
      <alignment horizontal="center" vertical="center" wrapText="1"/>
    </xf>
    <xf numFmtId="0" fontId="55" fillId="29" borderId="25" xfId="0" applyFont="1" applyFill="1" applyBorder="1" applyAlignment="1">
      <alignment horizontal="center" vertical="center" wrapText="1"/>
    </xf>
    <xf numFmtId="0" fontId="55" fillId="13" borderId="22" xfId="0" applyFont="1" applyFill="1" applyBorder="1" applyAlignment="1">
      <alignment horizontal="center" vertical="center" wrapText="1"/>
    </xf>
    <xf numFmtId="0" fontId="55" fillId="13" borderId="25" xfId="0" applyFont="1" applyFill="1" applyBorder="1" applyAlignment="1">
      <alignment horizontal="center" vertical="center" wrapText="1"/>
    </xf>
    <xf numFmtId="0" fontId="59" fillId="13" borderId="22" xfId="0" applyFont="1" applyFill="1" applyBorder="1" applyAlignment="1">
      <alignment horizontal="center" vertical="center" wrapText="1"/>
    </xf>
    <xf numFmtId="0" fontId="59" fillId="13" borderId="25" xfId="0" applyFont="1" applyFill="1" applyBorder="1" applyAlignment="1">
      <alignment horizontal="center" vertical="center" wrapText="1"/>
    </xf>
    <xf numFmtId="0" fontId="42" fillId="5" borderId="22" xfId="0" applyFont="1" applyFill="1" applyBorder="1" applyAlignment="1">
      <alignment horizontal="center" vertical="center" wrapText="1"/>
    </xf>
    <xf numFmtId="0" fontId="42" fillId="5" borderId="25" xfId="0" applyFont="1" applyFill="1" applyBorder="1" applyAlignment="1">
      <alignment horizontal="center" vertical="center" wrapText="1"/>
    </xf>
    <xf numFmtId="0" fontId="56" fillId="0" borderId="22" xfId="0" applyFont="1" applyBorder="1" applyAlignment="1">
      <alignment horizontal="center" vertical="center"/>
    </xf>
    <xf numFmtId="0" fontId="56" fillId="0" borderId="25" xfId="0" applyFont="1" applyBorder="1" applyAlignment="1">
      <alignment horizontal="center" vertical="center"/>
    </xf>
    <xf numFmtId="0" fontId="64" fillId="13" borderId="22" xfId="0" applyFont="1" applyFill="1" applyBorder="1" applyAlignment="1">
      <alignment horizontal="center" vertical="center"/>
    </xf>
    <xf numFmtId="0" fontId="64" fillId="13" borderId="25" xfId="0" applyFont="1" applyFill="1" applyBorder="1" applyAlignment="1">
      <alignment horizontal="center" vertical="center"/>
    </xf>
    <xf numFmtId="0" fontId="51" fillId="5" borderId="22" xfId="0" applyFont="1" applyFill="1" applyBorder="1" applyAlignment="1">
      <alignment horizontal="center" vertical="center"/>
    </xf>
    <xf numFmtId="0" fontId="51" fillId="5" borderId="25" xfId="0" applyFont="1" applyFill="1" applyBorder="1" applyAlignment="1">
      <alignment horizontal="center" vertical="center"/>
    </xf>
    <xf numFmtId="0" fontId="66" fillId="7" borderId="15" xfId="0" applyFont="1" applyFill="1" applyBorder="1" applyAlignment="1">
      <alignment horizontal="center" vertical="center"/>
    </xf>
    <xf numFmtId="0" fontId="66" fillId="7" borderId="16" xfId="0" applyFont="1" applyFill="1" applyBorder="1" applyAlignment="1">
      <alignment horizontal="center" vertical="center"/>
    </xf>
    <xf numFmtId="0" fontId="66" fillId="7" borderId="17" xfId="0" applyFont="1" applyFill="1" applyBorder="1" applyAlignment="1">
      <alignment horizontal="center" vertical="center"/>
    </xf>
    <xf numFmtId="0" fontId="67" fillId="7" borderId="22" xfId="0" applyFont="1" applyFill="1" applyBorder="1" applyAlignment="1">
      <alignment horizontal="center" vertical="center"/>
    </xf>
    <xf numFmtId="170" fontId="55" fillId="28" borderId="22" xfId="0" applyNumberFormat="1" applyFont="1" applyFill="1" applyBorder="1" applyAlignment="1">
      <alignment horizontal="center" vertical="center"/>
    </xf>
    <xf numFmtId="170" fontId="55" fillId="28" borderId="25" xfId="0" applyNumberFormat="1" applyFont="1" applyFill="1" applyBorder="1" applyAlignment="1">
      <alignment horizontal="center" vertical="center"/>
    </xf>
    <xf numFmtId="0" fontId="17" fillId="0" borderId="28" xfId="0" applyFont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  <xf numFmtId="0" fontId="17" fillId="7" borderId="28" xfId="0" applyFont="1" applyFill="1" applyBorder="1" applyAlignment="1">
      <alignment horizontal="center" vertical="center"/>
    </xf>
    <xf numFmtId="0" fontId="17" fillId="7" borderId="29" xfId="0" applyFont="1" applyFill="1" applyBorder="1" applyAlignment="1">
      <alignment horizontal="center" vertical="center"/>
    </xf>
    <xf numFmtId="0" fontId="39" fillId="55" borderId="28" xfId="0" applyFont="1" applyFill="1" applyBorder="1" applyAlignment="1">
      <alignment horizontal="center" vertical="center"/>
    </xf>
    <xf numFmtId="0" fontId="39" fillId="55" borderId="29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4" fontId="79" fillId="5" borderId="43" xfId="0" applyNumberFormat="1" applyFont="1" applyFill="1" applyBorder="1" applyAlignment="1">
      <alignment horizontal="center" vertical="center"/>
    </xf>
    <xf numFmtId="0" fontId="79" fillId="5" borderId="44" xfId="0" applyFont="1" applyFill="1" applyBorder="1" applyAlignment="1">
      <alignment horizontal="center" vertical="center"/>
    </xf>
    <xf numFmtId="0" fontId="79" fillId="5" borderId="45" xfId="0" applyFont="1" applyFill="1" applyBorder="1" applyAlignment="1">
      <alignment horizontal="center" vertical="center"/>
    </xf>
    <xf numFmtId="0" fontId="79" fillId="5" borderId="46" xfId="0" applyFont="1" applyFill="1" applyBorder="1" applyAlignment="1">
      <alignment horizontal="center" vertical="center"/>
    </xf>
    <xf numFmtId="0" fontId="17" fillId="0" borderId="28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 wrapText="1"/>
    </xf>
    <xf numFmtId="0" fontId="15" fillId="0" borderId="29" xfId="0" applyFont="1" applyBorder="1" applyAlignment="1">
      <alignment horizontal="center" vertical="center" wrapText="1"/>
    </xf>
    <xf numFmtId="0" fontId="17" fillId="7" borderId="28" xfId="0" applyFont="1" applyFill="1" applyBorder="1" applyAlignment="1">
      <alignment horizontal="center" vertical="center" wrapText="1"/>
    </xf>
    <xf numFmtId="0" fontId="15" fillId="7" borderId="27" xfId="0" applyFont="1" applyFill="1" applyBorder="1" applyAlignment="1">
      <alignment horizontal="center" vertical="center" wrapText="1"/>
    </xf>
    <xf numFmtId="0" fontId="15" fillId="7" borderId="29" xfId="0" applyFont="1" applyFill="1" applyBorder="1" applyAlignment="1">
      <alignment horizontal="center" vertical="center" wrapText="1"/>
    </xf>
    <xf numFmtId="0" fontId="77" fillId="0" borderId="0" xfId="0" applyFont="1" applyAlignment="1">
      <alignment horizontal="center" vertical="center" wrapText="1"/>
    </xf>
    <xf numFmtId="0" fontId="78" fillId="0" borderId="0" xfId="0" applyFont="1" applyAlignment="1">
      <alignment horizontal="center" vertical="center" wrapText="1"/>
    </xf>
    <xf numFmtId="0" fontId="15" fillId="32" borderId="26" xfId="0" applyFont="1" applyFill="1" applyBorder="1" applyAlignment="1">
      <alignment horizontal="center" vertical="center" wrapText="1"/>
    </xf>
    <xf numFmtId="0" fontId="39" fillId="55" borderId="28" xfId="0" applyFont="1" applyFill="1" applyBorder="1" applyAlignment="1">
      <alignment horizontal="center" vertical="center" wrapText="1"/>
    </xf>
    <xf numFmtId="0" fontId="39" fillId="55" borderId="27" xfId="0" applyFont="1" applyFill="1" applyBorder="1" applyAlignment="1">
      <alignment horizontal="center" vertical="center" wrapText="1"/>
    </xf>
    <xf numFmtId="0" fontId="39" fillId="55" borderId="29" xfId="0" applyFont="1" applyFill="1" applyBorder="1" applyAlignment="1">
      <alignment horizontal="center" vertical="center" wrapText="1"/>
    </xf>
    <xf numFmtId="0" fontId="6" fillId="32" borderId="38" xfId="0" applyFont="1" applyFill="1" applyBorder="1" applyAlignment="1">
      <alignment horizontal="center" vertical="center" wrapText="1"/>
    </xf>
    <xf numFmtId="0" fontId="0" fillId="32" borderId="0" xfId="0" applyFill="1" applyBorder="1" applyAlignment="1">
      <alignment wrapText="1"/>
    </xf>
    <xf numFmtId="0" fontId="0" fillId="32" borderId="39" xfId="0" applyFill="1" applyBorder="1" applyAlignment="1">
      <alignment wrapText="1"/>
    </xf>
    <xf numFmtId="0" fontId="39" fillId="0" borderId="15" xfId="0" applyFont="1" applyBorder="1" applyAlignment="1">
      <alignment horizontal="center" vertical="center"/>
    </xf>
    <xf numFmtId="0" fontId="39" fillId="0" borderId="16" xfId="0" applyFont="1" applyBorder="1" applyAlignment="1">
      <alignment horizontal="center" vertical="center"/>
    </xf>
    <xf numFmtId="0" fontId="39" fillId="0" borderId="17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0" fontId="39" fillId="0" borderId="19" xfId="0" applyFont="1" applyBorder="1" applyAlignment="1">
      <alignment horizontal="center" vertical="center"/>
    </xf>
    <xf numFmtId="0" fontId="39" fillId="0" borderId="20" xfId="0" applyFont="1" applyBorder="1" applyAlignment="1">
      <alignment horizontal="center" vertical="center"/>
    </xf>
    <xf numFmtId="0" fontId="17" fillId="32" borderId="26" xfId="0" applyFont="1" applyFill="1" applyBorder="1" applyAlignment="1">
      <alignment horizontal="center" vertical="center" wrapText="1"/>
    </xf>
    <xf numFmtId="0" fontId="39" fillId="32" borderId="26" xfId="0" applyFont="1" applyFill="1" applyBorder="1" applyAlignment="1">
      <alignment horizontal="center" vertical="center" wrapText="1"/>
    </xf>
    <xf numFmtId="0" fontId="17" fillId="7" borderId="24" xfId="0" applyFont="1" applyFill="1" applyBorder="1" applyAlignment="1">
      <alignment horizontal="center" vertical="center"/>
    </xf>
    <xf numFmtId="0" fontId="17" fillId="7" borderId="25" xfId="0" applyFont="1" applyFill="1" applyBorder="1" applyAlignment="1">
      <alignment horizontal="center" vertical="center"/>
    </xf>
    <xf numFmtId="0" fontId="17" fillId="32" borderId="11" xfId="0" applyFont="1" applyFill="1" applyBorder="1" applyAlignment="1">
      <alignment horizontal="center" vertical="center" wrapText="1"/>
    </xf>
    <xf numFmtId="0" fontId="17" fillId="32" borderId="20" xfId="0" applyFont="1" applyFill="1" applyBorder="1" applyAlignment="1">
      <alignment horizontal="center" vertical="center" wrapText="1"/>
    </xf>
    <xf numFmtId="0" fontId="17" fillId="7" borderId="22" xfId="0" applyFont="1" applyFill="1" applyBorder="1" applyAlignment="1">
      <alignment horizontal="center" vertical="center"/>
    </xf>
    <xf numFmtId="0" fontId="73" fillId="31" borderId="2" xfId="0" applyFont="1" applyFill="1" applyBorder="1" applyAlignment="1">
      <alignment horizontal="center" vertical="center" wrapText="1"/>
    </xf>
    <xf numFmtId="0" fontId="73" fillId="31" borderId="3" xfId="0" applyFont="1" applyFill="1" applyBorder="1" applyAlignment="1">
      <alignment horizontal="center" vertical="center" wrapText="1"/>
    </xf>
    <xf numFmtId="172" fontId="48" fillId="15" borderId="78" xfId="0" applyNumberFormat="1" applyFont="1" applyFill="1" applyBorder="1" applyAlignment="1">
      <alignment horizontal="center"/>
    </xf>
    <xf numFmtId="172" fontId="48" fillId="15" borderId="24" xfId="0" applyNumberFormat="1" applyFont="1" applyFill="1" applyBorder="1" applyAlignment="1">
      <alignment horizontal="center"/>
    </xf>
    <xf numFmtId="172" fontId="48" fillId="15" borderId="79" xfId="0" applyNumberFormat="1" applyFont="1" applyFill="1" applyBorder="1" applyAlignment="1">
      <alignment horizontal="center"/>
    </xf>
    <xf numFmtId="172" fontId="48" fillId="15" borderId="78" xfId="0" applyNumberFormat="1" applyFont="1" applyFill="1" applyBorder="1" applyAlignment="1">
      <alignment horizontal="center" vertical="center"/>
    </xf>
    <xf numFmtId="172" fontId="48" fillId="15" borderId="24" xfId="0" applyNumberFormat="1" applyFont="1" applyFill="1" applyBorder="1" applyAlignment="1">
      <alignment horizontal="center" vertical="center"/>
    </xf>
    <xf numFmtId="172" fontId="48" fillId="15" borderId="79" xfId="0" applyNumberFormat="1" applyFont="1" applyFill="1" applyBorder="1" applyAlignment="1">
      <alignment horizontal="center" vertical="center"/>
    </xf>
    <xf numFmtId="14" fontId="74" fillId="31" borderId="40" xfId="0" applyNumberFormat="1" applyFont="1" applyFill="1" applyBorder="1" applyAlignment="1">
      <alignment horizontal="center" vertical="center"/>
    </xf>
    <xf numFmtId="0" fontId="74" fillId="31" borderId="41" xfId="0" applyFont="1" applyFill="1" applyBorder="1" applyAlignment="1">
      <alignment horizontal="center" vertical="center"/>
    </xf>
    <xf numFmtId="0" fontId="74" fillId="31" borderId="42" xfId="0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/>
    </xf>
    <xf numFmtId="0" fontId="70" fillId="7" borderId="1" xfId="0" applyFont="1" applyFill="1" applyBorder="1" applyAlignment="1">
      <alignment horizontal="center" vertical="center" wrapText="1"/>
    </xf>
    <xf numFmtId="0" fontId="44" fillId="5" borderId="1" xfId="0" applyFont="1" applyFill="1" applyBorder="1" applyAlignment="1">
      <alignment horizontal="center" vertical="center"/>
    </xf>
    <xf numFmtId="0" fontId="44" fillId="5" borderId="36" xfId="0" applyFont="1" applyFill="1" applyBorder="1" applyAlignment="1">
      <alignment horizontal="center" vertical="center"/>
    </xf>
    <xf numFmtId="0" fontId="48" fillId="30" borderId="22" xfId="0" applyFont="1" applyFill="1" applyBorder="1" applyAlignment="1">
      <alignment horizontal="center" vertical="center"/>
    </xf>
    <xf numFmtId="0" fontId="48" fillId="30" borderId="24" xfId="0" applyFont="1" applyFill="1" applyBorder="1" applyAlignment="1">
      <alignment horizontal="center" vertical="center"/>
    </xf>
    <xf numFmtId="0" fontId="48" fillId="30" borderId="25" xfId="0" applyFont="1" applyFill="1" applyBorder="1" applyAlignment="1">
      <alignment horizontal="center" vertical="center"/>
    </xf>
    <xf numFmtId="1" fontId="20" fillId="5" borderId="2" xfId="0" applyNumberFormat="1" applyFont="1" applyFill="1" applyBorder="1" applyAlignment="1">
      <alignment horizontal="center" vertical="center"/>
    </xf>
    <xf numFmtId="1" fontId="20" fillId="5" borderId="3" xfId="0" applyNumberFormat="1" applyFont="1" applyFill="1" applyBorder="1" applyAlignment="1">
      <alignment horizontal="center" vertical="center"/>
    </xf>
    <xf numFmtId="1" fontId="71" fillId="0" borderId="2" xfId="0" applyNumberFormat="1" applyFont="1" applyBorder="1" applyAlignment="1">
      <alignment horizontal="center" vertical="center"/>
    </xf>
    <xf numFmtId="1" fontId="71" fillId="0" borderId="3" xfId="0" applyNumberFormat="1" applyFont="1" applyBorder="1" applyAlignment="1">
      <alignment horizontal="center" vertical="center"/>
    </xf>
    <xf numFmtId="0" fontId="48" fillId="30" borderId="12" xfId="0" applyFont="1" applyFill="1" applyBorder="1" applyAlignment="1">
      <alignment horizontal="center" vertical="center"/>
    </xf>
    <xf numFmtId="0" fontId="48" fillId="30" borderId="13" xfId="0" applyFont="1" applyFill="1" applyBorder="1" applyAlignment="1">
      <alignment horizontal="center" vertical="center"/>
    </xf>
    <xf numFmtId="0" fontId="48" fillId="30" borderId="14" xfId="0" applyFont="1" applyFill="1" applyBorder="1" applyAlignment="1">
      <alignment horizontal="center" vertical="center"/>
    </xf>
    <xf numFmtId="0" fontId="48" fillId="30" borderId="22" xfId="0" applyFont="1" applyFill="1" applyBorder="1" applyAlignment="1">
      <alignment horizontal="center"/>
    </xf>
    <xf numFmtId="0" fontId="48" fillId="30" borderId="24" xfId="0" applyFont="1" applyFill="1" applyBorder="1" applyAlignment="1">
      <alignment horizontal="center"/>
    </xf>
    <xf numFmtId="0" fontId="48" fillId="30" borderId="25" xfId="0" applyFont="1" applyFill="1" applyBorder="1" applyAlignment="1">
      <alignment horizontal="center"/>
    </xf>
    <xf numFmtId="172" fontId="48" fillId="19" borderId="69" xfId="0" applyNumberFormat="1" applyFont="1" applyFill="1" applyBorder="1" applyAlignment="1">
      <alignment horizontal="center" vertical="center"/>
    </xf>
    <xf numFmtId="172" fontId="48" fillId="19" borderId="70" xfId="0" applyNumberFormat="1" applyFont="1" applyFill="1" applyBorder="1" applyAlignment="1">
      <alignment horizontal="center" vertical="center"/>
    </xf>
    <xf numFmtId="172" fontId="48" fillId="19" borderId="71" xfId="0" applyNumberFormat="1" applyFont="1" applyFill="1" applyBorder="1" applyAlignment="1">
      <alignment horizontal="center" vertical="center"/>
    </xf>
    <xf numFmtId="172" fontId="42" fillId="7" borderId="72" xfId="0" applyNumberFormat="1" applyFont="1" applyFill="1" applyBorder="1" applyAlignment="1">
      <alignment horizontal="center" vertical="center"/>
    </xf>
    <xf numFmtId="172" fontId="42" fillId="7" borderId="0" xfId="0" applyNumberFormat="1" applyFont="1" applyFill="1" applyBorder="1" applyAlignment="1">
      <alignment horizontal="center" vertical="center"/>
    </xf>
    <xf numFmtId="172" fontId="42" fillId="7" borderId="73" xfId="0" applyNumberFormat="1" applyFont="1" applyFill="1" applyBorder="1" applyAlignment="1">
      <alignment horizontal="center" vertical="center"/>
    </xf>
    <xf numFmtId="172" fontId="48" fillId="19" borderId="78" xfId="0" applyNumberFormat="1" applyFont="1" applyFill="1" applyBorder="1" applyAlignment="1">
      <alignment horizontal="center"/>
    </xf>
    <xf numFmtId="172" fontId="48" fillId="19" borderId="24" xfId="0" applyNumberFormat="1" applyFont="1" applyFill="1" applyBorder="1" applyAlignment="1">
      <alignment horizontal="center"/>
    </xf>
    <xf numFmtId="172" fontId="48" fillId="19" borderId="79" xfId="0" applyNumberFormat="1" applyFont="1" applyFill="1" applyBorder="1" applyAlignment="1">
      <alignment horizontal="center"/>
    </xf>
    <xf numFmtId="172" fontId="48" fillId="19" borderId="78" xfId="0" applyNumberFormat="1" applyFont="1" applyFill="1" applyBorder="1" applyAlignment="1">
      <alignment horizontal="center" vertical="center"/>
    </xf>
    <xf numFmtId="172" fontId="48" fillId="19" borderId="24" xfId="0" applyNumberFormat="1" applyFont="1" applyFill="1" applyBorder="1" applyAlignment="1">
      <alignment horizontal="center" vertical="center"/>
    </xf>
    <xf numFmtId="172" fontId="48" fillId="19" borderId="79" xfId="0" applyNumberFormat="1" applyFont="1" applyFill="1" applyBorder="1" applyAlignment="1">
      <alignment horizontal="center" vertical="center"/>
    </xf>
    <xf numFmtId="0" fontId="71" fillId="7" borderId="2" xfId="0" applyFont="1" applyFill="1" applyBorder="1" applyAlignment="1">
      <alignment horizontal="center" vertical="center"/>
    </xf>
    <xf numFmtId="0" fontId="71" fillId="7" borderId="3" xfId="0" applyFont="1" applyFill="1" applyBorder="1" applyAlignment="1">
      <alignment horizontal="center" vertical="center"/>
    </xf>
    <xf numFmtId="1" fontId="71" fillId="11" borderId="2" xfId="0" applyNumberFormat="1" applyFont="1" applyFill="1" applyBorder="1" applyAlignment="1">
      <alignment horizontal="center" vertical="center"/>
    </xf>
    <xf numFmtId="1" fontId="71" fillId="11" borderId="3" xfId="0" applyNumberFormat="1" applyFont="1" applyFill="1" applyBorder="1" applyAlignment="1">
      <alignment horizontal="center" vertical="center"/>
    </xf>
    <xf numFmtId="0" fontId="45" fillId="31" borderId="2" xfId="0" applyFont="1" applyFill="1" applyBorder="1" applyAlignment="1">
      <alignment horizontal="center" vertical="center"/>
    </xf>
    <xf numFmtId="0" fontId="45" fillId="31" borderId="3" xfId="0" applyFont="1" applyFill="1" applyBorder="1" applyAlignment="1">
      <alignment horizontal="center" vertical="center"/>
    </xf>
    <xf numFmtId="0" fontId="123" fillId="14" borderId="83" xfId="0" applyFont="1" applyFill="1" applyBorder="1" applyAlignment="1">
      <alignment horizontal="center" vertical="center"/>
    </xf>
    <xf numFmtId="0" fontId="123" fillId="14" borderId="84" xfId="0" applyFont="1" applyFill="1" applyBorder="1" applyAlignment="1">
      <alignment horizontal="center" vertical="center"/>
    </xf>
    <xf numFmtId="0" fontId="123" fillId="14" borderId="85" xfId="0" applyFont="1" applyFill="1" applyBorder="1" applyAlignment="1">
      <alignment horizontal="center" vertical="center"/>
    </xf>
    <xf numFmtId="0" fontId="42" fillId="7" borderId="38" xfId="0" applyFont="1" applyFill="1" applyBorder="1" applyAlignment="1">
      <alignment horizontal="center" vertical="center"/>
    </xf>
    <xf numFmtId="0" fontId="42" fillId="7" borderId="0" xfId="0" applyFont="1" applyFill="1" applyBorder="1" applyAlignment="1">
      <alignment horizontal="center" vertical="center"/>
    </xf>
    <xf numFmtId="0" fontId="42" fillId="7" borderId="39" xfId="0" applyFont="1" applyFill="1" applyBorder="1" applyAlignment="1">
      <alignment horizontal="center" vertical="center"/>
    </xf>
    <xf numFmtId="172" fontId="48" fillId="15" borderId="69" xfId="0" applyNumberFormat="1" applyFont="1" applyFill="1" applyBorder="1" applyAlignment="1">
      <alignment horizontal="center" vertical="center"/>
    </xf>
    <xf numFmtId="172" fontId="48" fillId="15" borderId="70" xfId="0" applyNumberFormat="1" applyFont="1" applyFill="1" applyBorder="1" applyAlignment="1">
      <alignment horizontal="center" vertical="center"/>
    </xf>
    <xf numFmtId="172" fontId="48" fillId="15" borderId="71" xfId="0" applyNumberFormat="1" applyFont="1" applyFill="1" applyBorder="1" applyAlignment="1">
      <alignment horizontal="center" vertical="center"/>
    </xf>
    <xf numFmtId="172" fontId="42" fillId="45" borderId="72" xfId="0" applyNumberFormat="1" applyFont="1" applyFill="1" applyBorder="1" applyAlignment="1">
      <alignment horizontal="center" vertical="center"/>
    </xf>
    <xf numFmtId="172" fontId="42" fillId="45" borderId="0" xfId="0" applyNumberFormat="1" applyFont="1" applyFill="1" applyBorder="1" applyAlignment="1">
      <alignment horizontal="center" vertical="center"/>
    </xf>
    <xf numFmtId="172" fontId="42" fillId="45" borderId="73" xfId="0" applyNumberFormat="1" applyFont="1" applyFill="1" applyBorder="1" applyAlignment="1">
      <alignment horizontal="center" vertical="center"/>
    </xf>
    <xf numFmtId="0" fontId="44" fillId="5" borderId="2" xfId="0" applyFont="1" applyFill="1" applyBorder="1" applyAlignment="1">
      <alignment horizontal="center" vertical="center"/>
    </xf>
    <xf numFmtId="0" fontId="44" fillId="5" borderId="3" xfId="0" applyFont="1" applyFill="1" applyBorder="1" applyAlignment="1">
      <alignment horizontal="center" vertical="center"/>
    </xf>
    <xf numFmtId="0" fontId="80" fillId="19" borderId="12" xfId="0" applyFont="1" applyFill="1" applyBorder="1" applyAlignment="1">
      <alignment horizontal="center" vertical="center"/>
    </xf>
    <xf numFmtId="0" fontId="80" fillId="19" borderId="13" xfId="0" applyFont="1" applyFill="1" applyBorder="1" applyAlignment="1">
      <alignment horizontal="center" vertical="center"/>
    </xf>
    <xf numFmtId="0" fontId="80" fillId="19" borderId="14" xfId="0" applyFont="1" applyFill="1" applyBorder="1" applyAlignment="1">
      <alignment horizontal="center" vertical="center"/>
    </xf>
    <xf numFmtId="0" fontId="123" fillId="14" borderId="88" xfId="0" applyFont="1" applyFill="1" applyBorder="1" applyAlignment="1">
      <alignment horizontal="center" vertical="center"/>
    </xf>
    <xf numFmtId="0" fontId="123" fillId="14" borderId="13" xfId="0" applyFont="1" applyFill="1" applyBorder="1" applyAlignment="1">
      <alignment horizontal="center" vertical="center"/>
    </xf>
    <xf numFmtId="0" fontId="123" fillId="14" borderId="89" xfId="0" applyFont="1" applyFill="1" applyBorder="1" applyAlignment="1">
      <alignment horizontal="center" vertical="center"/>
    </xf>
    <xf numFmtId="0" fontId="48" fillId="19" borderId="12" xfId="0" applyFont="1" applyFill="1" applyBorder="1" applyAlignment="1">
      <alignment horizontal="center" vertical="center"/>
    </xf>
    <xf numFmtId="0" fontId="48" fillId="19" borderId="13" xfId="0" applyFont="1" applyFill="1" applyBorder="1" applyAlignment="1">
      <alignment horizontal="center" vertical="center"/>
    </xf>
    <xf numFmtId="0" fontId="48" fillId="19" borderId="14" xfId="0" applyFont="1" applyFill="1" applyBorder="1" applyAlignment="1">
      <alignment horizontal="center" vertical="center"/>
    </xf>
    <xf numFmtId="0" fontId="80" fillId="19" borderId="22" xfId="0" applyFont="1" applyFill="1" applyBorder="1" applyAlignment="1">
      <alignment horizontal="center" vertical="center"/>
    </xf>
    <xf numFmtId="0" fontId="80" fillId="19" borderId="24" xfId="0" applyFont="1" applyFill="1" applyBorder="1" applyAlignment="1">
      <alignment horizontal="center" vertical="center"/>
    </xf>
    <xf numFmtId="0" fontId="80" fillId="19" borderId="25" xfId="0" applyFont="1" applyFill="1" applyBorder="1" applyAlignment="1">
      <alignment horizontal="center" vertical="center"/>
    </xf>
    <xf numFmtId="0" fontId="81" fillId="19" borderId="22" xfId="0" applyFont="1" applyFill="1" applyBorder="1" applyAlignment="1">
      <alignment horizontal="center" vertical="center"/>
    </xf>
    <xf numFmtId="0" fontId="81" fillId="19" borderId="24" xfId="0" applyFont="1" applyFill="1" applyBorder="1" applyAlignment="1">
      <alignment horizontal="center" vertical="center"/>
    </xf>
    <xf numFmtId="0" fontId="81" fillId="19" borderId="25" xfId="0" applyFont="1" applyFill="1" applyBorder="1" applyAlignment="1">
      <alignment horizontal="center" vertical="center"/>
    </xf>
    <xf numFmtId="0" fontId="76" fillId="10" borderId="22" xfId="0" applyFont="1" applyFill="1" applyBorder="1" applyAlignment="1">
      <alignment horizontal="center" vertical="center"/>
    </xf>
    <xf numFmtId="0" fontId="76" fillId="10" borderId="24" xfId="0" applyFont="1" applyFill="1" applyBorder="1" applyAlignment="1">
      <alignment horizontal="center" vertical="center"/>
    </xf>
    <xf numFmtId="0" fontId="76" fillId="10" borderId="25" xfId="0" applyFont="1" applyFill="1" applyBorder="1" applyAlignment="1">
      <alignment horizontal="center" vertical="center"/>
    </xf>
    <xf numFmtId="0" fontId="48" fillId="16" borderId="12" xfId="0" applyFont="1" applyFill="1" applyBorder="1" applyAlignment="1">
      <alignment horizontal="center" vertical="center"/>
    </xf>
    <xf numFmtId="0" fontId="48" fillId="16" borderId="13" xfId="0" applyFont="1" applyFill="1" applyBorder="1" applyAlignment="1">
      <alignment horizontal="center" vertical="center"/>
    </xf>
    <xf numFmtId="0" fontId="48" fillId="16" borderId="14" xfId="0" applyFont="1" applyFill="1" applyBorder="1" applyAlignment="1">
      <alignment horizontal="center" vertical="center"/>
    </xf>
    <xf numFmtId="0" fontId="65" fillId="16" borderId="22" xfId="0" applyFont="1" applyFill="1" applyBorder="1" applyAlignment="1">
      <alignment horizontal="center" vertical="center"/>
    </xf>
    <xf numFmtId="0" fontId="65" fillId="16" borderId="24" xfId="0" applyFont="1" applyFill="1" applyBorder="1" applyAlignment="1">
      <alignment horizontal="center" vertical="center"/>
    </xf>
    <xf numFmtId="0" fontId="65" fillId="16" borderId="25" xfId="0" applyFont="1" applyFill="1" applyBorder="1" applyAlignment="1">
      <alignment horizontal="center" vertical="center"/>
    </xf>
    <xf numFmtId="0" fontId="48" fillId="29" borderId="80" xfId="0" applyFont="1" applyFill="1" applyBorder="1" applyAlignment="1">
      <alignment horizontal="center" vertical="center"/>
    </xf>
    <xf numFmtId="0" fontId="48" fillId="29" borderId="81" xfId="0" applyFont="1" applyFill="1" applyBorder="1" applyAlignment="1">
      <alignment horizontal="center" vertical="center"/>
    </xf>
    <xf numFmtId="0" fontId="48" fillId="29" borderId="82" xfId="0" applyFont="1" applyFill="1" applyBorder="1" applyAlignment="1">
      <alignment horizontal="center" vertical="center"/>
    </xf>
    <xf numFmtId="0" fontId="65" fillId="29" borderId="22" xfId="0" applyFont="1" applyFill="1" applyBorder="1" applyAlignment="1">
      <alignment horizontal="center" vertical="center"/>
    </xf>
    <xf numFmtId="0" fontId="65" fillId="29" borderId="24" xfId="0" applyFont="1" applyFill="1" applyBorder="1" applyAlignment="1">
      <alignment horizontal="center" vertical="center"/>
    </xf>
    <xf numFmtId="0" fontId="65" fillId="29" borderId="25" xfId="0" applyFont="1" applyFill="1" applyBorder="1" applyAlignment="1">
      <alignment horizontal="center" vertical="center"/>
    </xf>
    <xf numFmtId="0" fontId="39" fillId="0" borderId="0" xfId="0" applyFont="1" applyAlignment="1">
      <alignment horizontal="center"/>
    </xf>
    <xf numFmtId="14" fontId="87" fillId="5" borderId="22" xfId="0" applyNumberFormat="1" applyFont="1" applyFill="1" applyBorder="1" applyAlignment="1">
      <alignment horizontal="center" vertical="center" wrapText="1"/>
    </xf>
    <xf numFmtId="0" fontId="87" fillId="5" borderId="25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52" fillId="26" borderId="22" xfId="0" applyFont="1" applyFill="1" applyBorder="1" applyAlignment="1">
      <alignment horizontal="center" vertical="center"/>
    </xf>
    <xf numFmtId="0" fontId="52" fillId="26" borderId="24" xfId="0" applyFont="1" applyFill="1" applyBorder="1" applyAlignment="1">
      <alignment horizontal="center" vertical="center"/>
    </xf>
    <xf numFmtId="0" fontId="52" fillId="26" borderId="25" xfId="0" applyFont="1" applyFill="1" applyBorder="1" applyAlignment="1">
      <alignment horizontal="center" vertical="center"/>
    </xf>
    <xf numFmtId="0" fontId="20" fillId="0" borderId="0" xfId="0" applyFont="1" applyAlignment="1">
      <alignment horizontal="center" wrapText="1"/>
    </xf>
    <xf numFmtId="0" fontId="83" fillId="19" borderId="22" xfId="0" applyFont="1" applyFill="1" applyBorder="1" applyAlignment="1">
      <alignment horizontal="center" vertical="center" wrapText="1"/>
    </xf>
    <xf numFmtId="0" fontId="83" fillId="19" borderId="24" xfId="0" applyFont="1" applyFill="1" applyBorder="1" applyAlignment="1">
      <alignment horizontal="center" vertical="center" wrapText="1"/>
    </xf>
    <xf numFmtId="0" fontId="83" fillId="19" borderId="25" xfId="0" applyFont="1" applyFill="1" applyBorder="1" applyAlignment="1">
      <alignment horizontal="center" vertical="center" wrapText="1"/>
    </xf>
    <xf numFmtId="0" fontId="45" fillId="26" borderId="28" xfId="0" applyFont="1" applyFill="1" applyBorder="1" applyAlignment="1">
      <alignment horizontal="center" vertical="center" wrapText="1"/>
    </xf>
    <xf numFmtId="0" fontId="45" fillId="26" borderId="29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45" fillId="26" borderId="28" xfId="0" applyFont="1" applyFill="1" applyBorder="1" applyAlignment="1">
      <alignment horizontal="center" vertical="center"/>
    </xf>
    <xf numFmtId="0" fontId="45" fillId="26" borderId="29" xfId="0" applyFont="1" applyFill="1" applyBorder="1" applyAlignment="1">
      <alignment horizontal="center" vertical="center"/>
    </xf>
    <xf numFmtId="0" fontId="42" fillId="42" borderId="1" xfId="0" applyFont="1" applyFill="1" applyBorder="1" applyAlignment="1">
      <alignment horizontal="right" vertical="center"/>
    </xf>
    <xf numFmtId="0" fontId="98" fillId="25" borderId="2" xfId="0" applyFont="1" applyFill="1" applyBorder="1" applyAlignment="1">
      <alignment horizontal="center" vertical="center"/>
    </xf>
    <xf numFmtId="0" fontId="98" fillId="25" borderId="3" xfId="0" applyFont="1" applyFill="1" applyBorder="1" applyAlignment="1">
      <alignment horizontal="center" vertical="center"/>
    </xf>
    <xf numFmtId="0" fontId="88" fillId="0" borderId="1" xfId="0" applyFont="1" applyBorder="1" applyAlignment="1">
      <alignment horizontal="center" vertical="center"/>
    </xf>
    <xf numFmtId="0" fontId="39" fillId="41" borderId="1" xfId="0" applyFont="1" applyFill="1" applyBorder="1" applyAlignment="1">
      <alignment horizontal="center" vertical="center"/>
    </xf>
    <xf numFmtId="0" fontId="20" fillId="41" borderId="1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15" fillId="7" borderId="2" xfId="0" applyFont="1" applyFill="1" applyBorder="1" applyAlignment="1">
      <alignment horizontal="center" vertical="center" wrapText="1"/>
    </xf>
    <xf numFmtId="0" fontId="39" fillId="7" borderId="21" xfId="0" applyFont="1" applyFill="1" applyBorder="1" applyAlignment="1">
      <alignment horizontal="center" vertical="center" wrapText="1"/>
    </xf>
    <xf numFmtId="0" fontId="90" fillId="28" borderId="33" xfId="0" applyFont="1" applyFill="1" applyBorder="1" applyAlignment="1">
      <alignment horizontal="center" vertical="center"/>
    </xf>
    <xf numFmtId="0" fontId="90" fillId="28" borderId="35" xfId="0" applyFont="1" applyFill="1" applyBorder="1" applyAlignment="1">
      <alignment horizontal="center" vertical="center"/>
    </xf>
    <xf numFmtId="0" fontId="90" fillId="28" borderId="34" xfId="0" applyFont="1" applyFill="1" applyBorder="1" applyAlignment="1">
      <alignment horizontal="center" vertical="center"/>
    </xf>
    <xf numFmtId="0" fontId="91" fillId="30" borderId="80" xfId="0" applyFont="1" applyFill="1" applyBorder="1" applyAlignment="1">
      <alignment horizontal="center" vertical="center" wrapText="1"/>
    </xf>
    <xf numFmtId="0" fontId="91" fillId="30" borderId="81" xfId="0" applyFont="1" applyFill="1" applyBorder="1" applyAlignment="1">
      <alignment horizontal="center" vertical="center" wrapText="1"/>
    </xf>
    <xf numFmtId="0" fontId="41" fillId="41" borderId="1" xfId="0" applyFont="1" applyFill="1" applyBorder="1" applyAlignment="1">
      <alignment horizontal="center" vertical="center"/>
    </xf>
    <xf numFmtId="0" fontId="20" fillId="46" borderId="98" xfId="0" applyFont="1" applyFill="1" applyBorder="1" applyAlignment="1">
      <alignment horizontal="center" vertical="center" wrapText="1"/>
    </xf>
    <xf numFmtId="0" fontId="20" fillId="46" borderId="20" xfId="0" applyFont="1" applyFill="1" applyBorder="1" applyAlignment="1">
      <alignment horizontal="center" vertical="center" wrapText="1"/>
    </xf>
    <xf numFmtId="0" fontId="31" fillId="30" borderId="15" xfId="0" applyFont="1" applyFill="1" applyBorder="1" applyAlignment="1">
      <alignment horizontal="center" vertical="center" wrapText="1"/>
    </xf>
    <xf numFmtId="0" fontId="31" fillId="30" borderId="100" xfId="0" applyFont="1" applyFill="1" applyBorder="1" applyAlignment="1">
      <alignment horizontal="center" vertical="center" wrapText="1"/>
    </xf>
    <xf numFmtId="0" fontId="31" fillId="30" borderId="11" xfId="0" applyFont="1" applyFill="1" applyBorder="1" applyAlignment="1">
      <alignment horizontal="center" vertical="center" wrapText="1"/>
    </xf>
    <xf numFmtId="0" fontId="31" fillId="30" borderId="99" xfId="0" applyFont="1" applyFill="1" applyBorder="1" applyAlignment="1">
      <alignment horizontal="center" vertical="center" wrapText="1"/>
    </xf>
    <xf numFmtId="0" fontId="39" fillId="46" borderId="101" xfId="0" applyFont="1" applyFill="1" applyBorder="1" applyAlignment="1">
      <alignment horizontal="center" vertical="center" wrapText="1"/>
    </xf>
    <xf numFmtId="0" fontId="39" fillId="46" borderId="17" xfId="0" applyFont="1" applyFill="1" applyBorder="1" applyAlignment="1">
      <alignment horizontal="center" vertical="center" wrapText="1"/>
    </xf>
    <xf numFmtId="0" fontId="39" fillId="46" borderId="98" xfId="0" applyFont="1" applyFill="1" applyBorder="1" applyAlignment="1">
      <alignment horizontal="center" vertical="center" wrapText="1"/>
    </xf>
    <xf numFmtId="0" fontId="39" fillId="46" borderId="20" xfId="0" applyFont="1" applyFill="1" applyBorder="1" applyAlignment="1">
      <alignment horizontal="center" vertical="center" wrapText="1"/>
    </xf>
    <xf numFmtId="0" fontId="20" fillId="41" borderId="15" xfId="0" applyFont="1" applyFill="1" applyBorder="1" applyAlignment="1">
      <alignment horizontal="center" vertical="center" wrapText="1"/>
    </xf>
    <xf numFmtId="0" fontId="20" fillId="41" borderId="17" xfId="0" applyFont="1" applyFill="1" applyBorder="1" applyAlignment="1">
      <alignment horizontal="center" vertical="center" wrapText="1"/>
    </xf>
    <xf numFmtId="0" fontId="20" fillId="41" borderId="18" xfId="0" applyFont="1" applyFill="1" applyBorder="1" applyAlignment="1">
      <alignment horizontal="center" vertical="center" wrapText="1"/>
    </xf>
    <xf numFmtId="0" fontId="20" fillId="41" borderId="97" xfId="0" applyFont="1" applyFill="1" applyBorder="1" applyAlignment="1">
      <alignment horizontal="center" vertical="center" wrapText="1"/>
    </xf>
    <xf numFmtId="0" fontId="157" fillId="41" borderId="15" xfId="0" applyFont="1" applyFill="1" applyBorder="1" applyAlignment="1">
      <alignment horizontal="center" vertical="center" wrapText="1"/>
    </xf>
    <xf numFmtId="0" fontId="157" fillId="41" borderId="17" xfId="0" applyFont="1" applyFill="1" applyBorder="1" applyAlignment="1">
      <alignment horizontal="center" vertical="center" wrapText="1"/>
    </xf>
    <xf numFmtId="0" fontId="157" fillId="41" borderId="18" xfId="0" applyFont="1" applyFill="1" applyBorder="1" applyAlignment="1">
      <alignment horizontal="center" vertical="center" wrapText="1"/>
    </xf>
    <xf numFmtId="0" fontId="157" fillId="41" borderId="97" xfId="0" applyFont="1" applyFill="1" applyBorder="1" applyAlignment="1">
      <alignment horizontal="center" vertical="center" wrapText="1"/>
    </xf>
    <xf numFmtId="0" fontId="157" fillId="41" borderId="11" xfId="0" applyFont="1" applyFill="1" applyBorder="1" applyAlignment="1">
      <alignment horizontal="center" vertical="center" wrapText="1"/>
    </xf>
    <xf numFmtId="0" fontId="157" fillId="41" borderId="20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53" fillId="26" borderId="1" xfId="0" applyFont="1" applyFill="1" applyBorder="1" applyAlignment="1">
      <alignment horizontal="center" vertical="center"/>
    </xf>
    <xf numFmtId="0" fontId="90" fillId="28" borderId="21" xfId="0" applyFont="1" applyFill="1" applyBorder="1" applyAlignment="1">
      <alignment horizontal="center" vertical="center"/>
    </xf>
    <xf numFmtId="0" fontId="90" fillId="2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12" fillId="10" borderId="22" xfId="0" applyFont="1" applyFill="1" applyBorder="1" applyAlignment="1">
      <alignment horizontal="center" vertical="center"/>
    </xf>
    <xf numFmtId="0" fontId="112" fillId="10" borderId="24" xfId="0" applyFont="1" applyFill="1" applyBorder="1" applyAlignment="1">
      <alignment horizontal="center" vertical="center"/>
    </xf>
    <xf numFmtId="0" fontId="112" fillId="10" borderId="25" xfId="0" applyFont="1" applyFill="1" applyBorder="1" applyAlignment="1">
      <alignment horizontal="center" vertical="center"/>
    </xf>
    <xf numFmtId="0" fontId="113" fillId="0" borderId="22" xfId="0" applyFont="1" applyBorder="1" applyAlignment="1">
      <alignment horizontal="center" vertical="center"/>
    </xf>
    <xf numFmtId="0" fontId="113" fillId="0" borderId="24" xfId="0" applyFont="1" applyBorder="1" applyAlignment="1">
      <alignment horizontal="center" vertical="center"/>
    </xf>
    <xf numFmtId="0" fontId="113" fillId="0" borderId="25" xfId="0" applyFont="1" applyBorder="1" applyAlignment="1">
      <alignment horizontal="center" vertical="center"/>
    </xf>
    <xf numFmtId="0" fontId="95" fillId="7" borderId="1" xfId="0" applyFont="1" applyFill="1" applyBorder="1" applyAlignment="1">
      <alignment horizontal="right" vertical="center"/>
    </xf>
    <xf numFmtId="0" fontId="98" fillId="25" borderId="1" xfId="0" applyFont="1" applyFill="1" applyBorder="1" applyAlignment="1">
      <alignment horizontal="center" vertical="center"/>
    </xf>
    <xf numFmtId="0" fontId="98" fillId="25" borderId="36" xfId="0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right" vertical="center"/>
    </xf>
    <xf numFmtId="0" fontId="42" fillId="41" borderId="2" xfId="0" applyFont="1" applyFill="1" applyBorder="1" applyAlignment="1">
      <alignment horizontal="center" vertical="center"/>
    </xf>
    <xf numFmtId="0" fontId="42" fillId="41" borderId="10" xfId="0" applyFont="1" applyFill="1" applyBorder="1" applyAlignment="1">
      <alignment horizontal="center" vertical="center"/>
    </xf>
    <xf numFmtId="0" fontId="42" fillId="41" borderId="3" xfId="0" applyFont="1" applyFill="1" applyBorder="1" applyAlignment="1">
      <alignment horizontal="center" vertical="center"/>
    </xf>
    <xf numFmtId="0" fontId="42" fillId="7" borderId="1" xfId="0" applyFont="1" applyFill="1" applyBorder="1" applyAlignment="1">
      <alignment horizontal="center" vertical="center"/>
    </xf>
    <xf numFmtId="0" fontId="42" fillId="7" borderId="36" xfId="0" applyFont="1" applyFill="1" applyBorder="1" applyAlignment="1">
      <alignment horizontal="center" vertical="center"/>
    </xf>
    <xf numFmtId="0" fontId="42" fillId="7" borderId="47" xfId="0" applyFont="1" applyFill="1" applyBorder="1" applyAlignment="1">
      <alignment horizontal="center" vertical="center"/>
    </xf>
    <xf numFmtId="0" fontId="100" fillId="18" borderId="2" xfId="0" applyFont="1" applyFill="1" applyBorder="1" applyAlignment="1">
      <alignment horizontal="center" vertical="center"/>
    </xf>
    <xf numFmtId="0" fontId="100" fillId="18" borderId="10" xfId="0" applyFont="1" applyFill="1" applyBorder="1" applyAlignment="1">
      <alignment horizontal="center" vertical="center"/>
    </xf>
    <xf numFmtId="0" fontId="100" fillId="18" borderId="3" xfId="0" applyFont="1" applyFill="1" applyBorder="1" applyAlignment="1">
      <alignment horizontal="center" vertical="center"/>
    </xf>
    <xf numFmtId="0" fontId="101" fillId="7" borderId="21" xfId="0" applyFont="1" applyFill="1" applyBorder="1" applyAlignment="1">
      <alignment horizontal="center" vertical="center"/>
    </xf>
    <xf numFmtId="0" fontId="101" fillId="7" borderId="33" xfId="0" applyFont="1" applyFill="1" applyBorder="1" applyAlignment="1">
      <alignment horizontal="center" vertical="center"/>
    </xf>
    <xf numFmtId="0" fontId="97" fillId="10" borderId="2" xfId="0" applyFont="1" applyFill="1" applyBorder="1" applyAlignment="1">
      <alignment horizontal="center" vertical="center"/>
    </xf>
    <xf numFmtId="0" fontId="97" fillId="10" borderId="10" xfId="0" applyFont="1" applyFill="1" applyBorder="1" applyAlignment="1">
      <alignment horizontal="center" vertical="center"/>
    </xf>
    <xf numFmtId="0" fontId="99" fillId="45" borderId="2" xfId="0" applyFont="1" applyFill="1" applyBorder="1" applyAlignment="1">
      <alignment horizontal="center" vertical="center"/>
    </xf>
    <xf numFmtId="0" fontId="99" fillId="45" borderId="10" xfId="0" applyFont="1" applyFill="1" applyBorder="1" applyAlignment="1">
      <alignment horizontal="center" vertical="center"/>
    </xf>
    <xf numFmtId="0" fontId="53" fillId="10" borderId="1" xfId="0" applyFont="1" applyFill="1" applyBorder="1" applyAlignment="1">
      <alignment horizontal="center" vertical="center"/>
    </xf>
    <xf numFmtId="0" fontId="103" fillId="25" borderId="2" xfId="0" applyFont="1" applyFill="1" applyBorder="1" applyAlignment="1">
      <alignment horizontal="center" vertical="center"/>
    </xf>
    <xf numFmtId="0" fontId="103" fillId="25" borderId="3" xfId="0" applyFont="1" applyFill="1" applyBorder="1" applyAlignment="1">
      <alignment horizontal="center" vertical="center"/>
    </xf>
    <xf numFmtId="0" fontId="16" fillId="30" borderId="1" xfId="0" applyFont="1" applyFill="1" applyBorder="1" applyAlignment="1">
      <alignment horizontal="center" vertical="center"/>
    </xf>
    <xf numFmtId="0" fontId="104" fillId="28" borderId="2" xfId="0" applyFont="1" applyFill="1" applyBorder="1" applyAlignment="1">
      <alignment horizontal="center" vertical="center"/>
    </xf>
    <xf numFmtId="0" fontId="104" fillId="28" borderId="3" xfId="0" applyFont="1" applyFill="1" applyBorder="1" applyAlignment="1">
      <alignment horizontal="center" vertical="center"/>
    </xf>
    <xf numFmtId="0" fontId="30" fillId="26" borderId="1" xfId="0" applyFont="1" applyFill="1" applyBorder="1" applyAlignment="1">
      <alignment horizontal="center" vertical="center"/>
    </xf>
    <xf numFmtId="0" fontId="102" fillId="25" borderId="2" xfId="0" applyFont="1" applyFill="1" applyBorder="1" applyAlignment="1">
      <alignment horizontal="center" vertical="center"/>
    </xf>
    <xf numFmtId="0" fontId="102" fillId="25" borderId="10" xfId="0" applyFont="1" applyFill="1" applyBorder="1" applyAlignment="1">
      <alignment horizontal="center" vertical="center"/>
    </xf>
    <xf numFmtId="0" fontId="102" fillId="25" borderId="3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111" fillId="50" borderId="1" xfId="0" applyFont="1" applyFill="1" applyBorder="1" applyAlignment="1">
      <alignment horizontal="center" vertical="center"/>
    </xf>
    <xf numFmtId="0" fontId="17" fillId="7" borderId="21" xfId="0" applyFont="1" applyFill="1" applyBorder="1" applyAlignment="1">
      <alignment horizontal="center" vertical="center"/>
    </xf>
    <xf numFmtId="0" fontId="17" fillId="7" borderId="37" xfId="0" applyFont="1" applyFill="1" applyBorder="1" applyAlignment="1">
      <alignment horizontal="center" vertical="center"/>
    </xf>
    <xf numFmtId="0" fontId="17" fillId="7" borderId="36" xfId="0" applyFont="1" applyFill="1" applyBorder="1" applyAlignment="1">
      <alignment horizontal="center" vertical="center"/>
    </xf>
    <xf numFmtId="0" fontId="85" fillId="28" borderId="1" xfId="0" applyFont="1" applyFill="1" applyBorder="1" applyAlignment="1">
      <alignment horizontal="center" vertical="center"/>
    </xf>
    <xf numFmtId="0" fontId="41" fillId="5" borderId="2" xfId="0" applyFont="1" applyFill="1" applyBorder="1" applyAlignment="1">
      <alignment horizontal="center" vertical="center"/>
    </xf>
    <xf numFmtId="0" fontId="41" fillId="5" borderId="3" xfId="0" applyFont="1" applyFill="1" applyBorder="1" applyAlignment="1">
      <alignment horizontal="center" vertical="center"/>
    </xf>
    <xf numFmtId="0" fontId="41" fillId="5" borderId="1" xfId="0" applyFont="1" applyFill="1" applyBorder="1" applyAlignment="1">
      <alignment horizontal="center" vertical="center"/>
    </xf>
    <xf numFmtId="0" fontId="106" fillId="28" borderId="33" xfId="0" applyFont="1" applyFill="1" applyBorder="1" applyAlignment="1">
      <alignment horizontal="center" vertical="center"/>
    </xf>
    <xf numFmtId="0" fontId="106" fillId="28" borderId="34" xfId="0" applyFont="1" applyFill="1" applyBorder="1" applyAlignment="1">
      <alignment horizontal="center" vertical="center"/>
    </xf>
    <xf numFmtId="0" fontId="106" fillId="28" borderId="38" xfId="0" applyFont="1" applyFill="1" applyBorder="1" applyAlignment="1">
      <alignment horizontal="center" vertical="center"/>
    </xf>
    <xf numFmtId="0" fontId="106" fillId="28" borderId="39" xfId="0" applyFont="1" applyFill="1" applyBorder="1" applyAlignment="1">
      <alignment horizontal="center" vertical="center"/>
    </xf>
    <xf numFmtId="0" fontId="106" fillId="28" borderId="47" xfId="0" applyFont="1" applyFill="1" applyBorder="1" applyAlignment="1">
      <alignment horizontal="center" vertical="center"/>
    </xf>
    <xf numFmtId="0" fontId="106" fillId="28" borderId="48" xfId="0" applyFont="1" applyFill="1" applyBorder="1" applyAlignment="1">
      <alignment horizontal="center" vertical="center"/>
    </xf>
    <xf numFmtId="0" fontId="65" fillId="10" borderId="2" xfId="0" applyFont="1" applyFill="1" applyBorder="1" applyAlignment="1">
      <alignment horizontal="center" vertical="center"/>
    </xf>
    <xf numFmtId="0" fontId="65" fillId="10" borderId="3" xfId="0" applyFont="1" applyFill="1" applyBorder="1" applyAlignment="1">
      <alignment horizontal="center" vertical="center"/>
    </xf>
    <xf numFmtId="0" fontId="65" fillId="10" borderId="10" xfId="0" applyFont="1" applyFill="1" applyBorder="1" applyAlignment="1">
      <alignment horizontal="center" vertical="center"/>
    </xf>
    <xf numFmtId="0" fontId="98" fillId="25" borderId="10" xfId="0" applyFont="1" applyFill="1" applyBorder="1" applyAlignment="1">
      <alignment horizontal="center" vertical="center"/>
    </xf>
    <xf numFmtId="0" fontId="65" fillId="10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05" fillId="47" borderId="2" xfId="0" applyFont="1" applyFill="1" applyBorder="1" applyAlignment="1">
      <alignment horizontal="center" vertical="center"/>
    </xf>
    <xf numFmtId="0" fontId="105" fillId="47" borderId="10" xfId="0" applyFont="1" applyFill="1" applyBorder="1" applyAlignment="1">
      <alignment horizontal="center" vertical="center"/>
    </xf>
    <xf numFmtId="0" fontId="105" fillId="47" borderId="3" xfId="0" applyFont="1" applyFill="1" applyBorder="1" applyAlignment="1">
      <alignment horizontal="center" vertical="center"/>
    </xf>
    <xf numFmtId="0" fontId="104" fillId="28" borderId="1" xfId="0" applyFont="1" applyFill="1" applyBorder="1" applyAlignment="1">
      <alignment horizontal="right" vertical="center"/>
    </xf>
    <xf numFmtId="0" fontId="104" fillId="26" borderId="1" xfId="0" applyFont="1" applyFill="1" applyBorder="1" applyAlignment="1">
      <alignment horizontal="right" vertical="center"/>
    </xf>
    <xf numFmtId="0" fontId="104" fillId="26" borderId="2" xfId="0" applyFont="1" applyFill="1" applyBorder="1" applyAlignment="1">
      <alignment horizontal="center" vertical="center"/>
    </xf>
    <xf numFmtId="0" fontId="104" fillId="26" borderId="10" xfId="0" applyFont="1" applyFill="1" applyBorder="1" applyAlignment="1">
      <alignment horizontal="center" vertical="center"/>
    </xf>
    <xf numFmtId="0" fontId="104" fillId="26" borderId="3" xfId="0" applyFont="1" applyFill="1" applyBorder="1" applyAlignment="1">
      <alignment horizontal="center" vertical="center"/>
    </xf>
    <xf numFmtId="0" fontId="104" fillId="28" borderId="10" xfId="0" applyFont="1" applyFill="1" applyBorder="1" applyAlignment="1">
      <alignment horizontal="center" vertical="center"/>
    </xf>
    <xf numFmtId="0" fontId="16" fillId="8" borderId="2" xfId="0" applyFont="1" applyFill="1" applyBorder="1" applyAlignment="1">
      <alignment horizontal="center" vertical="center" wrapText="1"/>
    </xf>
    <xf numFmtId="0" fontId="16" fillId="8" borderId="3" xfId="0" applyFont="1" applyFill="1" applyBorder="1" applyAlignment="1">
      <alignment horizontal="center" vertical="center" wrapText="1"/>
    </xf>
    <xf numFmtId="0" fontId="104" fillId="26" borderId="33" xfId="0" applyFont="1" applyFill="1" applyBorder="1" applyAlignment="1">
      <alignment horizontal="center" vertical="center"/>
    </xf>
    <xf numFmtId="0" fontId="104" fillId="26" borderId="34" xfId="0" applyFont="1" applyFill="1" applyBorder="1" applyAlignment="1">
      <alignment horizontal="center" vertical="center"/>
    </xf>
    <xf numFmtId="0" fontId="104" fillId="28" borderId="33" xfId="0" applyFont="1" applyFill="1" applyBorder="1" applyAlignment="1">
      <alignment horizontal="center" vertical="center"/>
    </xf>
    <xf numFmtId="0" fontId="104" fillId="28" borderId="35" xfId="0" applyFont="1" applyFill="1" applyBorder="1" applyAlignment="1">
      <alignment horizontal="center" vertical="center"/>
    </xf>
    <xf numFmtId="0" fontId="104" fillId="28" borderId="34" xfId="0" applyFont="1" applyFill="1" applyBorder="1" applyAlignment="1">
      <alignment horizontal="center" vertical="center"/>
    </xf>
    <xf numFmtId="0" fontId="64" fillId="26" borderId="2" xfId="0" applyFont="1" applyFill="1" applyBorder="1" applyAlignment="1">
      <alignment horizontal="center" vertical="center"/>
    </xf>
    <xf numFmtId="0" fontId="64" fillId="26" borderId="3" xfId="0" applyFont="1" applyFill="1" applyBorder="1" applyAlignment="1">
      <alignment horizontal="center" vertical="center"/>
    </xf>
    <xf numFmtId="0" fontId="64" fillId="26" borderId="33" xfId="0" applyFont="1" applyFill="1" applyBorder="1" applyAlignment="1">
      <alignment horizontal="center" vertical="center"/>
    </xf>
    <xf numFmtId="0" fontId="64" fillId="26" borderId="34" xfId="0" applyFont="1" applyFill="1" applyBorder="1" applyAlignment="1">
      <alignment horizontal="center" vertical="center"/>
    </xf>
    <xf numFmtId="0" fontId="104" fillId="26" borderId="21" xfId="0" applyFont="1" applyFill="1" applyBorder="1" applyAlignment="1">
      <alignment horizontal="right" vertical="center"/>
    </xf>
    <xf numFmtId="0" fontId="104" fillId="26" borderId="35" xfId="0" applyFont="1" applyFill="1" applyBorder="1" applyAlignment="1">
      <alignment horizontal="center" vertical="center"/>
    </xf>
    <xf numFmtId="0" fontId="64" fillId="28" borderId="2" xfId="0" applyFont="1" applyFill="1" applyBorder="1" applyAlignment="1">
      <alignment horizontal="center" vertical="center"/>
    </xf>
    <xf numFmtId="0" fontId="64" fillId="28" borderId="3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130" fillId="5" borderId="22" xfId="0" applyFont="1" applyFill="1" applyBorder="1" applyAlignment="1">
      <alignment horizontal="center" vertical="center" wrapText="1"/>
    </xf>
    <xf numFmtId="0" fontId="130" fillId="5" borderId="25" xfId="0" applyFont="1" applyFill="1" applyBorder="1" applyAlignment="1">
      <alignment horizontal="center" vertical="center" wrapText="1"/>
    </xf>
    <xf numFmtId="14" fontId="129" fillId="0" borderId="22" xfId="0" applyNumberFormat="1" applyFont="1" applyBorder="1" applyAlignment="1">
      <alignment horizontal="center" vertical="center" wrapText="1"/>
    </xf>
    <xf numFmtId="14" fontId="129" fillId="0" borderId="25" xfId="0" applyNumberFormat="1" applyFont="1" applyBorder="1" applyAlignment="1">
      <alignment horizontal="center" vertical="center" wrapText="1"/>
    </xf>
    <xf numFmtId="0" fontId="15" fillId="59" borderId="22" xfId="0" applyFont="1" applyFill="1" applyBorder="1" applyAlignment="1">
      <alignment horizontal="center" vertical="center"/>
    </xf>
    <xf numFmtId="0" fontId="15" fillId="59" borderId="24" xfId="0" applyFont="1" applyFill="1" applyBorder="1" applyAlignment="1">
      <alignment horizontal="center" vertical="center"/>
    </xf>
    <xf numFmtId="0" fontId="15" fillId="59" borderId="25" xfId="0" applyFont="1" applyFill="1" applyBorder="1" applyAlignment="1">
      <alignment horizontal="center" vertical="center"/>
    </xf>
    <xf numFmtId="0" fontId="15" fillId="61" borderId="22" xfId="0" applyFont="1" applyFill="1" applyBorder="1" applyAlignment="1">
      <alignment horizontal="center" vertical="center"/>
    </xf>
    <xf numFmtId="0" fontId="15" fillId="61" borderId="25" xfId="0" applyFont="1" applyFill="1" applyBorder="1" applyAlignment="1">
      <alignment horizontal="center" vertical="center"/>
    </xf>
    <xf numFmtId="0" fontId="126" fillId="0" borderId="0" xfId="0" applyFont="1" applyAlignment="1">
      <alignment horizontal="center" wrapText="1"/>
    </xf>
    <xf numFmtId="14" fontId="129" fillId="18" borderId="22" xfId="0" applyNumberFormat="1" applyFont="1" applyFill="1" applyBorder="1" applyAlignment="1">
      <alignment horizontal="center" vertical="center"/>
    </xf>
    <xf numFmtId="0" fontId="129" fillId="18" borderId="24" xfId="0" applyFont="1" applyFill="1" applyBorder="1" applyAlignment="1">
      <alignment horizontal="center" vertical="center"/>
    </xf>
    <xf numFmtId="0" fontId="129" fillId="18" borderId="25" xfId="0" applyFont="1" applyFill="1" applyBorder="1" applyAlignment="1">
      <alignment horizontal="center" vertical="center"/>
    </xf>
    <xf numFmtId="0" fontId="15" fillId="18" borderId="15" xfId="0" applyFont="1" applyFill="1" applyBorder="1" applyAlignment="1">
      <alignment horizontal="center" vertical="center"/>
    </xf>
    <xf numFmtId="0" fontId="15" fillId="18" borderId="16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/>
    </xf>
    <xf numFmtId="0" fontId="127" fillId="0" borderId="22" xfId="0" applyFont="1" applyBorder="1" applyAlignment="1">
      <alignment horizontal="center" vertical="center"/>
    </xf>
    <xf numFmtId="0" fontId="127" fillId="0" borderId="24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7" fillId="18" borderId="22" xfId="0" applyFont="1" applyFill="1" applyBorder="1" applyAlignment="1">
      <alignment horizontal="center" vertical="center"/>
    </xf>
    <xf numFmtId="0" fontId="17" fillId="18" borderId="24" xfId="0" applyFont="1" applyFill="1" applyBorder="1" applyAlignment="1">
      <alignment horizontal="center" vertical="center"/>
    </xf>
    <xf numFmtId="0" fontId="17" fillId="18" borderId="25" xfId="0" applyFont="1" applyFill="1" applyBorder="1" applyAlignment="1">
      <alignment horizontal="center" vertical="center"/>
    </xf>
    <xf numFmtId="1" fontId="127" fillId="0" borderId="15" xfId="0" applyNumberFormat="1" applyFont="1" applyBorder="1" applyAlignment="1">
      <alignment horizontal="center" vertical="center"/>
    </xf>
    <xf numFmtId="0" fontId="127" fillId="0" borderId="16" xfId="0" applyFont="1" applyBorder="1" applyAlignment="1">
      <alignment horizontal="center" vertical="center"/>
    </xf>
    <xf numFmtId="0" fontId="127" fillId="0" borderId="17" xfId="0" applyFont="1" applyBorder="1" applyAlignment="1">
      <alignment horizontal="center" vertical="center"/>
    </xf>
    <xf numFmtId="1" fontId="127" fillId="61" borderId="16" xfId="0" applyNumberFormat="1" applyFont="1" applyFill="1" applyBorder="1" applyAlignment="1">
      <alignment horizontal="center" vertical="center"/>
    </xf>
    <xf numFmtId="0" fontId="127" fillId="61" borderId="17" xfId="0" applyFont="1" applyFill="1" applyBorder="1" applyAlignment="1">
      <alignment horizontal="center" vertical="center"/>
    </xf>
    <xf numFmtId="0" fontId="15" fillId="59" borderId="15" xfId="0" applyFont="1" applyFill="1" applyBorder="1" applyAlignment="1">
      <alignment horizontal="center" vertical="center"/>
    </xf>
    <xf numFmtId="0" fontId="15" fillId="59" borderId="16" xfId="0" applyFont="1" applyFill="1" applyBorder="1" applyAlignment="1">
      <alignment horizontal="center" vertical="center"/>
    </xf>
    <xf numFmtId="0" fontId="15" fillId="59" borderId="17" xfId="0" applyFont="1" applyFill="1" applyBorder="1" applyAlignment="1">
      <alignment horizontal="center" vertical="center"/>
    </xf>
    <xf numFmtId="0" fontId="128" fillId="59" borderId="22" xfId="0" applyFont="1" applyFill="1" applyBorder="1" applyAlignment="1">
      <alignment horizontal="center" vertical="center"/>
    </xf>
    <xf numFmtId="0" fontId="128" fillId="59" borderId="24" xfId="0" applyFont="1" applyFill="1" applyBorder="1" applyAlignment="1">
      <alignment horizontal="center" vertical="center"/>
    </xf>
    <xf numFmtId="0" fontId="128" fillId="59" borderId="25" xfId="0" applyFont="1" applyFill="1" applyBorder="1" applyAlignment="1">
      <alignment horizontal="center" vertical="center"/>
    </xf>
    <xf numFmtId="0" fontId="19" fillId="59" borderId="15" xfId="0" applyFont="1" applyFill="1" applyBorder="1" applyAlignment="1">
      <alignment horizontal="center" vertical="center"/>
    </xf>
    <xf numFmtId="0" fontId="19" fillId="59" borderId="16" xfId="0" applyFont="1" applyFill="1" applyBorder="1" applyAlignment="1">
      <alignment horizontal="center" vertical="center"/>
    </xf>
    <xf numFmtId="0" fontId="19" fillId="59" borderId="17" xfId="0" applyFont="1" applyFill="1" applyBorder="1" applyAlignment="1">
      <alignment horizontal="center" vertical="center"/>
    </xf>
    <xf numFmtId="0" fontId="19" fillId="59" borderId="11" xfId="0" applyFont="1" applyFill="1" applyBorder="1" applyAlignment="1">
      <alignment horizontal="center" vertical="center"/>
    </xf>
    <xf numFmtId="0" fontId="19" fillId="59" borderId="19" xfId="0" applyFont="1" applyFill="1" applyBorder="1" applyAlignment="1">
      <alignment horizontal="center" vertical="center"/>
    </xf>
    <xf numFmtId="0" fontId="19" fillId="59" borderId="20" xfId="0" applyFont="1" applyFill="1" applyBorder="1" applyAlignment="1">
      <alignment horizontal="center" vertical="center"/>
    </xf>
    <xf numFmtId="170" fontId="124" fillId="18" borderId="22" xfId="0" applyNumberFormat="1" applyFont="1" applyFill="1" applyBorder="1" applyAlignment="1">
      <alignment horizontal="center" vertical="center"/>
    </xf>
    <xf numFmtId="170" fontId="124" fillId="18" borderId="25" xfId="0" applyNumberFormat="1" applyFont="1" applyFill="1" applyBorder="1" applyAlignment="1">
      <alignment horizontal="center" vertical="center"/>
    </xf>
    <xf numFmtId="0" fontId="42" fillId="59" borderId="15" xfId="0" applyFont="1" applyFill="1" applyBorder="1" applyAlignment="1">
      <alignment horizontal="center" vertical="center" wrapText="1"/>
    </xf>
    <xf numFmtId="0" fontId="42" fillId="59" borderId="17" xfId="0" applyFont="1" applyFill="1" applyBorder="1" applyAlignment="1">
      <alignment horizontal="center" vertical="center" wrapText="1"/>
    </xf>
    <xf numFmtId="0" fontId="42" fillId="59" borderId="11" xfId="0" applyFont="1" applyFill="1" applyBorder="1" applyAlignment="1">
      <alignment horizontal="center" vertical="center" wrapText="1"/>
    </xf>
    <xf numFmtId="0" fontId="42" fillId="59" borderId="20" xfId="0" applyFont="1" applyFill="1" applyBorder="1" applyAlignment="1">
      <alignment horizontal="center" vertical="center" wrapText="1"/>
    </xf>
    <xf numFmtId="1" fontId="125" fillId="0" borderId="22" xfId="0" applyNumberFormat="1" applyFont="1" applyBorder="1" applyAlignment="1">
      <alignment horizontal="center" vertical="center" wrapText="1"/>
    </xf>
    <xf numFmtId="1" fontId="125" fillId="0" borderId="24" xfId="0" applyNumberFormat="1" applyFont="1" applyBorder="1" applyAlignment="1">
      <alignment horizontal="center" vertical="center" wrapText="1"/>
    </xf>
    <xf numFmtId="1" fontId="125" fillId="0" borderId="25" xfId="0" applyNumberFormat="1" applyFont="1" applyBorder="1" applyAlignment="1">
      <alignment horizontal="center" vertical="center" wrapText="1"/>
    </xf>
    <xf numFmtId="0" fontId="42" fillId="59" borderId="22" xfId="0" applyFont="1" applyFill="1" applyBorder="1" applyAlignment="1">
      <alignment horizontal="center" vertical="center" wrapText="1"/>
    </xf>
    <xf numFmtId="0" fontId="42" fillId="59" borderId="24" xfId="0" applyFont="1" applyFill="1" applyBorder="1" applyAlignment="1">
      <alignment horizontal="center" vertical="center" wrapText="1"/>
    </xf>
    <xf numFmtId="0" fontId="42" fillId="59" borderId="25" xfId="0" applyFont="1" applyFill="1" applyBorder="1" applyAlignment="1">
      <alignment horizontal="center" vertical="center" wrapText="1"/>
    </xf>
    <xf numFmtId="0" fontId="41" fillId="59" borderId="22" xfId="0" applyFont="1" applyFill="1" applyBorder="1" applyAlignment="1">
      <alignment horizontal="center" vertical="center" wrapText="1"/>
    </xf>
    <xf numFmtId="0" fontId="41" fillId="59" borderId="25" xfId="0" applyFont="1" applyFill="1" applyBorder="1" applyAlignment="1">
      <alignment horizontal="center" vertical="center" wrapText="1"/>
    </xf>
    <xf numFmtId="173" fontId="51" fillId="0" borderId="15" xfId="0" applyNumberFormat="1" applyFont="1" applyBorder="1" applyAlignment="1">
      <alignment horizontal="center" vertical="center"/>
    </xf>
    <xf numFmtId="173" fontId="51" fillId="0" borderId="16" xfId="0" applyNumberFormat="1" applyFont="1" applyBorder="1" applyAlignment="1">
      <alignment horizontal="center" vertical="center"/>
    </xf>
    <xf numFmtId="173" fontId="51" fillId="0" borderId="17" xfId="0" applyNumberFormat="1" applyFont="1" applyBorder="1" applyAlignment="1">
      <alignment horizontal="center" vertical="center"/>
    </xf>
    <xf numFmtId="173" fontId="51" fillId="0" borderId="11" xfId="0" applyNumberFormat="1" applyFont="1" applyBorder="1" applyAlignment="1">
      <alignment horizontal="center" vertical="center"/>
    </xf>
    <xf numFmtId="173" fontId="51" fillId="0" borderId="19" xfId="0" applyNumberFormat="1" applyFont="1" applyBorder="1" applyAlignment="1">
      <alignment horizontal="center" vertical="center"/>
    </xf>
    <xf numFmtId="173" fontId="51" fillId="0" borderId="20" xfId="0" applyNumberFormat="1" applyFont="1" applyBorder="1" applyAlignment="1">
      <alignment horizontal="center" vertical="center"/>
    </xf>
    <xf numFmtId="0" fontId="42" fillId="40" borderId="26" xfId="0" applyFont="1" applyFill="1" applyBorder="1" applyAlignment="1">
      <alignment horizontal="center" vertical="center" wrapText="1"/>
    </xf>
    <xf numFmtId="0" fontId="15" fillId="58" borderId="26" xfId="0" applyFont="1" applyFill="1" applyBorder="1" applyAlignment="1">
      <alignment horizontal="center" vertical="center" wrapText="1"/>
    </xf>
    <xf numFmtId="0" fontId="42" fillId="61" borderId="28" xfId="0" applyFont="1" applyFill="1" applyBorder="1" applyAlignment="1">
      <alignment horizontal="center" vertical="center" wrapText="1"/>
    </xf>
    <xf numFmtId="0" fontId="42" fillId="61" borderId="29" xfId="0" applyFont="1" applyFill="1" applyBorder="1" applyAlignment="1">
      <alignment horizontal="center" vertical="center" wrapText="1"/>
    </xf>
    <xf numFmtId="0" fontId="125" fillId="58" borderId="22" xfId="0" applyFont="1" applyFill="1" applyBorder="1" applyAlignment="1">
      <alignment horizontal="center" vertical="center" wrapText="1"/>
    </xf>
    <xf numFmtId="0" fontId="125" fillId="58" borderId="25" xfId="0" applyFont="1" applyFill="1" applyBorder="1" applyAlignment="1">
      <alignment horizontal="center" vertical="center" wrapText="1"/>
    </xf>
    <xf numFmtId="170" fontId="124" fillId="58" borderId="22" xfId="0" applyNumberFormat="1" applyFont="1" applyFill="1" applyBorder="1" applyAlignment="1">
      <alignment horizontal="center" vertical="center"/>
    </xf>
    <xf numFmtId="170" fontId="124" fillId="58" borderId="25" xfId="0" applyNumberFormat="1" applyFont="1" applyFill="1" applyBorder="1" applyAlignment="1">
      <alignment horizontal="center" vertical="center"/>
    </xf>
    <xf numFmtId="172" fontId="19" fillId="18" borderId="22" xfId="0" applyNumberFormat="1" applyFont="1" applyFill="1" applyBorder="1" applyAlignment="1">
      <alignment horizontal="center" vertical="center"/>
    </xf>
    <xf numFmtId="172" fontId="19" fillId="18" borderId="24" xfId="0" applyNumberFormat="1" applyFont="1" applyFill="1" applyBorder="1" applyAlignment="1">
      <alignment horizontal="center" vertical="center"/>
    </xf>
    <xf numFmtId="172" fontId="19" fillId="18" borderId="25" xfId="0" applyNumberFormat="1" applyFont="1" applyFill="1" applyBorder="1" applyAlignment="1">
      <alignment horizontal="center" vertical="center"/>
    </xf>
    <xf numFmtId="2" fontId="51" fillId="0" borderId="22" xfId="0" applyNumberFormat="1" applyFont="1" applyBorder="1" applyAlignment="1">
      <alignment horizontal="center" vertical="center"/>
    </xf>
    <xf numFmtId="2" fontId="51" fillId="0" borderId="24" xfId="0" applyNumberFormat="1" applyFont="1" applyBorder="1" applyAlignment="1">
      <alignment horizontal="center" vertical="center"/>
    </xf>
    <xf numFmtId="2" fontId="51" fillId="0" borderId="25" xfId="0" applyNumberFormat="1" applyFont="1" applyBorder="1" applyAlignment="1">
      <alignment horizontal="center" vertical="center"/>
    </xf>
    <xf numFmtId="172" fontId="13" fillId="0" borderId="22" xfId="0" applyNumberFormat="1" applyFont="1" applyFill="1" applyBorder="1" applyAlignment="1">
      <alignment horizontal="center"/>
    </xf>
    <xf numFmtId="172" fontId="13" fillId="0" borderId="24" xfId="0" applyNumberFormat="1" applyFont="1" applyFill="1" applyBorder="1" applyAlignment="1">
      <alignment horizontal="center"/>
    </xf>
    <xf numFmtId="172" fontId="13" fillId="0" borderId="25" xfId="0" applyNumberFormat="1" applyFont="1" applyFill="1" applyBorder="1" applyAlignment="1">
      <alignment horizontal="center"/>
    </xf>
    <xf numFmtId="172" fontId="15" fillId="59" borderId="69" xfId="0" applyNumberFormat="1" applyFont="1" applyFill="1" applyBorder="1" applyAlignment="1">
      <alignment horizontal="center" vertical="center"/>
    </xf>
    <xf numFmtId="172" fontId="15" fillId="59" borderId="70" xfId="0" applyNumberFormat="1" applyFont="1" applyFill="1" applyBorder="1" applyAlignment="1">
      <alignment horizontal="center" vertical="center"/>
    </xf>
    <xf numFmtId="172" fontId="15" fillId="59" borderId="71" xfId="0" applyNumberFormat="1" applyFont="1" applyFill="1" applyBorder="1" applyAlignment="1">
      <alignment horizontal="center" vertical="center"/>
    </xf>
    <xf numFmtId="172" fontId="42" fillId="58" borderId="72" xfId="0" applyNumberFormat="1" applyFont="1" applyFill="1" applyBorder="1" applyAlignment="1">
      <alignment horizontal="center" vertical="center"/>
    </xf>
    <xf numFmtId="172" fontId="42" fillId="58" borderId="0" xfId="0" applyNumberFormat="1" applyFont="1" applyFill="1" applyBorder="1" applyAlignment="1">
      <alignment horizontal="center" vertical="center"/>
    </xf>
    <xf numFmtId="172" fontId="42" fillId="58" borderId="73" xfId="0" applyNumberFormat="1" applyFont="1" applyFill="1" applyBorder="1" applyAlignment="1">
      <alignment horizontal="center" vertical="center"/>
    </xf>
    <xf numFmtId="172" fontId="15" fillId="5" borderId="69" xfId="0" applyNumberFormat="1" applyFont="1" applyFill="1" applyBorder="1" applyAlignment="1">
      <alignment horizontal="center" vertical="center"/>
    </xf>
    <xf numFmtId="172" fontId="15" fillId="5" borderId="70" xfId="0" applyNumberFormat="1" applyFont="1" applyFill="1" applyBorder="1" applyAlignment="1">
      <alignment horizontal="center" vertical="center"/>
    </xf>
    <xf numFmtId="172" fontId="15" fillId="5" borderId="71" xfId="0" applyNumberFormat="1" applyFont="1" applyFill="1" applyBorder="1" applyAlignment="1">
      <alignment horizontal="center" vertical="center"/>
    </xf>
    <xf numFmtId="0" fontId="20" fillId="58" borderId="2" xfId="0" applyFont="1" applyFill="1" applyBorder="1" applyAlignment="1">
      <alignment horizontal="center" vertical="center"/>
    </xf>
    <xf numFmtId="0" fontId="20" fillId="58" borderId="3" xfId="0" applyFont="1" applyFill="1" applyBorder="1" applyAlignment="1">
      <alignment horizontal="center" vertical="center"/>
    </xf>
    <xf numFmtId="1" fontId="20" fillId="0" borderId="2" xfId="0" applyNumberFormat="1" applyFont="1" applyBorder="1" applyAlignment="1">
      <alignment horizontal="center" vertical="center"/>
    </xf>
    <xf numFmtId="1" fontId="20" fillId="0" borderId="3" xfId="0" applyNumberFormat="1" applyFont="1" applyBorder="1" applyAlignment="1">
      <alignment horizontal="center" vertical="center"/>
    </xf>
    <xf numFmtId="1" fontId="20" fillId="11" borderId="2" xfId="0" applyNumberFormat="1" applyFont="1" applyFill="1" applyBorder="1" applyAlignment="1">
      <alignment horizontal="center" vertical="center"/>
    </xf>
    <xf numFmtId="1" fontId="20" fillId="11" borderId="3" xfId="0" applyNumberFormat="1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/>
    </xf>
    <xf numFmtId="14" fontId="131" fillId="58" borderId="1" xfId="0" applyNumberFormat="1" applyFont="1" applyFill="1" applyBorder="1" applyAlignment="1">
      <alignment horizontal="center" vertical="center"/>
    </xf>
    <xf numFmtId="0" fontId="131" fillId="58" borderId="1" xfId="0" applyFont="1" applyFill="1" applyBorder="1" applyAlignment="1">
      <alignment horizontal="center" vertical="center"/>
    </xf>
    <xf numFmtId="0" fontId="44" fillId="58" borderId="1" xfId="0" applyFont="1" applyFill="1" applyBorder="1" applyAlignment="1">
      <alignment horizontal="center" vertical="center" wrapText="1"/>
    </xf>
    <xf numFmtId="0" fontId="44" fillId="58" borderId="2" xfId="0" applyFont="1" applyFill="1" applyBorder="1" applyAlignment="1">
      <alignment horizontal="center" vertical="center" wrapText="1"/>
    </xf>
    <xf numFmtId="0" fontId="44" fillId="58" borderId="3" xfId="0" applyFont="1" applyFill="1" applyBorder="1" applyAlignment="1">
      <alignment horizontal="center" vertical="center" wrapText="1"/>
    </xf>
  </cellXfs>
  <cellStyles count="2">
    <cellStyle name="Денежный" xfId="1" builtinId="4"/>
    <cellStyle name="Обычный" xfId="0" builtinId="0"/>
  </cellStyles>
  <dxfs count="1482">
    <dxf>
      <font>
        <color auto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5" tint="-0.499984740745262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theme="5" tint="-0.499984740745262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CCFFCC"/>
      </font>
      <fill>
        <patternFill>
          <bgColor rgb="FF00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gradientFill degree="90">
          <stop position="0">
            <color theme="1" tint="0.34900967436750391"/>
          </stop>
          <stop position="1">
            <color theme="1" tint="5.0965910824915313E-2"/>
          </stop>
        </gradient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C66"/>
      <color rgb="FF34EB15"/>
      <color rgb="FF80F36D"/>
      <color rgb="FFFFFF99"/>
      <color rgb="FF4D2403"/>
      <color rgb="FF16EA20"/>
      <color rgb="FF0293DC"/>
      <color rgb="FF006600"/>
      <color rgb="FF1A1300"/>
      <color rgb="FF000C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DC1135"/>
  <sheetViews>
    <sheetView tabSelected="1" zoomScaleSheetLayoutView="100" workbookViewId="0">
      <pane ySplit="2" topLeftCell="A492" activePane="bottomLeft" state="frozen"/>
      <selection pane="bottomLeft" activeCell="K500" sqref="K500"/>
    </sheetView>
  </sheetViews>
  <sheetFormatPr defaultRowHeight="15.75" x14ac:dyDescent="0.25"/>
  <cols>
    <col min="1" max="1" width="3.85546875" style="876" customWidth="1"/>
    <col min="2" max="2" width="9.85546875" style="877" customWidth="1"/>
    <col min="3" max="3" width="6.42578125" style="878" customWidth="1"/>
    <col min="4" max="4" width="15.7109375" style="879" customWidth="1"/>
    <col min="5" max="5" width="12.85546875" style="880" customWidth="1"/>
    <col min="6" max="6" width="8.85546875" style="881" customWidth="1"/>
    <col min="7" max="7" width="8.85546875" style="882" customWidth="1"/>
    <col min="8" max="8" width="21.42578125" style="883" customWidth="1"/>
    <col min="9" max="9" width="11.42578125" style="884" customWidth="1"/>
    <col min="10" max="11" width="9.5703125" style="885" customWidth="1"/>
    <col min="12" max="12" width="9.5703125" style="886" customWidth="1"/>
    <col min="13" max="13" width="11.7109375" style="887" customWidth="1"/>
    <col min="14" max="14" width="11.28515625" style="888" customWidth="1"/>
    <col min="15" max="15" width="8.85546875" style="889" customWidth="1"/>
    <col min="16" max="16" width="7" style="889" customWidth="1"/>
    <col min="17" max="17" width="18.7109375" style="881" customWidth="1"/>
    <col min="18" max="18" width="12" style="881" customWidth="1"/>
    <col min="19" max="19" width="12.7109375" style="890" customWidth="1"/>
    <col min="20" max="20" width="11.5703125" style="884" customWidth="1"/>
    <col min="21" max="21" width="12.140625" style="884" customWidth="1"/>
    <col min="22" max="22" width="10.7109375" style="889" customWidth="1"/>
    <col min="23" max="23" width="6.7109375" style="881" customWidth="1"/>
    <col min="24" max="24" width="8.7109375" style="880" customWidth="1"/>
    <col min="25" max="25" width="5.5703125" style="880" customWidth="1"/>
    <col min="26" max="26" width="15.28515625" style="891" customWidth="1"/>
    <col min="27" max="27" width="10.28515625" style="880" customWidth="1"/>
    <col min="28" max="28" width="5.5703125" style="889" customWidth="1"/>
    <col min="29" max="30" width="10.7109375" style="884" customWidth="1"/>
    <col min="31" max="31" width="12.7109375" style="880" customWidth="1"/>
    <col min="32" max="32" width="10.7109375" style="884" customWidth="1"/>
    <col min="33" max="33" width="10.7109375" style="892" customWidth="1"/>
    <col min="34" max="34" width="10.7109375" style="890" customWidth="1"/>
    <col min="35" max="35" width="10.85546875" style="890" customWidth="1"/>
    <col min="36" max="36" width="11.42578125" style="890" customWidth="1"/>
    <col min="37" max="37" width="11.140625" style="890" customWidth="1"/>
    <col min="38" max="38" width="10.42578125" style="890" customWidth="1"/>
    <col min="39" max="39" width="11.85546875" style="890" customWidth="1"/>
    <col min="40" max="40" width="11.85546875" style="893" customWidth="1"/>
    <col min="41" max="41" width="5.7109375" style="880" customWidth="1"/>
    <col min="42" max="43" width="15.7109375" style="894" customWidth="1"/>
    <col min="44" max="44" width="14.7109375" style="880" customWidth="1"/>
    <col min="45" max="45" width="14.7109375" style="895" customWidth="1"/>
    <col min="46" max="46" width="22" style="880" customWidth="1"/>
    <col min="47" max="47" width="6.7109375" style="896" customWidth="1"/>
    <col min="48" max="48" width="12.28515625" style="896" customWidth="1"/>
    <col min="49" max="50" width="9" style="897" customWidth="1"/>
    <col min="51" max="51" width="7.7109375" style="970" customWidth="1"/>
    <col min="52" max="52" width="14.7109375" style="896" customWidth="1"/>
    <col min="53" max="53" width="12.7109375" style="972" customWidth="1"/>
    <col min="54" max="54" width="10.7109375" style="968" customWidth="1"/>
    <col min="55" max="56" width="9" style="897" customWidth="1"/>
    <col min="57" max="57" width="7.7109375" style="896" customWidth="1"/>
    <col min="58" max="58" width="12.7109375" style="985" customWidth="1"/>
    <col min="59" max="59" width="20.7109375" style="989" customWidth="1"/>
    <col min="60" max="60" width="16.7109375" style="896" customWidth="1"/>
    <col min="61" max="62" width="7.7109375" style="992" customWidth="1"/>
    <col min="63" max="63" width="7.7109375" style="970" customWidth="1"/>
    <col min="64" max="64" width="12.28515625" style="896" customWidth="1"/>
    <col min="65" max="65" width="9" style="897" customWidth="1"/>
    <col min="66" max="66" width="7.7109375" style="896" customWidth="1"/>
    <col min="67" max="67" width="7.7109375" style="898" customWidth="1"/>
    <col min="68" max="68" width="12.28515625" style="899" customWidth="1"/>
    <col min="69" max="69" width="9" style="897" customWidth="1"/>
    <col min="70" max="70" width="7.7109375" style="896" customWidth="1"/>
    <col min="71" max="71" width="7.7109375" style="898" customWidth="1"/>
    <col min="72" max="72" width="16.7109375" style="899" customWidth="1"/>
    <col min="73" max="73" width="14" style="896" customWidth="1"/>
    <col min="74" max="74" width="9.140625" style="897" customWidth="1"/>
    <col min="75" max="75" width="21" style="900" customWidth="1"/>
    <col min="76" max="76" width="9.140625" style="896" customWidth="1"/>
    <col min="77" max="77" width="20.7109375" style="901" customWidth="1"/>
    <col min="78" max="78" width="12.7109375" style="902" customWidth="1"/>
    <col min="79" max="79" width="6.7109375" style="903" customWidth="1"/>
    <col min="80" max="80" width="9.140625" style="904" customWidth="1"/>
    <col min="81" max="81" width="20.7109375" style="905" customWidth="1"/>
    <col min="82" max="82" width="12.7109375" style="906" customWidth="1"/>
    <col min="83" max="83" width="12.7109375" style="902" customWidth="1"/>
    <col min="84" max="84" width="6.7109375" style="903" customWidth="1"/>
    <col min="85" max="85" width="9.140625" style="904" customWidth="1"/>
    <col min="86" max="86" width="6.7109375" style="904" customWidth="1"/>
    <col min="87" max="87" width="18.7109375" style="907" customWidth="1"/>
    <col min="88" max="88" width="20.7109375" style="908" customWidth="1"/>
    <col min="89" max="89" width="12.7109375" style="864" customWidth="1"/>
    <col min="90" max="90" width="6.7109375" style="903" customWidth="1"/>
    <col min="91" max="91" width="9.140625" style="904" customWidth="1"/>
    <col min="92" max="92" width="20.7109375" style="908" customWidth="1"/>
    <col min="93" max="93" width="20.7109375" style="901" customWidth="1"/>
    <col min="94" max="94" width="12.7109375" style="902" customWidth="1"/>
    <col min="95" max="95" width="6.7109375" style="903" customWidth="1"/>
    <col min="96" max="96" width="10.7109375" style="904" customWidth="1"/>
    <col min="97" max="97" width="9.140625" style="904" customWidth="1"/>
    <col min="98" max="98" width="20.7109375" style="905" customWidth="1"/>
    <col min="99" max="99" width="12.7109375" style="906" customWidth="1"/>
    <col min="100" max="100" width="12.7109375" style="902" customWidth="1"/>
    <col min="101" max="101" width="6.7109375" style="903" customWidth="1"/>
    <col min="102" max="102" width="6.7109375" style="904" customWidth="1"/>
    <col min="103" max="103" width="18.7109375" style="907" customWidth="1"/>
    <col min="104" max="104" width="10.7109375" style="904" customWidth="1"/>
    <col min="105" max="105" width="20.7109375" style="908" customWidth="1"/>
    <col min="106" max="106" width="9.140625" style="864" customWidth="1"/>
    <col min="107" max="107" width="6.7109375" style="903" customWidth="1"/>
    <col min="108" max="108" width="9.140625" style="864" customWidth="1"/>
    <col min="109" max="16384" width="9.140625" style="864"/>
  </cols>
  <sheetData>
    <row r="1" spans="1:107" s="728" customFormat="1" ht="24.95" customHeight="1" thickBot="1" x14ac:dyDescent="0.25">
      <c r="A1" s="702"/>
      <c r="B1" s="703" t="s">
        <v>1485</v>
      </c>
      <c r="C1" s="704"/>
      <c r="D1" s="705"/>
      <c r="E1" s="705"/>
      <c r="F1" s="705"/>
      <c r="G1" s="706" t="s">
        <v>2013</v>
      </c>
      <c r="H1" s="707"/>
      <c r="I1" s="708" t="s">
        <v>619</v>
      </c>
      <c r="J1" s="709"/>
      <c r="K1" s="709"/>
      <c r="L1" s="710"/>
      <c r="M1" s="711" t="s">
        <v>0</v>
      </c>
      <c r="N1" s="708" t="s">
        <v>1</v>
      </c>
      <c r="O1" s="705"/>
      <c r="P1" s="705"/>
      <c r="Q1" s="712"/>
      <c r="R1" s="712"/>
      <c r="S1" s="713"/>
      <c r="T1" s="714" t="s">
        <v>2</v>
      </c>
      <c r="U1" s="715"/>
      <c r="V1" s="716"/>
      <c r="W1" s="716" t="s">
        <v>3</v>
      </c>
      <c r="X1" s="716" t="s">
        <v>4</v>
      </c>
      <c r="Y1" s="716" t="s">
        <v>5</v>
      </c>
      <c r="Z1" s="717">
        <f ca="1">COUNTIF(Z3:Z5802,"ПОДЛЕЖИТ ПЕРЕПРОВЕРКЕ")</f>
        <v>189</v>
      </c>
      <c r="AA1" s="718"/>
      <c r="AB1" s="718"/>
      <c r="AC1" s="719"/>
      <c r="AD1" s="719"/>
      <c r="AE1" s="716"/>
      <c r="AF1" s="714" t="s">
        <v>6</v>
      </c>
      <c r="AG1" s="720"/>
      <c r="AH1" s="714"/>
      <c r="AI1" s="721"/>
      <c r="AJ1" s="714"/>
      <c r="AK1" s="714"/>
      <c r="AL1" s="714"/>
      <c r="AM1" s="714" t="s">
        <v>7</v>
      </c>
      <c r="AN1" s="720"/>
      <c r="AO1" s="716" t="s">
        <v>8</v>
      </c>
      <c r="AP1" s="722"/>
      <c r="AQ1" s="722"/>
      <c r="AR1" s="716"/>
      <c r="AS1" s="723"/>
      <c r="AT1" s="716"/>
      <c r="AU1" s="724"/>
      <c r="AV1" s="976">
        <f>COUNTIFS(AV3:AV4888,"&gt;0",AX3:AX4888,"&gt;0",AW3:AW4888,"&gt;0")</f>
        <v>68</v>
      </c>
      <c r="AW1" s="977" t="s">
        <v>3345</v>
      </c>
      <c r="AX1" s="1000" t="s">
        <v>3342</v>
      </c>
      <c r="AY1" s="1001"/>
      <c r="AZ1" s="978">
        <f ca="1">COUNTIF(AZ3:AZ4888,"РЕВАКЦИНАЦИЯ")</f>
        <v>0</v>
      </c>
      <c r="BA1" s="979" t="s">
        <v>3346</v>
      </c>
      <c r="BB1" s="1002" t="s">
        <v>3342</v>
      </c>
      <c r="BC1" s="1000"/>
      <c r="BD1" s="1000"/>
      <c r="BE1" s="1001"/>
      <c r="BF1" s="1023" t="s">
        <v>3351</v>
      </c>
      <c r="BG1" s="1024"/>
      <c r="BH1" s="1024"/>
      <c r="BI1" s="1024"/>
      <c r="BJ1" s="1024"/>
      <c r="BK1" s="1025"/>
      <c r="BL1" s="725">
        <f>COUNTIFS(BL3:BL4888,"&gt;0",BM3:BM4888,"=5")</f>
        <v>864</v>
      </c>
      <c r="BM1" s="1003" t="s">
        <v>3108</v>
      </c>
      <c r="BN1" s="1004"/>
      <c r="BO1" s="1005"/>
      <c r="BP1" s="725">
        <f>COUNTIFS(BP3:BP4888,"&gt;0",BQ3:BQ4888,"=2")</f>
        <v>278</v>
      </c>
      <c r="BQ1" s="1020" t="s">
        <v>3181</v>
      </c>
      <c r="BR1" s="1021"/>
      <c r="BS1" s="1022"/>
      <c r="BT1" s="717">
        <f ca="1">COUNTIF(BT3:BT5802,"ПОДЛЕЖИТ ВАКЦИНАЦИИ")</f>
        <v>0</v>
      </c>
      <c r="BU1" s="1009" t="s">
        <v>2773</v>
      </c>
      <c r="BV1" s="1009"/>
      <c r="BW1" s="1009"/>
      <c r="BX1" s="1009"/>
      <c r="BY1" s="717">
        <f ca="1">COUNTIF(BY3:BY5802,"ПОДЛЕЖИТ ВАКЦИНАЦИИ")</f>
        <v>31</v>
      </c>
      <c r="BZ1" s="1010" t="s">
        <v>2838</v>
      </c>
      <c r="CA1" s="1011"/>
      <c r="CB1" s="1012"/>
      <c r="CC1" s="726">
        <f ca="1">COUNTIF(CC3:CC5802,"ТРЕБУЕТСЯ БУСТЕРНАЯ ДОЗА")</f>
        <v>30</v>
      </c>
      <c r="CD1" s="1013" t="s">
        <v>2839</v>
      </c>
      <c r="CE1" s="1014"/>
      <c r="CF1" s="1014"/>
      <c r="CG1" s="1014"/>
      <c r="CH1" s="1014"/>
      <c r="CI1" s="1015"/>
      <c r="CJ1" s="1019">
        <f ca="1">COUNTIF(CJ3:CJ5802,"НЕОБХОДИМА РЕВАКЦИНАЦИЯ")</f>
        <v>0</v>
      </c>
      <c r="CK1" s="1007"/>
      <c r="CL1" s="1007"/>
      <c r="CM1" s="1008"/>
      <c r="CN1" s="726">
        <f>COUNTIF(CN3:CN5802,"ТРЕБУЕТСЯ БУСТЕРНАЯ ДОЗА")</f>
        <v>0</v>
      </c>
      <c r="CO1" s="727">
        <f ca="1">COUNTIF(CO3:CO5802,"ТРЕБУЕТСЯ ВАКЦИНАЦИЯ")</f>
        <v>214</v>
      </c>
      <c r="CP1" s="1016" t="s">
        <v>2840</v>
      </c>
      <c r="CQ1" s="1017"/>
      <c r="CR1" s="1017"/>
      <c r="CS1" s="1017"/>
      <c r="CT1" s="727">
        <f ca="1">COUNTIF(CT3:CT5802,"ТРЕБУЕТСЯ БУСТЕРНАЯ ДОЗА")</f>
        <v>31</v>
      </c>
      <c r="CU1" s="1016" t="s">
        <v>2841</v>
      </c>
      <c r="CV1" s="1017"/>
      <c r="CW1" s="1017"/>
      <c r="CX1" s="1017"/>
      <c r="CY1" s="1017"/>
      <c r="CZ1" s="1018"/>
      <c r="DA1" s="1006">
        <f ca="1">COUNTIF(DA3:DA5802,"ТРЕБУЕТСЯ РЕВАКЦИНАЦИЯ")</f>
        <v>62</v>
      </c>
      <c r="DB1" s="1007"/>
      <c r="DC1" s="1008"/>
    </row>
    <row r="2" spans="1:107" s="789" customFormat="1" ht="54.95" customHeight="1" thickBot="1" x14ac:dyDescent="0.25">
      <c r="A2" s="729" t="s">
        <v>18</v>
      </c>
      <c r="B2" s="730" t="s">
        <v>22</v>
      </c>
      <c r="C2" s="731" t="s">
        <v>21</v>
      </c>
      <c r="D2" s="732" t="s">
        <v>19</v>
      </c>
      <c r="E2" s="732" t="s">
        <v>20</v>
      </c>
      <c r="F2" s="733" t="s">
        <v>9</v>
      </c>
      <c r="G2" s="734" t="s">
        <v>2842</v>
      </c>
      <c r="H2" s="735" t="s">
        <v>17</v>
      </c>
      <c r="I2" s="736" t="s">
        <v>10</v>
      </c>
      <c r="J2" s="737" t="s">
        <v>2534</v>
      </c>
      <c r="K2" s="737" t="s">
        <v>2535</v>
      </c>
      <c r="L2" s="738" t="s">
        <v>2536</v>
      </c>
      <c r="M2" s="711" t="s">
        <v>77</v>
      </c>
      <c r="N2" s="736" t="s">
        <v>16</v>
      </c>
      <c r="O2" s="739" t="s">
        <v>606</v>
      </c>
      <c r="P2" s="733" t="s">
        <v>604</v>
      </c>
      <c r="Q2" s="740" t="s">
        <v>1447</v>
      </c>
      <c r="R2" s="741" t="s">
        <v>1457</v>
      </c>
      <c r="S2" s="742" t="s">
        <v>1459</v>
      </c>
      <c r="T2" s="743" t="s">
        <v>1460</v>
      </c>
      <c r="U2" s="744" t="s">
        <v>25</v>
      </c>
      <c r="V2" s="745" t="s">
        <v>24</v>
      </c>
      <c r="W2" s="746" t="s">
        <v>12</v>
      </c>
      <c r="X2" s="746" t="s">
        <v>13</v>
      </c>
      <c r="Y2" s="746" t="s">
        <v>11</v>
      </c>
      <c r="Z2" s="747" t="s">
        <v>2877</v>
      </c>
      <c r="AA2" s="748" t="s">
        <v>2878</v>
      </c>
      <c r="AB2" s="749" t="s">
        <v>3188</v>
      </c>
      <c r="AC2" s="750" t="s">
        <v>1376</v>
      </c>
      <c r="AD2" s="750" t="s">
        <v>2879</v>
      </c>
      <c r="AE2" s="745" t="s">
        <v>2017</v>
      </c>
      <c r="AF2" s="751" t="s">
        <v>1376</v>
      </c>
      <c r="AG2" s="752" t="s">
        <v>1534</v>
      </c>
      <c r="AH2" s="753" t="s">
        <v>26</v>
      </c>
      <c r="AI2" s="736" t="s">
        <v>2763</v>
      </c>
      <c r="AJ2" s="754" t="s">
        <v>800</v>
      </c>
      <c r="AK2" s="742" t="s">
        <v>799</v>
      </c>
      <c r="AL2" s="736" t="s">
        <v>1381</v>
      </c>
      <c r="AM2" s="755" t="s">
        <v>15</v>
      </c>
      <c r="AN2" s="752" t="s">
        <v>1533</v>
      </c>
      <c r="AO2" s="732" t="s">
        <v>14</v>
      </c>
      <c r="AP2" s="756" t="s">
        <v>3189</v>
      </c>
      <c r="AQ2" s="756" t="s">
        <v>3190</v>
      </c>
      <c r="AR2" s="745" t="s">
        <v>2016</v>
      </c>
      <c r="AS2" s="757" t="s">
        <v>2412</v>
      </c>
      <c r="AT2" s="745" t="s">
        <v>2068</v>
      </c>
      <c r="AU2" s="758" t="s">
        <v>2632</v>
      </c>
      <c r="AV2" s="961" t="s">
        <v>3104</v>
      </c>
      <c r="AW2" s="962" t="s">
        <v>3343</v>
      </c>
      <c r="AX2" s="961" t="s">
        <v>3105</v>
      </c>
      <c r="AY2" s="962" t="s">
        <v>3106</v>
      </c>
      <c r="AZ2" s="965" t="s">
        <v>2831</v>
      </c>
      <c r="BA2" s="967" t="s">
        <v>3344</v>
      </c>
      <c r="BB2" s="973" t="s">
        <v>3104</v>
      </c>
      <c r="BC2" s="962" t="s">
        <v>3343</v>
      </c>
      <c r="BD2" s="961" t="s">
        <v>3105</v>
      </c>
      <c r="BE2" s="961" t="s">
        <v>3106</v>
      </c>
      <c r="BF2" s="983" t="s">
        <v>3352</v>
      </c>
      <c r="BG2" s="987" t="s">
        <v>3348</v>
      </c>
      <c r="BH2" s="980" t="s">
        <v>3349</v>
      </c>
      <c r="BI2" s="990" t="s">
        <v>2769</v>
      </c>
      <c r="BJ2" s="990" t="s">
        <v>3355</v>
      </c>
      <c r="BK2" s="981" t="s">
        <v>3350</v>
      </c>
      <c r="BL2" s="759" t="s">
        <v>3104</v>
      </c>
      <c r="BM2" s="760" t="s">
        <v>3105</v>
      </c>
      <c r="BN2" s="761" t="s">
        <v>3106</v>
      </c>
      <c r="BO2" s="762" t="s">
        <v>3107</v>
      </c>
      <c r="BP2" s="763" t="s">
        <v>3104</v>
      </c>
      <c r="BQ2" s="764" t="s">
        <v>3105</v>
      </c>
      <c r="BR2" s="765" t="s">
        <v>3106</v>
      </c>
      <c r="BS2" s="766" t="s">
        <v>3107</v>
      </c>
      <c r="BT2" s="767" t="s">
        <v>2765</v>
      </c>
      <c r="BU2" s="768" t="s">
        <v>2757</v>
      </c>
      <c r="BV2" s="769" t="s">
        <v>2764</v>
      </c>
      <c r="BW2" s="768" t="s">
        <v>2766</v>
      </c>
      <c r="BX2" s="770" t="s">
        <v>2758</v>
      </c>
      <c r="BY2" s="964" t="s">
        <v>2830</v>
      </c>
      <c r="BZ2" s="772" t="s">
        <v>2768</v>
      </c>
      <c r="CA2" s="773" t="s">
        <v>2769</v>
      </c>
      <c r="CB2" s="774" t="s">
        <v>2758</v>
      </c>
      <c r="CC2" s="771" t="s">
        <v>2771</v>
      </c>
      <c r="CD2" s="775" t="s">
        <v>2774</v>
      </c>
      <c r="CE2" s="772" t="s">
        <v>2768</v>
      </c>
      <c r="CF2" s="773" t="s">
        <v>2769</v>
      </c>
      <c r="CG2" s="774" t="s">
        <v>2758</v>
      </c>
      <c r="CH2" s="776" t="s">
        <v>2775</v>
      </c>
      <c r="CI2" s="777" t="s">
        <v>2776</v>
      </c>
      <c r="CJ2" s="778" t="s">
        <v>2831</v>
      </c>
      <c r="CK2" s="778" t="s">
        <v>2768</v>
      </c>
      <c r="CL2" s="779" t="s">
        <v>2769</v>
      </c>
      <c r="CM2" s="774" t="s">
        <v>2758</v>
      </c>
      <c r="CN2" s="778" t="s">
        <v>2831</v>
      </c>
      <c r="CO2" s="780" t="s">
        <v>2767</v>
      </c>
      <c r="CP2" s="781" t="s">
        <v>2768</v>
      </c>
      <c r="CQ2" s="782" t="s">
        <v>2769</v>
      </c>
      <c r="CR2" s="781" t="s">
        <v>2770</v>
      </c>
      <c r="CS2" s="783" t="s">
        <v>2758</v>
      </c>
      <c r="CT2" s="780" t="s">
        <v>2771</v>
      </c>
      <c r="CU2" s="784" t="s">
        <v>2774</v>
      </c>
      <c r="CV2" s="781" t="s">
        <v>2768</v>
      </c>
      <c r="CW2" s="782" t="s">
        <v>2769</v>
      </c>
      <c r="CX2" s="785" t="s">
        <v>2775</v>
      </c>
      <c r="CY2" s="777" t="s">
        <v>2776</v>
      </c>
      <c r="CZ2" s="783" t="s">
        <v>2770</v>
      </c>
      <c r="DA2" s="786" t="s">
        <v>2772</v>
      </c>
      <c r="DB2" s="787" t="s">
        <v>2768</v>
      </c>
      <c r="DC2" s="788" t="s">
        <v>2769</v>
      </c>
    </row>
    <row r="3" spans="1:107" s="842" customFormat="1" ht="15.95" customHeight="1" x14ac:dyDescent="0.25">
      <c r="A3" s="790">
        <v>1</v>
      </c>
      <c r="B3" s="791">
        <f t="shared" ref="B3:B66" ca="1" si="0">TODAY()</f>
        <v>43134</v>
      </c>
      <c r="C3" s="792" t="s">
        <v>614</v>
      </c>
      <c r="D3" s="793" t="s">
        <v>3201</v>
      </c>
      <c r="E3" s="794" t="s">
        <v>95</v>
      </c>
      <c r="F3" s="795" t="s">
        <v>97</v>
      </c>
      <c r="G3" s="796">
        <f>SUMIFS(МОЛОКО!L8:L6958,МОЛОКО!F8:F6958,"58",МОЛОКО!L8:L6958,"&gt;0")</f>
        <v>28.6</v>
      </c>
      <c r="H3" s="797" t="s">
        <v>603</v>
      </c>
      <c r="I3" s="798">
        <v>40483</v>
      </c>
      <c r="J3" s="799">
        <f t="shared" ref="J3:J66" ca="1" si="1">(B3-I3)/365</f>
        <v>7.2630136986301368</v>
      </c>
      <c r="K3" s="799">
        <f t="shared" ref="K3:K66" ca="1" si="2">(B3-I3)/30</f>
        <v>88.36666666666666</v>
      </c>
      <c r="L3" s="800">
        <f t="shared" ref="L3:L66" ca="1" si="3">B3-I3</f>
        <v>2651</v>
      </c>
      <c r="M3" s="801">
        <v>41651</v>
      </c>
      <c r="N3" s="802">
        <v>42742</v>
      </c>
      <c r="O3" s="803">
        <f t="shared" ref="O3:O66" ca="1" si="4">IF(AND(B3&gt;0,N3&gt;0),B3-N3,"-")</f>
        <v>392</v>
      </c>
      <c r="P3" s="804">
        <v>2</v>
      </c>
      <c r="Q3" s="805" t="s">
        <v>2366</v>
      </c>
      <c r="R3" s="806" t="s">
        <v>2962</v>
      </c>
      <c r="S3" s="807">
        <v>42810</v>
      </c>
      <c r="T3" s="798">
        <v>42940</v>
      </c>
      <c r="U3" s="798" t="str">
        <f t="shared" ref="U3:U66" si="5">IF(AND(Y3&gt;1,T3&gt;0),T3+18,"-")</f>
        <v>-</v>
      </c>
      <c r="V3" s="804" t="str">
        <f t="shared" ref="V3:V66" ca="1" si="6">IF(AND(U3&gt;0,B3&gt;0,Y3&gt;1),B3-U3,"-")</f>
        <v>-</v>
      </c>
      <c r="W3" s="808">
        <v>4</v>
      </c>
      <c r="X3" s="794">
        <f t="shared" ref="X3:X34" si="7">IF(AND(N3&gt;0,T3&gt;0),T3-N3,"-")</f>
        <v>198</v>
      </c>
      <c r="Y3" s="794">
        <v>1</v>
      </c>
      <c r="Z3" s="809" t="str">
        <f t="shared" ref="Z3:Z66" ca="1" si="8">IF(AND(Y3=1,AA3&gt;71,OR(ISBLANK(AB3),AB3=2)),"ПОДЛЕЖИТ ПЕРЕПРОВЕРКЕ","-----")</f>
        <v>-----</v>
      </c>
      <c r="AA3" s="810" t="str">
        <f t="shared" ref="AA3:AA66" ca="1" si="9">IF(AND(O3&gt;-1,W3&gt;0,Y3=1,AB3=1),"-----",B3-T3)</f>
        <v>-----</v>
      </c>
      <c r="AB3" s="804">
        <v>1</v>
      </c>
      <c r="AC3" s="811" t="str">
        <f t="shared" ref="AC3:AC66" ca="1" si="10">IF(AND(AB3&lt;1,Z3="ПОДЛЕЖИТ ПЕРЕПРОВЕРКЕ",Y3=1),T3+72,"-----")</f>
        <v>-----</v>
      </c>
      <c r="AD3" s="798">
        <v>43014</v>
      </c>
      <c r="AE3" s="794" t="str">
        <f t="shared" ref="AE3:AE66" ca="1" si="11">IF(AND(O3&gt;120,Y3=0,N3&gt;0),"яловая","-")</f>
        <v>-</v>
      </c>
      <c r="AF3" s="798" t="str">
        <f t="shared" ref="AF3:AF66" si="12">IF(AND(T3&gt;0,OR(Y3=3,Y3=2)),T3+35,"-")</f>
        <v>-</v>
      </c>
      <c r="AG3" s="812" t="str">
        <f t="shared" ref="AG3:AG66" si="13">IF(AND(T3&gt;0,W3&gt;0,Q3&gt;0,OR(Y3=3,Y3=2)),B3-AF3,"---------")</f>
        <v>---------</v>
      </c>
      <c r="AH3" s="807">
        <v>42968</v>
      </c>
      <c r="AI3" s="807">
        <f t="shared" ref="AI3:AI66" si="14">IF(AND($T3&gt;0,$N3&gt;0,$Y3=1),$T3+280-90,"-")</f>
        <v>43130</v>
      </c>
      <c r="AJ3" s="807">
        <f t="shared" ref="AJ3:AJ66" si="15">IF(AND(T3&gt;0,Y3=1,N3&gt;0),T3+280-60,"-")</f>
        <v>43160</v>
      </c>
      <c r="AK3" s="813"/>
      <c r="AL3" s="807">
        <f t="shared" ref="AL3:AL66" si="16">IF(AND($T3&gt;0,$Y3=1),$T3+280-21,"-")</f>
        <v>43199</v>
      </c>
      <c r="AM3" s="807">
        <f t="shared" ref="AM3:AM66" si="17">IF(AND(T3&gt;0,Y3=1),T3+280,"-")</f>
        <v>43220</v>
      </c>
      <c r="AN3" s="814">
        <f t="shared" ref="AN3:AN66" ca="1" si="18">IF(AND(B3&gt;0,AM3&gt;0,AH3&gt;0,Y3=1),B3-AM3,"-")</f>
        <v>-86</v>
      </c>
      <c r="AO3" s="815">
        <v>1</v>
      </c>
      <c r="AP3" s="816" t="str">
        <f t="shared" ref="AP3:AP66" ca="1" si="19">IF(AND(AE3="яловая",O3&gt;300),"БРАК","-")</f>
        <v>-</v>
      </c>
      <c r="AQ3" s="817"/>
      <c r="AR3" s="794" t="str">
        <f t="shared" ref="AR3:AR66" si="20">IF(AND(Y3=1,P3=0),"НЕТЕЛЬ","-")</f>
        <v>-</v>
      </c>
      <c r="AS3" s="818"/>
      <c r="AT3" s="794" t="str">
        <f t="shared" ref="AT3:AT66" si="21">IF(AND(N3&gt;0,T3&gt;0,W3&gt;0,Y3=1,AH3&gt;0,AK3&gt;0),"DRY COW","-")</f>
        <v>-</v>
      </c>
      <c r="AU3" s="819"/>
      <c r="AV3" s="959"/>
      <c r="AW3" s="960"/>
      <c r="AX3" s="960"/>
      <c r="AY3" s="969" t="str">
        <f t="shared" ref="AY3:AY66" si="22">IF(AND(AV3&gt;0,AW3&gt;0,AX3&gt;0),B3-AV3,"-")</f>
        <v>-</v>
      </c>
      <c r="AZ3" s="966" t="str">
        <f t="shared" ref="AZ3:AZ66" si="23">IF(AND(AV3&gt;0,AW3&gt;0,AX3&gt;0,AY3&gt;10,BB3=0,BC3=0,BD3=0),"РЕВАКЦИНАЦИЯ","-")</f>
        <v>-</v>
      </c>
      <c r="BA3" s="971" t="str">
        <f t="shared" ref="BA3:BA66" si="24">IF(AND(AV3&gt;0,AW3&gt;0,AX3&gt;0),AV3+10,"-")</f>
        <v>-</v>
      </c>
      <c r="BB3" s="974"/>
      <c r="BC3" s="960"/>
      <c r="BD3" s="960"/>
      <c r="BE3" s="963" t="str">
        <f t="shared" ref="BE3:BE66" si="25">IF(AND(BB3&gt;0,BC3&gt;0,BD3&gt;0),B3-BB3,"-")</f>
        <v>-</v>
      </c>
      <c r="BF3" s="984">
        <v>43033</v>
      </c>
      <c r="BG3" s="988" t="s">
        <v>3353</v>
      </c>
      <c r="BH3" s="986" t="s">
        <v>3354</v>
      </c>
      <c r="BI3" s="991">
        <v>5</v>
      </c>
      <c r="BJ3" s="991" t="s">
        <v>3356</v>
      </c>
      <c r="BK3" s="993">
        <f t="shared" ref="BK3:BK66" ca="1" si="26">IF(AND(BF3&gt;0,BG3&gt;0,BH3&gt;0,BI3&gt;0,BJ3&gt;0),B3-BF3,"-")</f>
        <v>101</v>
      </c>
      <c r="BL3" s="820">
        <v>42980</v>
      </c>
      <c r="BM3" s="821">
        <v>5</v>
      </c>
      <c r="BN3" s="822">
        <f t="shared" ref="BN3:BN66" ca="1" si="27">IF(AND(BL3&gt;0,BM3&gt;0),B3-BL3,"-")</f>
        <v>154</v>
      </c>
      <c r="BO3" s="823">
        <f t="shared" ref="BO3:BO66" si="28">IF(AND(BL3&gt;0,BM3&gt;0),(BL3-I3)/30,"-")</f>
        <v>83.233333333333334</v>
      </c>
      <c r="BP3" s="824"/>
      <c r="BQ3" s="821"/>
      <c r="BR3" s="822" t="str">
        <f t="shared" ref="BR3:BR66" si="29">IF(AND(BP3&gt;0,BQ3&gt;0),B3-BP3,"-")</f>
        <v>-</v>
      </c>
      <c r="BS3" s="823" t="str">
        <f t="shared" ref="BS3:BS66" si="30">IF(AND(BP3&gt;0,BQ3&gt;0),(BP3-M3)/30,"-")</f>
        <v>-</v>
      </c>
      <c r="BT3" s="825" t="str">
        <f t="shared" ref="BT3:BT66" ca="1" si="31">IF(AND(OR(E3="тёлочка",E3="бычок"),L3&gt;0,BV3&lt;2,L3&lt;60),"ПОДЛЕЖИТ ВАКЦИНАЦИИ","-")</f>
        <v>-</v>
      </c>
      <c r="BU3" s="826"/>
      <c r="BV3" s="827"/>
      <c r="BW3" s="828" t="str">
        <f t="shared" ref="BW3:BW66" si="32">IF(AND(BU3&gt;0,BV3=2),BU3-I3,"Ж-Е НЕ ВАКЦ.")</f>
        <v>Ж-Е НЕ ВАКЦ.</v>
      </c>
      <c r="BX3" s="829" t="str">
        <f t="shared" ref="BX3:BX66" si="33">IF(AND(BU3&gt;0,BV3=2),B3-BU3,"-")</f>
        <v>-</v>
      </c>
      <c r="BY3" s="830" t="str">
        <f t="shared" ref="BY3:BY66" ca="1" si="34">IF(AND(L3&gt;42,CA3&lt;5),"ПОДЛЕЖИТ ВАКЦИНАЦИИ","-")</f>
        <v>-</v>
      </c>
      <c r="BZ3" s="831">
        <v>42887</v>
      </c>
      <c r="CA3" s="832">
        <v>5</v>
      </c>
      <c r="CB3" s="833">
        <f t="shared" ref="CB3:CB66" ca="1" si="35">IF(AND(BZ3&gt;0,CA3=5),B3-BZ3,"-")</f>
        <v>247</v>
      </c>
      <c r="CC3" s="834" t="str">
        <f t="shared" ref="CC3:CC66" ca="1" si="36">IF(AND(CA3=5,CB3&gt;20,CF3&lt;5),"ТРЕБУЕТСЯ БУСТЕРНАЯ ДОЗА","-")</f>
        <v>-</v>
      </c>
      <c r="CD3" s="835">
        <f t="shared" ref="CD3:CD66" si="37">IF(AND(BZ3&gt;0,CA3=5),BZ3+21,"-")</f>
        <v>42908</v>
      </c>
      <c r="CE3" s="831">
        <v>42908</v>
      </c>
      <c r="CF3" s="832">
        <v>5</v>
      </c>
      <c r="CG3" s="833">
        <f t="shared" ref="CG3:CG66" ca="1" si="38">IF(AND(CE3&gt;0,CF3=5),B3-CE3,"-")</f>
        <v>226</v>
      </c>
      <c r="CH3" s="836">
        <f t="shared" ref="CH3:CH66" si="39">IF(AND(CD3&gt;0,CE3&gt;0,CF3=5),CD3-CE3,"-")</f>
        <v>0</v>
      </c>
      <c r="CI3" s="837" t="str">
        <f t="shared" ref="CI3:CI66" si="40">IF(AND(CF3=5,CH3=0),"УСПЕШНО","-")</f>
        <v>УСПЕШНО</v>
      </c>
      <c r="CJ3" s="838" t="str">
        <f t="shared" ref="CJ3:CJ66" ca="1" si="41">IF(AND(BZ3&gt;0,CA3=5,CE3&gt;0,CF3=5,CG3&gt;240,CL3&lt;5),"НЕОБХОДИМА РЕВАКЦИНАЦИЯ","-")</f>
        <v>-</v>
      </c>
      <c r="CK3" s="831"/>
      <c r="CL3" s="832"/>
      <c r="CM3" s="833" t="str">
        <f t="shared" ref="CM3:CM66" si="42">IF(AND(CK3&gt;0,CL3=5),N3-CK3,"-")</f>
        <v>-</v>
      </c>
      <c r="CN3" s="834" t="str">
        <f t="shared" ref="CN3:CN66" si="43">IF(AND(CK3&gt;0,CL3=5,CM3&gt;240),"НЕОБХОДИМА РЕВАКЦИНАЦИЯ","-")</f>
        <v>-</v>
      </c>
      <c r="CO3" s="830" t="str">
        <f t="shared" ref="CO3:CO66" ca="1" si="44">IF(AND(Y3=1,AN3&gt;-70,CQ3&lt;2),"ТРЕБУЕТСЯ ВАКЦИНАЦИЯ","-")</f>
        <v>-</v>
      </c>
      <c r="CP3" s="839"/>
      <c r="CQ3" s="832"/>
      <c r="CR3" s="833" t="str">
        <f t="shared" ref="CR3:CR66" si="45">IF(AND(CP3&gt;0,CQ3=2),CP3-T3,"-")</f>
        <v>-</v>
      </c>
      <c r="CS3" s="833" t="str">
        <f t="shared" ref="CS3:CS66" si="46">IF(AND(CP3&gt;0,CQ3=2),B3-CP3,"-")</f>
        <v>-</v>
      </c>
      <c r="CT3" s="834" t="str">
        <f t="shared" ref="CT3:CT66" si="47">IF(AND(CQ3=2,CS3&gt;20,CW3&lt;2),"ТРЕБУЕТСЯ БУСТЕРНАЯ ДОЗА","-")</f>
        <v>-</v>
      </c>
      <c r="CU3" s="835" t="str">
        <f t="shared" ref="CU3:CU66" si="48">IF(AND(CP3&gt;0,CQ3=2),CP3+21,"-")</f>
        <v>-</v>
      </c>
      <c r="CV3" s="839"/>
      <c r="CW3" s="832"/>
      <c r="CX3" s="833" t="str">
        <f t="shared" ref="CX3:CX66" si="49">IF(AND(CU3&gt;0,CV3&gt;0,CW3=2),CV3-CU3,"-")</f>
        <v>-</v>
      </c>
      <c r="CY3" s="840" t="str">
        <f t="shared" ref="CY3:CY66" si="50">IF(AND(CW3=2,CX3=0),"УСПЕШНО","-")</f>
        <v>-</v>
      </c>
      <c r="CZ3" s="833" t="str">
        <f t="shared" ref="CZ3:CZ66" si="51">IF(AND(CV3&gt;0,CW3=2),CV3-T3,"-")</f>
        <v>-</v>
      </c>
      <c r="DA3" s="838" t="str">
        <f t="shared" ref="DA3:DA66" ca="1" si="52">IF(AND(CP3&gt;0,CQ3=2,CV3&gt;0,CW3=2,Y3=1,AN3&gt;-50,DC3&lt;2),"ТРЕБУЕТСЯ РЕВАКЦИНАЦИЯ","-")</f>
        <v>-</v>
      </c>
      <c r="DB3" s="841"/>
      <c r="DC3" s="832"/>
    </row>
    <row r="4" spans="1:107" s="842" customFormat="1" ht="15.95" customHeight="1" x14ac:dyDescent="0.25">
      <c r="A4" s="790">
        <v>2</v>
      </c>
      <c r="B4" s="791">
        <f t="shared" ca="1" si="0"/>
        <v>43134</v>
      </c>
      <c r="C4" s="29" t="s">
        <v>614</v>
      </c>
      <c r="D4" s="59" t="s">
        <v>3201</v>
      </c>
      <c r="E4" s="794" t="s">
        <v>691</v>
      </c>
      <c r="F4" s="795" t="s">
        <v>692</v>
      </c>
      <c r="G4" s="796">
        <f>SUMIFS(МОЛОКО!L8:L6958,МОЛОКО!F8:F6958,"1259",МОЛОКО!L8:L6958,"&gt;0")</f>
        <v>33.799999999999997</v>
      </c>
      <c r="H4" s="797" t="s">
        <v>603</v>
      </c>
      <c r="I4" s="798">
        <v>40643</v>
      </c>
      <c r="J4" s="799">
        <f t="shared" ca="1" si="1"/>
        <v>6.8246575342465752</v>
      </c>
      <c r="K4" s="799">
        <f t="shared" ca="1" si="2"/>
        <v>83.033333333333331</v>
      </c>
      <c r="L4" s="800">
        <f t="shared" ca="1" si="3"/>
        <v>2491</v>
      </c>
      <c r="M4" s="801">
        <v>41508</v>
      </c>
      <c r="N4" s="802">
        <v>43013</v>
      </c>
      <c r="O4" s="803">
        <f t="shared" ca="1" si="4"/>
        <v>121</v>
      </c>
      <c r="P4" s="804">
        <v>5</v>
      </c>
      <c r="Q4" s="805"/>
      <c r="R4" s="806"/>
      <c r="S4" s="807"/>
      <c r="T4" s="798"/>
      <c r="U4" s="798" t="str">
        <f t="shared" si="5"/>
        <v>-</v>
      </c>
      <c r="V4" s="804" t="str">
        <f t="shared" ca="1" si="6"/>
        <v>-</v>
      </c>
      <c r="W4" s="808">
        <v>0</v>
      </c>
      <c r="X4" s="794" t="str">
        <f t="shared" si="7"/>
        <v>-</v>
      </c>
      <c r="Y4" s="794">
        <v>0</v>
      </c>
      <c r="Z4" s="809" t="str">
        <f t="shared" ca="1" si="8"/>
        <v>-----</v>
      </c>
      <c r="AA4" s="810">
        <f t="shared" ca="1" si="9"/>
        <v>43134</v>
      </c>
      <c r="AB4" s="804"/>
      <c r="AC4" s="811" t="str">
        <f t="shared" ca="1" si="10"/>
        <v>-----</v>
      </c>
      <c r="AD4" s="798"/>
      <c r="AE4" s="794" t="str">
        <f t="shared" ca="1" si="11"/>
        <v>яловая</v>
      </c>
      <c r="AF4" s="798" t="str">
        <f t="shared" si="12"/>
        <v>-</v>
      </c>
      <c r="AG4" s="812" t="str">
        <f t="shared" si="13"/>
        <v>---------</v>
      </c>
      <c r="AH4" s="807"/>
      <c r="AI4" s="807" t="str">
        <f t="shared" si="14"/>
        <v>-</v>
      </c>
      <c r="AJ4" s="807" t="str">
        <f t="shared" si="15"/>
        <v>-</v>
      </c>
      <c r="AK4" s="813"/>
      <c r="AL4" s="807" t="str">
        <f t="shared" si="16"/>
        <v>-</v>
      </c>
      <c r="AM4" s="807" t="str">
        <f t="shared" si="17"/>
        <v>-</v>
      </c>
      <c r="AN4" s="814" t="str">
        <f t="shared" ca="1" si="18"/>
        <v>-</v>
      </c>
      <c r="AO4" s="815">
        <v>1</v>
      </c>
      <c r="AP4" s="816" t="str">
        <f t="shared" ca="1" si="19"/>
        <v>-</v>
      </c>
      <c r="AQ4" s="817"/>
      <c r="AR4" s="794" t="str">
        <f t="shared" si="20"/>
        <v>-</v>
      </c>
      <c r="AS4" s="818"/>
      <c r="AT4" s="794" t="str">
        <f t="shared" si="21"/>
        <v>-</v>
      </c>
      <c r="AU4" s="819"/>
      <c r="AV4" s="820"/>
      <c r="AW4" s="821"/>
      <c r="AX4" s="821"/>
      <c r="AY4" s="969" t="str">
        <f t="shared" si="22"/>
        <v>-</v>
      </c>
      <c r="AZ4" s="966" t="str">
        <f t="shared" si="23"/>
        <v>-</v>
      </c>
      <c r="BA4" s="971" t="str">
        <f t="shared" si="24"/>
        <v>-</v>
      </c>
      <c r="BB4" s="975"/>
      <c r="BC4" s="821"/>
      <c r="BD4" s="821"/>
      <c r="BE4" s="963" t="str">
        <f t="shared" si="25"/>
        <v>-</v>
      </c>
      <c r="BF4" s="984">
        <v>43033</v>
      </c>
      <c r="BG4" s="988" t="s">
        <v>3353</v>
      </c>
      <c r="BH4" s="986" t="s">
        <v>3354</v>
      </c>
      <c r="BI4" s="991">
        <v>5</v>
      </c>
      <c r="BJ4" s="991" t="s">
        <v>3356</v>
      </c>
      <c r="BK4" s="993">
        <f t="shared" ca="1" si="26"/>
        <v>101</v>
      </c>
      <c r="BL4" s="820">
        <v>42978</v>
      </c>
      <c r="BM4" s="821">
        <v>5</v>
      </c>
      <c r="BN4" s="822">
        <f t="shared" ca="1" si="27"/>
        <v>156</v>
      </c>
      <c r="BO4" s="823">
        <f t="shared" si="28"/>
        <v>77.833333333333329</v>
      </c>
      <c r="BP4" s="824"/>
      <c r="BQ4" s="821"/>
      <c r="BR4" s="822" t="str">
        <f t="shared" si="29"/>
        <v>-</v>
      </c>
      <c r="BS4" s="823" t="str">
        <f t="shared" si="30"/>
        <v>-</v>
      </c>
      <c r="BT4" s="825" t="str">
        <f t="shared" ca="1" si="31"/>
        <v>-</v>
      </c>
      <c r="BU4" s="826"/>
      <c r="BV4" s="827"/>
      <c r="BW4" s="828" t="str">
        <f t="shared" si="32"/>
        <v>Ж-Е НЕ ВАКЦ.</v>
      </c>
      <c r="BX4" s="829" t="str">
        <f t="shared" si="33"/>
        <v>-</v>
      </c>
      <c r="BY4" s="830" t="str">
        <f t="shared" ca="1" si="34"/>
        <v>-</v>
      </c>
      <c r="BZ4" s="831">
        <v>42887</v>
      </c>
      <c r="CA4" s="832">
        <v>5</v>
      </c>
      <c r="CB4" s="833">
        <f t="shared" ca="1" si="35"/>
        <v>247</v>
      </c>
      <c r="CC4" s="834" t="str">
        <f t="shared" ca="1" si="36"/>
        <v>-</v>
      </c>
      <c r="CD4" s="835">
        <f t="shared" si="37"/>
        <v>42908</v>
      </c>
      <c r="CE4" s="831">
        <v>42908</v>
      </c>
      <c r="CF4" s="832">
        <v>5</v>
      </c>
      <c r="CG4" s="833">
        <f t="shared" ca="1" si="38"/>
        <v>226</v>
      </c>
      <c r="CH4" s="836">
        <f t="shared" si="39"/>
        <v>0</v>
      </c>
      <c r="CI4" s="837" t="str">
        <f t="shared" si="40"/>
        <v>УСПЕШНО</v>
      </c>
      <c r="CJ4" s="838" t="str">
        <f t="shared" ca="1" si="41"/>
        <v>-</v>
      </c>
      <c r="CK4" s="831"/>
      <c r="CL4" s="832"/>
      <c r="CM4" s="833" t="str">
        <f t="shared" si="42"/>
        <v>-</v>
      </c>
      <c r="CN4" s="834" t="str">
        <f t="shared" si="43"/>
        <v>-</v>
      </c>
      <c r="CO4" s="830" t="str">
        <f t="shared" ca="1" si="44"/>
        <v>-</v>
      </c>
      <c r="CP4" s="831">
        <v>42958</v>
      </c>
      <c r="CQ4" s="832">
        <v>2</v>
      </c>
      <c r="CR4" s="833">
        <f t="shared" si="45"/>
        <v>42958</v>
      </c>
      <c r="CS4" s="833">
        <f t="shared" ca="1" si="46"/>
        <v>176</v>
      </c>
      <c r="CT4" s="834" t="str">
        <f t="shared" ca="1" si="47"/>
        <v>-</v>
      </c>
      <c r="CU4" s="835">
        <f t="shared" si="48"/>
        <v>42979</v>
      </c>
      <c r="CV4" s="831">
        <v>42980</v>
      </c>
      <c r="CW4" s="832">
        <v>2</v>
      </c>
      <c r="CX4" s="833">
        <f t="shared" si="49"/>
        <v>1</v>
      </c>
      <c r="CY4" s="840" t="str">
        <f t="shared" si="50"/>
        <v>-</v>
      </c>
      <c r="CZ4" s="833">
        <f t="shared" si="51"/>
        <v>42980</v>
      </c>
      <c r="DA4" s="838" t="str">
        <f t="shared" ca="1" si="52"/>
        <v>-</v>
      </c>
      <c r="DB4" s="841"/>
      <c r="DC4" s="832"/>
    </row>
    <row r="5" spans="1:107" s="842" customFormat="1" ht="15.95" customHeight="1" x14ac:dyDescent="0.25">
      <c r="A5" s="790">
        <v>3</v>
      </c>
      <c r="B5" s="791">
        <f t="shared" ca="1" si="0"/>
        <v>43134</v>
      </c>
      <c r="C5" s="792" t="s">
        <v>614</v>
      </c>
      <c r="D5" s="793" t="s">
        <v>3201</v>
      </c>
      <c r="E5" s="794" t="s">
        <v>256</v>
      </c>
      <c r="F5" s="795" t="s">
        <v>257</v>
      </c>
      <c r="G5" s="796">
        <f>SUMIFS(МОЛОКО!L8:L6958,МОЛОКО!F8:F6958,"1674",МОЛОКО!L8:L6958,"&gt;0")</f>
        <v>29.2</v>
      </c>
      <c r="H5" s="797" t="s">
        <v>603</v>
      </c>
      <c r="I5" s="798">
        <v>41156</v>
      </c>
      <c r="J5" s="799">
        <f t="shared" ca="1" si="1"/>
        <v>5.419178082191781</v>
      </c>
      <c r="K5" s="799">
        <f t="shared" ca="1" si="2"/>
        <v>65.933333333333337</v>
      </c>
      <c r="L5" s="800">
        <f t="shared" ca="1" si="3"/>
        <v>1978</v>
      </c>
      <c r="M5" s="801">
        <v>41985</v>
      </c>
      <c r="N5" s="802">
        <v>42873</v>
      </c>
      <c r="O5" s="803">
        <f t="shared" ca="1" si="4"/>
        <v>261</v>
      </c>
      <c r="P5" s="804">
        <v>3</v>
      </c>
      <c r="Q5" s="805" t="s">
        <v>2309</v>
      </c>
      <c r="R5" s="806" t="s">
        <v>2269</v>
      </c>
      <c r="S5" s="807">
        <v>42936</v>
      </c>
      <c r="T5" s="798">
        <v>42936</v>
      </c>
      <c r="U5" s="798" t="str">
        <f t="shared" si="5"/>
        <v>-</v>
      </c>
      <c r="V5" s="804" t="str">
        <f t="shared" ca="1" si="6"/>
        <v>-</v>
      </c>
      <c r="W5" s="808">
        <v>1</v>
      </c>
      <c r="X5" s="794">
        <f t="shared" si="7"/>
        <v>63</v>
      </c>
      <c r="Y5" s="794">
        <v>1</v>
      </c>
      <c r="Z5" s="809" t="str">
        <f t="shared" ca="1" si="8"/>
        <v>-----</v>
      </c>
      <c r="AA5" s="810" t="str">
        <f t="shared" ca="1" si="9"/>
        <v>-----</v>
      </c>
      <c r="AB5" s="804">
        <v>1</v>
      </c>
      <c r="AC5" s="811" t="str">
        <f t="shared" ca="1" si="10"/>
        <v>-----</v>
      </c>
      <c r="AD5" s="798">
        <v>43043</v>
      </c>
      <c r="AE5" s="794" t="str">
        <f t="shared" ca="1" si="11"/>
        <v>-</v>
      </c>
      <c r="AF5" s="798" t="str">
        <f t="shared" si="12"/>
        <v>-</v>
      </c>
      <c r="AG5" s="812" t="str">
        <f t="shared" si="13"/>
        <v>---------</v>
      </c>
      <c r="AH5" s="807">
        <v>42968</v>
      </c>
      <c r="AI5" s="807">
        <f t="shared" si="14"/>
        <v>43126</v>
      </c>
      <c r="AJ5" s="807">
        <f t="shared" si="15"/>
        <v>43156</v>
      </c>
      <c r="AK5" s="813"/>
      <c r="AL5" s="807">
        <f t="shared" si="16"/>
        <v>43195</v>
      </c>
      <c r="AM5" s="807">
        <f t="shared" si="17"/>
        <v>43216</v>
      </c>
      <c r="AN5" s="814">
        <f t="shared" ca="1" si="18"/>
        <v>-82</v>
      </c>
      <c r="AO5" s="815">
        <v>1</v>
      </c>
      <c r="AP5" s="816" t="str">
        <f t="shared" ca="1" si="19"/>
        <v>-</v>
      </c>
      <c r="AQ5" s="817"/>
      <c r="AR5" s="794" t="str">
        <f t="shared" si="20"/>
        <v>-</v>
      </c>
      <c r="AS5" s="818"/>
      <c r="AT5" s="794" t="str">
        <f t="shared" si="21"/>
        <v>-</v>
      </c>
      <c r="AU5" s="819"/>
      <c r="AV5" s="820"/>
      <c r="AW5" s="821"/>
      <c r="AX5" s="821"/>
      <c r="AY5" s="969" t="str">
        <f t="shared" si="22"/>
        <v>-</v>
      </c>
      <c r="AZ5" s="966" t="str">
        <f t="shared" si="23"/>
        <v>-</v>
      </c>
      <c r="BA5" s="971" t="str">
        <f t="shared" si="24"/>
        <v>-</v>
      </c>
      <c r="BB5" s="975"/>
      <c r="BC5" s="821"/>
      <c r="BD5" s="821"/>
      <c r="BE5" s="963" t="str">
        <f t="shared" si="25"/>
        <v>-</v>
      </c>
      <c r="BF5" s="984">
        <v>43033</v>
      </c>
      <c r="BG5" s="988" t="s">
        <v>3353</v>
      </c>
      <c r="BH5" s="986" t="s">
        <v>3354</v>
      </c>
      <c r="BI5" s="991">
        <v>5</v>
      </c>
      <c r="BJ5" s="991" t="s">
        <v>3356</v>
      </c>
      <c r="BK5" s="993">
        <f t="shared" ca="1" si="26"/>
        <v>101</v>
      </c>
      <c r="BL5" s="820">
        <v>42980</v>
      </c>
      <c r="BM5" s="821">
        <v>5</v>
      </c>
      <c r="BN5" s="822">
        <f t="shared" ca="1" si="27"/>
        <v>154</v>
      </c>
      <c r="BO5" s="823">
        <f t="shared" si="28"/>
        <v>60.8</v>
      </c>
      <c r="BP5" s="824"/>
      <c r="BQ5" s="821"/>
      <c r="BR5" s="822" t="str">
        <f t="shared" si="29"/>
        <v>-</v>
      </c>
      <c r="BS5" s="823" t="str">
        <f t="shared" si="30"/>
        <v>-</v>
      </c>
      <c r="BT5" s="825" t="str">
        <f t="shared" ca="1" si="31"/>
        <v>-</v>
      </c>
      <c r="BU5" s="826"/>
      <c r="BV5" s="827"/>
      <c r="BW5" s="828" t="str">
        <f t="shared" si="32"/>
        <v>Ж-Е НЕ ВАКЦ.</v>
      </c>
      <c r="BX5" s="829" t="str">
        <f t="shared" si="33"/>
        <v>-</v>
      </c>
      <c r="BY5" s="830" t="str">
        <f t="shared" ca="1" si="34"/>
        <v>-</v>
      </c>
      <c r="BZ5" s="831">
        <v>42904</v>
      </c>
      <c r="CA5" s="832">
        <v>5</v>
      </c>
      <c r="CB5" s="833">
        <f t="shared" ca="1" si="35"/>
        <v>230</v>
      </c>
      <c r="CC5" s="834" t="str">
        <f t="shared" ca="1" si="36"/>
        <v>-</v>
      </c>
      <c r="CD5" s="835">
        <f t="shared" si="37"/>
        <v>42925</v>
      </c>
      <c r="CE5" s="831">
        <v>42925</v>
      </c>
      <c r="CF5" s="832">
        <v>5</v>
      </c>
      <c r="CG5" s="833">
        <f t="shared" ca="1" si="38"/>
        <v>209</v>
      </c>
      <c r="CH5" s="836">
        <f t="shared" si="39"/>
        <v>0</v>
      </c>
      <c r="CI5" s="837" t="str">
        <f t="shared" si="40"/>
        <v>УСПЕШНО</v>
      </c>
      <c r="CJ5" s="838" t="str">
        <f t="shared" ca="1" si="41"/>
        <v>-</v>
      </c>
      <c r="CK5" s="831"/>
      <c r="CL5" s="832"/>
      <c r="CM5" s="833" t="str">
        <f t="shared" si="42"/>
        <v>-</v>
      </c>
      <c r="CN5" s="834" t="str">
        <f t="shared" si="43"/>
        <v>-</v>
      </c>
      <c r="CO5" s="830" t="str">
        <f t="shared" ca="1" si="44"/>
        <v>-</v>
      </c>
      <c r="CP5" s="839"/>
      <c r="CQ5" s="832"/>
      <c r="CR5" s="833" t="str">
        <f t="shared" si="45"/>
        <v>-</v>
      </c>
      <c r="CS5" s="833" t="str">
        <f t="shared" si="46"/>
        <v>-</v>
      </c>
      <c r="CT5" s="834" t="str">
        <f t="shared" si="47"/>
        <v>-</v>
      </c>
      <c r="CU5" s="835" t="str">
        <f t="shared" si="48"/>
        <v>-</v>
      </c>
      <c r="CV5" s="839"/>
      <c r="CW5" s="832"/>
      <c r="CX5" s="833" t="str">
        <f t="shared" si="49"/>
        <v>-</v>
      </c>
      <c r="CY5" s="840" t="str">
        <f t="shared" si="50"/>
        <v>-</v>
      </c>
      <c r="CZ5" s="833" t="str">
        <f t="shared" si="51"/>
        <v>-</v>
      </c>
      <c r="DA5" s="838" t="str">
        <f t="shared" ca="1" si="52"/>
        <v>-</v>
      </c>
      <c r="DB5" s="841"/>
      <c r="DC5" s="832"/>
    </row>
    <row r="6" spans="1:107" s="842" customFormat="1" ht="15.95" customHeight="1" x14ac:dyDescent="0.25">
      <c r="A6" s="790">
        <v>4</v>
      </c>
      <c r="B6" s="791">
        <f t="shared" ca="1" si="0"/>
        <v>43134</v>
      </c>
      <c r="C6" s="792" t="s">
        <v>614</v>
      </c>
      <c r="D6" s="793" t="s">
        <v>3201</v>
      </c>
      <c r="E6" s="794" t="s">
        <v>402</v>
      </c>
      <c r="F6" s="795" t="s">
        <v>403</v>
      </c>
      <c r="G6" s="796">
        <f>SUMIFS(МОЛОКО!L8:L6958,МОЛОКО!F8:F6958,"1831",МОЛОКО!L8:L6958,"&gt;0")</f>
        <v>21.799999999999997</v>
      </c>
      <c r="H6" s="797" t="s">
        <v>603</v>
      </c>
      <c r="I6" s="798">
        <v>41375</v>
      </c>
      <c r="J6" s="799">
        <f t="shared" ca="1" si="1"/>
        <v>4.8191780821917805</v>
      </c>
      <c r="K6" s="799">
        <f t="shared" ca="1" si="2"/>
        <v>58.633333333333333</v>
      </c>
      <c r="L6" s="800">
        <f t="shared" ca="1" si="3"/>
        <v>1759</v>
      </c>
      <c r="M6" s="801">
        <v>42313</v>
      </c>
      <c r="N6" s="802">
        <v>42790</v>
      </c>
      <c r="O6" s="803">
        <f t="shared" ca="1" si="4"/>
        <v>344</v>
      </c>
      <c r="P6" s="804">
        <v>2</v>
      </c>
      <c r="Q6" s="805" t="s">
        <v>1451</v>
      </c>
      <c r="R6" s="806" t="s">
        <v>2663</v>
      </c>
      <c r="S6" s="807">
        <v>42855</v>
      </c>
      <c r="T6" s="798">
        <v>42855</v>
      </c>
      <c r="U6" s="798" t="str">
        <f t="shared" si="5"/>
        <v>-</v>
      </c>
      <c r="V6" s="804" t="str">
        <f t="shared" ca="1" si="6"/>
        <v>-</v>
      </c>
      <c r="W6" s="808">
        <v>1</v>
      </c>
      <c r="X6" s="794">
        <f t="shared" si="7"/>
        <v>65</v>
      </c>
      <c r="Y6" s="794">
        <v>1</v>
      </c>
      <c r="Z6" s="809" t="str">
        <f t="shared" ca="1" si="8"/>
        <v>-----</v>
      </c>
      <c r="AA6" s="810" t="str">
        <f t="shared" ca="1" si="9"/>
        <v>-----</v>
      </c>
      <c r="AB6" s="804">
        <v>1</v>
      </c>
      <c r="AC6" s="811" t="str">
        <f t="shared" ca="1" si="10"/>
        <v>-----</v>
      </c>
      <c r="AD6" s="798">
        <v>42935</v>
      </c>
      <c r="AE6" s="794" t="str">
        <f t="shared" ca="1" si="11"/>
        <v>-</v>
      </c>
      <c r="AF6" s="798" t="str">
        <f t="shared" si="12"/>
        <v>-</v>
      </c>
      <c r="AG6" s="812" t="str">
        <f t="shared" si="13"/>
        <v>---------</v>
      </c>
      <c r="AH6" s="807">
        <v>42890</v>
      </c>
      <c r="AI6" s="807">
        <f t="shared" si="14"/>
        <v>43045</v>
      </c>
      <c r="AJ6" s="807">
        <f t="shared" si="15"/>
        <v>43075</v>
      </c>
      <c r="AK6" s="813"/>
      <c r="AL6" s="807">
        <f t="shared" si="16"/>
        <v>43114</v>
      </c>
      <c r="AM6" s="807">
        <f t="shared" si="17"/>
        <v>43135</v>
      </c>
      <c r="AN6" s="814">
        <f t="shared" ca="1" si="18"/>
        <v>-1</v>
      </c>
      <c r="AO6" s="815">
        <v>1</v>
      </c>
      <c r="AP6" s="816" t="str">
        <f t="shared" ca="1" si="19"/>
        <v>-</v>
      </c>
      <c r="AQ6" s="817"/>
      <c r="AR6" s="794" t="str">
        <f t="shared" si="20"/>
        <v>-</v>
      </c>
      <c r="AS6" s="818"/>
      <c r="AT6" s="794" t="str">
        <f t="shared" si="21"/>
        <v>-</v>
      </c>
      <c r="AU6" s="819"/>
      <c r="AV6" s="820"/>
      <c r="AW6" s="821"/>
      <c r="AX6" s="821"/>
      <c r="AY6" s="969" t="str">
        <f t="shared" si="22"/>
        <v>-</v>
      </c>
      <c r="AZ6" s="966" t="str">
        <f t="shared" si="23"/>
        <v>-</v>
      </c>
      <c r="BA6" s="971" t="str">
        <f t="shared" si="24"/>
        <v>-</v>
      </c>
      <c r="BB6" s="975"/>
      <c r="BC6" s="821"/>
      <c r="BD6" s="821"/>
      <c r="BE6" s="963" t="str">
        <f t="shared" si="25"/>
        <v>-</v>
      </c>
      <c r="BF6" s="984">
        <v>43033</v>
      </c>
      <c r="BG6" s="988" t="s">
        <v>3353</v>
      </c>
      <c r="BH6" s="986" t="s">
        <v>3354</v>
      </c>
      <c r="BI6" s="991">
        <v>5</v>
      </c>
      <c r="BJ6" s="991" t="s">
        <v>3356</v>
      </c>
      <c r="BK6" s="993">
        <f t="shared" ca="1" si="26"/>
        <v>101</v>
      </c>
      <c r="BL6" s="820">
        <v>42980</v>
      </c>
      <c r="BM6" s="821">
        <v>5</v>
      </c>
      <c r="BN6" s="822">
        <f t="shared" ca="1" si="27"/>
        <v>154</v>
      </c>
      <c r="BO6" s="823">
        <f t="shared" si="28"/>
        <v>53.5</v>
      </c>
      <c r="BP6" s="824"/>
      <c r="BQ6" s="821"/>
      <c r="BR6" s="822" t="str">
        <f t="shared" si="29"/>
        <v>-</v>
      </c>
      <c r="BS6" s="823" t="str">
        <f t="shared" si="30"/>
        <v>-</v>
      </c>
      <c r="BT6" s="825" t="str">
        <f t="shared" ca="1" si="31"/>
        <v>-</v>
      </c>
      <c r="BU6" s="826"/>
      <c r="BV6" s="827"/>
      <c r="BW6" s="828" t="str">
        <f t="shared" si="32"/>
        <v>Ж-Е НЕ ВАКЦ.</v>
      </c>
      <c r="BX6" s="829" t="str">
        <f t="shared" si="33"/>
        <v>-</v>
      </c>
      <c r="BY6" s="830" t="str">
        <f t="shared" ca="1" si="34"/>
        <v>-</v>
      </c>
      <c r="BZ6" s="831">
        <v>42887</v>
      </c>
      <c r="CA6" s="832">
        <v>5</v>
      </c>
      <c r="CB6" s="833">
        <f t="shared" ca="1" si="35"/>
        <v>247</v>
      </c>
      <c r="CC6" s="834" t="str">
        <f t="shared" ca="1" si="36"/>
        <v>-</v>
      </c>
      <c r="CD6" s="835">
        <f t="shared" si="37"/>
        <v>42908</v>
      </c>
      <c r="CE6" s="831">
        <v>42908</v>
      </c>
      <c r="CF6" s="832">
        <v>5</v>
      </c>
      <c r="CG6" s="833">
        <f t="shared" ca="1" si="38"/>
        <v>226</v>
      </c>
      <c r="CH6" s="836">
        <f t="shared" si="39"/>
        <v>0</v>
      </c>
      <c r="CI6" s="837" t="str">
        <f t="shared" si="40"/>
        <v>УСПЕШНО</v>
      </c>
      <c r="CJ6" s="838" t="str">
        <f t="shared" ca="1" si="41"/>
        <v>-</v>
      </c>
      <c r="CK6" s="831"/>
      <c r="CL6" s="832"/>
      <c r="CM6" s="833" t="str">
        <f t="shared" si="42"/>
        <v>-</v>
      </c>
      <c r="CN6" s="834" t="str">
        <f t="shared" si="43"/>
        <v>-</v>
      </c>
      <c r="CO6" s="830" t="str">
        <f t="shared" ca="1" si="44"/>
        <v>ТРЕБУЕТСЯ ВАКЦИНАЦИЯ</v>
      </c>
      <c r="CP6" s="839"/>
      <c r="CQ6" s="832"/>
      <c r="CR6" s="833" t="str">
        <f t="shared" si="45"/>
        <v>-</v>
      </c>
      <c r="CS6" s="833" t="str">
        <f t="shared" si="46"/>
        <v>-</v>
      </c>
      <c r="CT6" s="834" t="str">
        <f t="shared" si="47"/>
        <v>-</v>
      </c>
      <c r="CU6" s="835" t="str">
        <f t="shared" si="48"/>
        <v>-</v>
      </c>
      <c r="CV6" s="839"/>
      <c r="CW6" s="832"/>
      <c r="CX6" s="833" t="str">
        <f t="shared" si="49"/>
        <v>-</v>
      </c>
      <c r="CY6" s="840" t="str">
        <f t="shared" si="50"/>
        <v>-</v>
      </c>
      <c r="CZ6" s="833" t="str">
        <f t="shared" si="51"/>
        <v>-</v>
      </c>
      <c r="DA6" s="838" t="str">
        <f t="shared" ca="1" si="52"/>
        <v>-</v>
      </c>
      <c r="DB6" s="841"/>
      <c r="DC6" s="832"/>
    </row>
    <row r="7" spans="1:107" s="842" customFormat="1" ht="15.95" customHeight="1" x14ac:dyDescent="0.25">
      <c r="A7" s="790">
        <v>5</v>
      </c>
      <c r="B7" s="791">
        <f t="shared" ca="1" si="0"/>
        <v>43134</v>
      </c>
      <c r="C7" s="792" t="s">
        <v>614</v>
      </c>
      <c r="D7" s="793" t="s">
        <v>3201</v>
      </c>
      <c r="E7" s="794" t="s">
        <v>488</v>
      </c>
      <c r="F7" s="795" t="s">
        <v>489</v>
      </c>
      <c r="G7" s="796">
        <f>SUMIFS(МОЛОКО!L8:L6958,МОЛОКО!F8:F6958,"1850",МОЛОКО!L8:L6958,"&gt;0")</f>
        <v>30</v>
      </c>
      <c r="H7" s="797" t="s">
        <v>603</v>
      </c>
      <c r="I7" s="798">
        <v>41395</v>
      </c>
      <c r="J7" s="799">
        <f t="shared" ca="1" si="1"/>
        <v>4.7643835616438359</v>
      </c>
      <c r="K7" s="799">
        <f t="shared" ca="1" si="2"/>
        <v>57.966666666666669</v>
      </c>
      <c r="L7" s="800">
        <f t="shared" ca="1" si="3"/>
        <v>1739</v>
      </c>
      <c r="M7" s="801">
        <v>42137</v>
      </c>
      <c r="N7" s="802">
        <v>42990</v>
      </c>
      <c r="O7" s="803">
        <f t="shared" ca="1" si="4"/>
        <v>144</v>
      </c>
      <c r="P7" s="804">
        <v>3</v>
      </c>
      <c r="Q7" s="68" t="s">
        <v>1451</v>
      </c>
      <c r="R7" s="118" t="s">
        <v>2962</v>
      </c>
      <c r="S7" s="807">
        <v>43055</v>
      </c>
      <c r="T7" s="798">
        <v>43055</v>
      </c>
      <c r="U7" s="798">
        <f t="shared" si="5"/>
        <v>43073</v>
      </c>
      <c r="V7" s="804">
        <f t="shared" ca="1" si="6"/>
        <v>61</v>
      </c>
      <c r="W7" s="808">
        <v>1</v>
      </c>
      <c r="X7" s="794">
        <f t="shared" si="7"/>
        <v>65</v>
      </c>
      <c r="Y7" s="794">
        <v>3</v>
      </c>
      <c r="Z7" s="809" t="str">
        <f t="shared" ca="1" si="8"/>
        <v>-----</v>
      </c>
      <c r="AA7" s="810">
        <f t="shared" ca="1" si="9"/>
        <v>79</v>
      </c>
      <c r="AB7" s="804"/>
      <c r="AC7" s="811" t="str">
        <f t="shared" ca="1" si="10"/>
        <v>-----</v>
      </c>
      <c r="AD7" s="798"/>
      <c r="AE7" s="794" t="str">
        <f t="shared" ca="1" si="11"/>
        <v>-</v>
      </c>
      <c r="AF7" s="798">
        <f t="shared" si="12"/>
        <v>43090</v>
      </c>
      <c r="AG7" s="812">
        <f t="shared" ca="1" si="13"/>
        <v>44</v>
      </c>
      <c r="AH7" s="807"/>
      <c r="AI7" s="807" t="str">
        <f t="shared" si="14"/>
        <v>-</v>
      </c>
      <c r="AJ7" s="807" t="str">
        <f t="shared" si="15"/>
        <v>-</v>
      </c>
      <c r="AK7" s="813"/>
      <c r="AL7" s="807" t="str">
        <f t="shared" si="16"/>
        <v>-</v>
      </c>
      <c r="AM7" s="807" t="str">
        <f t="shared" si="17"/>
        <v>-</v>
      </c>
      <c r="AN7" s="814" t="str">
        <f t="shared" ca="1" si="18"/>
        <v>-</v>
      </c>
      <c r="AO7" s="815">
        <v>1</v>
      </c>
      <c r="AP7" s="816" t="str">
        <f t="shared" ca="1" si="19"/>
        <v>-</v>
      </c>
      <c r="AQ7" s="817"/>
      <c r="AR7" s="794" t="str">
        <f t="shared" si="20"/>
        <v>-</v>
      </c>
      <c r="AS7" s="818"/>
      <c r="AT7" s="794" t="str">
        <f t="shared" si="21"/>
        <v>-</v>
      </c>
      <c r="AU7" s="819"/>
      <c r="AV7" s="820"/>
      <c r="AW7" s="821"/>
      <c r="AX7" s="821"/>
      <c r="AY7" s="969" t="str">
        <f t="shared" si="22"/>
        <v>-</v>
      </c>
      <c r="AZ7" s="966" t="str">
        <f t="shared" si="23"/>
        <v>-</v>
      </c>
      <c r="BA7" s="971" t="str">
        <f t="shared" si="24"/>
        <v>-</v>
      </c>
      <c r="BB7" s="975"/>
      <c r="BC7" s="821"/>
      <c r="BD7" s="821"/>
      <c r="BE7" s="963" t="str">
        <f t="shared" si="25"/>
        <v>-</v>
      </c>
      <c r="BF7" s="984">
        <v>43033</v>
      </c>
      <c r="BG7" s="988" t="s">
        <v>3353</v>
      </c>
      <c r="BH7" s="986" t="s">
        <v>3354</v>
      </c>
      <c r="BI7" s="991">
        <v>5</v>
      </c>
      <c r="BJ7" s="991" t="s">
        <v>3356</v>
      </c>
      <c r="BK7" s="993">
        <f t="shared" ca="1" si="26"/>
        <v>101</v>
      </c>
      <c r="BL7" s="820">
        <v>42982</v>
      </c>
      <c r="BM7" s="821">
        <v>5</v>
      </c>
      <c r="BN7" s="822">
        <f t="shared" ca="1" si="27"/>
        <v>152</v>
      </c>
      <c r="BO7" s="823">
        <f t="shared" si="28"/>
        <v>52.9</v>
      </c>
      <c r="BP7" s="824"/>
      <c r="BQ7" s="821"/>
      <c r="BR7" s="822" t="str">
        <f t="shared" si="29"/>
        <v>-</v>
      </c>
      <c r="BS7" s="823" t="str">
        <f t="shared" si="30"/>
        <v>-</v>
      </c>
      <c r="BT7" s="825" t="str">
        <f t="shared" ca="1" si="31"/>
        <v>-</v>
      </c>
      <c r="BU7" s="826"/>
      <c r="BV7" s="827"/>
      <c r="BW7" s="828" t="str">
        <f t="shared" si="32"/>
        <v>Ж-Е НЕ ВАКЦ.</v>
      </c>
      <c r="BX7" s="829" t="str">
        <f t="shared" si="33"/>
        <v>-</v>
      </c>
      <c r="BY7" s="830" t="str">
        <f t="shared" ca="1" si="34"/>
        <v>-</v>
      </c>
      <c r="BZ7" s="831">
        <v>42887</v>
      </c>
      <c r="CA7" s="832">
        <v>5</v>
      </c>
      <c r="CB7" s="833">
        <f t="shared" ca="1" si="35"/>
        <v>247</v>
      </c>
      <c r="CC7" s="834" t="str">
        <f t="shared" ca="1" si="36"/>
        <v>-</v>
      </c>
      <c r="CD7" s="835">
        <f t="shared" si="37"/>
        <v>42908</v>
      </c>
      <c r="CE7" s="831">
        <v>42908</v>
      </c>
      <c r="CF7" s="832">
        <v>5</v>
      </c>
      <c r="CG7" s="833">
        <f t="shared" ca="1" si="38"/>
        <v>226</v>
      </c>
      <c r="CH7" s="836">
        <f t="shared" si="39"/>
        <v>0</v>
      </c>
      <c r="CI7" s="837" t="str">
        <f t="shared" si="40"/>
        <v>УСПЕШНО</v>
      </c>
      <c r="CJ7" s="838" t="str">
        <f t="shared" ca="1" si="41"/>
        <v>-</v>
      </c>
      <c r="CK7" s="831"/>
      <c r="CL7" s="832"/>
      <c r="CM7" s="833" t="str">
        <f t="shared" si="42"/>
        <v>-</v>
      </c>
      <c r="CN7" s="834" t="str">
        <f t="shared" si="43"/>
        <v>-</v>
      </c>
      <c r="CO7" s="830" t="str">
        <f t="shared" ca="1" si="44"/>
        <v>-</v>
      </c>
      <c r="CP7" s="831">
        <v>42925</v>
      </c>
      <c r="CQ7" s="832">
        <v>2</v>
      </c>
      <c r="CR7" s="833">
        <f t="shared" si="45"/>
        <v>-130</v>
      </c>
      <c r="CS7" s="833">
        <f t="shared" ca="1" si="46"/>
        <v>209</v>
      </c>
      <c r="CT7" s="834" t="str">
        <f t="shared" ca="1" si="47"/>
        <v>-</v>
      </c>
      <c r="CU7" s="835">
        <f t="shared" si="48"/>
        <v>42946</v>
      </c>
      <c r="CV7" s="831">
        <v>42946</v>
      </c>
      <c r="CW7" s="832">
        <v>2</v>
      </c>
      <c r="CX7" s="833">
        <f t="shared" si="49"/>
        <v>0</v>
      </c>
      <c r="CY7" s="840" t="str">
        <f t="shared" si="50"/>
        <v>УСПЕШНО</v>
      </c>
      <c r="CZ7" s="833">
        <f t="shared" si="51"/>
        <v>-109</v>
      </c>
      <c r="DA7" s="838" t="str">
        <f t="shared" ca="1" si="52"/>
        <v>-</v>
      </c>
      <c r="DB7" s="841"/>
      <c r="DC7" s="832"/>
    </row>
    <row r="8" spans="1:107" s="842" customFormat="1" ht="15.95" customHeight="1" x14ac:dyDescent="0.25">
      <c r="A8" s="790">
        <v>6</v>
      </c>
      <c r="B8" s="791">
        <f t="shared" ca="1" si="0"/>
        <v>43134</v>
      </c>
      <c r="C8" s="792" t="s">
        <v>614</v>
      </c>
      <c r="D8" s="793" t="s">
        <v>3201</v>
      </c>
      <c r="E8" s="794" t="s">
        <v>3235</v>
      </c>
      <c r="F8" s="795" t="s">
        <v>428</v>
      </c>
      <c r="G8" s="796">
        <f>SUMIFS(МОЛОКО!L8:L6958,МОЛОКО!F8:F6958,"1985",МОЛОКО!L8:L6958,"&gt;0")</f>
        <v>35</v>
      </c>
      <c r="H8" s="797" t="s">
        <v>603</v>
      </c>
      <c r="I8" s="798">
        <v>41561</v>
      </c>
      <c r="J8" s="799">
        <f t="shared" ca="1" si="1"/>
        <v>4.3095890410958901</v>
      </c>
      <c r="K8" s="799">
        <f t="shared" ca="1" si="2"/>
        <v>52.43333333333333</v>
      </c>
      <c r="L8" s="800">
        <f t="shared" ca="1" si="3"/>
        <v>1573</v>
      </c>
      <c r="M8" s="801">
        <v>42366</v>
      </c>
      <c r="N8" s="802">
        <v>42811</v>
      </c>
      <c r="O8" s="803">
        <f t="shared" ca="1" si="4"/>
        <v>323</v>
      </c>
      <c r="P8" s="804">
        <v>2</v>
      </c>
      <c r="Q8" s="805"/>
      <c r="R8" s="806"/>
      <c r="S8" s="807"/>
      <c r="T8" s="798"/>
      <c r="U8" s="798" t="str">
        <f t="shared" si="5"/>
        <v>-</v>
      </c>
      <c r="V8" s="804" t="str">
        <f t="shared" ca="1" si="6"/>
        <v>-</v>
      </c>
      <c r="W8" s="808">
        <v>0</v>
      </c>
      <c r="X8" s="794" t="str">
        <f t="shared" si="7"/>
        <v>-</v>
      </c>
      <c r="Y8" s="794">
        <v>0</v>
      </c>
      <c r="Z8" s="809" t="str">
        <f t="shared" ca="1" si="8"/>
        <v>-----</v>
      </c>
      <c r="AA8" s="810">
        <f t="shared" ca="1" si="9"/>
        <v>43134</v>
      </c>
      <c r="AB8" s="804"/>
      <c r="AC8" s="811" t="str">
        <f t="shared" ca="1" si="10"/>
        <v>-----</v>
      </c>
      <c r="AD8" s="798"/>
      <c r="AE8" s="794" t="str">
        <f t="shared" ca="1" si="11"/>
        <v>яловая</v>
      </c>
      <c r="AF8" s="798" t="str">
        <f t="shared" si="12"/>
        <v>-</v>
      </c>
      <c r="AG8" s="812" t="str">
        <f t="shared" si="13"/>
        <v>---------</v>
      </c>
      <c r="AH8" s="807"/>
      <c r="AI8" s="807" t="str">
        <f t="shared" si="14"/>
        <v>-</v>
      </c>
      <c r="AJ8" s="807" t="str">
        <f t="shared" si="15"/>
        <v>-</v>
      </c>
      <c r="AK8" s="813"/>
      <c r="AL8" s="807" t="str">
        <f t="shared" si="16"/>
        <v>-</v>
      </c>
      <c r="AM8" s="807" t="str">
        <f t="shared" si="17"/>
        <v>-</v>
      </c>
      <c r="AN8" s="814" t="str">
        <f t="shared" ca="1" si="18"/>
        <v>-</v>
      </c>
      <c r="AO8" s="815">
        <v>1</v>
      </c>
      <c r="AP8" s="816" t="str">
        <f t="shared" ca="1" si="19"/>
        <v>БРАК</v>
      </c>
      <c r="AQ8" s="817" t="s">
        <v>1863</v>
      </c>
      <c r="AR8" s="794" t="str">
        <f t="shared" si="20"/>
        <v>-</v>
      </c>
      <c r="AS8" s="818"/>
      <c r="AT8" s="794" t="str">
        <f t="shared" si="21"/>
        <v>-</v>
      </c>
      <c r="AU8" s="819"/>
      <c r="AV8" s="820"/>
      <c r="AW8" s="821"/>
      <c r="AX8" s="821"/>
      <c r="AY8" s="969" t="str">
        <f t="shared" si="22"/>
        <v>-</v>
      </c>
      <c r="AZ8" s="966" t="str">
        <f t="shared" si="23"/>
        <v>-</v>
      </c>
      <c r="BA8" s="971" t="str">
        <f t="shared" si="24"/>
        <v>-</v>
      </c>
      <c r="BB8" s="975"/>
      <c r="BC8" s="821"/>
      <c r="BD8" s="821"/>
      <c r="BE8" s="963" t="str">
        <f t="shared" si="25"/>
        <v>-</v>
      </c>
      <c r="BF8" s="984">
        <v>43033</v>
      </c>
      <c r="BG8" s="988" t="s">
        <v>3353</v>
      </c>
      <c r="BH8" s="986" t="s">
        <v>3354</v>
      </c>
      <c r="BI8" s="991">
        <v>5</v>
      </c>
      <c r="BJ8" s="991" t="s">
        <v>3356</v>
      </c>
      <c r="BK8" s="993">
        <f t="shared" ca="1" si="26"/>
        <v>101</v>
      </c>
      <c r="BL8" s="820">
        <v>42980</v>
      </c>
      <c r="BM8" s="821">
        <v>5</v>
      </c>
      <c r="BN8" s="822">
        <f t="shared" ca="1" si="27"/>
        <v>154</v>
      </c>
      <c r="BO8" s="823">
        <f t="shared" si="28"/>
        <v>47.3</v>
      </c>
      <c r="BP8" s="824">
        <v>43001</v>
      </c>
      <c r="BQ8" s="821">
        <v>2</v>
      </c>
      <c r="BR8" s="822">
        <f t="shared" ca="1" si="29"/>
        <v>133</v>
      </c>
      <c r="BS8" s="823">
        <f t="shared" si="30"/>
        <v>21.166666666666668</v>
      </c>
      <c r="BT8" s="825" t="str">
        <f t="shared" ca="1" si="31"/>
        <v>-</v>
      </c>
      <c r="BU8" s="826"/>
      <c r="BV8" s="827"/>
      <c r="BW8" s="828" t="str">
        <f t="shared" si="32"/>
        <v>Ж-Е НЕ ВАКЦ.</v>
      </c>
      <c r="BX8" s="829" t="str">
        <f t="shared" si="33"/>
        <v>-</v>
      </c>
      <c r="BY8" s="830" t="str">
        <f t="shared" ca="1" si="34"/>
        <v>-</v>
      </c>
      <c r="BZ8" s="831">
        <v>42887</v>
      </c>
      <c r="CA8" s="832">
        <v>5</v>
      </c>
      <c r="CB8" s="833">
        <f t="shared" ca="1" si="35"/>
        <v>247</v>
      </c>
      <c r="CC8" s="834" t="str">
        <f t="shared" ca="1" si="36"/>
        <v>-</v>
      </c>
      <c r="CD8" s="835">
        <f t="shared" si="37"/>
        <v>42908</v>
      </c>
      <c r="CE8" s="831">
        <v>42908</v>
      </c>
      <c r="CF8" s="832">
        <v>5</v>
      </c>
      <c r="CG8" s="833">
        <f t="shared" ca="1" si="38"/>
        <v>226</v>
      </c>
      <c r="CH8" s="836">
        <f t="shared" si="39"/>
        <v>0</v>
      </c>
      <c r="CI8" s="837" t="str">
        <f t="shared" si="40"/>
        <v>УСПЕШНО</v>
      </c>
      <c r="CJ8" s="838" t="str">
        <f t="shared" ca="1" si="41"/>
        <v>-</v>
      </c>
      <c r="CK8" s="831"/>
      <c r="CL8" s="832"/>
      <c r="CM8" s="833" t="str">
        <f t="shared" si="42"/>
        <v>-</v>
      </c>
      <c r="CN8" s="834" t="str">
        <f t="shared" si="43"/>
        <v>-</v>
      </c>
      <c r="CO8" s="830" t="str">
        <f t="shared" ca="1" si="44"/>
        <v>-</v>
      </c>
      <c r="CP8" s="839"/>
      <c r="CQ8" s="832"/>
      <c r="CR8" s="833" t="str">
        <f t="shared" si="45"/>
        <v>-</v>
      </c>
      <c r="CS8" s="833" t="str">
        <f t="shared" si="46"/>
        <v>-</v>
      </c>
      <c r="CT8" s="834" t="str">
        <f t="shared" si="47"/>
        <v>-</v>
      </c>
      <c r="CU8" s="835" t="str">
        <f t="shared" si="48"/>
        <v>-</v>
      </c>
      <c r="CV8" s="839"/>
      <c r="CW8" s="832"/>
      <c r="CX8" s="833" t="str">
        <f t="shared" si="49"/>
        <v>-</v>
      </c>
      <c r="CY8" s="840" t="str">
        <f t="shared" si="50"/>
        <v>-</v>
      </c>
      <c r="CZ8" s="833" t="str">
        <f t="shared" si="51"/>
        <v>-</v>
      </c>
      <c r="DA8" s="838" t="str">
        <f t="shared" ca="1" si="52"/>
        <v>-</v>
      </c>
      <c r="DB8" s="841"/>
      <c r="DC8" s="832"/>
    </row>
    <row r="9" spans="1:107" s="842" customFormat="1" ht="15.95" customHeight="1" x14ac:dyDescent="0.25">
      <c r="A9" s="790">
        <v>7</v>
      </c>
      <c r="B9" s="791">
        <f t="shared" ca="1" si="0"/>
        <v>43134</v>
      </c>
      <c r="C9" s="792" t="s">
        <v>614</v>
      </c>
      <c r="D9" s="793" t="s">
        <v>3201</v>
      </c>
      <c r="E9" s="794" t="s">
        <v>183</v>
      </c>
      <c r="F9" s="795" t="s">
        <v>1130</v>
      </c>
      <c r="G9" s="796">
        <f>SUMIFS(МОЛОКО!L8:L6958,МОЛОКО!F8:F6958,"2012",МОЛОКО!L8:L6958,"&gt;0")</f>
        <v>22.6</v>
      </c>
      <c r="H9" s="797" t="s">
        <v>603</v>
      </c>
      <c r="I9" s="798">
        <v>41581</v>
      </c>
      <c r="J9" s="799">
        <f t="shared" ca="1" si="1"/>
        <v>4.2547945205479456</v>
      </c>
      <c r="K9" s="799">
        <f t="shared" ca="1" si="2"/>
        <v>51.766666666666666</v>
      </c>
      <c r="L9" s="800">
        <f t="shared" ca="1" si="3"/>
        <v>1553</v>
      </c>
      <c r="M9" s="801">
        <v>42484</v>
      </c>
      <c r="N9" s="802">
        <v>42923</v>
      </c>
      <c r="O9" s="803">
        <f t="shared" ca="1" si="4"/>
        <v>211</v>
      </c>
      <c r="P9" s="804">
        <v>2</v>
      </c>
      <c r="Q9" s="805" t="s">
        <v>1451</v>
      </c>
      <c r="R9" s="118" t="s">
        <v>2962</v>
      </c>
      <c r="S9" s="807">
        <v>42985</v>
      </c>
      <c r="T9" s="798">
        <v>43028</v>
      </c>
      <c r="U9" s="798">
        <f t="shared" si="5"/>
        <v>43046</v>
      </c>
      <c r="V9" s="804">
        <f t="shared" ca="1" si="6"/>
        <v>88</v>
      </c>
      <c r="W9" s="808">
        <v>2</v>
      </c>
      <c r="X9" s="794">
        <f t="shared" si="7"/>
        <v>105</v>
      </c>
      <c r="Y9" s="794">
        <v>3</v>
      </c>
      <c r="Z9" s="809" t="str">
        <f t="shared" ca="1" si="8"/>
        <v>-----</v>
      </c>
      <c r="AA9" s="810">
        <f t="shared" ca="1" si="9"/>
        <v>106</v>
      </c>
      <c r="AB9" s="804"/>
      <c r="AC9" s="811" t="str">
        <f t="shared" ca="1" si="10"/>
        <v>-----</v>
      </c>
      <c r="AD9" s="798"/>
      <c r="AE9" s="794" t="str">
        <f t="shared" ca="1" si="11"/>
        <v>-</v>
      </c>
      <c r="AF9" s="798">
        <f t="shared" si="12"/>
        <v>43063</v>
      </c>
      <c r="AG9" s="812">
        <f t="shared" ca="1" si="13"/>
        <v>71</v>
      </c>
      <c r="AH9" s="807">
        <v>43020</v>
      </c>
      <c r="AI9" s="807" t="str">
        <f t="shared" si="14"/>
        <v>-</v>
      </c>
      <c r="AJ9" s="807" t="str">
        <f t="shared" si="15"/>
        <v>-</v>
      </c>
      <c r="AK9" s="813"/>
      <c r="AL9" s="807" t="str">
        <f t="shared" si="16"/>
        <v>-</v>
      </c>
      <c r="AM9" s="807" t="str">
        <f t="shared" si="17"/>
        <v>-</v>
      </c>
      <c r="AN9" s="814" t="str">
        <f t="shared" ca="1" si="18"/>
        <v>-</v>
      </c>
      <c r="AO9" s="815">
        <v>1</v>
      </c>
      <c r="AP9" s="816" t="str">
        <f t="shared" ca="1" si="19"/>
        <v>-</v>
      </c>
      <c r="AQ9" s="817"/>
      <c r="AR9" s="794" t="str">
        <f t="shared" si="20"/>
        <v>-</v>
      </c>
      <c r="AS9" s="818"/>
      <c r="AT9" s="794" t="str">
        <f t="shared" si="21"/>
        <v>-</v>
      </c>
      <c r="AU9" s="819"/>
      <c r="AV9" s="820"/>
      <c r="AW9" s="821"/>
      <c r="AX9" s="821"/>
      <c r="AY9" s="969" t="str">
        <f t="shared" si="22"/>
        <v>-</v>
      </c>
      <c r="AZ9" s="966" t="str">
        <f t="shared" si="23"/>
        <v>-</v>
      </c>
      <c r="BA9" s="971" t="str">
        <f t="shared" si="24"/>
        <v>-</v>
      </c>
      <c r="BB9" s="975"/>
      <c r="BC9" s="821"/>
      <c r="BD9" s="821"/>
      <c r="BE9" s="963" t="str">
        <f t="shared" si="25"/>
        <v>-</v>
      </c>
      <c r="BF9" s="984">
        <v>43033</v>
      </c>
      <c r="BG9" s="988" t="s">
        <v>3353</v>
      </c>
      <c r="BH9" s="986" t="s">
        <v>3354</v>
      </c>
      <c r="BI9" s="991">
        <v>5</v>
      </c>
      <c r="BJ9" s="991" t="s">
        <v>3356</v>
      </c>
      <c r="BK9" s="993">
        <f t="shared" ca="1" si="26"/>
        <v>101</v>
      </c>
      <c r="BL9" s="820">
        <v>42980</v>
      </c>
      <c r="BM9" s="821">
        <v>5</v>
      </c>
      <c r="BN9" s="822">
        <f t="shared" ca="1" si="27"/>
        <v>154</v>
      </c>
      <c r="BO9" s="823">
        <f t="shared" si="28"/>
        <v>46.633333333333333</v>
      </c>
      <c r="BP9" s="824">
        <v>43001</v>
      </c>
      <c r="BQ9" s="821">
        <v>2</v>
      </c>
      <c r="BR9" s="822">
        <f t="shared" ca="1" si="29"/>
        <v>133</v>
      </c>
      <c r="BS9" s="823">
        <f t="shared" si="30"/>
        <v>17.233333333333334</v>
      </c>
      <c r="BT9" s="825" t="str">
        <f t="shared" ca="1" si="31"/>
        <v>-</v>
      </c>
      <c r="BU9" s="826"/>
      <c r="BV9" s="827"/>
      <c r="BW9" s="828" t="str">
        <f t="shared" si="32"/>
        <v>Ж-Е НЕ ВАКЦ.</v>
      </c>
      <c r="BX9" s="829" t="str">
        <f t="shared" si="33"/>
        <v>-</v>
      </c>
      <c r="BY9" s="830" t="str">
        <f t="shared" ca="1" si="34"/>
        <v>-</v>
      </c>
      <c r="BZ9" s="831">
        <v>42964</v>
      </c>
      <c r="CA9" s="832">
        <v>5</v>
      </c>
      <c r="CB9" s="833">
        <f t="shared" ca="1" si="35"/>
        <v>170</v>
      </c>
      <c r="CC9" s="834" t="str">
        <f t="shared" ca="1" si="36"/>
        <v>-</v>
      </c>
      <c r="CD9" s="835">
        <f t="shared" si="37"/>
        <v>42985</v>
      </c>
      <c r="CE9" s="831">
        <v>42985</v>
      </c>
      <c r="CF9" s="832">
        <v>5</v>
      </c>
      <c r="CG9" s="833">
        <f t="shared" ca="1" si="38"/>
        <v>149</v>
      </c>
      <c r="CH9" s="836">
        <f t="shared" si="39"/>
        <v>0</v>
      </c>
      <c r="CI9" s="837" t="str">
        <f t="shared" si="40"/>
        <v>УСПЕШНО</v>
      </c>
      <c r="CJ9" s="838" t="str">
        <f t="shared" ca="1" si="41"/>
        <v>-</v>
      </c>
      <c r="CK9" s="831"/>
      <c r="CL9" s="832"/>
      <c r="CM9" s="833" t="str">
        <f t="shared" si="42"/>
        <v>-</v>
      </c>
      <c r="CN9" s="834" t="str">
        <f t="shared" si="43"/>
        <v>-</v>
      </c>
      <c r="CO9" s="830" t="str">
        <f t="shared" ca="1" si="44"/>
        <v>-</v>
      </c>
      <c r="CP9" s="831">
        <v>42882</v>
      </c>
      <c r="CQ9" s="832">
        <v>2</v>
      </c>
      <c r="CR9" s="833">
        <f t="shared" si="45"/>
        <v>-146</v>
      </c>
      <c r="CS9" s="833">
        <f t="shared" ca="1" si="46"/>
        <v>252</v>
      </c>
      <c r="CT9" s="834" t="str">
        <f t="shared" ca="1" si="47"/>
        <v>-</v>
      </c>
      <c r="CU9" s="835">
        <f t="shared" si="48"/>
        <v>42903</v>
      </c>
      <c r="CV9" s="831">
        <v>42903</v>
      </c>
      <c r="CW9" s="832">
        <v>2</v>
      </c>
      <c r="CX9" s="833">
        <f t="shared" si="49"/>
        <v>0</v>
      </c>
      <c r="CY9" s="840" t="str">
        <f t="shared" si="50"/>
        <v>УСПЕШНО</v>
      </c>
      <c r="CZ9" s="833">
        <f t="shared" si="51"/>
        <v>-125</v>
      </c>
      <c r="DA9" s="838" t="str">
        <f t="shared" ca="1" si="52"/>
        <v>-</v>
      </c>
      <c r="DB9" s="841"/>
      <c r="DC9" s="832"/>
    </row>
    <row r="10" spans="1:107" s="842" customFormat="1" ht="15.95" customHeight="1" x14ac:dyDescent="0.25">
      <c r="A10" s="790">
        <v>8</v>
      </c>
      <c r="B10" s="791">
        <f t="shared" ca="1" si="0"/>
        <v>43134</v>
      </c>
      <c r="C10" s="792" t="s">
        <v>614</v>
      </c>
      <c r="D10" s="793" t="s">
        <v>3201</v>
      </c>
      <c r="E10" s="794" t="s">
        <v>437</v>
      </c>
      <c r="F10" s="795" t="s">
        <v>438</v>
      </c>
      <c r="G10" s="796">
        <f>SUMIFS(МОЛОКО!L8:L6958,МОЛОКО!F8:F6958,"2025",МОЛОКО!L8:L6958,"&gt;0")</f>
        <v>20</v>
      </c>
      <c r="H10" s="797" t="s">
        <v>603</v>
      </c>
      <c r="I10" s="798">
        <v>41593</v>
      </c>
      <c r="J10" s="799">
        <f t="shared" ca="1" si="1"/>
        <v>4.2219178082191782</v>
      </c>
      <c r="K10" s="799">
        <f t="shared" ca="1" si="2"/>
        <v>51.366666666666667</v>
      </c>
      <c r="L10" s="800">
        <f t="shared" ca="1" si="3"/>
        <v>1541</v>
      </c>
      <c r="M10" s="801">
        <v>42352</v>
      </c>
      <c r="N10" s="802">
        <v>42796</v>
      </c>
      <c r="O10" s="803">
        <f t="shared" ca="1" si="4"/>
        <v>338</v>
      </c>
      <c r="P10" s="804">
        <v>2</v>
      </c>
      <c r="Q10" s="805" t="s">
        <v>1451</v>
      </c>
      <c r="R10" s="806" t="s">
        <v>2663</v>
      </c>
      <c r="S10" s="807">
        <v>42859</v>
      </c>
      <c r="T10" s="798">
        <v>42859</v>
      </c>
      <c r="U10" s="798" t="str">
        <f t="shared" si="5"/>
        <v>-</v>
      </c>
      <c r="V10" s="804" t="str">
        <f t="shared" ca="1" si="6"/>
        <v>-</v>
      </c>
      <c r="W10" s="808">
        <v>1</v>
      </c>
      <c r="X10" s="794">
        <f t="shared" si="7"/>
        <v>63</v>
      </c>
      <c r="Y10" s="794">
        <v>1</v>
      </c>
      <c r="Z10" s="809" t="str">
        <f t="shared" ca="1" si="8"/>
        <v>-----</v>
      </c>
      <c r="AA10" s="810" t="str">
        <f t="shared" ca="1" si="9"/>
        <v>-----</v>
      </c>
      <c r="AB10" s="804">
        <v>1</v>
      </c>
      <c r="AC10" s="811" t="str">
        <f t="shared" ca="1" si="10"/>
        <v>-----</v>
      </c>
      <c r="AD10" s="798">
        <v>42935</v>
      </c>
      <c r="AE10" s="794" t="str">
        <f t="shared" ca="1" si="11"/>
        <v>-</v>
      </c>
      <c r="AF10" s="798" t="str">
        <f t="shared" si="12"/>
        <v>-</v>
      </c>
      <c r="AG10" s="812" t="str">
        <f t="shared" si="13"/>
        <v>---------</v>
      </c>
      <c r="AH10" s="807">
        <v>42893</v>
      </c>
      <c r="AI10" s="807">
        <f t="shared" si="14"/>
        <v>43049</v>
      </c>
      <c r="AJ10" s="807">
        <f t="shared" si="15"/>
        <v>43079</v>
      </c>
      <c r="AK10" s="813"/>
      <c r="AL10" s="807">
        <f t="shared" si="16"/>
        <v>43118</v>
      </c>
      <c r="AM10" s="807">
        <f t="shared" si="17"/>
        <v>43139</v>
      </c>
      <c r="AN10" s="814">
        <f t="shared" ca="1" si="18"/>
        <v>-5</v>
      </c>
      <c r="AO10" s="815">
        <v>1</v>
      </c>
      <c r="AP10" s="816" t="str">
        <f t="shared" ca="1" si="19"/>
        <v>-</v>
      </c>
      <c r="AQ10" s="817"/>
      <c r="AR10" s="794" t="str">
        <f t="shared" si="20"/>
        <v>-</v>
      </c>
      <c r="AS10" s="818"/>
      <c r="AT10" s="794" t="str">
        <f t="shared" si="21"/>
        <v>-</v>
      </c>
      <c r="AU10" s="819"/>
      <c r="AV10" s="820"/>
      <c r="AW10" s="821"/>
      <c r="AX10" s="821"/>
      <c r="AY10" s="969" t="str">
        <f t="shared" si="22"/>
        <v>-</v>
      </c>
      <c r="AZ10" s="966" t="str">
        <f t="shared" si="23"/>
        <v>-</v>
      </c>
      <c r="BA10" s="971" t="str">
        <f t="shared" si="24"/>
        <v>-</v>
      </c>
      <c r="BB10" s="975"/>
      <c r="BC10" s="821"/>
      <c r="BD10" s="821"/>
      <c r="BE10" s="963" t="str">
        <f t="shared" si="25"/>
        <v>-</v>
      </c>
      <c r="BF10" s="984">
        <v>43033</v>
      </c>
      <c r="BG10" s="988" t="s">
        <v>3353</v>
      </c>
      <c r="BH10" s="986" t="s">
        <v>3354</v>
      </c>
      <c r="BI10" s="991">
        <v>5</v>
      </c>
      <c r="BJ10" s="991" t="s">
        <v>3356</v>
      </c>
      <c r="BK10" s="993">
        <f t="shared" ca="1" si="26"/>
        <v>101</v>
      </c>
      <c r="BL10" s="820">
        <v>42981</v>
      </c>
      <c r="BM10" s="821">
        <v>5</v>
      </c>
      <c r="BN10" s="822">
        <f t="shared" ca="1" si="27"/>
        <v>153</v>
      </c>
      <c r="BO10" s="823">
        <f t="shared" si="28"/>
        <v>46.266666666666666</v>
      </c>
      <c r="BP10" s="824">
        <v>43001</v>
      </c>
      <c r="BQ10" s="821">
        <v>2</v>
      </c>
      <c r="BR10" s="822">
        <f t="shared" ca="1" si="29"/>
        <v>133</v>
      </c>
      <c r="BS10" s="823">
        <f t="shared" si="30"/>
        <v>21.633333333333333</v>
      </c>
      <c r="BT10" s="825" t="str">
        <f t="shared" ca="1" si="31"/>
        <v>-</v>
      </c>
      <c r="BU10" s="826"/>
      <c r="BV10" s="827"/>
      <c r="BW10" s="828" t="str">
        <f t="shared" si="32"/>
        <v>Ж-Е НЕ ВАКЦ.</v>
      </c>
      <c r="BX10" s="829" t="str">
        <f t="shared" si="33"/>
        <v>-</v>
      </c>
      <c r="BY10" s="830" t="str">
        <f t="shared" ca="1" si="34"/>
        <v>-</v>
      </c>
      <c r="BZ10" s="831">
        <v>42887</v>
      </c>
      <c r="CA10" s="832">
        <v>5</v>
      </c>
      <c r="CB10" s="833">
        <f t="shared" ca="1" si="35"/>
        <v>247</v>
      </c>
      <c r="CC10" s="834" t="str">
        <f t="shared" ca="1" si="36"/>
        <v>-</v>
      </c>
      <c r="CD10" s="835">
        <f t="shared" si="37"/>
        <v>42908</v>
      </c>
      <c r="CE10" s="831">
        <v>42908</v>
      </c>
      <c r="CF10" s="832">
        <v>5</v>
      </c>
      <c r="CG10" s="833">
        <f t="shared" ca="1" si="38"/>
        <v>226</v>
      </c>
      <c r="CH10" s="836">
        <f t="shared" si="39"/>
        <v>0</v>
      </c>
      <c r="CI10" s="837" t="str">
        <f t="shared" si="40"/>
        <v>УСПЕШНО</v>
      </c>
      <c r="CJ10" s="838" t="str">
        <f t="shared" ca="1" si="41"/>
        <v>-</v>
      </c>
      <c r="CK10" s="831"/>
      <c r="CL10" s="832"/>
      <c r="CM10" s="833" t="str">
        <f t="shared" si="42"/>
        <v>-</v>
      </c>
      <c r="CN10" s="834" t="str">
        <f t="shared" si="43"/>
        <v>-</v>
      </c>
      <c r="CO10" s="830" t="str">
        <f t="shared" ca="1" si="44"/>
        <v>ТРЕБУЕТСЯ ВАКЦИНАЦИЯ</v>
      </c>
      <c r="CP10" s="839"/>
      <c r="CQ10" s="832"/>
      <c r="CR10" s="833" t="str">
        <f t="shared" si="45"/>
        <v>-</v>
      </c>
      <c r="CS10" s="833" t="str">
        <f t="shared" si="46"/>
        <v>-</v>
      </c>
      <c r="CT10" s="834" t="str">
        <f t="shared" si="47"/>
        <v>-</v>
      </c>
      <c r="CU10" s="835" t="str">
        <f t="shared" si="48"/>
        <v>-</v>
      </c>
      <c r="CV10" s="839"/>
      <c r="CW10" s="832"/>
      <c r="CX10" s="833" t="str">
        <f t="shared" si="49"/>
        <v>-</v>
      </c>
      <c r="CY10" s="840" t="str">
        <f t="shared" si="50"/>
        <v>-</v>
      </c>
      <c r="CZ10" s="833" t="str">
        <f t="shared" si="51"/>
        <v>-</v>
      </c>
      <c r="DA10" s="838" t="str">
        <f t="shared" ca="1" si="52"/>
        <v>-</v>
      </c>
      <c r="DB10" s="841"/>
      <c r="DC10" s="832"/>
    </row>
    <row r="11" spans="1:107" s="842" customFormat="1" ht="15.95" customHeight="1" x14ac:dyDescent="0.25">
      <c r="A11" s="790">
        <v>9</v>
      </c>
      <c r="B11" s="791">
        <f t="shared" ca="1" si="0"/>
        <v>43134</v>
      </c>
      <c r="C11" s="792" t="s">
        <v>614</v>
      </c>
      <c r="D11" s="793" t="s">
        <v>3201</v>
      </c>
      <c r="E11" s="794" t="s">
        <v>1361</v>
      </c>
      <c r="F11" s="795" t="s">
        <v>1246</v>
      </c>
      <c r="G11" s="796">
        <f>SUMIFS(МОЛОКО!L8:L6958,МОЛОКО!F8:F6958,"2038",МОЛОКО!L8:L6958,"&gt;0")</f>
        <v>24.8</v>
      </c>
      <c r="H11" s="797" t="s">
        <v>603</v>
      </c>
      <c r="I11" s="798">
        <v>41599</v>
      </c>
      <c r="J11" s="799">
        <f t="shared" ca="1" si="1"/>
        <v>4.2054794520547949</v>
      </c>
      <c r="K11" s="799">
        <f t="shared" ca="1" si="2"/>
        <v>51.166666666666664</v>
      </c>
      <c r="L11" s="800">
        <f t="shared" ca="1" si="3"/>
        <v>1535</v>
      </c>
      <c r="M11" s="801">
        <v>42462</v>
      </c>
      <c r="N11" s="802">
        <v>42800</v>
      </c>
      <c r="O11" s="803">
        <f t="shared" ca="1" si="4"/>
        <v>334</v>
      </c>
      <c r="P11" s="804">
        <v>2</v>
      </c>
      <c r="Q11" s="805" t="s">
        <v>1451</v>
      </c>
      <c r="R11" s="806" t="s">
        <v>2663</v>
      </c>
      <c r="S11" s="807">
        <v>42866</v>
      </c>
      <c r="T11" s="798">
        <v>42866</v>
      </c>
      <c r="U11" s="798" t="str">
        <f t="shared" si="5"/>
        <v>-</v>
      </c>
      <c r="V11" s="804" t="str">
        <f t="shared" ca="1" si="6"/>
        <v>-</v>
      </c>
      <c r="W11" s="808">
        <v>1</v>
      </c>
      <c r="X11" s="794">
        <f t="shared" si="7"/>
        <v>66</v>
      </c>
      <c r="Y11" s="794">
        <v>1</v>
      </c>
      <c r="Z11" s="809" t="str">
        <f t="shared" ca="1" si="8"/>
        <v>-----</v>
      </c>
      <c r="AA11" s="810" t="str">
        <f t="shared" ca="1" si="9"/>
        <v>-----</v>
      </c>
      <c r="AB11" s="804">
        <v>1</v>
      </c>
      <c r="AC11" s="811" t="str">
        <f t="shared" ca="1" si="10"/>
        <v>-----</v>
      </c>
      <c r="AD11" s="798">
        <v>42935</v>
      </c>
      <c r="AE11" s="794" t="str">
        <f t="shared" ca="1" si="11"/>
        <v>-</v>
      </c>
      <c r="AF11" s="798" t="str">
        <f t="shared" si="12"/>
        <v>-</v>
      </c>
      <c r="AG11" s="812" t="str">
        <f t="shared" si="13"/>
        <v>---------</v>
      </c>
      <c r="AH11" s="807">
        <v>42908</v>
      </c>
      <c r="AI11" s="807">
        <f t="shared" si="14"/>
        <v>43056</v>
      </c>
      <c r="AJ11" s="807">
        <f t="shared" si="15"/>
        <v>43086</v>
      </c>
      <c r="AK11" s="813"/>
      <c r="AL11" s="807">
        <f t="shared" si="16"/>
        <v>43125</v>
      </c>
      <c r="AM11" s="807">
        <f t="shared" si="17"/>
        <v>43146</v>
      </c>
      <c r="AN11" s="814">
        <f t="shared" ca="1" si="18"/>
        <v>-12</v>
      </c>
      <c r="AO11" s="815">
        <v>1</v>
      </c>
      <c r="AP11" s="816" t="str">
        <f t="shared" ca="1" si="19"/>
        <v>-</v>
      </c>
      <c r="AQ11" s="817"/>
      <c r="AR11" s="794" t="str">
        <f t="shared" si="20"/>
        <v>-</v>
      </c>
      <c r="AS11" s="818"/>
      <c r="AT11" s="794" t="str">
        <f t="shared" si="21"/>
        <v>-</v>
      </c>
      <c r="AU11" s="819"/>
      <c r="AV11" s="820"/>
      <c r="AW11" s="821"/>
      <c r="AX11" s="821"/>
      <c r="AY11" s="969" t="str">
        <f t="shared" si="22"/>
        <v>-</v>
      </c>
      <c r="AZ11" s="966" t="str">
        <f t="shared" si="23"/>
        <v>-</v>
      </c>
      <c r="BA11" s="971" t="str">
        <f t="shared" si="24"/>
        <v>-</v>
      </c>
      <c r="BB11" s="975"/>
      <c r="BC11" s="821"/>
      <c r="BD11" s="821"/>
      <c r="BE11" s="963" t="str">
        <f t="shared" si="25"/>
        <v>-</v>
      </c>
      <c r="BF11" s="984">
        <v>43033</v>
      </c>
      <c r="BG11" s="988" t="s">
        <v>3353</v>
      </c>
      <c r="BH11" s="986" t="s">
        <v>3354</v>
      </c>
      <c r="BI11" s="991">
        <v>5</v>
      </c>
      <c r="BJ11" s="991" t="s">
        <v>3356</v>
      </c>
      <c r="BK11" s="993">
        <f t="shared" ca="1" si="26"/>
        <v>101</v>
      </c>
      <c r="BL11" s="820">
        <v>42981</v>
      </c>
      <c r="BM11" s="821">
        <v>5</v>
      </c>
      <c r="BN11" s="822">
        <f t="shared" ca="1" si="27"/>
        <v>153</v>
      </c>
      <c r="BO11" s="823">
        <f t="shared" si="28"/>
        <v>46.06666666666667</v>
      </c>
      <c r="BP11" s="824">
        <v>43001</v>
      </c>
      <c r="BQ11" s="821">
        <v>2</v>
      </c>
      <c r="BR11" s="822">
        <f t="shared" ca="1" si="29"/>
        <v>133</v>
      </c>
      <c r="BS11" s="823">
        <f t="shared" si="30"/>
        <v>17.966666666666665</v>
      </c>
      <c r="BT11" s="825" t="str">
        <f t="shared" ca="1" si="31"/>
        <v>-</v>
      </c>
      <c r="BU11" s="826"/>
      <c r="BV11" s="827"/>
      <c r="BW11" s="828" t="str">
        <f t="shared" si="32"/>
        <v>Ж-Е НЕ ВАКЦ.</v>
      </c>
      <c r="BX11" s="829" t="str">
        <f t="shared" si="33"/>
        <v>-</v>
      </c>
      <c r="BY11" s="830" t="str">
        <f t="shared" ca="1" si="34"/>
        <v>-</v>
      </c>
      <c r="BZ11" s="831">
        <v>42887</v>
      </c>
      <c r="CA11" s="832">
        <v>5</v>
      </c>
      <c r="CB11" s="833">
        <f t="shared" ca="1" si="35"/>
        <v>247</v>
      </c>
      <c r="CC11" s="834" t="str">
        <f t="shared" ca="1" si="36"/>
        <v>-</v>
      </c>
      <c r="CD11" s="835">
        <f t="shared" si="37"/>
        <v>42908</v>
      </c>
      <c r="CE11" s="831">
        <v>42908</v>
      </c>
      <c r="CF11" s="832">
        <v>5</v>
      </c>
      <c r="CG11" s="833">
        <f t="shared" ca="1" si="38"/>
        <v>226</v>
      </c>
      <c r="CH11" s="836">
        <f t="shared" si="39"/>
        <v>0</v>
      </c>
      <c r="CI11" s="837" t="str">
        <f t="shared" si="40"/>
        <v>УСПЕШНО</v>
      </c>
      <c r="CJ11" s="838" t="str">
        <f t="shared" ca="1" si="41"/>
        <v>-</v>
      </c>
      <c r="CK11" s="831"/>
      <c r="CL11" s="832"/>
      <c r="CM11" s="833" t="str">
        <f t="shared" si="42"/>
        <v>-</v>
      </c>
      <c r="CN11" s="834" t="str">
        <f t="shared" si="43"/>
        <v>-</v>
      </c>
      <c r="CO11" s="830" t="str">
        <f t="shared" ca="1" si="44"/>
        <v>ТРЕБУЕТСЯ ВАКЦИНАЦИЯ</v>
      </c>
      <c r="CP11" s="839"/>
      <c r="CQ11" s="832"/>
      <c r="CR11" s="833" t="str">
        <f t="shared" si="45"/>
        <v>-</v>
      </c>
      <c r="CS11" s="833" t="str">
        <f t="shared" si="46"/>
        <v>-</v>
      </c>
      <c r="CT11" s="834" t="str">
        <f t="shared" si="47"/>
        <v>-</v>
      </c>
      <c r="CU11" s="835" t="str">
        <f t="shared" si="48"/>
        <v>-</v>
      </c>
      <c r="CV11" s="839"/>
      <c r="CW11" s="832"/>
      <c r="CX11" s="833" t="str">
        <f t="shared" si="49"/>
        <v>-</v>
      </c>
      <c r="CY11" s="840" t="str">
        <f t="shared" si="50"/>
        <v>-</v>
      </c>
      <c r="CZ11" s="833" t="str">
        <f t="shared" si="51"/>
        <v>-</v>
      </c>
      <c r="DA11" s="838" t="str">
        <f t="shared" ca="1" si="52"/>
        <v>-</v>
      </c>
      <c r="DB11" s="841"/>
      <c r="DC11" s="832"/>
    </row>
    <row r="12" spans="1:107" s="842" customFormat="1" ht="15.95" customHeight="1" x14ac:dyDescent="0.25">
      <c r="A12" s="790">
        <v>10</v>
      </c>
      <c r="B12" s="791">
        <f t="shared" ca="1" si="0"/>
        <v>43134</v>
      </c>
      <c r="C12" s="792" t="s">
        <v>614</v>
      </c>
      <c r="D12" s="793" t="s">
        <v>3201</v>
      </c>
      <c r="E12" s="794" t="s">
        <v>1367</v>
      </c>
      <c r="F12" s="795" t="s">
        <v>1253</v>
      </c>
      <c r="G12" s="796">
        <f>SUMIFS(МОЛОКО!L8:L6958,МОЛОКО!F8:F6958,"2073",МОЛОКО!L8:L6958,"&gt;0")</f>
        <v>27.2</v>
      </c>
      <c r="H12" s="797" t="s">
        <v>603</v>
      </c>
      <c r="I12" s="798">
        <v>41628</v>
      </c>
      <c r="J12" s="799">
        <f t="shared" ca="1" si="1"/>
        <v>4.1260273972602741</v>
      </c>
      <c r="K12" s="799">
        <f t="shared" ca="1" si="2"/>
        <v>50.2</v>
      </c>
      <c r="L12" s="800">
        <f t="shared" ca="1" si="3"/>
        <v>1506</v>
      </c>
      <c r="M12" s="801">
        <v>42477</v>
      </c>
      <c r="N12" s="802">
        <v>42866</v>
      </c>
      <c r="O12" s="803">
        <f t="shared" ca="1" si="4"/>
        <v>268</v>
      </c>
      <c r="P12" s="804">
        <v>2</v>
      </c>
      <c r="Q12" s="805" t="s">
        <v>2366</v>
      </c>
      <c r="R12" s="806" t="s">
        <v>2962</v>
      </c>
      <c r="S12" s="807">
        <v>43003</v>
      </c>
      <c r="T12" s="798">
        <v>43021</v>
      </c>
      <c r="U12" s="798" t="str">
        <f t="shared" si="5"/>
        <v>-</v>
      </c>
      <c r="V12" s="804" t="str">
        <f t="shared" ca="1" si="6"/>
        <v>-</v>
      </c>
      <c r="W12" s="808">
        <v>2</v>
      </c>
      <c r="X12" s="794">
        <f t="shared" si="7"/>
        <v>155</v>
      </c>
      <c r="Y12" s="794">
        <v>1</v>
      </c>
      <c r="Z12" s="809" t="str">
        <f t="shared" ca="1" si="8"/>
        <v>ПОДЛЕЖИТ ПЕРЕПРОВЕРКЕ</v>
      </c>
      <c r="AA12" s="810">
        <f t="shared" ca="1" si="9"/>
        <v>113</v>
      </c>
      <c r="AB12" s="804"/>
      <c r="AC12" s="811">
        <f t="shared" ca="1" si="10"/>
        <v>43093</v>
      </c>
      <c r="AD12" s="798"/>
      <c r="AE12" s="794" t="str">
        <f t="shared" ca="1" si="11"/>
        <v>-</v>
      </c>
      <c r="AF12" s="798" t="str">
        <f t="shared" si="12"/>
        <v>-</v>
      </c>
      <c r="AG12" s="812" t="str">
        <f t="shared" si="13"/>
        <v>---------</v>
      </c>
      <c r="AH12" s="807">
        <v>43052</v>
      </c>
      <c r="AI12" s="807">
        <f t="shared" si="14"/>
        <v>43211</v>
      </c>
      <c r="AJ12" s="807">
        <f t="shared" si="15"/>
        <v>43241</v>
      </c>
      <c r="AK12" s="813"/>
      <c r="AL12" s="807">
        <f t="shared" si="16"/>
        <v>43280</v>
      </c>
      <c r="AM12" s="807">
        <f t="shared" si="17"/>
        <v>43301</v>
      </c>
      <c r="AN12" s="814">
        <f t="shared" ca="1" si="18"/>
        <v>-167</v>
      </c>
      <c r="AO12" s="815">
        <v>1</v>
      </c>
      <c r="AP12" s="816" t="str">
        <f t="shared" ca="1" si="19"/>
        <v>-</v>
      </c>
      <c r="AQ12" s="817"/>
      <c r="AR12" s="794" t="str">
        <f t="shared" si="20"/>
        <v>-</v>
      </c>
      <c r="AS12" s="818">
        <v>42785</v>
      </c>
      <c r="AT12" s="794" t="str">
        <f t="shared" si="21"/>
        <v>-</v>
      </c>
      <c r="AU12" s="819"/>
      <c r="AV12" s="820"/>
      <c r="AW12" s="821"/>
      <c r="AX12" s="821"/>
      <c r="AY12" s="969" t="str">
        <f t="shared" si="22"/>
        <v>-</v>
      </c>
      <c r="AZ12" s="966" t="str">
        <f t="shared" si="23"/>
        <v>-</v>
      </c>
      <c r="BA12" s="971" t="str">
        <f t="shared" si="24"/>
        <v>-</v>
      </c>
      <c r="BB12" s="975"/>
      <c r="BC12" s="821"/>
      <c r="BD12" s="821"/>
      <c r="BE12" s="963" t="str">
        <f t="shared" si="25"/>
        <v>-</v>
      </c>
      <c r="BF12" s="984">
        <v>43033</v>
      </c>
      <c r="BG12" s="988" t="s">
        <v>3353</v>
      </c>
      <c r="BH12" s="986" t="s">
        <v>3354</v>
      </c>
      <c r="BI12" s="991">
        <v>5</v>
      </c>
      <c r="BJ12" s="991" t="s">
        <v>3356</v>
      </c>
      <c r="BK12" s="993">
        <f t="shared" ca="1" si="26"/>
        <v>101</v>
      </c>
      <c r="BL12" s="820">
        <v>42980</v>
      </c>
      <c r="BM12" s="821">
        <v>5</v>
      </c>
      <c r="BN12" s="822">
        <f t="shared" ca="1" si="27"/>
        <v>154</v>
      </c>
      <c r="BO12" s="823">
        <f t="shared" si="28"/>
        <v>45.06666666666667</v>
      </c>
      <c r="BP12" s="824">
        <v>43001</v>
      </c>
      <c r="BQ12" s="821">
        <v>2</v>
      </c>
      <c r="BR12" s="822">
        <f t="shared" ca="1" si="29"/>
        <v>133</v>
      </c>
      <c r="BS12" s="823">
        <f t="shared" si="30"/>
        <v>17.466666666666665</v>
      </c>
      <c r="BT12" s="825" t="str">
        <f t="shared" ca="1" si="31"/>
        <v>-</v>
      </c>
      <c r="BU12" s="826"/>
      <c r="BV12" s="827"/>
      <c r="BW12" s="828" t="str">
        <f t="shared" si="32"/>
        <v>Ж-Е НЕ ВАКЦ.</v>
      </c>
      <c r="BX12" s="829" t="str">
        <f t="shared" si="33"/>
        <v>-</v>
      </c>
      <c r="BY12" s="830" t="str">
        <f t="shared" ca="1" si="34"/>
        <v>-</v>
      </c>
      <c r="BZ12" s="831">
        <v>42888</v>
      </c>
      <c r="CA12" s="832">
        <v>5</v>
      </c>
      <c r="CB12" s="833">
        <f t="shared" ca="1" si="35"/>
        <v>246</v>
      </c>
      <c r="CC12" s="834" t="str">
        <f t="shared" ca="1" si="36"/>
        <v>-</v>
      </c>
      <c r="CD12" s="835">
        <f t="shared" si="37"/>
        <v>42909</v>
      </c>
      <c r="CE12" s="831">
        <v>42909</v>
      </c>
      <c r="CF12" s="832">
        <v>5</v>
      </c>
      <c r="CG12" s="833">
        <f t="shared" ca="1" si="38"/>
        <v>225</v>
      </c>
      <c r="CH12" s="836">
        <f t="shared" si="39"/>
        <v>0</v>
      </c>
      <c r="CI12" s="837" t="str">
        <f t="shared" si="40"/>
        <v>УСПЕШНО</v>
      </c>
      <c r="CJ12" s="838" t="str">
        <f t="shared" ca="1" si="41"/>
        <v>-</v>
      </c>
      <c r="CK12" s="831"/>
      <c r="CL12" s="832"/>
      <c r="CM12" s="833" t="str">
        <f t="shared" si="42"/>
        <v>-</v>
      </c>
      <c r="CN12" s="834" t="str">
        <f t="shared" si="43"/>
        <v>-</v>
      </c>
      <c r="CO12" s="830" t="str">
        <f t="shared" ca="1" si="44"/>
        <v>-</v>
      </c>
      <c r="CP12" s="839"/>
      <c r="CQ12" s="832"/>
      <c r="CR12" s="833" t="str">
        <f t="shared" si="45"/>
        <v>-</v>
      </c>
      <c r="CS12" s="833" t="str">
        <f t="shared" si="46"/>
        <v>-</v>
      </c>
      <c r="CT12" s="834" t="str">
        <f t="shared" si="47"/>
        <v>-</v>
      </c>
      <c r="CU12" s="835" t="str">
        <f t="shared" si="48"/>
        <v>-</v>
      </c>
      <c r="CV12" s="839"/>
      <c r="CW12" s="832"/>
      <c r="CX12" s="833" t="str">
        <f t="shared" si="49"/>
        <v>-</v>
      </c>
      <c r="CY12" s="840" t="str">
        <f t="shared" si="50"/>
        <v>-</v>
      </c>
      <c r="CZ12" s="833" t="str">
        <f t="shared" si="51"/>
        <v>-</v>
      </c>
      <c r="DA12" s="838" t="str">
        <f t="shared" ca="1" si="52"/>
        <v>-</v>
      </c>
      <c r="DB12" s="841"/>
      <c r="DC12" s="832"/>
    </row>
    <row r="13" spans="1:107" s="842" customFormat="1" ht="15.95" customHeight="1" x14ac:dyDescent="0.25">
      <c r="A13" s="790">
        <v>11</v>
      </c>
      <c r="B13" s="791">
        <f t="shared" ca="1" si="0"/>
        <v>43134</v>
      </c>
      <c r="C13" s="792" t="s">
        <v>614</v>
      </c>
      <c r="D13" s="793" t="s">
        <v>3201</v>
      </c>
      <c r="E13" s="794" t="s">
        <v>1390</v>
      </c>
      <c r="F13" s="795" t="s">
        <v>1264</v>
      </c>
      <c r="G13" s="796">
        <f>SUMIFS(МОЛОКО!L8:L6958,МОЛОКО!F8:F6958,"2155",МОЛОКО!L8:L6958,"&gt;0")</f>
        <v>22.2</v>
      </c>
      <c r="H13" s="797" t="s">
        <v>603</v>
      </c>
      <c r="I13" s="798">
        <v>41705</v>
      </c>
      <c r="J13" s="799">
        <f t="shared" ca="1" si="1"/>
        <v>3.9150684931506849</v>
      </c>
      <c r="K13" s="799">
        <f t="shared" ca="1" si="2"/>
        <v>47.633333333333333</v>
      </c>
      <c r="L13" s="800">
        <f t="shared" ca="1" si="3"/>
        <v>1429</v>
      </c>
      <c r="M13" s="801">
        <v>42549</v>
      </c>
      <c r="N13" s="802">
        <v>42967</v>
      </c>
      <c r="O13" s="803">
        <f t="shared" ca="1" si="4"/>
        <v>167</v>
      </c>
      <c r="P13" s="804">
        <v>2</v>
      </c>
      <c r="Q13" s="68" t="s">
        <v>1451</v>
      </c>
      <c r="R13" s="118" t="s">
        <v>2962</v>
      </c>
      <c r="S13" s="807">
        <v>43027</v>
      </c>
      <c r="T13" s="798">
        <v>43027</v>
      </c>
      <c r="U13" s="798">
        <f t="shared" si="5"/>
        <v>43045</v>
      </c>
      <c r="V13" s="804">
        <f t="shared" ca="1" si="6"/>
        <v>89</v>
      </c>
      <c r="W13" s="808">
        <v>1</v>
      </c>
      <c r="X13" s="794">
        <f t="shared" si="7"/>
        <v>60</v>
      </c>
      <c r="Y13" s="794">
        <v>3</v>
      </c>
      <c r="Z13" s="809" t="str">
        <f t="shared" ca="1" si="8"/>
        <v>-----</v>
      </c>
      <c r="AA13" s="810">
        <f t="shared" ca="1" si="9"/>
        <v>107</v>
      </c>
      <c r="AB13" s="804"/>
      <c r="AC13" s="811" t="str">
        <f t="shared" ca="1" si="10"/>
        <v>-----</v>
      </c>
      <c r="AD13" s="798"/>
      <c r="AE13" s="794" t="str">
        <f t="shared" ca="1" si="11"/>
        <v>-</v>
      </c>
      <c r="AF13" s="798">
        <f t="shared" si="12"/>
        <v>43062</v>
      </c>
      <c r="AG13" s="812">
        <f t="shared" ca="1" si="13"/>
        <v>72</v>
      </c>
      <c r="AH13" s="807"/>
      <c r="AI13" s="807" t="str">
        <f t="shared" si="14"/>
        <v>-</v>
      </c>
      <c r="AJ13" s="807" t="str">
        <f t="shared" si="15"/>
        <v>-</v>
      </c>
      <c r="AK13" s="813"/>
      <c r="AL13" s="807" t="str">
        <f t="shared" si="16"/>
        <v>-</v>
      </c>
      <c r="AM13" s="807" t="str">
        <f t="shared" si="17"/>
        <v>-</v>
      </c>
      <c r="AN13" s="814" t="str">
        <f t="shared" ca="1" si="18"/>
        <v>-</v>
      </c>
      <c r="AO13" s="815">
        <v>1</v>
      </c>
      <c r="AP13" s="816" t="str">
        <f t="shared" ca="1" si="19"/>
        <v>-</v>
      </c>
      <c r="AQ13" s="817"/>
      <c r="AR13" s="794" t="str">
        <f t="shared" si="20"/>
        <v>-</v>
      </c>
      <c r="AS13" s="818"/>
      <c r="AT13" s="794" t="str">
        <f t="shared" si="21"/>
        <v>-</v>
      </c>
      <c r="AU13" s="819"/>
      <c r="AV13" s="820"/>
      <c r="AW13" s="821"/>
      <c r="AX13" s="821"/>
      <c r="AY13" s="969" t="str">
        <f t="shared" si="22"/>
        <v>-</v>
      </c>
      <c r="AZ13" s="966" t="str">
        <f t="shared" si="23"/>
        <v>-</v>
      </c>
      <c r="BA13" s="971" t="str">
        <f t="shared" si="24"/>
        <v>-</v>
      </c>
      <c r="BB13" s="975"/>
      <c r="BC13" s="821"/>
      <c r="BD13" s="821"/>
      <c r="BE13" s="963" t="str">
        <f t="shared" si="25"/>
        <v>-</v>
      </c>
      <c r="BF13" s="984">
        <v>43033</v>
      </c>
      <c r="BG13" s="988" t="s">
        <v>3353</v>
      </c>
      <c r="BH13" s="986" t="s">
        <v>3354</v>
      </c>
      <c r="BI13" s="991">
        <v>5</v>
      </c>
      <c r="BJ13" s="991" t="s">
        <v>3356</v>
      </c>
      <c r="BK13" s="993">
        <f t="shared" ca="1" si="26"/>
        <v>101</v>
      </c>
      <c r="BL13" s="820">
        <v>42982</v>
      </c>
      <c r="BM13" s="821">
        <v>5</v>
      </c>
      <c r="BN13" s="822">
        <f t="shared" ca="1" si="27"/>
        <v>152</v>
      </c>
      <c r="BO13" s="823">
        <f t="shared" si="28"/>
        <v>42.56666666666667</v>
      </c>
      <c r="BP13" s="824">
        <v>43001</v>
      </c>
      <c r="BQ13" s="821">
        <v>2</v>
      </c>
      <c r="BR13" s="822">
        <f t="shared" ca="1" si="29"/>
        <v>133</v>
      </c>
      <c r="BS13" s="823">
        <f t="shared" si="30"/>
        <v>15.066666666666666</v>
      </c>
      <c r="BT13" s="825" t="str">
        <f t="shared" ca="1" si="31"/>
        <v>-</v>
      </c>
      <c r="BU13" s="826"/>
      <c r="BV13" s="827"/>
      <c r="BW13" s="828" t="str">
        <f t="shared" si="32"/>
        <v>Ж-Е НЕ ВАКЦ.</v>
      </c>
      <c r="BX13" s="829" t="str">
        <f t="shared" si="33"/>
        <v>-</v>
      </c>
      <c r="BY13" s="830" t="str">
        <f t="shared" ca="1" si="34"/>
        <v>-</v>
      </c>
      <c r="BZ13" s="831">
        <v>42964</v>
      </c>
      <c r="CA13" s="832">
        <v>5</v>
      </c>
      <c r="CB13" s="833">
        <f t="shared" ca="1" si="35"/>
        <v>170</v>
      </c>
      <c r="CC13" s="834" t="str">
        <f t="shared" ca="1" si="36"/>
        <v>-</v>
      </c>
      <c r="CD13" s="835">
        <f t="shared" si="37"/>
        <v>42985</v>
      </c>
      <c r="CE13" s="831">
        <v>42985</v>
      </c>
      <c r="CF13" s="832">
        <v>5</v>
      </c>
      <c r="CG13" s="833">
        <f t="shared" ca="1" si="38"/>
        <v>149</v>
      </c>
      <c r="CH13" s="836">
        <f t="shared" si="39"/>
        <v>0</v>
      </c>
      <c r="CI13" s="837" t="str">
        <f t="shared" si="40"/>
        <v>УСПЕШНО</v>
      </c>
      <c r="CJ13" s="838" t="str">
        <f t="shared" ca="1" si="41"/>
        <v>-</v>
      </c>
      <c r="CK13" s="831"/>
      <c r="CL13" s="832"/>
      <c r="CM13" s="833" t="str">
        <f t="shared" si="42"/>
        <v>-</v>
      </c>
      <c r="CN13" s="834" t="str">
        <f t="shared" si="43"/>
        <v>-</v>
      </c>
      <c r="CO13" s="830" t="str">
        <f t="shared" ca="1" si="44"/>
        <v>-</v>
      </c>
      <c r="CP13" s="831">
        <v>42890</v>
      </c>
      <c r="CQ13" s="832">
        <v>2</v>
      </c>
      <c r="CR13" s="833">
        <f t="shared" si="45"/>
        <v>-137</v>
      </c>
      <c r="CS13" s="833">
        <f t="shared" ca="1" si="46"/>
        <v>244</v>
      </c>
      <c r="CT13" s="834" t="str">
        <f t="shared" ca="1" si="47"/>
        <v>-</v>
      </c>
      <c r="CU13" s="835">
        <f t="shared" si="48"/>
        <v>42911</v>
      </c>
      <c r="CV13" s="831">
        <v>42911</v>
      </c>
      <c r="CW13" s="832">
        <v>2</v>
      </c>
      <c r="CX13" s="833">
        <f t="shared" si="49"/>
        <v>0</v>
      </c>
      <c r="CY13" s="840" t="str">
        <f t="shared" si="50"/>
        <v>УСПЕШНО</v>
      </c>
      <c r="CZ13" s="833">
        <f t="shared" si="51"/>
        <v>-116</v>
      </c>
      <c r="DA13" s="838" t="str">
        <f t="shared" ca="1" si="52"/>
        <v>-</v>
      </c>
      <c r="DB13" s="841"/>
      <c r="DC13" s="832"/>
    </row>
    <row r="14" spans="1:107" s="842" customFormat="1" ht="15.95" customHeight="1" x14ac:dyDescent="0.25">
      <c r="A14" s="790">
        <v>12</v>
      </c>
      <c r="B14" s="791">
        <f t="shared" ca="1" si="0"/>
        <v>43134</v>
      </c>
      <c r="C14" s="792" t="s">
        <v>614</v>
      </c>
      <c r="D14" s="793" t="s">
        <v>3201</v>
      </c>
      <c r="E14" s="794" t="s">
        <v>1088</v>
      </c>
      <c r="F14" s="795" t="s">
        <v>1155</v>
      </c>
      <c r="G14" s="796">
        <f>SUMIFS(МОЛОКО!L8:L6958,МОЛОКО!F8:F6958,"2161",МОЛОКО!L8:L6958,"&gt;0")</f>
        <v>18.2</v>
      </c>
      <c r="H14" s="797" t="s">
        <v>603</v>
      </c>
      <c r="I14" s="798">
        <v>41709</v>
      </c>
      <c r="J14" s="799">
        <f t="shared" ca="1" si="1"/>
        <v>3.904109589041096</v>
      </c>
      <c r="K14" s="799">
        <f t="shared" ca="1" si="2"/>
        <v>47.5</v>
      </c>
      <c r="L14" s="800">
        <f t="shared" ca="1" si="3"/>
        <v>1425</v>
      </c>
      <c r="M14" s="801">
        <v>42549</v>
      </c>
      <c r="N14" s="802">
        <v>42956</v>
      </c>
      <c r="O14" s="803">
        <f t="shared" ca="1" si="4"/>
        <v>178</v>
      </c>
      <c r="P14" s="804">
        <v>2</v>
      </c>
      <c r="Q14" s="805" t="s">
        <v>2366</v>
      </c>
      <c r="R14" s="806" t="s">
        <v>2962</v>
      </c>
      <c r="S14" s="807">
        <v>43020</v>
      </c>
      <c r="T14" s="798">
        <v>43020</v>
      </c>
      <c r="U14" s="798" t="str">
        <f t="shared" si="5"/>
        <v>-</v>
      </c>
      <c r="V14" s="804" t="str">
        <f t="shared" ca="1" si="6"/>
        <v>-</v>
      </c>
      <c r="W14" s="808">
        <v>1</v>
      </c>
      <c r="X14" s="794">
        <f t="shared" si="7"/>
        <v>64</v>
      </c>
      <c r="Y14" s="794">
        <v>1</v>
      </c>
      <c r="Z14" s="809" t="str">
        <f t="shared" ca="1" si="8"/>
        <v>ПОДЛЕЖИТ ПЕРЕПРОВЕРКЕ</v>
      </c>
      <c r="AA14" s="810">
        <f t="shared" ca="1" si="9"/>
        <v>114</v>
      </c>
      <c r="AB14" s="804"/>
      <c r="AC14" s="811">
        <f t="shared" ca="1" si="10"/>
        <v>43092</v>
      </c>
      <c r="AD14" s="798"/>
      <c r="AE14" s="794" t="str">
        <f t="shared" ca="1" si="11"/>
        <v>-</v>
      </c>
      <c r="AF14" s="798" t="str">
        <f t="shared" si="12"/>
        <v>-</v>
      </c>
      <c r="AG14" s="812" t="str">
        <f t="shared" si="13"/>
        <v>---------</v>
      </c>
      <c r="AH14" s="807">
        <v>43052</v>
      </c>
      <c r="AI14" s="807">
        <f t="shared" si="14"/>
        <v>43210</v>
      </c>
      <c r="AJ14" s="807">
        <f t="shared" si="15"/>
        <v>43240</v>
      </c>
      <c r="AK14" s="813"/>
      <c r="AL14" s="807">
        <f t="shared" si="16"/>
        <v>43279</v>
      </c>
      <c r="AM14" s="807">
        <f t="shared" si="17"/>
        <v>43300</v>
      </c>
      <c r="AN14" s="814">
        <f t="shared" ca="1" si="18"/>
        <v>-166</v>
      </c>
      <c r="AO14" s="815">
        <v>1</v>
      </c>
      <c r="AP14" s="816" t="str">
        <f t="shared" ca="1" si="19"/>
        <v>-</v>
      </c>
      <c r="AQ14" s="817"/>
      <c r="AR14" s="794" t="str">
        <f t="shared" si="20"/>
        <v>-</v>
      </c>
      <c r="AS14" s="818"/>
      <c r="AT14" s="794" t="str">
        <f t="shared" si="21"/>
        <v>-</v>
      </c>
      <c r="AU14" s="819"/>
      <c r="AV14" s="820"/>
      <c r="AW14" s="821"/>
      <c r="AX14" s="821"/>
      <c r="AY14" s="969" t="str">
        <f t="shared" si="22"/>
        <v>-</v>
      </c>
      <c r="AZ14" s="966" t="str">
        <f t="shared" si="23"/>
        <v>-</v>
      </c>
      <c r="BA14" s="971" t="str">
        <f t="shared" si="24"/>
        <v>-</v>
      </c>
      <c r="BB14" s="975"/>
      <c r="BC14" s="821"/>
      <c r="BD14" s="821"/>
      <c r="BE14" s="963" t="str">
        <f t="shared" si="25"/>
        <v>-</v>
      </c>
      <c r="BF14" s="984">
        <v>43033</v>
      </c>
      <c r="BG14" s="988" t="s">
        <v>3353</v>
      </c>
      <c r="BH14" s="986" t="s">
        <v>3354</v>
      </c>
      <c r="BI14" s="991">
        <v>5</v>
      </c>
      <c r="BJ14" s="991" t="s">
        <v>3356</v>
      </c>
      <c r="BK14" s="993">
        <f t="shared" ca="1" si="26"/>
        <v>101</v>
      </c>
      <c r="BL14" s="820">
        <v>42980</v>
      </c>
      <c r="BM14" s="821">
        <v>5</v>
      </c>
      <c r="BN14" s="822">
        <f t="shared" ca="1" si="27"/>
        <v>154</v>
      </c>
      <c r="BO14" s="823">
        <f t="shared" si="28"/>
        <v>42.366666666666667</v>
      </c>
      <c r="BP14" s="824"/>
      <c r="BQ14" s="821"/>
      <c r="BR14" s="822" t="str">
        <f t="shared" si="29"/>
        <v>-</v>
      </c>
      <c r="BS14" s="823" t="str">
        <f t="shared" si="30"/>
        <v>-</v>
      </c>
      <c r="BT14" s="825" t="str">
        <f t="shared" ca="1" si="31"/>
        <v>-</v>
      </c>
      <c r="BU14" s="826"/>
      <c r="BV14" s="827"/>
      <c r="BW14" s="828" t="str">
        <f t="shared" si="32"/>
        <v>Ж-Е НЕ ВАКЦ.</v>
      </c>
      <c r="BX14" s="829" t="str">
        <f t="shared" si="33"/>
        <v>-</v>
      </c>
      <c r="BY14" s="830" t="str">
        <f t="shared" ca="1" si="34"/>
        <v>-</v>
      </c>
      <c r="BZ14" s="831">
        <v>42988</v>
      </c>
      <c r="CA14" s="832">
        <v>5</v>
      </c>
      <c r="CB14" s="833">
        <f t="shared" ca="1" si="35"/>
        <v>146</v>
      </c>
      <c r="CC14" s="834" t="str">
        <f t="shared" ca="1" si="36"/>
        <v>-</v>
      </c>
      <c r="CD14" s="835">
        <f t="shared" si="37"/>
        <v>43009</v>
      </c>
      <c r="CE14" s="831">
        <v>43009</v>
      </c>
      <c r="CF14" s="832">
        <v>5</v>
      </c>
      <c r="CG14" s="833">
        <f t="shared" ca="1" si="38"/>
        <v>125</v>
      </c>
      <c r="CH14" s="836">
        <f t="shared" si="39"/>
        <v>0</v>
      </c>
      <c r="CI14" s="837" t="str">
        <f t="shared" si="40"/>
        <v>УСПЕШНО</v>
      </c>
      <c r="CJ14" s="838" t="str">
        <f t="shared" ca="1" si="41"/>
        <v>-</v>
      </c>
      <c r="CK14" s="831"/>
      <c r="CL14" s="832"/>
      <c r="CM14" s="833" t="str">
        <f t="shared" si="42"/>
        <v>-</v>
      </c>
      <c r="CN14" s="834" t="str">
        <f t="shared" si="43"/>
        <v>-</v>
      </c>
      <c r="CO14" s="830" t="str">
        <f t="shared" ca="1" si="44"/>
        <v>-</v>
      </c>
      <c r="CP14" s="831">
        <v>42890</v>
      </c>
      <c r="CQ14" s="832">
        <v>2</v>
      </c>
      <c r="CR14" s="833">
        <f t="shared" si="45"/>
        <v>-130</v>
      </c>
      <c r="CS14" s="833">
        <f t="shared" ca="1" si="46"/>
        <v>244</v>
      </c>
      <c r="CT14" s="834" t="str">
        <f t="shared" ca="1" si="47"/>
        <v>-</v>
      </c>
      <c r="CU14" s="835">
        <f t="shared" si="48"/>
        <v>42911</v>
      </c>
      <c r="CV14" s="831">
        <v>42911</v>
      </c>
      <c r="CW14" s="832">
        <v>2</v>
      </c>
      <c r="CX14" s="833">
        <f t="shared" si="49"/>
        <v>0</v>
      </c>
      <c r="CY14" s="840" t="str">
        <f t="shared" si="50"/>
        <v>УСПЕШНО</v>
      </c>
      <c r="CZ14" s="833">
        <f t="shared" si="51"/>
        <v>-109</v>
      </c>
      <c r="DA14" s="838" t="str">
        <f t="shared" ca="1" si="52"/>
        <v>-</v>
      </c>
      <c r="DB14" s="841"/>
      <c r="DC14" s="832"/>
    </row>
    <row r="15" spans="1:107" s="842" customFormat="1" ht="15.95" customHeight="1" x14ac:dyDescent="0.25">
      <c r="A15" s="790">
        <v>13</v>
      </c>
      <c r="B15" s="791">
        <f t="shared" ca="1" si="0"/>
        <v>43134</v>
      </c>
      <c r="C15" s="792" t="s">
        <v>614</v>
      </c>
      <c r="D15" s="793" t="s">
        <v>3201</v>
      </c>
      <c r="E15" s="794" t="s">
        <v>1344</v>
      </c>
      <c r="F15" s="795" t="s">
        <v>1183</v>
      </c>
      <c r="G15" s="796">
        <f>SUMIFS(МОЛОКО!L8:L6958,МОЛОКО!F8:F6958,"2228",МОЛОКО!L8:L6958,"&gt;0")</f>
        <v>22</v>
      </c>
      <c r="H15" s="797" t="s">
        <v>603</v>
      </c>
      <c r="I15" s="798">
        <v>41781</v>
      </c>
      <c r="J15" s="799">
        <f t="shared" ca="1" si="1"/>
        <v>3.7068493150684931</v>
      </c>
      <c r="K15" s="799">
        <f t="shared" ca="1" si="2"/>
        <v>45.1</v>
      </c>
      <c r="L15" s="800">
        <f t="shared" ca="1" si="3"/>
        <v>1353</v>
      </c>
      <c r="M15" s="801">
        <v>42566</v>
      </c>
      <c r="N15" s="802">
        <v>42948</v>
      </c>
      <c r="O15" s="803">
        <f t="shared" ca="1" si="4"/>
        <v>186</v>
      </c>
      <c r="P15" s="804">
        <v>2</v>
      </c>
      <c r="Q15" s="805" t="s">
        <v>1451</v>
      </c>
      <c r="R15" s="806" t="s">
        <v>2962</v>
      </c>
      <c r="S15" s="807">
        <v>43013</v>
      </c>
      <c r="T15" s="798">
        <v>43013</v>
      </c>
      <c r="U15" s="798" t="str">
        <f t="shared" si="5"/>
        <v>-</v>
      </c>
      <c r="V15" s="804" t="str">
        <f t="shared" ca="1" si="6"/>
        <v>-</v>
      </c>
      <c r="W15" s="808">
        <v>1</v>
      </c>
      <c r="X15" s="794">
        <f t="shared" si="7"/>
        <v>65</v>
      </c>
      <c r="Y15" s="794">
        <v>1</v>
      </c>
      <c r="Z15" s="809" t="str">
        <f t="shared" ca="1" si="8"/>
        <v>ПОДЛЕЖИТ ПЕРЕПРОВЕРКЕ</v>
      </c>
      <c r="AA15" s="810">
        <f t="shared" ca="1" si="9"/>
        <v>121</v>
      </c>
      <c r="AB15" s="804"/>
      <c r="AC15" s="811">
        <f t="shared" ca="1" si="10"/>
        <v>43085</v>
      </c>
      <c r="AD15" s="798"/>
      <c r="AE15" s="794" t="str">
        <f t="shared" ca="1" si="11"/>
        <v>-</v>
      </c>
      <c r="AF15" s="798" t="str">
        <f t="shared" si="12"/>
        <v>-</v>
      </c>
      <c r="AG15" s="812" t="str">
        <f t="shared" si="13"/>
        <v>---------</v>
      </c>
      <c r="AH15" s="807">
        <v>43045</v>
      </c>
      <c r="AI15" s="807">
        <f t="shared" si="14"/>
        <v>43203</v>
      </c>
      <c r="AJ15" s="807">
        <f t="shared" si="15"/>
        <v>43233</v>
      </c>
      <c r="AK15" s="813"/>
      <c r="AL15" s="807">
        <f t="shared" si="16"/>
        <v>43272</v>
      </c>
      <c r="AM15" s="807">
        <f t="shared" si="17"/>
        <v>43293</v>
      </c>
      <c r="AN15" s="814">
        <f t="shared" ca="1" si="18"/>
        <v>-159</v>
      </c>
      <c r="AO15" s="815">
        <v>1</v>
      </c>
      <c r="AP15" s="816" t="str">
        <f t="shared" ca="1" si="19"/>
        <v>-</v>
      </c>
      <c r="AQ15" s="817"/>
      <c r="AR15" s="794" t="str">
        <f t="shared" si="20"/>
        <v>-</v>
      </c>
      <c r="AS15" s="818"/>
      <c r="AT15" s="794" t="str">
        <f t="shared" si="21"/>
        <v>-</v>
      </c>
      <c r="AU15" s="819"/>
      <c r="AV15" s="820"/>
      <c r="AW15" s="821"/>
      <c r="AX15" s="821"/>
      <c r="AY15" s="969" t="str">
        <f t="shared" si="22"/>
        <v>-</v>
      </c>
      <c r="AZ15" s="966" t="str">
        <f t="shared" si="23"/>
        <v>-</v>
      </c>
      <c r="BA15" s="971" t="str">
        <f t="shared" si="24"/>
        <v>-</v>
      </c>
      <c r="BB15" s="975"/>
      <c r="BC15" s="821"/>
      <c r="BD15" s="821"/>
      <c r="BE15" s="963" t="str">
        <f t="shared" si="25"/>
        <v>-</v>
      </c>
      <c r="BF15" s="984">
        <v>43033</v>
      </c>
      <c r="BG15" s="988" t="s">
        <v>3353</v>
      </c>
      <c r="BH15" s="986" t="s">
        <v>3354</v>
      </c>
      <c r="BI15" s="991">
        <v>5</v>
      </c>
      <c r="BJ15" s="991" t="s">
        <v>3356</v>
      </c>
      <c r="BK15" s="993">
        <f t="shared" ca="1" si="26"/>
        <v>101</v>
      </c>
      <c r="BL15" s="820">
        <v>42980</v>
      </c>
      <c r="BM15" s="821">
        <v>5</v>
      </c>
      <c r="BN15" s="822">
        <f t="shared" ca="1" si="27"/>
        <v>154</v>
      </c>
      <c r="BO15" s="823">
        <f t="shared" si="28"/>
        <v>39.966666666666669</v>
      </c>
      <c r="BP15" s="824"/>
      <c r="BQ15" s="821"/>
      <c r="BR15" s="822" t="str">
        <f t="shared" si="29"/>
        <v>-</v>
      </c>
      <c r="BS15" s="823" t="str">
        <f t="shared" si="30"/>
        <v>-</v>
      </c>
      <c r="BT15" s="825" t="str">
        <f t="shared" ca="1" si="31"/>
        <v>-</v>
      </c>
      <c r="BU15" s="826"/>
      <c r="BV15" s="827"/>
      <c r="BW15" s="828" t="str">
        <f t="shared" si="32"/>
        <v>Ж-Е НЕ ВАКЦ.</v>
      </c>
      <c r="BX15" s="829" t="str">
        <f t="shared" si="33"/>
        <v>-</v>
      </c>
      <c r="BY15" s="830" t="str">
        <f t="shared" ca="1" si="34"/>
        <v>-</v>
      </c>
      <c r="BZ15" s="831">
        <v>42988</v>
      </c>
      <c r="CA15" s="832">
        <v>5</v>
      </c>
      <c r="CB15" s="833">
        <f t="shared" ca="1" si="35"/>
        <v>146</v>
      </c>
      <c r="CC15" s="834" t="str">
        <f t="shared" ca="1" si="36"/>
        <v>-</v>
      </c>
      <c r="CD15" s="835">
        <f t="shared" si="37"/>
        <v>43009</v>
      </c>
      <c r="CE15" s="831">
        <v>43009</v>
      </c>
      <c r="CF15" s="832">
        <v>5</v>
      </c>
      <c r="CG15" s="833">
        <f t="shared" ca="1" si="38"/>
        <v>125</v>
      </c>
      <c r="CH15" s="836">
        <f t="shared" si="39"/>
        <v>0</v>
      </c>
      <c r="CI15" s="837" t="str">
        <f t="shared" si="40"/>
        <v>УСПЕШНО</v>
      </c>
      <c r="CJ15" s="838" t="str">
        <f t="shared" ca="1" si="41"/>
        <v>-</v>
      </c>
      <c r="CK15" s="831"/>
      <c r="CL15" s="832"/>
      <c r="CM15" s="833" t="str">
        <f t="shared" si="42"/>
        <v>-</v>
      </c>
      <c r="CN15" s="834" t="str">
        <f t="shared" si="43"/>
        <v>-</v>
      </c>
      <c r="CO15" s="830" t="str">
        <f t="shared" ca="1" si="44"/>
        <v>-</v>
      </c>
      <c r="CP15" s="831">
        <v>42890</v>
      </c>
      <c r="CQ15" s="832">
        <v>2</v>
      </c>
      <c r="CR15" s="833">
        <f t="shared" si="45"/>
        <v>-123</v>
      </c>
      <c r="CS15" s="833">
        <f t="shared" ca="1" si="46"/>
        <v>244</v>
      </c>
      <c r="CT15" s="834" t="str">
        <f t="shared" ca="1" si="47"/>
        <v>-</v>
      </c>
      <c r="CU15" s="835">
        <f t="shared" si="48"/>
        <v>42911</v>
      </c>
      <c r="CV15" s="831">
        <v>42911</v>
      </c>
      <c r="CW15" s="832">
        <v>2</v>
      </c>
      <c r="CX15" s="833">
        <f t="shared" si="49"/>
        <v>0</v>
      </c>
      <c r="CY15" s="840" t="str">
        <f t="shared" si="50"/>
        <v>УСПЕШНО</v>
      </c>
      <c r="CZ15" s="833">
        <f t="shared" si="51"/>
        <v>-102</v>
      </c>
      <c r="DA15" s="838" t="str">
        <f t="shared" ca="1" si="52"/>
        <v>-</v>
      </c>
      <c r="DB15" s="841"/>
      <c r="DC15" s="832"/>
    </row>
    <row r="16" spans="1:107" s="842" customFormat="1" ht="15.95" customHeight="1" x14ac:dyDescent="0.25">
      <c r="A16" s="790">
        <v>14</v>
      </c>
      <c r="B16" s="791">
        <f t="shared" ca="1" si="0"/>
        <v>43134</v>
      </c>
      <c r="C16" s="792" t="s">
        <v>614</v>
      </c>
      <c r="D16" s="793" t="s">
        <v>3201</v>
      </c>
      <c r="E16" s="794" t="s">
        <v>1304</v>
      </c>
      <c r="F16" s="795" t="s">
        <v>1185</v>
      </c>
      <c r="G16" s="796">
        <f>SUMIFS(МОЛОКО!L8:L6958,МОЛОКО!F8:F6958,"2232",МОЛОКО!L8:L6958,"&gt;0")</f>
        <v>20</v>
      </c>
      <c r="H16" s="797" t="s">
        <v>603</v>
      </c>
      <c r="I16" s="798">
        <v>41784</v>
      </c>
      <c r="J16" s="799">
        <f t="shared" ca="1" si="1"/>
        <v>3.6986301369863015</v>
      </c>
      <c r="K16" s="799">
        <f t="shared" ca="1" si="2"/>
        <v>45</v>
      </c>
      <c r="L16" s="800">
        <f t="shared" ca="1" si="3"/>
        <v>1350</v>
      </c>
      <c r="M16" s="801">
        <v>42501</v>
      </c>
      <c r="N16" s="802">
        <v>42805</v>
      </c>
      <c r="O16" s="803">
        <f t="shared" ca="1" si="4"/>
        <v>329</v>
      </c>
      <c r="P16" s="804">
        <v>2</v>
      </c>
      <c r="Q16" s="68" t="s">
        <v>2366</v>
      </c>
      <c r="R16" s="118" t="s">
        <v>2962</v>
      </c>
      <c r="S16" s="807">
        <v>42866</v>
      </c>
      <c r="T16" s="798">
        <v>43043</v>
      </c>
      <c r="U16" s="798">
        <f t="shared" si="5"/>
        <v>43061</v>
      </c>
      <c r="V16" s="804">
        <f t="shared" ca="1" si="6"/>
        <v>73</v>
      </c>
      <c r="W16" s="808">
        <v>6</v>
      </c>
      <c r="X16" s="794">
        <f t="shared" si="7"/>
        <v>238</v>
      </c>
      <c r="Y16" s="794">
        <v>3</v>
      </c>
      <c r="Z16" s="809" t="str">
        <f t="shared" ca="1" si="8"/>
        <v>-----</v>
      </c>
      <c r="AA16" s="810">
        <f t="shared" ca="1" si="9"/>
        <v>91</v>
      </c>
      <c r="AB16" s="804"/>
      <c r="AC16" s="811" t="str">
        <f t="shared" ca="1" si="10"/>
        <v>-----</v>
      </c>
      <c r="AD16" s="798"/>
      <c r="AE16" s="794" t="str">
        <f t="shared" ca="1" si="11"/>
        <v>-</v>
      </c>
      <c r="AF16" s="798">
        <f t="shared" si="12"/>
        <v>43078</v>
      </c>
      <c r="AG16" s="812">
        <f t="shared" ca="1" si="13"/>
        <v>56</v>
      </c>
      <c r="AH16" s="807">
        <v>43017</v>
      </c>
      <c r="AI16" s="807" t="str">
        <f t="shared" si="14"/>
        <v>-</v>
      </c>
      <c r="AJ16" s="807" t="str">
        <f t="shared" si="15"/>
        <v>-</v>
      </c>
      <c r="AK16" s="813"/>
      <c r="AL16" s="807" t="str">
        <f t="shared" si="16"/>
        <v>-</v>
      </c>
      <c r="AM16" s="807" t="str">
        <f t="shared" si="17"/>
        <v>-</v>
      </c>
      <c r="AN16" s="814" t="str">
        <f t="shared" ca="1" si="18"/>
        <v>-</v>
      </c>
      <c r="AO16" s="815">
        <v>1</v>
      </c>
      <c r="AP16" s="816" t="str">
        <f t="shared" ca="1" si="19"/>
        <v>-</v>
      </c>
      <c r="AQ16" s="817"/>
      <c r="AR16" s="794" t="str">
        <f t="shared" si="20"/>
        <v>-</v>
      </c>
      <c r="AS16" s="818"/>
      <c r="AT16" s="794" t="str">
        <f t="shared" si="21"/>
        <v>-</v>
      </c>
      <c r="AU16" s="819"/>
      <c r="AV16" s="820"/>
      <c r="AW16" s="821"/>
      <c r="AX16" s="821"/>
      <c r="AY16" s="969" t="str">
        <f t="shared" si="22"/>
        <v>-</v>
      </c>
      <c r="AZ16" s="966" t="str">
        <f t="shared" si="23"/>
        <v>-</v>
      </c>
      <c r="BA16" s="971" t="str">
        <f t="shared" si="24"/>
        <v>-</v>
      </c>
      <c r="BB16" s="975"/>
      <c r="BC16" s="821"/>
      <c r="BD16" s="821"/>
      <c r="BE16" s="963" t="str">
        <f t="shared" si="25"/>
        <v>-</v>
      </c>
      <c r="BF16" s="984">
        <v>43033</v>
      </c>
      <c r="BG16" s="988" t="s">
        <v>3353</v>
      </c>
      <c r="BH16" s="986" t="s">
        <v>3354</v>
      </c>
      <c r="BI16" s="991">
        <v>5</v>
      </c>
      <c r="BJ16" s="991" t="s">
        <v>3356</v>
      </c>
      <c r="BK16" s="993">
        <f t="shared" ca="1" si="26"/>
        <v>101</v>
      </c>
      <c r="BL16" s="820">
        <v>42980</v>
      </c>
      <c r="BM16" s="821">
        <v>5</v>
      </c>
      <c r="BN16" s="822">
        <f t="shared" ca="1" si="27"/>
        <v>154</v>
      </c>
      <c r="BO16" s="823">
        <f t="shared" si="28"/>
        <v>39.866666666666667</v>
      </c>
      <c r="BP16" s="824">
        <v>43001</v>
      </c>
      <c r="BQ16" s="821">
        <v>2</v>
      </c>
      <c r="BR16" s="822">
        <f t="shared" ca="1" si="29"/>
        <v>133</v>
      </c>
      <c r="BS16" s="823">
        <f t="shared" si="30"/>
        <v>16.666666666666668</v>
      </c>
      <c r="BT16" s="825" t="str">
        <f t="shared" ca="1" si="31"/>
        <v>-</v>
      </c>
      <c r="BU16" s="826"/>
      <c r="BV16" s="827"/>
      <c r="BW16" s="828" t="str">
        <f t="shared" si="32"/>
        <v>Ж-Е НЕ ВАКЦ.</v>
      </c>
      <c r="BX16" s="829" t="str">
        <f t="shared" si="33"/>
        <v>-</v>
      </c>
      <c r="BY16" s="830" t="str">
        <f t="shared" ca="1" si="34"/>
        <v>-</v>
      </c>
      <c r="BZ16" s="831">
        <v>42887</v>
      </c>
      <c r="CA16" s="832">
        <v>5</v>
      </c>
      <c r="CB16" s="833">
        <f t="shared" ca="1" si="35"/>
        <v>247</v>
      </c>
      <c r="CC16" s="834" t="str">
        <f t="shared" ca="1" si="36"/>
        <v>-</v>
      </c>
      <c r="CD16" s="835">
        <f t="shared" si="37"/>
        <v>42908</v>
      </c>
      <c r="CE16" s="831">
        <v>42908</v>
      </c>
      <c r="CF16" s="832">
        <v>5</v>
      </c>
      <c r="CG16" s="833">
        <f t="shared" ca="1" si="38"/>
        <v>226</v>
      </c>
      <c r="CH16" s="836">
        <f t="shared" si="39"/>
        <v>0</v>
      </c>
      <c r="CI16" s="837" t="str">
        <f t="shared" si="40"/>
        <v>УСПЕШНО</v>
      </c>
      <c r="CJ16" s="838" t="str">
        <f t="shared" ca="1" si="41"/>
        <v>-</v>
      </c>
      <c r="CK16" s="831"/>
      <c r="CL16" s="832"/>
      <c r="CM16" s="833" t="str">
        <f t="shared" si="42"/>
        <v>-</v>
      </c>
      <c r="CN16" s="834" t="str">
        <f t="shared" si="43"/>
        <v>-</v>
      </c>
      <c r="CO16" s="830" t="str">
        <f t="shared" ca="1" si="44"/>
        <v>-</v>
      </c>
      <c r="CP16" s="839"/>
      <c r="CQ16" s="832"/>
      <c r="CR16" s="833" t="str">
        <f t="shared" si="45"/>
        <v>-</v>
      </c>
      <c r="CS16" s="833" t="str">
        <f t="shared" si="46"/>
        <v>-</v>
      </c>
      <c r="CT16" s="834" t="str">
        <f t="shared" si="47"/>
        <v>-</v>
      </c>
      <c r="CU16" s="835" t="str">
        <f t="shared" si="48"/>
        <v>-</v>
      </c>
      <c r="CV16" s="839"/>
      <c r="CW16" s="832"/>
      <c r="CX16" s="833" t="str">
        <f t="shared" si="49"/>
        <v>-</v>
      </c>
      <c r="CY16" s="840" t="str">
        <f t="shared" si="50"/>
        <v>-</v>
      </c>
      <c r="CZ16" s="833" t="str">
        <f t="shared" si="51"/>
        <v>-</v>
      </c>
      <c r="DA16" s="838" t="str">
        <f t="shared" ca="1" si="52"/>
        <v>-</v>
      </c>
      <c r="DB16" s="841"/>
      <c r="DC16" s="832"/>
    </row>
    <row r="17" spans="1:107" s="842" customFormat="1" ht="15.95" customHeight="1" x14ac:dyDescent="0.25">
      <c r="A17" s="790">
        <v>15</v>
      </c>
      <c r="B17" s="791">
        <f t="shared" ca="1" si="0"/>
        <v>43134</v>
      </c>
      <c r="C17" s="792" t="s">
        <v>614</v>
      </c>
      <c r="D17" s="844" t="s">
        <v>3201</v>
      </c>
      <c r="E17" s="794" t="s">
        <v>591</v>
      </c>
      <c r="F17" s="795" t="s">
        <v>962</v>
      </c>
      <c r="G17" s="796">
        <f>SUMIFS(МОЛОКО!L8:L6958,МОЛОКО!F8:F6958,"2379",МОЛОКО!L8:L6958,"&gt;0")</f>
        <v>27</v>
      </c>
      <c r="H17" s="797" t="s">
        <v>603</v>
      </c>
      <c r="I17" s="798">
        <v>41931</v>
      </c>
      <c r="J17" s="799">
        <f t="shared" ca="1" si="1"/>
        <v>3.2958904109589042</v>
      </c>
      <c r="K17" s="799">
        <f t="shared" ca="1" si="2"/>
        <v>40.1</v>
      </c>
      <c r="L17" s="800">
        <f t="shared" ca="1" si="3"/>
        <v>1203</v>
      </c>
      <c r="M17" s="801">
        <v>42653</v>
      </c>
      <c r="N17" s="802">
        <v>42998</v>
      </c>
      <c r="O17" s="803">
        <f t="shared" ca="1" si="4"/>
        <v>136</v>
      </c>
      <c r="P17" s="804">
        <v>2</v>
      </c>
      <c r="Q17" s="68" t="s">
        <v>1451</v>
      </c>
      <c r="R17" s="118" t="s">
        <v>2962</v>
      </c>
      <c r="S17" s="807">
        <v>43055</v>
      </c>
      <c r="T17" s="798">
        <v>43055</v>
      </c>
      <c r="U17" s="798">
        <f t="shared" si="5"/>
        <v>43073</v>
      </c>
      <c r="V17" s="804">
        <f t="shared" ca="1" si="6"/>
        <v>61</v>
      </c>
      <c r="W17" s="808">
        <v>1</v>
      </c>
      <c r="X17" s="794">
        <f t="shared" si="7"/>
        <v>57</v>
      </c>
      <c r="Y17" s="794">
        <v>3</v>
      </c>
      <c r="Z17" s="809" t="str">
        <f t="shared" ca="1" si="8"/>
        <v>-----</v>
      </c>
      <c r="AA17" s="810">
        <f t="shared" ca="1" si="9"/>
        <v>79</v>
      </c>
      <c r="AB17" s="804"/>
      <c r="AC17" s="811" t="str">
        <f t="shared" ca="1" si="10"/>
        <v>-----</v>
      </c>
      <c r="AD17" s="798"/>
      <c r="AE17" s="794" t="str">
        <f t="shared" ca="1" si="11"/>
        <v>-</v>
      </c>
      <c r="AF17" s="798">
        <f t="shared" si="12"/>
        <v>43090</v>
      </c>
      <c r="AG17" s="812">
        <f t="shared" ca="1" si="13"/>
        <v>44</v>
      </c>
      <c r="AH17" s="807"/>
      <c r="AI17" s="807" t="str">
        <f t="shared" si="14"/>
        <v>-</v>
      </c>
      <c r="AJ17" s="807" t="str">
        <f t="shared" si="15"/>
        <v>-</v>
      </c>
      <c r="AK17" s="813"/>
      <c r="AL17" s="807" t="str">
        <f t="shared" si="16"/>
        <v>-</v>
      </c>
      <c r="AM17" s="807" t="str">
        <f t="shared" si="17"/>
        <v>-</v>
      </c>
      <c r="AN17" s="814" t="str">
        <f t="shared" ca="1" si="18"/>
        <v>-</v>
      </c>
      <c r="AO17" s="815">
        <v>1</v>
      </c>
      <c r="AP17" s="816" t="str">
        <f t="shared" ca="1" si="19"/>
        <v>-</v>
      </c>
      <c r="AQ17" s="817"/>
      <c r="AR17" s="794" t="str">
        <f t="shared" si="20"/>
        <v>-</v>
      </c>
      <c r="AS17" s="818"/>
      <c r="AT17" s="794" t="str">
        <f t="shared" si="21"/>
        <v>-</v>
      </c>
      <c r="AU17" s="819"/>
      <c r="AV17" s="820"/>
      <c r="AW17" s="821"/>
      <c r="AX17" s="821"/>
      <c r="AY17" s="969" t="str">
        <f t="shared" si="22"/>
        <v>-</v>
      </c>
      <c r="AZ17" s="966" t="str">
        <f t="shared" si="23"/>
        <v>-</v>
      </c>
      <c r="BA17" s="971" t="str">
        <f t="shared" si="24"/>
        <v>-</v>
      </c>
      <c r="BB17" s="975"/>
      <c r="BC17" s="821"/>
      <c r="BD17" s="821"/>
      <c r="BE17" s="963" t="str">
        <f t="shared" si="25"/>
        <v>-</v>
      </c>
      <c r="BF17" s="984">
        <v>43033</v>
      </c>
      <c r="BG17" s="988" t="s">
        <v>3353</v>
      </c>
      <c r="BH17" s="986" t="s">
        <v>3354</v>
      </c>
      <c r="BI17" s="991">
        <v>5</v>
      </c>
      <c r="BJ17" s="991" t="s">
        <v>3356</v>
      </c>
      <c r="BK17" s="993">
        <f t="shared" ca="1" si="26"/>
        <v>101</v>
      </c>
      <c r="BL17" s="820">
        <v>42982</v>
      </c>
      <c r="BM17" s="821">
        <v>5</v>
      </c>
      <c r="BN17" s="822">
        <f t="shared" ca="1" si="27"/>
        <v>152</v>
      </c>
      <c r="BO17" s="823">
        <f t="shared" si="28"/>
        <v>35.033333333333331</v>
      </c>
      <c r="BP17" s="824">
        <v>43001</v>
      </c>
      <c r="BQ17" s="821">
        <v>2</v>
      </c>
      <c r="BR17" s="822">
        <f t="shared" ca="1" si="29"/>
        <v>133</v>
      </c>
      <c r="BS17" s="823">
        <f t="shared" si="30"/>
        <v>11.6</v>
      </c>
      <c r="BT17" s="825" t="str">
        <f t="shared" ca="1" si="31"/>
        <v>-</v>
      </c>
      <c r="BU17" s="826"/>
      <c r="BV17" s="827"/>
      <c r="BW17" s="828" t="str">
        <f t="shared" si="32"/>
        <v>Ж-Е НЕ ВАКЦ.</v>
      </c>
      <c r="BX17" s="829" t="str">
        <f t="shared" si="33"/>
        <v>-</v>
      </c>
      <c r="BY17" s="830" t="str">
        <f t="shared" ca="1" si="34"/>
        <v>-</v>
      </c>
      <c r="BZ17" s="831">
        <v>42887</v>
      </c>
      <c r="CA17" s="832">
        <v>5</v>
      </c>
      <c r="CB17" s="833">
        <f t="shared" ca="1" si="35"/>
        <v>247</v>
      </c>
      <c r="CC17" s="834" t="str">
        <f t="shared" ca="1" si="36"/>
        <v>-</v>
      </c>
      <c r="CD17" s="835">
        <f t="shared" si="37"/>
        <v>42908</v>
      </c>
      <c r="CE17" s="831">
        <v>42908</v>
      </c>
      <c r="CF17" s="832">
        <v>5</v>
      </c>
      <c r="CG17" s="833">
        <f t="shared" ca="1" si="38"/>
        <v>226</v>
      </c>
      <c r="CH17" s="836">
        <f t="shared" si="39"/>
        <v>0</v>
      </c>
      <c r="CI17" s="837" t="str">
        <f t="shared" si="40"/>
        <v>УСПЕШНО</v>
      </c>
      <c r="CJ17" s="838" t="str">
        <f t="shared" ca="1" si="41"/>
        <v>-</v>
      </c>
      <c r="CK17" s="831"/>
      <c r="CL17" s="832"/>
      <c r="CM17" s="833" t="str">
        <f t="shared" si="42"/>
        <v>-</v>
      </c>
      <c r="CN17" s="834" t="str">
        <f t="shared" si="43"/>
        <v>-</v>
      </c>
      <c r="CO17" s="830" t="str">
        <f t="shared" ca="1" si="44"/>
        <v>-</v>
      </c>
      <c r="CP17" s="831">
        <v>42941</v>
      </c>
      <c r="CQ17" s="832">
        <v>2</v>
      </c>
      <c r="CR17" s="833">
        <f t="shared" si="45"/>
        <v>-114</v>
      </c>
      <c r="CS17" s="833">
        <f t="shared" ca="1" si="46"/>
        <v>193</v>
      </c>
      <c r="CT17" s="834" t="str">
        <f t="shared" ca="1" si="47"/>
        <v>-</v>
      </c>
      <c r="CU17" s="835">
        <f t="shared" si="48"/>
        <v>42962</v>
      </c>
      <c r="CV17" s="831">
        <v>42962</v>
      </c>
      <c r="CW17" s="832">
        <v>2</v>
      </c>
      <c r="CX17" s="833">
        <f t="shared" si="49"/>
        <v>0</v>
      </c>
      <c r="CY17" s="840" t="str">
        <f t="shared" si="50"/>
        <v>УСПЕШНО</v>
      </c>
      <c r="CZ17" s="833">
        <f t="shared" si="51"/>
        <v>-93</v>
      </c>
      <c r="DA17" s="838" t="str">
        <f t="shared" ca="1" si="52"/>
        <v>-</v>
      </c>
      <c r="DB17" s="841"/>
      <c r="DC17" s="832"/>
    </row>
    <row r="18" spans="1:107" s="842" customFormat="1" ht="15.95" customHeight="1" x14ac:dyDescent="0.25">
      <c r="A18" s="790">
        <v>16</v>
      </c>
      <c r="B18" s="791">
        <f t="shared" ca="1" si="0"/>
        <v>43134</v>
      </c>
      <c r="C18" s="29" t="s">
        <v>614</v>
      </c>
      <c r="D18" s="59" t="s">
        <v>3201</v>
      </c>
      <c r="E18" s="794" t="s">
        <v>1066</v>
      </c>
      <c r="F18" s="795" t="s">
        <v>978</v>
      </c>
      <c r="G18" s="796">
        <f>SUMIFS(МОЛОКО!L8:L6958,МОЛОКО!F8:F6958,"2424",МОЛОКО!L8:L6958,"&gt;0")</f>
        <v>32.799999999999997</v>
      </c>
      <c r="H18" s="863" t="s">
        <v>603</v>
      </c>
      <c r="I18" s="798">
        <v>41972</v>
      </c>
      <c r="J18" s="799">
        <f t="shared" ca="1" si="1"/>
        <v>3.1835616438356165</v>
      </c>
      <c r="K18" s="799">
        <f t="shared" ca="1" si="2"/>
        <v>38.733333333333334</v>
      </c>
      <c r="L18" s="800">
        <f t="shared" ca="1" si="3"/>
        <v>1162</v>
      </c>
      <c r="M18" s="801">
        <v>42677</v>
      </c>
      <c r="N18" s="802">
        <v>43018</v>
      </c>
      <c r="O18" s="803">
        <f t="shared" ca="1" si="4"/>
        <v>116</v>
      </c>
      <c r="P18" s="804">
        <v>2</v>
      </c>
      <c r="Q18" s="805"/>
      <c r="R18" s="806"/>
      <c r="S18" s="807"/>
      <c r="T18" s="798"/>
      <c r="U18" s="798" t="str">
        <f t="shared" si="5"/>
        <v>-</v>
      </c>
      <c r="V18" s="804" t="str">
        <f t="shared" ca="1" si="6"/>
        <v>-</v>
      </c>
      <c r="W18" s="808">
        <v>0</v>
      </c>
      <c r="X18" s="794" t="str">
        <f t="shared" si="7"/>
        <v>-</v>
      </c>
      <c r="Y18" s="794">
        <v>0</v>
      </c>
      <c r="Z18" s="809" t="str">
        <f t="shared" ca="1" si="8"/>
        <v>-----</v>
      </c>
      <c r="AA18" s="810">
        <f t="shared" ca="1" si="9"/>
        <v>43134</v>
      </c>
      <c r="AB18" s="804"/>
      <c r="AC18" s="811" t="str">
        <f t="shared" ca="1" si="10"/>
        <v>-----</v>
      </c>
      <c r="AD18" s="798"/>
      <c r="AE18" s="794" t="str">
        <f t="shared" ca="1" si="11"/>
        <v>-</v>
      </c>
      <c r="AF18" s="798" t="str">
        <f t="shared" si="12"/>
        <v>-</v>
      </c>
      <c r="AG18" s="812" t="str">
        <f t="shared" si="13"/>
        <v>---------</v>
      </c>
      <c r="AH18" s="807"/>
      <c r="AI18" s="807" t="str">
        <f t="shared" si="14"/>
        <v>-</v>
      </c>
      <c r="AJ18" s="807" t="str">
        <f t="shared" si="15"/>
        <v>-</v>
      </c>
      <c r="AK18" s="813"/>
      <c r="AL18" s="807" t="str">
        <f t="shared" si="16"/>
        <v>-</v>
      </c>
      <c r="AM18" s="807" t="str">
        <f t="shared" si="17"/>
        <v>-</v>
      </c>
      <c r="AN18" s="814" t="str">
        <f t="shared" ca="1" si="18"/>
        <v>-</v>
      </c>
      <c r="AO18" s="815">
        <v>1</v>
      </c>
      <c r="AP18" s="816" t="str">
        <f t="shared" ca="1" si="19"/>
        <v>-</v>
      </c>
      <c r="AQ18" s="817"/>
      <c r="AR18" s="794" t="str">
        <f t="shared" si="20"/>
        <v>-</v>
      </c>
      <c r="AS18" s="818"/>
      <c r="AT18" s="794" t="str">
        <f t="shared" si="21"/>
        <v>-</v>
      </c>
      <c r="AU18" s="819"/>
      <c r="AV18" s="820"/>
      <c r="AW18" s="821"/>
      <c r="AX18" s="821"/>
      <c r="AY18" s="969" t="str">
        <f t="shared" si="22"/>
        <v>-</v>
      </c>
      <c r="AZ18" s="966" t="str">
        <f t="shared" si="23"/>
        <v>-</v>
      </c>
      <c r="BA18" s="971" t="str">
        <f t="shared" si="24"/>
        <v>-</v>
      </c>
      <c r="BB18" s="975"/>
      <c r="BC18" s="821"/>
      <c r="BD18" s="821"/>
      <c r="BE18" s="963" t="str">
        <f t="shared" si="25"/>
        <v>-</v>
      </c>
      <c r="BF18" s="984"/>
      <c r="BG18" s="988"/>
      <c r="BH18" s="982"/>
      <c r="BI18" s="991"/>
      <c r="BJ18" s="991"/>
      <c r="BK18" s="993" t="str">
        <f t="shared" si="26"/>
        <v>-</v>
      </c>
      <c r="BL18" s="820">
        <v>42978</v>
      </c>
      <c r="BM18" s="821">
        <v>5</v>
      </c>
      <c r="BN18" s="822">
        <f t="shared" ca="1" si="27"/>
        <v>156</v>
      </c>
      <c r="BO18" s="823">
        <f t="shared" si="28"/>
        <v>33.533333333333331</v>
      </c>
      <c r="BP18" s="824">
        <v>43001</v>
      </c>
      <c r="BQ18" s="821">
        <v>2</v>
      </c>
      <c r="BR18" s="822">
        <f t="shared" ca="1" si="29"/>
        <v>133</v>
      </c>
      <c r="BS18" s="823">
        <f t="shared" si="30"/>
        <v>10.8</v>
      </c>
      <c r="BT18" s="825" t="str">
        <f t="shared" ca="1" si="31"/>
        <v>-</v>
      </c>
      <c r="BU18" s="826"/>
      <c r="BV18" s="827"/>
      <c r="BW18" s="828" t="str">
        <f t="shared" si="32"/>
        <v>Ж-Е НЕ ВАКЦ.</v>
      </c>
      <c r="BX18" s="829" t="str">
        <f t="shared" si="33"/>
        <v>-</v>
      </c>
      <c r="BY18" s="830" t="str">
        <f t="shared" ca="1" si="34"/>
        <v>-</v>
      </c>
      <c r="BZ18" s="831">
        <v>42887</v>
      </c>
      <c r="CA18" s="832">
        <v>5</v>
      </c>
      <c r="CB18" s="833">
        <f t="shared" ca="1" si="35"/>
        <v>247</v>
      </c>
      <c r="CC18" s="834" t="str">
        <f t="shared" ca="1" si="36"/>
        <v>-</v>
      </c>
      <c r="CD18" s="835">
        <f t="shared" si="37"/>
        <v>42908</v>
      </c>
      <c r="CE18" s="831">
        <v>42908</v>
      </c>
      <c r="CF18" s="832">
        <v>5</v>
      </c>
      <c r="CG18" s="833">
        <f t="shared" ca="1" si="38"/>
        <v>226</v>
      </c>
      <c r="CH18" s="836">
        <f t="shared" si="39"/>
        <v>0</v>
      </c>
      <c r="CI18" s="837" t="str">
        <f t="shared" si="40"/>
        <v>УСПЕШНО</v>
      </c>
      <c r="CJ18" s="838" t="str">
        <f t="shared" ca="1" si="41"/>
        <v>-</v>
      </c>
      <c r="CK18" s="831"/>
      <c r="CL18" s="832"/>
      <c r="CM18" s="833" t="str">
        <f t="shared" si="42"/>
        <v>-</v>
      </c>
      <c r="CN18" s="834" t="str">
        <f t="shared" si="43"/>
        <v>-</v>
      </c>
      <c r="CO18" s="830" t="str">
        <f t="shared" ca="1" si="44"/>
        <v>-</v>
      </c>
      <c r="CP18" s="831">
        <v>42958</v>
      </c>
      <c r="CQ18" s="832">
        <v>2</v>
      </c>
      <c r="CR18" s="833">
        <f t="shared" si="45"/>
        <v>42958</v>
      </c>
      <c r="CS18" s="833">
        <f t="shared" ca="1" si="46"/>
        <v>176</v>
      </c>
      <c r="CT18" s="834" t="str">
        <f t="shared" ca="1" si="47"/>
        <v>-</v>
      </c>
      <c r="CU18" s="835">
        <f t="shared" si="48"/>
        <v>42979</v>
      </c>
      <c r="CV18" s="831">
        <v>42980</v>
      </c>
      <c r="CW18" s="832">
        <v>2</v>
      </c>
      <c r="CX18" s="833">
        <f t="shared" si="49"/>
        <v>1</v>
      </c>
      <c r="CY18" s="840" t="str">
        <f t="shared" si="50"/>
        <v>-</v>
      </c>
      <c r="CZ18" s="833">
        <f t="shared" si="51"/>
        <v>42980</v>
      </c>
      <c r="DA18" s="838" t="str">
        <f t="shared" ca="1" si="52"/>
        <v>-</v>
      </c>
      <c r="DB18" s="841"/>
      <c r="DC18" s="832"/>
    </row>
    <row r="19" spans="1:107" s="842" customFormat="1" ht="15.95" customHeight="1" x14ac:dyDescent="0.25">
      <c r="A19" s="790">
        <v>17</v>
      </c>
      <c r="B19" s="791">
        <f t="shared" ca="1" si="0"/>
        <v>43134</v>
      </c>
      <c r="C19" s="792" t="s">
        <v>614</v>
      </c>
      <c r="D19" s="793" t="s">
        <v>3201</v>
      </c>
      <c r="E19" s="794" t="s">
        <v>1086</v>
      </c>
      <c r="F19" s="795" t="s">
        <v>976</v>
      </c>
      <c r="G19" s="796">
        <f>SUMIFS(МОЛОКО!L8:L6958,МОЛОКО!F8:F6958,"2437",МОЛОКО!L8:L6958,"&gt;0")</f>
        <v>22.2</v>
      </c>
      <c r="H19" s="797" t="s">
        <v>603</v>
      </c>
      <c r="I19" s="798">
        <v>41982</v>
      </c>
      <c r="J19" s="799">
        <f t="shared" ca="1" si="1"/>
        <v>3.1561643835616437</v>
      </c>
      <c r="K19" s="799">
        <f t="shared" ca="1" si="2"/>
        <v>38.4</v>
      </c>
      <c r="L19" s="800">
        <f t="shared" ca="1" si="3"/>
        <v>1152</v>
      </c>
      <c r="M19" s="801">
        <v>42756</v>
      </c>
      <c r="N19" s="802">
        <v>42756</v>
      </c>
      <c r="O19" s="803">
        <f t="shared" ca="1" si="4"/>
        <v>378</v>
      </c>
      <c r="P19" s="804">
        <v>1</v>
      </c>
      <c r="Q19" s="805" t="s">
        <v>2366</v>
      </c>
      <c r="R19" s="806" t="s">
        <v>2670</v>
      </c>
      <c r="S19" s="807">
        <v>42817</v>
      </c>
      <c r="T19" s="798">
        <v>42909</v>
      </c>
      <c r="U19" s="798" t="str">
        <f t="shared" si="5"/>
        <v>-</v>
      </c>
      <c r="V19" s="804" t="str">
        <f t="shared" ca="1" si="6"/>
        <v>-</v>
      </c>
      <c r="W19" s="808">
        <v>3</v>
      </c>
      <c r="X19" s="794">
        <f t="shared" si="7"/>
        <v>153</v>
      </c>
      <c r="Y19" s="794">
        <v>1</v>
      </c>
      <c r="Z19" s="809" t="str">
        <f t="shared" ca="1" si="8"/>
        <v>-----</v>
      </c>
      <c r="AA19" s="810" t="str">
        <f t="shared" ca="1" si="9"/>
        <v>-----</v>
      </c>
      <c r="AB19" s="804">
        <v>1</v>
      </c>
      <c r="AC19" s="811" t="str">
        <f t="shared" ca="1" si="10"/>
        <v>-----</v>
      </c>
      <c r="AD19" s="798">
        <v>42995</v>
      </c>
      <c r="AE19" s="794" t="str">
        <f t="shared" ca="1" si="11"/>
        <v>-</v>
      </c>
      <c r="AF19" s="798" t="str">
        <f t="shared" si="12"/>
        <v>-</v>
      </c>
      <c r="AG19" s="812" t="str">
        <f t="shared" si="13"/>
        <v>---------</v>
      </c>
      <c r="AH19" s="807">
        <v>42940</v>
      </c>
      <c r="AI19" s="807">
        <f t="shared" si="14"/>
        <v>43099</v>
      </c>
      <c r="AJ19" s="807">
        <f t="shared" si="15"/>
        <v>43129</v>
      </c>
      <c r="AK19" s="813"/>
      <c r="AL19" s="807">
        <f t="shared" si="16"/>
        <v>43168</v>
      </c>
      <c r="AM19" s="807">
        <f t="shared" si="17"/>
        <v>43189</v>
      </c>
      <c r="AN19" s="814">
        <f t="shared" ca="1" si="18"/>
        <v>-55</v>
      </c>
      <c r="AO19" s="815">
        <v>1</v>
      </c>
      <c r="AP19" s="816" t="str">
        <f t="shared" ca="1" si="19"/>
        <v>-</v>
      </c>
      <c r="AQ19" s="817"/>
      <c r="AR19" s="794" t="str">
        <f t="shared" si="20"/>
        <v>-</v>
      </c>
      <c r="AS19" s="818"/>
      <c r="AT19" s="794" t="str">
        <f t="shared" si="21"/>
        <v>-</v>
      </c>
      <c r="AU19" s="819"/>
      <c r="AV19" s="820"/>
      <c r="AW19" s="821"/>
      <c r="AX19" s="821"/>
      <c r="AY19" s="969" t="str">
        <f t="shared" si="22"/>
        <v>-</v>
      </c>
      <c r="AZ19" s="966" t="str">
        <f t="shared" si="23"/>
        <v>-</v>
      </c>
      <c r="BA19" s="971" t="str">
        <f t="shared" si="24"/>
        <v>-</v>
      </c>
      <c r="BB19" s="975"/>
      <c r="BC19" s="821"/>
      <c r="BD19" s="821"/>
      <c r="BE19" s="963" t="str">
        <f t="shared" si="25"/>
        <v>-</v>
      </c>
      <c r="BF19" s="984">
        <v>43033</v>
      </c>
      <c r="BG19" s="988" t="s">
        <v>3353</v>
      </c>
      <c r="BH19" s="986" t="s">
        <v>3354</v>
      </c>
      <c r="BI19" s="991">
        <v>5</v>
      </c>
      <c r="BJ19" s="991" t="s">
        <v>3356</v>
      </c>
      <c r="BK19" s="993">
        <f t="shared" ca="1" si="26"/>
        <v>101</v>
      </c>
      <c r="BL19" s="820">
        <v>42980</v>
      </c>
      <c r="BM19" s="821">
        <v>5</v>
      </c>
      <c r="BN19" s="822">
        <f t="shared" ca="1" si="27"/>
        <v>154</v>
      </c>
      <c r="BO19" s="823">
        <f t="shared" si="28"/>
        <v>33.266666666666666</v>
      </c>
      <c r="BP19" s="824">
        <v>43001</v>
      </c>
      <c r="BQ19" s="821">
        <v>2</v>
      </c>
      <c r="BR19" s="822">
        <f t="shared" ca="1" si="29"/>
        <v>133</v>
      </c>
      <c r="BS19" s="823">
        <f t="shared" si="30"/>
        <v>8.1666666666666661</v>
      </c>
      <c r="BT19" s="825" t="str">
        <f t="shared" ca="1" si="31"/>
        <v>-</v>
      </c>
      <c r="BU19" s="826"/>
      <c r="BV19" s="827"/>
      <c r="BW19" s="828" t="str">
        <f t="shared" si="32"/>
        <v>Ж-Е НЕ ВАКЦ.</v>
      </c>
      <c r="BX19" s="829" t="str">
        <f t="shared" si="33"/>
        <v>-</v>
      </c>
      <c r="BY19" s="830" t="str">
        <f t="shared" ca="1" si="34"/>
        <v>-</v>
      </c>
      <c r="BZ19" s="831">
        <v>42887</v>
      </c>
      <c r="CA19" s="832">
        <v>5</v>
      </c>
      <c r="CB19" s="833">
        <f t="shared" ca="1" si="35"/>
        <v>247</v>
      </c>
      <c r="CC19" s="834" t="str">
        <f t="shared" ca="1" si="36"/>
        <v>-</v>
      </c>
      <c r="CD19" s="835">
        <f t="shared" si="37"/>
        <v>42908</v>
      </c>
      <c r="CE19" s="831">
        <v>42908</v>
      </c>
      <c r="CF19" s="832">
        <v>5</v>
      </c>
      <c r="CG19" s="833">
        <f t="shared" ca="1" si="38"/>
        <v>226</v>
      </c>
      <c r="CH19" s="836">
        <f t="shared" si="39"/>
        <v>0</v>
      </c>
      <c r="CI19" s="837" t="str">
        <f t="shared" si="40"/>
        <v>УСПЕШНО</v>
      </c>
      <c r="CJ19" s="838" t="str">
        <f t="shared" ca="1" si="41"/>
        <v>-</v>
      </c>
      <c r="CK19" s="831"/>
      <c r="CL19" s="832"/>
      <c r="CM19" s="833" t="str">
        <f t="shared" si="42"/>
        <v>-</v>
      </c>
      <c r="CN19" s="834" t="str">
        <f t="shared" si="43"/>
        <v>-</v>
      </c>
      <c r="CO19" s="830" t="str">
        <f t="shared" ca="1" si="44"/>
        <v>ТРЕБУЕТСЯ ВАКЦИНАЦИЯ</v>
      </c>
      <c r="CP19" s="839"/>
      <c r="CQ19" s="832"/>
      <c r="CR19" s="833" t="str">
        <f t="shared" si="45"/>
        <v>-</v>
      </c>
      <c r="CS19" s="833" t="str">
        <f t="shared" si="46"/>
        <v>-</v>
      </c>
      <c r="CT19" s="834" t="str">
        <f t="shared" si="47"/>
        <v>-</v>
      </c>
      <c r="CU19" s="835" t="str">
        <f t="shared" si="48"/>
        <v>-</v>
      </c>
      <c r="CV19" s="839"/>
      <c r="CW19" s="832"/>
      <c r="CX19" s="833" t="str">
        <f t="shared" si="49"/>
        <v>-</v>
      </c>
      <c r="CY19" s="840" t="str">
        <f t="shared" si="50"/>
        <v>-</v>
      </c>
      <c r="CZ19" s="833" t="str">
        <f t="shared" si="51"/>
        <v>-</v>
      </c>
      <c r="DA19" s="838" t="str">
        <f t="shared" ca="1" si="52"/>
        <v>-</v>
      </c>
      <c r="DB19" s="841"/>
      <c r="DC19" s="832"/>
    </row>
    <row r="20" spans="1:107" s="842" customFormat="1" ht="15.95" customHeight="1" x14ac:dyDescent="0.25">
      <c r="A20" s="790">
        <v>18</v>
      </c>
      <c r="B20" s="791">
        <f t="shared" ca="1" si="0"/>
        <v>43134</v>
      </c>
      <c r="C20" s="29" t="s">
        <v>614</v>
      </c>
      <c r="D20" s="59" t="s">
        <v>3201</v>
      </c>
      <c r="E20" s="794" t="s">
        <v>1069</v>
      </c>
      <c r="F20" s="795" t="s">
        <v>991</v>
      </c>
      <c r="G20" s="796">
        <f>SUMIFS(МОЛОКО!L8:L6958,МОЛОКО!F8:F6958,"2445",МОЛОКО!L8:L6958,"&gt;0")</f>
        <v>22.6</v>
      </c>
      <c r="H20" s="797" t="s">
        <v>603</v>
      </c>
      <c r="I20" s="798">
        <v>41987</v>
      </c>
      <c r="J20" s="799">
        <f t="shared" ca="1" si="1"/>
        <v>3.1424657534246574</v>
      </c>
      <c r="K20" s="799">
        <f t="shared" ca="1" si="2"/>
        <v>38.233333333333334</v>
      </c>
      <c r="L20" s="800">
        <f t="shared" ca="1" si="3"/>
        <v>1147</v>
      </c>
      <c r="M20" s="801">
        <v>42679</v>
      </c>
      <c r="N20" s="802">
        <v>43024</v>
      </c>
      <c r="O20" s="803">
        <f t="shared" ca="1" si="4"/>
        <v>110</v>
      </c>
      <c r="P20" s="804">
        <v>2</v>
      </c>
      <c r="Q20" s="805"/>
      <c r="R20" s="806"/>
      <c r="S20" s="807"/>
      <c r="T20" s="798"/>
      <c r="U20" s="798" t="str">
        <f t="shared" si="5"/>
        <v>-</v>
      </c>
      <c r="V20" s="804" t="str">
        <f t="shared" ca="1" si="6"/>
        <v>-</v>
      </c>
      <c r="W20" s="808">
        <v>0</v>
      </c>
      <c r="X20" s="794" t="str">
        <f t="shared" si="7"/>
        <v>-</v>
      </c>
      <c r="Y20" s="794">
        <v>0</v>
      </c>
      <c r="Z20" s="809" t="str">
        <f t="shared" ca="1" si="8"/>
        <v>-----</v>
      </c>
      <c r="AA20" s="810">
        <f t="shared" ca="1" si="9"/>
        <v>43134</v>
      </c>
      <c r="AB20" s="804"/>
      <c r="AC20" s="811" t="str">
        <f t="shared" ca="1" si="10"/>
        <v>-----</v>
      </c>
      <c r="AD20" s="798"/>
      <c r="AE20" s="794" t="str">
        <f t="shared" ca="1" si="11"/>
        <v>-</v>
      </c>
      <c r="AF20" s="798" t="str">
        <f t="shared" si="12"/>
        <v>-</v>
      </c>
      <c r="AG20" s="812" t="str">
        <f t="shared" si="13"/>
        <v>---------</v>
      </c>
      <c r="AH20" s="807"/>
      <c r="AI20" s="807" t="str">
        <f t="shared" si="14"/>
        <v>-</v>
      </c>
      <c r="AJ20" s="807" t="str">
        <f t="shared" si="15"/>
        <v>-</v>
      </c>
      <c r="AK20" s="813"/>
      <c r="AL20" s="807" t="str">
        <f t="shared" si="16"/>
        <v>-</v>
      </c>
      <c r="AM20" s="807" t="str">
        <f t="shared" si="17"/>
        <v>-</v>
      </c>
      <c r="AN20" s="814" t="str">
        <f t="shared" ca="1" si="18"/>
        <v>-</v>
      </c>
      <c r="AO20" s="815">
        <v>1</v>
      </c>
      <c r="AP20" s="816" t="str">
        <f t="shared" ca="1" si="19"/>
        <v>-</v>
      </c>
      <c r="AQ20" s="817"/>
      <c r="AR20" s="794" t="str">
        <f t="shared" si="20"/>
        <v>-</v>
      </c>
      <c r="AS20" s="818"/>
      <c r="AT20" s="794" t="str">
        <f t="shared" si="21"/>
        <v>-</v>
      </c>
      <c r="AU20" s="819"/>
      <c r="AV20" s="820"/>
      <c r="AW20" s="821"/>
      <c r="AX20" s="821"/>
      <c r="AY20" s="969" t="str">
        <f t="shared" si="22"/>
        <v>-</v>
      </c>
      <c r="AZ20" s="966" t="str">
        <f t="shared" si="23"/>
        <v>-</v>
      </c>
      <c r="BA20" s="971" t="str">
        <f t="shared" si="24"/>
        <v>-</v>
      </c>
      <c r="BB20" s="975"/>
      <c r="BC20" s="821"/>
      <c r="BD20" s="821"/>
      <c r="BE20" s="963" t="str">
        <f t="shared" si="25"/>
        <v>-</v>
      </c>
      <c r="BF20" s="984"/>
      <c r="BG20" s="988"/>
      <c r="BH20" s="982"/>
      <c r="BI20" s="991"/>
      <c r="BJ20" s="991"/>
      <c r="BK20" s="993" t="str">
        <f t="shared" si="26"/>
        <v>-</v>
      </c>
      <c r="BL20" s="820">
        <v>42978</v>
      </c>
      <c r="BM20" s="821">
        <v>5</v>
      </c>
      <c r="BN20" s="822">
        <f t="shared" ca="1" si="27"/>
        <v>156</v>
      </c>
      <c r="BO20" s="823">
        <f t="shared" si="28"/>
        <v>33.033333333333331</v>
      </c>
      <c r="BP20" s="824">
        <v>43001</v>
      </c>
      <c r="BQ20" s="821">
        <v>2</v>
      </c>
      <c r="BR20" s="822">
        <f t="shared" ca="1" si="29"/>
        <v>133</v>
      </c>
      <c r="BS20" s="823">
        <f t="shared" si="30"/>
        <v>10.733333333333333</v>
      </c>
      <c r="BT20" s="825" t="str">
        <f t="shared" ca="1" si="31"/>
        <v>-</v>
      </c>
      <c r="BU20" s="826"/>
      <c r="BV20" s="827"/>
      <c r="BW20" s="828" t="str">
        <f t="shared" si="32"/>
        <v>Ж-Е НЕ ВАКЦ.</v>
      </c>
      <c r="BX20" s="829" t="str">
        <f t="shared" si="33"/>
        <v>-</v>
      </c>
      <c r="BY20" s="830" t="str">
        <f t="shared" ca="1" si="34"/>
        <v>-</v>
      </c>
      <c r="BZ20" s="831">
        <v>42887</v>
      </c>
      <c r="CA20" s="832">
        <v>5</v>
      </c>
      <c r="CB20" s="833">
        <f t="shared" ca="1" si="35"/>
        <v>247</v>
      </c>
      <c r="CC20" s="834" t="str">
        <f t="shared" ca="1" si="36"/>
        <v>-</v>
      </c>
      <c r="CD20" s="835">
        <f t="shared" si="37"/>
        <v>42908</v>
      </c>
      <c r="CE20" s="831">
        <v>42908</v>
      </c>
      <c r="CF20" s="832">
        <v>5</v>
      </c>
      <c r="CG20" s="833">
        <f t="shared" ca="1" si="38"/>
        <v>226</v>
      </c>
      <c r="CH20" s="836">
        <f t="shared" si="39"/>
        <v>0</v>
      </c>
      <c r="CI20" s="837" t="str">
        <f t="shared" si="40"/>
        <v>УСПЕШНО</v>
      </c>
      <c r="CJ20" s="838" t="str">
        <f t="shared" ca="1" si="41"/>
        <v>-</v>
      </c>
      <c r="CK20" s="831"/>
      <c r="CL20" s="832"/>
      <c r="CM20" s="833" t="str">
        <f t="shared" si="42"/>
        <v>-</v>
      </c>
      <c r="CN20" s="834" t="str">
        <f t="shared" si="43"/>
        <v>-</v>
      </c>
      <c r="CO20" s="830" t="str">
        <f t="shared" ca="1" si="44"/>
        <v>-</v>
      </c>
      <c r="CP20" s="831">
        <v>42962</v>
      </c>
      <c r="CQ20" s="832">
        <v>2</v>
      </c>
      <c r="CR20" s="833">
        <f t="shared" si="45"/>
        <v>42962</v>
      </c>
      <c r="CS20" s="833">
        <f t="shared" ca="1" si="46"/>
        <v>172</v>
      </c>
      <c r="CT20" s="834" t="str">
        <f t="shared" ca="1" si="47"/>
        <v>-</v>
      </c>
      <c r="CU20" s="835">
        <f t="shared" si="48"/>
        <v>42983</v>
      </c>
      <c r="CV20" s="831">
        <v>42983</v>
      </c>
      <c r="CW20" s="832">
        <v>2</v>
      </c>
      <c r="CX20" s="833">
        <f t="shared" si="49"/>
        <v>0</v>
      </c>
      <c r="CY20" s="840" t="str">
        <f t="shared" si="50"/>
        <v>УСПЕШНО</v>
      </c>
      <c r="CZ20" s="833">
        <f t="shared" si="51"/>
        <v>42983</v>
      </c>
      <c r="DA20" s="838" t="str">
        <f t="shared" ca="1" si="52"/>
        <v>-</v>
      </c>
      <c r="DB20" s="841"/>
      <c r="DC20" s="832"/>
    </row>
    <row r="21" spans="1:107" s="842" customFormat="1" ht="15.95" customHeight="1" x14ac:dyDescent="0.25">
      <c r="A21" s="790">
        <v>19</v>
      </c>
      <c r="B21" s="791">
        <f t="shared" ca="1" si="0"/>
        <v>43134</v>
      </c>
      <c r="C21" s="792" t="s">
        <v>614</v>
      </c>
      <c r="D21" s="793" t="s">
        <v>3201</v>
      </c>
      <c r="E21" s="794" t="s">
        <v>1074</v>
      </c>
      <c r="F21" s="795" t="s">
        <v>996</v>
      </c>
      <c r="G21" s="796">
        <f>SUMIFS(МОЛОКО!L8:L6958,МОЛОКО!F8:F6958,"2489",МОЛОКО!L8:L6958,"&gt;0")</f>
        <v>25.400000000000002</v>
      </c>
      <c r="H21" s="797" t="s">
        <v>603</v>
      </c>
      <c r="I21" s="798">
        <v>42015</v>
      </c>
      <c r="J21" s="799">
        <f t="shared" ca="1" si="1"/>
        <v>3.0657534246575344</v>
      </c>
      <c r="K21" s="799">
        <f t="shared" ca="1" si="2"/>
        <v>37.299999999999997</v>
      </c>
      <c r="L21" s="800">
        <f t="shared" ca="1" si="3"/>
        <v>1119</v>
      </c>
      <c r="M21" s="801">
        <v>42938</v>
      </c>
      <c r="N21" s="802">
        <v>42938</v>
      </c>
      <c r="O21" s="803">
        <f t="shared" ca="1" si="4"/>
        <v>196</v>
      </c>
      <c r="P21" s="804">
        <v>1</v>
      </c>
      <c r="Q21" s="805" t="s">
        <v>2366</v>
      </c>
      <c r="R21" s="806" t="s">
        <v>2962</v>
      </c>
      <c r="S21" s="807">
        <v>43007</v>
      </c>
      <c r="T21" s="798">
        <v>43007</v>
      </c>
      <c r="U21" s="798" t="str">
        <f t="shared" si="5"/>
        <v>-</v>
      </c>
      <c r="V21" s="804" t="str">
        <f t="shared" ca="1" si="6"/>
        <v>-</v>
      </c>
      <c r="W21" s="808">
        <v>1</v>
      </c>
      <c r="X21" s="794">
        <f t="shared" si="7"/>
        <v>69</v>
      </c>
      <c r="Y21" s="794">
        <v>1</v>
      </c>
      <c r="Z21" s="809" t="str">
        <f t="shared" ca="1" si="8"/>
        <v>ПОДЛЕЖИТ ПЕРЕПРОВЕРКЕ</v>
      </c>
      <c r="AA21" s="810">
        <f t="shared" ca="1" si="9"/>
        <v>127</v>
      </c>
      <c r="AB21" s="804"/>
      <c r="AC21" s="811">
        <f t="shared" ca="1" si="10"/>
        <v>43079</v>
      </c>
      <c r="AD21" s="798"/>
      <c r="AE21" s="794" t="str">
        <f t="shared" ca="1" si="11"/>
        <v>-</v>
      </c>
      <c r="AF21" s="798" t="str">
        <f t="shared" si="12"/>
        <v>-</v>
      </c>
      <c r="AG21" s="812" t="str">
        <f t="shared" si="13"/>
        <v>---------</v>
      </c>
      <c r="AH21" s="807">
        <v>43038</v>
      </c>
      <c r="AI21" s="807">
        <f t="shared" si="14"/>
        <v>43197</v>
      </c>
      <c r="AJ21" s="807">
        <f t="shared" si="15"/>
        <v>43227</v>
      </c>
      <c r="AK21" s="813"/>
      <c r="AL21" s="807">
        <f t="shared" si="16"/>
        <v>43266</v>
      </c>
      <c r="AM21" s="807">
        <f t="shared" si="17"/>
        <v>43287</v>
      </c>
      <c r="AN21" s="814">
        <f t="shared" ca="1" si="18"/>
        <v>-153</v>
      </c>
      <c r="AO21" s="815">
        <v>1</v>
      </c>
      <c r="AP21" s="816" t="str">
        <f t="shared" ca="1" si="19"/>
        <v>-</v>
      </c>
      <c r="AQ21" s="817"/>
      <c r="AR21" s="794" t="str">
        <f t="shared" si="20"/>
        <v>-</v>
      </c>
      <c r="AS21" s="818"/>
      <c r="AT21" s="794" t="str">
        <f t="shared" si="21"/>
        <v>-</v>
      </c>
      <c r="AU21" s="819"/>
      <c r="AV21" s="820"/>
      <c r="AW21" s="821"/>
      <c r="AX21" s="821"/>
      <c r="AY21" s="969" t="str">
        <f t="shared" si="22"/>
        <v>-</v>
      </c>
      <c r="AZ21" s="966" t="str">
        <f t="shared" si="23"/>
        <v>-</v>
      </c>
      <c r="BA21" s="971" t="str">
        <f t="shared" si="24"/>
        <v>-</v>
      </c>
      <c r="BB21" s="975"/>
      <c r="BC21" s="821"/>
      <c r="BD21" s="821"/>
      <c r="BE21" s="963" t="str">
        <f t="shared" si="25"/>
        <v>-</v>
      </c>
      <c r="BF21" s="984">
        <v>43033</v>
      </c>
      <c r="BG21" s="988" t="s">
        <v>3353</v>
      </c>
      <c r="BH21" s="986" t="s">
        <v>3354</v>
      </c>
      <c r="BI21" s="991">
        <v>5</v>
      </c>
      <c r="BJ21" s="991" t="s">
        <v>3356</v>
      </c>
      <c r="BK21" s="993">
        <f t="shared" ca="1" si="26"/>
        <v>101</v>
      </c>
      <c r="BL21" s="820">
        <v>42980</v>
      </c>
      <c r="BM21" s="821">
        <v>5</v>
      </c>
      <c r="BN21" s="822">
        <f t="shared" ca="1" si="27"/>
        <v>154</v>
      </c>
      <c r="BO21" s="823">
        <f t="shared" si="28"/>
        <v>32.166666666666664</v>
      </c>
      <c r="BP21" s="824">
        <v>43001</v>
      </c>
      <c r="BQ21" s="821">
        <v>2</v>
      </c>
      <c r="BR21" s="822">
        <f t="shared" ca="1" si="29"/>
        <v>133</v>
      </c>
      <c r="BS21" s="823">
        <f t="shared" si="30"/>
        <v>2.1</v>
      </c>
      <c r="BT21" s="825" t="str">
        <f t="shared" ca="1" si="31"/>
        <v>-</v>
      </c>
      <c r="BU21" s="826"/>
      <c r="BV21" s="827"/>
      <c r="BW21" s="828" t="str">
        <f t="shared" si="32"/>
        <v>Ж-Е НЕ ВАКЦ.</v>
      </c>
      <c r="BX21" s="829" t="str">
        <f t="shared" si="33"/>
        <v>-</v>
      </c>
      <c r="BY21" s="830" t="str">
        <f t="shared" ca="1" si="34"/>
        <v>-</v>
      </c>
      <c r="BZ21" s="831">
        <v>42964</v>
      </c>
      <c r="CA21" s="832">
        <v>5</v>
      </c>
      <c r="CB21" s="833">
        <f t="shared" ca="1" si="35"/>
        <v>170</v>
      </c>
      <c r="CC21" s="834" t="str">
        <f t="shared" ca="1" si="36"/>
        <v>-</v>
      </c>
      <c r="CD21" s="835">
        <f t="shared" si="37"/>
        <v>42985</v>
      </c>
      <c r="CE21" s="831">
        <v>42985</v>
      </c>
      <c r="CF21" s="832">
        <v>5</v>
      </c>
      <c r="CG21" s="833">
        <f t="shared" ca="1" si="38"/>
        <v>149</v>
      </c>
      <c r="CH21" s="836">
        <f t="shared" si="39"/>
        <v>0</v>
      </c>
      <c r="CI21" s="837" t="str">
        <f t="shared" si="40"/>
        <v>УСПЕШНО</v>
      </c>
      <c r="CJ21" s="838" t="str">
        <f t="shared" ca="1" si="41"/>
        <v>-</v>
      </c>
      <c r="CK21" s="831"/>
      <c r="CL21" s="832"/>
      <c r="CM21" s="833" t="str">
        <f t="shared" si="42"/>
        <v>-</v>
      </c>
      <c r="CN21" s="834" t="str">
        <f t="shared" si="43"/>
        <v>-</v>
      </c>
      <c r="CO21" s="830" t="str">
        <f t="shared" ca="1" si="44"/>
        <v>-</v>
      </c>
      <c r="CP21" s="831">
        <v>42882</v>
      </c>
      <c r="CQ21" s="832">
        <v>2</v>
      </c>
      <c r="CR21" s="833">
        <f t="shared" si="45"/>
        <v>-125</v>
      </c>
      <c r="CS21" s="833">
        <f t="shared" ca="1" si="46"/>
        <v>252</v>
      </c>
      <c r="CT21" s="834" t="str">
        <f t="shared" ca="1" si="47"/>
        <v>-</v>
      </c>
      <c r="CU21" s="835">
        <f t="shared" si="48"/>
        <v>42903</v>
      </c>
      <c r="CV21" s="831">
        <v>42903</v>
      </c>
      <c r="CW21" s="832">
        <v>2</v>
      </c>
      <c r="CX21" s="833">
        <f t="shared" si="49"/>
        <v>0</v>
      </c>
      <c r="CY21" s="840" t="str">
        <f t="shared" si="50"/>
        <v>УСПЕШНО</v>
      </c>
      <c r="CZ21" s="833">
        <f t="shared" si="51"/>
        <v>-104</v>
      </c>
      <c r="DA21" s="838" t="str">
        <f t="shared" ca="1" si="52"/>
        <v>-</v>
      </c>
      <c r="DB21" s="841"/>
      <c r="DC21" s="832"/>
    </row>
    <row r="22" spans="1:107" s="842" customFormat="1" ht="15.95" customHeight="1" x14ac:dyDescent="0.25">
      <c r="A22" s="790">
        <v>20</v>
      </c>
      <c r="B22" s="791">
        <f t="shared" ca="1" si="0"/>
        <v>43134</v>
      </c>
      <c r="C22" s="792" t="s">
        <v>614</v>
      </c>
      <c r="D22" s="793" t="s">
        <v>3201</v>
      </c>
      <c r="E22" s="794" t="s">
        <v>1297</v>
      </c>
      <c r="F22" s="795" t="s">
        <v>1452</v>
      </c>
      <c r="G22" s="796">
        <f>SUMIFS(МОЛОКО!L8:L6958,МОЛОКО!F8:F6958,"2614",МОЛОКО!L8:L6958,"&gt;0")</f>
        <v>25</v>
      </c>
      <c r="H22" s="797" t="s">
        <v>603</v>
      </c>
      <c r="I22" s="798">
        <v>42120</v>
      </c>
      <c r="J22" s="799">
        <f t="shared" ca="1" si="1"/>
        <v>2.7780821917808218</v>
      </c>
      <c r="K22" s="799">
        <f t="shared" ca="1" si="2"/>
        <v>33.799999999999997</v>
      </c>
      <c r="L22" s="800">
        <f t="shared" ca="1" si="3"/>
        <v>1014</v>
      </c>
      <c r="M22" s="801">
        <v>42835</v>
      </c>
      <c r="N22" s="802">
        <v>42835</v>
      </c>
      <c r="O22" s="803">
        <f t="shared" ca="1" si="4"/>
        <v>299</v>
      </c>
      <c r="P22" s="804">
        <v>1</v>
      </c>
      <c r="Q22" s="805" t="s">
        <v>1451</v>
      </c>
      <c r="R22" s="806" t="s">
        <v>2670</v>
      </c>
      <c r="S22" s="807">
        <v>42894</v>
      </c>
      <c r="T22" s="798">
        <v>42894</v>
      </c>
      <c r="U22" s="798" t="str">
        <f t="shared" si="5"/>
        <v>-</v>
      </c>
      <c r="V22" s="804" t="str">
        <f t="shared" ca="1" si="6"/>
        <v>-</v>
      </c>
      <c r="W22" s="808">
        <v>1</v>
      </c>
      <c r="X22" s="794">
        <f t="shared" si="7"/>
        <v>59</v>
      </c>
      <c r="Y22" s="794">
        <v>1</v>
      </c>
      <c r="Z22" s="809" t="str">
        <f t="shared" ca="1" si="8"/>
        <v>-----</v>
      </c>
      <c r="AA22" s="810" t="str">
        <f t="shared" ca="1" si="9"/>
        <v>-----</v>
      </c>
      <c r="AB22" s="804">
        <v>1</v>
      </c>
      <c r="AC22" s="811" t="str">
        <f t="shared" ca="1" si="10"/>
        <v>-----</v>
      </c>
      <c r="AD22" s="798">
        <v>42955</v>
      </c>
      <c r="AE22" s="794" t="str">
        <f t="shared" ca="1" si="11"/>
        <v>-</v>
      </c>
      <c r="AF22" s="798" t="str">
        <f t="shared" si="12"/>
        <v>-</v>
      </c>
      <c r="AG22" s="812" t="str">
        <f t="shared" si="13"/>
        <v>---------</v>
      </c>
      <c r="AH22" s="807">
        <v>42925</v>
      </c>
      <c r="AI22" s="807">
        <f t="shared" si="14"/>
        <v>43084</v>
      </c>
      <c r="AJ22" s="807">
        <f t="shared" si="15"/>
        <v>43114</v>
      </c>
      <c r="AK22" s="813"/>
      <c r="AL22" s="807">
        <f t="shared" si="16"/>
        <v>43153</v>
      </c>
      <c r="AM22" s="807">
        <f t="shared" si="17"/>
        <v>43174</v>
      </c>
      <c r="AN22" s="814">
        <f t="shared" ca="1" si="18"/>
        <v>-40</v>
      </c>
      <c r="AO22" s="815">
        <v>1</v>
      </c>
      <c r="AP22" s="816" t="str">
        <f t="shared" ca="1" si="19"/>
        <v>-</v>
      </c>
      <c r="AQ22" s="817"/>
      <c r="AR22" s="794" t="str">
        <f t="shared" si="20"/>
        <v>-</v>
      </c>
      <c r="AS22" s="818"/>
      <c r="AT22" s="794" t="str">
        <f t="shared" si="21"/>
        <v>-</v>
      </c>
      <c r="AU22" s="819"/>
      <c r="AV22" s="820"/>
      <c r="AW22" s="821"/>
      <c r="AX22" s="821"/>
      <c r="AY22" s="969" t="str">
        <f t="shared" si="22"/>
        <v>-</v>
      </c>
      <c r="AZ22" s="966" t="str">
        <f t="shared" si="23"/>
        <v>-</v>
      </c>
      <c r="BA22" s="971" t="str">
        <f t="shared" si="24"/>
        <v>-</v>
      </c>
      <c r="BB22" s="975"/>
      <c r="BC22" s="821"/>
      <c r="BD22" s="821"/>
      <c r="BE22" s="963" t="str">
        <f t="shared" si="25"/>
        <v>-</v>
      </c>
      <c r="BF22" s="984">
        <v>43033</v>
      </c>
      <c r="BG22" s="988" t="s">
        <v>3353</v>
      </c>
      <c r="BH22" s="986" t="s">
        <v>3354</v>
      </c>
      <c r="BI22" s="991">
        <v>5</v>
      </c>
      <c r="BJ22" s="991" t="s">
        <v>3356</v>
      </c>
      <c r="BK22" s="993">
        <f t="shared" ca="1" si="26"/>
        <v>101</v>
      </c>
      <c r="BL22" s="820">
        <v>42981</v>
      </c>
      <c r="BM22" s="821">
        <v>5</v>
      </c>
      <c r="BN22" s="822">
        <f t="shared" ca="1" si="27"/>
        <v>153</v>
      </c>
      <c r="BO22" s="823">
        <f t="shared" si="28"/>
        <v>28.7</v>
      </c>
      <c r="BP22" s="824">
        <v>43001</v>
      </c>
      <c r="BQ22" s="821">
        <v>2</v>
      </c>
      <c r="BR22" s="822">
        <f t="shared" ca="1" si="29"/>
        <v>133</v>
      </c>
      <c r="BS22" s="823">
        <f t="shared" si="30"/>
        <v>5.5333333333333332</v>
      </c>
      <c r="BT22" s="825" t="str">
        <f t="shared" ca="1" si="31"/>
        <v>-</v>
      </c>
      <c r="BU22" s="826"/>
      <c r="BV22" s="827"/>
      <c r="BW22" s="828" t="str">
        <f t="shared" si="32"/>
        <v>Ж-Е НЕ ВАКЦ.</v>
      </c>
      <c r="BX22" s="829" t="str">
        <f t="shared" si="33"/>
        <v>-</v>
      </c>
      <c r="BY22" s="830" t="str">
        <f t="shared" ca="1" si="34"/>
        <v>-</v>
      </c>
      <c r="BZ22" s="831">
        <v>42887</v>
      </c>
      <c r="CA22" s="832">
        <v>5</v>
      </c>
      <c r="CB22" s="833">
        <f t="shared" ca="1" si="35"/>
        <v>247</v>
      </c>
      <c r="CC22" s="834" t="str">
        <f t="shared" ca="1" si="36"/>
        <v>-</v>
      </c>
      <c r="CD22" s="835">
        <f t="shared" si="37"/>
        <v>42908</v>
      </c>
      <c r="CE22" s="831">
        <v>42908</v>
      </c>
      <c r="CF22" s="832">
        <v>5</v>
      </c>
      <c r="CG22" s="833">
        <f t="shared" ca="1" si="38"/>
        <v>226</v>
      </c>
      <c r="CH22" s="836">
        <f t="shared" si="39"/>
        <v>0</v>
      </c>
      <c r="CI22" s="837" t="str">
        <f t="shared" si="40"/>
        <v>УСПЕШНО</v>
      </c>
      <c r="CJ22" s="838" t="str">
        <f t="shared" ca="1" si="41"/>
        <v>-</v>
      </c>
      <c r="CK22" s="831"/>
      <c r="CL22" s="832"/>
      <c r="CM22" s="833" t="str">
        <f t="shared" si="42"/>
        <v>-</v>
      </c>
      <c r="CN22" s="834" t="str">
        <f t="shared" si="43"/>
        <v>-</v>
      </c>
      <c r="CO22" s="830" t="str">
        <f t="shared" ca="1" si="44"/>
        <v>ТРЕБУЕТСЯ ВАКЦИНАЦИЯ</v>
      </c>
      <c r="CP22" s="839"/>
      <c r="CQ22" s="832"/>
      <c r="CR22" s="833" t="str">
        <f t="shared" si="45"/>
        <v>-</v>
      </c>
      <c r="CS22" s="833" t="str">
        <f t="shared" si="46"/>
        <v>-</v>
      </c>
      <c r="CT22" s="834" t="str">
        <f t="shared" si="47"/>
        <v>-</v>
      </c>
      <c r="CU22" s="835" t="str">
        <f t="shared" si="48"/>
        <v>-</v>
      </c>
      <c r="CV22" s="839"/>
      <c r="CW22" s="832"/>
      <c r="CX22" s="833" t="str">
        <f t="shared" si="49"/>
        <v>-</v>
      </c>
      <c r="CY22" s="840" t="str">
        <f t="shared" si="50"/>
        <v>-</v>
      </c>
      <c r="CZ22" s="833" t="str">
        <f t="shared" si="51"/>
        <v>-</v>
      </c>
      <c r="DA22" s="838" t="str">
        <f t="shared" ca="1" si="52"/>
        <v>-</v>
      </c>
      <c r="DB22" s="841"/>
      <c r="DC22" s="832"/>
    </row>
    <row r="23" spans="1:107" s="842" customFormat="1" ht="15.95" customHeight="1" x14ac:dyDescent="0.25">
      <c r="A23" s="790">
        <v>21</v>
      </c>
      <c r="B23" s="791">
        <f t="shared" ca="1" si="0"/>
        <v>43134</v>
      </c>
      <c r="C23" s="792" t="s">
        <v>614</v>
      </c>
      <c r="D23" s="793" t="s">
        <v>3201</v>
      </c>
      <c r="E23" s="794" t="s">
        <v>1528</v>
      </c>
      <c r="F23" s="795" t="s">
        <v>1510</v>
      </c>
      <c r="G23" s="796">
        <f>SUMIFS(МОЛОКО!L8:L6958,МОЛОКО!F8:F6958,"2657",МОЛОКО!L8:L6958,"&gt;0")</f>
        <v>24.800000000000004</v>
      </c>
      <c r="H23" s="797" t="s">
        <v>603</v>
      </c>
      <c r="I23" s="798">
        <v>42192</v>
      </c>
      <c r="J23" s="799">
        <f t="shared" ca="1" si="1"/>
        <v>2.580821917808219</v>
      </c>
      <c r="K23" s="799">
        <f t="shared" ca="1" si="2"/>
        <v>31.4</v>
      </c>
      <c r="L23" s="800">
        <f t="shared" ca="1" si="3"/>
        <v>942</v>
      </c>
      <c r="M23" s="801">
        <v>42885</v>
      </c>
      <c r="N23" s="802">
        <v>42885</v>
      </c>
      <c r="O23" s="803">
        <f t="shared" ca="1" si="4"/>
        <v>249</v>
      </c>
      <c r="P23" s="804">
        <v>1</v>
      </c>
      <c r="Q23" s="805" t="s">
        <v>2366</v>
      </c>
      <c r="R23" s="806" t="s">
        <v>3020</v>
      </c>
      <c r="S23" s="807">
        <v>42950</v>
      </c>
      <c r="T23" s="798">
        <v>42993</v>
      </c>
      <c r="U23" s="798" t="str">
        <f t="shared" si="5"/>
        <v>-</v>
      </c>
      <c r="V23" s="804" t="str">
        <f t="shared" ca="1" si="6"/>
        <v>-</v>
      </c>
      <c r="W23" s="808">
        <v>2</v>
      </c>
      <c r="X23" s="794">
        <f t="shared" si="7"/>
        <v>108</v>
      </c>
      <c r="Y23" s="794">
        <v>1</v>
      </c>
      <c r="Z23" s="809" t="str">
        <f t="shared" ca="1" si="8"/>
        <v>ПОДЛЕЖИТ ПЕРЕПРОВЕРКЕ</v>
      </c>
      <c r="AA23" s="810">
        <f t="shared" ca="1" si="9"/>
        <v>141</v>
      </c>
      <c r="AB23" s="804"/>
      <c r="AC23" s="811">
        <f t="shared" ca="1" si="10"/>
        <v>43065</v>
      </c>
      <c r="AD23" s="798"/>
      <c r="AE23" s="794" t="str">
        <f t="shared" ca="1" si="11"/>
        <v>-</v>
      </c>
      <c r="AF23" s="798" t="str">
        <f t="shared" si="12"/>
        <v>-</v>
      </c>
      <c r="AG23" s="812" t="str">
        <f t="shared" si="13"/>
        <v>---------</v>
      </c>
      <c r="AH23" s="807">
        <v>43024</v>
      </c>
      <c r="AI23" s="807">
        <f t="shared" si="14"/>
        <v>43183</v>
      </c>
      <c r="AJ23" s="807">
        <f t="shared" si="15"/>
        <v>43213</v>
      </c>
      <c r="AK23" s="813"/>
      <c r="AL23" s="807">
        <f t="shared" si="16"/>
        <v>43252</v>
      </c>
      <c r="AM23" s="807">
        <f t="shared" si="17"/>
        <v>43273</v>
      </c>
      <c r="AN23" s="814">
        <f t="shared" ca="1" si="18"/>
        <v>-139</v>
      </c>
      <c r="AO23" s="815">
        <v>1</v>
      </c>
      <c r="AP23" s="816" t="str">
        <f t="shared" ca="1" si="19"/>
        <v>-</v>
      </c>
      <c r="AQ23" s="817"/>
      <c r="AR23" s="794" t="str">
        <f t="shared" si="20"/>
        <v>-</v>
      </c>
      <c r="AS23" s="818"/>
      <c r="AT23" s="794" t="str">
        <f t="shared" si="21"/>
        <v>-</v>
      </c>
      <c r="AU23" s="819"/>
      <c r="AV23" s="820"/>
      <c r="AW23" s="821"/>
      <c r="AX23" s="821"/>
      <c r="AY23" s="969" t="str">
        <f t="shared" si="22"/>
        <v>-</v>
      </c>
      <c r="AZ23" s="966" t="str">
        <f t="shared" si="23"/>
        <v>-</v>
      </c>
      <c r="BA23" s="971" t="str">
        <f t="shared" si="24"/>
        <v>-</v>
      </c>
      <c r="BB23" s="975"/>
      <c r="BC23" s="821"/>
      <c r="BD23" s="821"/>
      <c r="BE23" s="963" t="str">
        <f t="shared" si="25"/>
        <v>-</v>
      </c>
      <c r="BF23" s="984">
        <v>43033</v>
      </c>
      <c r="BG23" s="988" t="s">
        <v>3353</v>
      </c>
      <c r="BH23" s="986" t="s">
        <v>3354</v>
      </c>
      <c r="BI23" s="991">
        <v>5</v>
      </c>
      <c r="BJ23" s="991" t="s">
        <v>3356</v>
      </c>
      <c r="BK23" s="993">
        <f t="shared" ca="1" si="26"/>
        <v>101</v>
      </c>
      <c r="BL23" s="820">
        <v>42980</v>
      </c>
      <c r="BM23" s="821">
        <v>5</v>
      </c>
      <c r="BN23" s="822">
        <f t="shared" ca="1" si="27"/>
        <v>154</v>
      </c>
      <c r="BO23" s="823">
        <f t="shared" si="28"/>
        <v>26.266666666666666</v>
      </c>
      <c r="BP23" s="824">
        <v>43001</v>
      </c>
      <c r="BQ23" s="821">
        <v>2</v>
      </c>
      <c r="BR23" s="822">
        <f t="shared" ca="1" si="29"/>
        <v>133</v>
      </c>
      <c r="BS23" s="823">
        <f t="shared" si="30"/>
        <v>3.8666666666666667</v>
      </c>
      <c r="BT23" s="825" t="str">
        <f t="shared" ca="1" si="31"/>
        <v>-</v>
      </c>
      <c r="BU23" s="826"/>
      <c r="BV23" s="827"/>
      <c r="BW23" s="828" t="str">
        <f t="shared" si="32"/>
        <v>Ж-Е НЕ ВАКЦ.</v>
      </c>
      <c r="BX23" s="829" t="str">
        <f t="shared" si="33"/>
        <v>-</v>
      </c>
      <c r="BY23" s="830" t="str">
        <f t="shared" ca="1" si="34"/>
        <v>-</v>
      </c>
      <c r="BZ23" s="831">
        <v>42916</v>
      </c>
      <c r="CA23" s="832">
        <v>5</v>
      </c>
      <c r="CB23" s="833">
        <f t="shared" ca="1" si="35"/>
        <v>218</v>
      </c>
      <c r="CC23" s="834" t="str">
        <f t="shared" ca="1" si="36"/>
        <v>-</v>
      </c>
      <c r="CD23" s="835">
        <f t="shared" si="37"/>
        <v>42937</v>
      </c>
      <c r="CE23" s="831">
        <v>42937</v>
      </c>
      <c r="CF23" s="832">
        <v>5</v>
      </c>
      <c r="CG23" s="833">
        <f t="shared" ca="1" si="38"/>
        <v>197</v>
      </c>
      <c r="CH23" s="836">
        <f t="shared" si="39"/>
        <v>0</v>
      </c>
      <c r="CI23" s="837" t="str">
        <f t="shared" si="40"/>
        <v>УСПЕШНО</v>
      </c>
      <c r="CJ23" s="838" t="str">
        <f t="shared" ca="1" si="41"/>
        <v>-</v>
      </c>
      <c r="CK23" s="831"/>
      <c r="CL23" s="832"/>
      <c r="CM23" s="833" t="str">
        <f t="shared" si="42"/>
        <v>-</v>
      </c>
      <c r="CN23" s="834" t="str">
        <f t="shared" si="43"/>
        <v>-</v>
      </c>
      <c r="CO23" s="830" t="str">
        <f t="shared" ca="1" si="44"/>
        <v>-</v>
      </c>
      <c r="CP23" s="839"/>
      <c r="CQ23" s="832"/>
      <c r="CR23" s="833" t="str">
        <f t="shared" si="45"/>
        <v>-</v>
      </c>
      <c r="CS23" s="833" t="str">
        <f t="shared" si="46"/>
        <v>-</v>
      </c>
      <c r="CT23" s="834" t="str">
        <f t="shared" si="47"/>
        <v>-</v>
      </c>
      <c r="CU23" s="835" t="str">
        <f t="shared" si="48"/>
        <v>-</v>
      </c>
      <c r="CV23" s="839"/>
      <c r="CW23" s="832"/>
      <c r="CX23" s="833" t="str">
        <f t="shared" si="49"/>
        <v>-</v>
      </c>
      <c r="CY23" s="840" t="str">
        <f t="shared" si="50"/>
        <v>-</v>
      </c>
      <c r="CZ23" s="833" t="str">
        <f t="shared" si="51"/>
        <v>-</v>
      </c>
      <c r="DA23" s="838" t="str">
        <f t="shared" ca="1" si="52"/>
        <v>-</v>
      </c>
      <c r="DB23" s="841"/>
      <c r="DC23" s="832"/>
    </row>
    <row r="24" spans="1:107" s="842" customFormat="1" ht="15.95" customHeight="1" x14ac:dyDescent="0.25">
      <c r="A24" s="790">
        <v>22</v>
      </c>
      <c r="B24" s="791">
        <f t="shared" ca="1" si="0"/>
        <v>43134</v>
      </c>
      <c r="C24" s="792" t="s">
        <v>614</v>
      </c>
      <c r="D24" s="793" t="s">
        <v>3201</v>
      </c>
      <c r="E24" s="794" t="s">
        <v>67</v>
      </c>
      <c r="F24" s="795" t="s">
        <v>1540</v>
      </c>
      <c r="G24" s="796">
        <f>SUMIFS(МОЛОКО!L8:L6958,МОЛОКО!F8:F6958,"2661",МОЛОКО!L8:L6958,"&gt;0")</f>
        <v>22.6</v>
      </c>
      <c r="H24" s="797" t="s">
        <v>603</v>
      </c>
      <c r="I24" s="798">
        <v>42202</v>
      </c>
      <c r="J24" s="799">
        <f t="shared" ca="1" si="1"/>
        <v>2.5534246575342467</v>
      </c>
      <c r="K24" s="799">
        <f t="shared" ca="1" si="2"/>
        <v>31.066666666666666</v>
      </c>
      <c r="L24" s="800">
        <f t="shared" ca="1" si="3"/>
        <v>932</v>
      </c>
      <c r="M24" s="801">
        <v>42865</v>
      </c>
      <c r="N24" s="802">
        <v>42865</v>
      </c>
      <c r="O24" s="803">
        <f t="shared" ca="1" si="4"/>
        <v>269</v>
      </c>
      <c r="P24" s="804">
        <v>1</v>
      </c>
      <c r="Q24" s="68" t="s">
        <v>2366</v>
      </c>
      <c r="R24" s="118" t="s">
        <v>2962</v>
      </c>
      <c r="S24" s="807">
        <v>43022</v>
      </c>
      <c r="T24" s="798">
        <v>43044</v>
      </c>
      <c r="U24" s="798">
        <f t="shared" si="5"/>
        <v>43062</v>
      </c>
      <c r="V24" s="804">
        <f t="shared" ca="1" si="6"/>
        <v>72</v>
      </c>
      <c r="W24" s="808">
        <v>2</v>
      </c>
      <c r="X24" s="794">
        <f t="shared" si="7"/>
        <v>179</v>
      </c>
      <c r="Y24" s="794">
        <v>3</v>
      </c>
      <c r="Z24" s="809" t="str">
        <f t="shared" ca="1" si="8"/>
        <v>-----</v>
      </c>
      <c r="AA24" s="810">
        <f t="shared" ca="1" si="9"/>
        <v>90</v>
      </c>
      <c r="AB24" s="804"/>
      <c r="AC24" s="811" t="str">
        <f t="shared" ca="1" si="10"/>
        <v>-----</v>
      </c>
      <c r="AD24" s="798"/>
      <c r="AE24" s="794" t="str">
        <f t="shared" ca="1" si="11"/>
        <v>-</v>
      </c>
      <c r="AF24" s="798">
        <f t="shared" si="12"/>
        <v>43079</v>
      </c>
      <c r="AG24" s="812">
        <f t="shared" ca="1" si="13"/>
        <v>55</v>
      </c>
      <c r="AH24" s="807"/>
      <c r="AI24" s="807" t="str">
        <f t="shared" si="14"/>
        <v>-</v>
      </c>
      <c r="AJ24" s="807" t="str">
        <f t="shared" si="15"/>
        <v>-</v>
      </c>
      <c r="AK24" s="813"/>
      <c r="AL24" s="807" t="str">
        <f t="shared" si="16"/>
        <v>-</v>
      </c>
      <c r="AM24" s="807" t="str">
        <f t="shared" si="17"/>
        <v>-</v>
      </c>
      <c r="AN24" s="814" t="str">
        <f t="shared" ca="1" si="18"/>
        <v>-</v>
      </c>
      <c r="AO24" s="815">
        <v>1</v>
      </c>
      <c r="AP24" s="816" t="str">
        <f t="shared" ca="1" si="19"/>
        <v>-</v>
      </c>
      <c r="AQ24" s="817"/>
      <c r="AR24" s="794" t="str">
        <f t="shared" si="20"/>
        <v>-</v>
      </c>
      <c r="AS24" s="818"/>
      <c r="AT24" s="794" t="str">
        <f t="shared" si="21"/>
        <v>-</v>
      </c>
      <c r="AU24" s="819"/>
      <c r="AV24" s="820"/>
      <c r="AW24" s="821"/>
      <c r="AX24" s="821"/>
      <c r="AY24" s="969" t="str">
        <f t="shared" si="22"/>
        <v>-</v>
      </c>
      <c r="AZ24" s="966" t="str">
        <f t="shared" si="23"/>
        <v>-</v>
      </c>
      <c r="BA24" s="971" t="str">
        <f t="shared" si="24"/>
        <v>-</v>
      </c>
      <c r="BB24" s="975"/>
      <c r="BC24" s="821"/>
      <c r="BD24" s="821"/>
      <c r="BE24" s="963" t="str">
        <f t="shared" si="25"/>
        <v>-</v>
      </c>
      <c r="BF24" s="984">
        <v>43033</v>
      </c>
      <c r="BG24" s="988" t="s">
        <v>3353</v>
      </c>
      <c r="BH24" s="986" t="s">
        <v>3354</v>
      </c>
      <c r="BI24" s="991">
        <v>5</v>
      </c>
      <c r="BJ24" s="991" t="s">
        <v>3356</v>
      </c>
      <c r="BK24" s="993">
        <f t="shared" ca="1" si="26"/>
        <v>101</v>
      </c>
      <c r="BL24" s="820">
        <v>42980</v>
      </c>
      <c r="BM24" s="821">
        <v>5</v>
      </c>
      <c r="BN24" s="822">
        <f t="shared" ca="1" si="27"/>
        <v>154</v>
      </c>
      <c r="BO24" s="823">
        <f t="shared" si="28"/>
        <v>25.933333333333334</v>
      </c>
      <c r="BP24" s="824">
        <v>43001</v>
      </c>
      <c r="BQ24" s="821">
        <v>2</v>
      </c>
      <c r="BR24" s="822">
        <f t="shared" ca="1" si="29"/>
        <v>133</v>
      </c>
      <c r="BS24" s="823">
        <f t="shared" si="30"/>
        <v>4.5333333333333332</v>
      </c>
      <c r="BT24" s="825" t="str">
        <f t="shared" ca="1" si="31"/>
        <v>-</v>
      </c>
      <c r="BU24" s="826"/>
      <c r="BV24" s="827"/>
      <c r="BW24" s="828" t="str">
        <f t="shared" si="32"/>
        <v>Ж-Е НЕ ВАКЦ.</v>
      </c>
      <c r="BX24" s="829" t="str">
        <f t="shared" si="33"/>
        <v>-</v>
      </c>
      <c r="BY24" s="830" t="str">
        <f t="shared" ca="1" si="34"/>
        <v>-</v>
      </c>
      <c r="BZ24" s="831">
        <v>42887</v>
      </c>
      <c r="CA24" s="832">
        <v>5</v>
      </c>
      <c r="CB24" s="833">
        <f t="shared" ca="1" si="35"/>
        <v>247</v>
      </c>
      <c r="CC24" s="834" t="str">
        <f t="shared" ca="1" si="36"/>
        <v>-</v>
      </c>
      <c r="CD24" s="835">
        <f t="shared" si="37"/>
        <v>42908</v>
      </c>
      <c r="CE24" s="831">
        <v>42908</v>
      </c>
      <c r="CF24" s="832">
        <v>5</v>
      </c>
      <c r="CG24" s="833">
        <f t="shared" ca="1" si="38"/>
        <v>226</v>
      </c>
      <c r="CH24" s="836">
        <f t="shared" si="39"/>
        <v>0</v>
      </c>
      <c r="CI24" s="837" t="str">
        <f t="shared" si="40"/>
        <v>УСПЕШНО</v>
      </c>
      <c r="CJ24" s="838" t="str">
        <f t="shared" ca="1" si="41"/>
        <v>-</v>
      </c>
      <c r="CK24" s="831"/>
      <c r="CL24" s="832"/>
      <c r="CM24" s="833" t="str">
        <f t="shared" si="42"/>
        <v>-</v>
      </c>
      <c r="CN24" s="834" t="str">
        <f t="shared" si="43"/>
        <v>-</v>
      </c>
      <c r="CO24" s="830" t="str">
        <f t="shared" ca="1" si="44"/>
        <v>-</v>
      </c>
      <c r="CP24" s="839"/>
      <c r="CQ24" s="832"/>
      <c r="CR24" s="833" t="str">
        <f t="shared" si="45"/>
        <v>-</v>
      </c>
      <c r="CS24" s="833" t="str">
        <f t="shared" si="46"/>
        <v>-</v>
      </c>
      <c r="CT24" s="834" t="str">
        <f t="shared" si="47"/>
        <v>-</v>
      </c>
      <c r="CU24" s="835" t="str">
        <f t="shared" si="48"/>
        <v>-</v>
      </c>
      <c r="CV24" s="839"/>
      <c r="CW24" s="832"/>
      <c r="CX24" s="833" t="str">
        <f t="shared" si="49"/>
        <v>-</v>
      </c>
      <c r="CY24" s="840" t="str">
        <f t="shared" si="50"/>
        <v>-</v>
      </c>
      <c r="CZ24" s="833" t="str">
        <f t="shared" si="51"/>
        <v>-</v>
      </c>
      <c r="DA24" s="838" t="str">
        <f t="shared" ca="1" si="52"/>
        <v>-</v>
      </c>
      <c r="DB24" s="841"/>
      <c r="DC24" s="832"/>
    </row>
    <row r="25" spans="1:107" s="842" customFormat="1" ht="15.95" customHeight="1" x14ac:dyDescent="0.25">
      <c r="A25" s="790">
        <v>23</v>
      </c>
      <c r="B25" s="791">
        <f t="shared" ca="1" si="0"/>
        <v>43134</v>
      </c>
      <c r="C25" s="271" t="s">
        <v>614</v>
      </c>
      <c r="D25" s="327" t="s">
        <v>3201</v>
      </c>
      <c r="E25" s="794" t="s">
        <v>2801</v>
      </c>
      <c r="F25" s="795" t="s">
        <v>1910</v>
      </c>
      <c r="G25" s="796">
        <f>SUMIFS(МОЛОКО!L8:L6958,МОЛОКО!F8:F6958,"2691",МОЛОКО!L8:L6958,"&gt;0")</f>
        <v>28.3</v>
      </c>
      <c r="H25" s="797" t="s">
        <v>603</v>
      </c>
      <c r="I25" s="798">
        <v>42237</v>
      </c>
      <c r="J25" s="799">
        <f t="shared" ca="1" si="1"/>
        <v>2.4575342465753423</v>
      </c>
      <c r="K25" s="799">
        <f t="shared" ca="1" si="2"/>
        <v>29.9</v>
      </c>
      <c r="L25" s="800">
        <f t="shared" ca="1" si="3"/>
        <v>897</v>
      </c>
      <c r="M25" s="802">
        <v>43016</v>
      </c>
      <c r="N25" s="802">
        <v>43016</v>
      </c>
      <c r="O25" s="803">
        <f t="shared" ca="1" si="4"/>
        <v>118</v>
      </c>
      <c r="P25" s="804">
        <v>1</v>
      </c>
      <c r="Q25" s="805"/>
      <c r="R25" s="806"/>
      <c r="S25" s="807"/>
      <c r="T25" s="798"/>
      <c r="U25" s="798" t="str">
        <f t="shared" si="5"/>
        <v>-</v>
      </c>
      <c r="V25" s="804" t="str">
        <f t="shared" ca="1" si="6"/>
        <v>-</v>
      </c>
      <c r="W25" s="808">
        <v>0</v>
      </c>
      <c r="X25" s="794" t="str">
        <f t="shared" si="7"/>
        <v>-</v>
      </c>
      <c r="Y25" s="794">
        <v>0</v>
      </c>
      <c r="Z25" s="809" t="str">
        <f t="shared" ca="1" si="8"/>
        <v>-----</v>
      </c>
      <c r="AA25" s="810">
        <f t="shared" ca="1" si="9"/>
        <v>43134</v>
      </c>
      <c r="AB25" s="804"/>
      <c r="AC25" s="811" t="str">
        <f t="shared" ca="1" si="10"/>
        <v>-----</v>
      </c>
      <c r="AD25" s="798"/>
      <c r="AE25" s="794" t="str">
        <f t="shared" ca="1" si="11"/>
        <v>-</v>
      </c>
      <c r="AF25" s="798" t="str">
        <f t="shared" si="12"/>
        <v>-</v>
      </c>
      <c r="AG25" s="812" t="str">
        <f t="shared" si="13"/>
        <v>---------</v>
      </c>
      <c r="AH25" s="807"/>
      <c r="AI25" s="807" t="str">
        <f t="shared" si="14"/>
        <v>-</v>
      </c>
      <c r="AJ25" s="807" t="str">
        <f t="shared" si="15"/>
        <v>-</v>
      </c>
      <c r="AK25" s="813"/>
      <c r="AL25" s="807" t="str">
        <f t="shared" si="16"/>
        <v>-</v>
      </c>
      <c r="AM25" s="807" t="str">
        <f t="shared" si="17"/>
        <v>-</v>
      </c>
      <c r="AN25" s="814" t="str">
        <f t="shared" ca="1" si="18"/>
        <v>-</v>
      </c>
      <c r="AO25" s="815">
        <v>1</v>
      </c>
      <c r="AP25" s="816" t="str">
        <f t="shared" ca="1" si="19"/>
        <v>-</v>
      </c>
      <c r="AQ25" s="817"/>
      <c r="AR25" s="794" t="str">
        <f t="shared" si="20"/>
        <v>-</v>
      </c>
      <c r="AS25" s="818"/>
      <c r="AT25" s="794" t="str">
        <f t="shared" si="21"/>
        <v>-</v>
      </c>
      <c r="AU25" s="819"/>
      <c r="AV25" s="820"/>
      <c r="AW25" s="821"/>
      <c r="AX25" s="821"/>
      <c r="AY25" s="969" t="str">
        <f t="shared" si="22"/>
        <v>-</v>
      </c>
      <c r="AZ25" s="966" t="str">
        <f t="shared" si="23"/>
        <v>-</v>
      </c>
      <c r="BA25" s="971" t="str">
        <f t="shared" si="24"/>
        <v>-</v>
      </c>
      <c r="BB25" s="975"/>
      <c r="BC25" s="821"/>
      <c r="BD25" s="821"/>
      <c r="BE25" s="963" t="str">
        <f t="shared" si="25"/>
        <v>-</v>
      </c>
      <c r="BF25" s="984"/>
      <c r="BG25" s="988"/>
      <c r="BH25" s="982"/>
      <c r="BI25" s="991"/>
      <c r="BJ25" s="991"/>
      <c r="BK25" s="993" t="str">
        <f t="shared" si="26"/>
        <v>-</v>
      </c>
      <c r="BL25" s="820">
        <v>42978</v>
      </c>
      <c r="BM25" s="821">
        <v>5</v>
      </c>
      <c r="BN25" s="822">
        <f t="shared" ca="1" si="27"/>
        <v>156</v>
      </c>
      <c r="BO25" s="823">
        <f t="shared" si="28"/>
        <v>24.7</v>
      </c>
      <c r="BP25" s="824"/>
      <c r="BQ25" s="821"/>
      <c r="BR25" s="822" t="str">
        <f t="shared" si="29"/>
        <v>-</v>
      </c>
      <c r="BS25" s="823" t="str">
        <f t="shared" si="30"/>
        <v>-</v>
      </c>
      <c r="BT25" s="825" t="str">
        <f t="shared" ca="1" si="31"/>
        <v>-</v>
      </c>
      <c r="BU25" s="826"/>
      <c r="BV25" s="827"/>
      <c r="BW25" s="828" t="str">
        <f t="shared" si="32"/>
        <v>Ж-Е НЕ ВАКЦ.</v>
      </c>
      <c r="BX25" s="829" t="str">
        <f t="shared" si="33"/>
        <v>-</v>
      </c>
      <c r="BY25" s="830" t="str">
        <f t="shared" ca="1" si="34"/>
        <v>-</v>
      </c>
      <c r="BZ25" s="831">
        <v>42894</v>
      </c>
      <c r="CA25" s="832">
        <v>5</v>
      </c>
      <c r="CB25" s="833">
        <f t="shared" ca="1" si="35"/>
        <v>240</v>
      </c>
      <c r="CC25" s="834" t="str">
        <f t="shared" ca="1" si="36"/>
        <v>-</v>
      </c>
      <c r="CD25" s="835">
        <f t="shared" si="37"/>
        <v>42915</v>
      </c>
      <c r="CE25" s="831">
        <v>42915</v>
      </c>
      <c r="CF25" s="832">
        <v>5</v>
      </c>
      <c r="CG25" s="833">
        <f t="shared" ca="1" si="38"/>
        <v>219</v>
      </c>
      <c r="CH25" s="836">
        <f t="shared" si="39"/>
        <v>0</v>
      </c>
      <c r="CI25" s="837" t="str">
        <f t="shared" si="40"/>
        <v>УСПЕШНО</v>
      </c>
      <c r="CJ25" s="838" t="str">
        <f t="shared" ca="1" si="41"/>
        <v>-</v>
      </c>
      <c r="CK25" s="831"/>
      <c r="CL25" s="832"/>
      <c r="CM25" s="833" t="str">
        <f t="shared" si="42"/>
        <v>-</v>
      </c>
      <c r="CN25" s="834" t="str">
        <f t="shared" si="43"/>
        <v>-</v>
      </c>
      <c r="CO25" s="830" t="str">
        <f t="shared" ca="1" si="44"/>
        <v>-</v>
      </c>
      <c r="CP25" s="831">
        <v>42958</v>
      </c>
      <c r="CQ25" s="832">
        <v>2</v>
      </c>
      <c r="CR25" s="833">
        <f t="shared" si="45"/>
        <v>42958</v>
      </c>
      <c r="CS25" s="833">
        <f t="shared" ca="1" si="46"/>
        <v>176</v>
      </c>
      <c r="CT25" s="834" t="str">
        <f t="shared" ca="1" si="47"/>
        <v>-</v>
      </c>
      <c r="CU25" s="835">
        <f t="shared" si="48"/>
        <v>42979</v>
      </c>
      <c r="CV25" s="831">
        <v>42980</v>
      </c>
      <c r="CW25" s="832">
        <v>2</v>
      </c>
      <c r="CX25" s="833">
        <f t="shared" si="49"/>
        <v>1</v>
      </c>
      <c r="CY25" s="840" t="str">
        <f t="shared" si="50"/>
        <v>-</v>
      </c>
      <c r="CZ25" s="833">
        <f t="shared" si="51"/>
        <v>42980</v>
      </c>
      <c r="DA25" s="838" t="str">
        <f t="shared" ca="1" si="52"/>
        <v>-</v>
      </c>
      <c r="DB25" s="841"/>
      <c r="DC25" s="832"/>
    </row>
    <row r="26" spans="1:107" s="842" customFormat="1" ht="15.95" customHeight="1" x14ac:dyDescent="0.25">
      <c r="A26" s="790">
        <v>24</v>
      </c>
      <c r="B26" s="791">
        <f t="shared" ca="1" si="0"/>
        <v>43134</v>
      </c>
      <c r="C26" s="792" t="s">
        <v>614</v>
      </c>
      <c r="D26" s="793" t="s">
        <v>3201</v>
      </c>
      <c r="E26" s="794" t="s">
        <v>1912</v>
      </c>
      <c r="F26" s="795" t="s">
        <v>1909</v>
      </c>
      <c r="G26" s="796">
        <f>SUMIFS(МОЛОКО!L8:L6958,МОЛОКО!F8:F6958,"2708",МОЛОКО!L8:L6958,"&gt;0")</f>
        <v>23.4</v>
      </c>
      <c r="H26" s="797" t="s">
        <v>603</v>
      </c>
      <c r="I26" s="798">
        <v>42273</v>
      </c>
      <c r="J26" s="799">
        <f t="shared" ca="1" si="1"/>
        <v>2.3589041095890413</v>
      </c>
      <c r="K26" s="799">
        <f t="shared" ca="1" si="2"/>
        <v>28.7</v>
      </c>
      <c r="L26" s="800">
        <f t="shared" ca="1" si="3"/>
        <v>861</v>
      </c>
      <c r="M26" s="801">
        <v>42968</v>
      </c>
      <c r="N26" s="802">
        <v>42968</v>
      </c>
      <c r="O26" s="803">
        <f t="shared" ca="1" si="4"/>
        <v>166</v>
      </c>
      <c r="P26" s="804">
        <v>1</v>
      </c>
      <c r="Q26" s="68" t="s">
        <v>2366</v>
      </c>
      <c r="R26" s="118" t="s">
        <v>2962</v>
      </c>
      <c r="S26" s="807">
        <v>43034</v>
      </c>
      <c r="T26" s="798">
        <v>43034</v>
      </c>
      <c r="U26" s="798">
        <f t="shared" si="5"/>
        <v>43052</v>
      </c>
      <c r="V26" s="804">
        <f t="shared" ca="1" si="6"/>
        <v>82</v>
      </c>
      <c r="W26" s="808">
        <v>1</v>
      </c>
      <c r="X26" s="794">
        <f t="shared" si="7"/>
        <v>66</v>
      </c>
      <c r="Y26" s="794">
        <v>3</v>
      </c>
      <c r="Z26" s="809" t="str">
        <f t="shared" ca="1" si="8"/>
        <v>-----</v>
      </c>
      <c r="AA26" s="810">
        <f t="shared" ca="1" si="9"/>
        <v>100</v>
      </c>
      <c r="AB26" s="804"/>
      <c r="AC26" s="811" t="str">
        <f t="shared" ca="1" si="10"/>
        <v>-----</v>
      </c>
      <c r="AD26" s="798"/>
      <c r="AE26" s="794" t="str">
        <f t="shared" ca="1" si="11"/>
        <v>-</v>
      </c>
      <c r="AF26" s="798">
        <f t="shared" si="12"/>
        <v>43069</v>
      </c>
      <c r="AG26" s="812">
        <f t="shared" ca="1" si="13"/>
        <v>65</v>
      </c>
      <c r="AH26" s="807"/>
      <c r="AI26" s="807" t="str">
        <f t="shared" si="14"/>
        <v>-</v>
      </c>
      <c r="AJ26" s="807" t="str">
        <f t="shared" si="15"/>
        <v>-</v>
      </c>
      <c r="AK26" s="813"/>
      <c r="AL26" s="807" t="str">
        <f t="shared" si="16"/>
        <v>-</v>
      </c>
      <c r="AM26" s="807" t="str">
        <f t="shared" si="17"/>
        <v>-</v>
      </c>
      <c r="AN26" s="814" t="str">
        <f t="shared" ca="1" si="18"/>
        <v>-</v>
      </c>
      <c r="AO26" s="815">
        <v>1</v>
      </c>
      <c r="AP26" s="816" t="str">
        <f t="shared" ca="1" si="19"/>
        <v>-</v>
      </c>
      <c r="AQ26" s="817"/>
      <c r="AR26" s="794" t="str">
        <f t="shared" si="20"/>
        <v>-</v>
      </c>
      <c r="AS26" s="818"/>
      <c r="AT26" s="794" t="str">
        <f t="shared" si="21"/>
        <v>-</v>
      </c>
      <c r="AU26" s="819"/>
      <c r="AV26" s="820"/>
      <c r="AW26" s="821"/>
      <c r="AX26" s="821"/>
      <c r="AY26" s="969" t="str">
        <f t="shared" si="22"/>
        <v>-</v>
      </c>
      <c r="AZ26" s="966" t="str">
        <f t="shared" si="23"/>
        <v>-</v>
      </c>
      <c r="BA26" s="971" t="str">
        <f t="shared" si="24"/>
        <v>-</v>
      </c>
      <c r="BB26" s="975"/>
      <c r="BC26" s="821"/>
      <c r="BD26" s="821"/>
      <c r="BE26" s="963" t="str">
        <f t="shared" si="25"/>
        <v>-</v>
      </c>
      <c r="BF26" s="984">
        <v>43033</v>
      </c>
      <c r="BG26" s="988" t="s">
        <v>3353</v>
      </c>
      <c r="BH26" s="986" t="s">
        <v>3354</v>
      </c>
      <c r="BI26" s="991">
        <v>5</v>
      </c>
      <c r="BJ26" s="991" t="s">
        <v>3356</v>
      </c>
      <c r="BK26" s="993">
        <f t="shared" ca="1" si="26"/>
        <v>101</v>
      </c>
      <c r="BL26" s="820">
        <v>42982</v>
      </c>
      <c r="BM26" s="821">
        <v>5</v>
      </c>
      <c r="BN26" s="822">
        <f t="shared" ca="1" si="27"/>
        <v>152</v>
      </c>
      <c r="BO26" s="823">
        <f t="shared" si="28"/>
        <v>23.633333333333333</v>
      </c>
      <c r="BP26" s="824">
        <v>43001</v>
      </c>
      <c r="BQ26" s="821">
        <v>2</v>
      </c>
      <c r="BR26" s="822">
        <f t="shared" ca="1" si="29"/>
        <v>133</v>
      </c>
      <c r="BS26" s="823">
        <f t="shared" si="30"/>
        <v>1.1000000000000001</v>
      </c>
      <c r="BT26" s="825" t="str">
        <f t="shared" ca="1" si="31"/>
        <v>-</v>
      </c>
      <c r="BU26" s="826"/>
      <c r="BV26" s="827"/>
      <c r="BW26" s="828" t="str">
        <f t="shared" si="32"/>
        <v>Ж-Е НЕ ВАКЦ.</v>
      </c>
      <c r="BX26" s="829" t="str">
        <f t="shared" si="33"/>
        <v>-</v>
      </c>
      <c r="BY26" s="830" t="str">
        <f t="shared" ca="1" si="34"/>
        <v>-</v>
      </c>
      <c r="BZ26" s="831">
        <v>42894</v>
      </c>
      <c r="CA26" s="832">
        <v>5</v>
      </c>
      <c r="CB26" s="833">
        <f t="shared" ca="1" si="35"/>
        <v>240</v>
      </c>
      <c r="CC26" s="834" t="str">
        <f t="shared" ca="1" si="36"/>
        <v>-</v>
      </c>
      <c r="CD26" s="835">
        <f t="shared" si="37"/>
        <v>42915</v>
      </c>
      <c r="CE26" s="831">
        <v>42915</v>
      </c>
      <c r="CF26" s="832">
        <v>5</v>
      </c>
      <c r="CG26" s="833">
        <f t="shared" ca="1" si="38"/>
        <v>219</v>
      </c>
      <c r="CH26" s="836">
        <f t="shared" si="39"/>
        <v>0</v>
      </c>
      <c r="CI26" s="837" t="str">
        <f t="shared" si="40"/>
        <v>УСПЕШНО</v>
      </c>
      <c r="CJ26" s="838" t="str">
        <f t="shared" ca="1" si="41"/>
        <v>-</v>
      </c>
      <c r="CK26" s="831"/>
      <c r="CL26" s="832"/>
      <c r="CM26" s="833" t="str">
        <f t="shared" si="42"/>
        <v>-</v>
      </c>
      <c r="CN26" s="834" t="str">
        <f t="shared" si="43"/>
        <v>-</v>
      </c>
      <c r="CO26" s="830" t="str">
        <f t="shared" ca="1" si="44"/>
        <v>-</v>
      </c>
      <c r="CP26" s="831">
        <v>42925</v>
      </c>
      <c r="CQ26" s="832">
        <v>2</v>
      </c>
      <c r="CR26" s="833">
        <f t="shared" si="45"/>
        <v>-109</v>
      </c>
      <c r="CS26" s="833">
        <f t="shared" ca="1" si="46"/>
        <v>209</v>
      </c>
      <c r="CT26" s="834" t="str">
        <f t="shared" ca="1" si="47"/>
        <v>-</v>
      </c>
      <c r="CU26" s="835">
        <f t="shared" si="48"/>
        <v>42946</v>
      </c>
      <c r="CV26" s="831">
        <v>42946</v>
      </c>
      <c r="CW26" s="832">
        <v>2</v>
      </c>
      <c r="CX26" s="833">
        <f t="shared" si="49"/>
        <v>0</v>
      </c>
      <c r="CY26" s="840" t="str">
        <f t="shared" si="50"/>
        <v>УСПЕШНО</v>
      </c>
      <c r="CZ26" s="833">
        <f t="shared" si="51"/>
        <v>-88</v>
      </c>
      <c r="DA26" s="838" t="str">
        <f t="shared" ca="1" si="52"/>
        <v>-</v>
      </c>
      <c r="DB26" s="841"/>
      <c r="DC26" s="832"/>
    </row>
    <row r="27" spans="1:107" s="842" customFormat="1" ht="15.95" customHeight="1" x14ac:dyDescent="0.25">
      <c r="A27" s="790">
        <v>25</v>
      </c>
      <c r="B27" s="791">
        <f t="shared" ca="1" si="0"/>
        <v>43134</v>
      </c>
      <c r="C27" s="29" t="s">
        <v>614</v>
      </c>
      <c r="D27" s="59" t="s">
        <v>3201</v>
      </c>
      <c r="E27" s="794" t="s">
        <v>2226</v>
      </c>
      <c r="F27" s="795" t="s">
        <v>2087</v>
      </c>
      <c r="G27" s="796">
        <f>SUMIFS(МОЛОКО!L8:L6958,МОЛОКО!F8:F6958,"2741",МОЛОКО!L8:L6958,"&gt;0")</f>
        <v>11.8</v>
      </c>
      <c r="H27" s="797" t="s">
        <v>603</v>
      </c>
      <c r="I27" s="798">
        <v>42326</v>
      </c>
      <c r="J27" s="799">
        <f t="shared" ca="1" si="1"/>
        <v>2.2136986301369861</v>
      </c>
      <c r="K27" s="799">
        <f t="shared" ca="1" si="2"/>
        <v>26.933333333333334</v>
      </c>
      <c r="L27" s="800">
        <f t="shared" ca="1" si="3"/>
        <v>808</v>
      </c>
      <c r="M27" s="801">
        <v>42996</v>
      </c>
      <c r="N27" s="802">
        <v>42996</v>
      </c>
      <c r="O27" s="803">
        <f t="shared" ca="1" si="4"/>
        <v>138</v>
      </c>
      <c r="P27" s="804">
        <v>1</v>
      </c>
      <c r="Q27" s="68" t="s">
        <v>1451</v>
      </c>
      <c r="R27" s="118" t="s">
        <v>2962</v>
      </c>
      <c r="S27" s="807">
        <v>43055</v>
      </c>
      <c r="T27" s="798">
        <v>43055</v>
      </c>
      <c r="U27" s="798">
        <f t="shared" si="5"/>
        <v>43073</v>
      </c>
      <c r="V27" s="804">
        <f t="shared" ca="1" si="6"/>
        <v>61</v>
      </c>
      <c r="W27" s="808">
        <v>1</v>
      </c>
      <c r="X27" s="794">
        <f t="shared" si="7"/>
        <v>59</v>
      </c>
      <c r="Y27" s="794">
        <v>3</v>
      </c>
      <c r="Z27" s="809" t="str">
        <f t="shared" ca="1" si="8"/>
        <v>-----</v>
      </c>
      <c r="AA27" s="810">
        <f t="shared" ca="1" si="9"/>
        <v>79</v>
      </c>
      <c r="AB27" s="804"/>
      <c r="AC27" s="811" t="str">
        <f t="shared" ca="1" si="10"/>
        <v>-----</v>
      </c>
      <c r="AD27" s="798"/>
      <c r="AE27" s="794" t="str">
        <f t="shared" ca="1" si="11"/>
        <v>-</v>
      </c>
      <c r="AF27" s="798">
        <f t="shared" si="12"/>
        <v>43090</v>
      </c>
      <c r="AG27" s="812">
        <f t="shared" ca="1" si="13"/>
        <v>44</v>
      </c>
      <c r="AH27" s="807"/>
      <c r="AI27" s="807" t="str">
        <f t="shared" si="14"/>
        <v>-</v>
      </c>
      <c r="AJ27" s="807" t="str">
        <f t="shared" si="15"/>
        <v>-</v>
      </c>
      <c r="AK27" s="813"/>
      <c r="AL27" s="807" t="str">
        <f t="shared" si="16"/>
        <v>-</v>
      </c>
      <c r="AM27" s="807" t="str">
        <f t="shared" si="17"/>
        <v>-</v>
      </c>
      <c r="AN27" s="814" t="str">
        <f t="shared" ca="1" si="18"/>
        <v>-</v>
      </c>
      <c r="AO27" s="815">
        <v>1</v>
      </c>
      <c r="AP27" s="816" t="str">
        <f t="shared" ca="1" si="19"/>
        <v>-</v>
      </c>
      <c r="AQ27" s="817"/>
      <c r="AR27" s="794" t="str">
        <f t="shared" si="20"/>
        <v>-</v>
      </c>
      <c r="AS27" s="818">
        <v>42829</v>
      </c>
      <c r="AT27" s="794" t="str">
        <f t="shared" si="21"/>
        <v>-</v>
      </c>
      <c r="AU27" s="819"/>
      <c r="AV27" s="820"/>
      <c r="AW27" s="821"/>
      <c r="AX27" s="821"/>
      <c r="AY27" s="969" t="str">
        <f t="shared" si="22"/>
        <v>-</v>
      </c>
      <c r="AZ27" s="966" t="str">
        <f t="shared" si="23"/>
        <v>-</v>
      </c>
      <c r="BA27" s="971" t="str">
        <f t="shared" si="24"/>
        <v>-</v>
      </c>
      <c r="BB27" s="975"/>
      <c r="BC27" s="821"/>
      <c r="BD27" s="821"/>
      <c r="BE27" s="963" t="str">
        <f t="shared" si="25"/>
        <v>-</v>
      </c>
      <c r="BF27" s="984">
        <v>43033</v>
      </c>
      <c r="BG27" s="988" t="s">
        <v>3353</v>
      </c>
      <c r="BH27" s="986" t="s">
        <v>3354</v>
      </c>
      <c r="BI27" s="991">
        <v>5</v>
      </c>
      <c r="BJ27" s="991" t="s">
        <v>3356</v>
      </c>
      <c r="BK27" s="993">
        <f t="shared" ca="1" si="26"/>
        <v>101</v>
      </c>
      <c r="BL27" s="820">
        <v>42978</v>
      </c>
      <c r="BM27" s="821">
        <v>5</v>
      </c>
      <c r="BN27" s="822">
        <f t="shared" ca="1" si="27"/>
        <v>156</v>
      </c>
      <c r="BO27" s="823">
        <f t="shared" si="28"/>
        <v>21.733333333333334</v>
      </c>
      <c r="BP27" s="824">
        <v>43001</v>
      </c>
      <c r="BQ27" s="821">
        <v>2</v>
      </c>
      <c r="BR27" s="822">
        <f t="shared" ca="1" si="29"/>
        <v>133</v>
      </c>
      <c r="BS27" s="823">
        <f t="shared" si="30"/>
        <v>0.16666666666666666</v>
      </c>
      <c r="BT27" s="825" t="str">
        <f t="shared" ca="1" si="31"/>
        <v>-</v>
      </c>
      <c r="BU27" s="826"/>
      <c r="BV27" s="827"/>
      <c r="BW27" s="828" t="str">
        <f t="shared" si="32"/>
        <v>Ж-Е НЕ ВАКЦ.</v>
      </c>
      <c r="BX27" s="829" t="str">
        <f t="shared" si="33"/>
        <v>-</v>
      </c>
      <c r="BY27" s="830" t="str">
        <f t="shared" ca="1" si="34"/>
        <v>-</v>
      </c>
      <c r="BZ27" s="831">
        <v>42894</v>
      </c>
      <c r="CA27" s="832">
        <v>5</v>
      </c>
      <c r="CB27" s="833">
        <f t="shared" ca="1" si="35"/>
        <v>240</v>
      </c>
      <c r="CC27" s="834" t="str">
        <f t="shared" ca="1" si="36"/>
        <v>-</v>
      </c>
      <c r="CD27" s="835">
        <f t="shared" si="37"/>
        <v>42915</v>
      </c>
      <c r="CE27" s="831">
        <v>42915</v>
      </c>
      <c r="CF27" s="832">
        <v>5</v>
      </c>
      <c r="CG27" s="833">
        <f t="shared" ca="1" si="38"/>
        <v>219</v>
      </c>
      <c r="CH27" s="836">
        <f t="shared" si="39"/>
        <v>0</v>
      </c>
      <c r="CI27" s="837" t="str">
        <f t="shared" si="40"/>
        <v>УСПЕШНО</v>
      </c>
      <c r="CJ27" s="838" t="str">
        <f t="shared" ca="1" si="41"/>
        <v>-</v>
      </c>
      <c r="CK27" s="831"/>
      <c r="CL27" s="832"/>
      <c r="CM27" s="833" t="str">
        <f t="shared" si="42"/>
        <v>-</v>
      </c>
      <c r="CN27" s="834" t="str">
        <f t="shared" si="43"/>
        <v>-</v>
      </c>
      <c r="CO27" s="830" t="str">
        <f t="shared" ca="1" si="44"/>
        <v>-</v>
      </c>
      <c r="CP27" s="831">
        <v>42958</v>
      </c>
      <c r="CQ27" s="832">
        <v>2</v>
      </c>
      <c r="CR27" s="833">
        <f t="shared" si="45"/>
        <v>-97</v>
      </c>
      <c r="CS27" s="833">
        <f t="shared" ca="1" si="46"/>
        <v>176</v>
      </c>
      <c r="CT27" s="834" t="str">
        <f t="shared" ca="1" si="47"/>
        <v>-</v>
      </c>
      <c r="CU27" s="835">
        <f t="shared" si="48"/>
        <v>42979</v>
      </c>
      <c r="CV27" s="831">
        <v>42980</v>
      </c>
      <c r="CW27" s="832">
        <v>2</v>
      </c>
      <c r="CX27" s="833">
        <f t="shared" si="49"/>
        <v>1</v>
      </c>
      <c r="CY27" s="840" t="str">
        <f t="shared" si="50"/>
        <v>-</v>
      </c>
      <c r="CZ27" s="833">
        <f t="shared" si="51"/>
        <v>-75</v>
      </c>
      <c r="DA27" s="838" t="str">
        <f t="shared" ca="1" si="52"/>
        <v>-</v>
      </c>
      <c r="DB27" s="841"/>
      <c r="DC27" s="832"/>
    </row>
    <row r="28" spans="1:107" s="842" customFormat="1" ht="15.95" customHeight="1" x14ac:dyDescent="0.25">
      <c r="A28" s="790">
        <v>26</v>
      </c>
      <c r="B28" s="791">
        <f t="shared" ca="1" si="0"/>
        <v>43134</v>
      </c>
      <c r="C28" s="29" t="s">
        <v>614</v>
      </c>
      <c r="D28" s="59" t="s">
        <v>3201</v>
      </c>
      <c r="E28" s="794" t="s">
        <v>2224</v>
      </c>
      <c r="F28" s="795" t="s">
        <v>2092</v>
      </c>
      <c r="G28" s="796">
        <f>SUMIFS(МОЛОКО!L8:L6958,МОЛОКО!F8:F6958,"2750",МОЛОКО!L8:L6958,"&gt;0")</f>
        <v>9.1999999999999993</v>
      </c>
      <c r="H28" s="797" t="s">
        <v>603</v>
      </c>
      <c r="I28" s="798">
        <v>42335</v>
      </c>
      <c r="J28" s="799">
        <f t="shared" ca="1" si="1"/>
        <v>2.1890410958904107</v>
      </c>
      <c r="K28" s="799">
        <f t="shared" ca="1" si="2"/>
        <v>26.633333333333333</v>
      </c>
      <c r="L28" s="800">
        <f t="shared" ca="1" si="3"/>
        <v>799</v>
      </c>
      <c r="M28" s="801">
        <v>42994</v>
      </c>
      <c r="N28" s="802">
        <v>42994</v>
      </c>
      <c r="O28" s="803">
        <f t="shared" ca="1" si="4"/>
        <v>140</v>
      </c>
      <c r="P28" s="804">
        <v>1</v>
      </c>
      <c r="Q28" s="805"/>
      <c r="R28" s="806"/>
      <c r="S28" s="807"/>
      <c r="T28" s="798"/>
      <c r="U28" s="798" t="str">
        <f t="shared" si="5"/>
        <v>-</v>
      </c>
      <c r="V28" s="804" t="str">
        <f t="shared" ca="1" si="6"/>
        <v>-</v>
      </c>
      <c r="W28" s="808">
        <v>0</v>
      </c>
      <c r="X28" s="794" t="str">
        <f t="shared" si="7"/>
        <v>-</v>
      </c>
      <c r="Y28" s="794">
        <v>0</v>
      </c>
      <c r="Z28" s="809" t="str">
        <f t="shared" ca="1" si="8"/>
        <v>-----</v>
      </c>
      <c r="AA28" s="810">
        <f t="shared" ca="1" si="9"/>
        <v>43134</v>
      </c>
      <c r="AB28" s="804"/>
      <c r="AC28" s="811" t="str">
        <f t="shared" ca="1" si="10"/>
        <v>-----</v>
      </c>
      <c r="AD28" s="798"/>
      <c r="AE28" s="794" t="str">
        <f t="shared" ca="1" si="11"/>
        <v>яловая</v>
      </c>
      <c r="AF28" s="798" t="str">
        <f t="shared" si="12"/>
        <v>-</v>
      </c>
      <c r="AG28" s="812" t="str">
        <f t="shared" si="13"/>
        <v>---------</v>
      </c>
      <c r="AH28" s="807"/>
      <c r="AI28" s="807" t="str">
        <f t="shared" si="14"/>
        <v>-</v>
      </c>
      <c r="AJ28" s="807" t="str">
        <f t="shared" si="15"/>
        <v>-</v>
      </c>
      <c r="AK28" s="813"/>
      <c r="AL28" s="807" t="str">
        <f t="shared" si="16"/>
        <v>-</v>
      </c>
      <c r="AM28" s="807" t="str">
        <f t="shared" si="17"/>
        <v>-</v>
      </c>
      <c r="AN28" s="814" t="str">
        <f t="shared" ca="1" si="18"/>
        <v>-</v>
      </c>
      <c r="AO28" s="815">
        <v>1</v>
      </c>
      <c r="AP28" s="816" t="str">
        <f t="shared" ca="1" si="19"/>
        <v>-</v>
      </c>
      <c r="AQ28" s="441" t="s">
        <v>3409</v>
      </c>
      <c r="AR28" s="794" t="str">
        <f t="shared" si="20"/>
        <v>-</v>
      </c>
      <c r="AS28" s="818"/>
      <c r="AT28" s="794" t="str">
        <f t="shared" si="21"/>
        <v>-</v>
      </c>
      <c r="AU28" s="819"/>
      <c r="AV28" s="820"/>
      <c r="AW28" s="821"/>
      <c r="AX28" s="821"/>
      <c r="AY28" s="969" t="str">
        <f t="shared" si="22"/>
        <v>-</v>
      </c>
      <c r="AZ28" s="966" t="str">
        <f t="shared" si="23"/>
        <v>-</v>
      </c>
      <c r="BA28" s="971" t="str">
        <f t="shared" si="24"/>
        <v>-</v>
      </c>
      <c r="BB28" s="975"/>
      <c r="BC28" s="821"/>
      <c r="BD28" s="821"/>
      <c r="BE28" s="963" t="str">
        <f t="shared" si="25"/>
        <v>-</v>
      </c>
      <c r="BF28" s="984">
        <v>43033</v>
      </c>
      <c r="BG28" s="988" t="s">
        <v>3353</v>
      </c>
      <c r="BH28" s="986" t="s">
        <v>3354</v>
      </c>
      <c r="BI28" s="991">
        <v>5</v>
      </c>
      <c r="BJ28" s="991" t="s">
        <v>3356</v>
      </c>
      <c r="BK28" s="993">
        <f t="shared" ca="1" si="26"/>
        <v>101</v>
      </c>
      <c r="BL28" s="820">
        <v>42982</v>
      </c>
      <c r="BM28" s="821">
        <v>5</v>
      </c>
      <c r="BN28" s="822">
        <f t="shared" ca="1" si="27"/>
        <v>152</v>
      </c>
      <c r="BO28" s="823">
        <f t="shared" si="28"/>
        <v>21.566666666666666</v>
      </c>
      <c r="BP28" s="824">
        <v>43001</v>
      </c>
      <c r="BQ28" s="821">
        <v>2</v>
      </c>
      <c r="BR28" s="822">
        <f t="shared" ca="1" si="29"/>
        <v>133</v>
      </c>
      <c r="BS28" s="823">
        <f t="shared" si="30"/>
        <v>0.23333333333333334</v>
      </c>
      <c r="BT28" s="825" t="str">
        <f t="shared" ca="1" si="31"/>
        <v>-</v>
      </c>
      <c r="BU28" s="826"/>
      <c r="BV28" s="827"/>
      <c r="BW28" s="828" t="str">
        <f t="shared" si="32"/>
        <v>Ж-Е НЕ ВАКЦ.</v>
      </c>
      <c r="BX28" s="829" t="str">
        <f t="shared" si="33"/>
        <v>-</v>
      </c>
      <c r="BY28" s="830" t="str">
        <f t="shared" ca="1" si="34"/>
        <v>-</v>
      </c>
      <c r="BZ28" s="831">
        <v>42894</v>
      </c>
      <c r="CA28" s="832">
        <v>5</v>
      </c>
      <c r="CB28" s="833">
        <f t="shared" ca="1" si="35"/>
        <v>240</v>
      </c>
      <c r="CC28" s="834" t="str">
        <f t="shared" ca="1" si="36"/>
        <v>-</v>
      </c>
      <c r="CD28" s="835">
        <f t="shared" si="37"/>
        <v>42915</v>
      </c>
      <c r="CE28" s="831">
        <v>42915</v>
      </c>
      <c r="CF28" s="832">
        <v>5</v>
      </c>
      <c r="CG28" s="833">
        <f t="shared" ca="1" si="38"/>
        <v>219</v>
      </c>
      <c r="CH28" s="836">
        <f t="shared" si="39"/>
        <v>0</v>
      </c>
      <c r="CI28" s="837" t="str">
        <f t="shared" si="40"/>
        <v>УСПЕШНО</v>
      </c>
      <c r="CJ28" s="838" t="str">
        <f t="shared" ca="1" si="41"/>
        <v>-</v>
      </c>
      <c r="CK28" s="831"/>
      <c r="CL28" s="832"/>
      <c r="CM28" s="833" t="str">
        <f t="shared" si="42"/>
        <v>-</v>
      </c>
      <c r="CN28" s="834" t="str">
        <f t="shared" si="43"/>
        <v>-</v>
      </c>
      <c r="CO28" s="830" t="str">
        <f t="shared" ca="1" si="44"/>
        <v>-</v>
      </c>
      <c r="CP28" s="831">
        <v>42958</v>
      </c>
      <c r="CQ28" s="832">
        <v>2</v>
      </c>
      <c r="CR28" s="833">
        <f t="shared" si="45"/>
        <v>42958</v>
      </c>
      <c r="CS28" s="833">
        <f t="shared" ca="1" si="46"/>
        <v>176</v>
      </c>
      <c r="CT28" s="834" t="str">
        <f t="shared" ca="1" si="47"/>
        <v>-</v>
      </c>
      <c r="CU28" s="835">
        <f t="shared" si="48"/>
        <v>42979</v>
      </c>
      <c r="CV28" s="831">
        <v>42980</v>
      </c>
      <c r="CW28" s="832">
        <v>2</v>
      </c>
      <c r="CX28" s="833">
        <f t="shared" si="49"/>
        <v>1</v>
      </c>
      <c r="CY28" s="840" t="str">
        <f t="shared" si="50"/>
        <v>-</v>
      </c>
      <c r="CZ28" s="833">
        <f t="shared" si="51"/>
        <v>42980</v>
      </c>
      <c r="DA28" s="838" t="str">
        <f t="shared" ca="1" si="52"/>
        <v>-</v>
      </c>
      <c r="DB28" s="841"/>
      <c r="DC28" s="832"/>
    </row>
    <row r="29" spans="1:107" s="842" customFormat="1" ht="15.95" customHeight="1" x14ac:dyDescent="0.25">
      <c r="A29" s="790">
        <v>27</v>
      </c>
      <c r="B29" s="791">
        <f t="shared" ca="1" si="0"/>
        <v>43134</v>
      </c>
      <c r="C29" s="792" t="s">
        <v>614</v>
      </c>
      <c r="D29" s="793" t="s">
        <v>3201</v>
      </c>
      <c r="E29" s="794" t="s">
        <v>2225</v>
      </c>
      <c r="F29" s="795" t="s">
        <v>2096</v>
      </c>
      <c r="G29" s="796">
        <f>SUMIFS(МОЛОКО!L8:L6958,МОЛОКО!F8:F6958,"2757",МОЛОКО!L8:L6958,"&gt;0")</f>
        <v>18</v>
      </c>
      <c r="H29" s="797" t="s">
        <v>603</v>
      </c>
      <c r="I29" s="798">
        <v>42341</v>
      </c>
      <c r="J29" s="799">
        <f t="shared" ca="1" si="1"/>
        <v>2.1726027397260275</v>
      </c>
      <c r="K29" s="799">
        <f t="shared" ca="1" si="2"/>
        <v>26.433333333333334</v>
      </c>
      <c r="L29" s="800">
        <f t="shared" ca="1" si="3"/>
        <v>793</v>
      </c>
      <c r="M29" s="801">
        <v>42976</v>
      </c>
      <c r="N29" s="802">
        <v>42976</v>
      </c>
      <c r="O29" s="803">
        <f t="shared" ca="1" si="4"/>
        <v>158</v>
      </c>
      <c r="P29" s="804">
        <v>1</v>
      </c>
      <c r="Q29" s="68" t="s">
        <v>2366</v>
      </c>
      <c r="R29" s="118" t="s">
        <v>2962</v>
      </c>
      <c r="S29" s="807">
        <v>43041</v>
      </c>
      <c r="T29" s="798">
        <v>43041</v>
      </c>
      <c r="U29" s="798">
        <f t="shared" si="5"/>
        <v>43059</v>
      </c>
      <c r="V29" s="804">
        <f t="shared" ca="1" si="6"/>
        <v>75</v>
      </c>
      <c r="W29" s="808">
        <v>1</v>
      </c>
      <c r="X29" s="794">
        <f t="shared" si="7"/>
        <v>65</v>
      </c>
      <c r="Y29" s="794">
        <v>3</v>
      </c>
      <c r="Z29" s="809" t="str">
        <f t="shared" ca="1" si="8"/>
        <v>-----</v>
      </c>
      <c r="AA29" s="810">
        <f t="shared" ca="1" si="9"/>
        <v>93</v>
      </c>
      <c r="AB29" s="804"/>
      <c r="AC29" s="811" t="str">
        <f t="shared" ca="1" si="10"/>
        <v>-----</v>
      </c>
      <c r="AD29" s="798"/>
      <c r="AE29" s="794" t="str">
        <f t="shared" ca="1" si="11"/>
        <v>-</v>
      </c>
      <c r="AF29" s="798">
        <f t="shared" si="12"/>
        <v>43076</v>
      </c>
      <c r="AG29" s="812">
        <f t="shared" ca="1" si="13"/>
        <v>58</v>
      </c>
      <c r="AH29" s="807"/>
      <c r="AI29" s="807" t="str">
        <f t="shared" si="14"/>
        <v>-</v>
      </c>
      <c r="AJ29" s="807" t="str">
        <f t="shared" si="15"/>
        <v>-</v>
      </c>
      <c r="AK29" s="813"/>
      <c r="AL29" s="807" t="str">
        <f t="shared" si="16"/>
        <v>-</v>
      </c>
      <c r="AM29" s="807" t="str">
        <f t="shared" si="17"/>
        <v>-</v>
      </c>
      <c r="AN29" s="814" t="str">
        <f t="shared" ca="1" si="18"/>
        <v>-</v>
      </c>
      <c r="AO29" s="815">
        <v>1</v>
      </c>
      <c r="AP29" s="816" t="str">
        <f t="shared" ca="1" si="19"/>
        <v>-</v>
      </c>
      <c r="AQ29" s="817"/>
      <c r="AR29" s="794" t="str">
        <f t="shared" si="20"/>
        <v>-</v>
      </c>
      <c r="AS29" s="818"/>
      <c r="AT29" s="794" t="str">
        <f t="shared" si="21"/>
        <v>-</v>
      </c>
      <c r="AU29" s="819"/>
      <c r="AV29" s="820"/>
      <c r="AW29" s="821"/>
      <c r="AX29" s="821"/>
      <c r="AY29" s="969" t="str">
        <f t="shared" si="22"/>
        <v>-</v>
      </c>
      <c r="AZ29" s="966" t="str">
        <f t="shared" si="23"/>
        <v>-</v>
      </c>
      <c r="BA29" s="971" t="str">
        <f t="shared" si="24"/>
        <v>-</v>
      </c>
      <c r="BB29" s="975"/>
      <c r="BC29" s="821"/>
      <c r="BD29" s="821"/>
      <c r="BE29" s="963" t="str">
        <f t="shared" si="25"/>
        <v>-</v>
      </c>
      <c r="BF29" s="984">
        <v>43033</v>
      </c>
      <c r="BG29" s="988" t="s">
        <v>3353</v>
      </c>
      <c r="BH29" s="986" t="s">
        <v>3354</v>
      </c>
      <c r="BI29" s="991">
        <v>5</v>
      </c>
      <c r="BJ29" s="991" t="s">
        <v>3356</v>
      </c>
      <c r="BK29" s="993">
        <f t="shared" ca="1" si="26"/>
        <v>101</v>
      </c>
      <c r="BL29" s="820">
        <v>42982</v>
      </c>
      <c r="BM29" s="821">
        <v>5</v>
      </c>
      <c r="BN29" s="822">
        <f t="shared" ca="1" si="27"/>
        <v>152</v>
      </c>
      <c r="BO29" s="823">
        <f t="shared" si="28"/>
        <v>21.366666666666667</v>
      </c>
      <c r="BP29" s="824">
        <v>43001</v>
      </c>
      <c r="BQ29" s="821">
        <v>2</v>
      </c>
      <c r="BR29" s="822">
        <f t="shared" ca="1" si="29"/>
        <v>133</v>
      </c>
      <c r="BS29" s="823">
        <f t="shared" si="30"/>
        <v>0.83333333333333337</v>
      </c>
      <c r="BT29" s="825" t="str">
        <f t="shared" ca="1" si="31"/>
        <v>-</v>
      </c>
      <c r="BU29" s="826"/>
      <c r="BV29" s="827"/>
      <c r="BW29" s="828" t="str">
        <f t="shared" si="32"/>
        <v>Ж-Е НЕ ВАКЦ.</v>
      </c>
      <c r="BX29" s="829" t="str">
        <f t="shared" si="33"/>
        <v>-</v>
      </c>
      <c r="BY29" s="830" t="str">
        <f t="shared" ca="1" si="34"/>
        <v>-</v>
      </c>
      <c r="BZ29" s="831">
        <v>42894</v>
      </c>
      <c r="CA29" s="832">
        <v>5</v>
      </c>
      <c r="CB29" s="833">
        <f t="shared" ca="1" si="35"/>
        <v>240</v>
      </c>
      <c r="CC29" s="834" t="str">
        <f t="shared" ca="1" si="36"/>
        <v>-</v>
      </c>
      <c r="CD29" s="835">
        <f t="shared" si="37"/>
        <v>42915</v>
      </c>
      <c r="CE29" s="831">
        <v>42915</v>
      </c>
      <c r="CF29" s="832">
        <v>5</v>
      </c>
      <c r="CG29" s="833">
        <f t="shared" ca="1" si="38"/>
        <v>219</v>
      </c>
      <c r="CH29" s="836">
        <f t="shared" si="39"/>
        <v>0</v>
      </c>
      <c r="CI29" s="837" t="str">
        <f t="shared" si="40"/>
        <v>УСПЕШНО</v>
      </c>
      <c r="CJ29" s="838" t="str">
        <f t="shared" ca="1" si="41"/>
        <v>-</v>
      </c>
      <c r="CK29" s="831"/>
      <c r="CL29" s="832"/>
      <c r="CM29" s="833" t="str">
        <f t="shared" si="42"/>
        <v>-</v>
      </c>
      <c r="CN29" s="834" t="str">
        <f t="shared" si="43"/>
        <v>-</v>
      </c>
      <c r="CO29" s="830" t="str">
        <f t="shared" ca="1" si="44"/>
        <v>-</v>
      </c>
      <c r="CP29" s="831">
        <v>42925</v>
      </c>
      <c r="CQ29" s="832">
        <v>2</v>
      </c>
      <c r="CR29" s="833">
        <f t="shared" si="45"/>
        <v>-116</v>
      </c>
      <c r="CS29" s="833">
        <f t="shared" ca="1" si="46"/>
        <v>209</v>
      </c>
      <c r="CT29" s="834" t="str">
        <f t="shared" ca="1" si="47"/>
        <v>-</v>
      </c>
      <c r="CU29" s="835">
        <f t="shared" si="48"/>
        <v>42946</v>
      </c>
      <c r="CV29" s="831">
        <v>42946</v>
      </c>
      <c r="CW29" s="832">
        <v>2</v>
      </c>
      <c r="CX29" s="833">
        <f t="shared" si="49"/>
        <v>0</v>
      </c>
      <c r="CY29" s="840" t="str">
        <f t="shared" si="50"/>
        <v>УСПЕШНО</v>
      </c>
      <c r="CZ29" s="833">
        <f t="shared" si="51"/>
        <v>-95</v>
      </c>
      <c r="DA29" s="838" t="str">
        <f t="shared" ca="1" si="52"/>
        <v>-</v>
      </c>
      <c r="DB29" s="841"/>
      <c r="DC29" s="832"/>
    </row>
    <row r="30" spans="1:107" s="842" customFormat="1" ht="15.95" customHeight="1" x14ac:dyDescent="0.25">
      <c r="A30" s="790">
        <v>28</v>
      </c>
      <c r="B30" s="791">
        <f t="shared" ca="1" si="0"/>
        <v>43134</v>
      </c>
      <c r="C30" s="29" t="s">
        <v>614</v>
      </c>
      <c r="D30" s="59" t="s">
        <v>3201</v>
      </c>
      <c r="E30" s="794" t="s">
        <v>2227</v>
      </c>
      <c r="F30" s="795" t="s">
        <v>2102</v>
      </c>
      <c r="G30" s="796">
        <f>SUMIFS(МОЛОКО!L8:L6958,МОЛОКО!F8:F6958,"2771",МОЛОКО!L8:L6958,"&gt;0")</f>
        <v>10.199999999999999</v>
      </c>
      <c r="H30" s="797" t="s">
        <v>603</v>
      </c>
      <c r="I30" s="798">
        <v>42350</v>
      </c>
      <c r="J30" s="799">
        <f t="shared" ca="1" si="1"/>
        <v>2.1479452054794521</v>
      </c>
      <c r="K30" s="799">
        <f t="shared" ca="1" si="2"/>
        <v>26.133333333333333</v>
      </c>
      <c r="L30" s="800">
        <f t="shared" ca="1" si="3"/>
        <v>784</v>
      </c>
      <c r="M30" s="801">
        <v>43002</v>
      </c>
      <c r="N30" s="802">
        <v>43002</v>
      </c>
      <c r="O30" s="803">
        <f t="shared" ca="1" si="4"/>
        <v>132</v>
      </c>
      <c r="P30" s="804">
        <v>1</v>
      </c>
      <c r="Q30" s="805"/>
      <c r="R30" s="806"/>
      <c r="S30" s="807"/>
      <c r="T30" s="798"/>
      <c r="U30" s="798" t="str">
        <f t="shared" si="5"/>
        <v>-</v>
      </c>
      <c r="V30" s="804" t="str">
        <f t="shared" ca="1" si="6"/>
        <v>-</v>
      </c>
      <c r="W30" s="808">
        <v>0</v>
      </c>
      <c r="X30" s="794" t="str">
        <f t="shared" si="7"/>
        <v>-</v>
      </c>
      <c r="Y30" s="794">
        <v>0</v>
      </c>
      <c r="Z30" s="809" t="str">
        <f t="shared" ca="1" si="8"/>
        <v>-----</v>
      </c>
      <c r="AA30" s="810">
        <f t="shared" ca="1" si="9"/>
        <v>43134</v>
      </c>
      <c r="AB30" s="804"/>
      <c r="AC30" s="811" t="str">
        <f t="shared" ca="1" si="10"/>
        <v>-----</v>
      </c>
      <c r="AD30" s="798"/>
      <c r="AE30" s="794" t="str">
        <f t="shared" ca="1" si="11"/>
        <v>яловая</v>
      </c>
      <c r="AF30" s="798" t="str">
        <f t="shared" si="12"/>
        <v>-</v>
      </c>
      <c r="AG30" s="812" t="str">
        <f t="shared" si="13"/>
        <v>---------</v>
      </c>
      <c r="AH30" s="807"/>
      <c r="AI30" s="807" t="str">
        <f t="shared" si="14"/>
        <v>-</v>
      </c>
      <c r="AJ30" s="807" t="str">
        <f t="shared" si="15"/>
        <v>-</v>
      </c>
      <c r="AK30" s="813"/>
      <c r="AL30" s="807" t="str">
        <f t="shared" si="16"/>
        <v>-</v>
      </c>
      <c r="AM30" s="807" t="str">
        <f t="shared" si="17"/>
        <v>-</v>
      </c>
      <c r="AN30" s="814" t="str">
        <f t="shared" ca="1" si="18"/>
        <v>-</v>
      </c>
      <c r="AO30" s="815">
        <v>1</v>
      </c>
      <c r="AP30" s="816" t="str">
        <f t="shared" ca="1" si="19"/>
        <v>-</v>
      </c>
      <c r="AQ30" s="817"/>
      <c r="AR30" s="794" t="str">
        <f t="shared" si="20"/>
        <v>-</v>
      </c>
      <c r="AS30" s="818"/>
      <c r="AT30" s="794" t="str">
        <f t="shared" si="21"/>
        <v>-</v>
      </c>
      <c r="AU30" s="819"/>
      <c r="AV30" s="820"/>
      <c r="AW30" s="821"/>
      <c r="AX30" s="821"/>
      <c r="AY30" s="969" t="str">
        <f t="shared" si="22"/>
        <v>-</v>
      </c>
      <c r="AZ30" s="966" t="str">
        <f t="shared" si="23"/>
        <v>-</v>
      </c>
      <c r="BA30" s="971" t="str">
        <f t="shared" si="24"/>
        <v>-</v>
      </c>
      <c r="BB30" s="975"/>
      <c r="BC30" s="821"/>
      <c r="BD30" s="821"/>
      <c r="BE30" s="963" t="str">
        <f t="shared" si="25"/>
        <v>-</v>
      </c>
      <c r="BF30" s="984">
        <v>43033</v>
      </c>
      <c r="BG30" s="988" t="s">
        <v>3353</v>
      </c>
      <c r="BH30" s="986" t="s">
        <v>3354</v>
      </c>
      <c r="BI30" s="991">
        <v>5</v>
      </c>
      <c r="BJ30" s="991" t="s">
        <v>3356</v>
      </c>
      <c r="BK30" s="993">
        <f t="shared" ca="1" si="26"/>
        <v>101</v>
      </c>
      <c r="BL30" s="820">
        <v>42978</v>
      </c>
      <c r="BM30" s="821">
        <v>5</v>
      </c>
      <c r="BN30" s="822">
        <f t="shared" ca="1" si="27"/>
        <v>156</v>
      </c>
      <c r="BO30" s="823">
        <f t="shared" si="28"/>
        <v>20.933333333333334</v>
      </c>
      <c r="BP30" s="824"/>
      <c r="BQ30" s="821"/>
      <c r="BR30" s="822" t="str">
        <f t="shared" si="29"/>
        <v>-</v>
      </c>
      <c r="BS30" s="823" t="str">
        <f t="shared" si="30"/>
        <v>-</v>
      </c>
      <c r="BT30" s="825" t="str">
        <f t="shared" ca="1" si="31"/>
        <v>-</v>
      </c>
      <c r="BU30" s="826"/>
      <c r="BV30" s="827"/>
      <c r="BW30" s="828" t="str">
        <f t="shared" si="32"/>
        <v>Ж-Е НЕ ВАКЦ.</v>
      </c>
      <c r="BX30" s="829" t="str">
        <f t="shared" si="33"/>
        <v>-</v>
      </c>
      <c r="BY30" s="830" t="str">
        <f t="shared" ca="1" si="34"/>
        <v>-</v>
      </c>
      <c r="BZ30" s="831">
        <v>42894</v>
      </c>
      <c r="CA30" s="832">
        <v>5</v>
      </c>
      <c r="CB30" s="833">
        <f t="shared" ca="1" si="35"/>
        <v>240</v>
      </c>
      <c r="CC30" s="834" t="str">
        <f t="shared" ca="1" si="36"/>
        <v>-</v>
      </c>
      <c r="CD30" s="835">
        <f t="shared" si="37"/>
        <v>42915</v>
      </c>
      <c r="CE30" s="831">
        <v>42915</v>
      </c>
      <c r="CF30" s="832">
        <v>5</v>
      </c>
      <c r="CG30" s="833">
        <f t="shared" ca="1" si="38"/>
        <v>219</v>
      </c>
      <c r="CH30" s="836">
        <f t="shared" si="39"/>
        <v>0</v>
      </c>
      <c r="CI30" s="837" t="str">
        <f t="shared" si="40"/>
        <v>УСПЕШНО</v>
      </c>
      <c r="CJ30" s="838" t="str">
        <f t="shared" ca="1" si="41"/>
        <v>-</v>
      </c>
      <c r="CK30" s="831"/>
      <c r="CL30" s="832"/>
      <c r="CM30" s="833" t="str">
        <f t="shared" si="42"/>
        <v>-</v>
      </c>
      <c r="CN30" s="834" t="str">
        <f t="shared" si="43"/>
        <v>-</v>
      </c>
      <c r="CO30" s="830" t="str">
        <f t="shared" ca="1" si="44"/>
        <v>-</v>
      </c>
      <c r="CP30" s="831">
        <v>42958</v>
      </c>
      <c r="CQ30" s="832">
        <v>2</v>
      </c>
      <c r="CR30" s="833">
        <f t="shared" si="45"/>
        <v>42958</v>
      </c>
      <c r="CS30" s="833">
        <f t="shared" ca="1" si="46"/>
        <v>176</v>
      </c>
      <c r="CT30" s="834" t="str">
        <f t="shared" ca="1" si="47"/>
        <v>-</v>
      </c>
      <c r="CU30" s="835">
        <f t="shared" si="48"/>
        <v>42979</v>
      </c>
      <c r="CV30" s="831">
        <v>42980</v>
      </c>
      <c r="CW30" s="832">
        <v>2</v>
      </c>
      <c r="CX30" s="833">
        <f t="shared" si="49"/>
        <v>1</v>
      </c>
      <c r="CY30" s="840" t="str">
        <f t="shared" si="50"/>
        <v>-</v>
      </c>
      <c r="CZ30" s="833">
        <f t="shared" si="51"/>
        <v>42980</v>
      </c>
      <c r="DA30" s="838" t="str">
        <f t="shared" ca="1" si="52"/>
        <v>-</v>
      </c>
      <c r="DB30" s="841"/>
      <c r="DC30" s="832"/>
    </row>
    <row r="31" spans="1:107" s="842" customFormat="1" ht="15.95" customHeight="1" x14ac:dyDescent="0.25">
      <c r="A31" s="790">
        <v>29</v>
      </c>
      <c r="B31" s="791">
        <f t="shared" ca="1" si="0"/>
        <v>43134</v>
      </c>
      <c r="C31" s="271" t="s">
        <v>614</v>
      </c>
      <c r="D31" s="59" t="s">
        <v>3201</v>
      </c>
      <c r="E31" s="794" t="s">
        <v>1086</v>
      </c>
      <c r="F31" s="795" t="s">
        <v>2104</v>
      </c>
      <c r="G31" s="796">
        <f>SUMIFS(МОЛОКО!L8:L6958,МОЛОКО!F8:F6958,"2775",МОЛОКО!L8:L6958,"&gt;0")</f>
        <v>27.2</v>
      </c>
      <c r="H31" s="797" t="s">
        <v>603</v>
      </c>
      <c r="I31" s="798">
        <v>42352</v>
      </c>
      <c r="J31" s="799">
        <f t="shared" ca="1" si="1"/>
        <v>2.1424657534246574</v>
      </c>
      <c r="K31" s="799">
        <f t="shared" ca="1" si="2"/>
        <v>26.066666666666666</v>
      </c>
      <c r="L31" s="800">
        <f t="shared" ca="1" si="3"/>
        <v>782</v>
      </c>
      <c r="M31" s="801">
        <v>43033</v>
      </c>
      <c r="N31" s="802">
        <v>43033</v>
      </c>
      <c r="O31" s="803">
        <f t="shared" ca="1" si="4"/>
        <v>101</v>
      </c>
      <c r="P31" s="804">
        <v>1</v>
      </c>
      <c r="Q31" s="805"/>
      <c r="R31" s="806"/>
      <c r="S31" s="807"/>
      <c r="T31" s="798"/>
      <c r="U31" s="798" t="str">
        <f t="shared" si="5"/>
        <v>-</v>
      </c>
      <c r="V31" s="804" t="str">
        <f t="shared" ca="1" si="6"/>
        <v>-</v>
      </c>
      <c r="W31" s="808">
        <v>0</v>
      </c>
      <c r="X31" s="794" t="str">
        <f t="shared" si="7"/>
        <v>-</v>
      </c>
      <c r="Y31" s="794">
        <v>0</v>
      </c>
      <c r="Z31" s="809" t="str">
        <f t="shared" ca="1" si="8"/>
        <v>-----</v>
      </c>
      <c r="AA31" s="810">
        <f t="shared" ca="1" si="9"/>
        <v>43134</v>
      </c>
      <c r="AB31" s="804"/>
      <c r="AC31" s="811" t="str">
        <f t="shared" ca="1" si="10"/>
        <v>-----</v>
      </c>
      <c r="AD31" s="798"/>
      <c r="AE31" s="794" t="str">
        <f t="shared" ca="1" si="11"/>
        <v>-</v>
      </c>
      <c r="AF31" s="798" t="str">
        <f t="shared" si="12"/>
        <v>-</v>
      </c>
      <c r="AG31" s="812" t="str">
        <f t="shared" si="13"/>
        <v>---------</v>
      </c>
      <c r="AH31" s="807"/>
      <c r="AI31" s="807" t="str">
        <f t="shared" si="14"/>
        <v>-</v>
      </c>
      <c r="AJ31" s="807" t="str">
        <f t="shared" si="15"/>
        <v>-</v>
      </c>
      <c r="AK31" s="813"/>
      <c r="AL31" s="807" t="str">
        <f t="shared" si="16"/>
        <v>-</v>
      </c>
      <c r="AM31" s="807" t="str">
        <f t="shared" si="17"/>
        <v>-</v>
      </c>
      <c r="AN31" s="814" t="str">
        <f t="shared" ca="1" si="18"/>
        <v>-</v>
      </c>
      <c r="AO31" s="815">
        <v>1</v>
      </c>
      <c r="AP31" s="816" t="str">
        <f t="shared" ca="1" si="19"/>
        <v>-</v>
      </c>
      <c r="AQ31" s="817"/>
      <c r="AR31" s="794" t="str">
        <f t="shared" si="20"/>
        <v>-</v>
      </c>
      <c r="AS31" s="818"/>
      <c r="AT31" s="794" t="str">
        <f t="shared" si="21"/>
        <v>-</v>
      </c>
      <c r="AU31" s="819"/>
      <c r="AV31" s="820"/>
      <c r="AW31" s="821"/>
      <c r="AX31" s="821"/>
      <c r="AY31" s="969" t="str">
        <f t="shared" si="22"/>
        <v>-</v>
      </c>
      <c r="AZ31" s="966" t="str">
        <f t="shared" si="23"/>
        <v>-</v>
      </c>
      <c r="BA31" s="971" t="str">
        <f t="shared" si="24"/>
        <v>-</v>
      </c>
      <c r="BB31" s="975"/>
      <c r="BC31" s="821"/>
      <c r="BD31" s="821"/>
      <c r="BE31" s="963" t="str">
        <f t="shared" si="25"/>
        <v>-</v>
      </c>
      <c r="BF31" s="984"/>
      <c r="BG31" s="988"/>
      <c r="BH31" s="982"/>
      <c r="BI31" s="991"/>
      <c r="BJ31" s="991"/>
      <c r="BK31" s="993" t="str">
        <f t="shared" si="26"/>
        <v>-</v>
      </c>
      <c r="BL31" s="820">
        <v>42978</v>
      </c>
      <c r="BM31" s="821">
        <v>5</v>
      </c>
      <c r="BN31" s="822">
        <f t="shared" ca="1" si="27"/>
        <v>156</v>
      </c>
      <c r="BO31" s="823">
        <f t="shared" si="28"/>
        <v>20.866666666666667</v>
      </c>
      <c r="BP31" s="824"/>
      <c r="BQ31" s="821"/>
      <c r="BR31" s="822" t="str">
        <f t="shared" si="29"/>
        <v>-</v>
      </c>
      <c r="BS31" s="823" t="str">
        <f t="shared" si="30"/>
        <v>-</v>
      </c>
      <c r="BT31" s="825" t="str">
        <f t="shared" ca="1" si="31"/>
        <v>-</v>
      </c>
      <c r="BU31" s="826"/>
      <c r="BV31" s="827"/>
      <c r="BW31" s="828" t="str">
        <f t="shared" si="32"/>
        <v>Ж-Е НЕ ВАКЦ.</v>
      </c>
      <c r="BX31" s="829" t="str">
        <f t="shared" si="33"/>
        <v>-</v>
      </c>
      <c r="BY31" s="830" t="str">
        <f t="shared" ca="1" si="34"/>
        <v>-</v>
      </c>
      <c r="BZ31" s="831">
        <v>42894</v>
      </c>
      <c r="CA31" s="832">
        <v>5</v>
      </c>
      <c r="CB31" s="833">
        <f t="shared" ca="1" si="35"/>
        <v>240</v>
      </c>
      <c r="CC31" s="834" t="str">
        <f t="shared" ca="1" si="36"/>
        <v>-</v>
      </c>
      <c r="CD31" s="835">
        <f t="shared" si="37"/>
        <v>42915</v>
      </c>
      <c r="CE31" s="831">
        <v>42915</v>
      </c>
      <c r="CF31" s="832">
        <v>5</v>
      </c>
      <c r="CG31" s="833">
        <f t="shared" ca="1" si="38"/>
        <v>219</v>
      </c>
      <c r="CH31" s="836">
        <f t="shared" si="39"/>
        <v>0</v>
      </c>
      <c r="CI31" s="837" t="str">
        <f t="shared" si="40"/>
        <v>УСПЕШНО</v>
      </c>
      <c r="CJ31" s="838" t="str">
        <f t="shared" ca="1" si="41"/>
        <v>-</v>
      </c>
      <c r="CK31" s="831"/>
      <c r="CL31" s="832"/>
      <c r="CM31" s="833" t="str">
        <f t="shared" si="42"/>
        <v>-</v>
      </c>
      <c r="CN31" s="834" t="str">
        <f t="shared" si="43"/>
        <v>-</v>
      </c>
      <c r="CO31" s="830" t="str">
        <f t="shared" ca="1" si="44"/>
        <v>-</v>
      </c>
      <c r="CP31" s="831">
        <v>42958</v>
      </c>
      <c r="CQ31" s="832">
        <v>2</v>
      </c>
      <c r="CR31" s="833">
        <f t="shared" si="45"/>
        <v>42958</v>
      </c>
      <c r="CS31" s="833">
        <f t="shared" ca="1" si="46"/>
        <v>176</v>
      </c>
      <c r="CT31" s="834" t="str">
        <f t="shared" ca="1" si="47"/>
        <v>-</v>
      </c>
      <c r="CU31" s="835">
        <f t="shared" si="48"/>
        <v>42979</v>
      </c>
      <c r="CV31" s="831">
        <v>42980</v>
      </c>
      <c r="CW31" s="832">
        <v>2</v>
      </c>
      <c r="CX31" s="833">
        <f t="shared" si="49"/>
        <v>1</v>
      </c>
      <c r="CY31" s="840" t="str">
        <f t="shared" si="50"/>
        <v>-</v>
      </c>
      <c r="CZ31" s="833">
        <f t="shared" si="51"/>
        <v>42980</v>
      </c>
      <c r="DA31" s="838" t="str">
        <f t="shared" ca="1" si="52"/>
        <v>-</v>
      </c>
      <c r="DB31" s="841"/>
      <c r="DC31" s="832"/>
    </row>
    <row r="32" spans="1:107" s="842" customFormat="1" ht="15.95" customHeight="1" x14ac:dyDescent="0.25">
      <c r="A32" s="790">
        <v>30</v>
      </c>
      <c r="B32" s="791">
        <f t="shared" ca="1" si="0"/>
        <v>43134</v>
      </c>
      <c r="C32" s="29" t="s">
        <v>614</v>
      </c>
      <c r="D32" s="59" t="s">
        <v>3201</v>
      </c>
      <c r="E32" s="794" t="s">
        <v>2815</v>
      </c>
      <c r="F32" s="853" t="s">
        <v>2110</v>
      </c>
      <c r="G32" s="796">
        <f>SUMIFS(МОЛОКО!L8:L6958,МОЛОКО!F8:F6958,"2783",МОЛОКО!L8:L6958,"&gt;0")</f>
        <v>20.9</v>
      </c>
      <c r="H32" s="797" t="s">
        <v>603</v>
      </c>
      <c r="I32" s="798">
        <v>42359</v>
      </c>
      <c r="J32" s="799">
        <f t="shared" ca="1" si="1"/>
        <v>2.1232876712328768</v>
      </c>
      <c r="K32" s="799">
        <f t="shared" ca="1" si="2"/>
        <v>25.833333333333332</v>
      </c>
      <c r="L32" s="800">
        <f t="shared" ca="1" si="3"/>
        <v>775</v>
      </c>
      <c r="M32" s="801">
        <v>43036</v>
      </c>
      <c r="N32" s="802">
        <v>43036</v>
      </c>
      <c r="O32" s="803">
        <f t="shared" ca="1" si="4"/>
        <v>98</v>
      </c>
      <c r="P32" s="804">
        <v>1</v>
      </c>
      <c r="Q32" s="805"/>
      <c r="R32" s="806"/>
      <c r="S32" s="807"/>
      <c r="T32" s="798"/>
      <c r="U32" s="798" t="str">
        <f t="shared" si="5"/>
        <v>-</v>
      </c>
      <c r="V32" s="804" t="str">
        <f t="shared" ca="1" si="6"/>
        <v>-</v>
      </c>
      <c r="W32" s="808">
        <v>0</v>
      </c>
      <c r="X32" s="794" t="str">
        <f t="shared" si="7"/>
        <v>-</v>
      </c>
      <c r="Y32" s="794">
        <v>0</v>
      </c>
      <c r="Z32" s="809" t="str">
        <f t="shared" ca="1" si="8"/>
        <v>-----</v>
      </c>
      <c r="AA32" s="810">
        <f t="shared" ca="1" si="9"/>
        <v>43134</v>
      </c>
      <c r="AB32" s="804"/>
      <c r="AC32" s="811" t="str">
        <f t="shared" ca="1" si="10"/>
        <v>-----</v>
      </c>
      <c r="AD32" s="798"/>
      <c r="AE32" s="794" t="str">
        <f t="shared" ca="1" si="11"/>
        <v>-</v>
      </c>
      <c r="AF32" s="798" t="str">
        <f t="shared" si="12"/>
        <v>-</v>
      </c>
      <c r="AG32" s="812" t="str">
        <f t="shared" si="13"/>
        <v>---------</v>
      </c>
      <c r="AH32" s="807"/>
      <c r="AI32" s="807" t="str">
        <f t="shared" si="14"/>
        <v>-</v>
      </c>
      <c r="AJ32" s="807" t="str">
        <f t="shared" si="15"/>
        <v>-</v>
      </c>
      <c r="AK32" s="813"/>
      <c r="AL32" s="807" t="str">
        <f t="shared" si="16"/>
        <v>-</v>
      </c>
      <c r="AM32" s="807" t="str">
        <f t="shared" si="17"/>
        <v>-</v>
      </c>
      <c r="AN32" s="814" t="str">
        <f t="shared" ca="1" si="18"/>
        <v>-</v>
      </c>
      <c r="AO32" s="815">
        <v>1</v>
      </c>
      <c r="AP32" s="816" t="str">
        <f t="shared" ca="1" si="19"/>
        <v>-</v>
      </c>
      <c r="AQ32" s="817"/>
      <c r="AR32" s="794" t="str">
        <f t="shared" si="20"/>
        <v>-</v>
      </c>
      <c r="AS32" s="818"/>
      <c r="AT32" s="794" t="str">
        <f t="shared" si="21"/>
        <v>-</v>
      </c>
      <c r="AU32" s="819">
        <v>1</v>
      </c>
      <c r="AV32" s="820"/>
      <c r="AW32" s="821"/>
      <c r="AX32" s="821"/>
      <c r="AY32" s="969" t="str">
        <f t="shared" si="22"/>
        <v>-</v>
      </c>
      <c r="AZ32" s="966" t="str">
        <f t="shared" si="23"/>
        <v>-</v>
      </c>
      <c r="BA32" s="971" t="str">
        <f t="shared" si="24"/>
        <v>-</v>
      </c>
      <c r="BB32" s="975"/>
      <c r="BC32" s="821"/>
      <c r="BD32" s="821"/>
      <c r="BE32" s="963" t="str">
        <f t="shared" si="25"/>
        <v>-</v>
      </c>
      <c r="BF32" s="984"/>
      <c r="BG32" s="988"/>
      <c r="BH32" s="982"/>
      <c r="BI32" s="991"/>
      <c r="BJ32" s="991"/>
      <c r="BK32" s="993" t="str">
        <f t="shared" si="26"/>
        <v>-</v>
      </c>
      <c r="BL32" s="820">
        <v>42982</v>
      </c>
      <c r="BM32" s="821">
        <v>5</v>
      </c>
      <c r="BN32" s="822">
        <f t="shared" ca="1" si="27"/>
        <v>152</v>
      </c>
      <c r="BO32" s="823">
        <f t="shared" si="28"/>
        <v>20.766666666666666</v>
      </c>
      <c r="BP32" s="824"/>
      <c r="BQ32" s="821"/>
      <c r="BR32" s="822" t="str">
        <f t="shared" si="29"/>
        <v>-</v>
      </c>
      <c r="BS32" s="823" t="str">
        <f t="shared" si="30"/>
        <v>-</v>
      </c>
      <c r="BT32" s="825" t="str">
        <f t="shared" ca="1" si="31"/>
        <v>-</v>
      </c>
      <c r="BU32" s="826"/>
      <c r="BV32" s="827"/>
      <c r="BW32" s="828" t="str">
        <f t="shared" si="32"/>
        <v>Ж-Е НЕ ВАКЦ.</v>
      </c>
      <c r="BX32" s="829" t="str">
        <f t="shared" si="33"/>
        <v>-</v>
      </c>
      <c r="BY32" s="830" t="str">
        <f t="shared" ca="1" si="34"/>
        <v>-</v>
      </c>
      <c r="BZ32" s="831">
        <v>42904</v>
      </c>
      <c r="CA32" s="832">
        <v>5</v>
      </c>
      <c r="CB32" s="833">
        <f t="shared" ca="1" si="35"/>
        <v>230</v>
      </c>
      <c r="CC32" s="834" t="str">
        <f t="shared" ca="1" si="36"/>
        <v>-</v>
      </c>
      <c r="CD32" s="835">
        <f t="shared" si="37"/>
        <v>42925</v>
      </c>
      <c r="CE32" s="831">
        <v>42925</v>
      </c>
      <c r="CF32" s="832">
        <v>5</v>
      </c>
      <c r="CG32" s="833">
        <f t="shared" ca="1" si="38"/>
        <v>209</v>
      </c>
      <c r="CH32" s="836">
        <f t="shared" si="39"/>
        <v>0</v>
      </c>
      <c r="CI32" s="837" t="str">
        <f t="shared" si="40"/>
        <v>УСПЕШНО</v>
      </c>
      <c r="CJ32" s="838" t="str">
        <f t="shared" ca="1" si="41"/>
        <v>-</v>
      </c>
      <c r="CK32" s="831"/>
      <c r="CL32" s="832"/>
      <c r="CM32" s="833" t="str">
        <f t="shared" si="42"/>
        <v>-</v>
      </c>
      <c r="CN32" s="834" t="str">
        <f t="shared" si="43"/>
        <v>-</v>
      </c>
      <c r="CO32" s="830" t="str">
        <f t="shared" ca="1" si="44"/>
        <v>-</v>
      </c>
      <c r="CP32" s="831">
        <v>42975</v>
      </c>
      <c r="CQ32" s="832">
        <v>2</v>
      </c>
      <c r="CR32" s="833">
        <f t="shared" si="45"/>
        <v>42975</v>
      </c>
      <c r="CS32" s="833">
        <f t="shared" ca="1" si="46"/>
        <v>159</v>
      </c>
      <c r="CT32" s="834" t="str">
        <f t="shared" ca="1" si="47"/>
        <v>-</v>
      </c>
      <c r="CU32" s="835">
        <f t="shared" si="48"/>
        <v>42996</v>
      </c>
      <c r="CV32" s="831">
        <v>42996</v>
      </c>
      <c r="CW32" s="832">
        <v>2</v>
      </c>
      <c r="CX32" s="833">
        <f t="shared" si="49"/>
        <v>0</v>
      </c>
      <c r="CY32" s="840" t="str">
        <f t="shared" si="50"/>
        <v>УСПЕШНО</v>
      </c>
      <c r="CZ32" s="833">
        <f t="shared" si="51"/>
        <v>42996</v>
      </c>
      <c r="DA32" s="838" t="str">
        <f t="shared" ca="1" si="52"/>
        <v>-</v>
      </c>
      <c r="DB32" s="841"/>
      <c r="DC32" s="832"/>
    </row>
    <row r="33" spans="1:107" s="842" customFormat="1" ht="15.95" customHeight="1" x14ac:dyDescent="0.25">
      <c r="A33" s="790">
        <v>31</v>
      </c>
      <c r="B33" s="791">
        <f t="shared" ca="1" si="0"/>
        <v>43134</v>
      </c>
      <c r="C33" s="792" t="s">
        <v>614</v>
      </c>
      <c r="D33" s="793" t="s">
        <v>3201</v>
      </c>
      <c r="E33" s="794" t="s">
        <v>439</v>
      </c>
      <c r="F33" s="795" t="s">
        <v>440</v>
      </c>
      <c r="G33" s="796">
        <f>SUMIFS(МОЛОКО!L8:L6958,МОЛОКО!F8:F6958,"11038",МОЛОКО!L8:L6958,"&gt;0")</f>
        <v>28.599999999999998</v>
      </c>
      <c r="H33" s="797" t="s">
        <v>78</v>
      </c>
      <c r="I33" s="798">
        <v>41435</v>
      </c>
      <c r="J33" s="799">
        <f t="shared" ca="1" si="1"/>
        <v>4.6547945205479451</v>
      </c>
      <c r="K33" s="799">
        <f t="shared" ca="1" si="2"/>
        <v>56.633333333333333</v>
      </c>
      <c r="L33" s="800">
        <f t="shared" ca="1" si="3"/>
        <v>1699</v>
      </c>
      <c r="M33" s="801">
        <v>42209</v>
      </c>
      <c r="N33" s="802">
        <v>42836</v>
      </c>
      <c r="O33" s="803">
        <f t="shared" ca="1" si="4"/>
        <v>298</v>
      </c>
      <c r="P33" s="804">
        <v>3</v>
      </c>
      <c r="Q33" s="805" t="s">
        <v>2366</v>
      </c>
      <c r="R33" s="806" t="s">
        <v>2269</v>
      </c>
      <c r="S33" s="807">
        <v>42894</v>
      </c>
      <c r="T33" s="798">
        <v>42936</v>
      </c>
      <c r="U33" s="798" t="str">
        <f t="shared" si="5"/>
        <v>-</v>
      </c>
      <c r="V33" s="804" t="str">
        <f t="shared" ca="1" si="6"/>
        <v>-</v>
      </c>
      <c r="W33" s="808">
        <v>2</v>
      </c>
      <c r="X33" s="794">
        <f t="shared" si="7"/>
        <v>100</v>
      </c>
      <c r="Y33" s="794">
        <v>1</v>
      </c>
      <c r="Z33" s="809" t="str">
        <f t="shared" ca="1" si="8"/>
        <v>-----</v>
      </c>
      <c r="AA33" s="810" t="str">
        <f t="shared" ca="1" si="9"/>
        <v>-----</v>
      </c>
      <c r="AB33" s="804">
        <v>1</v>
      </c>
      <c r="AC33" s="811" t="str">
        <f t="shared" ca="1" si="10"/>
        <v>-----</v>
      </c>
      <c r="AD33" s="798">
        <v>42998</v>
      </c>
      <c r="AE33" s="794" t="str">
        <f t="shared" ca="1" si="11"/>
        <v>-</v>
      </c>
      <c r="AF33" s="798" t="str">
        <f t="shared" si="12"/>
        <v>-</v>
      </c>
      <c r="AG33" s="812" t="str">
        <f t="shared" si="13"/>
        <v>---------</v>
      </c>
      <c r="AH33" s="807">
        <v>42968</v>
      </c>
      <c r="AI33" s="807">
        <f t="shared" si="14"/>
        <v>43126</v>
      </c>
      <c r="AJ33" s="807">
        <f t="shared" si="15"/>
        <v>43156</v>
      </c>
      <c r="AK33" s="813"/>
      <c r="AL33" s="807">
        <f t="shared" si="16"/>
        <v>43195</v>
      </c>
      <c r="AM33" s="807">
        <f t="shared" si="17"/>
        <v>43216</v>
      </c>
      <c r="AN33" s="814">
        <f t="shared" ca="1" si="18"/>
        <v>-82</v>
      </c>
      <c r="AO33" s="815">
        <v>1</v>
      </c>
      <c r="AP33" s="816" t="str">
        <f t="shared" ca="1" si="19"/>
        <v>-</v>
      </c>
      <c r="AQ33" s="817"/>
      <c r="AR33" s="794" t="str">
        <f t="shared" si="20"/>
        <v>-</v>
      </c>
      <c r="AS33" s="818"/>
      <c r="AT33" s="794" t="str">
        <f t="shared" si="21"/>
        <v>-</v>
      </c>
      <c r="AU33" s="819"/>
      <c r="AV33" s="820"/>
      <c r="AW33" s="821"/>
      <c r="AX33" s="821"/>
      <c r="AY33" s="969" t="str">
        <f t="shared" si="22"/>
        <v>-</v>
      </c>
      <c r="AZ33" s="966" t="str">
        <f t="shared" si="23"/>
        <v>-</v>
      </c>
      <c r="BA33" s="971" t="str">
        <f t="shared" si="24"/>
        <v>-</v>
      </c>
      <c r="BB33" s="975"/>
      <c r="BC33" s="821"/>
      <c r="BD33" s="821"/>
      <c r="BE33" s="963" t="str">
        <f t="shared" si="25"/>
        <v>-</v>
      </c>
      <c r="BF33" s="984">
        <v>43033</v>
      </c>
      <c r="BG33" s="988" t="s">
        <v>3353</v>
      </c>
      <c r="BH33" s="986" t="s">
        <v>3354</v>
      </c>
      <c r="BI33" s="991">
        <v>5</v>
      </c>
      <c r="BJ33" s="991" t="s">
        <v>3356</v>
      </c>
      <c r="BK33" s="993">
        <f t="shared" ca="1" si="26"/>
        <v>101</v>
      </c>
      <c r="BL33" s="820">
        <v>42980</v>
      </c>
      <c r="BM33" s="821">
        <v>5</v>
      </c>
      <c r="BN33" s="822">
        <f t="shared" ca="1" si="27"/>
        <v>154</v>
      </c>
      <c r="BO33" s="823">
        <f t="shared" si="28"/>
        <v>51.5</v>
      </c>
      <c r="BP33" s="824"/>
      <c r="BQ33" s="821"/>
      <c r="BR33" s="822" t="str">
        <f t="shared" si="29"/>
        <v>-</v>
      </c>
      <c r="BS33" s="823" t="str">
        <f t="shared" si="30"/>
        <v>-</v>
      </c>
      <c r="BT33" s="825" t="str">
        <f t="shared" ca="1" si="31"/>
        <v>-</v>
      </c>
      <c r="BU33" s="826"/>
      <c r="BV33" s="827"/>
      <c r="BW33" s="828" t="str">
        <f t="shared" si="32"/>
        <v>Ж-Е НЕ ВАКЦ.</v>
      </c>
      <c r="BX33" s="829" t="str">
        <f t="shared" si="33"/>
        <v>-</v>
      </c>
      <c r="BY33" s="830" t="str">
        <f t="shared" ca="1" si="34"/>
        <v>-</v>
      </c>
      <c r="BZ33" s="831">
        <v>42887</v>
      </c>
      <c r="CA33" s="832">
        <v>5</v>
      </c>
      <c r="CB33" s="833">
        <f t="shared" ca="1" si="35"/>
        <v>247</v>
      </c>
      <c r="CC33" s="834" t="str">
        <f t="shared" ca="1" si="36"/>
        <v>-</v>
      </c>
      <c r="CD33" s="835">
        <f t="shared" si="37"/>
        <v>42908</v>
      </c>
      <c r="CE33" s="831">
        <v>42908</v>
      </c>
      <c r="CF33" s="832">
        <v>5</v>
      </c>
      <c r="CG33" s="833">
        <f t="shared" ca="1" si="38"/>
        <v>226</v>
      </c>
      <c r="CH33" s="836">
        <f t="shared" si="39"/>
        <v>0</v>
      </c>
      <c r="CI33" s="837" t="str">
        <f t="shared" si="40"/>
        <v>УСПЕШНО</v>
      </c>
      <c r="CJ33" s="838" t="str">
        <f t="shared" ca="1" si="41"/>
        <v>-</v>
      </c>
      <c r="CK33" s="831"/>
      <c r="CL33" s="832"/>
      <c r="CM33" s="833" t="str">
        <f t="shared" si="42"/>
        <v>-</v>
      </c>
      <c r="CN33" s="834" t="str">
        <f t="shared" si="43"/>
        <v>-</v>
      </c>
      <c r="CO33" s="830" t="str">
        <f t="shared" ca="1" si="44"/>
        <v>-</v>
      </c>
      <c r="CP33" s="839"/>
      <c r="CQ33" s="832"/>
      <c r="CR33" s="833" t="str">
        <f t="shared" si="45"/>
        <v>-</v>
      </c>
      <c r="CS33" s="833" t="str">
        <f t="shared" si="46"/>
        <v>-</v>
      </c>
      <c r="CT33" s="834" t="str">
        <f t="shared" si="47"/>
        <v>-</v>
      </c>
      <c r="CU33" s="835" t="str">
        <f t="shared" si="48"/>
        <v>-</v>
      </c>
      <c r="CV33" s="839"/>
      <c r="CW33" s="832"/>
      <c r="CX33" s="833" t="str">
        <f t="shared" si="49"/>
        <v>-</v>
      </c>
      <c r="CY33" s="840" t="str">
        <f t="shared" si="50"/>
        <v>-</v>
      </c>
      <c r="CZ33" s="833" t="str">
        <f t="shared" si="51"/>
        <v>-</v>
      </c>
      <c r="DA33" s="838" t="str">
        <f t="shared" ca="1" si="52"/>
        <v>-</v>
      </c>
      <c r="DB33" s="841"/>
      <c r="DC33" s="832"/>
    </row>
    <row r="34" spans="1:107" s="842" customFormat="1" ht="15.95" customHeight="1" x14ac:dyDescent="0.25">
      <c r="A34" s="790">
        <v>32</v>
      </c>
      <c r="B34" s="791">
        <f t="shared" ca="1" si="0"/>
        <v>43134</v>
      </c>
      <c r="C34" s="792" t="s">
        <v>614</v>
      </c>
      <c r="D34" s="793" t="s">
        <v>3201</v>
      </c>
      <c r="E34" s="794" t="s">
        <v>171</v>
      </c>
      <c r="F34" s="795" t="s">
        <v>172</v>
      </c>
      <c r="G34" s="796">
        <f>SUMIFS(МОЛОКО!L8:L6958,МОЛОКО!F8:F6958,"11140",МОЛОКО!L8:L6958,"&gt;0")</f>
        <v>28</v>
      </c>
      <c r="H34" s="797" t="s">
        <v>87</v>
      </c>
      <c r="I34" s="798">
        <v>40641</v>
      </c>
      <c r="J34" s="799">
        <f t="shared" ca="1" si="1"/>
        <v>6.8301369863013699</v>
      </c>
      <c r="K34" s="799">
        <f t="shared" ca="1" si="2"/>
        <v>83.1</v>
      </c>
      <c r="L34" s="800">
        <f t="shared" ca="1" si="3"/>
        <v>2493</v>
      </c>
      <c r="M34" s="801">
        <v>41612</v>
      </c>
      <c r="N34" s="802">
        <v>42983</v>
      </c>
      <c r="O34" s="803">
        <f t="shared" ca="1" si="4"/>
        <v>151</v>
      </c>
      <c r="P34" s="804">
        <v>4</v>
      </c>
      <c r="Q34" s="68" t="s">
        <v>2366</v>
      </c>
      <c r="R34" s="118" t="s">
        <v>2966</v>
      </c>
      <c r="S34" s="807">
        <v>43048</v>
      </c>
      <c r="T34" s="798">
        <v>43048</v>
      </c>
      <c r="U34" s="798">
        <f t="shared" si="5"/>
        <v>43066</v>
      </c>
      <c r="V34" s="804">
        <f t="shared" ca="1" si="6"/>
        <v>68</v>
      </c>
      <c r="W34" s="808">
        <v>1</v>
      </c>
      <c r="X34" s="794">
        <f t="shared" si="7"/>
        <v>65</v>
      </c>
      <c r="Y34" s="794">
        <v>3</v>
      </c>
      <c r="Z34" s="809" t="str">
        <f t="shared" ca="1" si="8"/>
        <v>-----</v>
      </c>
      <c r="AA34" s="810">
        <f t="shared" ca="1" si="9"/>
        <v>86</v>
      </c>
      <c r="AB34" s="804"/>
      <c r="AC34" s="811" t="str">
        <f t="shared" ca="1" si="10"/>
        <v>-----</v>
      </c>
      <c r="AD34" s="798"/>
      <c r="AE34" s="794" t="str">
        <f t="shared" ca="1" si="11"/>
        <v>-</v>
      </c>
      <c r="AF34" s="798">
        <f t="shared" si="12"/>
        <v>43083</v>
      </c>
      <c r="AG34" s="812">
        <f t="shared" ca="1" si="13"/>
        <v>51</v>
      </c>
      <c r="AH34" s="807"/>
      <c r="AI34" s="807" t="str">
        <f t="shared" si="14"/>
        <v>-</v>
      </c>
      <c r="AJ34" s="807" t="str">
        <f t="shared" si="15"/>
        <v>-</v>
      </c>
      <c r="AK34" s="813"/>
      <c r="AL34" s="807" t="str">
        <f t="shared" si="16"/>
        <v>-</v>
      </c>
      <c r="AM34" s="807" t="str">
        <f t="shared" si="17"/>
        <v>-</v>
      </c>
      <c r="AN34" s="814" t="str">
        <f t="shared" ca="1" si="18"/>
        <v>-</v>
      </c>
      <c r="AO34" s="815">
        <v>1</v>
      </c>
      <c r="AP34" s="816" t="str">
        <f t="shared" ca="1" si="19"/>
        <v>-</v>
      </c>
      <c r="AQ34" s="817"/>
      <c r="AR34" s="794" t="str">
        <f t="shared" si="20"/>
        <v>-</v>
      </c>
      <c r="AS34" s="818"/>
      <c r="AT34" s="794" t="str">
        <f t="shared" si="21"/>
        <v>-</v>
      </c>
      <c r="AU34" s="819"/>
      <c r="AV34" s="820"/>
      <c r="AW34" s="821"/>
      <c r="AX34" s="821"/>
      <c r="AY34" s="969" t="str">
        <f t="shared" si="22"/>
        <v>-</v>
      </c>
      <c r="AZ34" s="966" t="str">
        <f t="shared" si="23"/>
        <v>-</v>
      </c>
      <c r="BA34" s="971" t="str">
        <f t="shared" si="24"/>
        <v>-</v>
      </c>
      <c r="BB34" s="975"/>
      <c r="BC34" s="821"/>
      <c r="BD34" s="821"/>
      <c r="BE34" s="963" t="str">
        <f t="shared" si="25"/>
        <v>-</v>
      </c>
      <c r="BF34" s="984">
        <v>43033</v>
      </c>
      <c r="BG34" s="988" t="s">
        <v>3353</v>
      </c>
      <c r="BH34" s="986" t="s">
        <v>3354</v>
      </c>
      <c r="BI34" s="991">
        <v>5</v>
      </c>
      <c r="BJ34" s="991" t="s">
        <v>3356</v>
      </c>
      <c r="BK34" s="993">
        <f t="shared" ca="1" si="26"/>
        <v>101</v>
      </c>
      <c r="BL34" s="820">
        <v>42982</v>
      </c>
      <c r="BM34" s="821">
        <v>5</v>
      </c>
      <c r="BN34" s="822">
        <f t="shared" ca="1" si="27"/>
        <v>152</v>
      </c>
      <c r="BO34" s="823">
        <f t="shared" si="28"/>
        <v>78.033333333333331</v>
      </c>
      <c r="BP34" s="824"/>
      <c r="BQ34" s="821"/>
      <c r="BR34" s="822" t="str">
        <f t="shared" si="29"/>
        <v>-</v>
      </c>
      <c r="BS34" s="823" t="str">
        <f t="shared" si="30"/>
        <v>-</v>
      </c>
      <c r="BT34" s="825" t="str">
        <f t="shared" ca="1" si="31"/>
        <v>-</v>
      </c>
      <c r="BU34" s="826"/>
      <c r="BV34" s="827"/>
      <c r="BW34" s="828" t="str">
        <f t="shared" si="32"/>
        <v>Ж-Е НЕ ВАКЦ.</v>
      </c>
      <c r="BX34" s="829" t="str">
        <f t="shared" si="33"/>
        <v>-</v>
      </c>
      <c r="BY34" s="830" t="str">
        <f t="shared" ca="1" si="34"/>
        <v>-</v>
      </c>
      <c r="BZ34" s="831">
        <v>42887</v>
      </c>
      <c r="CA34" s="832">
        <v>5</v>
      </c>
      <c r="CB34" s="833">
        <f t="shared" ca="1" si="35"/>
        <v>247</v>
      </c>
      <c r="CC34" s="834" t="str">
        <f t="shared" ca="1" si="36"/>
        <v>-</v>
      </c>
      <c r="CD34" s="835">
        <f t="shared" si="37"/>
        <v>42908</v>
      </c>
      <c r="CE34" s="831">
        <v>42908</v>
      </c>
      <c r="CF34" s="832">
        <v>5</v>
      </c>
      <c r="CG34" s="833">
        <f t="shared" ca="1" si="38"/>
        <v>226</v>
      </c>
      <c r="CH34" s="836">
        <f t="shared" si="39"/>
        <v>0</v>
      </c>
      <c r="CI34" s="837" t="str">
        <f t="shared" si="40"/>
        <v>УСПЕШНО</v>
      </c>
      <c r="CJ34" s="838" t="str">
        <f t="shared" ca="1" si="41"/>
        <v>-</v>
      </c>
      <c r="CK34" s="831"/>
      <c r="CL34" s="832"/>
      <c r="CM34" s="833" t="str">
        <f t="shared" si="42"/>
        <v>-</v>
      </c>
      <c r="CN34" s="834" t="str">
        <f t="shared" si="43"/>
        <v>-</v>
      </c>
      <c r="CO34" s="830" t="str">
        <f t="shared" ca="1" si="44"/>
        <v>-</v>
      </c>
      <c r="CP34" s="831">
        <v>42925</v>
      </c>
      <c r="CQ34" s="832">
        <v>2</v>
      </c>
      <c r="CR34" s="833">
        <f t="shared" si="45"/>
        <v>-123</v>
      </c>
      <c r="CS34" s="833">
        <f t="shared" ca="1" si="46"/>
        <v>209</v>
      </c>
      <c r="CT34" s="834" t="str">
        <f t="shared" ca="1" si="47"/>
        <v>-</v>
      </c>
      <c r="CU34" s="835">
        <f t="shared" si="48"/>
        <v>42946</v>
      </c>
      <c r="CV34" s="831">
        <v>42946</v>
      </c>
      <c r="CW34" s="832">
        <v>2</v>
      </c>
      <c r="CX34" s="833">
        <f t="shared" si="49"/>
        <v>0</v>
      </c>
      <c r="CY34" s="840" t="str">
        <f t="shared" si="50"/>
        <v>УСПЕШНО</v>
      </c>
      <c r="CZ34" s="833">
        <f t="shared" si="51"/>
        <v>-102</v>
      </c>
      <c r="DA34" s="838" t="str">
        <f t="shared" ca="1" si="52"/>
        <v>-</v>
      </c>
      <c r="DB34" s="841"/>
      <c r="DC34" s="832"/>
    </row>
    <row r="35" spans="1:107" s="842" customFormat="1" ht="15.95" customHeight="1" x14ac:dyDescent="0.25">
      <c r="A35" s="790">
        <v>33</v>
      </c>
      <c r="B35" s="791">
        <f t="shared" ca="1" si="0"/>
        <v>43134</v>
      </c>
      <c r="C35" s="792" t="s">
        <v>614</v>
      </c>
      <c r="D35" s="793" t="s">
        <v>3201</v>
      </c>
      <c r="E35" s="794" t="s">
        <v>1404</v>
      </c>
      <c r="F35" s="795" t="s">
        <v>1405</v>
      </c>
      <c r="G35" s="796">
        <f>SUMIFS(МОЛОКО!L8:L6958,МОЛОКО!F8:F6958,"13041",МОЛОКО!L8:L6958,"&gt;0")</f>
        <v>28.2</v>
      </c>
      <c r="H35" s="797" t="s">
        <v>87</v>
      </c>
      <c r="I35" s="798">
        <v>41324</v>
      </c>
      <c r="J35" s="799">
        <f t="shared" ca="1" si="1"/>
        <v>4.9589041095890414</v>
      </c>
      <c r="K35" s="799">
        <f t="shared" ca="1" si="2"/>
        <v>60.333333333333336</v>
      </c>
      <c r="L35" s="800">
        <f t="shared" ca="1" si="3"/>
        <v>1810</v>
      </c>
      <c r="M35" s="801">
        <v>42478</v>
      </c>
      <c r="N35" s="802">
        <v>42917</v>
      </c>
      <c r="O35" s="803">
        <f t="shared" ca="1" si="4"/>
        <v>217</v>
      </c>
      <c r="P35" s="804">
        <v>2</v>
      </c>
      <c r="Q35" s="805" t="s">
        <v>2366</v>
      </c>
      <c r="R35" s="118" t="s">
        <v>2966</v>
      </c>
      <c r="S35" s="807">
        <v>42985</v>
      </c>
      <c r="T35" s="798">
        <v>43043</v>
      </c>
      <c r="U35" s="798">
        <f t="shared" si="5"/>
        <v>43061</v>
      </c>
      <c r="V35" s="804">
        <f t="shared" ca="1" si="6"/>
        <v>73</v>
      </c>
      <c r="W35" s="808">
        <v>3</v>
      </c>
      <c r="X35" s="794">
        <f t="shared" ref="X35:X66" si="53">IF(AND(N35&gt;0,T35&gt;0),T35-N35,"-")</f>
        <v>126</v>
      </c>
      <c r="Y35" s="794">
        <v>3</v>
      </c>
      <c r="Z35" s="809" t="str">
        <f t="shared" ca="1" si="8"/>
        <v>-----</v>
      </c>
      <c r="AA35" s="810">
        <f t="shared" ca="1" si="9"/>
        <v>91</v>
      </c>
      <c r="AB35" s="804"/>
      <c r="AC35" s="811" t="str">
        <f t="shared" ca="1" si="10"/>
        <v>-----</v>
      </c>
      <c r="AD35" s="798"/>
      <c r="AE35" s="794" t="str">
        <f t="shared" ca="1" si="11"/>
        <v>-</v>
      </c>
      <c r="AF35" s="798">
        <f t="shared" si="12"/>
        <v>43078</v>
      </c>
      <c r="AG35" s="812">
        <f t="shared" ca="1" si="13"/>
        <v>56</v>
      </c>
      <c r="AH35" s="807">
        <v>43020</v>
      </c>
      <c r="AI35" s="807" t="str">
        <f t="shared" si="14"/>
        <v>-</v>
      </c>
      <c r="AJ35" s="807" t="str">
        <f t="shared" si="15"/>
        <v>-</v>
      </c>
      <c r="AK35" s="813"/>
      <c r="AL35" s="807" t="str">
        <f t="shared" si="16"/>
        <v>-</v>
      </c>
      <c r="AM35" s="807" t="str">
        <f t="shared" si="17"/>
        <v>-</v>
      </c>
      <c r="AN35" s="814" t="str">
        <f t="shared" ca="1" si="18"/>
        <v>-</v>
      </c>
      <c r="AO35" s="815">
        <v>1</v>
      </c>
      <c r="AP35" s="816" t="str">
        <f t="shared" ca="1" si="19"/>
        <v>-</v>
      </c>
      <c r="AQ35" s="817"/>
      <c r="AR35" s="794" t="str">
        <f t="shared" si="20"/>
        <v>-</v>
      </c>
      <c r="AS35" s="818"/>
      <c r="AT35" s="794" t="str">
        <f t="shared" si="21"/>
        <v>-</v>
      </c>
      <c r="AU35" s="819"/>
      <c r="AV35" s="820"/>
      <c r="AW35" s="821"/>
      <c r="AX35" s="821"/>
      <c r="AY35" s="969" t="str">
        <f t="shared" si="22"/>
        <v>-</v>
      </c>
      <c r="AZ35" s="966" t="str">
        <f t="shared" si="23"/>
        <v>-</v>
      </c>
      <c r="BA35" s="971" t="str">
        <f t="shared" si="24"/>
        <v>-</v>
      </c>
      <c r="BB35" s="975"/>
      <c r="BC35" s="821"/>
      <c r="BD35" s="821"/>
      <c r="BE35" s="963" t="str">
        <f t="shared" si="25"/>
        <v>-</v>
      </c>
      <c r="BF35" s="984">
        <v>43033</v>
      </c>
      <c r="BG35" s="988" t="s">
        <v>3353</v>
      </c>
      <c r="BH35" s="986" t="s">
        <v>3354</v>
      </c>
      <c r="BI35" s="991">
        <v>5</v>
      </c>
      <c r="BJ35" s="991" t="s">
        <v>3356</v>
      </c>
      <c r="BK35" s="993">
        <f t="shared" ca="1" si="26"/>
        <v>101</v>
      </c>
      <c r="BL35" s="820">
        <v>42980</v>
      </c>
      <c r="BM35" s="821">
        <v>5</v>
      </c>
      <c r="BN35" s="822">
        <f t="shared" ca="1" si="27"/>
        <v>154</v>
      </c>
      <c r="BO35" s="823">
        <f t="shared" si="28"/>
        <v>55.2</v>
      </c>
      <c r="BP35" s="824"/>
      <c r="BQ35" s="821"/>
      <c r="BR35" s="822" t="str">
        <f t="shared" si="29"/>
        <v>-</v>
      </c>
      <c r="BS35" s="823" t="str">
        <f t="shared" si="30"/>
        <v>-</v>
      </c>
      <c r="BT35" s="825" t="str">
        <f t="shared" ca="1" si="31"/>
        <v>-</v>
      </c>
      <c r="BU35" s="826"/>
      <c r="BV35" s="827"/>
      <c r="BW35" s="828" t="str">
        <f t="shared" si="32"/>
        <v>Ж-Е НЕ ВАКЦ.</v>
      </c>
      <c r="BX35" s="829" t="str">
        <f t="shared" si="33"/>
        <v>-</v>
      </c>
      <c r="BY35" s="830" t="str">
        <f t="shared" ca="1" si="34"/>
        <v>-</v>
      </c>
      <c r="BZ35" s="831">
        <v>42964</v>
      </c>
      <c r="CA35" s="832">
        <v>5</v>
      </c>
      <c r="CB35" s="833">
        <f t="shared" ca="1" si="35"/>
        <v>170</v>
      </c>
      <c r="CC35" s="834" t="str">
        <f t="shared" ca="1" si="36"/>
        <v>-</v>
      </c>
      <c r="CD35" s="835">
        <f t="shared" si="37"/>
        <v>42985</v>
      </c>
      <c r="CE35" s="831">
        <v>42985</v>
      </c>
      <c r="CF35" s="832">
        <v>5</v>
      </c>
      <c r="CG35" s="833">
        <f t="shared" ca="1" si="38"/>
        <v>149</v>
      </c>
      <c r="CH35" s="836">
        <f t="shared" si="39"/>
        <v>0</v>
      </c>
      <c r="CI35" s="837" t="str">
        <f t="shared" si="40"/>
        <v>УСПЕШНО</v>
      </c>
      <c r="CJ35" s="838" t="str">
        <f t="shared" ca="1" si="41"/>
        <v>-</v>
      </c>
      <c r="CK35" s="831"/>
      <c r="CL35" s="832"/>
      <c r="CM35" s="833" t="str">
        <f t="shared" si="42"/>
        <v>-</v>
      </c>
      <c r="CN35" s="834" t="str">
        <f t="shared" si="43"/>
        <v>-</v>
      </c>
      <c r="CO35" s="830" t="str">
        <f t="shared" ca="1" si="44"/>
        <v>-</v>
      </c>
      <c r="CP35" s="839"/>
      <c r="CQ35" s="832"/>
      <c r="CR35" s="833" t="str">
        <f t="shared" si="45"/>
        <v>-</v>
      </c>
      <c r="CS35" s="833" t="str">
        <f t="shared" si="46"/>
        <v>-</v>
      </c>
      <c r="CT35" s="834" t="str">
        <f t="shared" si="47"/>
        <v>-</v>
      </c>
      <c r="CU35" s="835" t="str">
        <f t="shared" si="48"/>
        <v>-</v>
      </c>
      <c r="CV35" s="839"/>
      <c r="CW35" s="832"/>
      <c r="CX35" s="833" t="str">
        <f t="shared" si="49"/>
        <v>-</v>
      </c>
      <c r="CY35" s="840" t="str">
        <f t="shared" si="50"/>
        <v>-</v>
      </c>
      <c r="CZ35" s="833" t="str">
        <f t="shared" si="51"/>
        <v>-</v>
      </c>
      <c r="DA35" s="838" t="str">
        <f t="shared" ca="1" si="52"/>
        <v>-</v>
      </c>
      <c r="DB35" s="841"/>
      <c r="DC35" s="832"/>
    </row>
    <row r="36" spans="1:107" s="842" customFormat="1" ht="15.95" customHeight="1" x14ac:dyDescent="0.25">
      <c r="A36" s="790">
        <v>34</v>
      </c>
      <c r="B36" s="791">
        <f t="shared" ca="1" si="0"/>
        <v>43134</v>
      </c>
      <c r="C36" s="792" t="s">
        <v>614</v>
      </c>
      <c r="D36" s="793" t="s">
        <v>3201</v>
      </c>
      <c r="E36" s="794" t="s">
        <v>1347</v>
      </c>
      <c r="F36" s="795" t="s">
        <v>1406</v>
      </c>
      <c r="G36" s="796">
        <f>SUMIFS(МОЛОКО!L8:L6958,МОЛОКО!F8:F6958,"13181",МОЛОКО!L8:L6958,"&gt;0")</f>
        <v>28.6</v>
      </c>
      <c r="H36" s="797" t="s">
        <v>87</v>
      </c>
      <c r="I36" s="798">
        <v>41446</v>
      </c>
      <c r="J36" s="799">
        <f t="shared" ca="1" si="1"/>
        <v>4.624657534246575</v>
      </c>
      <c r="K36" s="799">
        <f t="shared" ca="1" si="2"/>
        <v>56.266666666666666</v>
      </c>
      <c r="L36" s="800">
        <f t="shared" ca="1" si="3"/>
        <v>1688</v>
      </c>
      <c r="M36" s="801">
        <v>42479</v>
      </c>
      <c r="N36" s="802">
        <v>42885</v>
      </c>
      <c r="O36" s="803">
        <f t="shared" ca="1" si="4"/>
        <v>249</v>
      </c>
      <c r="P36" s="804">
        <v>2</v>
      </c>
      <c r="Q36" s="68" t="s">
        <v>2366</v>
      </c>
      <c r="R36" s="118" t="s">
        <v>2966</v>
      </c>
      <c r="S36" s="807">
        <v>42943</v>
      </c>
      <c r="T36" s="798">
        <v>43030</v>
      </c>
      <c r="U36" s="798">
        <f t="shared" si="5"/>
        <v>43048</v>
      </c>
      <c r="V36" s="804">
        <f t="shared" ca="1" si="6"/>
        <v>86</v>
      </c>
      <c r="W36" s="808">
        <v>4</v>
      </c>
      <c r="X36" s="794">
        <f t="shared" si="53"/>
        <v>145</v>
      </c>
      <c r="Y36" s="794">
        <v>3</v>
      </c>
      <c r="Z36" s="809" t="str">
        <f t="shared" ca="1" si="8"/>
        <v>-----</v>
      </c>
      <c r="AA36" s="810">
        <f t="shared" ca="1" si="9"/>
        <v>104</v>
      </c>
      <c r="AB36" s="804"/>
      <c r="AC36" s="811" t="str">
        <f t="shared" ca="1" si="10"/>
        <v>-----</v>
      </c>
      <c r="AD36" s="798"/>
      <c r="AE36" s="794" t="str">
        <f t="shared" ca="1" si="11"/>
        <v>-</v>
      </c>
      <c r="AF36" s="798">
        <f t="shared" si="12"/>
        <v>43065</v>
      </c>
      <c r="AG36" s="812">
        <f t="shared" ca="1" si="13"/>
        <v>69</v>
      </c>
      <c r="AH36" s="807">
        <v>42979</v>
      </c>
      <c r="AI36" s="807" t="str">
        <f t="shared" si="14"/>
        <v>-</v>
      </c>
      <c r="AJ36" s="807" t="str">
        <f t="shared" si="15"/>
        <v>-</v>
      </c>
      <c r="AK36" s="813"/>
      <c r="AL36" s="807" t="str">
        <f t="shared" si="16"/>
        <v>-</v>
      </c>
      <c r="AM36" s="807" t="str">
        <f t="shared" si="17"/>
        <v>-</v>
      </c>
      <c r="AN36" s="814" t="str">
        <f t="shared" ca="1" si="18"/>
        <v>-</v>
      </c>
      <c r="AO36" s="815">
        <v>1</v>
      </c>
      <c r="AP36" s="816" t="str">
        <f t="shared" ca="1" si="19"/>
        <v>-</v>
      </c>
      <c r="AQ36" s="817"/>
      <c r="AR36" s="794" t="str">
        <f t="shared" si="20"/>
        <v>-</v>
      </c>
      <c r="AS36" s="818"/>
      <c r="AT36" s="794" t="str">
        <f t="shared" si="21"/>
        <v>-</v>
      </c>
      <c r="AU36" s="819"/>
      <c r="AV36" s="820"/>
      <c r="AW36" s="821"/>
      <c r="AX36" s="821"/>
      <c r="AY36" s="969" t="str">
        <f t="shared" si="22"/>
        <v>-</v>
      </c>
      <c r="AZ36" s="966" t="str">
        <f t="shared" si="23"/>
        <v>-</v>
      </c>
      <c r="BA36" s="971" t="str">
        <f t="shared" si="24"/>
        <v>-</v>
      </c>
      <c r="BB36" s="975"/>
      <c r="BC36" s="821"/>
      <c r="BD36" s="821"/>
      <c r="BE36" s="963" t="str">
        <f t="shared" si="25"/>
        <v>-</v>
      </c>
      <c r="BF36" s="984">
        <v>43033</v>
      </c>
      <c r="BG36" s="988" t="s">
        <v>3353</v>
      </c>
      <c r="BH36" s="986" t="s">
        <v>3354</v>
      </c>
      <c r="BI36" s="991">
        <v>5</v>
      </c>
      <c r="BJ36" s="991" t="s">
        <v>3356</v>
      </c>
      <c r="BK36" s="993">
        <f t="shared" ca="1" si="26"/>
        <v>101</v>
      </c>
      <c r="BL36" s="820">
        <v>42980</v>
      </c>
      <c r="BM36" s="821">
        <v>5</v>
      </c>
      <c r="BN36" s="822">
        <f t="shared" ca="1" si="27"/>
        <v>154</v>
      </c>
      <c r="BO36" s="823">
        <f t="shared" si="28"/>
        <v>51.133333333333333</v>
      </c>
      <c r="BP36" s="824"/>
      <c r="BQ36" s="821"/>
      <c r="BR36" s="822" t="str">
        <f t="shared" si="29"/>
        <v>-</v>
      </c>
      <c r="BS36" s="823" t="str">
        <f t="shared" si="30"/>
        <v>-</v>
      </c>
      <c r="BT36" s="825" t="str">
        <f t="shared" ca="1" si="31"/>
        <v>-</v>
      </c>
      <c r="BU36" s="826"/>
      <c r="BV36" s="827"/>
      <c r="BW36" s="828" t="str">
        <f t="shared" si="32"/>
        <v>Ж-Е НЕ ВАКЦ.</v>
      </c>
      <c r="BX36" s="829" t="str">
        <f t="shared" si="33"/>
        <v>-</v>
      </c>
      <c r="BY36" s="830" t="str">
        <f t="shared" ca="1" si="34"/>
        <v>-</v>
      </c>
      <c r="BZ36" s="831">
        <v>42916</v>
      </c>
      <c r="CA36" s="832">
        <v>5</v>
      </c>
      <c r="CB36" s="833">
        <f t="shared" ca="1" si="35"/>
        <v>218</v>
      </c>
      <c r="CC36" s="834" t="str">
        <f t="shared" ca="1" si="36"/>
        <v>-</v>
      </c>
      <c r="CD36" s="835">
        <f t="shared" si="37"/>
        <v>42937</v>
      </c>
      <c r="CE36" s="831">
        <v>42937</v>
      </c>
      <c r="CF36" s="832">
        <v>5</v>
      </c>
      <c r="CG36" s="833">
        <f t="shared" ca="1" si="38"/>
        <v>197</v>
      </c>
      <c r="CH36" s="836">
        <f t="shared" si="39"/>
        <v>0</v>
      </c>
      <c r="CI36" s="837" t="str">
        <f t="shared" si="40"/>
        <v>УСПЕШНО</v>
      </c>
      <c r="CJ36" s="838" t="str">
        <f t="shared" ca="1" si="41"/>
        <v>-</v>
      </c>
      <c r="CK36" s="831"/>
      <c r="CL36" s="832"/>
      <c r="CM36" s="833" t="str">
        <f t="shared" si="42"/>
        <v>-</v>
      </c>
      <c r="CN36" s="834" t="str">
        <f t="shared" si="43"/>
        <v>-</v>
      </c>
      <c r="CO36" s="830" t="str">
        <f t="shared" ca="1" si="44"/>
        <v>-</v>
      </c>
      <c r="CP36" s="839"/>
      <c r="CQ36" s="832"/>
      <c r="CR36" s="833" t="str">
        <f t="shared" si="45"/>
        <v>-</v>
      </c>
      <c r="CS36" s="833" t="str">
        <f t="shared" si="46"/>
        <v>-</v>
      </c>
      <c r="CT36" s="834" t="str">
        <f t="shared" si="47"/>
        <v>-</v>
      </c>
      <c r="CU36" s="835" t="str">
        <f t="shared" si="48"/>
        <v>-</v>
      </c>
      <c r="CV36" s="839"/>
      <c r="CW36" s="832"/>
      <c r="CX36" s="833" t="str">
        <f t="shared" si="49"/>
        <v>-</v>
      </c>
      <c r="CY36" s="840" t="str">
        <f t="shared" si="50"/>
        <v>-</v>
      </c>
      <c r="CZ36" s="833" t="str">
        <f t="shared" si="51"/>
        <v>-</v>
      </c>
      <c r="DA36" s="838" t="str">
        <f t="shared" ca="1" si="52"/>
        <v>-</v>
      </c>
      <c r="DB36" s="841"/>
      <c r="DC36" s="832"/>
    </row>
    <row r="37" spans="1:107" s="842" customFormat="1" ht="15.95" customHeight="1" x14ac:dyDescent="0.25">
      <c r="A37" s="790">
        <v>35</v>
      </c>
      <c r="B37" s="791">
        <f t="shared" ca="1" si="0"/>
        <v>43134</v>
      </c>
      <c r="C37" s="792" t="s">
        <v>614</v>
      </c>
      <c r="D37" s="793" t="s">
        <v>3201</v>
      </c>
      <c r="E37" s="794" t="s">
        <v>1377</v>
      </c>
      <c r="F37" s="795" t="s">
        <v>1378</v>
      </c>
      <c r="G37" s="796">
        <f>SUMIFS(МОЛОКО!L8:L6958,МОЛОКО!F8:F6958,"14047",МОЛОКО!L8:L6958,"&gt;0")</f>
        <v>23</v>
      </c>
      <c r="H37" s="797" t="s">
        <v>87</v>
      </c>
      <c r="I37" s="798">
        <v>41677</v>
      </c>
      <c r="J37" s="799">
        <f t="shared" ca="1" si="1"/>
        <v>3.9917808219178084</v>
      </c>
      <c r="K37" s="799">
        <f t="shared" ca="1" si="2"/>
        <v>48.56666666666667</v>
      </c>
      <c r="L37" s="800">
        <f t="shared" ca="1" si="3"/>
        <v>1457</v>
      </c>
      <c r="M37" s="801">
        <v>42472</v>
      </c>
      <c r="N37" s="802">
        <v>42844</v>
      </c>
      <c r="O37" s="803">
        <f t="shared" ca="1" si="4"/>
        <v>290</v>
      </c>
      <c r="P37" s="804">
        <v>2</v>
      </c>
      <c r="Q37" s="805" t="s">
        <v>1451</v>
      </c>
      <c r="R37" s="806" t="s">
        <v>2966</v>
      </c>
      <c r="S37" s="807">
        <v>42908</v>
      </c>
      <c r="T37" s="798">
        <v>42949</v>
      </c>
      <c r="U37" s="798" t="str">
        <f t="shared" si="5"/>
        <v>-</v>
      </c>
      <c r="V37" s="804" t="str">
        <f t="shared" ca="1" si="6"/>
        <v>-</v>
      </c>
      <c r="W37" s="808">
        <v>2</v>
      </c>
      <c r="X37" s="794">
        <f t="shared" si="53"/>
        <v>105</v>
      </c>
      <c r="Y37" s="794">
        <v>1</v>
      </c>
      <c r="Z37" s="809" t="str">
        <f t="shared" ca="1" si="8"/>
        <v>-----</v>
      </c>
      <c r="AA37" s="810" t="str">
        <f t="shared" ca="1" si="9"/>
        <v>-----</v>
      </c>
      <c r="AB37" s="804">
        <v>1</v>
      </c>
      <c r="AC37" s="811" t="str">
        <f t="shared" ca="1" si="10"/>
        <v>-----</v>
      </c>
      <c r="AD37" s="798">
        <v>43030</v>
      </c>
      <c r="AE37" s="794" t="str">
        <f t="shared" ca="1" si="11"/>
        <v>-</v>
      </c>
      <c r="AF37" s="798" t="str">
        <f t="shared" si="12"/>
        <v>-</v>
      </c>
      <c r="AG37" s="812" t="str">
        <f t="shared" si="13"/>
        <v>---------</v>
      </c>
      <c r="AH37" s="807">
        <v>42982</v>
      </c>
      <c r="AI37" s="807">
        <f t="shared" si="14"/>
        <v>43139</v>
      </c>
      <c r="AJ37" s="807">
        <f t="shared" si="15"/>
        <v>43169</v>
      </c>
      <c r="AK37" s="813"/>
      <c r="AL37" s="807">
        <f t="shared" si="16"/>
        <v>43208</v>
      </c>
      <c r="AM37" s="807">
        <f t="shared" si="17"/>
        <v>43229</v>
      </c>
      <c r="AN37" s="814">
        <f t="shared" ca="1" si="18"/>
        <v>-95</v>
      </c>
      <c r="AO37" s="815">
        <v>1</v>
      </c>
      <c r="AP37" s="816" t="str">
        <f t="shared" ca="1" si="19"/>
        <v>-</v>
      </c>
      <c r="AQ37" s="817"/>
      <c r="AR37" s="794" t="str">
        <f t="shared" si="20"/>
        <v>-</v>
      </c>
      <c r="AS37" s="818"/>
      <c r="AT37" s="794" t="str">
        <f t="shared" si="21"/>
        <v>-</v>
      </c>
      <c r="AU37" s="819"/>
      <c r="AV37" s="820"/>
      <c r="AW37" s="821"/>
      <c r="AX37" s="821"/>
      <c r="AY37" s="969" t="str">
        <f t="shared" si="22"/>
        <v>-</v>
      </c>
      <c r="AZ37" s="966" t="str">
        <f t="shared" si="23"/>
        <v>-</v>
      </c>
      <c r="BA37" s="971" t="str">
        <f t="shared" si="24"/>
        <v>-</v>
      </c>
      <c r="BB37" s="975"/>
      <c r="BC37" s="821"/>
      <c r="BD37" s="821"/>
      <c r="BE37" s="963" t="str">
        <f t="shared" si="25"/>
        <v>-</v>
      </c>
      <c r="BF37" s="984">
        <v>43033</v>
      </c>
      <c r="BG37" s="988" t="s">
        <v>3353</v>
      </c>
      <c r="BH37" s="986" t="s">
        <v>3354</v>
      </c>
      <c r="BI37" s="991">
        <v>5</v>
      </c>
      <c r="BJ37" s="991" t="s">
        <v>3356</v>
      </c>
      <c r="BK37" s="993">
        <f t="shared" ca="1" si="26"/>
        <v>101</v>
      </c>
      <c r="BL37" s="820">
        <v>42981</v>
      </c>
      <c r="BM37" s="821">
        <v>5</v>
      </c>
      <c r="BN37" s="822">
        <f t="shared" ca="1" si="27"/>
        <v>153</v>
      </c>
      <c r="BO37" s="823">
        <f t="shared" si="28"/>
        <v>43.466666666666669</v>
      </c>
      <c r="BP37" s="824">
        <v>43001</v>
      </c>
      <c r="BQ37" s="821">
        <v>2</v>
      </c>
      <c r="BR37" s="822">
        <f t="shared" ca="1" si="29"/>
        <v>133</v>
      </c>
      <c r="BS37" s="823">
        <f t="shared" si="30"/>
        <v>17.633333333333333</v>
      </c>
      <c r="BT37" s="825" t="str">
        <f t="shared" ca="1" si="31"/>
        <v>-</v>
      </c>
      <c r="BU37" s="826"/>
      <c r="BV37" s="827"/>
      <c r="BW37" s="828" t="str">
        <f t="shared" si="32"/>
        <v>Ж-Е НЕ ВАКЦ.</v>
      </c>
      <c r="BX37" s="829" t="str">
        <f t="shared" si="33"/>
        <v>-</v>
      </c>
      <c r="BY37" s="830" t="str">
        <f t="shared" ca="1" si="34"/>
        <v>-</v>
      </c>
      <c r="BZ37" s="831">
        <v>42887</v>
      </c>
      <c r="CA37" s="832">
        <v>5</v>
      </c>
      <c r="CB37" s="833">
        <f t="shared" ca="1" si="35"/>
        <v>247</v>
      </c>
      <c r="CC37" s="834" t="str">
        <f t="shared" ca="1" si="36"/>
        <v>-</v>
      </c>
      <c r="CD37" s="835">
        <f t="shared" si="37"/>
        <v>42908</v>
      </c>
      <c r="CE37" s="831">
        <v>42908</v>
      </c>
      <c r="CF37" s="832">
        <v>5</v>
      </c>
      <c r="CG37" s="833">
        <f t="shared" ca="1" si="38"/>
        <v>226</v>
      </c>
      <c r="CH37" s="836">
        <f t="shared" si="39"/>
        <v>0</v>
      </c>
      <c r="CI37" s="837" t="str">
        <f t="shared" si="40"/>
        <v>УСПЕШНО</v>
      </c>
      <c r="CJ37" s="838" t="str">
        <f t="shared" ca="1" si="41"/>
        <v>-</v>
      </c>
      <c r="CK37" s="831"/>
      <c r="CL37" s="832"/>
      <c r="CM37" s="833" t="str">
        <f t="shared" si="42"/>
        <v>-</v>
      </c>
      <c r="CN37" s="834" t="str">
        <f t="shared" si="43"/>
        <v>-</v>
      </c>
      <c r="CO37" s="830" t="str">
        <f t="shared" ca="1" si="44"/>
        <v>-</v>
      </c>
      <c r="CP37" s="839"/>
      <c r="CQ37" s="832"/>
      <c r="CR37" s="833" t="str">
        <f t="shared" si="45"/>
        <v>-</v>
      </c>
      <c r="CS37" s="833" t="str">
        <f t="shared" si="46"/>
        <v>-</v>
      </c>
      <c r="CT37" s="834" t="str">
        <f t="shared" si="47"/>
        <v>-</v>
      </c>
      <c r="CU37" s="835" t="str">
        <f t="shared" si="48"/>
        <v>-</v>
      </c>
      <c r="CV37" s="839"/>
      <c r="CW37" s="832"/>
      <c r="CX37" s="833" t="str">
        <f t="shared" si="49"/>
        <v>-</v>
      </c>
      <c r="CY37" s="840" t="str">
        <f t="shared" si="50"/>
        <v>-</v>
      </c>
      <c r="CZ37" s="833" t="str">
        <f t="shared" si="51"/>
        <v>-</v>
      </c>
      <c r="DA37" s="838" t="str">
        <f t="shared" ca="1" si="52"/>
        <v>-</v>
      </c>
      <c r="DB37" s="841"/>
      <c r="DC37" s="832"/>
    </row>
    <row r="38" spans="1:107" s="842" customFormat="1" ht="15.95" customHeight="1" x14ac:dyDescent="0.25">
      <c r="A38" s="790">
        <v>36</v>
      </c>
      <c r="B38" s="791">
        <f t="shared" ca="1" si="0"/>
        <v>43134</v>
      </c>
      <c r="C38" s="792" t="s">
        <v>614</v>
      </c>
      <c r="D38" s="59" t="s">
        <v>3201</v>
      </c>
      <c r="E38" s="794" t="s">
        <v>467</v>
      </c>
      <c r="F38" s="795" t="s">
        <v>468</v>
      </c>
      <c r="G38" s="796">
        <f>SUMIFS(МОЛОКО!L8:L6958,МОЛОКО!F8:F6958,"277912",МОЛОКО!L8:L6958,"&gt;0")</f>
        <v>19.8</v>
      </c>
      <c r="H38" s="797" t="s">
        <v>78</v>
      </c>
      <c r="I38" s="798">
        <v>41259</v>
      </c>
      <c r="J38" s="799">
        <f t="shared" ca="1" si="1"/>
        <v>5.1369863013698627</v>
      </c>
      <c r="K38" s="799">
        <f t="shared" ca="1" si="2"/>
        <v>62.5</v>
      </c>
      <c r="L38" s="800">
        <f t="shared" ca="1" si="3"/>
        <v>1875</v>
      </c>
      <c r="M38" s="801">
        <v>42231</v>
      </c>
      <c r="N38" s="802">
        <v>42679</v>
      </c>
      <c r="O38" s="803">
        <f t="shared" ca="1" si="4"/>
        <v>455</v>
      </c>
      <c r="P38" s="804">
        <v>2</v>
      </c>
      <c r="Q38" s="805" t="s">
        <v>1451</v>
      </c>
      <c r="R38" s="806" t="s">
        <v>2435</v>
      </c>
      <c r="S38" s="807">
        <v>42767</v>
      </c>
      <c r="T38" s="798">
        <v>43022</v>
      </c>
      <c r="U38" s="798">
        <f t="shared" si="5"/>
        <v>43040</v>
      </c>
      <c r="V38" s="804">
        <f t="shared" ca="1" si="6"/>
        <v>94</v>
      </c>
      <c r="W38" s="808">
        <v>6</v>
      </c>
      <c r="X38" s="794">
        <f t="shared" si="53"/>
        <v>343</v>
      </c>
      <c r="Y38" s="794">
        <v>2</v>
      </c>
      <c r="Z38" s="809" t="str">
        <f t="shared" ca="1" si="8"/>
        <v>-----</v>
      </c>
      <c r="AA38" s="810">
        <f t="shared" ca="1" si="9"/>
        <v>112</v>
      </c>
      <c r="AB38" s="804"/>
      <c r="AC38" s="811" t="str">
        <f t="shared" ca="1" si="10"/>
        <v>-----</v>
      </c>
      <c r="AD38" s="798"/>
      <c r="AE38" s="794" t="str">
        <f t="shared" ca="1" si="11"/>
        <v>-</v>
      </c>
      <c r="AF38" s="798">
        <f t="shared" si="12"/>
        <v>43057</v>
      </c>
      <c r="AG38" s="812">
        <f t="shared" ca="1" si="13"/>
        <v>77</v>
      </c>
      <c r="AH38" s="807">
        <v>43052</v>
      </c>
      <c r="AI38" s="807" t="str">
        <f t="shared" si="14"/>
        <v>-</v>
      </c>
      <c r="AJ38" s="807" t="str">
        <f t="shared" si="15"/>
        <v>-</v>
      </c>
      <c r="AK38" s="813"/>
      <c r="AL38" s="807" t="str">
        <f t="shared" si="16"/>
        <v>-</v>
      </c>
      <c r="AM38" s="807" t="str">
        <f t="shared" si="17"/>
        <v>-</v>
      </c>
      <c r="AN38" s="814" t="str">
        <f t="shared" ca="1" si="18"/>
        <v>-</v>
      </c>
      <c r="AO38" s="815">
        <v>1</v>
      </c>
      <c r="AP38" s="816" t="str">
        <f t="shared" ca="1" si="19"/>
        <v>-</v>
      </c>
      <c r="AQ38" s="817"/>
      <c r="AR38" s="794" t="str">
        <f t="shared" si="20"/>
        <v>-</v>
      </c>
      <c r="AS38" s="818"/>
      <c r="AT38" s="794" t="str">
        <f t="shared" si="21"/>
        <v>-</v>
      </c>
      <c r="AU38" s="819"/>
      <c r="AV38" s="820"/>
      <c r="AW38" s="821"/>
      <c r="AX38" s="821"/>
      <c r="AY38" s="969" t="str">
        <f t="shared" si="22"/>
        <v>-</v>
      </c>
      <c r="AZ38" s="966" t="str">
        <f t="shared" si="23"/>
        <v>-</v>
      </c>
      <c r="BA38" s="971" t="str">
        <f t="shared" si="24"/>
        <v>-</v>
      </c>
      <c r="BB38" s="975"/>
      <c r="BC38" s="821"/>
      <c r="BD38" s="821"/>
      <c r="BE38" s="963" t="str">
        <f t="shared" si="25"/>
        <v>-</v>
      </c>
      <c r="BF38" s="984">
        <v>43033</v>
      </c>
      <c r="BG38" s="988" t="s">
        <v>3353</v>
      </c>
      <c r="BH38" s="986" t="s">
        <v>3354</v>
      </c>
      <c r="BI38" s="991">
        <v>5</v>
      </c>
      <c r="BJ38" s="991" t="s">
        <v>3356</v>
      </c>
      <c r="BK38" s="993">
        <f t="shared" ca="1" si="26"/>
        <v>101</v>
      </c>
      <c r="BL38" s="820">
        <v>42981</v>
      </c>
      <c r="BM38" s="821">
        <v>5</v>
      </c>
      <c r="BN38" s="822">
        <f t="shared" ca="1" si="27"/>
        <v>153</v>
      </c>
      <c r="BO38" s="823">
        <f t="shared" si="28"/>
        <v>57.4</v>
      </c>
      <c r="BP38" s="824"/>
      <c r="BQ38" s="821"/>
      <c r="BR38" s="822" t="str">
        <f t="shared" si="29"/>
        <v>-</v>
      </c>
      <c r="BS38" s="823" t="str">
        <f t="shared" si="30"/>
        <v>-</v>
      </c>
      <c r="BT38" s="825" t="str">
        <f t="shared" ca="1" si="31"/>
        <v>-</v>
      </c>
      <c r="BU38" s="826"/>
      <c r="BV38" s="827"/>
      <c r="BW38" s="828" t="str">
        <f t="shared" si="32"/>
        <v>Ж-Е НЕ ВАКЦ.</v>
      </c>
      <c r="BX38" s="829" t="str">
        <f t="shared" si="33"/>
        <v>-</v>
      </c>
      <c r="BY38" s="830" t="str">
        <f t="shared" ca="1" si="34"/>
        <v>-</v>
      </c>
      <c r="BZ38" s="831">
        <v>42904</v>
      </c>
      <c r="CA38" s="832">
        <v>5</v>
      </c>
      <c r="CB38" s="833">
        <f t="shared" ca="1" si="35"/>
        <v>230</v>
      </c>
      <c r="CC38" s="834" t="str">
        <f t="shared" ca="1" si="36"/>
        <v>-</v>
      </c>
      <c r="CD38" s="835">
        <f t="shared" si="37"/>
        <v>42925</v>
      </c>
      <c r="CE38" s="831">
        <v>42925</v>
      </c>
      <c r="CF38" s="832">
        <v>5</v>
      </c>
      <c r="CG38" s="833">
        <f t="shared" ca="1" si="38"/>
        <v>209</v>
      </c>
      <c r="CH38" s="836">
        <f t="shared" si="39"/>
        <v>0</v>
      </c>
      <c r="CI38" s="837" t="str">
        <f t="shared" si="40"/>
        <v>УСПЕШНО</v>
      </c>
      <c r="CJ38" s="838" t="str">
        <f t="shared" ca="1" si="41"/>
        <v>-</v>
      </c>
      <c r="CK38" s="831"/>
      <c r="CL38" s="832"/>
      <c r="CM38" s="833" t="str">
        <f t="shared" si="42"/>
        <v>-</v>
      </c>
      <c r="CN38" s="834" t="str">
        <f t="shared" si="43"/>
        <v>-</v>
      </c>
      <c r="CO38" s="830" t="str">
        <f t="shared" ca="1" si="44"/>
        <v>-</v>
      </c>
      <c r="CP38" s="839"/>
      <c r="CQ38" s="832"/>
      <c r="CR38" s="833" t="str">
        <f t="shared" si="45"/>
        <v>-</v>
      </c>
      <c r="CS38" s="833" t="str">
        <f t="shared" si="46"/>
        <v>-</v>
      </c>
      <c r="CT38" s="834" t="str">
        <f t="shared" si="47"/>
        <v>-</v>
      </c>
      <c r="CU38" s="835" t="str">
        <f t="shared" si="48"/>
        <v>-</v>
      </c>
      <c r="CV38" s="839"/>
      <c r="CW38" s="832"/>
      <c r="CX38" s="833" t="str">
        <f t="shared" si="49"/>
        <v>-</v>
      </c>
      <c r="CY38" s="840" t="str">
        <f t="shared" si="50"/>
        <v>-</v>
      </c>
      <c r="CZ38" s="833" t="str">
        <f t="shared" si="51"/>
        <v>-</v>
      </c>
      <c r="DA38" s="838" t="str">
        <f t="shared" ca="1" si="52"/>
        <v>-</v>
      </c>
      <c r="DB38" s="841"/>
      <c r="DC38" s="832"/>
    </row>
    <row r="39" spans="1:107" s="842" customFormat="1" ht="15.95" customHeight="1" x14ac:dyDescent="0.25">
      <c r="A39" s="790">
        <v>37</v>
      </c>
      <c r="B39" s="791">
        <f t="shared" ca="1" si="0"/>
        <v>43134</v>
      </c>
      <c r="C39" s="792" t="s">
        <v>614</v>
      </c>
      <c r="D39" s="793" t="s">
        <v>3201</v>
      </c>
      <c r="E39" s="794" t="s">
        <v>594</v>
      </c>
      <c r="F39" s="795" t="s">
        <v>595</v>
      </c>
      <c r="G39" s="796">
        <f>SUMIFS(МОЛОКО!L8:L6958,МОЛОКО!F8:F6958,"277953",МОЛОКО!L8:L6958,"&gt;0")</f>
        <v>30.799999999999997</v>
      </c>
      <c r="H39" s="797" t="s">
        <v>78</v>
      </c>
      <c r="I39" s="798">
        <v>41310</v>
      </c>
      <c r="J39" s="799">
        <f t="shared" ca="1" si="1"/>
        <v>4.9972602739726026</v>
      </c>
      <c r="K39" s="799">
        <f t="shared" ca="1" si="2"/>
        <v>60.8</v>
      </c>
      <c r="L39" s="800">
        <f t="shared" ca="1" si="3"/>
        <v>1824</v>
      </c>
      <c r="M39" s="801">
        <v>42165</v>
      </c>
      <c r="N39" s="802">
        <v>42763</v>
      </c>
      <c r="O39" s="803">
        <f t="shared" ca="1" si="4"/>
        <v>371</v>
      </c>
      <c r="P39" s="804">
        <v>2</v>
      </c>
      <c r="Q39" s="805"/>
      <c r="R39" s="806"/>
      <c r="S39" s="807"/>
      <c r="T39" s="798"/>
      <c r="U39" s="798" t="str">
        <f t="shared" si="5"/>
        <v>-</v>
      </c>
      <c r="V39" s="804" t="str">
        <f t="shared" ca="1" si="6"/>
        <v>-</v>
      </c>
      <c r="W39" s="808">
        <v>0</v>
      </c>
      <c r="X39" s="794" t="str">
        <f t="shared" si="53"/>
        <v>-</v>
      </c>
      <c r="Y39" s="794">
        <v>0</v>
      </c>
      <c r="Z39" s="809" t="str">
        <f t="shared" ca="1" si="8"/>
        <v>-----</v>
      </c>
      <c r="AA39" s="810">
        <f t="shared" ca="1" si="9"/>
        <v>43134</v>
      </c>
      <c r="AB39" s="804"/>
      <c r="AC39" s="811" t="str">
        <f t="shared" ca="1" si="10"/>
        <v>-----</v>
      </c>
      <c r="AD39" s="798"/>
      <c r="AE39" s="794" t="str">
        <f t="shared" ca="1" si="11"/>
        <v>яловая</v>
      </c>
      <c r="AF39" s="798" t="str">
        <f t="shared" si="12"/>
        <v>-</v>
      </c>
      <c r="AG39" s="812" t="str">
        <f t="shared" si="13"/>
        <v>---------</v>
      </c>
      <c r="AH39" s="807"/>
      <c r="AI39" s="807" t="str">
        <f t="shared" si="14"/>
        <v>-</v>
      </c>
      <c r="AJ39" s="807" t="str">
        <f t="shared" si="15"/>
        <v>-</v>
      </c>
      <c r="AK39" s="813"/>
      <c r="AL39" s="807" t="str">
        <f t="shared" si="16"/>
        <v>-</v>
      </c>
      <c r="AM39" s="807" t="str">
        <f t="shared" si="17"/>
        <v>-</v>
      </c>
      <c r="AN39" s="814" t="str">
        <f t="shared" ca="1" si="18"/>
        <v>-</v>
      </c>
      <c r="AO39" s="815">
        <v>1</v>
      </c>
      <c r="AP39" s="816" t="str">
        <f t="shared" ca="1" si="19"/>
        <v>БРАК</v>
      </c>
      <c r="AQ39" s="817" t="s">
        <v>2666</v>
      </c>
      <c r="AR39" s="794" t="str">
        <f t="shared" si="20"/>
        <v>-</v>
      </c>
      <c r="AS39" s="818"/>
      <c r="AT39" s="794" t="str">
        <f t="shared" si="21"/>
        <v>-</v>
      </c>
      <c r="AU39" s="819"/>
      <c r="AV39" s="820"/>
      <c r="AW39" s="821"/>
      <c r="AX39" s="821"/>
      <c r="AY39" s="969" t="str">
        <f t="shared" si="22"/>
        <v>-</v>
      </c>
      <c r="AZ39" s="966" t="str">
        <f t="shared" si="23"/>
        <v>-</v>
      </c>
      <c r="BA39" s="971" t="str">
        <f t="shared" si="24"/>
        <v>-</v>
      </c>
      <c r="BB39" s="975"/>
      <c r="BC39" s="821"/>
      <c r="BD39" s="821"/>
      <c r="BE39" s="963" t="str">
        <f t="shared" si="25"/>
        <v>-</v>
      </c>
      <c r="BF39" s="984">
        <v>43033</v>
      </c>
      <c r="BG39" s="988" t="s">
        <v>3353</v>
      </c>
      <c r="BH39" s="986" t="s">
        <v>3354</v>
      </c>
      <c r="BI39" s="991">
        <v>5</v>
      </c>
      <c r="BJ39" s="991" t="s">
        <v>3356</v>
      </c>
      <c r="BK39" s="993">
        <f t="shared" ca="1" si="26"/>
        <v>101</v>
      </c>
      <c r="BL39" s="820">
        <v>42980</v>
      </c>
      <c r="BM39" s="821">
        <v>5</v>
      </c>
      <c r="BN39" s="822">
        <f t="shared" ca="1" si="27"/>
        <v>154</v>
      </c>
      <c r="BO39" s="823">
        <f t="shared" si="28"/>
        <v>55.666666666666664</v>
      </c>
      <c r="BP39" s="824"/>
      <c r="BQ39" s="821"/>
      <c r="BR39" s="822" t="str">
        <f t="shared" si="29"/>
        <v>-</v>
      </c>
      <c r="BS39" s="823" t="str">
        <f t="shared" si="30"/>
        <v>-</v>
      </c>
      <c r="BT39" s="825" t="str">
        <f t="shared" ca="1" si="31"/>
        <v>-</v>
      </c>
      <c r="BU39" s="826"/>
      <c r="BV39" s="827"/>
      <c r="BW39" s="828" t="str">
        <f t="shared" si="32"/>
        <v>Ж-Е НЕ ВАКЦ.</v>
      </c>
      <c r="BX39" s="829" t="str">
        <f t="shared" si="33"/>
        <v>-</v>
      </c>
      <c r="BY39" s="830" t="str">
        <f t="shared" ca="1" si="34"/>
        <v>-</v>
      </c>
      <c r="BZ39" s="831">
        <v>42887</v>
      </c>
      <c r="CA39" s="832">
        <v>5</v>
      </c>
      <c r="CB39" s="833">
        <f t="shared" ca="1" si="35"/>
        <v>247</v>
      </c>
      <c r="CC39" s="834" t="str">
        <f t="shared" ca="1" si="36"/>
        <v>-</v>
      </c>
      <c r="CD39" s="835">
        <f t="shared" si="37"/>
        <v>42908</v>
      </c>
      <c r="CE39" s="831">
        <v>42908</v>
      </c>
      <c r="CF39" s="832">
        <v>5</v>
      </c>
      <c r="CG39" s="833">
        <f t="shared" ca="1" si="38"/>
        <v>226</v>
      </c>
      <c r="CH39" s="836">
        <f t="shared" si="39"/>
        <v>0</v>
      </c>
      <c r="CI39" s="837" t="str">
        <f t="shared" si="40"/>
        <v>УСПЕШНО</v>
      </c>
      <c r="CJ39" s="838" t="str">
        <f t="shared" ca="1" si="41"/>
        <v>-</v>
      </c>
      <c r="CK39" s="831"/>
      <c r="CL39" s="832"/>
      <c r="CM39" s="833" t="str">
        <f t="shared" si="42"/>
        <v>-</v>
      </c>
      <c r="CN39" s="834" t="str">
        <f t="shared" si="43"/>
        <v>-</v>
      </c>
      <c r="CO39" s="830" t="str">
        <f t="shared" ca="1" si="44"/>
        <v>-</v>
      </c>
      <c r="CP39" s="839"/>
      <c r="CQ39" s="832"/>
      <c r="CR39" s="833" t="str">
        <f t="shared" si="45"/>
        <v>-</v>
      </c>
      <c r="CS39" s="833" t="str">
        <f t="shared" si="46"/>
        <v>-</v>
      </c>
      <c r="CT39" s="834" t="str">
        <f t="shared" si="47"/>
        <v>-</v>
      </c>
      <c r="CU39" s="835" t="str">
        <f t="shared" si="48"/>
        <v>-</v>
      </c>
      <c r="CV39" s="839"/>
      <c r="CW39" s="832"/>
      <c r="CX39" s="833" t="str">
        <f t="shared" si="49"/>
        <v>-</v>
      </c>
      <c r="CY39" s="840" t="str">
        <f t="shared" si="50"/>
        <v>-</v>
      </c>
      <c r="CZ39" s="833" t="str">
        <f t="shared" si="51"/>
        <v>-</v>
      </c>
      <c r="DA39" s="838" t="str">
        <f t="shared" ca="1" si="52"/>
        <v>-</v>
      </c>
      <c r="DB39" s="841"/>
      <c r="DC39" s="832"/>
    </row>
    <row r="40" spans="1:107" s="842" customFormat="1" ht="15.95" customHeight="1" x14ac:dyDescent="0.25">
      <c r="A40" s="790">
        <v>38</v>
      </c>
      <c r="B40" s="791">
        <f t="shared" ca="1" si="0"/>
        <v>43134</v>
      </c>
      <c r="C40" s="792" t="s">
        <v>614</v>
      </c>
      <c r="D40" s="793" t="s">
        <v>3202</v>
      </c>
      <c r="E40" s="794" t="s">
        <v>120</v>
      </c>
      <c r="F40" s="795" t="s">
        <v>121</v>
      </c>
      <c r="G40" s="796">
        <f>SUMIFS(МОЛОКО!L8:L6958,МОЛОКО!F8:F6958,"44",МОЛОКО!L8:L6958,"&gt;0")</f>
        <v>28.2</v>
      </c>
      <c r="H40" s="797" t="s">
        <v>603</v>
      </c>
      <c r="I40" s="798">
        <v>40492</v>
      </c>
      <c r="J40" s="799">
        <f t="shared" ca="1" si="1"/>
        <v>7.2383561643835614</v>
      </c>
      <c r="K40" s="799">
        <f t="shared" ca="1" si="2"/>
        <v>88.066666666666663</v>
      </c>
      <c r="L40" s="800">
        <f t="shared" ca="1" si="3"/>
        <v>2642</v>
      </c>
      <c r="M40" s="801">
        <v>41424</v>
      </c>
      <c r="N40" s="802">
        <v>42872</v>
      </c>
      <c r="O40" s="803">
        <f t="shared" ca="1" si="4"/>
        <v>262</v>
      </c>
      <c r="P40" s="804">
        <v>5</v>
      </c>
      <c r="Q40" s="805" t="s">
        <v>1451</v>
      </c>
      <c r="R40" s="806" t="s">
        <v>2966</v>
      </c>
      <c r="S40" s="807">
        <v>42936</v>
      </c>
      <c r="T40" s="798">
        <v>43021</v>
      </c>
      <c r="U40" s="798" t="str">
        <f t="shared" si="5"/>
        <v>-</v>
      </c>
      <c r="V40" s="804" t="str">
        <f t="shared" ca="1" si="6"/>
        <v>-</v>
      </c>
      <c r="W40" s="808">
        <v>3</v>
      </c>
      <c r="X40" s="794">
        <f t="shared" si="53"/>
        <v>149</v>
      </c>
      <c r="Y40" s="794">
        <v>1</v>
      </c>
      <c r="Z40" s="809" t="str">
        <f t="shared" ca="1" si="8"/>
        <v>ПОДЛЕЖИТ ПЕРЕПРОВЕРКЕ</v>
      </c>
      <c r="AA40" s="810">
        <f t="shared" ca="1" si="9"/>
        <v>113</v>
      </c>
      <c r="AB40" s="804"/>
      <c r="AC40" s="811">
        <f t="shared" ca="1" si="10"/>
        <v>43093</v>
      </c>
      <c r="AD40" s="798"/>
      <c r="AE40" s="794" t="str">
        <f t="shared" ca="1" si="11"/>
        <v>-</v>
      </c>
      <c r="AF40" s="798" t="str">
        <f t="shared" si="12"/>
        <v>-</v>
      </c>
      <c r="AG40" s="812" t="str">
        <f t="shared" si="13"/>
        <v>---------</v>
      </c>
      <c r="AH40" s="807">
        <v>43052</v>
      </c>
      <c r="AI40" s="807">
        <f t="shared" si="14"/>
        <v>43211</v>
      </c>
      <c r="AJ40" s="807">
        <f t="shared" si="15"/>
        <v>43241</v>
      </c>
      <c r="AK40" s="813"/>
      <c r="AL40" s="807">
        <f t="shared" si="16"/>
        <v>43280</v>
      </c>
      <c r="AM40" s="807">
        <f t="shared" si="17"/>
        <v>43301</v>
      </c>
      <c r="AN40" s="814">
        <f t="shared" ca="1" si="18"/>
        <v>-167</v>
      </c>
      <c r="AO40" s="815">
        <v>1</v>
      </c>
      <c r="AP40" s="816" t="str">
        <f t="shared" ca="1" si="19"/>
        <v>-</v>
      </c>
      <c r="AQ40" s="817"/>
      <c r="AR40" s="794" t="str">
        <f t="shared" si="20"/>
        <v>-</v>
      </c>
      <c r="AS40" s="818"/>
      <c r="AT40" s="794" t="str">
        <f t="shared" si="21"/>
        <v>-</v>
      </c>
      <c r="AU40" s="819"/>
      <c r="AV40" s="820"/>
      <c r="AW40" s="821"/>
      <c r="AX40" s="821"/>
      <c r="AY40" s="969" t="str">
        <f t="shared" si="22"/>
        <v>-</v>
      </c>
      <c r="AZ40" s="966" t="str">
        <f t="shared" si="23"/>
        <v>-</v>
      </c>
      <c r="BA40" s="971" t="str">
        <f t="shared" si="24"/>
        <v>-</v>
      </c>
      <c r="BB40" s="975"/>
      <c r="BC40" s="821"/>
      <c r="BD40" s="821"/>
      <c r="BE40" s="963" t="str">
        <f t="shared" si="25"/>
        <v>-</v>
      </c>
      <c r="BF40" s="984"/>
      <c r="BG40" s="988"/>
      <c r="BH40" s="982"/>
      <c r="BI40" s="991"/>
      <c r="BJ40" s="991"/>
      <c r="BK40" s="993" t="str">
        <f t="shared" si="26"/>
        <v>-</v>
      </c>
      <c r="BL40" s="820">
        <v>42980</v>
      </c>
      <c r="BM40" s="821">
        <v>5</v>
      </c>
      <c r="BN40" s="822">
        <f t="shared" ca="1" si="27"/>
        <v>154</v>
      </c>
      <c r="BO40" s="823">
        <f t="shared" si="28"/>
        <v>82.933333333333337</v>
      </c>
      <c r="BP40" s="824"/>
      <c r="BQ40" s="821"/>
      <c r="BR40" s="822" t="str">
        <f t="shared" si="29"/>
        <v>-</v>
      </c>
      <c r="BS40" s="823" t="str">
        <f t="shared" si="30"/>
        <v>-</v>
      </c>
      <c r="BT40" s="825" t="str">
        <f t="shared" ca="1" si="31"/>
        <v>-</v>
      </c>
      <c r="BU40" s="826"/>
      <c r="BV40" s="827"/>
      <c r="BW40" s="828" t="str">
        <f t="shared" si="32"/>
        <v>Ж-Е НЕ ВАКЦ.</v>
      </c>
      <c r="BX40" s="829" t="str">
        <f t="shared" si="33"/>
        <v>-</v>
      </c>
      <c r="BY40" s="830" t="str">
        <f t="shared" ca="1" si="34"/>
        <v>-</v>
      </c>
      <c r="BZ40" s="831">
        <v>42904</v>
      </c>
      <c r="CA40" s="832">
        <v>5</v>
      </c>
      <c r="CB40" s="833">
        <f t="shared" ca="1" si="35"/>
        <v>230</v>
      </c>
      <c r="CC40" s="834" t="str">
        <f t="shared" ca="1" si="36"/>
        <v>-</v>
      </c>
      <c r="CD40" s="835">
        <f t="shared" si="37"/>
        <v>42925</v>
      </c>
      <c r="CE40" s="831">
        <v>42925</v>
      </c>
      <c r="CF40" s="832">
        <v>5</v>
      </c>
      <c r="CG40" s="833">
        <f t="shared" ca="1" si="38"/>
        <v>209</v>
      </c>
      <c r="CH40" s="836">
        <f t="shared" si="39"/>
        <v>0</v>
      </c>
      <c r="CI40" s="837" t="str">
        <f t="shared" si="40"/>
        <v>УСПЕШНО</v>
      </c>
      <c r="CJ40" s="838" t="str">
        <f t="shared" ca="1" si="41"/>
        <v>-</v>
      </c>
      <c r="CK40" s="831"/>
      <c r="CL40" s="832"/>
      <c r="CM40" s="833" t="str">
        <f t="shared" si="42"/>
        <v>-</v>
      </c>
      <c r="CN40" s="834" t="str">
        <f t="shared" si="43"/>
        <v>-</v>
      </c>
      <c r="CO40" s="830" t="str">
        <f t="shared" ca="1" si="44"/>
        <v>-</v>
      </c>
      <c r="CP40" s="839"/>
      <c r="CQ40" s="832"/>
      <c r="CR40" s="833" t="str">
        <f t="shared" si="45"/>
        <v>-</v>
      </c>
      <c r="CS40" s="833" t="str">
        <f t="shared" si="46"/>
        <v>-</v>
      </c>
      <c r="CT40" s="834" t="str">
        <f t="shared" si="47"/>
        <v>-</v>
      </c>
      <c r="CU40" s="835" t="str">
        <f t="shared" si="48"/>
        <v>-</v>
      </c>
      <c r="CV40" s="839"/>
      <c r="CW40" s="832"/>
      <c r="CX40" s="833" t="str">
        <f t="shared" si="49"/>
        <v>-</v>
      </c>
      <c r="CY40" s="840" t="str">
        <f t="shared" si="50"/>
        <v>-</v>
      </c>
      <c r="CZ40" s="833" t="str">
        <f t="shared" si="51"/>
        <v>-</v>
      </c>
      <c r="DA40" s="838" t="str">
        <f t="shared" ca="1" si="52"/>
        <v>-</v>
      </c>
      <c r="DB40" s="841"/>
      <c r="DC40" s="832"/>
    </row>
    <row r="41" spans="1:107" s="842" customFormat="1" ht="15.95" customHeight="1" x14ac:dyDescent="0.25">
      <c r="A41" s="790">
        <v>39</v>
      </c>
      <c r="B41" s="791">
        <f t="shared" ca="1" si="0"/>
        <v>43134</v>
      </c>
      <c r="C41" s="792" t="s">
        <v>614</v>
      </c>
      <c r="D41" s="793" t="s">
        <v>3202</v>
      </c>
      <c r="E41" s="794" t="s">
        <v>806</v>
      </c>
      <c r="F41" s="795" t="s">
        <v>807</v>
      </c>
      <c r="G41" s="796">
        <f>SUMIFS(МОЛОКО!L8:L6958,МОЛОКО!F8:F6958,"1303",МОЛОКО!L8:L6958,"&gt;0")</f>
        <v>38</v>
      </c>
      <c r="H41" s="797" t="s">
        <v>603</v>
      </c>
      <c r="I41" s="798">
        <v>40676</v>
      </c>
      <c r="J41" s="799">
        <f t="shared" ca="1" si="1"/>
        <v>6.7342465753424658</v>
      </c>
      <c r="K41" s="799">
        <f t="shared" ca="1" si="2"/>
        <v>81.933333333333337</v>
      </c>
      <c r="L41" s="800">
        <f t="shared" ca="1" si="3"/>
        <v>2458</v>
      </c>
      <c r="M41" s="801">
        <v>41736</v>
      </c>
      <c r="N41" s="802">
        <v>42996</v>
      </c>
      <c r="O41" s="803">
        <f t="shared" ca="1" si="4"/>
        <v>138</v>
      </c>
      <c r="P41" s="804">
        <v>4</v>
      </c>
      <c r="Q41" s="68" t="s">
        <v>1451</v>
      </c>
      <c r="R41" s="118" t="s">
        <v>2962</v>
      </c>
      <c r="S41" s="807">
        <v>43055</v>
      </c>
      <c r="T41" s="798">
        <v>43055</v>
      </c>
      <c r="U41" s="798">
        <f t="shared" si="5"/>
        <v>43073</v>
      </c>
      <c r="V41" s="804">
        <f t="shared" ca="1" si="6"/>
        <v>61</v>
      </c>
      <c r="W41" s="808">
        <v>1</v>
      </c>
      <c r="X41" s="794">
        <f t="shared" si="53"/>
        <v>59</v>
      </c>
      <c r="Y41" s="794">
        <v>3</v>
      </c>
      <c r="Z41" s="809" t="str">
        <f t="shared" ca="1" si="8"/>
        <v>-----</v>
      </c>
      <c r="AA41" s="810">
        <f t="shared" ca="1" si="9"/>
        <v>79</v>
      </c>
      <c r="AB41" s="804"/>
      <c r="AC41" s="811" t="str">
        <f t="shared" ca="1" si="10"/>
        <v>-----</v>
      </c>
      <c r="AD41" s="798"/>
      <c r="AE41" s="794" t="str">
        <f t="shared" ca="1" si="11"/>
        <v>-</v>
      </c>
      <c r="AF41" s="798">
        <f t="shared" si="12"/>
        <v>43090</v>
      </c>
      <c r="AG41" s="812">
        <f t="shared" ca="1" si="13"/>
        <v>44</v>
      </c>
      <c r="AH41" s="807"/>
      <c r="AI41" s="807" t="str">
        <f t="shared" si="14"/>
        <v>-</v>
      </c>
      <c r="AJ41" s="807" t="str">
        <f t="shared" si="15"/>
        <v>-</v>
      </c>
      <c r="AK41" s="813"/>
      <c r="AL41" s="807" t="str">
        <f t="shared" si="16"/>
        <v>-</v>
      </c>
      <c r="AM41" s="807" t="str">
        <f t="shared" si="17"/>
        <v>-</v>
      </c>
      <c r="AN41" s="814" t="str">
        <f t="shared" ca="1" si="18"/>
        <v>-</v>
      </c>
      <c r="AO41" s="815">
        <v>1</v>
      </c>
      <c r="AP41" s="816" t="str">
        <f t="shared" ca="1" si="19"/>
        <v>-</v>
      </c>
      <c r="AQ41" s="817"/>
      <c r="AR41" s="794" t="str">
        <f t="shared" si="20"/>
        <v>-</v>
      </c>
      <c r="AS41" s="818"/>
      <c r="AT41" s="794" t="str">
        <f t="shared" si="21"/>
        <v>-</v>
      </c>
      <c r="AU41" s="819"/>
      <c r="AV41" s="820"/>
      <c r="AW41" s="821"/>
      <c r="AX41" s="821"/>
      <c r="AY41" s="969" t="str">
        <f t="shared" si="22"/>
        <v>-</v>
      </c>
      <c r="AZ41" s="966" t="str">
        <f t="shared" si="23"/>
        <v>-</v>
      </c>
      <c r="BA41" s="971" t="str">
        <f t="shared" si="24"/>
        <v>-</v>
      </c>
      <c r="BB41" s="975"/>
      <c r="BC41" s="821"/>
      <c r="BD41" s="821"/>
      <c r="BE41" s="963" t="str">
        <f t="shared" si="25"/>
        <v>-</v>
      </c>
      <c r="BF41" s="984"/>
      <c r="BG41" s="988"/>
      <c r="BH41" s="982"/>
      <c r="BI41" s="991"/>
      <c r="BJ41" s="991"/>
      <c r="BK41" s="993" t="str">
        <f t="shared" si="26"/>
        <v>-</v>
      </c>
      <c r="BL41" s="820">
        <v>42978</v>
      </c>
      <c r="BM41" s="821">
        <v>5</v>
      </c>
      <c r="BN41" s="822">
        <f t="shared" ca="1" si="27"/>
        <v>156</v>
      </c>
      <c r="BO41" s="823">
        <f t="shared" si="28"/>
        <v>76.733333333333334</v>
      </c>
      <c r="BP41" s="824"/>
      <c r="BQ41" s="821"/>
      <c r="BR41" s="822" t="str">
        <f t="shared" si="29"/>
        <v>-</v>
      </c>
      <c r="BS41" s="823" t="str">
        <f t="shared" si="30"/>
        <v>-</v>
      </c>
      <c r="BT41" s="825" t="str">
        <f t="shared" ca="1" si="31"/>
        <v>-</v>
      </c>
      <c r="BU41" s="826"/>
      <c r="BV41" s="827"/>
      <c r="BW41" s="828" t="str">
        <f t="shared" si="32"/>
        <v>Ж-Е НЕ ВАКЦ.</v>
      </c>
      <c r="BX41" s="829" t="str">
        <f t="shared" si="33"/>
        <v>-</v>
      </c>
      <c r="BY41" s="830" t="str">
        <f t="shared" ca="1" si="34"/>
        <v>-</v>
      </c>
      <c r="BZ41" s="831">
        <v>42887</v>
      </c>
      <c r="CA41" s="832">
        <v>5</v>
      </c>
      <c r="CB41" s="833">
        <f t="shared" ca="1" si="35"/>
        <v>247</v>
      </c>
      <c r="CC41" s="834" t="str">
        <f t="shared" ca="1" si="36"/>
        <v>-</v>
      </c>
      <c r="CD41" s="835">
        <f t="shared" si="37"/>
        <v>42908</v>
      </c>
      <c r="CE41" s="831">
        <v>42908</v>
      </c>
      <c r="CF41" s="832">
        <v>5</v>
      </c>
      <c r="CG41" s="833">
        <f t="shared" ca="1" si="38"/>
        <v>226</v>
      </c>
      <c r="CH41" s="836">
        <f t="shared" si="39"/>
        <v>0</v>
      </c>
      <c r="CI41" s="837" t="str">
        <f t="shared" si="40"/>
        <v>УСПЕШНО</v>
      </c>
      <c r="CJ41" s="838" t="str">
        <f t="shared" ca="1" si="41"/>
        <v>-</v>
      </c>
      <c r="CK41" s="831"/>
      <c r="CL41" s="832"/>
      <c r="CM41" s="833" t="str">
        <f t="shared" si="42"/>
        <v>-</v>
      </c>
      <c r="CN41" s="834" t="str">
        <f t="shared" si="43"/>
        <v>-</v>
      </c>
      <c r="CO41" s="830" t="str">
        <f t="shared" ca="1" si="44"/>
        <v>-</v>
      </c>
      <c r="CP41" s="831">
        <v>42941</v>
      </c>
      <c r="CQ41" s="832">
        <v>2</v>
      </c>
      <c r="CR41" s="833">
        <f t="shared" si="45"/>
        <v>-114</v>
      </c>
      <c r="CS41" s="833">
        <f t="shared" ca="1" si="46"/>
        <v>193</v>
      </c>
      <c r="CT41" s="834" t="str">
        <f t="shared" ca="1" si="47"/>
        <v>-</v>
      </c>
      <c r="CU41" s="835">
        <f t="shared" si="48"/>
        <v>42962</v>
      </c>
      <c r="CV41" s="831">
        <v>42962</v>
      </c>
      <c r="CW41" s="832">
        <v>2</v>
      </c>
      <c r="CX41" s="833">
        <f t="shared" si="49"/>
        <v>0</v>
      </c>
      <c r="CY41" s="840" t="str">
        <f t="shared" si="50"/>
        <v>УСПЕШНО</v>
      </c>
      <c r="CZ41" s="833">
        <f t="shared" si="51"/>
        <v>-93</v>
      </c>
      <c r="DA41" s="838" t="str">
        <f t="shared" ca="1" si="52"/>
        <v>-</v>
      </c>
      <c r="DB41" s="841"/>
      <c r="DC41" s="832"/>
    </row>
    <row r="42" spans="1:107" s="842" customFormat="1" ht="15.95" customHeight="1" x14ac:dyDescent="0.25">
      <c r="A42" s="790">
        <v>40</v>
      </c>
      <c r="B42" s="791">
        <f t="shared" ca="1" si="0"/>
        <v>43134</v>
      </c>
      <c r="C42" s="792" t="s">
        <v>614</v>
      </c>
      <c r="D42" s="793" t="s">
        <v>3202</v>
      </c>
      <c r="E42" s="794" t="s">
        <v>336</v>
      </c>
      <c r="F42" s="795" t="s">
        <v>824</v>
      </c>
      <c r="G42" s="796">
        <f>SUMIFS(МОЛОКО!L8:L6958,МОЛОКО!F8:F6958,"1530",МОЛОКО!L8:L6958,"&gt;0")</f>
        <v>24.799999999999997</v>
      </c>
      <c r="H42" s="797" t="s">
        <v>603</v>
      </c>
      <c r="I42" s="798">
        <v>41022</v>
      </c>
      <c r="J42" s="799">
        <f t="shared" ca="1" si="1"/>
        <v>5.7863013698630139</v>
      </c>
      <c r="K42" s="799">
        <f t="shared" ca="1" si="2"/>
        <v>70.400000000000006</v>
      </c>
      <c r="L42" s="800">
        <f t="shared" ca="1" si="3"/>
        <v>2112</v>
      </c>
      <c r="M42" s="801">
        <v>41734</v>
      </c>
      <c r="N42" s="802">
        <v>42968</v>
      </c>
      <c r="O42" s="803">
        <f t="shared" ca="1" si="4"/>
        <v>166</v>
      </c>
      <c r="P42" s="804">
        <v>4</v>
      </c>
      <c r="Q42" s="68" t="s">
        <v>1451</v>
      </c>
      <c r="R42" s="118" t="s">
        <v>2966</v>
      </c>
      <c r="S42" s="807">
        <v>43034</v>
      </c>
      <c r="T42" s="798">
        <v>43034</v>
      </c>
      <c r="U42" s="798">
        <f t="shared" si="5"/>
        <v>43052</v>
      </c>
      <c r="V42" s="804">
        <f t="shared" ca="1" si="6"/>
        <v>82</v>
      </c>
      <c r="W42" s="808">
        <v>1</v>
      </c>
      <c r="X42" s="794">
        <f t="shared" si="53"/>
        <v>66</v>
      </c>
      <c r="Y42" s="794">
        <v>3</v>
      </c>
      <c r="Z42" s="809" t="str">
        <f t="shared" ca="1" si="8"/>
        <v>-----</v>
      </c>
      <c r="AA42" s="810">
        <f t="shared" ca="1" si="9"/>
        <v>100</v>
      </c>
      <c r="AB42" s="804"/>
      <c r="AC42" s="811" t="str">
        <f t="shared" ca="1" si="10"/>
        <v>-----</v>
      </c>
      <c r="AD42" s="798"/>
      <c r="AE42" s="794" t="str">
        <f t="shared" ca="1" si="11"/>
        <v>-</v>
      </c>
      <c r="AF42" s="798">
        <f t="shared" si="12"/>
        <v>43069</v>
      </c>
      <c r="AG42" s="812">
        <f t="shared" ca="1" si="13"/>
        <v>65</v>
      </c>
      <c r="AH42" s="807"/>
      <c r="AI42" s="807" t="str">
        <f t="shared" si="14"/>
        <v>-</v>
      </c>
      <c r="AJ42" s="807" t="str">
        <f t="shared" si="15"/>
        <v>-</v>
      </c>
      <c r="AK42" s="813"/>
      <c r="AL42" s="807" t="str">
        <f t="shared" si="16"/>
        <v>-</v>
      </c>
      <c r="AM42" s="807" t="str">
        <f t="shared" si="17"/>
        <v>-</v>
      </c>
      <c r="AN42" s="814" t="str">
        <f t="shared" ca="1" si="18"/>
        <v>-</v>
      </c>
      <c r="AO42" s="815">
        <v>1</v>
      </c>
      <c r="AP42" s="816" t="str">
        <f t="shared" ca="1" si="19"/>
        <v>-</v>
      </c>
      <c r="AQ42" s="817"/>
      <c r="AR42" s="794" t="str">
        <f t="shared" si="20"/>
        <v>-</v>
      </c>
      <c r="AS42" s="818"/>
      <c r="AT42" s="794" t="str">
        <f t="shared" si="21"/>
        <v>-</v>
      </c>
      <c r="AU42" s="819"/>
      <c r="AV42" s="820"/>
      <c r="AW42" s="821"/>
      <c r="AX42" s="821"/>
      <c r="AY42" s="969" t="str">
        <f t="shared" si="22"/>
        <v>-</v>
      </c>
      <c r="AZ42" s="966" t="str">
        <f t="shared" si="23"/>
        <v>-</v>
      </c>
      <c r="BA42" s="971" t="str">
        <f t="shared" si="24"/>
        <v>-</v>
      </c>
      <c r="BB42" s="975"/>
      <c r="BC42" s="821"/>
      <c r="BD42" s="821"/>
      <c r="BE42" s="963" t="str">
        <f t="shared" si="25"/>
        <v>-</v>
      </c>
      <c r="BF42" s="984">
        <v>43033</v>
      </c>
      <c r="BG42" s="988" t="s">
        <v>3353</v>
      </c>
      <c r="BH42" s="986" t="s">
        <v>3354</v>
      </c>
      <c r="BI42" s="991">
        <v>5</v>
      </c>
      <c r="BJ42" s="991" t="s">
        <v>3356</v>
      </c>
      <c r="BK42" s="993">
        <f t="shared" ca="1" si="26"/>
        <v>101</v>
      </c>
      <c r="BL42" s="820">
        <v>42982</v>
      </c>
      <c r="BM42" s="821">
        <v>5</v>
      </c>
      <c r="BN42" s="822">
        <f t="shared" ca="1" si="27"/>
        <v>152</v>
      </c>
      <c r="BO42" s="823">
        <f t="shared" si="28"/>
        <v>65.333333333333329</v>
      </c>
      <c r="BP42" s="824"/>
      <c r="BQ42" s="821"/>
      <c r="BR42" s="822" t="str">
        <f t="shared" si="29"/>
        <v>-</v>
      </c>
      <c r="BS42" s="823" t="str">
        <f t="shared" si="30"/>
        <v>-</v>
      </c>
      <c r="BT42" s="825" t="str">
        <f t="shared" ca="1" si="31"/>
        <v>-</v>
      </c>
      <c r="BU42" s="826"/>
      <c r="BV42" s="827"/>
      <c r="BW42" s="828" t="str">
        <f t="shared" si="32"/>
        <v>Ж-Е НЕ ВАКЦ.</v>
      </c>
      <c r="BX42" s="829" t="str">
        <f t="shared" si="33"/>
        <v>-</v>
      </c>
      <c r="BY42" s="830" t="str">
        <f t="shared" ca="1" si="34"/>
        <v>-</v>
      </c>
      <c r="BZ42" s="831">
        <v>42964</v>
      </c>
      <c r="CA42" s="832">
        <v>5</v>
      </c>
      <c r="CB42" s="833">
        <f t="shared" ca="1" si="35"/>
        <v>170</v>
      </c>
      <c r="CC42" s="834" t="str">
        <f t="shared" ca="1" si="36"/>
        <v>-</v>
      </c>
      <c r="CD42" s="835">
        <f t="shared" si="37"/>
        <v>42985</v>
      </c>
      <c r="CE42" s="831">
        <v>42985</v>
      </c>
      <c r="CF42" s="832">
        <v>5</v>
      </c>
      <c r="CG42" s="833">
        <f t="shared" ca="1" si="38"/>
        <v>149</v>
      </c>
      <c r="CH42" s="836">
        <f t="shared" si="39"/>
        <v>0</v>
      </c>
      <c r="CI42" s="837" t="str">
        <f t="shared" si="40"/>
        <v>УСПЕШНО</v>
      </c>
      <c r="CJ42" s="838" t="str">
        <f t="shared" ca="1" si="41"/>
        <v>-</v>
      </c>
      <c r="CK42" s="831"/>
      <c r="CL42" s="832"/>
      <c r="CM42" s="833" t="str">
        <f t="shared" si="42"/>
        <v>-</v>
      </c>
      <c r="CN42" s="834" t="str">
        <f t="shared" si="43"/>
        <v>-</v>
      </c>
      <c r="CO42" s="830" t="str">
        <f t="shared" ca="1" si="44"/>
        <v>-</v>
      </c>
      <c r="CP42" s="831">
        <v>42890</v>
      </c>
      <c r="CQ42" s="832">
        <v>2</v>
      </c>
      <c r="CR42" s="833">
        <f t="shared" si="45"/>
        <v>-144</v>
      </c>
      <c r="CS42" s="833">
        <f t="shared" ca="1" si="46"/>
        <v>244</v>
      </c>
      <c r="CT42" s="834" t="str">
        <f t="shared" ca="1" si="47"/>
        <v>-</v>
      </c>
      <c r="CU42" s="835">
        <f t="shared" si="48"/>
        <v>42911</v>
      </c>
      <c r="CV42" s="831">
        <v>42911</v>
      </c>
      <c r="CW42" s="832">
        <v>2</v>
      </c>
      <c r="CX42" s="833">
        <f t="shared" si="49"/>
        <v>0</v>
      </c>
      <c r="CY42" s="840" t="str">
        <f t="shared" si="50"/>
        <v>УСПЕШНО</v>
      </c>
      <c r="CZ42" s="833">
        <f t="shared" si="51"/>
        <v>-123</v>
      </c>
      <c r="DA42" s="838" t="str">
        <f t="shared" ca="1" si="52"/>
        <v>-</v>
      </c>
      <c r="DB42" s="841"/>
      <c r="DC42" s="832"/>
    </row>
    <row r="43" spans="1:107" s="842" customFormat="1" ht="15.95" customHeight="1" x14ac:dyDescent="0.25">
      <c r="A43" s="790">
        <v>41</v>
      </c>
      <c r="B43" s="791">
        <f t="shared" ca="1" si="0"/>
        <v>43134</v>
      </c>
      <c r="C43" s="792" t="s">
        <v>614</v>
      </c>
      <c r="D43" s="793" t="s">
        <v>3202</v>
      </c>
      <c r="E43" s="794" t="s">
        <v>621</v>
      </c>
      <c r="F43" s="795" t="s">
        <v>622</v>
      </c>
      <c r="G43" s="796">
        <f>SUMIFS(МОЛОКО!L8:L6958,МОЛОКО!F8:F6958,"1562",МОЛОКО!L8:L6958,"&gt;0")</f>
        <v>21.2</v>
      </c>
      <c r="H43" s="797" t="s">
        <v>603</v>
      </c>
      <c r="I43" s="798">
        <v>41045</v>
      </c>
      <c r="J43" s="799">
        <f t="shared" ca="1" si="1"/>
        <v>5.7232876712328764</v>
      </c>
      <c r="K43" s="799">
        <f t="shared" ca="1" si="2"/>
        <v>69.63333333333334</v>
      </c>
      <c r="L43" s="800">
        <f t="shared" ca="1" si="3"/>
        <v>2089</v>
      </c>
      <c r="M43" s="801">
        <v>41939</v>
      </c>
      <c r="N43" s="802">
        <v>42955</v>
      </c>
      <c r="O43" s="803">
        <f t="shared" ca="1" si="4"/>
        <v>179</v>
      </c>
      <c r="P43" s="804">
        <v>3</v>
      </c>
      <c r="Q43" s="805" t="s">
        <v>2366</v>
      </c>
      <c r="R43" s="806" t="s">
        <v>2962</v>
      </c>
      <c r="S43" s="807">
        <v>43020</v>
      </c>
      <c r="T43" s="798">
        <v>43020</v>
      </c>
      <c r="U43" s="798" t="str">
        <f t="shared" si="5"/>
        <v>-</v>
      </c>
      <c r="V43" s="804" t="str">
        <f t="shared" ca="1" si="6"/>
        <v>-</v>
      </c>
      <c r="W43" s="808">
        <v>1</v>
      </c>
      <c r="X43" s="794">
        <f t="shared" si="53"/>
        <v>65</v>
      </c>
      <c r="Y43" s="794">
        <v>1</v>
      </c>
      <c r="Z43" s="809" t="str">
        <f t="shared" ca="1" si="8"/>
        <v>ПОДЛЕЖИТ ПЕРЕПРОВЕРКЕ</v>
      </c>
      <c r="AA43" s="810">
        <f t="shared" ca="1" si="9"/>
        <v>114</v>
      </c>
      <c r="AB43" s="804"/>
      <c r="AC43" s="811">
        <f t="shared" ca="1" si="10"/>
        <v>43092</v>
      </c>
      <c r="AD43" s="798"/>
      <c r="AE43" s="794" t="str">
        <f t="shared" ca="1" si="11"/>
        <v>-</v>
      </c>
      <c r="AF43" s="798" t="str">
        <f t="shared" si="12"/>
        <v>-</v>
      </c>
      <c r="AG43" s="812" t="str">
        <f t="shared" si="13"/>
        <v>---------</v>
      </c>
      <c r="AH43" s="807">
        <v>43052</v>
      </c>
      <c r="AI43" s="807">
        <f t="shared" si="14"/>
        <v>43210</v>
      </c>
      <c r="AJ43" s="807">
        <f t="shared" si="15"/>
        <v>43240</v>
      </c>
      <c r="AK43" s="813"/>
      <c r="AL43" s="807">
        <f t="shared" si="16"/>
        <v>43279</v>
      </c>
      <c r="AM43" s="807">
        <f t="shared" si="17"/>
        <v>43300</v>
      </c>
      <c r="AN43" s="814">
        <f t="shared" ca="1" si="18"/>
        <v>-166</v>
      </c>
      <c r="AO43" s="815">
        <v>1</v>
      </c>
      <c r="AP43" s="816" t="str">
        <f t="shared" ca="1" si="19"/>
        <v>-</v>
      </c>
      <c r="AQ43" s="817"/>
      <c r="AR43" s="794" t="str">
        <f t="shared" si="20"/>
        <v>-</v>
      </c>
      <c r="AS43" s="818"/>
      <c r="AT43" s="794" t="str">
        <f t="shared" si="21"/>
        <v>-</v>
      </c>
      <c r="AU43" s="819"/>
      <c r="AV43" s="820"/>
      <c r="AW43" s="821"/>
      <c r="AX43" s="821"/>
      <c r="AY43" s="969" t="str">
        <f t="shared" si="22"/>
        <v>-</v>
      </c>
      <c r="AZ43" s="966" t="str">
        <f t="shared" si="23"/>
        <v>-</v>
      </c>
      <c r="BA43" s="971" t="str">
        <f t="shared" si="24"/>
        <v>-</v>
      </c>
      <c r="BB43" s="975"/>
      <c r="BC43" s="821"/>
      <c r="BD43" s="821"/>
      <c r="BE43" s="963" t="str">
        <f t="shared" si="25"/>
        <v>-</v>
      </c>
      <c r="BF43" s="984">
        <v>43033</v>
      </c>
      <c r="BG43" s="988" t="s">
        <v>3353</v>
      </c>
      <c r="BH43" s="986" t="s">
        <v>3354</v>
      </c>
      <c r="BI43" s="991">
        <v>5</v>
      </c>
      <c r="BJ43" s="991" t="s">
        <v>3356</v>
      </c>
      <c r="BK43" s="993">
        <f t="shared" ca="1" si="26"/>
        <v>101</v>
      </c>
      <c r="BL43" s="820">
        <v>42980</v>
      </c>
      <c r="BM43" s="821">
        <v>5</v>
      </c>
      <c r="BN43" s="822">
        <f t="shared" ca="1" si="27"/>
        <v>154</v>
      </c>
      <c r="BO43" s="823">
        <f t="shared" si="28"/>
        <v>64.5</v>
      </c>
      <c r="BP43" s="824"/>
      <c r="BQ43" s="821"/>
      <c r="BR43" s="822" t="str">
        <f t="shared" si="29"/>
        <v>-</v>
      </c>
      <c r="BS43" s="823" t="str">
        <f t="shared" si="30"/>
        <v>-</v>
      </c>
      <c r="BT43" s="825" t="str">
        <f t="shared" ca="1" si="31"/>
        <v>-</v>
      </c>
      <c r="BU43" s="826"/>
      <c r="BV43" s="827"/>
      <c r="BW43" s="828" t="str">
        <f t="shared" si="32"/>
        <v>Ж-Е НЕ ВАКЦ.</v>
      </c>
      <c r="BX43" s="829" t="str">
        <f t="shared" si="33"/>
        <v>-</v>
      </c>
      <c r="BY43" s="830" t="str">
        <f t="shared" ca="1" si="34"/>
        <v>-</v>
      </c>
      <c r="BZ43" s="831">
        <v>42988</v>
      </c>
      <c r="CA43" s="832">
        <v>5</v>
      </c>
      <c r="CB43" s="833">
        <f t="shared" ca="1" si="35"/>
        <v>146</v>
      </c>
      <c r="CC43" s="834" t="str">
        <f t="shared" ca="1" si="36"/>
        <v>-</v>
      </c>
      <c r="CD43" s="835">
        <f t="shared" si="37"/>
        <v>43009</v>
      </c>
      <c r="CE43" s="831">
        <v>43009</v>
      </c>
      <c r="CF43" s="832">
        <v>5</v>
      </c>
      <c r="CG43" s="833">
        <f t="shared" ca="1" si="38"/>
        <v>125</v>
      </c>
      <c r="CH43" s="836">
        <f t="shared" si="39"/>
        <v>0</v>
      </c>
      <c r="CI43" s="837" t="str">
        <f t="shared" si="40"/>
        <v>УСПЕШНО</v>
      </c>
      <c r="CJ43" s="838" t="str">
        <f t="shared" ca="1" si="41"/>
        <v>-</v>
      </c>
      <c r="CK43" s="831"/>
      <c r="CL43" s="832"/>
      <c r="CM43" s="833" t="str">
        <f t="shared" si="42"/>
        <v>-</v>
      </c>
      <c r="CN43" s="834" t="str">
        <f t="shared" si="43"/>
        <v>-</v>
      </c>
      <c r="CO43" s="830" t="str">
        <f t="shared" ca="1" si="44"/>
        <v>-</v>
      </c>
      <c r="CP43" s="831">
        <v>42890</v>
      </c>
      <c r="CQ43" s="832">
        <v>2</v>
      </c>
      <c r="CR43" s="833">
        <f t="shared" si="45"/>
        <v>-130</v>
      </c>
      <c r="CS43" s="833">
        <f t="shared" ca="1" si="46"/>
        <v>244</v>
      </c>
      <c r="CT43" s="834" t="str">
        <f t="shared" ca="1" si="47"/>
        <v>-</v>
      </c>
      <c r="CU43" s="835">
        <f t="shared" si="48"/>
        <v>42911</v>
      </c>
      <c r="CV43" s="831">
        <v>42911</v>
      </c>
      <c r="CW43" s="832">
        <v>2</v>
      </c>
      <c r="CX43" s="833">
        <f t="shared" si="49"/>
        <v>0</v>
      </c>
      <c r="CY43" s="840" t="str">
        <f t="shared" si="50"/>
        <v>УСПЕШНО</v>
      </c>
      <c r="CZ43" s="833">
        <f t="shared" si="51"/>
        <v>-109</v>
      </c>
      <c r="DA43" s="838" t="str">
        <f t="shared" ca="1" si="52"/>
        <v>-</v>
      </c>
      <c r="DB43" s="841"/>
      <c r="DC43" s="832"/>
    </row>
    <row r="44" spans="1:107" s="842" customFormat="1" ht="15.95" customHeight="1" x14ac:dyDescent="0.25">
      <c r="A44" s="790">
        <v>42</v>
      </c>
      <c r="B44" s="791">
        <f t="shared" ca="1" si="0"/>
        <v>43134</v>
      </c>
      <c r="C44" s="792" t="s">
        <v>614</v>
      </c>
      <c r="D44" s="793" t="s">
        <v>3202</v>
      </c>
      <c r="E44" s="794" t="s">
        <v>1417</v>
      </c>
      <c r="F44" s="795" t="s">
        <v>1418</v>
      </c>
      <c r="G44" s="796">
        <f>SUMIFS(МОЛОКО!L8:L6958,МОЛОКО!F8:F6958,"1698",МОЛОКО!L8:L6958,"&gt;0")</f>
        <v>35</v>
      </c>
      <c r="H44" s="797" t="s">
        <v>603</v>
      </c>
      <c r="I44" s="798">
        <v>41178</v>
      </c>
      <c r="J44" s="799">
        <f t="shared" ca="1" si="1"/>
        <v>5.3589041095890408</v>
      </c>
      <c r="K44" s="799">
        <f t="shared" ca="1" si="2"/>
        <v>65.2</v>
      </c>
      <c r="L44" s="800">
        <f t="shared" ca="1" si="3"/>
        <v>1956</v>
      </c>
      <c r="M44" s="801">
        <v>41854</v>
      </c>
      <c r="N44" s="802">
        <v>42916</v>
      </c>
      <c r="O44" s="803">
        <f t="shared" ca="1" si="4"/>
        <v>218</v>
      </c>
      <c r="P44" s="804">
        <v>2</v>
      </c>
      <c r="Q44" s="805" t="s">
        <v>2366</v>
      </c>
      <c r="R44" s="806" t="s">
        <v>2962</v>
      </c>
      <c r="S44" s="807">
        <v>42978</v>
      </c>
      <c r="T44" s="798">
        <v>42978</v>
      </c>
      <c r="U44" s="798" t="str">
        <f t="shared" si="5"/>
        <v>-</v>
      </c>
      <c r="V44" s="804" t="str">
        <f t="shared" ca="1" si="6"/>
        <v>-</v>
      </c>
      <c r="W44" s="808">
        <v>1</v>
      </c>
      <c r="X44" s="794">
        <f t="shared" si="53"/>
        <v>62</v>
      </c>
      <c r="Y44" s="794">
        <v>1</v>
      </c>
      <c r="Z44" s="809" t="str">
        <f t="shared" ca="1" si="8"/>
        <v>-----</v>
      </c>
      <c r="AA44" s="810" t="str">
        <f t="shared" ca="1" si="9"/>
        <v>-----</v>
      </c>
      <c r="AB44" s="804">
        <v>1</v>
      </c>
      <c r="AC44" s="811" t="str">
        <f t="shared" ca="1" si="10"/>
        <v>-----</v>
      </c>
      <c r="AD44" s="798">
        <v>43047</v>
      </c>
      <c r="AE44" s="794" t="str">
        <f t="shared" ca="1" si="11"/>
        <v>-</v>
      </c>
      <c r="AF44" s="798" t="str">
        <f t="shared" si="12"/>
        <v>-</v>
      </c>
      <c r="AG44" s="812" t="str">
        <f t="shared" si="13"/>
        <v>---------</v>
      </c>
      <c r="AH44" s="807">
        <v>43010</v>
      </c>
      <c r="AI44" s="807">
        <f t="shared" si="14"/>
        <v>43168</v>
      </c>
      <c r="AJ44" s="807">
        <f t="shared" si="15"/>
        <v>43198</v>
      </c>
      <c r="AK44" s="813"/>
      <c r="AL44" s="807">
        <f t="shared" si="16"/>
        <v>43237</v>
      </c>
      <c r="AM44" s="807">
        <f t="shared" si="17"/>
        <v>43258</v>
      </c>
      <c r="AN44" s="814">
        <f t="shared" ca="1" si="18"/>
        <v>-124</v>
      </c>
      <c r="AO44" s="815">
        <v>1</v>
      </c>
      <c r="AP44" s="816" t="str">
        <f t="shared" ca="1" si="19"/>
        <v>-</v>
      </c>
      <c r="AQ44" s="817"/>
      <c r="AR44" s="794" t="str">
        <f t="shared" si="20"/>
        <v>-</v>
      </c>
      <c r="AS44" s="818"/>
      <c r="AT44" s="794" t="str">
        <f t="shared" si="21"/>
        <v>-</v>
      </c>
      <c r="AU44" s="819"/>
      <c r="AV44" s="820"/>
      <c r="AW44" s="821"/>
      <c r="AX44" s="821"/>
      <c r="AY44" s="969" t="str">
        <f t="shared" si="22"/>
        <v>-</v>
      </c>
      <c r="AZ44" s="966" t="str">
        <f t="shared" si="23"/>
        <v>-</v>
      </c>
      <c r="BA44" s="971" t="str">
        <f t="shared" si="24"/>
        <v>-</v>
      </c>
      <c r="BB44" s="975"/>
      <c r="BC44" s="821"/>
      <c r="BD44" s="821"/>
      <c r="BE44" s="963" t="str">
        <f t="shared" si="25"/>
        <v>-</v>
      </c>
      <c r="BF44" s="984">
        <v>43033</v>
      </c>
      <c r="BG44" s="988" t="s">
        <v>3353</v>
      </c>
      <c r="BH44" s="986" t="s">
        <v>3354</v>
      </c>
      <c r="BI44" s="991">
        <v>5</v>
      </c>
      <c r="BJ44" s="991" t="s">
        <v>3356</v>
      </c>
      <c r="BK44" s="993">
        <f t="shared" ca="1" si="26"/>
        <v>101</v>
      </c>
      <c r="BL44" s="820">
        <v>42980</v>
      </c>
      <c r="BM44" s="821">
        <v>5</v>
      </c>
      <c r="BN44" s="822">
        <f t="shared" ca="1" si="27"/>
        <v>154</v>
      </c>
      <c r="BO44" s="823">
        <f t="shared" si="28"/>
        <v>60.06666666666667</v>
      </c>
      <c r="BP44" s="824"/>
      <c r="BQ44" s="821"/>
      <c r="BR44" s="822" t="str">
        <f t="shared" si="29"/>
        <v>-</v>
      </c>
      <c r="BS44" s="823" t="str">
        <f t="shared" si="30"/>
        <v>-</v>
      </c>
      <c r="BT44" s="825" t="str">
        <f t="shared" ca="1" si="31"/>
        <v>-</v>
      </c>
      <c r="BU44" s="826"/>
      <c r="BV44" s="827"/>
      <c r="BW44" s="828" t="str">
        <f t="shared" si="32"/>
        <v>Ж-Е НЕ ВАКЦ.</v>
      </c>
      <c r="BX44" s="829" t="str">
        <f t="shared" si="33"/>
        <v>-</v>
      </c>
      <c r="BY44" s="830" t="str">
        <f t="shared" ca="1" si="34"/>
        <v>-</v>
      </c>
      <c r="BZ44" s="831">
        <v>42964</v>
      </c>
      <c r="CA44" s="832">
        <v>5</v>
      </c>
      <c r="CB44" s="833">
        <f t="shared" ca="1" si="35"/>
        <v>170</v>
      </c>
      <c r="CC44" s="834" t="str">
        <f t="shared" ca="1" si="36"/>
        <v>-</v>
      </c>
      <c r="CD44" s="835">
        <f t="shared" si="37"/>
        <v>42985</v>
      </c>
      <c r="CE44" s="831">
        <v>42985</v>
      </c>
      <c r="CF44" s="832">
        <v>5</v>
      </c>
      <c r="CG44" s="833">
        <f t="shared" ca="1" si="38"/>
        <v>149</v>
      </c>
      <c r="CH44" s="836">
        <f t="shared" si="39"/>
        <v>0</v>
      </c>
      <c r="CI44" s="837" t="str">
        <f t="shared" si="40"/>
        <v>УСПЕШНО</v>
      </c>
      <c r="CJ44" s="838" t="str">
        <f t="shared" ca="1" si="41"/>
        <v>-</v>
      </c>
      <c r="CK44" s="831"/>
      <c r="CL44" s="832"/>
      <c r="CM44" s="833" t="str">
        <f t="shared" si="42"/>
        <v>-</v>
      </c>
      <c r="CN44" s="834" t="str">
        <f t="shared" si="43"/>
        <v>-</v>
      </c>
      <c r="CO44" s="830" t="str">
        <f t="shared" ca="1" si="44"/>
        <v>-</v>
      </c>
      <c r="CP44" s="839"/>
      <c r="CQ44" s="832"/>
      <c r="CR44" s="833" t="str">
        <f t="shared" si="45"/>
        <v>-</v>
      </c>
      <c r="CS44" s="833" t="str">
        <f t="shared" si="46"/>
        <v>-</v>
      </c>
      <c r="CT44" s="834" t="str">
        <f t="shared" si="47"/>
        <v>-</v>
      </c>
      <c r="CU44" s="835" t="str">
        <f t="shared" si="48"/>
        <v>-</v>
      </c>
      <c r="CV44" s="839"/>
      <c r="CW44" s="832"/>
      <c r="CX44" s="833" t="str">
        <f t="shared" si="49"/>
        <v>-</v>
      </c>
      <c r="CY44" s="840" t="str">
        <f t="shared" si="50"/>
        <v>-</v>
      </c>
      <c r="CZ44" s="833" t="str">
        <f t="shared" si="51"/>
        <v>-</v>
      </c>
      <c r="DA44" s="838" t="str">
        <f t="shared" ca="1" si="52"/>
        <v>-</v>
      </c>
      <c r="DB44" s="841"/>
      <c r="DC44" s="832"/>
    </row>
    <row r="45" spans="1:107" s="842" customFormat="1" ht="15.95" customHeight="1" x14ac:dyDescent="0.25">
      <c r="A45" s="790">
        <v>43</v>
      </c>
      <c r="B45" s="791">
        <f t="shared" ca="1" si="0"/>
        <v>43134</v>
      </c>
      <c r="C45" s="792" t="s">
        <v>614</v>
      </c>
      <c r="D45" s="793" t="s">
        <v>3202</v>
      </c>
      <c r="E45" s="794" t="s">
        <v>890</v>
      </c>
      <c r="F45" s="795" t="s">
        <v>891</v>
      </c>
      <c r="G45" s="796">
        <f>SUMIFS(МОЛОКО!L8:L6958,МОЛОКО!F8:F6958,"1701",МОЛОКО!L8:L6958,"&gt;0")</f>
        <v>20.5</v>
      </c>
      <c r="H45" s="797" t="s">
        <v>603</v>
      </c>
      <c r="I45" s="798">
        <v>41184</v>
      </c>
      <c r="J45" s="799">
        <f t="shared" ca="1" si="1"/>
        <v>5.3424657534246576</v>
      </c>
      <c r="K45" s="799">
        <f t="shared" ca="1" si="2"/>
        <v>65</v>
      </c>
      <c r="L45" s="800">
        <f t="shared" ca="1" si="3"/>
        <v>1950</v>
      </c>
      <c r="M45" s="801">
        <v>41902</v>
      </c>
      <c r="N45" s="802">
        <v>42994</v>
      </c>
      <c r="O45" s="803">
        <f t="shared" ca="1" si="4"/>
        <v>140</v>
      </c>
      <c r="P45" s="804">
        <v>3</v>
      </c>
      <c r="Q45" s="68" t="s">
        <v>1451</v>
      </c>
      <c r="R45" s="118" t="s">
        <v>2962</v>
      </c>
      <c r="S45" s="807">
        <v>43055</v>
      </c>
      <c r="T45" s="798">
        <v>43055</v>
      </c>
      <c r="U45" s="798">
        <f t="shared" si="5"/>
        <v>43073</v>
      </c>
      <c r="V45" s="804">
        <f t="shared" ca="1" si="6"/>
        <v>61</v>
      </c>
      <c r="W45" s="808">
        <v>1</v>
      </c>
      <c r="X45" s="794">
        <f t="shared" si="53"/>
        <v>61</v>
      </c>
      <c r="Y45" s="794">
        <v>3</v>
      </c>
      <c r="Z45" s="809" t="str">
        <f t="shared" ca="1" si="8"/>
        <v>-----</v>
      </c>
      <c r="AA45" s="810">
        <f t="shared" ca="1" si="9"/>
        <v>79</v>
      </c>
      <c r="AB45" s="804"/>
      <c r="AC45" s="811" t="str">
        <f t="shared" ca="1" si="10"/>
        <v>-----</v>
      </c>
      <c r="AD45" s="798"/>
      <c r="AE45" s="794" t="str">
        <f t="shared" ca="1" si="11"/>
        <v>-</v>
      </c>
      <c r="AF45" s="798">
        <f t="shared" si="12"/>
        <v>43090</v>
      </c>
      <c r="AG45" s="812">
        <f t="shared" ca="1" si="13"/>
        <v>44</v>
      </c>
      <c r="AH45" s="807"/>
      <c r="AI45" s="807" t="str">
        <f t="shared" si="14"/>
        <v>-</v>
      </c>
      <c r="AJ45" s="807" t="str">
        <f t="shared" si="15"/>
        <v>-</v>
      </c>
      <c r="AK45" s="813"/>
      <c r="AL45" s="807" t="str">
        <f t="shared" si="16"/>
        <v>-</v>
      </c>
      <c r="AM45" s="807" t="str">
        <f t="shared" si="17"/>
        <v>-</v>
      </c>
      <c r="AN45" s="814" t="str">
        <f t="shared" ca="1" si="18"/>
        <v>-</v>
      </c>
      <c r="AO45" s="815">
        <v>1</v>
      </c>
      <c r="AP45" s="816" t="str">
        <f t="shared" ca="1" si="19"/>
        <v>-</v>
      </c>
      <c r="AQ45" s="817"/>
      <c r="AR45" s="794" t="str">
        <f t="shared" si="20"/>
        <v>-</v>
      </c>
      <c r="AS45" s="818"/>
      <c r="AT45" s="794" t="str">
        <f t="shared" si="21"/>
        <v>-</v>
      </c>
      <c r="AU45" s="819"/>
      <c r="AV45" s="820"/>
      <c r="AW45" s="821"/>
      <c r="AX45" s="821"/>
      <c r="AY45" s="969" t="str">
        <f t="shared" si="22"/>
        <v>-</v>
      </c>
      <c r="AZ45" s="966" t="str">
        <f t="shared" si="23"/>
        <v>-</v>
      </c>
      <c r="BA45" s="971" t="str">
        <f t="shared" si="24"/>
        <v>-</v>
      </c>
      <c r="BB45" s="975"/>
      <c r="BC45" s="821"/>
      <c r="BD45" s="821"/>
      <c r="BE45" s="963" t="str">
        <f t="shared" si="25"/>
        <v>-</v>
      </c>
      <c r="BF45" s="984"/>
      <c r="BG45" s="988"/>
      <c r="BH45" s="982"/>
      <c r="BI45" s="991"/>
      <c r="BJ45" s="991"/>
      <c r="BK45" s="993" t="str">
        <f t="shared" si="26"/>
        <v>-</v>
      </c>
      <c r="BL45" s="820">
        <v>42982</v>
      </c>
      <c r="BM45" s="821">
        <v>5</v>
      </c>
      <c r="BN45" s="822">
        <f t="shared" ca="1" si="27"/>
        <v>152</v>
      </c>
      <c r="BO45" s="823">
        <f t="shared" si="28"/>
        <v>59.93333333333333</v>
      </c>
      <c r="BP45" s="824"/>
      <c r="BQ45" s="821"/>
      <c r="BR45" s="822" t="str">
        <f t="shared" si="29"/>
        <v>-</v>
      </c>
      <c r="BS45" s="823" t="str">
        <f t="shared" si="30"/>
        <v>-</v>
      </c>
      <c r="BT45" s="825" t="str">
        <f t="shared" ca="1" si="31"/>
        <v>-</v>
      </c>
      <c r="BU45" s="826"/>
      <c r="BV45" s="827"/>
      <c r="BW45" s="828" t="str">
        <f t="shared" si="32"/>
        <v>Ж-Е НЕ ВАКЦ.</v>
      </c>
      <c r="BX45" s="829" t="str">
        <f t="shared" si="33"/>
        <v>-</v>
      </c>
      <c r="BY45" s="830" t="str">
        <f t="shared" ca="1" si="34"/>
        <v>-</v>
      </c>
      <c r="BZ45" s="831">
        <v>42887</v>
      </c>
      <c r="CA45" s="832">
        <v>5</v>
      </c>
      <c r="CB45" s="833">
        <f t="shared" ca="1" si="35"/>
        <v>247</v>
      </c>
      <c r="CC45" s="834" t="str">
        <f t="shared" ca="1" si="36"/>
        <v>-</v>
      </c>
      <c r="CD45" s="835">
        <f t="shared" si="37"/>
        <v>42908</v>
      </c>
      <c r="CE45" s="831">
        <v>42908</v>
      </c>
      <c r="CF45" s="832">
        <v>5</v>
      </c>
      <c r="CG45" s="833">
        <f t="shared" ca="1" si="38"/>
        <v>226</v>
      </c>
      <c r="CH45" s="836">
        <f t="shared" si="39"/>
        <v>0</v>
      </c>
      <c r="CI45" s="837" t="str">
        <f t="shared" si="40"/>
        <v>УСПЕШНО</v>
      </c>
      <c r="CJ45" s="838" t="str">
        <f t="shared" ca="1" si="41"/>
        <v>-</v>
      </c>
      <c r="CK45" s="831"/>
      <c r="CL45" s="832"/>
      <c r="CM45" s="833" t="str">
        <f t="shared" si="42"/>
        <v>-</v>
      </c>
      <c r="CN45" s="834" t="str">
        <f t="shared" si="43"/>
        <v>-</v>
      </c>
      <c r="CO45" s="830" t="str">
        <f t="shared" ca="1" si="44"/>
        <v>-</v>
      </c>
      <c r="CP45" s="831">
        <v>42958</v>
      </c>
      <c r="CQ45" s="832">
        <v>2</v>
      </c>
      <c r="CR45" s="833">
        <f t="shared" si="45"/>
        <v>-97</v>
      </c>
      <c r="CS45" s="833">
        <f t="shared" ca="1" si="46"/>
        <v>176</v>
      </c>
      <c r="CT45" s="834" t="str">
        <f t="shared" ca="1" si="47"/>
        <v>-</v>
      </c>
      <c r="CU45" s="835">
        <f t="shared" si="48"/>
        <v>42979</v>
      </c>
      <c r="CV45" s="831">
        <v>42980</v>
      </c>
      <c r="CW45" s="832">
        <v>2</v>
      </c>
      <c r="CX45" s="833">
        <f t="shared" si="49"/>
        <v>1</v>
      </c>
      <c r="CY45" s="840" t="str">
        <f t="shared" si="50"/>
        <v>-</v>
      </c>
      <c r="CZ45" s="833">
        <f t="shared" si="51"/>
        <v>-75</v>
      </c>
      <c r="DA45" s="838" t="str">
        <f t="shared" ca="1" si="52"/>
        <v>-</v>
      </c>
      <c r="DB45" s="841"/>
      <c r="DC45" s="832"/>
    </row>
    <row r="46" spans="1:107" s="842" customFormat="1" ht="15.95" customHeight="1" x14ac:dyDescent="0.25">
      <c r="A46" s="790">
        <v>44</v>
      </c>
      <c r="B46" s="791">
        <f t="shared" ca="1" si="0"/>
        <v>43134</v>
      </c>
      <c r="C46" s="792" t="s">
        <v>614</v>
      </c>
      <c r="D46" s="793" t="s">
        <v>3202</v>
      </c>
      <c r="E46" s="794" t="s">
        <v>227</v>
      </c>
      <c r="F46" s="795" t="s">
        <v>228</v>
      </c>
      <c r="G46" s="796">
        <f>SUMIFS(МОЛОКО!L8:L6958,МОЛОКО!F8:F6958,"1703",МОЛОКО!L8:L6958,"&gt;0")</f>
        <v>27.2</v>
      </c>
      <c r="H46" s="797" t="s">
        <v>603</v>
      </c>
      <c r="I46" s="798">
        <v>41189</v>
      </c>
      <c r="J46" s="799">
        <f t="shared" ca="1" si="1"/>
        <v>5.3287671232876717</v>
      </c>
      <c r="K46" s="799">
        <f t="shared" ca="1" si="2"/>
        <v>64.833333333333329</v>
      </c>
      <c r="L46" s="800">
        <f t="shared" ca="1" si="3"/>
        <v>1945</v>
      </c>
      <c r="M46" s="801">
        <v>41960</v>
      </c>
      <c r="N46" s="802">
        <v>42932</v>
      </c>
      <c r="O46" s="803">
        <f t="shared" ca="1" si="4"/>
        <v>202</v>
      </c>
      <c r="P46" s="804">
        <v>3</v>
      </c>
      <c r="Q46" s="68" t="s">
        <v>1451</v>
      </c>
      <c r="R46" s="806" t="s">
        <v>2962</v>
      </c>
      <c r="S46" s="807">
        <v>43004</v>
      </c>
      <c r="T46" s="798">
        <v>43025</v>
      </c>
      <c r="U46" s="798">
        <f t="shared" si="5"/>
        <v>43043</v>
      </c>
      <c r="V46" s="804">
        <f t="shared" ca="1" si="6"/>
        <v>91</v>
      </c>
      <c r="W46" s="808">
        <v>2</v>
      </c>
      <c r="X46" s="794">
        <f t="shared" si="53"/>
        <v>93</v>
      </c>
      <c r="Y46" s="794">
        <v>3</v>
      </c>
      <c r="Z46" s="809" t="str">
        <f t="shared" ca="1" si="8"/>
        <v>-----</v>
      </c>
      <c r="AA46" s="810">
        <f t="shared" ca="1" si="9"/>
        <v>109</v>
      </c>
      <c r="AB46" s="804"/>
      <c r="AC46" s="811" t="str">
        <f t="shared" ca="1" si="10"/>
        <v>-----</v>
      </c>
      <c r="AD46" s="798"/>
      <c r="AE46" s="794" t="str">
        <f t="shared" ca="1" si="11"/>
        <v>-</v>
      </c>
      <c r="AF46" s="798">
        <f t="shared" si="12"/>
        <v>43060</v>
      </c>
      <c r="AG46" s="812">
        <f t="shared" ca="1" si="13"/>
        <v>74</v>
      </c>
      <c r="AH46" s="807"/>
      <c r="AI46" s="807" t="str">
        <f t="shared" si="14"/>
        <v>-</v>
      </c>
      <c r="AJ46" s="807" t="str">
        <f t="shared" si="15"/>
        <v>-</v>
      </c>
      <c r="AK46" s="813"/>
      <c r="AL46" s="807" t="str">
        <f t="shared" si="16"/>
        <v>-</v>
      </c>
      <c r="AM46" s="807" t="str">
        <f t="shared" si="17"/>
        <v>-</v>
      </c>
      <c r="AN46" s="814" t="str">
        <f t="shared" ca="1" si="18"/>
        <v>-</v>
      </c>
      <c r="AO46" s="815">
        <v>1</v>
      </c>
      <c r="AP46" s="816" t="str">
        <f t="shared" ca="1" si="19"/>
        <v>-</v>
      </c>
      <c r="AQ46" s="817"/>
      <c r="AR46" s="794" t="str">
        <f t="shared" si="20"/>
        <v>-</v>
      </c>
      <c r="AS46" s="818"/>
      <c r="AT46" s="794" t="str">
        <f t="shared" si="21"/>
        <v>-</v>
      </c>
      <c r="AU46" s="819"/>
      <c r="AV46" s="820"/>
      <c r="AW46" s="821"/>
      <c r="AX46" s="821"/>
      <c r="AY46" s="969" t="str">
        <f t="shared" si="22"/>
        <v>-</v>
      </c>
      <c r="AZ46" s="966" t="str">
        <f t="shared" si="23"/>
        <v>-</v>
      </c>
      <c r="BA46" s="971" t="str">
        <f t="shared" si="24"/>
        <v>-</v>
      </c>
      <c r="BB46" s="975"/>
      <c r="BC46" s="821"/>
      <c r="BD46" s="821"/>
      <c r="BE46" s="963" t="str">
        <f t="shared" si="25"/>
        <v>-</v>
      </c>
      <c r="BF46" s="984">
        <v>43033</v>
      </c>
      <c r="BG46" s="988" t="s">
        <v>3353</v>
      </c>
      <c r="BH46" s="986" t="s">
        <v>3354</v>
      </c>
      <c r="BI46" s="991">
        <v>5</v>
      </c>
      <c r="BJ46" s="991" t="s">
        <v>3356</v>
      </c>
      <c r="BK46" s="993">
        <f t="shared" ca="1" si="26"/>
        <v>101</v>
      </c>
      <c r="BL46" s="820">
        <v>42980</v>
      </c>
      <c r="BM46" s="821">
        <v>5</v>
      </c>
      <c r="BN46" s="822">
        <f t="shared" ca="1" si="27"/>
        <v>154</v>
      </c>
      <c r="BO46" s="823">
        <f t="shared" si="28"/>
        <v>59.7</v>
      </c>
      <c r="BP46" s="824"/>
      <c r="BQ46" s="821"/>
      <c r="BR46" s="822" t="str">
        <f t="shared" si="29"/>
        <v>-</v>
      </c>
      <c r="BS46" s="823" t="str">
        <f t="shared" si="30"/>
        <v>-</v>
      </c>
      <c r="BT46" s="825" t="str">
        <f t="shared" ca="1" si="31"/>
        <v>-</v>
      </c>
      <c r="BU46" s="826"/>
      <c r="BV46" s="827"/>
      <c r="BW46" s="828" t="str">
        <f t="shared" si="32"/>
        <v>Ж-Е НЕ ВАКЦ.</v>
      </c>
      <c r="BX46" s="829" t="str">
        <f t="shared" si="33"/>
        <v>-</v>
      </c>
      <c r="BY46" s="830" t="str">
        <f t="shared" ca="1" si="34"/>
        <v>-</v>
      </c>
      <c r="BZ46" s="831">
        <v>42964</v>
      </c>
      <c r="CA46" s="832">
        <v>5</v>
      </c>
      <c r="CB46" s="833">
        <f t="shared" ca="1" si="35"/>
        <v>170</v>
      </c>
      <c r="CC46" s="834" t="str">
        <f t="shared" ca="1" si="36"/>
        <v>-</v>
      </c>
      <c r="CD46" s="835">
        <f t="shared" si="37"/>
        <v>42985</v>
      </c>
      <c r="CE46" s="831">
        <v>42985</v>
      </c>
      <c r="CF46" s="832">
        <v>5</v>
      </c>
      <c r="CG46" s="833">
        <f t="shared" ca="1" si="38"/>
        <v>149</v>
      </c>
      <c r="CH46" s="836">
        <f t="shared" si="39"/>
        <v>0</v>
      </c>
      <c r="CI46" s="837" t="str">
        <f t="shared" si="40"/>
        <v>УСПЕШНО</v>
      </c>
      <c r="CJ46" s="838" t="str">
        <f t="shared" ca="1" si="41"/>
        <v>-</v>
      </c>
      <c r="CK46" s="831"/>
      <c r="CL46" s="832"/>
      <c r="CM46" s="833" t="str">
        <f t="shared" si="42"/>
        <v>-</v>
      </c>
      <c r="CN46" s="834" t="str">
        <f t="shared" si="43"/>
        <v>-</v>
      </c>
      <c r="CO46" s="830" t="str">
        <f t="shared" ca="1" si="44"/>
        <v>-</v>
      </c>
      <c r="CP46" s="831">
        <v>42882</v>
      </c>
      <c r="CQ46" s="832">
        <v>2</v>
      </c>
      <c r="CR46" s="833">
        <f t="shared" si="45"/>
        <v>-143</v>
      </c>
      <c r="CS46" s="833">
        <f t="shared" ca="1" si="46"/>
        <v>252</v>
      </c>
      <c r="CT46" s="834" t="str">
        <f t="shared" ca="1" si="47"/>
        <v>-</v>
      </c>
      <c r="CU46" s="835">
        <f t="shared" si="48"/>
        <v>42903</v>
      </c>
      <c r="CV46" s="831">
        <v>42903</v>
      </c>
      <c r="CW46" s="832">
        <v>2</v>
      </c>
      <c r="CX46" s="833">
        <f t="shared" si="49"/>
        <v>0</v>
      </c>
      <c r="CY46" s="840" t="str">
        <f t="shared" si="50"/>
        <v>УСПЕШНО</v>
      </c>
      <c r="CZ46" s="833">
        <f t="shared" si="51"/>
        <v>-122</v>
      </c>
      <c r="DA46" s="838" t="str">
        <f t="shared" ca="1" si="52"/>
        <v>-</v>
      </c>
      <c r="DB46" s="841"/>
      <c r="DC46" s="832"/>
    </row>
    <row r="47" spans="1:107" s="842" customFormat="1" ht="15.95" customHeight="1" x14ac:dyDescent="0.25">
      <c r="A47" s="790">
        <v>45</v>
      </c>
      <c r="B47" s="791">
        <f t="shared" ca="1" si="0"/>
        <v>43134</v>
      </c>
      <c r="C47" s="792" t="s">
        <v>614</v>
      </c>
      <c r="D47" s="844" t="s">
        <v>3202</v>
      </c>
      <c r="E47" s="794" t="s">
        <v>491</v>
      </c>
      <c r="F47" s="795" t="s">
        <v>492</v>
      </c>
      <c r="G47" s="796">
        <f>SUMIFS(МОЛОКО!L8:L6958,МОЛОКО!F8:F6958,"1867",МОЛОКО!L8:L6958,"&gt;0")</f>
        <v>38.799999999999997</v>
      </c>
      <c r="H47" s="797" t="s">
        <v>603</v>
      </c>
      <c r="I47" s="798">
        <v>41409</v>
      </c>
      <c r="J47" s="799">
        <f t="shared" ca="1" si="1"/>
        <v>4.7260273972602738</v>
      </c>
      <c r="K47" s="799">
        <f t="shared" ca="1" si="2"/>
        <v>57.5</v>
      </c>
      <c r="L47" s="800">
        <f t="shared" ca="1" si="3"/>
        <v>1725</v>
      </c>
      <c r="M47" s="801">
        <v>42102</v>
      </c>
      <c r="N47" s="802">
        <v>42991</v>
      </c>
      <c r="O47" s="803">
        <f t="shared" ca="1" si="4"/>
        <v>143</v>
      </c>
      <c r="P47" s="804">
        <v>3</v>
      </c>
      <c r="Q47" s="68" t="s">
        <v>1451</v>
      </c>
      <c r="R47" s="118" t="s">
        <v>2962</v>
      </c>
      <c r="S47" s="807">
        <v>43055</v>
      </c>
      <c r="T47" s="798">
        <v>43055</v>
      </c>
      <c r="U47" s="798">
        <f t="shared" si="5"/>
        <v>43073</v>
      </c>
      <c r="V47" s="804">
        <f t="shared" ca="1" si="6"/>
        <v>61</v>
      </c>
      <c r="W47" s="808">
        <v>1</v>
      </c>
      <c r="X47" s="794">
        <f t="shared" si="53"/>
        <v>64</v>
      </c>
      <c r="Y47" s="794">
        <v>3</v>
      </c>
      <c r="Z47" s="809" t="str">
        <f t="shared" ca="1" si="8"/>
        <v>-----</v>
      </c>
      <c r="AA47" s="810">
        <f t="shared" ca="1" si="9"/>
        <v>79</v>
      </c>
      <c r="AB47" s="804"/>
      <c r="AC47" s="811" t="str">
        <f t="shared" ca="1" si="10"/>
        <v>-----</v>
      </c>
      <c r="AD47" s="798"/>
      <c r="AE47" s="794" t="str">
        <f t="shared" ca="1" si="11"/>
        <v>-</v>
      </c>
      <c r="AF47" s="798">
        <f t="shared" si="12"/>
        <v>43090</v>
      </c>
      <c r="AG47" s="812">
        <f t="shared" ca="1" si="13"/>
        <v>44</v>
      </c>
      <c r="AH47" s="807"/>
      <c r="AI47" s="807" t="str">
        <f t="shared" si="14"/>
        <v>-</v>
      </c>
      <c r="AJ47" s="807" t="str">
        <f t="shared" si="15"/>
        <v>-</v>
      </c>
      <c r="AK47" s="813"/>
      <c r="AL47" s="807" t="str">
        <f t="shared" si="16"/>
        <v>-</v>
      </c>
      <c r="AM47" s="807" t="str">
        <f t="shared" si="17"/>
        <v>-</v>
      </c>
      <c r="AN47" s="814" t="str">
        <f t="shared" ca="1" si="18"/>
        <v>-</v>
      </c>
      <c r="AO47" s="815">
        <v>1</v>
      </c>
      <c r="AP47" s="816" t="str">
        <f t="shared" ca="1" si="19"/>
        <v>-</v>
      </c>
      <c r="AQ47" s="817"/>
      <c r="AR47" s="794" t="str">
        <f t="shared" si="20"/>
        <v>-</v>
      </c>
      <c r="AS47" s="818"/>
      <c r="AT47" s="794" t="str">
        <f t="shared" si="21"/>
        <v>-</v>
      </c>
      <c r="AU47" s="819"/>
      <c r="AV47" s="820"/>
      <c r="AW47" s="821"/>
      <c r="AX47" s="821"/>
      <c r="AY47" s="969" t="str">
        <f t="shared" si="22"/>
        <v>-</v>
      </c>
      <c r="AZ47" s="966" t="str">
        <f t="shared" si="23"/>
        <v>-</v>
      </c>
      <c r="BA47" s="971" t="str">
        <f t="shared" si="24"/>
        <v>-</v>
      </c>
      <c r="BB47" s="975"/>
      <c r="BC47" s="821"/>
      <c r="BD47" s="821"/>
      <c r="BE47" s="963" t="str">
        <f t="shared" si="25"/>
        <v>-</v>
      </c>
      <c r="BF47" s="984"/>
      <c r="BG47" s="988"/>
      <c r="BH47" s="982"/>
      <c r="BI47" s="991"/>
      <c r="BJ47" s="991"/>
      <c r="BK47" s="993" t="str">
        <f t="shared" si="26"/>
        <v>-</v>
      </c>
      <c r="BL47" s="820">
        <v>42982</v>
      </c>
      <c r="BM47" s="821">
        <v>5</v>
      </c>
      <c r="BN47" s="822">
        <f t="shared" ca="1" si="27"/>
        <v>152</v>
      </c>
      <c r="BO47" s="823">
        <f t="shared" si="28"/>
        <v>52.43333333333333</v>
      </c>
      <c r="BP47" s="824"/>
      <c r="BQ47" s="821"/>
      <c r="BR47" s="822" t="str">
        <f t="shared" si="29"/>
        <v>-</v>
      </c>
      <c r="BS47" s="823" t="str">
        <f t="shared" si="30"/>
        <v>-</v>
      </c>
      <c r="BT47" s="825" t="str">
        <f t="shared" ca="1" si="31"/>
        <v>-</v>
      </c>
      <c r="BU47" s="826"/>
      <c r="BV47" s="827"/>
      <c r="BW47" s="828" t="str">
        <f t="shared" si="32"/>
        <v>Ж-Е НЕ ВАКЦ.</v>
      </c>
      <c r="BX47" s="829" t="str">
        <f t="shared" si="33"/>
        <v>-</v>
      </c>
      <c r="BY47" s="830" t="str">
        <f t="shared" ca="1" si="34"/>
        <v>-</v>
      </c>
      <c r="BZ47" s="831">
        <v>42887</v>
      </c>
      <c r="CA47" s="832">
        <v>5</v>
      </c>
      <c r="CB47" s="833">
        <f t="shared" ca="1" si="35"/>
        <v>247</v>
      </c>
      <c r="CC47" s="834" t="str">
        <f t="shared" ca="1" si="36"/>
        <v>-</v>
      </c>
      <c r="CD47" s="835">
        <f t="shared" si="37"/>
        <v>42908</v>
      </c>
      <c r="CE47" s="831">
        <v>42908</v>
      </c>
      <c r="CF47" s="832">
        <v>5</v>
      </c>
      <c r="CG47" s="833">
        <f t="shared" ca="1" si="38"/>
        <v>226</v>
      </c>
      <c r="CH47" s="836">
        <f t="shared" si="39"/>
        <v>0</v>
      </c>
      <c r="CI47" s="837" t="str">
        <f t="shared" si="40"/>
        <v>УСПЕШНО</v>
      </c>
      <c r="CJ47" s="838" t="str">
        <f t="shared" ca="1" si="41"/>
        <v>-</v>
      </c>
      <c r="CK47" s="831"/>
      <c r="CL47" s="832"/>
      <c r="CM47" s="833" t="str">
        <f t="shared" si="42"/>
        <v>-</v>
      </c>
      <c r="CN47" s="834" t="str">
        <f t="shared" si="43"/>
        <v>-</v>
      </c>
      <c r="CO47" s="830" t="str">
        <f t="shared" ca="1" si="44"/>
        <v>-</v>
      </c>
      <c r="CP47" s="831">
        <v>42925</v>
      </c>
      <c r="CQ47" s="832">
        <v>2</v>
      </c>
      <c r="CR47" s="833">
        <f t="shared" si="45"/>
        <v>-130</v>
      </c>
      <c r="CS47" s="833">
        <f t="shared" ca="1" si="46"/>
        <v>209</v>
      </c>
      <c r="CT47" s="834" t="str">
        <f t="shared" ca="1" si="47"/>
        <v>-</v>
      </c>
      <c r="CU47" s="835">
        <f t="shared" si="48"/>
        <v>42946</v>
      </c>
      <c r="CV47" s="831">
        <v>42946</v>
      </c>
      <c r="CW47" s="832">
        <v>2</v>
      </c>
      <c r="CX47" s="833">
        <f t="shared" si="49"/>
        <v>0</v>
      </c>
      <c r="CY47" s="840" t="str">
        <f t="shared" si="50"/>
        <v>УСПЕШНО</v>
      </c>
      <c r="CZ47" s="833">
        <f t="shared" si="51"/>
        <v>-109</v>
      </c>
      <c r="DA47" s="838" t="str">
        <f t="shared" ca="1" si="52"/>
        <v>-</v>
      </c>
      <c r="DB47" s="841"/>
      <c r="DC47" s="832"/>
    </row>
    <row r="48" spans="1:107" s="842" customFormat="1" ht="15.95" customHeight="1" x14ac:dyDescent="0.25">
      <c r="A48" s="790">
        <v>46</v>
      </c>
      <c r="B48" s="791">
        <f t="shared" ca="1" si="0"/>
        <v>43134</v>
      </c>
      <c r="C48" s="792" t="s">
        <v>614</v>
      </c>
      <c r="D48" s="793" t="s">
        <v>3202</v>
      </c>
      <c r="E48" s="794" t="s">
        <v>495</v>
      </c>
      <c r="F48" s="795" t="s">
        <v>496</v>
      </c>
      <c r="G48" s="796">
        <f>SUMIFS(МОЛОКО!L8:L6958,МОЛОКО!F8:F6958,"1871",МОЛОКО!L8:L6958,"&gt;0")</f>
        <v>21.6</v>
      </c>
      <c r="H48" s="797" t="s">
        <v>603</v>
      </c>
      <c r="I48" s="798">
        <v>41413</v>
      </c>
      <c r="J48" s="799">
        <f t="shared" ca="1" si="1"/>
        <v>4.7150684931506852</v>
      </c>
      <c r="K48" s="799">
        <f t="shared" ca="1" si="2"/>
        <v>57.366666666666667</v>
      </c>
      <c r="L48" s="800">
        <f t="shared" ca="1" si="3"/>
        <v>1721</v>
      </c>
      <c r="M48" s="801">
        <v>42235</v>
      </c>
      <c r="N48" s="802">
        <v>42784</v>
      </c>
      <c r="O48" s="803">
        <f t="shared" ca="1" si="4"/>
        <v>350</v>
      </c>
      <c r="P48" s="804">
        <v>2</v>
      </c>
      <c r="Q48" s="805" t="s">
        <v>1451</v>
      </c>
      <c r="R48" s="806" t="s">
        <v>2962</v>
      </c>
      <c r="S48" s="807">
        <v>42845</v>
      </c>
      <c r="T48" s="798">
        <v>42979</v>
      </c>
      <c r="U48" s="798" t="str">
        <f t="shared" si="5"/>
        <v>-</v>
      </c>
      <c r="V48" s="804" t="str">
        <f t="shared" ca="1" si="6"/>
        <v>-</v>
      </c>
      <c r="W48" s="808">
        <v>4</v>
      </c>
      <c r="X48" s="794">
        <f t="shared" si="53"/>
        <v>195</v>
      </c>
      <c r="Y48" s="794">
        <v>1</v>
      </c>
      <c r="Z48" s="809" t="str">
        <f t="shared" ca="1" si="8"/>
        <v>-----</v>
      </c>
      <c r="AA48" s="810" t="str">
        <f t="shared" ca="1" si="9"/>
        <v>-----</v>
      </c>
      <c r="AB48" s="804">
        <v>1</v>
      </c>
      <c r="AC48" s="811" t="str">
        <f t="shared" ca="1" si="10"/>
        <v>-----</v>
      </c>
      <c r="AD48" s="798">
        <v>43047</v>
      </c>
      <c r="AE48" s="794" t="str">
        <f t="shared" ca="1" si="11"/>
        <v>-</v>
      </c>
      <c r="AF48" s="798" t="str">
        <f t="shared" si="12"/>
        <v>-</v>
      </c>
      <c r="AG48" s="812" t="str">
        <f t="shared" si="13"/>
        <v>---------</v>
      </c>
      <c r="AH48" s="807">
        <v>43014</v>
      </c>
      <c r="AI48" s="807">
        <f t="shared" si="14"/>
        <v>43169</v>
      </c>
      <c r="AJ48" s="807">
        <f t="shared" si="15"/>
        <v>43199</v>
      </c>
      <c r="AK48" s="813"/>
      <c r="AL48" s="807">
        <f t="shared" si="16"/>
        <v>43238</v>
      </c>
      <c r="AM48" s="807">
        <f t="shared" si="17"/>
        <v>43259</v>
      </c>
      <c r="AN48" s="814">
        <f t="shared" ca="1" si="18"/>
        <v>-125</v>
      </c>
      <c r="AO48" s="815">
        <v>1</v>
      </c>
      <c r="AP48" s="816" t="str">
        <f t="shared" ca="1" si="19"/>
        <v>-</v>
      </c>
      <c r="AQ48" s="817"/>
      <c r="AR48" s="794" t="str">
        <f t="shared" si="20"/>
        <v>-</v>
      </c>
      <c r="AS48" s="818"/>
      <c r="AT48" s="794" t="str">
        <f t="shared" si="21"/>
        <v>-</v>
      </c>
      <c r="AU48" s="819"/>
      <c r="AV48" s="820"/>
      <c r="AW48" s="821"/>
      <c r="AX48" s="821"/>
      <c r="AY48" s="969" t="str">
        <f t="shared" si="22"/>
        <v>-</v>
      </c>
      <c r="AZ48" s="966" t="str">
        <f t="shared" si="23"/>
        <v>-</v>
      </c>
      <c r="BA48" s="971" t="str">
        <f t="shared" si="24"/>
        <v>-</v>
      </c>
      <c r="BB48" s="975"/>
      <c r="BC48" s="821"/>
      <c r="BD48" s="821"/>
      <c r="BE48" s="963" t="str">
        <f t="shared" si="25"/>
        <v>-</v>
      </c>
      <c r="BF48" s="984">
        <v>43033</v>
      </c>
      <c r="BG48" s="988" t="s">
        <v>3353</v>
      </c>
      <c r="BH48" s="986" t="s">
        <v>3354</v>
      </c>
      <c r="BI48" s="991">
        <v>5</v>
      </c>
      <c r="BJ48" s="991" t="s">
        <v>3356</v>
      </c>
      <c r="BK48" s="993">
        <f t="shared" ca="1" si="26"/>
        <v>101</v>
      </c>
      <c r="BL48" s="820">
        <v>42980</v>
      </c>
      <c r="BM48" s="821">
        <v>5</v>
      </c>
      <c r="BN48" s="822">
        <f t="shared" ca="1" si="27"/>
        <v>154</v>
      </c>
      <c r="BO48" s="823">
        <f t="shared" si="28"/>
        <v>52.233333333333334</v>
      </c>
      <c r="BP48" s="824"/>
      <c r="BQ48" s="821"/>
      <c r="BR48" s="822" t="str">
        <f t="shared" si="29"/>
        <v>-</v>
      </c>
      <c r="BS48" s="823" t="str">
        <f t="shared" si="30"/>
        <v>-</v>
      </c>
      <c r="BT48" s="825" t="str">
        <f t="shared" ca="1" si="31"/>
        <v>-</v>
      </c>
      <c r="BU48" s="826"/>
      <c r="BV48" s="827"/>
      <c r="BW48" s="828" t="str">
        <f t="shared" si="32"/>
        <v>Ж-Е НЕ ВАКЦ.</v>
      </c>
      <c r="BX48" s="829" t="str">
        <f t="shared" si="33"/>
        <v>-</v>
      </c>
      <c r="BY48" s="830" t="str">
        <f t="shared" ca="1" si="34"/>
        <v>-</v>
      </c>
      <c r="BZ48" s="831">
        <v>42887</v>
      </c>
      <c r="CA48" s="832">
        <v>5</v>
      </c>
      <c r="CB48" s="833">
        <f t="shared" ca="1" si="35"/>
        <v>247</v>
      </c>
      <c r="CC48" s="834" t="str">
        <f t="shared" ca="1" si="36"/>
        <v>-</v>
      </c>
      <c r="CD48" s="835">
        <f t="shared" si="37"/>
        <v>42908</v>
      </c>
      <c r="CE48" s="831">
        <v>42908</v>
      </c>
      <c r="CF48" s="832">
        <v>5</v>
      </c>
      <c r="CG48" s="833">
        <f t="shared" ca="1" si="38"/>
        <v>226</v>
      </c>
      <c r="CH48" s="836">
        <f t="shared" si="39"/>
        <v>0</v>
      </c>
      <c r="CI48" s="837" t="str">
        <f t="shared" si="40"/>
        <v>УСПЕШНО</v>
      </c>
      <c r="CJ48" s="838" t="str">
        <f t="shared" ca="1" si="41"/>
        <v>-</v>
      </c>
      <c r="CK48" s="831"/>
      <c r="CL48" s="832"/>
      <c r="CM48" s="833" t="str">
        <f t="shared" si="42"/>
        <v>-</v>
      </c>
      <c r="CN48" s="834" t="str">
        <f t="shared" si="43"/>
        <v>-</v>
      </c>
      <c r="CO48" s="830" t="str">
        <f t="shared" ca="1" si="44"/>
        <v>-</v>
      </c>
      <c r="CP48" s="839"/>
      <c r="CQ48" s="832"/>
      <c r="CR48" s="833" t="str">
        <f t="shared" si="45"/>
        <v>-</v>
      </c>
      <c r="CS48" s="833" t="str">
        <f t="shared" si="46"/>
        <v>-</v>
      </c>
      <c r="CT48" s="834" t="str">
        <f t="shared" si="47"/>
        <v>-</v>
      </c>
      <c r="CU48" s="835" t="str">
        <f t="shared" si="48"/>
        <v>-</v>
      </c>
      <c r="CV48" s="839"/>
      <c r="CW48" s="832"/>
      <c r="CX48" s="833" t="str">
        <f t="shared" si="49"/>
        <v>-</v>
      </c>
      <c r="CY48" s="840" t="str">
        <f t="shared" si="50"/>
        <v>-</v>
      </c>
      <c r="CZ48" s="833" t="str">
        <f t="shared" si="51"/>
        <v>-</v>
      </c>
      <c r="DA48" s="838" t="str">
        <f t="shared" ca="1" si="52"/>
        <v>-</v>
      </c>
      <c r="DB48" s="841"/>
      <c r="DC48" s="832"/>
    </row>
    <row r="49" spans="1:107" s="842" customFormat="1" ht="15.95" customHeight="1" x14ac:dyDescent="0.25">
      <c r="A49" s="790">
        <v>47</v>
      </c>
      <c r="B49" s="791">
        <f t="shared" ca="1" si="0"/>
        <v>43134</v>
      </c>
      <c r="C49" s="792" t="s">
        <v>614</v>
      </c>
      <c r="D49" s="59" t="s">
        <v>3202</v>
      </c>
      <c r="E49" s="794" t="s">
        <v>213</v>
      </c>
      <c r="F49" s="795" t="s">
        <v>214</v>
      </c>
      <c r="G49" s="796">
        <f>SUMIFS(МОЛОКО!L8:L6958,МОЛОКО!F8:F6958,"1900",МОЛОКО!L8:L6958,"&gt;0")</f>
        <v>25.6</v>
      </c>
      <c r="H49" s="797" t="s">
        <v>603</v>
      </c>
      <c r="I49" s="798">
        <v>41452</v>
      </c>
      <c r="J49" s="799">
        <f t="shared" ca="1" si="1"/>
        <v>4.6082191780821917</v>
      </c>
      <c r="K49" s="799">
        <f t="shared" ca="1" si="2"/>
        <v>56.06666666666667</v>
      </c>
      <c r="L49" s="800">
        <f t="shared" ca="1" si="3"/>
        <v>1682</v>
      </c>
      <c r="M49" s="801">
        <v>42050</v>
      </c>
      <c r="N49" s="802">
        <v>42992</v>
      </c>
      <c r="O49" s="803">
        <f t="shared" ca="1" si="4"/>
        <v>142</v>
      </c>
      <c r="P49" s="804">
        <v>3</v>
      </c>
      <c r="Q49" s="805"/>
      <c r="R49" s="806"/>
      <c r="S49" s="807"/>
      <c r="T49" s="798"/>
      <c r="U49" s="798" t="str">
        <f t="shared" si="5"/>
        <v>-</v>
      </c>
      <c r="V49" s="804" t="str">
        <f t="shared" ca="1" si="6"/>
        <v>-</v>
      </c>
      <c r="W49" s="808">
        <v>0</v>
      </c>
      <c r="X49" s="794" t="str">
        <f t="shared" si="53"/>
        <v>-</v>
      </c>
      <c r="Y49" s="794">
        <v>0</v>
      </c>
      <c r="Z49" s="809" t="str">
        <f t="shared" ca="1" si="8"/>
        <v>-----</v>
      </c>
      <c r="AA49" s="810">
        <f t="shared" ca="1" si="9"/>
        <v>43134</v>
      </c>
      <c r="AB49" s="804"/>
      <c r="AC49" s="811" t="str">
        <f t="shared" ca="1" si="10"/>
        <v>-----</v>
      </c>
      <c r="AD49" s="798"/>
      <c r="AE49" s="794" t="str">
        <f t="shared" ca="1" si="11"/>
        <v>яловая</v>
      </c>
      <c r="AF49" s="798" t="str">
        <f t="shared" si="12"/>
        <v>-</v>
      </c>
      <c r="AG49" s="812" t="str">
        <f t="shared" si="13"/>
        <v>---------</v>
      </c>
      <c r="AH49" s="807"/>
      <c r="AI49" s="807" t="str">
        <f t="shared" si="14"/>
        <v>-</v>
      </c>
      <c r="AJ49" s="807" t="str">
        <f t="shared" si="15"/>
        <v>-</v>
      </c>
      <c r="AK49" s="813"/>
      <c r="AL49" s="807" t="str">
        <f t="shared" si="16"/>
        <v>-</v>
      </c>
      <c r="AM49" s="807" t="str">
        <f t="shared" si="17"/>
        <v>-</v>
      </c>
      <c r="AN49" s="814" t="str">
        <f t="shared" ca="1" si="18"/>
        <v>-</v>
      </c>
      <c r="AO49" s="815">
        <v>1</v>
      </c>
      <c r="AP49" s="816" t="str">
        <f t="shared" ca="1" si="19"/>
        <v>-</v>
      </c>
      <c r="AQ49" s="817"/>
      <c r="AR49" s="794" t="str">
        <f t="shared" si="20"/>
        <v>-</v>
      </c>
      <c r="AS49" s="818"/>
      <c r="AT49" s="794" t="str">
        <f t="shared" si="21"/>
        <v>-</v>
      </c>
      <c r="AU49" s="819"/>
      <c r="AV49" s="820"/>
      <c r="AW49" s="821"/>
      <c r="AX49" s="821"/>
      <c r="AY49" s="969" t="str">
        <f t="shared" si="22"/>
        <v>-</v>
      </c>
      <c r="AZ49" s="966" t="str">
        <f t="shared" si="23"/>
        <v>-</v>
      </c>
      <c r="BA49" s="971" t="str">
        <f t="shared" si="24"/>
        <v>-</v>
      </c>
      <c r="BB49" s="975"/>
      <c r="BC49" s="821"/>
      <c r="BD49" s="821"/>
      <c r="BE49" s="963" t="str">
        <f t="shared" si="25"/>
        <v>-</v>
      </c>
      <c r="BF49" s="984"/>
      <c r="BG49" s="988"/>
      <c r="BH49" s="982"/>
      <c r="BI49" s="991"/>
      <c r="BJ49" s="991"/>
      <c r="BK49" s="993" t="str">
        <f t="shared" si="26"/>
        <v>-</v>
      </c>
      <c r="BL49" s="820">
        <v>42982</v>
      </c>
      <c r="BM49" s="821">
        <v>5</v>
      </c>
      <c r="BN49" s="822">
        <f t="shared" ca="1" si="27"/>
        <v>152</v>
      </c>
      <c r="BO49" s="823">
        <f t="shared" si="28"/>
        <v>51</v>
      </c>
      <c r="BP49" s="824"/>
      <c r="BQ49" s="821"/>
      <c r="BR49" s="822" t="str">
        <f t="shared" si="29"/>
        <v>-</v>
      </c>
      <c r="BS49" s="823" t="str">
        <f t="shared" si="30"/>
        <v>-</v>
      </c>
      <c r="BT49" s="825" t="str">
        <f t="shared" ca="1" si="31"/>
        <v>-</v>
      </c>
      <c r="BU49" s="826"/>
      <c r="BV49" s="827"/>
      <c r="BW49" s="828" t="str">
        <f t="shared" si="32"/>
        <v>Ж-Е НЕ ВАКЦ.</v>
      </c>
      <c r="BX49" s="829" t="str">
        <f t="shared" si="33"/>
        <v>-</v>
      </c>
      <c r="BY49" s="830" t="str">
        <f t="shared" ca="1" si="34"/>
        <v>-</v>
      </c>
      <c r="BZ49" s="831">
        <v>43018</v>
      </c>
      <c r="CA49" s="832">
        <v>5</v>
      </c>
      <c r="CB49" s="833">
        <f t="shared" ca="1" si="35"/>
        <v>116</v>
      </c>
      <c r="CC49" s="834" t="str">
        <f t="shared" ca="1" si="36"/>
        <v>-</v>
      </c>
      <c r="CD49" s="835">
        <f t="shared" si="37"/>
        <v>43039</v>
      </c>
      <c r="CE49" s="831">
        <v>43046</v>
      </c>
      <c r="CF49" s="832">
        <v>5</v>
      </c>
      <c r="CG49" s="833">
        <f t="shared" ca="1" si="38"/>
        <v>88</v>
      </c>
      <c r="CH49" s="836">
        <f t="shared" si="39"/>
        <v>-7</v>
      </c>
      <c r="CI49" s="837" t="str">
        <f t="shared" si="40"/>
        <v>-</v>
      </c>
      <c r="CJ49" s="838" t="str">
        <f t="shared" ca="1" si="41"/>
        <v>-</v>
      </c>
      <c r="CK49" s="831"/>
      <c r="CL49" s="832"/>
      <c r="CM49" s="833" t="str">
        <f t="shared" si="42"/>
        <v>-</v>
      </c>
      <c r="CN49" s="834" t="str">
        <f t="shared" si="43"/>
        <v>-</v>
      </c>
      <c r="CO49" s="830" t="str">
        <f t="shared" ca="1" si="44"/>
        <v>-</v>
      </c>
      <c r="CP49" s="831">
        <v>42925</v>
      </c>
      <c r="CQ49" s="832">
        <v>2</v>
      </c>
      <c r="CR49" s="833">
        <f t="shared" si="45"/>
        <v>42925</v>
      </c>
      <c r="CS49" s="833">
        <f t="shared" ca="1" si="46"/>
        <v>209</v>
      </c>
      <c r="CT49" s="834" t="str">
        <f t="shared" ca="1" si="47"/>
        <v>-</v>
      </c>
      <c r="CU49" s="835">
        <f t="shared" si="48"/>
        <v>42946</v>
      </c>
      <c r="CV49" s="831">
        <v>42946</v>
      </c>
      <c r="CW49" s="832">
        <v>2</v>
      </c>
      <c r="CX49" s="833">
        <f t="shared" si="49"/>
        <v>0</v>
      </c>
      <c r="CY49" s="840" t="str">
        <f t="shared" si="50"/>
        <v>УСПЕШНО</v>
      </c>
      <c r="CZ49" s="833">
        <f t="shared" si="51"/>
        <v>42946</v>
      </c>
      <c r="DA49" s="838" t="str">
        <f t="shared" ca="1" si="52"/>
        <v>-</v>
      </c>
      <c r="DB49" s="841"/>
      <c r="DC49" s="832"/>
    </row>
    <row r="50" spans="1:107" s="842" customFormat="1" ht="15.95" customHeight="1" x14ac:dyDescent="0.25">
      <c r="A50" s="790">
        <v>48</v>
      </c>
      <c r="B50" s="791">
        <f t="shared" ca="1" si="0"/>
        <v>43134</v>
      </c>
      <c r="C50" s="792" t="s">
        <v>614</v>
      </c>
      <c r="D50" s="793" t="s">
        <v>3202</v>
      </c>
      <c r="E50" s="794" t="s">
        <v>704</v>
      </c>
      <c r="F50" s="795" t="s">
        <v>705</v>
      </c>
      <c r="G50" s="796">
        <f>SUMIFS(МОЛОКО!L8:L6958,МОЛОКО!F8:F6958,"1937",МОЛОКО!L8:L6958,"&gt;0")</f>
        <v>28.5</v>
      </c>
      <c r="H50" s="797" t="s">
        <v>603</v>
      </c>
      <c r="I50" s="798">
        <v>41512</v>
      </c>
      <c r="J50" s="799">
        <f t="shared" ca="1" si="1"/>
        <v>4.4438356164383563</v>
      </c>
      <c r="K50" s="799">
        <f t="shared" ca="1" si="2"/>
        <v>54.06666666666667</v>
      </c>
      <c r="L50" s="800">
        <f t="shared" ca="1" si="3"/>
        <v>1622</v>
      </c>
      <c r="M50" s="801">
        <v>42387</v>
      </c>
      <c r="N50" s="802">
        <v>42864</v>
      </c>
      <c r="O50" s="803">
        <f t="shared" ca="1" si="4"/>
        <v>270</v>
      </c>
      <c r="P50" s="804">
        <v>2</v>
      </c>
      <c r="Q50" s="805" t="s">
        <v>2366</v>
      </c>
      <c r="R50" s="806" t="s">
        <v>2962</v>
      </c>
      <c r="S50" s="807">
        <v>42922</v>
      </c>
      <c r="T50" s="798">
        <v>42946</v>
      </c>
      <c r="U50" s="798" t="str">
        <f t="shared" si="5"/>
        <v>-</v>
      </c>
      <c r="V50" s="804" t="str">
        <f t="shared" ca="1" si="6"/>
        <v>-</v>
      </c>
      <c r="W50" s="808">
        <v>2</v>
      </c>
      <c r="X50" s="794">
        <f t="shared" si="53"/>
        <v>82</v>
      </c>
      <c r="Y50" s="794">
        <v>1</v>
      </c>
      <c r="Z50" s="809" t="str">
        <f t="shared" ca="1" si="8"/>
        <v>-----</v>
      </c>
      <c r="AA50" s="810" t="str">
        <f t="shared" ca="1" si="9"/>
        <v>-----</v>
      </c>
      <c r="AB50" s="804">
        <v>1</v>
      </c>
      <c r="AC50" s="811" t="str">
        <f t="shared" ca="1" si="10"/>
        <v>-----</v>
      </c>
      <c r="AD50" s="798">
        <v>43030</v>
      </c>
      <c r="AE50" s="794" t="str">
        <f t="shared" ca="1" si="11"/>
        <v>-</v>
      </c>
      <c r="AF50" s="798" t="str">
        <f t="shared" si="12"/>
        <v>-</v>
      </c>
      <c r="AG50" s="812" t="str">
        <f t="shared" si="13"/>
        <v>---------</v>
      </c>
      <c r="AH50" s="807">
        <v>42975</v>
      </c>
      <c r="AI50" s="807">
        <f t="shared" si="14"/>
        <v>43136</v>
      </c>
      <c r="AJ50" s="807">
        <f t="shared" si="15"/>
        <v>43166</v>
      </c>
      <c r="AK50" s="813"/>
      <c r="AL50" s="807">
        <f t="shared" si="16"/>
        <v>43205</v>
      </c>
      <c r="AM50" s="807">
        <f t="shared" si="17"/>
        <v>43226</v>
      </c>
      <c r="AN50" s="814">
        <f t="shared" ca="1" si="18"/>
        <v>-92</v>
      </c>
      <c r="AO50" s="815">
        <v>1</v>
      </c>
      <c r="AP50" s="816" t="str">
        <f t="shared" ca="1" si="19"/>
        <v>-</v>
      </c>
      <c r="AQ50" s="817"/>
      <c r="AR50" s="794" t="str">
        <f t="shared" si="20"/>
        <v>-</v>
      </c>
      <c r="AS50" s="818"/>
      <c r="AT50" s="794" t="str">
        <f t="shared" si="21"/>
        <v>-</v>
      </c>
      <c r="AU50" s="819"/>
      <c r="AV50" s="820"/>
      <c r="AW50" s="821"/>
      <c r="AX50" s="821"/>
      <c r="AY50" s="969" t="str">
        <f t="shared" si="22"/>
        <v>-</v>
      </c>
      <c r="AZ50" s="966" t="str">
        <f t="shared" si="23"/>
        <v>-</v>
      </c>
      <c r="BA50" s="971" t="str">
        <f t="shared" si="24"/>
        <v>-</v>
      </c>
      <c r="BB50" s="975"/>
      <c r="BC50" s="821"/>
      <c r="BD50" s="821"/>
      <c r="BE50" s="963" t="str">
        <f t="shared" si="25"/>
        <v>-</v>
      </c>
      <c r="BF50" s="984"/>
      <c r="BG50" s="988"/>
      <c r="BH50" s="982"/>
      <c r="BI50" s="991"/>
      <c r="BJ50" s="991"/>
      <c r="BK50" s="993" t="str">
        <f t="shared" si="26"/>
        <v>-</v>
      </c>
      <c r="BL50" s="820">
        <v>42980</v>
      </c>
      <c r="BM50" s="821">
        <v>5</v>
      </c>
      <c r="BN50" s="822">
        <f t="shared" ca="1" si="27"/>
        <v>154</v>
      </c>
      <c r="BO50" s="823">
        <f t="shared" si="28"/>
        <v>48.93333333333333</v>
      </c>
      <c r="BP50" s="824"/>
      <c r="BQ50" s="821"/>
      <c r="BR50" s="822" t="str">
        <f t="shared" si="29"/>
        <v>-</v>
      </c>
      <c r="BS50" s="823" t="str">
        <f t="shared" si="30"/>
        <v>-</v>
      </c>
      <c r="BT50" s="825" t="str">
        <f t="shared" ca="1" si="31"/>
        <v>-</v>
      </c>
      <c r="BU50" s="826"/>
      <c r="BV50" s="827"/>
      <c r="BW50" s="828" t="str">
        <f t="shared" si="32"/>
        <v>Ж-Е НЕ ВАКЦ.</v>
      </c>
      <c r="BX50" s="829" t="str">
        <f t="shared" si="33"/>
        <v>-</v>
      </c>
      <c r="BY50" s="830" t="str">
        <f t="shared" ca="1" si="34"/>
        <v>-</v>
      </c>
      <c r="BZ50" s="831">
        <v>42888</v>
      </c>
      <c r="CA50" s="832">
        <v>5</v>
      </c>
      <c r="CB50" s="833">
        <f t="shared" ca="1" si="35"/>
        <v>246</v>
      </c>
      <c r="CC50" s="834" t="str">
        <f t="shared" ca="1" si="36"/>
        <v>-</v>
      </c>
      <c r="CD50" s="835">
        <f t="shared" si="37"/>
        <v>42909</v>
      </c>
      <c r="CE50" s="831">
        <v>42909</v>
      </c>
      <c r="CF50" s="832">
        <v>5</v>
      </c>
      <c r="CG50" s="833">
        <f t="shared" ca="1" si="38"/>
        <v>225</v>
      </c>
      <c r="CH50" s="836">
        <f t="shared" si="39"/>
        <v>0</v>
      </c>
      <c r="CI50" s="837" t="str">
        <f t="shared" si="40"/>
        <v>УСПЕШНО</v>
      </c>
      <c r="CJ50" s="838" t="str">
        <f t="shared" ca="1" si="41"/>
        <v>-</v>
      </c>
      <c r="CK50" s="831"/>
      <c r="CL50" s="832"/>
      <c r="CM50" s="833" t="str">
        <f t="shared" si="42"/>
        <v>-</v>
      </c>
      <c r="CN50" s="834" t="str">
        <f t="shared" si="43"/>
        <v>-</v>
      </c>
      <c r="CO50" s="830" t="str">
        <f t="shared" ca="1" si="44"/>
        <v>-</v>
      </c>
      <c r="CP50" s="839"/>
      <c r="CQ50" s="832"/>
      <c r="CR50" s="833" t="str">
        <f t="shared" si="45"/>
        <v>-</v>
      </c>
      <c r="CS50" s="833" t="str">
        <f t="shared" si="46"/>
        <v>-</v>
      </c>
      <c r="CT50" s="834" t="str">
        <f t="shared" si="47"/>
        <v>-</v>
      </c>
      <c r="CU50" s="835" t="str">
        <f t="shared" si="48"/>
        <v>-</v>
      </c>
      <c r="CV50" s="839"/>
      <c r="CW50" s="832"/>
      <c r="CX50" s="833" t="str">
        <f t="shared" si="49"/>
        <v>-</v>
      </c>
      <c r="CY50" s="840" t="str">
        <f t="shared" si="50"/>
        <v>-</v>
      </c>
      <c r="CZ50" s="833" t="str">
        <f t="shared" si="51"/>
        <v>-</v>
      </c>
      <c r="DA50" s="838" t="str">
        <f t="shared" ca="1" si="52"/>
        <v>-</v>
      </c>
      <c r="DB50" s="841"/>
      <c r="DC50" s="832"/>
    </row>
    <row r="51" spans="1:107" s="842" customFormat="1" ht="15.95" customHeight="1" x14ac:dyDescent="0.25">
      <c r="A51" s="790">
        <v>49</v>
      </c>
      <c r="B51" s="791">
        <f t="shared" ca="1" si="0"/>
        <v>43134</v>
      </c>
      <c r="C51" s="792" t="s">
        <v>614</v>
      </c>
      <c r="D51" s="793" t="s">
        <v>3202</v>
      </c>
      <c r="E51" s="794" t="s">
        <v>710</v>
      </c>
      <c r="F51" s="795" t="s">
        <v>711</v>
      </c>
      <c r="G51" s="796">
        <f>SUMIFS(МОЛОКО!L8:L6958,МОЛОКО!F8:F6958,"1981",МОЛОКО!L8:L6958,"&gt;0")</f>
        <v>22.5</v>
      </c>
      <c r="H51" s="797" t="s">
        <v>603</v>
      </c>
      <c r="I51" s="798">
        <v>41558</v>
      </c>
      <c r="J51" s="799">
        <f t="shared" ca="1" si="1"/>
        <v>4.3178082191780822</v>
      </c>
      <c r="K51" s="799">
        <f t="shared" ca="1" si="2"/>
        <v>52.533333333333331</v>
      </c>
      <c r="L51" s="800">
        <f t="shared" ca="1" si="3"/>
        <v>1576</v>
      </c>
      <c r="M51" s="801">
        <v>42341</v>
      </c>
      <c r="N51" s="802">
        <v>42820</v>
      </c>
      <c r="O51" s="803">
        <f t="shared" ca="1" si="4"/>
        <v>314</v>
      </c>
      <c r="P51" s="804">
        <v>2</v>
      </c>
      <c r="Q51" s="805" t="s">
        <v>2366</v>
      </c>
      <c r="R51" s="118" t="s">
        <v>3020</v>
      </c>
      <c r="S51" s="807">
        <v>42880</v>
      </c>
      <c r="T51" s="798">
        <v>43042</v>
      </c>
      <c r="U51" s="798">
        <f t="shared" si="5"/>
        <v>43060</v>
      </c>
      <c r="V51" s="804">
        <f t="shared" ca="1" si="6"/>
        <v>74</v>
      </c>
      <c r="W51" s="808">
        <v>3</v>
      </c>
      <c r="X51" s="794">
        <f t="shared" si="53"/>
        <v>222</v>
      </c>
      <c r="Y51" s="794">
        <v>3</v>
      </c>
      <c r="Z51" s="809" t="str">
        <f t="shared" ca="1" si="8"/>
        <v>-----</v>
      </c>
      <c r="AA51" s="810">
        <f t="shared" ca="1" si="9"/>
        <v>92</v>
      </c>
      <c r="AB51" s="804"/>
      <c r="AC51" s="811" t="str">
        <f t="shared" ca="1" si="10"/>
        <v>-----</v>
      </c>
      <c r="AD51" s="798"/>
      <c r="AE51" s="794" t="str">
        <f t="shared" ca="1" si="11"/>
        <v>-</v>
      </c>
      <c r="AF51" s="798">
        <f t="shared" si="12"/>
        <v>43077</v>
      </c>
      <c r="AG51" s="812">
        <f t="shared" ca="1" si="13"/>
        <v>57</v>
      </c>
      <c r="AH51" s="807">
        <v>43042</v>
      </c>
      <c r="AI51" s="807" t="str">
        <f t="shared" si="14"/>
        <v>-</v>
      </c>
      <c r="AJ51" s="807" t="str">
        <f t="shared" si="15"/>
        <v>-</v>
      </c>
      <c r="AK51" s="813"/>
      <c r="AL51" s="807" t="str">
        <f t="shared" si="16"/>
        <v>-</v>
      </c>
      <c r="AM51" s="807" t="str">
        <f t="shared" si="17"/>
        <v>-</v>
      </c>
      <c r="AN51" s="814" t="str">
        <f t="shared" ca="1" si="18"/>
        <v>-</v>
      </c>
      <c r="AO51" s="815">
        <v>1</v>
      </c>
      <c r="AP51" s="816" t="str">
        <f t="shared" ca="1" si="19"/>
        <v>-</v>
      </c>
      <c r="AQ51" s="817"/>
      <c r="AR51" s="794" t="str">
        <f t="shared" si="20"/>
        <v>-</v>
      </c>
      <c r="AS51" s="818"/>
      <c r="AT51" s="794" t="str">
        <f t="shared" si="21"/>
        <v>-</v>
      </c>
      <c r="AU51" s="819"/>
      <c r="AV51" s="820"/>
      <c r="AW51" s="821"/>
      <c r="AX51" s="821"/>
      <c r="AY51" s="969" t="str">
        <f t="shared" si="22"/>
        <v>-</v>
      </c>
      <c r="AZ51" s="966" t="str">
        <f t="shared" si="23"/>
        <v>-</v>
      </c>
      <c r="BA51" s="971" t="str">
        <f t="shared" si="24"/>
        <v>-</v>
      </c>
      <c r="BB51" s="975"/>
      <c r="BC51" s="821"/>
      <c r="BD51" s="821"/>
      <c r="BE51" s="963" t="str">
        <f t="shared" si="25"/>
        <v>-</v>
      </c>
      <c r="BF51" s="984"/>
      <c r="BG51" s="988"/>
      <c r="BH51" s="982"/>
      <c r="BI51" s="991"/>
      <c r="BJ51" s="991"/>
      <c r="BK51" s="993" t="str">
        <f t="shared" si="26"/>
        <v>-</v>
      </c>
      <c r="BL51" s="820">
        <v>42980</v>
      </c>
      <c r="BM51" s="821">
        <v>5</v>
      </c>
      <c r="BN51" s="822">
        <f t="shared" ca="1" si="27"/>
        <v>154</v>
      </c>
      <c r="BO51" s="823">
        <f t="shared" si="28"/>
        <v>47.4</v>
      </c>
      <c r="BP51" s="824">
        <v>43001</v>
      </c>
      <c r="BQ51" s="821">
        <v>2</v>
      </c>
      <c r="BR51" s="822">
        <f t="shared" ca="1" si="29"/>
        <v>133</v>
      </c>
      <c r="BS51" s="823">
        <f t="shared" si="30"/>
        <v>22</v>
      </c>
      <c r="BT51" s="825" t="str">
        <f t="shared" ca="1" si="31"/>
        <v>-</v>
      </c>
      <c r="BU51" s="826"/>
      <c r="BV51" s="827"/>
      <c r="BW51" s="828" t="str">
        <f t="shared" si="32"/>
        <v>Ж-Е НЕ ВАКЦ.</v>
      </c>
      <c r="BX51" s="829" t="str">
        <f t="shared" si="33"/>
        <v>-</v>
      </c>
      <c r="BY51" s="830" t="str">
        <f t="shared" ca="1" si="34"/>
        <v>-</v>
      </c>
      <c r="BZ51" s="831">
        <v>42887</v>
      </c>
      <c r="CA51" s="832">
        <v>5</v>
      </c>
      <c r="CB51" s="833">
        <f t="shared" ca="1" si="35"/>
        <v>247</v>
      </c>
      <c r="CC51" s="834" t="str">
        <f t="shared" ca="1" si="36"/>
        <v>-</v>
      </c>
      <c r="CD51" s="835">
        <f t="shared" si="37"/>
        <v>42908</v>
      </c>
      <c r="CE51" s="831">
        <v>42908</v>
      </c>
      <c r="CF51" s="832">
        <v>5</v>
      </c>
      <c r="CG51" s="833">
        <f t="shared" ca="1" si="38"/>
        <v>226</v>
      </c>
      <c r="CH51" s="836">
        <f t="shared" si="39"/>
        <v>0</v>
      </c>
      <c r="CI51" s="837" t="str">
        <f t="shared" si="40"/>
        <v>УСПЕШНО</v>
      </c>
      <c r="CJ51" s="838" t="str">
        <f t="shared" ca="1" si="41"/>
        <v>-</v>
      </c>
      <c r="CK51" s="831"/>
      <c r="CL51" s="832"/>
      <c r="CM51" s="833" t="str">
        <f t="shared" si="42"/>
        <v>-</v>
      </c>
      <c r="CN51" s="834" t="str">
        <f t="shared" si="43"/>
        <v>-</v>
      </c>
      <c r="CO51" s="830" t="str">
        <f t="shared" ca="1" si="44"/>
        <v>-</v>
      </c>
      <c r="CP51" s="839"/>
      <c r="CQ51" s="832"/>
      <c r="CR51" s="833" t="str">
        <f t="shared" si="45"/>
        <v>-</v>
      </c>
      <c r="CS51" s="833" t="str">
        <f t="shared" si="46"/>
        <v>-</v>
      </c>
      <c r="CT51" s="834" t="str">
        <f t="shared" si="47"/>
        <v>-</v>
      </c>
      <c r="CU51" s="835" t="str">
        <f t="shared" si="48"/>
        <v>-</v>
      </c>
      <c r="CV51" s="839"/>
      <c r="CW51" s="832"/>
      <c r="CX51" s="833" t="str">
        <f t="shared" si="49"/>
        <v>-</v>
      </c>
      <c r="CY51" s="840" t="str">
        <f t="shared" si="50"/>
        <v>-</v>
      </c>
      <c r="CZ51" s="833" t="str">
        <f t="shared" si="51"/>
        <v>-</v>
      </c>
      <c r="DA51" s="838" t="str">
        <f t="shared" ca="1" si="52"/>
        <v>-</v>
      </c>
      <c r="DB51" s="841"/>
      <c r="DC51" s="832"/>
    </row>
    <row r="52" spans="1:107" s="842" customFormat="1" ht="15.95" customHeight="1" x14ac:dyDescent="0.25">
      <c r="A52" s="790">
        <v>50</v>
      </c>
      <c r="B52" s="791">
        <f t="shared" ca="1" si="0"/>
        <v>43134</v>
      </c>
      <c r="C52" s="792" t="s">
        <v>614</v>
      </c>
      <c r="D52" s="793" t="s">
        <v>3202</v>
      </c>
      <c r="E52" s="794" t="s">
        <v>939</v>
      </c>
      <c r="F52" s="795" t="s">
        <v>940</v>
      </c>
      <c r="G52" s="796">
        <f>SUMIFS(МОЛОКО!L8:L6958,МОЛОКО!F8:F6958,"2029",МОЛОКО!L8:L6958,"&gt;0")</f>
        <v>32</v>
      </c>
      <c r="H52" s="797" t="s">
        <v>603</v>
      </c>
      <c r="I52" s="798">
        <v>41595</v>
      </c>
      <c r="J52" s="799">
        <f t="shared" ca="1" si="1"/>
        <v>4.2164383561643834</v>
      </c>
      <c r="K52" s="799">
        <f t="shared" ca="1" si="2"/>
        <v>51.3</v>
      </c>
      <c r="L52" s="800">
        <f t="shared" ca="1" si="3"/>
        <v>1539</v>
      </c>
      <c r="M52" s="846">
        <v>42448</v>
      </c>
      <c r="N52" s="802">
        <v>42895</v>
      </c>
      <c r="O52" s="803">
        <f t="shared" ca="1" si="4"/>
        <v>239</v>
      </c>
      <c r="P52" s="804">
        <v>2</v>
      </c>
      <c r="Q52" s="805" t="s">
        <v>2366</v>
      </c>
      <c r="R52" s="806" t="s">
        <v>2966</v>
      </c>
      <c r="S52" s="807">
        <v>42964</v>
      </c>
      <c r="T52" s="798">
        <v>42964</v>
      </c>
      <c r="U52" s="798" t="str">
        <f t="shared" si="5"/>
        <v>-</v>
      </c>
      <c r="V52" s="804" t="str">
        <f t="shared" ca="1" si="6"/>
        <v>-</v>
      </c>
      <c r="W52" s="808">
        <v>1</v>
      </c>
      <c r="X52" s="794">
        <f t="shared" si="53"/>
        <v>69</v>
      </c>
      <c r="Y52" s="794">
        <v>0</v>
      </c>
      <c r="Z52" s="809" t="str">
        <f t="shared" ca="1" si="8"/>
        <v>-----</v>
      </c>
      <c r="AA52" s="810">
        <f t="shared" ca="1" si="9"/>
        <v>170</v>
      </c>
      <c r="AB52" s="804"/>
      <c r="AC52" s="811" t="str">
        <f t="shared" ca="1" si="10"/>
        <v>-----</v>
      </c>
      <c r="AD52" s="798"/>
      <c r="AE52" s="794" t="str">
        <f t="shared" ca="1" si="11"/>
        <v>яловая</v>
      </c>
      <c r="AF52" s="798" t="str">
        <f t="shared" si="12"/>
        <v>-</v>
      </c>
      <c r="AG52" s="812" t="str">
        <f t="shared" si="13"/>
        <v>---------</v>
      </c>
      <c r="AH52" s="807">
        <v>43000</v>
      </c>
      <c r="AI52" s="807" t="str">
        <f t="shared" si="14"/>
        <v>-</v>
      </c>
      <c r="AJ52" s="807" t="str">
        <f t="shared" si="15"/>
        <v>-</v>
      </c>
      <c r="AK52" s="813"/>
      <c r="AL52" s="807" t="str">
        <f t="shared" si="16"/>
        <v>-</v>
      </c>
      <c r="AM52" s="807" t="str">
        <f t="shared" si="17"/>
        <v>-</v>
      </c>
      <c r="AN52" s="814" t="str">
        <f t="shared" ca="1" si="18"/>
        <v>-</v>
      </c>
      <c r="AO52" s="815">
        <v>1</v>
      </c>
      <c r="AP52" s="816" t="str">
        <f t="shared" ca="1" si="19"/>
        <v>-</v>
      </c>
      <c r="AQ52" s="817"/>
      <c r="AR52" s="794" t="str">
        <f t="shared" si="20"/>
        <v>-</v>
      </c>
      <c r="AS52" s="818"/>
      <c r="AT52" s="794" t="str">
        <f t="shared" si="21"/>
        <v>-</v>
      </c>
      <c r="AU52" s="819"/>
      <c r="AV52" s="820"/>
      <c r="AW52" s="821"/>
      <c r="AX52" s="821"/>
      <c r="AY52" s="969" t="str">
        <f t="shared" si="22"/>
        <v>-</v>
      </c>
      <c r="AZ52" s="966" t="str">
        <f t="shared" si="23"/>
        <v>-</v>
      </c>
      <c r="BA52" s="971" t="str">
        <f t="shared" si="24"/>
        <v>-</v>
      </c>
      <c r="BB52" s="975"/>
      <c r="BC52" s="821"/>
      <c r="BD52" s="821"/>
      <c r="BE52" s="963" t="str">
        <f t="shared" si="25"/>
        <v>-</v>
      </c>
      <c r="BF52" s="984"/>
      <c r="BG52" s="988"/>
      <c r="BH52" s="982"/>
      <c r="BI52" s="991"/>
      <c r="BJ52" s="991"/>
      <c r="BK52" s="993" t="str">
        <f t="shared" si="26"/>
        <v>-</v>
      </c>
      <c r="BL52" s="820">
        <v>42980</v>
      </c>
      <c r="BM52" s="821">
        <v>5</v>
      </c>
      <c r="BN52" s="822">
        <f t="shared" ca="1" si="27"/>
        <v>154</v>
      </c>
      <c r="BO52" s="823">
        <f t="shared" si="28"/>
        <v>46.166666666666664</v>
      </c>
      <c r="BP52" s="824">
        <v>43001</v>
      </c>
      <c r="BQ52" s="821">
        <v>2</v>
      </c>
      <c r="BR52" s="822">
        <f t="shared" ca="1" si="29"/>
        <v>133</v>
      </c>
      <c r="BS52" s="823">
        <f t="shared" si="30"/>
        <v>18.433333333333334</v>
      </c>
      <c r="BT52" s="825" t="str">
        <f t="shared" ca="1" si="31"/>
        <v>-</v>
      </c>
      <c r="BU52" s="826"/>
      <c r="BV52" s="827"/>
      <c r="BW52" s="828" t="str">
        <f t="shared" si="32"/>
        <v>Ж-Е НЕ ВАКЦ.</v>
      </c>
      <c r="BX52" s="829" t="str">
        <f t="shared" si="33"/>
        <v>-</v>
      </c>
      <c r="BY52" s="830" t="str">
        <f t="shared" ca="1" si="34"/>
        <v>-</v>
      </c>
      <c r="BZ52" s="831">
        <v>42916</v>
      </c>
      <c r="CA52" s="832">
        <v>5</v>
      </c>
      <c r="CB52" s="833">
        <f t="shared" ca="1" si="35"/>
        <v>218</v>
      </c>
      <c r="CC52" s="834" t="str">
        <f t="shared" ca="1" si="36"/>
        <v>-</v>
      </c>
      <c r="CD52" s="835">
        <f t="shared" si="37"/>
        <v>42937</v>
      </c>
      <c r="CE52" s="831">
        <v>42937</v>
      </c>
      <c r="CF52" s="832">
        <v>5</v>
      </c>
      <c r="CG52" s="833">
        <f t="shared" ca="1" si="38"/>
        <v>197</v>
      </c>
      <c r="CH52" s="836">
        <f t="shared" si="39"/>
        <v>0</v>
      </c>
      <c r="CI52" s="837" t="str">
        <f t="shared" si="40"/>
        <v>УСПЕШНО</v>
      </c>
      <c r="CJ52" s="838" t="str">
        <f t="shared" ca="1" si="41"/>
        <v>-</v>
      </c>
      <c r="CK52" s="831"/>
      <c r="CL52" s="832"/>
      <c r="CM52" s="833" t="str">
        <f t="shared" si="42"/>
        <v>-</v>
      </c>
      <c r="CN52" s="834" t="str">
        <f t="shared" si="43"/>
        <v>-</v>
      </c>
      <c r="CO52" s="830" t="str">
        <f t="shared" ca="1" si="44"/>
        <v>-</v>
      </c>
      <c r="CP52" s="839"/>
      <c r="CQ52" s="832"/>
      <c r="CR52" s="833" t="str">
        <f t="shared" si="45"/>
        <v>-</v>
      </c>
      <c r="CS52" s="833" t="str">
        <f t="shared" si="46"/>
        <v>-</v>
      </c>
      <c r="CT52" s="834" t="str">
        <f t="shared" si="47"/>
        <v>-</v>
      </c>
      <c r="CU52" s="835" t="str">
        <f t="shared" si="48"/>
        <v>-</v>
      </c>
      <c r="CV52" s="839"/>
      <c r="CW52" s="832"/>
      <c r="CX52" s="833" t="str">
        <f t="shared" si="49"/>
        <v>-</v>
      </c>
      <c r="CY52" s="840" t="str">
        <f t="shared" si="50"/>
        <v>-</v>
      </c>
      <c r="CZ52" s="833" t="str">
        <f t="shared" si="51"/>
        <v>-</v>
      </c>
      <c r="DA52" s="838" t="str">
        <f t="shared" ca="1" si="52"/>
        <v>-</v>
      </c>
      <c r="DB52" s="841"/>
      <c r="DC52" s="832"/>
    </row>
    <row r="53" spans="1:107" s="842" customFormat="1" ht="15.95" customHeight="1" x14ac:dyDescent="0.25">
      <c r="A53" s="790">
        <v>51</v>
      </c>
      <c r="B53" s="791">
        <f t="shared" ca="1" si="0"/>
        <v>43134</v>
      </c>
      <c r="C53" s="792" t="s">
        <v>614</v>
      </c>
      <c r="D53" s="793" t="s">
        <v>3202</v>
      </c>
      <c r="E53" s="794" t="s">
        <v>1267</v>
      </c>
      <c r="F53" s="795" t="s">
        <v>1133</v>
      </c>
      <c r="G53" s="796">
        <f>SUMIFS(МОЛОКО!L8:L6958,МОЛОКО!F8:F6958,"2041",МОЛОКО!L8:L6958,"&gt;0")</f>
        <v>20</v>
      </c>
      <c r="H53" s="797" t="s">
        <v>603</v>
      </c>
      <c r="I53" s="798">
        <v>41602</v>
      </c>
      <c r="J53" s="799">
        <f t="shared" ca="1" si="1"/>
        <v>4.1972602739726028</v>
      </c>
      <c r="K53" s="799">
        <f t="shared" ca="1" si="2"/>
        <v>51.06666666666667</v>
      </c>
      <c r="L53" s="800">
        <f t="shared" ca="1" si="3"/>
        <v>1532</v>
      </c>
      <c r="M53" s="801">
        <v>42510</v>
      </c>
      <c r="N53" s="802">
        <v>42870</v>
      </c>
      <c r="O53" s="803">
        <f t="shared" ca="1" si="4"/>
        <v>264</v>
      </c>
      <c r="P53" s="804">
        <v>2</v>
      </c>
      <c r="Q53" s="68" t="s">
        <v>1451</v>
      </c>
      <c r="R53" s="118" t="s">
        <v>2962</v>
      </c>
      <c r="S53" s="807">
        <v>42936</v>
      </c>
      <c r="T53" s="798">
        <v>43056</v>
      </c>
      <c r="U53" s="798">
        <f t="shared" si="5"/>
        <v>43074</v>
      </c>
      <c r="V53" s="804">
        <f t="shared" ca="1" si="6"/>
        <v>60</v>
      </c>
      <c r="W53" s="808">
        <v>4</v>
      </c>
      <c r="X53" s="794">
        <f t="shared" si="53"/>
        <v>186</v>
      </c>
      <c r="Y53" s="794">
        <v>3</v>
      </c>
      <c r="Z53" s="809" t="str">
        <f t="shared" ca="1" si="8"/>
        <v>-----</v>
      </c>
      <c r="AA53" s="810">
        <f t="shared" ca="1" si="9"/>
        <v>78</v>
      </c>
      <c r="AB53" s="804"/>
      <c r="AC53" s="811" t="str">
        <f t="shared" ca="1" si="10"/>
        <v>-----</v>
      </c>
      <c r="AD53" s="798"/>
      <c r="AE53" s="794" t="str">
        <f t="shared" ca="1" si="11"/>
        <v>-</v>
      </c>
      <c r="AF53" s="798">
        <f t="shared" si="12"/>
        <v>43091</v>
      </c>
      <c r="AG53" s="812">
        <f t="shared" ca="1" si="13"/>
        <v>43</v>
      </c>
      <c r="AH53" s="807">
        <v>43042</v>
      </c>
      <c r="AI53" s="807" t="str">
        <f t="shared" si="14"/>
        <v>-</v>
      </c>
      <c r="AJ53" s="807" t="str">
        <f t="shared" si="15"/>
        <v>-</v>
      </c>
      <c r="AK53" s="813"/>
      <c r="AL53" s="807" t="str">
        <f t="shared" si="16"/>
        <v>-</v>
      </c>
      <c r="AM53" s="807" t="str">
        <f t="shared" si="17"/>
        <v>-</v>
      </c>
      <c r="AN53" s="814" t="str">
        <f t="shared" ca="1" si="18"/>
        <v>-</v>
      </c>
      <c r="AO53" s="815">
        <v>1</v>
      </c>
      <c r="AP53" s="816" t="str">
        <f t="shared" ca="1" si="19"/>
        <v>-</v>
      </c>
      <c r="AQ53" s="817"/>
      <c r="AR53" s="794" t="str">
        <f t="shared" si="20"/>
        <v>-</v>
      </c>
      <c r="AS53" s="818"/>
      <c r="AT53" s="794" t="str">
        <f t="shared" si="21"/>
        <v>-</v>
      </c>
      <c r="AU53" s="819"/>
      <c r="AV53" s="820"/>
      <c r="AW53" s="821"/>
      <c r="AX53" s="821"/>
      <c r="AY53" s="969" t="str">
        <f t="shared" si="22"/>
        <v>-</v>
      </c>
      <c r="AZ53" s="966" t="str">
        <f t="shared" si="23"/>
        <v>-</v>
      </c>
      <c r="BA53" s="971" t="str">
        <f t="shared" si="24"/>
        <v>-</v>
      </c>
      <c r="BB53" s="975"/>
      <c r="BC53" s="821"/>
      <c r="BD53" s="821"/>
      <c r="BE53" s="963" t="str">
        <f t="shared" si="25"/>
        <v>-</v>
      </c>
      <c r="BF53" s="984"/>
      <c r="BG53" s="988"/>
      <c r="BH53" s="982"/>
      <c r="BI53" s="991"/>
      <c r="BJ53" s="991"/>
      <c r="BK53" s="993" t="str">
        <f t="shared" si="26"/>
        <v>-</v>
      </c>
      <c r="BL53" s="820">
        <v>42980</v>
      </c>
      <c r="BM53" s="821">
        <v>5</v>
      </c>
      <c r="BN53" s="822">
        <f t="shared" ca="1" si="27"/>
        <v>154</v>
      </c>
      <c r="BO53" s="823">
        <f t="shared" si="28"/>
        <v>45.93333333333333</v>
      </c>
      <c r="BP53" s="824">
        <v>43001</v>
      </c>
      <c r="BQ53" s="821">
        <v>2</v>
      </c>
      <c r="BR53" s="822">
        <f t="shared" ca="1" si="29"/>
        <v>133</v>
      </c>
      <c r="BS53" s="823">
        <f t="shared" si="30"/>
        <v>16.366666666666667</v>
      </c>
      <c r="BT53" s="825" t="str">
        <f t="shared" ca="1" si="31"/>
        <v>-</v>
      </c>
      <c r="BU53" s="826"/>
      <c r="BV53" s="827"/>
      <c r="BW53" s="828" t="str">
        <f t="shared" si="32"/>
        <v>Ж-Е НЕ ВАКЦ.</v>
      </c>
      <c r="BX53" s="829" t="str">
        <f t="shared" si="33"/>
        <v>-</v>
      </c>
      <c r="BY53" s="830" t="str">
        <f t="shared" ca="1" si="34"/>
        <v>-</v>
      </c>
      <c r="BZ53" s="831">
        <v>42904</v>
      </c>
      <c r="CA53" s="832">
        <v>5</v>
      </c>
      <c r="CB53" s="833">
        <f t="shared" ca="1" si="35"/>
        <v>230</v>
      </c>
      <c r="CC53" s="834" t="str">
        <f t="shared" ca="1" si="36"/>
        <v>-</v>
      </c>
      <c r="CD53" s="835">
        <f t="shared" si="37"/>
        <v>42925</v>
      </c>
      <c r="CE53" s="831">
        <v>42925</v>
      </c>
      <c r="CF53" s="832">
        <v>5</v>
      </c>
      <c r="CG53" s="833">
        <f t="shared" ca="1" si="38"/>
        <v>209</v>
      </c>
      <c r="CH53" s="836">
        <f t="shared" si="39"/>
        <v>0</v>
      </c>
      <c r="CI53" s="837" t="str">
        <f t="shared" si="40"/>
        <v>УСПЕШНО</v>
      </c>
      <c r="CJ53" s="838" t="str">
        <f t="shared" ca="1" si="41"/>
        <v>-</v>
      </c>
      <c r="CK53" s="831"/>
      <c r="CL53" s="832"/>
      <c r="CM53" s="833" t="str">
        <f t="shared" si="42"/>
        <v>-</v>
      </c>
      <c r="CN53" s="834" t="str">
        <f t="shared" si="43"/>
        <v>-</v>
      </c>
      <c r="CO53" s="830" t="str">
        <f t="shared" ca="1" si="44"/>
        <v>-</v>
      </c>
      <c r="CP53" s="839"/>
      <c r="CQ53" s="832"/>
      <c r="CR53" s="833" t="str">
        <f t="shared" si="45"/>
        <v>-</v>
      </c>
      <c r="CS53" s="833" t="str">
        <f t="shared" si="46"/>
        <v>-</v>
      </c>
      <c r="CT53" s="834" t="str">
        <f t="shared" si="47"/>
        <v>-</v>
      </c>
      <c r="CU53" s="835" t="str">
        <f t="shared" si="48"/>
        <v>-</v>
      </c>
      <c r="CV53" s="839"/>
      <c r="CW53" s="832"/>
      <c r="CX53" s="833" t="str">
        <f t="shared" si="49"/>
        <v>-</v>
      </c>
      <c r="CY53" s="840" t="str">
        <f t="shared" si="50"/>
        <v>-</v>
      </c>
      <c r="CZ53" s="833" t="str">
        <f t="shared" si="51"/>
        <v>-</v>
      </c>
      <c r="DA53" s="838" t="str">
        <f t="shared" ca="1" si="52"/>
        <v>-</v>
      </c>
      <c r="DB53" s="841"/>
      <c r="DC53" s="832"/>
    </row>
    <row r="54" spans="1:107" s="842" customFormat="1" ht="15.95" customHeight="1" x14ac:dyDescent="0.25">
      <c r="A54" s="790">
        <v>52</v>
      </c>
      <c r="B54" s="791">
        <f t="shared" ca="1" si="0"/>
        <v>43134</v>
      </c>
      <c r="C54" s="792" t="s">
        <v>614</v>
      </c>
      <c r="D54" s="793" t="s">
        <v>3202</v>
      </c>
      <c r="E54" s="794" t="s">
        <v>640</v>
      </c>
      <c r="F54" s="795" t="s">
        <v>641</v>
      </c>
      <c r="G54" s="796">
        <f>SUMIFS(МОЛОКО!L8:L6958,МОЛОКО!F8:F6958,"2045",МОЛОКО!L8:L6958,"&gt;0")</f>
        <v>20.2</v>
      </c>
      <c r="H54" s="797" t="s">
        <v>603</v>
      </c>
      <c r="I54" s="798">
        <v>41606</v>
      </c>
      <c r="J54" s="799">
        <f t="shared" ca="1" si="1"/>
        <v>4.1863013698630134</v>
      </c>
      <c r="K54" s="799">
        <f t="shared" ca="1" si="2"/>
        <v>50.93333333333333</v>
      </c>
      <c r="L54" s="800">
        <f t="shared" ca="1" si="3"/>
        <v>1528</v>
      </c>
      <c r="M54" s="801">
        <v>42379</v>
      </c>
      <c r="N54" s="802">
        <v>42803</v>
      </c>
      <c r="O54" s="803">
        <f t="shared" ca="1" si="4"/>
        <v>331</v>
      </c>
      <c r="P54" s="804">
        <v>2</v>
      </c>
      <c r="Q54" s="68" t="s">
        <v>2366</v>
      </c>
      <c r="R54" s="118" t="s">
        <v>2962</v>
      </c>
      <c r="S54" s="807">
        <v>42866</v>
      </c>
      <c r="T54" s="798">
        <v>43029</v>
      </c>
      <c r="U54" s="798">
        <f t="shared" si="5"/>
        <v>43047</v>
      </c>
      <c r="V54" s="804">
        <f t="shared" ca="1" si="6"/>
        <v>87</v>
      </c>
      <c r="W54" s="808">
        <v>4</v>
      </c>
      <c r="X54" s="794">
        <f t="shared" si="53"/>
        <v>226</v>
      </c>
      <c r="Y54" s="794">
        <v>3</v>
      </c>
      <c r="Z54" s="809" t="str">
        <f t="shared" ca="1" si="8"/>
        <v>-----</v>
      </c>
      <c r="AA54" s="810">
        <f t="shared" ca="1" si="9"/>
        <v>105</v>
      </c>
      <c r="AB54" s="804"/>
      <c r="AC54" s="811" t="str">
        <f t="shared" ca="1" si="10"/>
        <v>-----</v>
      </c>
      <c r="AD54" s="798"/>
      <c r="AE54" s="794" t="str">
        <f t="shared" ca="1" si="11"/>
        <v>-</v>
      </c>
      <c r="AF54" s="798">
        <f t="shared" si="12"/>
        <v>43064</v>
      </c>
      <c r="AG54" s="812">
        <f t="shared" ca="1" si="13"/>
        <v>70</v>
      </c>
      <c r="AH54" s="807">
        <v>42951</v>
      </c>
      <c r="AI54" s="807" t="str">
        <f t="shared" si="14"/>
        <v>-</v>
      </c>
      <c r="AJ54" s="807" t="str">
        <f t="shared" si="15"/>
        <v>-</v>
      </c>
      <c r="AK54" s="813"/>
      <c r="AL54" s="807" t="str">
        <f t="shared" si="16"/>
        <v>-</v>
      </c>
      <c r="AM54" s="807" t="str">
        <f t="shared" si="17"/>
        <v>-</v>
      </c>
      <c r="AN54" s="814" t="str">
        <f t="shared" ca="1" si="18"/>
        <v>-</v>
      </c>
      <c r="AO54" s="815">
        <v>1</v>
      </c>
      <c r="AP54" s="816" t="str">
        <f t="shared" ca="1" si="19"/>
        <v>-</v>
      </c>
      <c r="AQ54" s="817"/>
      <c r="AR54" s="794" t="str">
        <f t="shared" si="20"/>
        <v>-</v>
      </c>
      <c r="AS54" s="818"/>
      <c r="AT54" s="794" t="str">
        <f t="shared" si="21"/>
        <v>-</v>
      </c>
      <c r="AU54" s="819"/>
      <c r="AV54" s="820"/>
      <c r="AW54" s="821"/>
      <c r="AX54" s="821"/>
      <c r="AY54" s="969" t="str">
        <f t="shared" si="22"/>
        <v>-</v>
      </c>
      <c r="AZ54" s="966" t="str">
        <f t="shared" si="23"/>
        <v>-</v>
      </c>
      <c r="BA54" s="971" t="str">
        <f t="shared" si="24"/>
        <v>-</v>
      </c>
      <c r="BB54" s="975"/>
      <c r="BC54" s="821"/>
      <c r="BD54" s="821"/>
      <c r="BE54" s="963" t="str">
        <f t="shared" si="25"/>
        <v>-</v>
      </c>
      <c r="BF54" s="984"/>
      <c r="BG54" s="988"/>
      <c r="BH54" s="982"/>
      <c r="BI54" s="991"/>
      <c r="BJ54" s="991"/>
      <c r="BK54" s="993" t="str">
        <f t="shared" si="26"/>
        <v>-</v>
      </c>
      <c r="BL54" s="820">
        <v>42981</v>
      </c>
      <c r="BM54" s="821">
        <v>5</v>
      </c>
      <c r="BN54" s="822">
        <f t="shared" ca="1" si="27"/>
        <v>153</v>
      </c>
      <c r="BO54" s="823">
        <f t="shared" si="28"/>
        <v>45.833333333333336</v>
      </c>
      <c r="BP54" s="824">
        <v>43001</v>
      </c>
      <c r="BQ54" s="821">
        <v>2</v>
      </c>
      <c r="BR54" s="822">
        <f t="shared" ca="1" si="29"/>
        <v>133</v>
      </c>
      <c r="BS54" s="823">
        <f t="shared" si="30"/>
        <v>20.733333333333334</v>
      </c>
      <c r="BT54" s="825" t="str">
        <f t="shared" ca="1" si="31"/>
        <v>-</v>
      </c>
      <c r="BU54" s="826"/>
      <c r="BV54" s="827"/>
      <c r="BW54" s="828" t="str">
        <f t="shared" si="32"/>
        <v>Ж-Е НЕ ВАКЦ.</v>
      </c>
      <c r="BX54" s="829" t="str">
        <f t="shared" si="33"/>
        <v>-</v>
      </c>
      <c r="BY54" s="830" t="str">
        <f t="shared" ca="1" si="34"/>
        <v>-</v>
      </c>
      <c r="BZ54" s="831">
        <v>42887</v>
      </c>
      <c r="CA54" s="832">
        <v>5</v>
      </c>
      <c r="CB54" s="833">
        <f t="shared" ca="1" si="35"/>
        <v>247</v>
      </c>
      <c r="CC54" s="834" t="str">
        <f t="shared" ca="1" si="36"/>
        <v>-</v>
      </c>
      <c r="CD54" s="835">
        <f t="shared" si="37"/>
        <v>42908</v>
      </c>
      <c r="CE54" s="831">
        <v>42908</v>
      </c>
      <c r="CF54" s="832">
        <v>5</v>
      </c>
      <c r="CG54" s="833">
        <f t="shared" ca="1" si="38"/>
        <v>226</v>
      </c>
      <c r="CH54" s="836">
        <f t="shared" si="39"/>
        <v>0</v>
      </c>
      <c r="CI54" s="837" t="str">
        <f t="shared" si="40"/>
        <v>УСПЕШНО</v>
      </c>
      <c r="CJ54" s="838" t="str">
        <f t="shared" ca="1" si="41"/>
        <v>-</v>
      </c>
      <c r="CK54" s="831"/>
      <c r="CL54" s="832"/>
      <c r="CM54" s="833" t="str">
        <f t="shared" si="42"/>
        <v>-</v>
      </c>
      <c r="CN54" s="834" t="str">
        <f t="shared" si="43"/>
        <v>-</v>
      </c>
      <c r="CO54" s="830" t="str">
        <f t="shared" ca="1" si="44"/>
        <v>-</v>
      </c>
      <c r="CP54" s="839"/>
      <c r="CQ54" s="832"/>
      <c r="CR54" s="833" t="str">
        <f t="shared" si="45"/>
        <v>-</v>
      </c>
      <c r="CS54" s="833" t="str">
        <f t="shared" si="46"/>
        <v>-</v>
      </c>
      <c r="CT54" s="834" t="str">
        <f t="shared" si="47"/>
        <v>-</v>
      </c>
      <c r="CU54" s="835" t="str">
        <f t="shared" si="48"/>
        <v>-</v>
      </c>
      <c r="CV54" s="839"/>
      <c r="CW54" s="832"/>
      <c r="CX54" s="833" t="str">
        <f t="shared" si="49"/>
        <v>-</v>
      </c>
      <c r="CY54" s="840" t="str">
        <f t="shared" si="50"/>
        <v>-</v>
      </c>
      <c r="CZ54" s="833" t="str">
        <f t="shared" si="51"/>
        <v>-</v>
      </c>
      <c r="DA54" s="838" t="str">
        <f t="shared" ca="1" si="52"/>
        <v>-</v>
      </c>
      <c r="DB54" s="841"/>
      <c r="DC54" s="832"/>
    </row>
    <row r="55" spans="1:107" s="842" customFormat="1" ht="15.95" customHeight="1" x14ac:dyDescent="0.25">
      <c r="A55" s="790">
        <v>53</v>
      </c>
      <c r="B55" s="791">
        <f t="shared" ca="1" si="0"/>
        <v>43134</v>
      </c>
      <c r="C55" s="792" t="s">
        <v>614</v>
      </c>
      <c r="D55" s="793" t="s">
        <v>3202</v>
      </c>
      <c r="E55" s="794" t="s">
        <v>1366</v>
      </c>
      <c r="F55" s="795" t="s">
        <v>1252</v>
      </c>
      <c r="G55" s="796">
        <f>SUMIFS(МОЛОКО!L8:L6958,МОЛОКО!F8:F6958,"2071",МОЛОКО!L8:L6958,"&gt;0")</f>
        <v>21.2</v>
      </c>
      <c r="H55" s="797" t="s">
        <v>603</v>
      </c>
      <c r="I55" s="798">
        <v>41625</v>
      </c>
      <c r="J55" s="799">
        <f t="shared" ca="1" si="1"/>
        <v>4.1342465753424653</v>
      </c>
      <c r="K55" s="799">
        <f t="shared" ca="1" si="2"/>
        <v>50.3</v>
      </c>
      <c r="L55" s="800">
        <f t="shared" ca="1" si="3"/>
        <v>1509</v>
      </c>
      <c r="M55" s="801">
        <v>42483</v>
      </c>
      <c r="N55" s="802">
        <v>42863</v>
      </c>
      <c r="O55" s="803">
        <f t="shared" ca="1" si="4"/>
        <v>271</v>
      </c>
      <c r="P55" s="804">
        <v>2</v>
      </c>
      <c r="Q55" s="68" t="s">
        <v>1451</v>
      </c>
      <c r="R55" s="118" t="s">
        <v>2962</v>
      </c>
      <c r="S55" s="807">
        <v>42922</v>
      </c>
      <c r="T55" s="798">
        <v>43056</v>
      </c>
      <c r="U55" s="798">
        <f t="shared" si="5"/>
        <v>43074</v>
      </c>
      <c r="V55" s="804">
        <f t="shared" ca="1" si="6"/>
        <v>60</v>
      </c>
      <c r="W55" s="808">
        <v>2</v>
      </c>
      <c r="X55" s="794">
        <f t="shared" si="53"/>
        <v>193</v>
      </c>
      <c r="Y55" s="794">
        <v>3</v>
      </c>
      <c r="Z55" s="809" t="str">
        <f t="shared" ca="1" si="8"/>
        <v>-----</v>
      </c>
      <c r="AA55" s="810">
        <f t="shared" ca="1" si="9"/>
        <v>78</v>
      </c>
      <c r="AB55" s="804">
        <v>0</v>
      </c>
      <c r="AC55" s="811" t="str">
        <f t="shared" ca="1" si="10"/>
        <v>-----</v>
      </c>
      <c r="AD55" s="798">
        <v>42987</v>
      </c>
      <c r="AE55" s="794" t="str">
        <f t="shared" ca="1" si="11"/>
        <v>-</v>
      </c>
      <c r="AF55" s="798">
        <f t="shared" si="12"/>
        <v>43091</v>
      </c>
      <c r="AG55" s="812">
        <f t="shared" ca="1" si="13"/>
        <v>43</v>
      </c>
      <c r="AH55" s="807">
        <v>42954</v>
      </c>
      <c r="AI55" s="807" t="str">
        <f t="shared" si="14"/>
        <v>-</v>
      </c>
      <c r="AJ55" s="807" t="str">
        <f t="shared" si="15"/>
        <v>-</v>
      </c>
      <c r="AK55" s="813"/>
      <c r="AL55" s="807" t="str">
        <f t="shared" si="16"/>
        <v>-</v>
      </c>
      <c r="AM55" s="807" t="str">
        <f t="shared" si="17"/>
        <v>-</v>
      </c>
      <c r="AN55" s="814" t="str">
        <f t="shared" ca="1" si="18"/>
        <v>-</v>
      </c>
      <c r="AO55" s="815">
        <v>1</v>
      </c>
      <c r="AP55" s="816" t="str">
        <f t="shared" ca="1" si="19"/>
        <v>-</v>
      </c>
      <c r="AQ55" s="817"/>
      <c r="AR55" s="794" t="str">
        <f t="shared" si="20"/>
        <v>-</v>
      </c>
      <c r="AS55" s="818"/>
      <c r="AT55" s="794" t="str">
        <f t="shared" si="21"/>
        <v>-</v>
      </c>
      <c r="AU55" s="819"/>
      <c r="AV55" s="820"/>
      <c r="AW55" s="821"/>
      <c r="AX55" s="821"/>
      <c r="AY55" s="969" t="str">
        <f t="shared" si="22"/>
        <v>-</v>
      </c>
      <c r="AZ55" s="966" t="str">
        <f t="shared" si="23"/>
        <v>-</v>
      </c>
      <c r="BA55" s="971" t="str">
        <f t="shared" si="24"/>
        <v>-</v>
      </c>
      <c r="BB55" s="975"/>
      <c r="BC55" s="821"/>
      <c r="BD55" s="821"/>
      <c r="BE55" s="963" t="str">
        <f t="shared" si="25"/>
        <v>-</v>
      </c>
      <c r="BF55" s="984"/>
      <c r="BG55" s="988"/>
      <c r="BH55" s="982"/>
      <c r="BI55" s="991"/>
      <c r="BJ55" s="991"/>
      <c r="BK55" s="993" t="str">
        <f t="shared" si="26"/>
        <v>-</v>
      </c>
      <c r="BL55" s="820">
        <v>42980</v>
      </c>
      <c r="BM55" s="821">
        <v>5</v>
      </c>
      <c r="BN55" s="822">
        <f t="shared" ca="1" si="27"/>
        <v>154</v>
      </c>
      <c r="BO55" s="823">
        <f t="shared" si="28"/>
        <v>45.166666666666664</v>
      </c>
      <c r="BP55" s="824">
        <v>43001</v>
      </c>
      <c r="BQ55" s="821">
        <v>2</v>
      </c>
      <c r="BR55" s="822">
        <f t="shared" ca="1" si="29"/>
        <v>133</v>
      </c>
      <c r="BS55" s="823">
        <f t="shared" si="30"/>
        <v>17.266666666666666</v>
      </c>
      <c r="BT55" s="825" t="str">
        <f t="shared" ca="1" si="31"/>
        <v>-</v>
      </c>
      <c r="BU55" s="826"/>
      <c r="BV55" s="827"/>
      <c r="BW55" s="828" t="str">
        <f t="shared" si="32"/>
        <v>Ж-Е НЕ ВАКЦ.</v>
      </c>
      <c r="BX55" s="829" t="str">
        <f t="shared" si="33"/>
        <v>-</v>
      </c>
      <c r="BY55" s="830" t="str">
        <f t="shared" ca="1" si="34"/>
        <v>-</v>
      </c>
      <c r="BZ55" s="831">
        <v>42888</v>
      </c>
      <c r="CA55" s="832">
        <v>5</v>
      </c>
      <c r="CB55" s="833">
        <f t="shared" ca="1" si="35"/>
        <v>246</v>
      </c>
      <c r="CC55" s="834" t="str">
        <f t="shared" ca="1" si="36"/>
        <v>-</v>
      </c>
      <c r="CD55" s="835">
        <f t="shared" si="37"/>
        <v>42909</v>
      </c>
      <c r="CE55" s="831">
        <v>42909</v>
      </c>
      <c r="CF55" s="832">
        <v>5</v>
      </c>
      <c r="CG55" s="833">
        <f t="shared" ca="1" si="38"/>
        <v>225</v>
      </c>
      <c r="CH55" s="836">
        <f t="shared" si="39"/>
        <v>0</v>
      </c>
      <c r="CI55" s="837" t="str">
        <f t="shared" si="40"/>
        <v>УСПЕШНО</v>
      </c>
      <c r="CJ55" s="838" t="str">
        <f t="shared" ca="1" si="41"/>
        <v>-</v>
      </c>
      <c r="CK55" s="831"/>
      <c r="CL55" s="832"/>
      <c r="CM55" s="833" t="str">
        <f t="shared" si="42"/>
        <v>-</v>
      </c>
      <c r="CN55" s="834" t="str">
        <f t="shared" si="43"/>
        <v>-</v>
      </c>
      <c r="CO55" s="830" t="str">
        <f t="shared" ca="1" si="44"/>
        <v>-</v>
      </c>
      <c r="CP55" s="839"/>
      <c r="CQ55" s="832"/>
      <c r="CR55" s="833" t="str">
        <f t="shared" si="45"/>
        <v>-</v>
      </c>
      <c r="CS55" s="833" t="str">
        <f t="shared" si="46"/>
        <v>-</v>
      </c>
      <c r="CT55" s="834" t="str">
        <f t="shared" si="47"/>
        <v>-</v>
      </c>
      <c r="CU55" s="835" t="str">
        <f t="shared" si="48"/>
        <v>-</v>
      </c>
      <c r="CV55" s="839"/>
      <c r="CW55" s="832"/>
      <c r="CX55" s="833" t="str">
        <f t="shared" si="49"/>
        <v>-</v>
      </c>
      <c r="CY55" s="840" t="str">
        <f t="shared" si="50"/>
        <v>-</v>
      </c>
      <c r="CZ55" s="833" t="str">
        <f t="shared" si="51"/>
        <v>-</v>
      </c>
      <c r="DA55" s="838" t="str">
        <f t="shared" ca="1" si="52"/>
        <v>-</v>
      </c>
      <c r="DB55" s="841"/>
      <c r="DC55" s="832"/>
    </row>
    <row r="56" spans="1:107" s="842" customFormat="1" ht="15.95" customHeight="1" x14ac:dyDescent="0.25">
      <c r="A56" s="790">
        <v>54</v>
      </c>
      <c r="B56" s="791">
        <f t="shared" ca="1" si="0"/>
        <v>43134</v>
      </c>
      <c r="C56" s="792" t="s">
        <v>614</v>
      </c>
      <c r="D56" s="793" t="s">
        <v>3202</v>
      </c>
      <c r="E56" s="794" t="s">
        <v>1271</v>
      </c>
      <c r="F56" s="795" t="s">
        <v>1137</v>
      </c>
      <c r="G56" s="796">
        <f>SUMIFS(МОЛОКО!L8:L6958,МОЛОКО!F8:F6958,"2074",МОЛОКО!L8:L6958,"&gt;0")</f>
        <v>21.6</v>
      </c>
      <c r="H56" s="797" t="s">
        <v>603</v>
      </c>
      <c r="I56" s="798">
        <v>41628</v>
      </c>
      <c r="J56" s="799">
        <f t="shared" ca="1" si="1"/>
        <v>4.1260273972602741</v>
      </c>
      <c r="K56" s="799">
        <f t="shared" ca="1" si="2"/>
        <v>50.2</v>
      </c>
      <c r="L56" s="800">
        <f t="shared" ca="1" si="3"/>
        <v>1506</v>
      </c>
      <c r="M56" s="801">
        <v>42507</v>
      </c>
      <c r="N56" s="802">
        <v>42921</v>
      </c>
      <c r="O56" s="803">
        <f t="shared" ca="1" si="4"/>
        <v>213</v>
      </c>
      <c r="P56" s="804">
        <v>2</v>
      </c>
      <c r="Q56" s="805" t="s">
        <v>2366</v>
      </c>
      <c r="R56" s="806" t="s">
        <v>2962</v>
      </c>
      <c r="S56" s="807">
        <v>42978</v>
      </c>
      <c r="T56" s="798">
        <v>42978</v>
      </c>
      <c r="U56" s="798" t="str">
        <f t="shared" si="5"/>
        <v>-</v>
      </c>
      <c r="V56" s="804" t="str">
        <f t="shared" ca="1" si="6"/>
        <v>-</v>
      </c>
      <c r="W56" s="808">
        <v>1</v>
      </c>
      <c r="X56" s="794">
        <f t="shared" si="53"/>
        <v>57</v>
      </c>
      <c r="Y56" s="794">
        <v>1</v>
      </c>
      <c r="Z56" s="809" t="str">
        <f t="shared" ca="1" si="8"/>
        <v>-----</v>
      </c>
      <c r="AA56" s="810" t="str">
        <f t="shared" ca="1" si="9"/>
        <v>-----</v>
      </c>
      <c r="AB56" s="804">
        <v>1</v>
      </c>
      <c r="AC56" s="811" t="str">
        <f t="shared" ca="1" si="10"/>
        <v>-----</v>
      </c>
      <c r="AD56" s="798">
        <v>43047</v>
      </c>
      <c r="AE56" s="794" t="str">
        <f t="shared" ca="1" si="11"/>
        <v>-</v>
      </c>
      <c r="AF56" s="798" t="str">
        <f t="shared" si="12"/>
        <v>-</v>
      </c>
      <c r="AG56" s="812" t="str">
        <f t="shared" si="13"/>
        <v>---------</v>
      </c>
      <c r="AH56" s="807">
        <v>43010</v>
      </c>
      <c r="AI56" s="807">
        <f t="shared" si="14"/>
        <v>43168</v>
      </c>
      <c r="AJ56" s="807">
        <f t="shared" si="15"/>
        <v>43198</v>
      </c>
      <c r="AK56" s="813"/>
      <c r="AL56" s="807">
        <f t="shared" si="16"/>
        <v>43237</v>
      </c>
      <c r="AM56" s="807">
        <f t="shared" si="17"/>
        <v>43258</v>
      </c>
      <c r="AN56" s="814">
        <f t="shared" ca="1" si="18"/>
        <v>-124</v>
      </c>
      <c r="AO56" s="815">
        <v>1</v>
      </c>
      <c r="AP56" s="816" t="str">
        <f t="shared" ca="1" si="19"/>
        <v>-</v>
      </c>
      <c r="AQ56" s="817"/>
      <c r="AR56" s="794" t="str">
        <f t="shared" si="20"/>
        <v>-</v>
      </c>
      <c r="AS56" s="818"/>
      <c r="AT56" s="794" t="str">
        <f t="shared" si="21"/>
        <v>-</v>
      </c>
      <c r="AU56" s="819"/>
      <c r="AV56" s="820"/>
      <c r="AW56" s="821"/>
      <c r="AX56" s="821"/>
      <c r="AY56" s="969" t="str">
        <f t="shared" si="22"/>
        <v>-</v>
      </c>
      <c r="AZ56" s="966" t="str">
        <f t="shared" si="23"/>
        <v>-</v>
      </c>
      <c r="BA56" s="971" t="str">
        <f t="shared" si="24"/>
        <v>-</v>
      </c>
      <c r="BB56" s="975"/>
      <c r="BC56" s="821"/>
      <c r="BD56" s="821"/>
      <c r="BE56" s="963" t="str">
        <f t="shared" si="25"/>
        <v>-</v>
      </c>
      <c r="BF56" s="984"/>
      <c r="BG56" s="988"/>
      <c r="BH56" s="982"/>
      <c r="BI56" s="991"/>
      <c r="BJ56" s="991"/>
      <c r="BK56" s="993" t="str">
        <f t="shared" si="26"/>
        <v>-</v>
      </c>
      <c r="BL56" s="820">
        <v>42980</v>
      </c>
      <c r="BM56" s="821">
        <v>5</v>
      </c>
      <c r="BN56" s="822">
        <f t="shared" ca="1" si="27"/>
        <v>154</v>
      </c>
      <c r="BO56" s="823">
        <f t="shared" si="28"/>
        <v>45.06666666666667</v>
      </c>
      <c r="BP56" s="824">
        <v>43001</v>
      </c>
      <c r="BQ56" s="821">
        <v>2</v>
      </c>
      <c r="BR56" s="822">
        <f t="shared" ca="1" si="29"/>
        <v>133</v>
      </c>
      <c r="BS56" s="823">
        <f t="shared" si="30"/>
        <v>16.466666666666665</v>
      </c>
      <c r="BT56" s="825" t="str">
        <f t="shared" ca="1" si="31"/>
        <v>-</v>
      </c>
      <c r="BU56" s="826"/>
      <c r="BV56" s="827"/>
      <c r="BW56" s="828" t="str">
        <f t="shared" si="32"/>
        <v>Ж-Е НЕ ВАКЦ.</v>
      </c>
      <c r="BX56" s="829" t="str">
        <f t="shared" si="33"/>
        <v>-</v>
      </c>
      <c r="BY56" s="830" t="str">
        <f t="shared" ca="1" si="34"/>
        <v>-</v>
      </c>
      <c r="BZ56" s="831">
        <v>42964</v>
      </c>
      <c r="CA56" s="832">
        <v>5</v>
      </c>
      <c r="CB56" s="833">
        <f t="shared" ca="1" si="35"/>
        <v>170</v>
      </c>
      <c r="CC56" s="834" t="str">
        <f t="shared" ca="1" si="36"/>
        <v>-</v>
      </c>
      <c r="CD56" s="835">
        <f t="shared" si="37"/>
        <v>42985</v>
      </c>
      <c r="CE56" s="831">
        <v>42985</v>
      </c>
      <c r="CF56" s="832">
        <v>5</v>
      </c>
      <c r="CG56" s="833">
        <f t="shared" ca="1" si="38"/>
        <v>149</v>
      </c>
      <c r="CH56" s="836">
        <f t="shared" si="39"/>
        <v>0</v>
      </c>
      <c r="CI56" s="837" t="str">
        <f t="shared" si="40"/>
        <v>УСПЕШНО</v>
      </c>
      <c r="CJ56" s="838" t="str">
        <f t="shared" ca="1" si="41"/>
        <v>-</v>
      </c>
      <c r="CK56" s="831"/>
      <c r="CL56" s="832"/>
      <c r="CM56" s="833" t="str">
        <f t="shared" si="42"/>
        <v>-</v>
      </c>
      <c r="CN56" s="834" t="str">
        <f t="shared" si="43"/>
        <v>-</v>
      </c>
      <c r="CO56" s="830" t="str">
        <f t="shared" ca="1" si="44"/>
        <v>-</v>
      </c>
      <c r="CP56" s="839"/>
      <c r="CQ56" s="832"/>
      <c r="CR56" s="833" t="str">
        <f t="shared" si="45"/>
        <v>-</v>
      </c>
      <c r="CS56" s="833" t="str">
        <f t="shared" si="46"/>
        <v>-</v>
      </c>
      <c r="CT56" s="834" t="str">
        <f t="shared" si="47"/>
        <v>-</v>
      </c>
      <c r="CU56" s="835" t="str">
        <f t="shared" si="48"/>
        <v>-</v>
      </c>
      <c r="CV56" s="839"/>
      <c r="CW56" s="832"/>
      <c r="CX56" s="833" t="str">
        <f t="shared" si="49"/>
        <v>-</v>
      </c>
      <c r="CY56" s="840" t="str">
        <f t="shared" si="50"/>
        <v>-</v>
      </c>
      <c r="CZ56" s="833" t="str">
        <f t="shared" si="51"/>
        <v>-</v>
      </c>
      <c r="DA56" s="838" t="str">
        <f t="shared" ca="1" si="52"/>
        <v>-</v>
      </c>
      <c r="DB56" s="841"/>
      <c r="DC56" s="832"/>
    </row>
    <row r="57" spans="1:107" s="842" customFormat="1" ht="15.95" customHeight="1" x14ac:dyDescent="0.25">
      <c r="A57" s="790">
        <v>55</v>
      </c>
      <c r="B57" s="791">
        <f t="shared" ca="1" si="0"/>
        <v>43134</v>
      </c>
      <c r="C57" s="792" t="s">
        <v>614</v>
      </c>
      <c r="D57" s="793" t="s">
        <v>3202</v>
      </c>
      <c r="E57" s="794" t="s">
        <v>1369</v>
      </c>
      <c r="F57" s="795" t="s">
        <v>1255</v>
      </c>
      <c r="G57" s="796">
        <f>SUMIFS(МОЛОКО!L8:L6958,МОЛОКО!F8:F6958,"2083",МОЛОКО!L8:L6958,"&gt;0")</f>
        <v>19.2</v>
      </c>
      <c r="H57" s="797" t="s">
        <v>603</v>
      </c>
      <c r="I57" s="798">
        <v>41634</v>
      </c>
      <c r="J57" s="799">
        <f t="shared" ca="1" si="1"/>
        <v>4.1095890410958908</v>
      </c>
      <c r="K57" s="799">
        <f t="shared" ca="1" si="2"/>
        <v>50</v>
      </c>
      <c r="L57" s="800">
        <f t="shared" ca="1" si="3"/>
        <v>1500</v>
      </c>
      <c r="M57" s="801">
        <v>42505</v>
      </c>
      <c r="N57" s="802">
        <v>42864</v>
      </c>
      <c r="O57" s="803">
        <f t="shared" ca="1" si="4"/>
        <v>270</v>
      </c>
      <c r="P57" s="804">
        <v>2</v>
      </c>
      <c r="Q57" s="805" t="s">
        <v>1451</v>
      </c>
      <c r="R57" s="806" t="s">
        <v>3020</v>
      </c>
      <c r="S57" s="807">
        <v>42922</v>
      </c>
      <c r="T57" s="798">
        <v>43022</v>
      </c>
      <c r="U57" s="798" t="str">
        <f t="shared" si="5"/>
        <v>-</v>
      </c>
      <c r="V57" s="804" t="str">
        <f t="shared" ca="1" si="6"/>
        <v>-</v>
      </c>
      <c r="W57" s="808">
        <v>3</v>
      </c>
      <c r="X57" s="794">
        <f t="shared" si="53"/>
        <v>158</v>
      </c>
      <c r="Y57" s="794">
        <v>1</v>
      </c>
      <c r="Z57" s="809" t="str">
        <f t="shared" ca="1" si="8"/>
        <v>ПОДЛЕЖИТ ПЕРЕПРОВЕРКЕ</v>
      </c>
      <c r="AA57" s="810">
        <f t="shared" ca="1" si="9"/>
        <v>112</v>
      </c>
      <c r="AB57" s="804"/>
      <c r="AC57" s="811">
        <f t="shared" ca="1" si="10"/>
        <v>43094</v>
      </c>
      <c r="AD57" s="798"/>
      <c r="AE57" s="794" t="str">
        <f t="shared" ca="1" si="11"/>
        <v>-</v>
      </c>
      <c r="AF57" s="798" t="str">
        <f t="shared" si="12"/>
        <v>-</v>
      </c>
      <c r="AG57" s="812" t="str">
        <f t="shared" si="13"/>
        <v>---------</v>
      </c>
      <c r="AH57" s="807">
        <v>43052</v>
      </c>
      <c r="AI57" s="807">
        <f t="shared" si="14"/>
        <v>43212</v>
      </c>
      <c r="AJ57" s="807">
        <f t="shared" si="15"/>
        <v>43242</v>
      </c>
      <c r="AK57" s="813"/>
      <c r="AL57" s="807">
        <f t="shared" si="16"/>
        <v>43281</v>
      </c>
      <c r="AM57" s="807">
        <f t="shared" si="17"/>
        <v>43302</v>
      </c>
      <c r="AN57" s="814">
        <f t="shared" ca="1" si="18"/>
        <v>-168</v>
      </c>
      <c r="AO57" s="815">
        <v>1</v>
      </c>
      <c r="AP57" s="816" t="str">
        <f t="shared" ca="1" si="19"/>
        <v>-</v>
      </c>
      <c r="AQ57" s="817"/>
      <c r="AR57" s="794" t="str">
        <f t="shared" si="20"/>
        <v>-</v>
      </c>
      <c r="AS57" s="818"/>
      <c r="AT57" s="794" t="str">
        <f t="shared" si="21"/>
        <v>-</v>
      </c>
      <c r="AU57" s="819"/>
      <c r="AV57" s="820"/>
      <c r="AW57" s="821"/>
      <c r="AX57" s="821"/>
      <c r="AY57" s="969" t="str">
        <f t="shared" si="22"/>
        <v>-</v>
      </c>
      <c r="AZ57" s="966" t="str">
        <f t="shared" si="23"/>
        <v>-</v>
      </c>
      <c r="BA57" s="971" t="str">
        <f t="shared" si="24"/>
        <v>-</v>
      </c>
      <c r="BB57" s="975"/>
      <c r="BC57" s="821"/>
      <c r="BD57" s="821"/>
      <c r="BE57" s="963" t="str">
        <f t="shared" si="25"/>
        <v>-</v>
      </c>
      <c r="BF57" s="984">
        <v>43033</v>
      </c>
      <c r="BG57" s="988" t="s">
        <v>3353</v>
      </c>
      <c r="BH57" s="986" t="s">
        <v>3354</v>
      </c>
      <c r="BI57" s="991">
        <v>5</v>
      </c>
      <c r="BJ57" s="991" t="s">
        <v>3356</v>
      </c>
      <c r="BK57" s="993">
        <f t="shared" ca="1" si="26"/>
        <v>101</v>
      </c>
      <c r="BL57" s="820">
        <v>42980</v>
      </c>
      <c r="BM57" s="821">
        <v>5</v>
      </c>
      <c r="BN57" s="822">
        <f t="shared" ca="1" si="27"/>
        <v>154</v>
      </c>
      <c r="BO57" s="823">
        <f t="shared" si="28"/>
        <v>44.866666666666667</v>
      </c>
      <c r="BP57" s="824">
        <v>43001</v>
      </c>
      <c r="BQ57" s="821">
        <v>2</v>
      </c>
      <c r="BR57" s="822">
        <f t="shared" ca="1" si="29"/>
        <v>133</v>
      </c>
      <c r="BS57" s="823">
        <f t="shared" si="30"/>
        <v>16.533333333333335</v>
      </c>
      <c r="BT57" s="825" t="str">
        <f t="shared" ca="1" si="31"/>
        <v>-</v>
      </c>
      <c r="BU57" s="826"/>
      <c r="BV57" s="827"/>
      <c r="BW57" s="828" t="str">
        <f t="shared" si="32"/>
        <v>Ж-Е НЕ ВАКЦ.</v>
      </c>
      <c r="BX57" s="829" t="str">
        <f t="shared" si="33"/>
        <v>-</v>
      </c>
      <c r="BY57" s="830" t="str">
        <f t="shared" ca="1" si="34"/>
        <v>-</v>
      </c>
      <c r="BZ57" s="831">
        <v>42888</v>
      </c>
      <c r="CA57" s="832">
        <v>5</v>
      </c>
      <c r="CB57" s="833">
        <f t="shared" ca="1" si="35"/>
        <v>246</v>
      </c>
      <c r="CC57" s="834" t="str">
        <f t="shared" ca="1" si="36"/>
        <v>-</v>
      </c>
      <c r="CD57" s="835">
        <f t="shared" si="37"/>
        <v>42909</v>
      </c>
      <c r="CE57" s="831">
        <v>42909</v>
      </c>
      <c r="CF57" s="832">
        <v>5</v>
      </c>
      <c r="CG57" s="833">
        <f t="shared" ca="1" si="38"/>
        <v>225</v>
      </c>
      <c r="CH57" s="836">
        <f t="shared" si="39"/>
        <v>0</v>
      </c>
      <c r="CI57" s="837" t="str">
        <f t="shared" si="40"/>
        <v>УСПЕШНО</v>
      </c>
      <c r="CJ57" s="838" t="str">
        <f t="shared" ca="1" si="41"/>
        <v>-</v>
      </c>
      <c r="CK57" s="831"/>
      <c r="CL57" s="832"/>
      <c r="CM57" s="833" t="str">
        <f t="shared" si="42"/>
        <v>-</v>
      </c>
      <c r="CN57" s="834" t="str">
        <f t="shared" si="43"/>
        <v>-</v>
      </c>
      <c r="CO57" s="830" t="str">
        <f t="shared" ca="1" si="44"/>
        <v>-</v>
      </c>
      <c r="CP57" s="839"/>
      <c r="CQ57" s="832"/>
      <c r="CR57" s="833" t="str">
        <f t="shared" si="45"/>
        <v>-</v>
      </c>
      <c r="CS57" s="833" t="str">
        <f t="shared" si="46"/>
        <v>-</v>
      </c>
      <c r="CT57" s="834" t="str">
        <f t="shared" si="47"/>
        <v>-</v>
      </c>
      <c r="CU57" s="835" t="str">
        <f t="shared" si="48"/>
        <v>-</v>
      </c>
      <c r="CV57" s="839"/>
      <c r="CW57" s="832"/>
      <c r="CX57" s="833" t="str">
        <f t="shared" si="49"/>
        <v>-</v>
      </c>
      <c r="CY57" s="840" t="str">
        <f t="shared" si="50"/>
        <v>-</v>
      </c>
      <c r="CZ57" s="833" t="str">
        <f t="shared" si="51"/>
        <v>-</v>
      </c>
      <c r="DA57" s="838" t="str">
        <f t="shared" ca="1" si="52"/>
        <v>-</v>
      </c>
      <c r="DB57" s="841"/>
      <c r="DC57" s="832"/>
    </row>
    <row r="58" spans="1:107" s="842" customFormat="1" ht="15.95" customHeight="1" x14ac:dyDescent="0.25">
      <c r="A58" s="790">
        <v>56</v>
      </c>
      <c r="B58" s="791">
        <f t="shared" ca="1" si="0"/>
        <v>43134</v>
      </c>
      <c r="C58" s="792" t="s">
        <v>614</v>
      </c>
      <c r="D58" s="793" t="s">
        <v>3202</v>
      </c>
      <c r="E58" s="794" t="s">
        <v>944</v>
      </c>
      <c r="F58" s="795" t="s">
        <v>945</v>
      </c>
      <c r="G58" s="796">
        <f>SUMIFS(МОЛОКО!L8:L6958,МОЛОКО!F8:F6958,"2098",МОЛОКО!L8:L6958,"&gt;0")</f>
        <v>27</v>
      </c>
      <c r="H58" s="797" t="s">
        <v>603</v>
      </c>
      <c r="I58" s="798">
        <v>41648</v>
      </c>
      <c r="J58" s="799">
        <f t="shared" ca="1" si="1"/>
        <v>4.0712328767123287</v>
      </c>
      <c r="K58" s="799">
        <f t="shared" ca="1" si="2"/>
        <v>49.533333333333331</v>
      </c>
      <c r="L58" s="800">
        <f t="shared" ca="1" si="3"/>
        <v>1486</v>
      </c>
      <c r="M58" s="846">
        <v>42456</v>
      </c>
      <c r="N58" s="802">
        <v>42878</v>
      </c>
      <c r="O58" s="803">
        <f t="shared" ca="1" si="4"/>
        <v>256</v>
      </c>
      <c r="P58" s="804">
        <v>2</v>
      </c>
      <c r="Q58" s="805" t="s">
        <v>2366</v>
      </c>
      <c r="R58" s="806" t="s">
        <v>2670</v>
      </c>
      <c r="S58" s="807">
        <v>42936</v>
      </c>
      <c r="T58" s="798">
        <v>42936</v>
      </c>
      <c r="U58" s="798" t="str">
        <f t="shared" si="5"/>
        <v>-</v>
      </c>
      <c r="V58" s="804" t="str">
        <f t="shared" ca="1" si="6"/>
        <v>-</v>
      </c>
      <c r="W58" s="808">
        <v>1</v>
      </c>
      <c r="X58" s="794">
        <f t="shared" si="53"/>
        <v>58</v>
      </c>
      <c r="Y58" s="794">
        <v>1</v>
      </c>
      <c r="Z58" s="809" t="str">
        <f t="shared" ca="1" si="8"/>
        <v>-----</v>
      </c>
      <c r="AA58" s="810" t="str">
        <f t="shared" ca="1" si="9"/>
        <v>-----</v>
      </c>
      <c r="AB58" s="804">
        <v>1</v>
      </c>
      <c r="AC58" s="811" t="str">
        <f t="shared" ca="1" si="10"/>
        <v>-----</v>
      </c>
      <c r="AD58" s="798">
        <v>43042</v>
      </c>
      <c r="AE58" s="794" t="str">
        <f t="shared" ca="1" si="11"/>
        <v>-</v>
      </c>
      <c r="AF58" s="798" t="str">
        <f t="shared" si="12"/>
        <v>-</v>
      </c>
      <c r="AG58" s="812" t="str">
        <f t="shared" si="13"/>
        <v>---------</v>
      </c>
      <c r="AH58" s="807">
        <v>42968</v>
      </c>
      <c r="AI58" s="807">
        <f t="shared" si="14"/>
        <v>43126</v>
      </c>
      <c r="AJ58" s="807">
        <f t="shared" si="15"/>
        <v>43156</v>
      </c>
      <c r="AK58" s="813"/>
      <c r="AL58" s="807">
        <f t="shared" si="16"/>
        <v>43195</v>
      </c>
      <c r="AM58" s="807">
        <f t="shared" si="17"/>
        <v>43216</v>
      </c>
      <c r="AN58" s="814">
        <f t="shared" ca="1" si="18"/>
        <v>-82</v>
      </c>
      <c r="AO58" s="815">
        <v>1</v>
      </c>
      <c r="AP58" s="816" t="str">
        <f t="shared" ca="1" si="19"/>
        <v>-</v>
      </c>
      <c r="AQ58" s="817"/>
      <c r="AR58" s="794" t="str">
        <f t="shared" si="20"/>
        <v>-</v>
      </c>
      <c r="AS58" s="818"/>
      <c r="AT58" s="794" t="str">
        <f t="shared" si="21"/>
        <v>-</v>
      </c>
      <c r="AU58" s="819"/>
      <c r="AV58" s="820"/>
      <c r="AW58" s="821"/>
      <c r="AX58" s="821"/>
      <c r="AY58" s="969" t="str">
        <f t="shared" si="22"/>
        <v>-</v>
      </c>
      <c r="AZ58" s="966" t="str">
        <f t="shared" si="23"/>
        <v>-</v>
      </c>
      <c r="BA58" s="971" t="str">
        <f t="shared" si="24"/>
        <v>-</v>
      </c>
      <c r="BB58" s="975"/>
      <c r="BC58" s="821"/>
      <c r="BD58" s="821"/>
      <c r="BE58" s="963" t="str">
        <f t="shared" si="25"/>
        <v>-</v>
      </c>
      <c r="BF58" s="984"/>
      <c r="BG58" s="988"/>
      <c r="BH58" s="982"/>
      <c r="BI58" s="991"/>
      <c r="BJ58" s="991"/>
      <c r="BK58" s="993" t="str">
        <f t="shared" si="26"/>
        <v>-</v>
      </c>
      <c r="BL58" s="820">
        <v>42980</v>
      </c>
      <c r="BM58" s="821">
        <v>5</v>
      </c>
      <c r="BN58" s="822">
        <f t="shared" ca="1" si="27"/>
        <v>154</v>
      </c>
      <c r="BO58" s="823">
        <f t="shared" si="28"/>
        <v>44.4</v>
      </c>
      <c r="BP58" s="824">
        <v>43001</v>
      </c>
      <c r="BQ58" s="821">
        <v>2</v>
      </c>
      <c r="BR58" s="822">
        <f t="shared" ca="1" si="29"/>
        <v>133</v>
      </c>
      <c r="BS58" s="823">
        <f t="shared" si="30"/>
        <v>18.166666666666668</v>
      </c>
      <c r="BT58" s="825" t="str">
        <f t="shared" ca="1" si="31"/>
        <v>-</v>
      </c>
      <c r="BU58" s="826"/>
      <c r="BV58" s="827"/>
      <c r="BW58" s="828" t="str">
        <f t="shared" si="32"/>
        <v>Ж-Е НЕ ВАКЦ.</v>
      </c>
      <c r="BX58" s="829" t="str">
        <f t="shared" si="33"/>
        <v>-</v>
      </c>
      <c r="BY58" s="830" t="str">
        <f t="shared" ca="1" si="34"/>
        <v>-</v>
      </c>
      <c r="BZ58" s="831">
        <v>42904</v>
      </c>
      <c r="CA58" s="832">
        <v>5</v>
      </c>
      <c r="CB58" s="833">
        <f t="shared" ca="1" si="35"/>
        <v>230</v>
      </c>
      <c r="CC58" s="834" t="str">
        <f t="shared" ca="1" si="36"/>
        <v>-</v>
      </c>
      <c r="CD58" s="835">
        <f t="shared" si="37"/>
        <v>42925</v>
      </c>
      <c r="CE58" s="831">
        <v>42925</v>
      </c>
      <c r="CF58" s="832">
        <v>5</v>
      </c>
      <c r="CG58" s="833">
        <f t="shared" ca="1" si="38"/>
        <v>209</v>
      </c>
      <c r="CH58" s="836">
        <f t="shared" si="39"/>
        <v>0</v>
      </c>
      <c r="CI58" s="837" t="str">
        <f t="shared" si="40"/>
        <v>УСПЕШНО</v>
      </c>
      <c r="CJ58" s="838" t="str">
        <f t="shared" ca="1" si="41"/>
        <v>-</v>
      </c>
      <c r="CK58" s="831"/>
      <c r="CL58" s="832"/>
      <c r="CM58" s="833" t="str">
        <f t="shared" si="42"/>
        <v>-</v>
      </c>
      <c r="CN58" s="834" t="str">
        <f t="shared" si="43"/>
        <v>-</v>
      </c>
      <c r="CO58" s="830" t="str">
        <f t="shared" ca="1" si="44"/>
        <v>-</v>
      </c>
      <c r="CP58" s="839"/>
      <c r="CQ58" s="832"/>
      <c r="CR58" s="833" t="str">
        <f t="shared" si="45"/>
        <v>-</v>
      </c>
      <c r="CS58" s="833" t="str">
        <f t="shared" si="46"/>
        <v>-</v>
      </c>
      <c r="CT58" s="834" t="str">
        <f t="shared" si="47"/>
        <v>-</v>
      </c>
      <c r="CU58" s="835" t="str">
        <f t="shared" si="48"/>
        <v>-</v>
      </c>
      <c r="CV58" s="839"/>
      <c r="CW58" s="832"/>
      <c r="CX58" s="833" t="str">
        <f t="shared" si="49"/>
        <v>-</v>
      </c>
      <c r="CY58" s="840" t="str">
        <f t="shared" si="50"/>
        <v>-</v>
      </c>
      <c r="CZ58" s="833" t="str">
        <f t="shared" si="51"/>
        <v>-</v>
      </c>
      <c r="DA58" s="838" t="str">
        <f t="shared" ca="1" si="52"/>
        <v>-</v>
      </c>
      <c r="DB58" s="841"/>
      <c r="DC58" s="832"/>
    </row>
    <row r="59" spans="1:107" s="842" customFormat="1" ht="15.95" customHeight="1" x14ac:dyDescent="0.25">
      <c r="A59" s="790">
        <v>57</v>
      </c>
      <c r="B59" s="791">
        <f t="shared" ca="1" si="0"/>
        <v>43134</v>
      </c>
      <c r="C59" s="792" t="s">
        <v>614</v>
      </c>
      <c r="D59" s="793" t="s">
        <v>3202</v>
      </c>
      <c r="E59" s="794" t="s">
        <v>1487</v>
      </c>
      <c r="F59" s="795" t="s">
        <v>1146</v>
      </c>
      <c r="G59" s="796">
        <f>SUMIFS(МОЛОКО!L8:L6958,МОЛОКО!F8:F6958,"2139",МОЛОКО!L8:L6958,"&gt;0")</f>
        <v>27.4</v>
      </c>
      <c r="H59" s="797" t="s">
        <v>603</v>
      </c>
      <c r="I59" s="798">
        <v>41687</v>
      </c>
      <c r="J59" s="799">
        <f t="shared" ca="1" si="1"/>
        <v>3.9643835616438357</v>
      </c>
      <c r="K59" s="799">
        <f t="shared" ca="1" si="2"/>
        <v>48.233333333333334</v>
      </c>
      <c r="L59" s="800">
        <f t="shared" ca="1" si="3"/>
        <v>1447</v>
      </c>
      <c r="M59" s="801">
        <v>42546</v>
      </c>
      <c r="N59" s="802">
        <v>42950</v>
      </c>
      <c r="O59" s="803">
        <f t="shared" ca="1" si="4"/>
        <v>184</v>
      </c>
      <c r="P59" s="804">
        <v>2</v>
      </c>
      <c r="Q59" s="805" t="s">
        <v>1451</v>
      </c>
      <c r="R59" s="806" t="s">
        <v>2962</v>
      </c>
      <c r="S59" s="807">
        <v>43013</v>
      </c>
      <c r="T59" s="798">
        <v>43013</v>
      </c>
      <c r="U59" s="798" t="str">
        <f t="shared" si="5"/>
        <v>-</v>
      </c>
      <c r="V59" s="804" t="str">
        <f t="shared" ca="1" si="6"/>
        <v>-</v>
      </c>
      <c r="W59" s="808">
        <v>1</v>
      </c>
      <c r="X59" s="794">
        <f t="shared" si="53"/>
        <v>63</v>
      </c>
      <c r="Y59" s="794">
        <v>0</v>
      </c>
      <c r="Z59" s="809" t="str">
        <f t="shared" ca="1" si="8"/>
        <v>-----</v>
      </c>
      <c r="AA59" s="810">
        <f t="shared" ca="1" si="9"/>
        <v>121</v>
      </c>
      <c r="AB59" s="804"/>
      <c r="AC59" s="811" t="str">
        <f t="shared" ca="1" si="10"/>
        <v>-----</v>
      </c>
      <c r="AD59" s="798"/>
      <c r="AE59" s="794" t="str">
        <f t="shared" ca="1" si="11"/>
        <v>яловая</v>
      </c>
      <c r="AF59" s="798" t="str">
        <f t="shared" si="12"/>
        <v>-</v>
      </c>
      <c r="AG59" s="812" t="str">
        <f t="shared" si="13"/>
        <v>---------</v>
      </c>
      <c r="AH59" s="807">
        <v>43052</v>
      </c>
      <c r="AI59" s="807" t="str">
        <f t="shared" si="14"/>
        <v>-</v>
      </c>
      <c r="AJ59" s="807" t="str">
        <f t="shared" si="15"/>
        <v>-</v>
      </c>
      <c r="AK59" s="813"/>
      <c r="AL59" s="807" t="str">
        <f t="shared" si="16"/>
        <v>-</v>
      </c>
      <c r="AM59" s="807" t="str">
        <f t="shared" si="17"/>
        <v>-</v>
      </c>
      <c r="AN59" s="814" t="str">
        <f t="shared" ca="1" si="18"/>
        <v>-</v>
      </c>
      <c r="AO59" s="815">
        <v>1</v>
      </c>
      <c r="AP59" s="816" t="str">
        <f t="shared" ca="1" si="19"/>
        <v>-</v>
      </c>
      <c r="AQ59" s="817"/>
      <c r="AR59" s="794" t="str">
        <f t="shared" si="20"/>
        <v>-</v>
      </c>
      <c r="AS59" s="818"/>
      <c r="AT59" s="794" t="str">
        <f t="shared" si="21"/>
        <v>-</v>
      </c>
      <c r="AU59" s="819"/>
      <c r="AV59" s="820"/>
      <c r="AW59" s="821"/>
      <c r="AX59" s="821"/>
      <c r="AY59" s="969" t="str">
        <f t="shared" si="22"/>
        <v>-</v>
      </c>
      <c r="AZ59" s="966" t="str">
        <f t="shared" si="23"/>
        <v>-</v>
      </c>
      <c r="BA59" s="971" t="str">
        <f t="shared" si="24"/>
        <v>-</v>
      </c>
      <c r="BB59" s="975"/>
      <c r="BC59" s="821"/>
      <c r="BD59" s="821"/>
      <c r="BE59" s="963" t="str">
        <f t="shared" si="25"/>
        <v>-</v>
      </c>
      <c r="BF59" s="984">
        <v>43033</v>
      </c>
      <c r="BG59" s="988" t="s">
        <v>3353</v>
      </c>
      <c r="BH59" s="986" t="s">
        <v>3354</v>
      </c>
      <c r="BI59" s="991">
        <v>5</v>
      </c>
      <c r="BJ59" s="991" t="s">
        <v>3356</v>
      </c>
      <c r="BK59" s="993">
        <f t="shared" ca="1" si="26"/>
        <v>101</v>
      </c>
      <c r="BL59" s="820">
        <v>42980</v>
      </c>
      <c r="BM59" s="821">
        <v>5</v>
      </c>
      <c r="BN59" s="822">
        <f t="shared" ca="1" si="27"/>
        <v>154</v>
      </c>
      <c r="BO59" s="823">
        <f t="shared" si="28"/>
        <v>43.1</v>
      </c>
      <c r="BP59" s="824"/>
      <c r="BQ59" s="821"/>
      <c r="BR59" s="822" t="str">
        <f t="shared" si="29"/>
        <v>-</v>
      </c>
      <c r="BS59" s="823" t="str">
        <f t="shared" si="30"/>
        <v>-</v>
      </c>
      <c r="BT59" s="825" t="str">
        <f t="shared" ca="1" si="31"/>
        <v>-</v>
      </c>
      <c r="BU59" s="826"/>
      <c r="BV59" s="827"/>
      <c r="BW59" s="828" t="str">
        <f t="shared" si="32"/>
        <v>Ж-Е НЕ ВАКЦ.</v>
      </c>
      <c r="BX59" s="829" t="str">
        <f t="shared" si="33"/>
        <v>-</v>
      </c>
      <c r="BY59" s="830" t="str">
        <f t="shared" ca="1" si="34"/>
        <v>-</v>
      </c>
      <c r="BZ59" s="831">
        <v>42988</v>
      </c>
      <c r="CA59" s="832">
        <v>5</v>
      </c>
      <c r="CB59" s="833">
        <f t="shared" ca="1" si="35"/>
        <v>146</v>
      </c>
      <c r="CC59" s="834" t="str">
        <f t="shared" ca="1" si="36"/>
        <v>-</v>
      </c>
      <c r="CD59" s="835">
        <f t="shared" si="37"/>
        <v>43009</v>
      </c>
      <c r="CE59" s="831">
        <v>43009</v>
      </c>
      <c r="CF59" s="832">
        <v>5</v>
      </c>
      <c r="CG59" s="833">
        <f t="shared" ca="1" si="38"/>
        <v>125</v>
      </c>
      <c r="CH59" s="836">
        <f t="shared" si="39"/>
        <v>0</v>
      </c>
      <c r="CI59" s="837" t="str">
        <f t="shared" si="40"/>
        <v>УСПЕШНО</v>
      </c>
      <c r="CJ59" s="838" t="str">
        <f t="shared" ca="1" si="41"/>
        <v>-</v>
      </c>
      <c r="CK59" s="831"/>
      <c r="CL59" s="832"/>
      <c r="CM59" s="833" t="str">
        <f t="shared" si="42"/>
        <v>-</v>
      </c>
      <c r="CN59" s="834" t="str">
        <f t="shared" si="43"/>
        <v>-</v>
      </c>
      <c r="CO59" s="830" t="str">
        <f t="shared" ca="1" si="44"/>
        <v>-</v>
      </c>
      <c r="CP59" s="831">
        <v>42882</v>
      </c>
      <c r="CQ59" s="832">
        <v>2</v>
      </c>
      <c r="CR59" s="833">
        <f t="shared" si="45"/>
        <v>-131</v>
      </c>
      <c r="CS59" s="833">
        <f t="shared" ca="1" si="46"/>
        <v>252</v>
      </c>
      <c r="CT59" s="834" t="str">
        <f t="shared" ca="1" si="47"/>
        <v>-</v>
      </c>
      <c r="CU59" s="835">
        <f t="shared" si="48"/>
        <v>42903</v>
      </c>
      <c r="CV59" s="831">
        <v>42903</v>
      </c>
      <c r="CW59" s="832">
        <v>2</v>
      </c>
      <c r="CX59" s="833">
        <f t="shared" si="49"/>
        <v>0</v>
      </c>
      <c r="CY59" s="840" t="str">
        <f t="shared" si="50"/>
        <v>УСПЕШНО</v>
      </c>
      <c r="CZ59" s="833">
        <f t="shared" si="51"/>
        <v>-110</v>
      </c>
      <c r="DA59" s="838" t="str">
        <f t="shared" ca="1" si="52"/>
        <v>-</v>
      </c>
      <c r="DB59" s="841"/>
      <c r="DC59" s="832"/>
    </row>
    <row r="60" spans="1:107" s="842" customFormat="1" ht="15.95" customHeight="1" x14ac:dyDescent="0.25">
      <c r="A60" s="790">
        <v>58</v>
      </c>
      <c r="B60" s="791">
        <f t="shared" ca="1" si="0"/>
        <v>43134</v>
      </c>
      <c r="C60" s="792" t="s">
        <v>614</v>
      </c>
      <c r="D60" s="793" t="s">
        <v>3202</v>
      </c>
      <c r="E60" s="794" t="s">
        <v>1276</v>
      </c>
      <c r="F60" s="795" t="s">
        <v>1148</v>
      </c>
      <c r="G60" s="796">
        <f>SUMIFS(МОЛОКО!L8:L6958,МОЛОКО!F8:F6958,"2143",МОЛОКО!L8:L6958,"&gt;0")</f>
        <v>21.2</v>
      </c>
      <c r="H60" s="797" t="s">
        <v>603</v>
      </c>
      <c r="I60" s="798">
        <v>41692</v>
      </c>
      <c r="J60" s="799">
        <f t="shared" ca="1" si="1"/>
        <v>3.9506849315068493</v>
      </c>
      <c r="K60" s="799">
        <f t="shared" ca="1" si="2"/>
        <v>48.06666666666667</v>
      </c>
      <c r="L60" s="800">
        <f t="shared" ca="1" si="3"/>
        <v>1442</v>
      </c>
      <c r="M60" s="801">
        <v>42572</v>
      </c>
      <c r="N60" s="802">
        <v>42986</v>
      </c>
      <c r="O60" s="803">
        <f t="shared" ca="1" si="4"/>
        <v>148</v>
      </c>
      <c r="P60" s="804">
        <v>2</v>
      </c>
      <c r="Q60" s="68" t="s">
        <v>2366</v>
      </c>
      <c r="R60" s="118" t="s">
        <v>2962</v>
      </c>
      <c r="S60" s="807">
        <v>43048</v>
      </c>
      <c r="T60" s="798">
        <v>43048</v>
      </c>
      <c r="U60" s="798">
        <f t="shared" si="5"/>
        <v>43066</v>
      </c>
      <c r="V60" s="804">
        <f t="shared" ca="1" si="6"/>
        <v>68</v>
      </c>
      <c r="W60" s="808">
        <v>1</v>
      </c>
      <c r="X60" s="794">
        <f t="shared" si="53"/>
        <v>62</v>
      </c>
      <c r="Y60" s="794">
        <v>3</v>
      </c>
      <c r="Z60" s="809" t="str">
        <f t="shared" ca="1" si="8"/>
        <v>-----</v>
      </c>
      <c r="AA60" s="810">
        <f t="shared" ca="1" si="9"/>
        <v>86</v>
      </c>
      <c r="AB60" s="804"/>
      <c r="AC60" s="811" t="str">
        <f t="shared" ca="1" si="10"/>
        <v>-----</v>
      </c>
      <c r="AD60" s="798"/>
      <c r="AE60" s="794" t="str">
        <f t="shared" ca="1" si="11"/>
        <v>-</v>
      </c>
      <c r="AF60" s="798">
        <f t="shared" si="12"/>
        <v>43083</v>
      </c>
      <c r="AG60" s="812">
        <f t="shared" ca="1" si="13"/>
        <v>51</v>
      </c>
      <c r="AH60" s="807"/>
      <c r="AI60" s="807" t="str">
        <f t="shared" si="14"/>
        <v>-</v>
      </c>
      <c r="AJ60" s="807" t="str">
        <f t="shared" si="15"/>
        <v>-</v>
      </c>
      <c r="AK60" s="813"/>
      <c r="AL60" s="807" t="str">
        <f t="shared" si="16"/>
        <v>-</v>
      </c>
      <c r="AM60" s="807" t="str">
        <f t="shared" si="17"/>
        <v>-</v>
      </c>
      <c r="AN60" s="814" t="str">
        <f t="shared" ca="1" si="18"/>
        <v>-</v>
      </c>
      <c r="AO60" s="815">
        <v>1</v>
      </c>
      <c r="AP60" s="816" t="str">
        <f t="shared" ca="1" si="19"/>
        <v>-</v>
      </c>
      <c r="AQ60" s="817"/>
      <c r="AR60" s="794" t="str">
        <f t="shared" si="20"/>
        <v>-</v>
      </c>
      <c r="AS60" s="818"/>
      <c r="AT60" s="794" t="str">
        <f t="shared" si="21"/>
        <v>-</v>
      </c>
      <c r="AU60" s="819"/>
      <c r="AV60" s="820"/>
      <c r="AW60" s="821"/>
      <c r="AX60" s="821"/>
      <c r="AY60" s="969" t="str">
        <f t="shared" si="22"/>
        <v>-</v>
      </c>
      <c r="AZ60" s="966" t="str">
        <f t="shared" si="23"/>
        <v>-</v>
      </c>
      <c r="BA60" s="971" t="str">
        <f t="shared" si="24"/>
        <v>-</v>
      </c>
      <c r="BB60" s="975"/>
      <c r="BC60" s="821"/>
      <c r="BD60" s="821"/>
      <c r="BE60" s="963" t="str">
        <f t="shared" si="25"/>
        <v>-</v>
      </c>
      <c r="BF60" s="984">
        <v>43033</v>
      </c>
      <c r="BG60" s="988" t="s">
        <v>3353</v>
      </c>
      <c r="BH60" s="986" t="s">
        <v>3354</v>
      </c>
      <c r="BI60" s="991">
        <v>5</v>
      </c>
      <c r="BJ60" s="991" t="s">
        <v>3356</v>
      </c>
      <c r="BK60" s="993">
        <f t="shared" ca="1" si="26"/>
        <v>101</v>
      </c>
      <c r="BL60" s="820">
        <v>42982</v>
      </c>
      <c r="BM60" s="821">
        <v>5</v>
      </c>
      <c r="BN60" s="822">
        <f t="shared" ca="1" si="27"/>
        <v>152</v>
      </c>
      <c r="BO60" s="823">
        <f t="shared" si="28"/>
        <v>43</v>
      </c>
      <c r="BP60" s="824">
        <v>43001</v>
      </c>
      <c r="BQ60" s="821">
        <v>2</v>
      </c>
      <c r="BR60" s="822">
        <f t="shared" ca="1" si="29"/>
        <v>133</v>
      </c>
      <c r="BS60" s="823">
        <f t="shared" si="30"/>
        <v>14.3</v>
      </c>
      <c r="BT60" s="825" t="str">
        <f t="shared" ca="1" si="31"/>
        <v>-</v>
      </c>
      <c r="BU60" s="826"/>
      <c r="BV60" s="827"/>
      <c r="BW60" s="828" t="str">
        <f t="shared" si="32"/>
        <v>Ж-Е НЕ ВАКЦ.</v>
      </c>
      <c r="BX60" s="829" t="str">
        <f t="shared" si="33"/>
        <v>-</v>
      </c>
      <c r="BY60" s="830" t="str">
        <f t="shared" ca="1" si="34"/>
        <v>-</v>
      </c>
      <c r="BZ60" s="831">
        <v>42887</v>
      </c>
      <c r="CA60" s="832">
        <v>5</v>
      </c>
      <c r="CB60" s="833">
        <f t="shared" ca="1" si="35"/>
        <v>247</v>
      </c>
      <c r="CC60" s="834" t="str">
        <f t="shared" ca="1" si="36"/>
        <v>-</v>
      </c>
      <c r="CD60" s="835">
        <f t="shared" si="37"/>
        <v>42908</v>
      </c>
      <c r="CE60" s="831">
        <v>42908</v>
      </c>
      <c r="CF60" s="832">
        <v>5</v>
      </c>
      <c r="CG60" s="833">
        <f t="shared" ca="1" si="38"/>
        <v>226</v>
      </c>
      <c r="CH60" s="836">
        <f t="shared" si="39"/>
        <v>0</v>
      </c>
      <c r="CI60" s="837" t="str">
        <f t="shared" si="40"/>
        <v>УСПЕШНО</v>
      </c>
      <c r="CJ60" s="838" t="str">
        <f t="shared" ca="1" si="41"/>
        <v>-</v>
      </c>
      <c r="CK60" s="831"/>
      <c r="CL60" s="832"/>
      <c r="CM60" s="833" t="str">
        <f t="shared" si="42"/>
        <v>-</v>
      </c>
      <c r="CN60" s="834" t="str">
        <f t="shared" si="43"/>
        <v>-</v>
      </c>
      <c r="CO60" s="830" t="str">
        <f t="shared" ca="1" si="44"/>
        <v>-</v>
      </c>
      <c r="CP60" s="831">
        <v>42925</v>
      </c>
      <c r="CQ60" s="832">
        <v>2</v>
      </c>
      <c r="CR60" s="833">
        <f t="shared" si="45"/>
        <v>-123</v>
      </c>
      <c r="CS60" s="833">
        <f t="shared" ca="1" si="46"/>
        <v>209</v>
      </c>
      <c r="CT60" s="834" t="str">
        <f t="shared" ca="1" si="47"/>
        <v>-</v>
      </c>
      <c r="CU60" s="835">
        <f t="shared" si="48"/>
        <v>42946</v>
      </c>
      <c r="CV60" s="831">
        <v>42946</v>
      </c>
      <c r="CW60" s="832">
        <v>2</v>
      </c>
      <c r="CX60" s="833">
        <f t="shared" si="49"/>
        <v>0</v>
      </c>
      <c r="CY60" s="840" t="str">
        <f t="shared" si="50"/>
        <v>УСПЕШНО</v>
      </c>
      <c r="CZ60" s="833">
        <f t="shared" si="51"/>
        <v>-102</v>
      </c>
      <c r="DA60" s="838" t="str">
        <f t="shared" ca="1" si="52"/>
        <v>-</v>
      </c>
      <c r="DB60" s="841"/>
      <c r="DC60" s="832"/>
    </row>
    <row r="61" spans="1:107" s="842" customFormat="1" ht="15.95" customHeight="1" x14ac:dyDescent="0.25">
      <c r="A61" s="790">
        <v>59</v>
      </c>
      <c r="B61" s="791">
        <f t="shared" ca="1" si="0"/>
        <v>43134</v>
      </c>
      <c r="C61" s="29" t="s">
        <v>614</v>
      </c>
      <c r="D61" s="327" t="s">
        <v>3202</v>
      </c>
      <c r="E61" s="794" t="s">
        <v>1325</v>
      </c>
      <c r="F61" s="795" t="s">
        <v>1208</v>
      </c>
      <c r="G61" s="796">
        <f>SUMIFS(МОЛОКО!L8:L6958,МОЛОКО!F8:F6958,"2311",МОЛОКО!L8:L6958,"&gt;0")</f>
        <v>26</v>
      </c>
      <c r="H61" s="797" t="s">
        <v>603</v>
      </c>
      <c r="I61" s="798">
        <v>41858</v>
      </c>
      <c r="J61" s="799">
        <f t="shared" ca="1" si="1"/>
        <v>3.495890410958904</v>
      </c>
      <c r="K61" s="799">
        <f t="shared" ca="1" si="2"/>
        <v>42.533333333333331</v>
      </c>
      <c r="L61" s="800">
        <f t="shared" ca="1" si="3"/>
        <v>1276</v>
      </c>
      <c r="M61" s="801">
        <v>42533</v>
      </c>
      <c r="N61" s="802">
        <v>43010</v>
      </c>
      <c r="O61" s="803">
        <f t="shared" ca="1" si="4"/>
        <v>124</v>
      </c>
      <c r="P61" s="804">
        <v>2</v>
      </c>
      <c r="Q61" s="805"/>
      <c r="R61" s="806"/>
      <c r="S61" s="807"/>
      <c r="T61" s="798"/>
      <c r="U61" s="798" t="str">
        <f t="shared" si="5"/>
        <v>-</v>
      </c>
      <c r="V61" s="804" t="str">
        <f t="shared" ca="1" si="6"/>
        <v>-</v>
      </c>
      <c r="W61" s="808">
        <v>0</v>
      </c>
      <c r="X61" s="794" t="str">
        <f t="shared" si="53"/>
        <v>-</v>
      </c>
      <c r="Y61" s="794">
        <v>0</v>
      </c>
      <c r="Z61" s="809" t="str">
        <f t="shared" ca="1" si="8"/>
        <v>-----</v>
      </c>
      <c r="AA61" s="810">
        <f t="shared" ca="1" si="9"/>
        <v>43134</v>
      </c>
      <c r="AB61" s="804"/>
      <c r="AC61" s="811" t="str">
        <f t="shared" ca="1" si="10"/>
        <v>-----</v>
      </c>
      <c r="AD61" s="798"/>
      <c r="AE61" s="794" t="str">
        <f t="shared" ca="1" si="11"/>
        <v>яловая</v>
      </c>
      <c r="AF61" s="798" t="str">
        <f t="shared" si="12"/>
        <v>-</v>
      </c>
      <c r="AG61" s="812" t="str">
        <f t="shared" si="13"/>
        <v>---------</v>
      </c>
      <c r="AH61" s="807"/>
      <c r="AI61" s="807" t="str">
        <f t="shared" si="14"/>
        <v>-</v>
      </c>
      <c r="AJ61" s="807" t="str">
        <f t="shared" si="15"/>
        <v>-</v>
      </c>
      <c r="AK61" s="813"/>
      <c r="AL61" s="807" t="str">
        <f t="shared" si="16"/>
        <v>-</v>
      </c>
      <c r="AM61" s="807" t="str">
        <f t="shared" si="17"/>
        <v>-</v>
      </c>
      <c r="AN61" s="814" t="str">
        <f t="shared" ca="1" si="18"/>
        <v>-</v>
      </c>
      <c r="AO61" s="815">
        <v>1</v>
      </c>
      <c r="AP61" s="816" t="str">
        <f t="shared" ca="1" si="19"/>
        <v>-</v>
      </c>
      <c r="AQ61" s="817"/>
      <c r="AR61" s="794" t="str">
        <f t="shared" si="20"/>
        <v>-</v>
      </c>
      <c r="AS61" s="818"/>
      <c r="AT61" s="794" t="str">
        <f t="shared" si="21"/>
        <v>-</v>
      </c>
      <c r="AU61" s="819"/>
      <c r="AV61" s="820"/>
      <c r="AW61" s="821"/>
      <c r="AX61" s="821"/>
      <c r="AY61" s="969" t="str">
        <f t="shared" si="22"/>
        <v>-</v>
      </c>
      <c r="AZ61" s="966" t="str">
        <f t="shared" si="23"/>
        <v>-</v>
      </c>
      <c r="BA61" s="971" t="str">
        <f t="shared" si="24"/>
        <v>-</v>
      </c>
      <c r="BB61" s="975"/>
      <c r="BC61" s="821"/>
      <c r="BD61" s="821"/>
      <c r="BE61" s="963" t="str">
        <f t="shared" si="25"/>
        <v>-</v>
      </c>
      <c r="BF61" s="984"/>
      <c r="BG61" s="988"/>
      <c r="BH61" s="982"/>
      <c r="BI61" s="991"/>
      <c r="BJ61" s="991"/>
      <c r="BK61" s="993" t="str">
        <f t="shared" si="26"/>
        <v>-</v>
      </c>
      <c r="BL61" s="820">
        <v>42978</v>
      </c>
      <c r="BM61" s="821">
        <v>5</v>
      </c>
      <c r="BN61" s="822">
        <f t="shared" ca="1" si="27"/>
        <v>156</v>
      </c>
      <c r="BO61" s="823">
        <f t="shared" si="28"/>
        <v>37.333333333333336</v>
      </c>
      <c r="BP61" s="824">
        <v>43001</v>
      </c>
      <c r="BQ61" s="821">
        <v>2</v>
      </c>
      <c r="BR61" s="822">
        <f t="shared" ca="1" si="29"/>
        <v>133</v>
      </c>
      <c r="BS61" s="823">
        <f t="shared" si="30"/>
        <v>15.6</v>
      </c>
      <c r="BT61" s="825" t="str">
        <f t="shared" ca="1" si="31"/>
        <v>-</v>
      </c>
      <c r="BU61" s="826"/>
      <c r="BV61" s="827"/>
      <c r="BW61" s="828" t="str">
        <f t="shared" si="32"/>
        <v>Ж-Е НЕ ВАКЦ.</v>
      </c>
      <c r="BX61" s="829" t="str">
        <f t="shared" si="33"/>
        <v>-</v>
      </c>
      <c r="BY61" s="830" t="str">
        <f t="shared" ca="1" si="34"/>
        <v>-</v>
      </c>
      <c r="BZ61" s="831">
        <v>42887</v>
      </c>
      <c r="CA61" s="832">
        <v>5</v>
      </c>
      <c r="CB61" s="833">
        <f t="shared" ca="1" si="35"/>
        <v>247</v>
      </c>
      <c r="CC61" s="834" t="str">
        <f t="shared" ca="1" si="36"/>
        <v>-</v>
      </c>
      <c r="CD61" s="835">
        <f t="shared" si="37"/>
        <v>42908</v>
      </c>
      <c r="CE61" s="831">
        <v>42908</v>
      </c>
      <c r="CF61" s="832">
        <v>5</v>
      </c>
      <c r="CG61" s="833">
        <f t="shared" ca="1" si="38"/>
        <v>226</v>
      </c>
      <c r="CH61" s="836">
        <f t="shared" si="39"/>
        <v>0</v>
      </c>
      <c r="CI61" s="837" t="str">
        <f t="shared" si="40"/>
        <v>УСПЕШНО</v>
      </c>
      <c r="CJ61" s="838" t="str">
        <f t="shared" ca="1" si="41"/>
        <v>-</v>
      </c>
      <c r="CK61" s="831"/>
      <c r="CL61" s="832"/>
      <c r="CM61" s="833" t="str">
        <f t="shared" si="42"/>
        <v>-</v>
      </c>
      <c r="CN61" s="834" t="str">
        <f t="shared" si="43"/>
        <v>-</v>
      </c>
      <c r="CO61" s="830" t="str">
        <f t="shared" ca="1" si="44"/>
        <v>-</v>
      </c>
      <c r="CP61" s="831">
        <v>42958</v>
      </c>
      <c r="CQ61" s="832">
        <v>2</v>
      </c>
      <c r="CR61" s="833">
        <f t="shared" si="45"/>
        <v>42958</v>
      </c>
      <c r="CS61" s="833">
        <f t="shared" ca="1" si="46"/>
        <v>176</v>
      </c>
      <c r="CT61" s="834" t="str">
        <f t="shared" ca="1" si="47"/>
        <v>-</v>
      </c>
      <c r="CU61" s="835">
        <f t="shared" si="48"/>
        <v>42979</v>
      </c>
      <c r="CV61" s="831">
        <v>42980</v>
      </c>
      <c r="CW61" s="832">
        <v>2</v>
      </c>
      <c r="CX61" s="833">
        <f t="shared" si="49"/>
        <v>1</v>
      </c>
      <c r="CY61" s="840" t="str">
        <f t="shared" si="50"/>
        <v>-</v>
      </c>
      <c r="CZ61" s="833">
        <f t="shared" si="51"/>
        <v>42980</v>
      </c>
      <c r="DA61" s="838" t="str">
        <f t="shared" ca="1" si="52"/>
        <v>-</v>
      </c>
      <c r="DB61" s="841"/>
      <c r="DC61" s="832"/>
    </row>
    <row r="62" spans="1:107" s="842" customFormat="1" ht="15.95" customHeight="1" x14ac:dyDescent="0.25">
      <c r="A62" s="790">
        <v>60</v>
      </c>
      <c r="B62" s="791">
        <f t="shared" ca="1" si="0"/>
        <v>43134</v>
      </c>
      <c r="C62" s="792" t="s">
        <v>614</v>
      </c>
      <c r="D62" s="793" t="s">
        <v>3202</v>
      </c>
      <c r="E62" s="794" t="s">
        <v>1330</v>
      </c>
      <c r="F62" s="795" t="s">
        <v>1213</v>
      </c>
      <c r="G62" s="796">
        <f>SUMIFS(МОЛОКО!L8:L6958,МОЛОКО!F8:F6958,"2324",МОЛОКО!L8:L6958,"&gt;0")</f>
        <v>24.6</v>
      </c>
      <c r="H62" s="797" t="s">
        <v>603</v>
      </c>
      <c r="I62" s="798">
        <v>41870</v>
      </c>
      <c r="J62" s="799">
        <f t="shared" ca="1" si="1"/>
        <v>3.463013698630137</v>
      </c>
      <c r="K62" s="799">
        <f t="shared" ca="1" si="2"/>
        <v>42.133333333333333</v>
      </c>
      <c r="L62" s="800">
        <f t="shared" ca="1" si="3"/>
        <v>1264</v>
      </c>
      <c r="M62" s="801">
        <v>42550</v>
      </c>
      <c r="N62" s="802">
        <v>42986</v>
      </c>
      <c r="O62" s="803">
        <f t="shared" ca="1" si="4"/>
        <v>148</v>
      </c>
      <c r="P62" s="804">
        <v>2</v>
      </c>
      <c r="Q62" s="68" t="s">
        <v>2366</v>
      </c>
      <c r="R62" s="118" t="s">
        <v>2966</v>
      </c>
      <c r="S62" s="807">
        <v>43048</v>
      </c>
      <c r="T62" s="798">
        <v>43048</v>
      </c>
      <c r="U62" s="798">
        <f t="shared" si="5"/>
        <v>43066</v>
      </c>
      <c r="V62" s="804">
        <f t="shared" ca="1" si="6"/>
        <v>68</v>
      </c>
      <c r="W62" s="808">
        <v>1</v>
      </c>
      <c r="X62" s="794">
        <f t="shared" si="53"/>
        <v>62</v>
      </c>
      <c r="Y62" s="794">
        <v>3</v>
      </c>
      <c r="Z62" s="809" t="str">
        <f t="shared" ca="1" si="8"/>
        <v>-----</v>
      </c>
      <c r="AA62" s="810">
        <f t="shared" ca="1" si="9"/>
        <v>86</v>
      </c>
      <c r="AB62" s="804"/>
      <c r="AC62" s="811" t="str">
        <f t="shared" ca="1" si="10"/>
        <v>-----</v>
      </c>
      <c r="AD62" s="798"/>
      <c r="AE62" s="794" t="str">
        <f t="shared" ca="1" si="11"/>
        <v>-</v>
      </c>
      <c r="AF62" s="798">
        <f t="shared" si="12"/>
        <v>43083</v>
      </c>
      <c r="AG62" s="812">
        <f t="shared" ca="1" si="13"/>
        <v>51</v>
      </c>
      <c r="AH62" s="807"/>
      <c r="AI62" s="807" t="str">
        <f t="shared" si="14"/>
        <v>-</v>
      </c>
      <c r="AJ62" s="807" t="str">
        <f t="shared" si="15"/>
        <v>-</v>
      </c>
      <c r="AK62" s="813"/>
      <c r="AL62" s="807" t="str">
        <f t="shared" si="16"/>
        <v>-</v>
      </c>
      <c r="AM62" s="807" t="str">
        <f t="shared" si="17"/>
        <v>-</v>
      </c>
      <c r="AN62" s="814" t="str">
        <f t="shared" ca="1" si="18"/>
        <v>-</v>
      </c>
      <c r="AO62" s="815">
        <v>1</v>
      </c>
      <c r="AP62" s="816" t="str">
        <f t="shared" ca="1" si="19"/>
        <v>-</v>
      </c>
      <c r="AQ62" s="817"/>
      <c r="AR62" s="794" t="str">
        <f t="shared" si="20"/>
        <v>-</v>
      </c>
      <c r="AS62" s="818"/>
      <c r="AT62" s="794" t="str">
        <f t="shared" si="21"/>
        <v>-</v>
      </c>
      <c r="AU62" s="819"/>
      <c r="AV62" s="820"/>
      <c r="AW62" s="821"/>
      <c r="AX62" s="821"/>
      <c r="AY62" s="969" t="str">
        <f t="shared" si="22"/>
        <v>-</v>
      </c>
      <c r="AZ62" s="966" t="str">
        <f t="shared" si="23"/>
        <v>-</v>
      </c>
      <c r="BA62" s="971" t="str">
        <f t="shared" si="24"/>
        <v>-</v>
      </c>
      <c r="BB62" s="975"/>
      <c r="BC62" s="821"/>
      <c r="BD62" s="821"/>
      <c r="BE62" s="963" t="str">
        <f t="shared" si="25"/>
        <v>-</v>
      </c>
      <c r="BF62" s="984">
        <v>43033</v>
      </c>
      <c r="BG62" s="988" t="s">
        <v>3353</v>
      </c>
      <c r="BH62" s="986" t="s">
        <v>3354</v>
      </c>
      <c r="BI62" s="991">
        <v>5</v>
      </c>
      <c r="BJ62" s="991" t="s">
        <v>3356</v>
      </c>
      <c r="BK62" s="993">
        <f t="shared" ca="1" si="26"/>
        <v>101</v>
      </c>
      <c r="BL62" s="820">
        <v>42982</v>
      </c>
      <c r="BM62" s="821">
        <v>5</v>
      </c>
      <c r="BN62" s="822">
        <f t="shared" ca="1" si="27"/>
        <v>152</v>
      </c>
      <c r="BO62" s="823">
        <f t="shared" si="28"/>
        <v>37.06666666666667</v>
      </c>
      <c r="BP62" s="824">
        <v>43001</v>
      </c>
      <c r="BQ62" s="821">
        <v>2</v>
      </c>
      <c r="BR62" s="822">
        <f t="shared" ca="1" si="29"/>
        <v>133</v>
      </c>
      <c r="BS62" s="823">
        <f t="shared" si="30"/>
        <v>15.033333333333333</v>
      </c>
      <c r="BT62" s="825" t="str">
        <f t="shared" ca="1" si="31"/>
        <v>-</v>
      </c>
      <c r="BU62" s="826"/>
      <c r="BV62" s="827"/>
      <c r="BW62" s="828" t="str">
        <f t="shared" si="32"/>
        <v>Ж-Е НЕ ВАКЦ.</v>
      </c>
      <c r="BX62" s="829" t="str">
        <f t="shared" si="33"/>
        <v>-</v>
      </c>
      <c r="BY62" s="830" t="str">
        <f t="shared" ca="1" si="34"/>
        <v>-</v>
      </c>
      <c r="BZ62" s="831">
        <v>42887</v>
      </c>
      <c r="CA62" s="832">
        <v>5</v>
      </c>
      <c r="CB62" s="833">
        <f t="shared" ca="1" si="35"/>
        <v>247</v>
      </c>
      <c r="CC62" s="834" t="str">
        <f t="shared" ca="1" si="36"/>
        <v>-</v>
      </c>
      <c r="CD62" s="835">
        <f t="shared" si="37"/>
        <v>42908</v>
      </c>
      <c r="CE62" s="831">
        <v>42908</v>
      </c>
      <c r="CF62" s="832">
        <v>5</v>
      </c>
      <c r="CG62" s="833">
        <f t="shared" ca="1" si="38"/>
        <v>226</v>
      </c>
      <c r="CH62" s="836">
        <f t="shared" si="39"/>
        <v>0</v>
      </c>
      <c r="CI62" s="837" t="str">
        <f t="shared" si="40"/>
        <v>УСПЕШНО</v>
      </c>
      <c r="CJ62" s="838" t="str">
        <f t="shared" ca="1" si="41"/>
        <v>-</v>
      </c>
      <c r="CK62" s="831"/>
      <c r="CL62" s="832"/>
      <c r="CM62" s="833" t="str">
        <f t="shared" si="42"/>
        <v>-</v>
      </c>
      <c r="CN62" s="834" t="str">
        <f t="shared" si="43"/>
        <v>-</v>
      </c>
      <c r="CO62" s="830" t="str">
        <f t="shared" ca="1" si="44"/>
        <v>-</v>
      </c>
      <c r="CP62" s="831">
        <v>42925</v>
      </c>
      <c r="CQ62" s="832">
        <v>2</v>
      </c>
      <c r="CR62" s="833">
        <f t="shared" si="45"/>
        <v>-123</v>
      </c>
      <c r="CS62" s="833">
        <f t="shared" ca="1" si="46"/>
        <v>209</v>
      </c>
      <c r="CT62" s="834" t="str">
        <f t="shared" ca="1" si="47"/>
        <v>-</v>
      </c>
      <c r="CU62" s="835">
        <f t="shared" si="48"/>
        <v>42946</v>
      </c>
      <c r="CV62" s="831">
        <v>42946</v>
      </c>
      <c r="CW62" s="832">
        <v>2</v>
      </c>
      <c r="CX62" s="833">
        <f t="shared" si="49"/>
        <v>0</v>
      </c>
      <c r="CY62" s="840" t="str">
        <f t="shared" si="50"/>
        <v>УСПЕШНО</v>
      </c>
      <c r="CZ62" s="833">
        <f t="shared" si="51"/>
        <v>-102</v>
      </c>
      <c r="DA62" s="838" t="str">
        <f t="shared" ca="1" si="52"/>
        <v>-</v>
      </c>
      <c r="DB62" s="841"/>
      <c r="DC62" s="832"/>
    </row>
    <row r="63" spans="1:107" s="842" customFormat="1" ht="15" customHeight="1" x14ac:dyDescent="0.25">
      <c r="A63" s="790">
        <v>61</v>
      </c>
      <c r="B63" s="791">
        <f t="shared" ca="1" si="0"/>
        <v>43134</v>
      </c>
      <c r="C63" s="792" t="s">
        <v>614</v>
      </c>
      <c r="D63" s="793" t="s">
        <v>3202</v>
      </c>
      <c r="E63" s="794" t="s">
        <v>1353</v>
      </c>
      <c r="F63" s="795" t="s">
        <v>1237</v>
      </c>
      <c r="G63" s="796">
        <f>SUMIFS(МОЛОКО!L8:L6958,МОЛОКО!F8:F6958,"2413",МОЛОКО!L8:L6958,"&gt;0")</f>
        <v>40.200000000000003</v>
      </c>
      <c r="H63" s="797" t="s">
        <v>603</v>
      </c>
      <c r="I63" s="798">
        <v>41966</v>
      </c>
      <c r="J63" s="799">
        <f t="shared" ca="1" si="1"/>
        <v>3.2</v>
      </c>
      <c r="K63" s="799">
        <f t="shared" ca="1" si="2"/>
        <v>38.93333333333333</v>
      </c>
      <c r="L63" s="800">
        <f t="shared" ca="1" si="3"/>
        <v>1168</v>
      </c>
      <c r="M63" s="801">
        <v>42624</v>
      </c>
      <c r="N63" s="802">
        <v>42994</v>
      </c>
      <c r="O63" s="803">
        <f t="shared" ca="1" si="4"/>
        <v>140</v>
      </c>
      <c r="P63" s="804">
        <v>2</v>
      </c>
      <c r="Q63" s="68" t="s">
        <v>1451</v>
      </c>
      <c r="R63" s="118" t="s">
        <v>2962</v>
      </c>
      <c r="S63" s="807">
        <v>43055</v>
      </c>
      <c r="T63" s="798">
        <v>43055</v>
      </c>
      <c r="U63" s="798">
        <f t="shared" si="5"/>
        <v>43073</v>
      </c>
      <c r="V63" s="804">
        <f t="shared" ca="1" si="6"/>
        <v>61</v>
      </c>
      <c r="W63" s="808">
        <v>1</v>
      </c>
      <c r="X63" s="794">
        <f t="shared" si="53"/>
        <v>61</v>
      </c>
      <c r="Y63" s="794">
        <v>3</v>
      </c>
      <c r="Z63" s="809" t="str">
        <f t="shared" ca="1" si="8"/>
        <v>-----</v>
      </c>
      <c r="AA63" s="810">
        <f t="shared" ca="1" si="9"/>
        <v>79</v>
      </c>
      <c r="AB63" s="804"/>
      <c r="AC63" s="811" t="str">
        <f t="shared" ca="1" si="10"/>
        <v>-----</v>
      </c>
      <c r="AD63" s="798"/>
      <c r="AE63" s="794" t="str">
        <f t="shared" ca="1" si="11"/>
        <v>-</v>
      </c>
      <c r="AF63" s="798">
        <f t="shared" si="12"/>
        <v>43090</v>
      </c>
      <c r="AG63" s="812">
        <f t="shared" ca="1" si="13"/>
        <v>44</v>
      </c>
      <c r="AH63" s="807"/>
      <c r="AI63" s="807" t="str">
        <f t="shared" si="14"/>
        <v>-</v>
      </c>
      <c r="AJ63" s="807" t="str">
        <f t="shared" si="15"/>
        <v>-</v>
      </c>
      <c r="AK63" s="813"/>
      <c r="AL63" s="807" t="str">
        <f t="shared" si="16"/>
        <v>-</v>
      </c>
      <c r="AM63" s="807" t="str">
        <f t="shared" si="17"/>
        <v>-</v>
      </c>
      <c r="AN63" s="814" t="str">
        <f t="shared" ca="1" si="18"/>
        <v>-</v>
      </c>
      <c r="AO63" s="815">
        <v>1</v>
      </c>
      <c r="AP63" s="816" t="str">
        <f t="shared" ca="1" si="19"/>
        <v>-</v>
      </c>
      <c r="AQ63" s="817"/>
      <c r="AR63" s="794" t="str">
        <f t="shared" si="20"/>
        <v>-</v>
      </c>
      <c r="AS63" s="818"/>
      <c r="AT63" s="794" t="str">
        <f t="shared" si="21"/>
        <v>-</v>
      </c>
      <c r="AU63" s="819"/>
      <c r="AV63" s="820"/>
      <c r="AW63" s="821"/>
      <c r="AX63" s="821"/>
      <c r="AY63" s="969" t="str">
        <f t="shared" si="22"/>
        <v>-</v>
      </c>
      <c r="AZ63" s="966" t="str">
        <f t="shared" si="23"/>
        <v>-</v>
      </c>
      <c r="BA63" s="971" t="str">
        <f t="shared" si="24"/>
        <v>-</v>
      </c>
      <c r="BB63" s="975"/>
      <c r="BC63" s="821"/>
      <c r="BD63" s="821"/>
      <c r="BE63" s="963" t="str">
        <f t="shared" si="25"/>
        <v>-</v>
      </c>
      <c r="BF63" s="984"/>
      <c r="BG63" s="988"/>
      <c r="BH63" s="982"/>
      <c r="BI63" s="991"/>
      <c r="BJ63" s="991"/>
      <c r="BK63" s="993" t="str">
        <f t="shared" si="26"/>
        <v>-</v>
      </c>
      <c r="BL63" s="820">
        <v>42978</v>
      </c>
      <c r="BM63" s="821">
        <v>5</v>
      </c>
      <c r="BN63" s="822">
        <f t="shared" ca="1" si="27"/>
        <v>156</v>
      </c>
      <c r="BO63" s="823">
        <f t="shared" si="28"/>
        <v>33.733333333333334</v>
      </c>
      <c r="BP63" s="824">
        <v>43001</v>
      </c>
      <c r="BQ63" s="821">
        <v>2</v>
      </c>
      <c r="BR63" s="822">
        <f t="shared" ca="1" si="29"/>
        <v>133</v>
      </c>
      <c r="BS63" s="823">
        <f t="shared" si="30"/>
        <v>12.566666666666666</v>
      </c>
      <c r="BT63" s="825" t="str">
        <f t="shared" ca="1" si="31"/>
        <v>-</v>
      </c>
      <c r="BU63" s="826"/>
      <c r="BV63" s="827"/>
      <c r="BW63" s="828" t="str">
        <f t="shared" si="32"/>
        <v>Ж-Е НЕ ВАКЦ.</v>
      </c>
      <c r="BX63" s="829" t="str">
        <f t="shared" si="33"/>
        <v>-</v>
      </c>
      <c r="BY63" s="830" t="str">
        <f t="shared" ca="1" si="34"/>
        <v>-</v>
      </c>
      <c r="BZ63" s="831">
        <v>42887</v>
      </c>
      <c r="CA63" s="832">
        <v>5</v>
      </c>
      <c r="CB63" s="833">
        <f t="shared" ca="1" si="35"/>
        <v>247</v>
      </c>
      <c r="CC63" s="834" t="str">
        <f t="shared" ca="1" si="36"/>
        <v>-</v>
      </c>
      <c r="CD63" s="835">
        <f t="shared" si="37"/>
        <v>42908</v>
      </c>
      <c r="CE63" s="831">
        <v>42908</v>
      </c>
      <c r="CF63" s="832">
        <v>5</v>
      </c>
      <c r="CG63" s="833">
        <f t="shared" ca="1" si="38"/>
        <v>226</v>
      </c>
      <c r="CH63" s="836">
        <f t="shared" si="39"/>
        <v>0</v>
      </c>
      <c r="CI63" s="837" t="str">
        <f t="shared" si="40"/>
        <v>УСПЕШНО</v>
      </c>
      <c r="CJ63" s="838" t="str">
        <f t="shared" ca="1" si="41"/>
        <v>-</v>
      </c>
      <c r="CK63" s="831"/>
      <c r="CL63" s="832"/>
      <c r="CM63" s="833" t="str">
        <f t="shared" si="42"/>
        <v>-</v>
      </c>
      <c r="CN63" s="834" t="str">
        <f t="shared" si="43"/>
        <v>-</v>
      </c>
      <c r="CO63" s="830" t="str">
        <f t="shared" ca="1" si="44"/>
        <v>-</v>
      </c>
      <c r="CP63" s="831">
        <v>42958</v>
      </c>
      <c r="CQ63" s="832">
        <v>2</v>
      </c>
      <c r="CR63" s="833">
        <f t="shared" si="45"/>
        <v>-97</v>
      </c>
      <c r="CS63" s="833">
        <f t="shared" ca="1" si="46"/>
        <v>176</v>
      </c>
      <c r="CT63" s="834" t="str">
        <f t="shared" ca="1" si="47"/>
        <v>-</v>
      </c>
      <c r="CU63" s="835">
        <f t="shared" si="48"/>
        <v>42979</v>
      </c>
      <c r="CV63" s="831">
        <v>42980</v>
      </c>
      <c r="CW63" s="832">
        <v>2</v>
      </c>
      <c r="CX63" s="833">
        <f t="shared" si="49"/>
        <v>1</v>
      </c>
      <c r="CY63" s="840" t="str">
        <f t="shared" si="50"/>
        <v>-</v>
      </c>
      <c r="CZ63" s="833">
        <f t="shared" si="51"/>
        <v>-75</v>
      </c>
      <c r="DA63" s="838" t="str">
        <f t="shared" ca="1" si="52"/>
        <v>-</v>
      </c>
      <c r="DB63" s="841"/>
      <c r="DC63" s="832"/>
    </row>
    <row r="64" spans="1:107" s="842" customFormat="1" ht="15.95" customHeight="1" x14ac:dyDescent="0.25">
      <c r="A64" s="790">
        <v>62</v>
      </c>
      <c r="B64" s="791">
        <f t="shared" ca="1" si="0"/>
        <v>43134</v>
      </c>
      <c r="C64" s="792" t="s">
        <v>614</v>
      </c>
      <c r="D64" s="793" t="s">
        <v>3202</v>
      </c>
      <c r="E64" s="794" t="s">
        <v>1087</v>
      </c>
      <c r="F64" s="795" t="s">
        <v>1002</v>
      </c>
      <c r="G64" s="796">
        <f>SUMIFS(МОЛОКО!L8:L6958,МОЛОКО!F8:F6958,"2434",МОЛОКО!L8:L6958,"&gt;0")</f>
        <v>23</v>
      </c>
      <c r="H64" s="797" t="s">
        <v>603</v>
      </c>
      <c r="I64" s="798">
        <v>41980</v>
      </c>
      <c r="J64" s="799">
        <f t="shared" ca="1" si="1"/>
        <v>3.1616438356164385</v>
      </c>
      <c r="K64" s="799">
        <f t="shared" ca="1" si="2"/>
        <v>38.466666666666669</v>
      </c>
      <c r="L64" s="800">
        <f t="shared" ca="1" si="3"/>
        <v>1154</v>
      </c>
      <c r="M64" s="801">
        <v>42780</v>
      </c>
      <c r="N64" s="802">
        <v>42876</v>
      </c>
      <c r="O64" s="803">
        <f t="shared" ca="1" si="4"/>
        <v>258</v>
      </c>
      <c r="P64" s="804">
        <v>2</v>
      </c>
      <c r="Q64" s="805" t="s">
        <v>2366</v>
      </c>
      <c r="R64" s="806" t="s">
        <v>2269</v>
      </c>
      <c r="S64" s="807">
        <v>42936</v>
      </c>
      <c r="T64" s="798">
        <v>42936</v>
      </c>
      <c r="U64" s="798" t="str">
        <f t="shared" si="5"/>
        <v>-</v>
      </c>
      <c r="V64" s="804" t="str">
        <f t="shared" ca="1" si="6"/>
        <v>-</v>
      </c>
      <c r="W64" s="808">
        <v>1</v>
      </c>
      <c r="X64" s="794">
        <f t="shared" si="53"/>
        <v>60</v>
      </c>
      <c r="Y64" s="794">
        <v>1</v>
      </c>
      <c r="Z64" s="809" t="str">
        <f t="shared" ca="1" si="8"/>
        <v>-----</v>
      </c>
      <c r="AA64" s="810" t="str">
        <f t="shared" ca="1" si="9"/>
        <v>-----</v>
      </c>
      <c r="AB64" s="804">
        <v>1</v>
      </c>
      <c r="AC64" s="811" t="str">
        <f t="shared" ca="1" si="10"/>
        <v>-----</v>
      </c>
      <c r="AD64" s="798">
        <v>43043</v>
      </c>
      <c r="AE64" s="794" t="str">
        <f t="shared" ca="1" si="11"/>
        <v>-</v>
      </c>
      <c r="AF64" s="798" t="str">
        <f t="shared" si="12"/>
        <v>-</v>
      </c>
      <c r="AG64" s="812" t="str">
        <f t="shared" si="13"/>
        <v>---------</v>
      </c>
      <c r="AH64" s="807">
        <v>42968</v>
      </c>
      <c r="AI64" s="807">
        <f t="shared" si="14"/>
        <v>43126</v>
      </c>
      <c r="AJ64" s="807">
        <f t="shared" si="15"/>
        <v>43156</v>
      </c>
      <c r="AK64" s="813"/>
      <c r="AL64" s="807">
        <f t="shared" si="16"/>
        <v>43195</v>
      </c>
      <c r="AM64" s="807">
        <f t="shared" si="17"/>
        <v>43216</v>
      </c>
      <c r="AN64" s="814">
        <f t="shared" ca="1" si="18"/>
        <v>-82</v>
      </c>
      <c r="AO64" s="815">
        <v>1</v>
      </c>
      <c r="AP64" s="816" t="str">
        <f t="shared" ca="1" si="19"/>
        <v>-</v>
      </c>
      <c r="AQ64" s="817"/>
      <c r="AR64" s="794" t="str">
        <f t="shared" si="20"/>
        <v>-</v>
      </c>
      <c r="AS64" s="818">
        <v>42876</v>
      </c>
      <c r="AT64" s="794" t="str">
        <f t="shared" si="21"/>
        <v>-</v>
      </c>
      <c r="AU64" s="819"/>
      <c r="AV64" s="820"/>
      <c r="AW64" s="821"/>
      <c r="AX64" s="821"/>
      <c r="AY64" s="969" t="str">
        <f t="shared" si="22"/>
        <v>-</v>
      </c>
      <c r="AZ64" s="966" t="str">
        <f t="shared" si="23"/>
        <v>-</v>
      </c>
      <c r="BA64" s="971" t="str">
        <f t="shared" si="24"/>
        <v>-</v>
      </c>
      <c r="BB64" s="975"/>
      <c r="BC64" s="821"/>
      <c r="BD64" s="821"/>
      <c r="BE64" s="963" t="str">
        <f t="shared" si="25"/>
        <v>-</v>
      </c>
      <c r="BF64" s="984"/>
      <c r="BG64" s="988"/>
      <c r="BH64" s="982"/>
      <c r="BI64" s="991"/>
      <c r="BJ64" s="991"/>
      <c r="BK64" s="993" t="str">
        <f t="shared" si="26"/>
        <v>-</v>
      </c>
      <c r="BL64" s="820">
        <v>42980</v>
      </c>
      <c r="BM64" s="821">
        <v>5</v>
      </c>
      <c r="BN64" s="822">
        <f t="shared" ca="1" si="27"/>
        <v>154</v>
      </c>
      <c r="BO64" s="823">
        <f t="shared" si="28"/>
        <v>33.333333333333336</v>
      </c>
      <c r="BP64" s="824">
        <v>43001</v>
      </c>
      <c r="BQ64" s="821">
        <v>2</v>
      </c>
      <c r="BR64" s="822">
        <f t="shared" ca="1" si="29"/>
        <v>133</v>
      </c>
      <c r="BS64" s="823">
        <f t="shared" si="30"/>
        <v>7.3666666666666663</v>
      </c>
      <c r="BT64" s="825" t="str">
        <f t="shared" ca="1" si="31"/>
        <v>-</v>
      </c>
      <c r="BU64" s="826"/>
      <c r="BV64" s="827"/>
      <c r="BW64" s="828" t="str">
        <f t="shared" si="32"/>
        <v>Ж-Е НЕ ВАКЦ.</v>
      </c>
      <c r="BX64" s="829" t="str">
        <f t="shared" si="33"/>
        <v>-</v>
      </c>
      <c r="BY64" s="830" t="str">
        <f t="shared" ca="1" si="34"/>
        <v>-</v>
      </c>
      <c r="BZ64" s="831">
        <v>42904</v>
      </c>
      <c r="CA64" s="832">
        <v>5</v>
      </c>
      <c r="CB64" s="833">
        <f t="shared" ca="1" si="35"/>
        <v>230</v>
      </c>
      <c r="CC64" s="834" t="str">
        <f t="shared" ca="1" si="36"/>
        <v>-</v>
      </c>
      <c r="CD64" s="835">
        <f t="shared" si="37"/>
        <v>42925</v>
      </c>
      <c r="CE64" s="831">
        <v>42925</v>
      </c>
      <c r="CF64" s="832">
        <v>5</v>
      </c>
      <c r="CG64" s="833">
        <f t="shared" ca="1" si="38"/>
        <v>209</v>
      </c>
      <c r="CH64" s="836">
        <f t="shared" si="39"/>
        <v>0</v>
      </c>
      <c r="CI64" s="837" t="str">
        <f t="shared" si="40"/>
        <v>УСПЕШНО</v>
      </c>
      <c r="CJ64" s="838" t="str">
        <f t="shared" ca="1" si="41"/>
        <v>-</v>
      </c>
      <c r="CK64" s="831"/>
      <c r="CL64" s="832"/>
      <c r="CM64" s="833" t="str">
        <f t="shared" si="42"/>
        <v>-</v>
      </c>
      <c r="CN64" s="834" t="str">
        <f t="shared" si="43"/>
        <v>-</v>
      </c>
      <c r="CO64" s="830" t="str">
        <f t="shared" ca="1" si="44"/>
        <v>-</v>
      </c>
      <c r="CP64" s="839"/>
      <c r="CQ64" s="832"/>
      <c r="CR64" s="833" t="str">
        <f t="shared" si="45"/>
        <v>-</v>
      </c>
      <c r="CS64" s="833" t="str">
        <f t="shared" si="46"/>
        <v>-</v>
      </c>
      <c r="CT64" s="834" t="str">
        <f t="shared" si="47"/>
        <v>-</v>
      </c>
      <c r="CU64" s="835" t="str">
        <f t="shared" si="48"/>
        <v>-</v>
      </c>
      <c r="CV64" s="839"/>
      <c r="CW64" s="832"/>
      <c r="CX64" s="833" t="str">
        <f t="shared" si="49"/>
        <v>-</v>
      </c>
      <c r="CY64" s="840" t="str">
        <f t="shared" si="50"/>
        <v>-</v>
      </c>
      <c r="CZ64" s="833" t="str">
        <f t="shared" si="51"/>
        <v>-</v>
      </c>
      <c r="DA64" s="838" t="str">
        <f t="shared" ca="1" si="52"/>
        <v>-</v>
      </c>
      <c r="DB64" s="841"/>
      <c r="DC64" s="832"/>
    </row>
    <row r="65" spans="1:107" s="842" customFormat="1" ht="15.95" customHeight="1" x14ac:dyDescent="0.25">
      <c r="A65" s="790">
        <v>63</v>
      </c>
      <c r="B65" s="791">
        <f t="shared" ca="1" si="0"/>
        <v>43134</v>
      </c>
      <c r="C65" s="792" t="s">
        <v>614</v>
      </c>
      <c r="D65" s="793" t="s">
        <v>3202</v>
      </c>
      <c r="E65" s="794" t="s">
        <v>1071</v>
      </c>
      <c r="F65" s="795" t="s">
        <v>984</v>
      </c>
      <c r="G65" s="796">
        <f>SUMIFS(МОЛОКО!L8:L6958,МОЛОКО!F8:F6958,"2453",МОЛОКО!L8:L6958,"&gt;0")</f>
        <v>29.2</v>
      </c>
      <c r="H65" s="797" t="s">
        <v>603</v>
      </c>
      <c r="I65" s="798">
        <v>41993</v>
      </c>
      <c r="J65" s="799">
        <f t="shared" ca="1" si="1"/>
        <v>3.1260273972602741</v>
      </c>
      <c r="K65" s="799">
        <f t="shared" ca="1" si="2"/>
        <v>38.033333333333331</v>
      </c>
      <c r="L65" s="800">
        <f t="shared" ca="1" si="3"/>
        <v>1141</v>
      </c>
      <c r="M65" s="801">
        <v>42791</v>
      </c>
      <c r="N65" s="802">
        <v>42791</v>
      </c>
      <c r="O65" s="803">
        <f t="shared" ca="1" si="4"/>
        <v>343</v>
      </c>
      <c r="P65" s="804">
        <v>1</v>
      </c>
      <c r="Q65" s="805" t="s">
        <v>2366</v>
      </c>
      <c r="R65" s="806" t="s">
        <v>2335</v>
      </c>
      <c r="S65" s="807">
        <v>42859</v>
      </c>
      <c r="T65" s="798">
        <v>42859</v>
      </c>
      <c r="U65" s="798" t="str">
        <f t="shared" si="5"/>
        <v>-</v>
      </c>
      <c r="V65" s="804" t="str">
        <f t="shared" ca="1" si="6"/>
        <v>-</v>
      </c>
      <c r="W65" s="808">
        <v>1</v>
      </c>
      <c r="X65" s="794">
        <f t="shared" si="53"/>
        <v>68</v>
      </c>
      <c r="Y65" s="794">
        <v>1</v>
      </c>
      <c r="Z65" s="809" t="str">
        <f t="shared" ca="1" si="8"/>
        <v>-----</v>
      </c>
      <c r="AA65" s="810" t="str">
        <f t="shared" ca="1" si="9"/>
        <v>-----</v>
      </c>
      <c r="AB65" s="804">
        <v>1</v>
      </c>
      <c r="AC65" s="811" t="str">
        <f t="shared" ca="1" si="10"/>
        <v>-----</v>
      </c>
      <c r="AD65" s="798">
        <v>42935</v>
      </c>
      <c r="AE65" s="794" t="str">
        <f t="shared" ca="1" si="11"/>
        <v>-</v>
      </c>
      <c r="AF65" s="798" t="str">
        <f t="shared" si="12"/>
        <v>-</v>
      </c>
      <c r="AG65" s="812" t="str">
        <f t="shared" si="13"/>
        <v>---------</v>
      </c>
      <c r="AH65" s="807">
        <v>42893</v>
      </c>
      <c r="AI65" s="807">
        <f t="shared" si="14"/>
        <v>43049</v>
      </c>
      <c r="AJ65" s="807">
        <f t="shared" si="15"/>
        <v>43079</v>
      </c>
      <c r="AK65" s="813"/>
      <c r="AL65" s="807">
        <f t="shared" si="16"/>
        <v>43118</v>
      </c>
      <c r="AM65" s="807">
        <f t="shared" si="17"/>
        <v>43139</v>
      </c>
      <c r="AN65" s="814">
        <f t="shared" ca="1" si="18"/>
        <v>-5</v>
      </c>
      <c r="AO65" s="815">
        <v>1</v>
      </c>
      <c r="AP65" s="816" t="str">
        <f t="shared" ca="1" si="19"/>
        <v>-</v>
      </c>
      <c r="AQ65" s="817"/>
      <c r="AR65" s="794" t="str">
        <f t="shared" si="20"/>
        <v>-</v>
      </c>
      <c r="AS65" s="818"/>
      <c r="AT65" s="794" t="str">
        <f t="shared" si="21"/>
        <v>-</v>
      </c>
      <c r="AU65" s="819"/>
      <c r="AV65" s="820"/>
      <c r="AW65" s="821"/>
      <c r="AX65" s="821"/>
      <c r="AY65" s="969" t="str">
        <f t="shared" si="22"/>
        <v>-</v>
      </c>
      <c r="AZ65" s="966" t="str">
        <f t="shared" si="23"/>
        <v>-</v>
      </c>
      <c r="BA65" s="971" t="str">
        <f t="shared" si="24"/>
        <v>-</v>
      </c>
      <c r="BB65" s="975"/>
      <c r="BC65" s="821"/>
      <c r="BD65" s="821"/>
      <c r="BE65" s="963" t="str">
        <f t="shared" si="25"/>
        <v>-</v>
      </c>
      <c r="BF65" s="984">
        <v>43033</v>
      </c>
      <c r="BG65" s="988" t="s">
        <v>3353</v>
      </c>
      <c r="BH65" s="986" t="s">
        <v>3354</v>
      </c>
      <c r="BI65" s="991">
        <v>5</v>
      </c>
      <c r="BJ65" s="991" t="s">
        <v>3356</v>
      </c>
      <c r="BK65" s="993">
        <f t="shared" ca="1" si="26"/>
        <v>101</v>
      </c>
      <c r="BL65" s="820">
        <v>42980</v>
      </c>
      <c r="BM65" s="821">
        <v>5</v>
      </c>
      <c r="BN65" s="822">
        <f t="shared" ca="1" si="27"/>
        <v>154</v>
      </c>
      <c r="BO65" s="823">
        <f t="shared" si="28"/>
        <v>32.9</v>
      </c>
      <c r="BP65" s="824">
        <v>43001</v>
      </c>
      <c r="BQ65" s="821">
        <v>2</v>
      </c>
      <c r="BR65" s="822">
        <f t="shared" ca="1" si="29"/>
        <v>133</v>
      </c>
      <c r="BS65" s="823">
        <f t="shared" si="30"/>
        <v>7</v>
      </c>
      <c r="BT65" s="825" t="str">
        <f t="shared" ca="1" si="31"/>
        <v>-</v>
      </c>
      <c r="BU65" s="826"/>
      <c r="BV65" s="827"/>
      <c r="BW65" s="828" t="str">
        <f t="shared" si="32"/>
        <v>Ж-Е НЕ ВАКЦ.</v>
      </c>
      <c r="BX65" s="829" t="str">
        <f t="shared" si="33"/>
        <v>-</v>
      </c>
      <c r="BY65" s="830" t="str">
        <f t="shared" ca="1" si="34"/>
        <v>-</v>
      </c>
      <c r="BZ65" s="831">
        <v>42887</v>
      </c>
      <c r="CA65" s="832">
        <v>5</v>
      </c>
      <c r="CB65" s="833">
        <f t="shared" ca="1" si="35"/>
        <v>247</v>
      </c>
      <c r="CC65" s="834" t="str">
        <f t="shared" ca="1" si="36"/>
        <v>-</v>
      </c>
      <c r="CD65" s="835">
        <f t="shared" si="37"/>
        <v>42908</v>
      </c>
      <c r="CE65" s="831">
        <v>42908</v>
      </c>
      <c r="CF65" s="832">
        <v>5</v>
      </c>
      <c r="CG65" s="833">
        <f t="shared" ca="1" si="38"/>
        <v>226</v>
      </c>
      <c r="CH65" s="836">
        <f t="shared" si="39"/>
        <v>0</v>
      </c>
      <c r="CI65" s="837" t="str">
        <f t="shared" si="40"/>
        <v>УСПЕШНО</v>
      </c>
      <c r="CJ65" s="838" t="str">
        <f t="shared" ca="1" si="41"/>
        <v>-</v>
      </c>
      <c r="CK65" s="831"/>
      <c r="CL65" s="832"/>
      <c r="CM65" s="833" t="str">
        <f t="shared" si="42"/>
        <v>-</v>
      </c>
      <c r="CN65" s="834" t="str">
        <f t="shared" si="43"/>
        <v>-</v>
      </c>
      <c r="CO65" s="830" t="str">
        <f t="shared" ca="1" si="44"/>
        <v>ТРЕБУЕТСЯ ВАКЦИНАЦИЯ</v>
      </c>
      <c r="CP65" s="839"/>
      <c r="CQ65" s="832"/>
      <c r="CR65" s="833" t="str">
        <f t="shared" si="45"/>
        <v>-</v>
      </c>
      <c r="CS65" s="833" t="str">
        <f t="shared" si="46"/>
        <v>-</v>
      </c>
      <c r="CT65" s="834" t="str">
        <f t="shared" si="47"/>
        <v>-</v>
      </c>
      <c r="CU65" s="835" t="str">
        <f t="shared" si="48"/>
        <v>-</v>
      </c>
      <c r="CV65" s="839"/>
      <c r="CW65" s="832"/>
      <c r="CX65" s="833" t="str">
        <f t="shared" si="49"/>
        <v>-</v>
      </c>
      <c r="CY65" s="840" t="str">
        <f t="shared" si="50"/>
        <v>-</v>
      </c>
      <c r="CZ65" s="833" t="str">
        <f t="shared" si="51"/>
        <v>-</v>
      </c>
      <c r="DA65" s="838" t="str">
        <f t="shared" ca="1" si="52"/>
        <v>-</v>
      </c>
      <c r="DB65" s="841"/>
      <c r="DC65" s="832"/>
    </row>
    <row r="66" spans="1:107" s="842" customFormat="1" ht="15.95" customHeight="1" x14ac:dyDescent="0.25">
      <c r="A66" s="790">
        <v>64</v>
      </c>
      <c r="B66" s="791">
        <f t="shared" ca="1" si="0"/>
        <v>43134</v>
      </c>
      <c r="C66" s="271" t="s">
        <v>614</v>
      </c>
      <c r="D66" s="59" t="s">
        <v>3202</v>
      </c>
      <c r="E66" s="794" t="s">
        <v>2798</v>
      </c>
      <c r="F66" s="795" t="s">
        <v>1520</v>
      </c>
      <c r="G66" s="796">
        <f>SUMIFS(МОЛОКО!L8:L6958,МОЛОКО!F8:F6958,"2588",МОЛОКО!L8:L6958,"&gt;0")</f>
        <v>26</v>
      </c>
      <c r="H66" s="797" t="s">
        <v>603</v>
      </c>
      <c r="I66" s="798">
        <v>42102</v>
      </c>
      <c r="J66" s="799">
        <f t="shared" ca="1" si="1"/>
        <v>2.8273972602739725</v>
      </c>
      <c r="K66" s="799">
        <f t="shared" ca="1" si="2"/>
        <v>34.4</v>
      </c>
      <c r="L66" s="800">
        <f t="shared" ca="1" si="3"/>
        <v>1032</v>
      </c>
      <c r="M66" s="801">
        <v>43005</v>
      </c>
      <c r="N66" s="802">
        <v>43005</v>
      </c>
      <c r="O66" s="803">
        <f t="shared" ca="1" si="4"/>
        <v>129</v>
      </c>
      <c r="P66" s="804">
        <v>1</v>
      </c>
      <c r="Q66" s="805"/>
      <c r="R66" s="806"/>
      <c r="S66" s="807"/>
      <c r="T66" s="798"/>
      <c r="U66" s="798" t="str">
        <f t="shared" si="5"/>
        <v>-</v>
      </c>
      <c r="V66" s="804" t="str">
        <f t="shared" ca="1" si="6"/>
        <v>-</v>
      </c>
      <c r="W66" s="808">
        <v>0</v>
      </c>
      <c r="X66" s="794" t="str">
        <f t="shared" si="53"/>
        <v>-</v>
      </c>
      <c r="Y66" s="794">
        <v>0</v>
      </c>
      <c r="Z66" s="809" t="str">
        <f t="shared" ca="1" si="8"/>
        <v>-----</v>
      </c>
      <c r="AA66" s="810">
        <f t="shared" ca="1" si="9"/>
        <v>43134</v>
      </c>
      <c r="AB66" s="804"/>
      <c r="AC66" s="811" t="str">
        <f t="shared" ca="1" si="10"/>
        <v>-----</v>
      </c>
      <c r="AD66" s="798"/>
      <c r="AE66" s="794" t="str">
        <f t="shared" ca="1" si="11"/>
        <v>яловая</v>
      </c>
      <c r="AF66" s="798" t="str">
        <f t="shared" si="12"/>
        <v>-</v>
      </c>
      <c r="AG66" s="812" t="str">
        <f t="shared" si="13"/>
        <v>---------</v>
      </c>
      <c r="AH66" s="807"/>
      <c r="AI66" s="807" t="str">
        <f t="shared" si="14"/>
        <v>-</v>
      </c>
      <c r="AJ66" s="807" t="str">
        <f t="shared" si="15"/>
        <v>-</v>
      </c>
      <c r="AK66" s="813"/>
      <c r="AL66" s="807" t="str">
        <f t="shared" si="16"/>
        <v>-</v>
      </c>
      <c r="AM66" s="807" t="str">
        <f t="shared" si="17"/>
        <v>-</v>
      </c>
      <c r="AN66" s="814" t="str">
        <f t="shared" ca="1" si="18"/>
        <v>-</v>
      </c>
      <c r="AO66" s="815">
        <v>1</v>
      </c>
      <c r="AP66" s="816" t="str">
        <f t="shared" ca="1" si="19"/>
        <v>-</v>
      </c>
      <c r="AQ66" s="817"/>
      <c r="AR66" s="794" t="str">
        <f t="shared" si="20"/>
        <v>-</v>
      </c>
      <c r="AS66" s="818"/>
      <c r="AT66" s="794" t="str">
        <f t="shared" si="21"/>
        <v>-</v>
      </c>
      <c r="AU66" s="819"/>
      <c r="AV66" s="820"/>
      <c r="AW66" s="821"/>
      <c r="AX66" s="821"/>
      <c r="AY66" s="969" t="str">
        <f t="shared" si="22"/>
        <v>-</v>
      </c>
      <c r="AZ66" s="966" t="str">
        <f t="shared" si="23"/>
        <v>-</v>
      </c>
      <c r="BA66" s="971" t="str">
        <f t="shared" si="24"/>
        <v>-</v>
      </c>
      <c r="BB66" s="975"/>
      <c r="BC66" s="821"/>
      <c r="BD66" s="821"/>
      <c r="BE66" s="963" t="str">
        <f t="shared" si="25"/>
        <v>-</v>
      </c>
      <c r="BF66" s="984"/>
      <c r="BG66" s="988"/>
      <c r="BH66" s="982"/>
      <c r="BI66" s="991"/>
      <c r="BJ66" s="991"/>
      <c r="BK66" s="993" t="str">
        <f t="shared" si="26"/>
        <v>-</v>
      </c>
      <c r="BL66" s="820">
        <v>42978</v>
      </c>
      <c r="BM66" s="821">
        <v>5</v>
      </c>
      <c r="BN66" s="822">
        <f t="shared" ca="1" si="27"/>
        <v>156</v>
      </c>
      <c r="BO66" s="823">
        <f t="shared" si="28"/>
        <v>29.2</v>
      </c>
      <c r="BP66" s="824"/>
      <c r="BQ66" s="821"/>
      <c r="BR66" s="822" t="str">
        <f t="shared" si="29"/>
        <v>-</v>
      </c>
      <c r="BS66" s="823" t="str">
        <f t="shared" si="30"/>
        <v>-</v>
      </c>
      <c r="BT66" s="825" t="str">
        <f t="shared" ca="1" si="31"/>
        <v>-</v>
      </c>
      <c r="BU66" s="826"/>
      <c r="BV66" s="827"/>
      <c r="BW66" s="828" t="str">
        <f t="shared" si="32"/>
        <v>Ж-Е НЕ ВАКЦ.</v>
      </c>
      <c r="BX66" s="829" t="str">
        <f t="shared" si="33"/>
        <v>-</v>
      </c>
      <c r="BY66" s="830" t="str">
        <f t="shared" ca="1" si="34"/>
        <v>-</v>
      </c>
      <c r="BZ66" s="831">
        <v>42894</v>
      </c>
      <c r="CA66" s="832">
        <v>5</v>
      </c>
      <c r="CB66" s="833">
        <f t="shared" ca="1" si="35"/>
        <v>240</v>
      </c>
      <c r="CC66" s="834" t="str">
        <f t="shared" ca="1" si="36"/>
        <v>-</v>
      </c>
      <c r="CD66" s="835">
        <f t="shared" si="37"/>
        <v>42915</v>
      </c>
      <c r="CE66" s="831">
        <v>42915</v>
      </c>
      <c r="CF66" s="832">
        <v>5</v>
      </c>
      <c r="CG66" s="833">
        <f t="shared" ca="1" si="38"/>
        <v>219</v>
      </c>
      <c r="CH66" s="836">
        <f t="shared" si="39"/>
        <v>0</v>
      </c>
      <c r="CI66" s="837" t="str">
        <f t="shared" si="40"/>
        <v>УСПЕШНО</v>
      </c>
      <c r="CJ66" s="838" t="str">
        <f t="shared" ca="1" si="41"/>
        <v>-</v>
      </c>
      <c r="CK66" s="831"/>
      <c r="CL66" s="832"/>
      <c r="CM66" s="833" t="str">
        <f t="shared" si="42"/>
        <v>-</v>
      </c>
      <c r="CN66" s="834" t="str">
        <f t="shared" si="43"/>
        <v>-</v>
      </c>
      <c r="CO66" s="830" t="str">
        <f t="shared" ca="1" si="44"/>
        <v>-</v>
      </c>
      <c r="CP66" s="831">
        <v>42958</v>
      </c>
      <c r="CQ66" s="832">
        <v>2</v>
      </c>
      <c r="CR66" s="833">
        <f t="shared" si="45"/>
        <v>42958</v>
      </c>
      <c r="CS66" s="833">
        <f t="shared" ca="1" si="46"/>
        <v>176</v>
      </c>
      <c r="CT66" s="834" t="str">
        <f t="shared" ca="1" si="47"/>
        <v>-</v>
      </c>
      <c r="CU66" s="835">
        <f t="shared" si="48"/>
        <v>42979</v>
      </c>
      <c r="CV66" s="831">
        <v>42980</v>
      </c>
      <c r="CW66" s="832">
        <v>2</v>
      </c>
      <c r="CX66" s="833">
        <f t="shared" si="49"/>
        <v>1</v>
      </c>
      <c r="CY66" s="840" t="str">
        <f t="shared" si="50"/>
        <v>-</v>
      </c>
      <c r="CZ66" s="833">
        <f t="shared" si="51"/>
        <v>42980</v>
      </c>
      <c r="DA66" s="838" t="str">
        <f t="shared" ca="1" si="52"/>
        <v>-</v>
      </c>
      <c r="DB66" s="841"/>
      <c r="DC66" s="832"/>
    </row>
    <row r="67" spans="1:107" s="842" customFormat="1" ht="15.95" customHeight="1" x14ac:dyDescent="0.25">
      <c r="A67" s="790">
        <v>65</v>
      </c>
      <c r="B67" s="791">
        <f t="shared" ref="B67:B130" ca="1" si="54">TODAY()</f>
        <v>43134</v>
      </c>
      <c r="C67" s="792" t="s">
        <v>614</v>
      </c>
      <c r="D67" s="793" t="s">
        <v>3202</v>
      </c>
      <c r="E67" s="794" t="s">
        <v>1487</v>
      </c>
      <c r="F67" s="795" t="s">
        <v>1469</v>
      </c>
      <c r="G67" s="796">
        <f>SUMIFS(МОЛОКО!L8:L6958,МОЛОКО!F8:F6958,"2594",МОЛОКО!L8:L6958,"&gt;0")</f>
        <v>21.5</v>
      </c>
      <c r="H67" s="797" t="s">
        <v>603</v>
      </c>
      <c r="I67" s="798">
        <v>42109</v>
      </c>
      <c r="J67" s="799">
        <f t="shared" ref="J67:J130" ca="1" si="55">(B67-I67)/365</f>
        <v>2.8082191780821919</v>
      </c>
      <c r="K67" s="799">
        <f t="shared" ref="K67:K130" ca="1" si="56">(B67-I67)/30</f>
        <v>34.166666666666664</v>
      </c>
      <c r="L67" s="800">
        <f t="shared" ref="L67:L130" ca="1" si="57">B67-I67</f>
        <v>1025</v>
      </c>
      <c r="M67" s="801">
        <v>42873</v>
      </c>
      <c r="N67" s="802">
        <v>42873</v>
      </c>
      <c r="O67" s="803">
        <f t="shared" ref="O67:O130" ca="1" si="58">IF(AND(B67&gt;0,N67&gt;0),B67-N67,"-")</f>
        <v>261</v>
      </c>
      <c r="P67" s="804">
        <v>1</v>
      </c>
      <c r="Q67" s="805" t="s">
        <v>2309</v>
      </c>
      <c r="R67" s="806" t="s">
        <v>2269</v>
      </c>
      <c r="S67" s="807">
        <v>42936</v>
      </c>
      <c r="T67" s="798">
        <v>42936</v>
      </c>
      <c r="U67" s="798" t="str">
        <f t="shared" ref="U67:U130" si="59">IF(AND(Y67&gt;1,T67&gt;0),T67+18,"-")</f>
        <v>-</v>
      </c>
      <c r="V67" s="804" t="str">
        <f t="shared" ref="V67:V130" ca="1" si="60">IF(AND(U67&gt;0,B67&gt;0,Y67&gt;1),B67-U67,"-")</f>
        <v>-</v>
      </c>
      <c r="W67" s="808">
        <v>1</v>
      </c>
      <c r="X67" s="794">
        <f t="shared" ref="X67:X98" si="61">IF(AND(N67&gt;0,T67&gt;0),T67-N67,"-")</f>
        <v>63</v>
      </c>
      <c r="Y67" s="794">
        <v>1</v>
      </c>
      <c r="Z67" s="809" t="str">
        <f t="shared" ref="Z67:Z130" ca="1" si="62">IF(AND(Y67=1,AA67&gt;71,OR(ISBLANK(AB67),AB67=2)),"ПОДЛЕЖИТ ПЕРЕПРОВЕРКЕ","-----")</f>
        <v>-----</v>
      </c>
      <c r="AA67" s="810" t="str">
        <f t="shared" ref="AA67:AA130" ca="1" si="63">IF(AND(O67&gt;-1,W67&gt;0,Y67=1,AB67=1),"-----",B67-T67)</f>
        <v>-----</v>
      </c>
      <c r="AB67" s="804">
        <v>1</v>
      </c>
      <c r="AC67" s="811" t="str">
        <f t="shared" ref="AC67:AC130" ca="1" si="64">IF(AND(AB67&lt;1,Z67="ПОДЛЕЖИТ ПЕРЕПРОВЕРКЕ",Y67=1),T67+72,"-----")</f>
        <v>-----</v>
      </c>
      <c r="AD67" s="798">
        <v>43043</v>
      </c>
      <c r="AE67" s="794" t="str">
        <f t="shared" ref="AE67:AE130" ca="1" si="65">IF(AND(O67&gt;120,Y67=0,N67&gt;0),"яловая","-")</f>
        <v>-</v>
      </c>
      <c r="AF67" s="798" t="str">
        <f t="shared" ref="AF67:AF130" si="66">IF(AND(T67&gt;0,OR(Y67=3,Y67=2)),T67+35,"-")</f>
        <v>-</v>
      </c>
      <c r="AG67" s="812" t="str">
        <f t="shared" ref="AG67:AG130" si="67">IF(AND(T67&gt;0,W67&gt;0,Q67&gt;0,OR(Y67=3,Y67=2)),B67-AF67,"---------")</f>
        <v>---------</v>
      </c>
      <c r="AH67" s="807">
        <v>42968</v>
      </c>
      <c r="AI67" s="807">
        <f t="shared" ref="AI67:AI130" si="68">IF(AND($T67&gt;0,$N67&gt;0,$Y67=1),$T67+280-90,"-")</f>
        <v>43126</v>
      </c>
      <c r="AJ67" s="807">
        <f t="shared" ref="AJ67:AJ130" si="69">IF(AND(T67&gt;0,Y67=1,N67&gt;0),T67+280-60,"-")</f>
        <v>43156</v>
      </c>
      <c r="AK67" s="813"/>
      <c r="AL67" s="807">
        <f t="shared" ref="AL67:AL130" si="70">IF(AND($T67&gt;0,$Y67=1),$T67+280-21,"-")</f>
        <v>43195</v>
      </c>
      <c r="AM67" s="807">
        <f t="shared" ref="AM67:AM130" si="71">IF(AND(T67&gt;0,Y67=1),T67+280,"-")</f>
        <v>43216</v>
      </c>
      <c r="AN67" s="814">
        <f t="shared" ref="AN67:AN130" ca="1" si="72">IF(AND(B67&gt;0,AM67&gt;0,AH67&gt;0,Y67=1),B67-AM67,"-")</f>
        <v>-82</v>
      </c>
      <c r="AO67" s="815">
        <v>1</v>
      </c>
      <c r="AP67" s="816" t="str">
        <f t="shared" ref="AP67:AP130" ca="1" si="73">IF(AND(AE67="яловая",O67&gt;300),"БРАК","-")</f>
        <v>-</v>
      </c>
      <c r="AQ67" s="817"/>
      <c r="AR67" s="794" t="str">
        <f t="shared" ref="AR67:AR130" si="74">IF(AND(Y67=1,P67=0),"НЕТЕЛЬ","-")</f>
        <v>-</v>
      </c>
      <c r="AS67" s="818"/>
      <c r="AT67" s="794" t="str">
        <f t="shared" ref="AT67:AT130" si="75">IF(AND(N67&gt;0,T67&gt;0,W67&gt;0,Y67=1,AH67&gt;0,AK67&gt;0),"DRY COW","-")</f>
        <v>-</v>
      </c>
      <c r="AU67" s="819"/>
      <c r="AV67" s="820"/>
      <c r="AW67" s="821"/>
      <c r="AX67" s="821"/>
      <c r="AY67" s="969" t="str">
        <f t="shared" ref="AY67:AY130" si="76">IF(AND(AV67&gt;0,AW67&gt;0,AX67&gt;0),B67-AV67,"-")</f>
        <v>-</v>
      </c>
      <c r="AZ67" s="966" t="str">
        <f t="shared" ref="AZ67:AZ130" si="77">IF(AND(AV67&gt;0,AW67&gt;0,AX67&gt;0,AY67&gt;10,BB67=0,BC67=0,BD67=0),"РЕВАКЦИНАЦИЯ","-")</f>
        <v>-</v>
      </c>
      <c r="BA67" s="971" t="str">
        <f t="shared" ref="BA67:BA130" si="78">IF(AND(AV67&gt;0,AW67&gt;0,AX67&gt;0),AV67+10,"-")</f>
        <v>-</v>
      </c>
      <c r="BB67" s="975"/>
      <c r="BC67" s="821"/>
      <c r="BD67" s="821"/>
      <c r="BE67" s="963" t="str">
        <f t="shared" ref="BE67:BE130" si="79">IF(AND(BB67&gt;0,BC67&gt;0,BD67&gt;0),B67-BB67,"-")</f>
        <v>-</v>
      </c>
      <c r="BF67" s="984">
        <v>43033</v>
      </c>
      <c r="BG67" s="988" t="s">
        <v>3353</v>
      </c>
      <c r="BH67" s="986" t="s">
        <v>3354</v>
      </c>
      <c r="BI67" s="991">
        <v>5</v>
      </c>
      <c r="BJ67" s="991" t="s">
        <v>3356</v>
      </c>
      <c r="BK67" s="993">
        <f t="shared" ref="BK67:BK130" ca="1" si="80">IF(AND(BF67&gt;0,BG67&gt;0,BH67&gt;0,BI67&gt;0,BJ67&gt;0),B67-BF67,"-")</f>
        <v>101</v>
      </c>
      <c r="BL67" s="820">
        <v>42980</v>
      </c>
      <c r="BM67" s="821">
        <v>5</v>
      </c>
      <c r="BN67" s="822">
        <f t="shared" ref="BN67:BN130" ca="1" si="81">IF(AND(BL67&gt;0,BM67&gt;0),B67-BL67,"-")</f>
        <v>154</v>
      </c>
      <c r="BO67" s="823">
        <f t="shared" ref="BO67:BO130" si="82">IF(AND(BL67&gt;0,BM67&gt;0),(BL67-I67)/30,"-")</f>
        <v>29.033333333333335</v>
      </c>
      <c r="BP67" s="824">
        <v>43001</v>
      </c>
      <c r="BQ67" s="821">
        <v>2</v>
      </c>
      <c r="BR67" s="822">
        <f t="shared" ref="BR67:BR130" ca="1" si="83">IF(AND(BP67&gt;0,BQ67&gt;0),B67-BP67,"-")</f>
        <v>133</v>
      </c>
      <c r="BS67" s="823">
        <f t="shared" ref="BS67:BS130" si="84">IF(AND(BP67&gt;0,BQ67&gt;0),(BP67-M67)/30,"-")</f>
        <v>4.2666666666666666</v>
      </c>
      <c r="BT67" s="825" t="str">
        <f t="shared" ref="BT67:BT130" ca="1" si="85">IF(AND(OR(E67="тёлочка",E67="бычок"),L67&gt;0,BV67&lt;2,L67&lt;60),"ПОДЛЕЖИТ ВАКЦИНАЦИИ","-")</f>
        <v>-</v>
      </c>
      <c r="BU67" s="826"/>
      <c r="BV67" s="827"/>
      <c r="BW67" s="828" t="str">
        <f t="shared" ref="BW67:BW130" si="86">IF(AND(BU67&gt;0,BV67=2),BU67-I67,"Ж-Е НЕ ВАКЦ.")</f>
        <v>Ж-Е НЕ ВАКЦ.</v>
      </c>
      <c r="BX67" s="829" t="str">
        <f t="shared" ref="BX67:BX130" si="87">IF(AND(BU67&gt;0,BV67=2),B67-BU67,"-")</f>
        <v>-</v>
      </c>
      <c r="BY67" s="830" t="str">
        <f t="shared" ref="BY67:BY130" ca="1" si="88">IF(AND(L67&gt;42,CA67&lt;5),"ПОДЛЕЖИТ ВАКЦИНАЦИИ","-")</f>
        <v>-</v>
      </c>
      <c r="BZ67" s="831">
        <v>42904</v>
      </c>
      <c r="CA67" s="832">
        <v>5</v>
      </c>
      <c r="CB67" s="833">
        <f t="shared" ref="CB67:CB130" ca="1" si="89">IF(AND(BZ67&gt;0,CA67=5),B67-BZ67,"-")</f>
        <v>230</v>
      </c>
      <c r="CC67" s="834" t="str">
        <f t="shared" ref="CC67:CC130" ca="1" si="90">IF(AND(CA67=5,CB67&gt;20,CF67&lt;5),"ТРЕБУЕТСЯ БУСТЕРНАЯ ДОЗА","-")</f>
        <v>-</v>
      </c>
      <c r="CD67" s="835">
        <f t="shared" ref="CD67:CD130" si="91">IF(AND(BZ67&gt;0,CA67=5),BZ67+21,"-")</f>
        <v>42925</v>
      </c>
      <c r="CE67" s="831">
        <v>42925</v>
      </c>
      <c r="CF67" s="832">
        <v>5</v>
      </c>
      <c r="CG67" s="833">
        <f t="shared" ref="CG67:CG130" ca="1" si="92">IF(AND(CE67&gt;0,CF67=5),B67-CE67,"-")</f>
        <v>209</v>
      </c>
      <c r="CH67" s="836">
        <f t="shared" ref="CH67:CH130" si="93">IF(AND(CD67&gt;0,CE67&gt;0,CF67=5),CD67-CE67,"-")</f>
        <v>0</v>
      </c>
      <c r="CI67" s="837" t="str">
        <f t="shared" ref="CI67:CI130" si="94">IF(AND(CF67=5,CH67=0),"УСПЕШНО","-")</f>
        <v>УСПЕШНО</v>
      </c>
      <c r="CJ67" s="838" t="str">
        <f t="shared" ref="CJ67:CJ130" ca="1" si="95">IF(AND(BZ67&gt;0,CA67=5,CE67&gt;0,CF67=5,CG67&gt;240,CL67&lt;5),"НЕОБХОДИМА РЕВАКЦИНАЦИЯ","-")</f>
        <v>-</v>
      </c>
      <c r="CK67" s="831"/>
      <c r="CL67" s="832"/>
      <c r="CM67" s="833" t="str">
        <f t="shared" ref="CM67:CM130" si="96">IF(AND(CK67&gt;0,CL67=5),N67-CK67,"-")</f>
        <v>-</v>
      </c>
      <c r="CN67" s="834" t="str">
        <f t="shared" ref="CN67:CN130" si="97">IF(AND(CK67&gt;0,CL67=5,CM67&gt;240),"НЕОБХОДИМА РЕВАКЦИНАЦИЯ","-")</f>
        <v>-</v>
      </c>
      <c r="CO67" s="830" t="str">
        <f t="shared" ref="CO67:CO130" ca="1" si="98">IF(AND(Y67=1,AN67&gt;-70,CQ67&lt;2),"ТРЕБУЕТСЯ ВАКЦИНАЦИЯ","-")</f>
        <v>-</v>
      </c>
      <c r="CP67" s="839"/>
      <c r="CQ67" s="832"/>
      <c r="CR67" s="833" t="str">
        <f t="shared" ref="CR67:CR130" si="99">IF(AND(CP67&gt;0,CQ67=2),CP67-T67,"-")</f>
        <v>-</v>
      </c>
      <c r="CS67" s="833" t="str">
        <f t="shared" ref="CS67:CS130" si="100">IF(AND(CP67&gt;0,CQ67=2),B67-CP67,"-")</f>
        <v>-</v>
      </c>
      <c r="CT67" s="834" t="str">
        <f t="shared" ref="CT67:CT130" si="101">IF(AND(CQ67=2,CS67&gt;20,CW67&lt;2),"ТРЕБУЕТСЯ БУСТЕРНАЯ ДОЗА","-")</f>
        <v>-</v>
      </c>
      <c r="CU67" s="835" t="str">
        <f t="shared" ref="CU67:CU130" si="102">IF(AND(CP67&gt;0,CQ67=2),CP67+21,"-")</f>
        <v>-</v>
      </c>
      <c r="CV67" s="839"/>
      <c r="CW67" s="832"/>
      <c r="CX67" s="833" t="str">
        <f t="shared" ref="CX67:CX130" si="103">IF(AND(CU67&gt;0,CV67&gt;0,CW67=2),CV67-CU67,"-")</f>
        <v>-</v>
      </c>
      <c r="CY67" s="840" t="str">
        <f t="shared" ref="CY67:CY130" si="104">IF(AND(CW67=2,CX67=0),"УСПЕШНО","-")</f>
        <v>-</v>
      </c>
      <c r="CZ67" s="833" t="str">
        <f t="shared" ref="CZ67:CZ130" si="105">IF(AND(CV67&gt;0,CW67=2),CV67-T67,"-")</f>
        <v>-</v>
      </c>
      <c r="DA67" s="838" t="str">
        <f t="shared" ref="DA67:DA130" ca="1" si="106">IF(AND(CP67&gt;0,CQ67=2,CV67&gt;0,CW67=2,Y67=1,AN67&gt;-50,DC67&lt;2),"ТРЕБУЕТСЯ РЕВАКЦИНАЦИЯ","-")</f>
        <v>-</v>
      </c>
      <c r="DB67" s="841"/>
      <c r="DC67" s="832"/>
    </row>
    <row r="68" spans="1:107" s="842" customFormat="1" ht="15.95" customHeight="1" x14ac:dyDescent="0.25">
      <c r="A68" s="790">
        <v>66</v>
      </c>
      <c r="B68" s="791">
        <f t="shared" ca="1" si="54"/>
        <v>43134</v>
      </c>
      <c r="C68" s="792" t="s">
        <v>614</v>
      </c>
      <c r="D68" s="59" t="s">
        <v>3202</v>
      </c>
      <c r="E68" s="794" t="s">
        <v>633</v>
      </c>
      <c r="F68" s="795" t="s">
        <v>1465</v>
      </c>
      <c r="G68" s="796">
        <f>SUMIFS(МОЛОКО!L8:L6958,МОЛОКО!F8:F6958,"2600",МОЛОКО!L8:L6958,"&gt;0")</f>
        <v>27</v>
      </c>
      <c r="H68" s="797" t="s">
        <v>603</v>
      </c>
      <c r="I68" s="798">
        <v>42112</v>
      </c>
      <c r="J68" s="799">
        <f t="shared" ca="1" si="55"/>
        <v>2.8</v>
      </c>
      <c r="K68" s="799">
        <f t="shared" ca="1" si="56"/>
        <v>34.06666666666667</v>
      </c>
      <c r="L68" s="800">
        <f t="shared" ca="1" si="57"/>
        <v>1022</v>
      </c>
      <c r="M68" s="801">
        <v>42803</v>
      </c>
      <c r="N68" s="802">
        <v>42803</v>
      </c>
      <c r="O68" s="803">
        <f t="shared" ca="1" si="58"/>
        <v>331</v>
      </c>
      <c r="P68" s="804">
        <v>1</v>
      </c>
      <c r="Q68" s="68" t="s">
        <v>2366</v>
      </c>
      <c r="R68" s="118" t="s">
        <v>2966</v>
      </c>
      <c r="S68" s="807">
        <v>42866</v>
      </c>
      <c r="T68" s="798">
        <v>43056</v>
      </c>
      <c r="U68" s="798">
        <f t="shared" si="59"/>
        <v>43074</v>
      </c>
      <c r="V68" s="804">
        <f t="shared" ca="1" si="60"/>
        <v>60</v>
      </c>
      <c r="W68" s="808">
        <v>5</v>
      </c>
      <c r="X68" s="794">
        <f t="shared" si="61"/>
        <v>253</v>
      </c>
      <c r="Y68" s="794">
        <v>3</v>
      </c>
      <c r="Z68" s="809" t="str">
        <f t="shared" ca="1" si="62"/>
        <v>-----</v>
      </c>
      <c r="AA68" s="810">
        <f t="shared" ca="1" si="63"/>
        <v>78</v>
      </c>
      <c r="AB68" s="804"/>
      <c r="AC68" s="811" t="str">
        <f t="shared" ca="1" si="64"/>
        <v>-----</v>
      </c>
      <c r="AD68" s="798"/>
      <c r="AE68" s="794" t="str">
        <f t="shared" ca="1" si="65"/>
        <v>-</v>
      </c>
      <c r="AF68" s="798">
        <f t="shared" si="66"/>
        <v>43091</v>
      </c>
      <c r="AG68" s="812">
        <f t="shared" ca="1" si="67"/>
        <v>43</v>
      </c>
      <c r="AH68" s="807">
        <v>43035</v>
      </c>
      <c r="AI68" s="807" t="str">
        <f t="shared" si="68"/>
        <v>-</v>
      </c>
      <c r="AJ68" s="807" t="str">
        <f t="shared" si="69"/>
        <v>-</v>
      </c>
      <c r="AK68" s="813"/>
      <c r="AL68" s="807" t="str">
        <f t="shared" si="70"/>
        <v>-</v>
      </c>
      <c r="AM68" s="807" t="str">
        <f t="shared" si="71"/>
        <v>-</v>
      </c>
      <c r="AN68" s="814" t="str">
        <f t="shared" ca="1" si="72"/>
        <v>-</v>
      </c>
      <c r="AO68" s="815">
        <v>1</v>
      </c>
      <c r="AP68" s="816" t="str">
        <f t="shared" ca="1" si="73"/>
        <v>-</v>
      </c>
      <c r="AQ68" s="817"/>
      <c r="AR68" s="794" t="str">
        <f t="shared" si="74"/>
        <v>-</v>
      </c>
      <c r="AS68" s="818"/>
      <c r="AT68" s="794" t="str">
        <f t="shared" si="75"/>
        <v>-</v>
      </c>
      <c r="AU68" s="819"/>
      <c r="AV68" s="820"/>
      <c r="AW68" s="821"/>
      <c r="AX68" s="821"/>
      <c r="AY68" s="969" t="str">
        <f t="shared" si="76"/>
        <v>-</v>
      </c>
      <c r="AZ68" s="966" t="str">
        <f t="shared" si="77"/>
        <v>-</v>
      </c>
      <c r="BA68" s="971" t="str">
        <f t="shared" si="78"/>
        <v>-</v>
      </c>
      <c r="BB68" s="975"/>
      <c r="BC68" s="821"/>
      <c r="BD68" s="821"/>
      <c r="BE68" s="963" t="str">
        <f t="shared" si="79"/>
        <v>-</v>
      </c>
      <c r="BF68" s="984"/>
      <c r="BG68" s="988"/>
      <c r="BH68" s="982"/>
      <c r="BI68" s="991"/>
      <c r="BJ68" s="991"/>
      <c r="BK68" s="993" t="str">
        <f t="shared" si="80"/>
        <v>-</v>
      </c>
      <c r="BL68" s="820">
        <v>42981</v>
      </c>
      <c r="BM68" s="821">
        <v>5</v>
      </c>
      <c r="BN68" s="822">
        <f t="shared" ca="1" si="81"/>
        <v>153</v>
      </c>
      <c r="BO68" s="823">
        <f t="shared" si="82"/>
        <v>28.966666666666665</v>
      </c>
      <c r="BP68" s="824">
        <v>43001</v>
      </c>
      <c r="BQ68" s="821">
        <v>2</v>
      </c>
      <c r="BR68" s="822">
        <f t="shared" ca="1" si="83"/>
        <v>133</v>
      </c>
      <c r="BS68" s="823">
        <f t="shared" si="84"/>
        <v>6.6</v>
      </c>
      <c r="BT68" s="825" t="str">
        <f t="shared" ca="1" si="85"/>
        <v>-</v>
      </c>
      <c r="BU68" s="826"/>
      <c r="BV68" s="827"/>
      <c r="BW68" s="828" t="str">
        <f t="shared" si="86"/>
        <v>Ж-Е НЕ ВАКЦ.</v>
      </c>
      <c r="BX68" s="829" t="str">
        <f t="shared" si="87"/>
        <v>-</v>
      </c>
      <c r="BY68" s="830" t="str">
        <f t="shared" ca="1" si="88"/>
        <v>-</v>
      </c>
      <c r="BZ68" s="831">
        <v>42887</v>
      </c>
      <c r="CA68" s="832">
        <v>5</v>
      </c>
      <c r="CB68" s="833">
        <f t="shared" ca="1" si="89"/>
        <v>247</v>
      </c>
      <c r="CC68" s="834" t="str">
        <f t="shared" ca="1" si="90"/>
        <v>-</v>
      </c>
      <c r="CD68" s="835">
        <f t="shared" si="91"/>
        <v>42908</v>
      </c>
      <c r="CE68" s="831">
        <v>42908</v>
      </c>
      <c r="CF68" s="832">
        <v>5</v>
      </c>
      <c r="CG68" s="833">
        <f t="shared" ca="1" si="92"/>
        <v>226</v>
      </c>
      <c r="CH68" s="836">
        <f t="shared" si="93"/>
        <v>0</v>
      </c>
      <c r="CI68" s="837" t="str">
        <f t="shared" si="94"/>
        <v>УСПЕШНО</v>
      </c>
      <c r="CJ68" s="838" t="str">
        <f t="shared" ca="1" si="95"/>
        <v>-</v>
      </c>
      <c r="CK68" s="831"/>
      <c r="CL68" s="832"/>
      <c r="CM68" s="833" t="str">
        <f t="shared" si="96"/>
        <v>-</v>
      </c>
      <c r="CN68" s="834" t="str">
        <f t="shared" si="97"/>
        <v>-</v>
      </c>
      <c r="CO68" s="830" t="str">
        <f t="shared" ca="1" si="98"/>
        <v>-</v>
      </c>
      <c r="CP68" s="839"/>
      <c r="CQ68" s="832"/>
      <c r="CR68" s="833" t="str">
        <f t="shared" si="99"/>
        <v>-</v>
      </c>
      <c r="CS68" s="833" t="str">
        <f t="shared" si="100"/>
        <v>-</v>
      </c>
      <c r="CT68" s="834" t="str">
        <f t="shared" si="101"/>
        <v>-</v>
      </c>
      <c r="CU68" s="835" t="str">
        <f t="shared" si="102"/>
        <v>-</v>
      </c>
      <c r="CV68" s="839"/>
      <c r="CW68" s="832"/>
      <c r="CX68" s="833" t="str">
        <f t="shared" si="103"/>
        <v>-</v>
      </c>
      <c r="CY68" s="840" t="str">
        <f t="shared" si="104"/>
        <v>-</v>
      </c>
      <c r="CZ68" s="833" t="str">
        <f t="shared" si="105"/>
        <v>-</v>
      </c>
      <c r="DA68" s="838" t="str">
        <f t="shared" ca="1" si="106"/>
        <v>-</v>
      </c>
      <c r="DB68" s="841"/>
      <c r="DC68" s="832"/>
    </row>
    <row r="69" spans="1:107" s="842" customFormat="1" ht="15.95" customHeight="1" x14ac:dyDescent="0.25">
      <c r="A69" s="790">
        <v>67</v>
      </c>
      <c r="B69" s="791">
        <f t="shared" ca="1" si="54"/>
        <v>43134</v>
      </c>
      <c r="C69" s="792" t="s">
        <v>614</v>
      </c>
      <c r="D69" s="59" t="s">
        <v>3202</v>
      </c>
      <c r="E69" s="794" t="s">
        <v>1525</v>
      </c>
      <c r="F69" s="795" t="s">
        <v>1518</v>
      </c>
      <c r="G69" s="796">
        <f>SUMIFS(МОЛОКО!L8:L6958,МОЛОКО!F8:F6958,"2619",МОЛОКО!L8:L6958,"&gt;0")</f>
        <v>12</v>
      </c>
      <c r="H69" s="797" t="s">
        <v>603</v>
      </c>
      <c r="I69" s="798">
        <v>42125</v>
      </c>
      <c r="J69" s="799">
        <f t="shared" ca="1" si="55"/>
        <v>2.7643835616438355</v>
      </c>
      <c r="K69" s="799">
        <f t="shared" ca="1" si="56"/>
        <v>33.633333333333333</v>
      </c>
      <c r="L69" s="800">
        <f t="shared" ca="1" si="57"/>
        <v>1009</v>
      </c>
      <c r="M69" s="801">
        <v>42954</v>
      </c>
      <c r="N69" s="802">
        <v>42954</v>
      </c>
      <c r="O69" s="803">
        <f t="shared" ca="1" si="58"/>
        <v>180</v>
      </c>
      <c r="P69" s="804">
        <v>1</v>
      </c>
      <c r="Q69" s="68" t="s">
        <v>1451</v>
      </c>
      <c r="R69" s="118" t="s">
        <v>2966</v>
      </c>
      <c r="S69" s="807">
        <v>43035</v>
      </c>
      <c r="T69" s="798">
        <v>43035</v>
      </c>
      <c r="U69" s="798">
        <f t="shared" si="59"/>
        <v>43053</v>
      </c>
      <c r="V69" s="804">
        <f t="shared" ca="1" si="60"/>
        <v>81</v>
      </c>
      <c r="W69" s="808">
        <v>1</v>
      </c>
      <c r="X69" s="794">
        <f t="shared" si="61"/>
        <v>81</v>
      </c>
      <c r="Y69" s="794">
        <v>3</v>
      </c>
      <c r="Z69" s="809" t="str">
        <f t="shared" ca="1" si="62"/>
        <v>-----</v>
      </c>
      <c r="AA69" s="810">
        <f t="shared" ca="1" si="63"/>
        <v>99</v>
      </c>
      <c r="AB69" s="804"/>
      <c r="AC69" s="811" t="str">
        <f t="shared" ca="1" si="64"/>
        <v>-----</v>
      </c>
      <c r="AD69" s="798"/>
      <c r="AE69" s="794" t="str">
        <f t="shared" ca="1" si="65"/>
        <v>-</v>
      </c>
      <c r="AF69" s="798">
        <f t="shared" si="66"/>
        <v>43070</v>
      </c>
      <c r="AG69" s="812">
        <f t="shared" ca="1" si="67"/>
        <v>64</v>
      </c>
      <c r="AH69" s="807"/>
      <c r="AI69" s="807" t="str">
        <f t="shared" si="68"/>
        <v>-</v>
      </c>
      <c r="AJ69" s="807" t="str">
        <f t="shared" si="69"/>
        <v>-</v>
      </c>
      <c r="AK69" s="813"/>
      <c r="AL69" s="807" t="str">
        <f t="shared" si="70"/>
        <v>-</v>
      </c>
      <c r="AM69" s="807" t="str">
        <f t="shared" si="71"/>
        <v>-</v>
      </c>
      <c r="AN69" s="814" t="str">
        <f t="shared" ca="1" si="72"/>
        <v>-</v>
      </c>
      <c r="AO69" s="815">
        <v>1</v>
      </c>
      <c r="AP69" s="816" t="str">
        <f t="shared" ca="1" si="73"/>
        <v>-</v>
      </c>
      <c r="AQ69" s="817"/>
      <c r="AR69" s="794" t="str">
        <f t="shared" si="74"/>
        <v>-</v>
      </c>
      <c r="AS69" s="818"/>
      <c r="AT69" s="794" t="str">
        <f t="shared" si="75"/>
        <v>-</v>
      </c>
      <c r="AU69" s="819"/>
      <c r="AV69" s="820"/>
      <c r="AW69" s="821"/>
      <c r="AX69" s="821"/>
      <c r="AY69" s="969" t="str">
        <f t="shared" si="76"/>
        <v>-</v>
      </c>
      <c r="AZ69" s="966" t="str">
        <f t="shared" si="77"/>
        <v>-</v>
      </c>
      <c r="BA69" s="971" t="str">
        <f t="shared" si="78"/>
        <v>-</v>
      </c>
      <c r="BB69" s="975"/>
      <c r="BC69" s="821"/>
      <c r="BD69" s="821"/>
      <c r="BE69" s="963" t="str">
        <f t="shared" si="79"/>
        <v>-</v>
      </c>
      <c r="BF69" s="984"/>
      <c r="BG69" s="988"/>
      <c r="BH69" s="982"/>
      <c r="BI69" s="991"/>
      <c r="BJ69" s="991"/>
      <c r="BK69" s="993" t="str">
        <f t="shared" si="80"/>
        <v>-</v>
      </c>
      <c r="BL69" s="820">
        <v>42982</v>
      </c>
      <c r="BM69" s="821">
        <v>5</v>
      </c>
      <c r="BN69" s="822">
        <f t="shared" ca="1" si="81"/>
        <v>152</v>
      </c>
      <c r="BO69" s="823">
        <f t="shared" si="82"/>
        <v>28.566666666666666</v>
      </c>
      <c r="BP69" s="824">
        <v>43001</v>
      </c>
      <c r="BQ69" s="821">
        <v>2</v>
      </c>
      <c r="BR69" s="822">
        <f t="shared" ca="1" si="83"/>
        <v>133</v>
      </c>
      <c r="BS69" s="823">
        <f t="shared" si="84"/>
        <v>1.5666666666666667</v>
      </c>
      <c r="BT69" s="825" t="str">
        <f t="shared" ca="1" si="85"/>
        <v>-</v>
      </c>
      <c r="BU69" s="826"/>
      <c r="BV69" s="827"/>
      <c r="BW69" s="828" t="str">
        <f t="shared" si="86"/>
        <v>Ж-Е НЕ ВАКЦ.</v>
      </c>
      <c r="BX69" s="829" t="str">
        <f t="shared" si="87"/>
        <v>-</v>
      </c>
      <c r="BY69" s="830" t="str">
        <f t="shared" ca="1" si="88"/>
        <v>-</v>
      </c>
      <c r="BZ69" s="831">
        <v>42894</v>
      </c>
      <c r="CA69" s="832">
        <v>5</v>
      </c>
      <c r="CB69" s="833">
        <f t="shared" ca="1" si="89"/>
        <v>240</v>
      </c>
      <c r="CC69" s="834" t="str">
        <f t="shared" ca="1" si="90"/>
        <v>-</v>
      </c>
      <c r="CD69" s="835">
        <f t="shared" si="91"/>
        <v>42915</v>
      </c>
      <c r="CE69" s="831">
        <v>42915</v>
      </c>
      <c r="CF69" s="832">
        <v>5</v>
      </c>
      <c r="CG69" s="833">
        <f t="shared" ca="1" si="92"/>
        <v>219</v>
      </c>
      <c r="CH69" s="836">
        <f t="shared" si="93"/>
        <v>0</v>
      </c>
      <c r="CI69" s="837" t="str">
        <f t="shared" si="94"/>
        <v>УСПЕШНО</v>
      </c>
      <c r="CJ69" s="838" t="str">
        <f t="shared" ca="1" si="95"/>
        <v>-</v>
      </c>
      <c r="CK69" s="831"/>
      <c r="CL69" s="832"/>
      <c r="CM69" s="833" t="str">
        <f t="shared" si="96"/>
        <v>-</v>
      </c>
      <c r="CN69" s="834" t="str">
        <f t="shared" si="97"/>
        <v>-</v>
      </c>
      <c r="CO69" s="830" t="str">
        <f t="shared" ca="1" si="98"/>
        <v>-</v>
      </c>
      <c r="CP69" s="839"/>
      <c r="CQ69" s="832"/>
      <c r="CR69" s="833" t="str">
        <f t="shared" si="99"/>
        <v>-</v>
      </c>
      <c r="CS69" s="833" t="str">
        <f t="shared" si="100"/>
        <v>-</v>
      </c>
      <c r="CT69" s="834" t="str">
        <f t="shared" si="101"/>
        <v>-</v>
      </c>
      <c r="CU69" s="835" t="str">
        <f t="shared" si="102"/>
        <v>-</v>
      </c>
      <c r="CV69" s="839"/>
      <c r="CW69" s="832"/>
      <c r="CX69" s="833" t="str">
        <f t="shared" si="103"/>
        <v>-</v>
      </c>
      <c r="CY69" s="840" t="str">
        <f t="shared" si="104"/>
        <v>-</v>
      </c>
      <c r="CZ69" s="833" t="str">
        <f t="shared" si="105"/>
        <v>-</v>
      </c>
      <c r="DA69" s="838" t="str">
        <f t="shared" ca="1" si="106"/>
        <v>-</v>
      </c>
      <c r="DB69" s="841"/>
      <c r="DC69" s="832"/>
    </row>
    <row r="70" spans="1:107" s="842" customFormat="1" ht="15.95" customHeight="1" x14ac:dyDescent="0.25">
      <c r="A70" s="790">
        <v>68</v>
      </c>
      <c r="B70" s="791">
        <f t="shared" ca="1" si="54"/>
        <v>43134</v>
      </c>
      <c r="C70" s="792" t="s">
        <v>614</v>
      </c>
      <c r="D70" s="793" t="s">
        <v>3202</v>
      </c>
      <c r="E70" s="794" t="s">
        <v>1492</v>
      </c>
      <c r="F70" s="795" t="s">
        <v>1478</v>
      </c>
      <c r="G70" s="796">
        <f>SUMIFS(МОЛОКО!L8:L6958,МОЛОКО!F8:F6958,"2628",МОЛОКО!L8:L6958,"&gt;0")</f>
        <v>25.2</v>
      </c>
      <c r="H70" s="797" t="s">
        <v>603</v>
      </c>
      <c r="I70" s="798">
        <v>42139</v>
      </c>
      <c r="J70" s="799">
        <f t="shared" ca="1" si="55"/>
        <v>2.7260273972602738</v>
      </c>
      <c r="K70" s="799">
        <f t="shared" ca="1" si="56"/>
        <v>33.166666666666664</v>
      </c>
      <c r="L70" s="800">
        <f t="shared" ca="1" si="57"/>
        <v>995</v>
      </c>
      <c r="M70" s="801">
        <v>42856</v>
      </c>
      <c r="N70" s="802">
        <v>42856</v>
      </c>
      <c r="O70" s="803">
        <f t="shared" ca="1" si="58"/>
        <v>278</v>
      </c>
      <c r="P70" s="804">
        <v>1</v>
      </c>
      <c r="Q70" s="805" t="s">
        <v>2366</v>
      </c>
      <c r="R70" s="806" t="s">
        <v>3020</v>
      </c>
      <c r="S70" s="807">
        <v>42915</v>
      </c>
      <c r="T70" s="798">
        <v>42992</v>
      </c>
      <c r="U70" s="798" t="str">
        <f t="shared" si="59"/>
        <v>-</v>
      </c>
      <c r="V70" s="804" t="str">
        <f t="shared" ca="1" si="60"/>
        <v>-</v>
      </c>
      <c r="W70" s="808">
        <v>2</v>
      </c>
      <c r="X70" s="794">
        <f t="shared" si="61"/>
        <v>136</v>
      </c>
      <c r="Y70" s="794">
        <v>1</v>
      </c>
      <c r="Z70" s="809" t="str">
        <f t="shared" ca="1" si="62"/>
        <v>-----</v>
      </c>
      <c r="AA70" s="810" t="str">
        <f t="shared" ca="1" si="63"/>
        <v>-----</v>
      </c>
      <c r="AB70" s="804">
        <v>1</v>
      </c>
      <c r="AC70" s="811" t="str">
        <f t="shared" ca="1" si="64"/>
        <v>-----</v>
      </c>
      <c r="AD70" s="798">
        <v>43043</v>
      </c>
      <c r="AE70" s="794" t="str">
        <f t="shared" ca="1" si="65"/>
        <v>-</v>
      </c>
      <c r="AF70" s="798" t="str">
        <f t="shared" si="66"/>
        <v>-</v>
      </c>
      <c r="AG70" s="812" t="str">
        <f t="shared" si="67"/>
        <v>---------</v>
      </c>
      <c r="AH70" s="807">
        <v>43024</v>
      </c>
      <c r="AI70" s="807">
        <f t="shared" si="68"/>
        <v>43182</v>
      </c>
      <c r="AJ70" s="807">
        <f t="shared" si="69"/>
        <v>43212</v>
      </c>
      <c r="AK70" s="813"/>
      <c r="AL70" s="807">
        <f t="shared" si="70"/>
        <v>43251</v>
      </c>
      <c r="AM70" s="807">
        <f t="shared" si="71"/>
        <v>43272</v>
      </c>
      <c r="AN70" s="814">
        <f t="shared" ca="1" si="72"/>
        <v>-138</v>
      </c>
      <c r="AO70" s="815">
        <v>1</v>
      </c>
      <c r="AP70" s="816" t="str">
        <f t="shared" ca="1" si="73"/>
        <v>-</v>
      </c>
      <c r="AQ70" s="817"/>
      <c r="AR70" s="794" t="str">
        <f t="shared" si="74"/>
        <v>-</v>
      </c>
      <c r="AS70" s="818"/>
      <c r="AT70" s="794" t="str">
        <f t="shared" si="75"/>
        <v>-</v>
      </c>
      <c r="AU70" s="819"/>
      <c r="AV70" s="820"/>
      <c r="AW70" s="821"/>
      <c r="AX70" s="821"/>
      <c r="AY70" s="969" t="str">
        <f t="shared" si="76"/>
        <v>-</v>
      </c>
      <c r="AZ70" s="966" t="str">
        <f t="shared" si="77"/>
        <v>-</v>
      </c>
      <c r="BA70" s="971" t="str">
        <f t="shared" si="78"/>
        <v>-</v>
      </c>
      <c r="BB70" s="975"/>
      <c r="BC70" s="821"/>
      <c r="BD70" s="821"/>
      <c r="BE70" s="963" t="str">
        <f t="shared" si="79"/>
        <v>-</v>
      </c>
      <c r="BF70" s="984">
        <v>43033</v>
      </c>
      <c r="BG70" s="988" t="s">
        <v>3353</v>
      </c>
      <c r="BH70" s="986" t="s">
        <v>3354</v>
      </c>
      <c r="BI70" s="991">
        <v>5</v>
      </c>
      <c r="BJ70" s="991" t="s">
        <v>3356</v>
      </c>
      <c r="BK70" s="993">
        <f t="shared" ca="1" si="80"/>
        <v>101</v>
      </c>
      <c r="BL70" s="820">
        <v>42980</v>
      </c>
      <c r="BM70" s="821">
        <v>5</v>
      </c>
      <c r="BN70" s="822">
        <f t="shared" ca="1" si="81"/>
        <v>154</v>
      </c>
      <c r="BO70" s="823">
        <f t="shared" si="82"/>
        <v>28.033333333333335</v>
      </c>
      <c r="BP70" s="824">
        <v>43001</v>
      </c>
      <c r="BQ70" s="821">
        <v>2</v>
      </c>
      <c r="BR70" s="822">
        <f t="shared" ca="1" si="83"/>
        <v>133</v>
      </c>
      <c r="BS70" s="823">
        <f t="shared" si="84"/>
        <v>4.833333333333333</v>
      </c>
      <c r="BT70" s="825" t="str">
        <f t="shared" ca="1" si="85"/>
        <v>-</v>
      </c>
      <c r="BU70" s="826"/>
      <c r="BV70" s="827"/>
      <c r="BW70" s="828" t="str">
        <f t="shared" si="86"/>
        <v>Ж-Е НЕ ВАКЦ.</v>
      </c>
      <c r="BX70" s="829" t="str">
        <f t="shared" si="87"/>
        <v>-</v>
      </c>
      <c r="BY70" s="830" t="str">
        <f t="shared" ca="1" si="88"/>
        <v>-</v>
      </c>
      <c r="BZ70" s="831">
        <v>42887</v>
      </c>
      <c r="CA70" s="832">
        <v>5</v>
      </c>
      <c r="CB70" s="833">
        <f t="shared" ca="1" si="89"/>
        <v>247</v>
      </c>
      <c r="CC70" s="834" t="str">
        <f t="shared" ca="1" si="90"/>
        <v>-</v>
      </c>
      <c r="CD70" s="835">
        <f t="shared" si="91"/>
        <v>42908</v>
      </c>
      <c r="CE70" s="831">
        <v>42908</v>
      </c>
      <c r="CF70" s="832">
        <v>5</v>
      </c>
      <c r="CG70" s="833">
        <f t="shared" ca="1" si="92"/>
        <v>226</v>
      </c>
      <c r="CH70" s="836">
        <f t="shared" si="93"/>
        <v>0</v>
      </c>
      <c r="CI70" s="837" t="str">
        <f t="shared" si="94"/>
        <v>УСПЕШНО</v>
      </c>
      <c r="CJ70" s="838" t="str">
        <f t="shared" ca="1" si="95"/>
        <v>-</v>
      </c>
      <c r="CK70" s="831"/>
      <c r="CL70" s="832"/>
      <c r="CM70" s="833" t="str">
        <f t="shared" si="96"/>
        <v>-</v>
      </c>
      <c r="CN70" s="834" t="str">
        <f t="shared" si="97"/>
        <v>-</v>
      </c>
      <c r="CO70" s="830" t="str">
        <f t="shared" ca="1" si="98"/>
        <v>-</v>
      </c>
      <c r="CP70" s="839"/>
      <c r="CQ70" s="832"/>
      <c r="CR70" s="833" t="str">
        <f t="shared" si="99"/>
        <v>-</v>
      </c>
      <c r="CS70" s="833" t="str">
        <f t="shared" si="100"/>
        <v>-</v>
      </c>
      <c r="CT70" s="834" t="str">
        <f t="shared" si="101"/>
        <v>-</v>
      </c>
      <c r="CU70" s="835" t="str">
        <f t="shared" si="102"/>
        <v>-</v>
      </c>
      <c r="CV70" s="839"/>
      <c r="CW70" s="832"/>
      <c r="CX70" s="833" t="str">
        <f t="shared" si="103"/>
        <v>-</v>
      </c>
      <c r="CY70" s="840" t="str">
        <f t="shared" si="104"/>
        <v>-</v>
      </c>
      <c r="CZ70" s="833" t="str">
        <f t="shared" si="105"/>
        <v>-</v>
      </c>
      <c r="DA70" s="838" t="str">
        <f t="shared" ca="1" si="106"/>
        <v>-</v>
      </c>
      <c r="DB70" s="841"/>
      <c r="DC70" s="832"/>
    </row>
    <row r="71" spans="1:107" s="842" customFormat="1" ht="15.95" customHeight="1" x14ac:dyDescent="0.25">
      <c r="A71" s="790">
        <v>69</v>
      </c>
      <c r="B71" s="791">
        <f t="shared" ca="1" si="54"/>
        <v>43134</v>
      </c>
      <c r="C71" s="792" t="s">
        <v>614</v>
      </c>
      <c r="D71" s="793" t="s">
        <v>3202</v>
      </c>
      <c r="E71" s="794" t="s">
        <v>1551</v>
      </c>
      <c r="F71" s="795" t="s">
        <v>1543</v>
      </c>
      <c r="G71" s="796">
        <f>SUMIFS(МОЛОКО!L8:L6958,МОЛОКО!F8:F6958,"2675",МОЛОКО!L8:L6958,"&gt;0")</f>
        <v>21.200000000000003</v>
      </c>
      <c r="H71" s="797" t="s">
        <v>603</v>
      </c>
      <c r="I71" s="798">
        <v>42227</v>
      </c>
      <c r="J71" s="799">
        <f t="shared" ca="1" si="55"/>
        <v>2.484931506849315</v>
      </c>
      <c r="K71" s="799">
        <f t="shared" ca="1" si="56"/>
        <v>30.233333333333334</v>
      </c>
      <c r="L71" s="800">
        <f t="shared" ca="1" si="57"/>
        <v>907</v>
      </c>
      <c r="M71" s="801">
        <v>42927</v>
      </c>
      <c r="N71" s="802">
        <v>42927</v>
      </c>
      <c r="O71" s="803">
        <f t="shared" ca="1" si="58"/>
        <v>207</v>
      </c>
      <c r="P71" s="804">
        <v>1</v>
      </c>
      <c r="Q71" s="805" t="s">
        <v>1451</v>
      </c>
      <c r="R71" s="806" t="s">
        <v>2966</v>
      </c>
      <c r="S71" s="807">
        <v>42992</v>
      </c>
      <c r="T71" s="798">
        <v>43034</v>
      </c>
      <c r="U71" s="798">
        <f t="shared" si="59"/>
        <v>43052</v>
      </c>
      <c r="V71" s="804">
        <f t="shared" ca="1" si="60"/>
        <v>82</v>
      </c>
      <c r="W71" s="808">
        <v>2</v>
      </c>
      <c r="X71" s="794">
        <f t="shared" si="61"/>
        <v>107</v>
      </c>
      <c r="Y71" s="794">
        <v>3</v>
      </c>
      <c r="Z71" s="809" t="str">
        <f t="shared" ca="1" si="62"/>
        <v>-----</v>
      </c>
      <c r="AA71" s="810">
        <f t="shared" ca="1" si="63"/>
        <v>100</v>
      </c>
      <c r="AB71" s="804"/>
      <c r="AC71" s="811" t="str">
        <f t="shared" ca="1" si="64"/>
        <v>-----</v>
      </c>
      <c r="AD71" s="798"/>
      <c r="AE71" s="794" t="str">
        <f t="shared" ca="1" si="65"/>
        <v>-</v>
      </c>
      <c r="AF71" s="798">
        <f t="shared" si="66"/>
        <v>43069</v>
      </c>
      <c r="AG71" s="812">
        <f t="shared" ca="1" si="67"/>
        <v>65</v>
      </c>
      <c r="AH71" s="807">
        <v>43028</v>
      </c>
      <c r="AI71" s="807" t="str">
        <f t="shared" si="68"/>
        <v>-</v>
      </c>
      <c r="AJ71" s="807" t="str">
        <f t="shared" si="69"/>
        <v>-</v>
      </c>
      <c r="AK71" s="813"/>
      <c r="AL71" s="807" t="str">
        <f t="shared" si="70"/>
        <v>-</v>
      </c>
      <c r="AM71" s="807" t="str">
        <f t="shared" si="71"/>
        <v>-</v>
      </c>
      <c r="AN71" s="814" t="str">
        <f t="shared" ca="1" si="72"/>
        <v>-</v>
      </c>
      <c r="AO71" s="815">
        <v>1</v>
      </c>
      <c r="AP71" s="816" t="str">
        <f t="shared" ca="1" si="73"/>
        <v>-</v>
      </c>
      <c r="AQ71" s="817"/>
      <c r="AR71" s="794" t="str">
        <f t="shared" si="74"/>
        <v>-</v>
      </c>
      <c r="AS71" s="818"/>
      <c r="AT71" s="794" t="str">
        <f t="shared" si="75"/>
        <v>-</v>
      </c>
      <c r="AU71" s="819"/>
      <c r="AV71" s="820"/>
      <c r="AW71" s="821"/>
      <c r="AX71" s="821"/>
      <c r="AY71" s="969" t="str">
        <f t="shared" si="76"/>
        <v>-</v>
      </c>
      <c r="AZ71" s="966" t="str">
        <f t="shared" si="77"/>
        <v>-</v>
      </c>
      <c r="BA71" s="971" t="str">
        <f t="shared" si="78"/>
        <v>-</v>
      </c>
      <c r="BB71" s="975"/>
      <c r="BC71" s="821"/>
      <c r="BD71" s="821"/>
      <c r="BE71" s="963" t="str">
        <f t="shared" si="79"/>
        <v>-</v>
      </c>
      <c r="BF71" s="984">
        <v>43033</v>
      </c>
      <c r="BG71" s="988" t="s">
        <v>3353</v>
      </c>
      <c r="BH71" s="986" t="s">
        <v>3354</v>
      </c>
      <c r="BI71" s="991">
        <v>5</v>
      </c>
      <c r="BJ71" s="991" t="s">
        <v>3356</v>
      </c>
      <c r="BK71" s="993">
        <f t="shared" ca="1" si="80"/>
        <v>101</v>
      </c>
      <c r="BL71" s="820">
        <v>42980</v>
      </c>
      <c r="BM71" s="821">
        <v>5</v>
      </c>
      <c r="BN71" s="822">
        <f t="shared" ca="1" si="81"/>
        <v>154</v>
      </c>
      <c r="BO71" s="823">
        <f t="shared" si="82"/>
        <v>25.1</v>
      </c>
      <c r="BP71" s="824">
        <v>43001</v>
      </c>
      <c r="BQ71" s="821">
        <v>2</v>
      </c>
      <c r="BR71" s="822">
        <f t="shared" ca="1" si="83"/>
        <v>133</v>
      </c>
      <c r="BS71" s="823">
        <f t="shared" si="84"/>
        <v>2.4666666666666668</v>
      </c>
      <c r="BT71" s="825" t="str">
        <f t="shared" ca="1" si="85"/>
        <v>-</v>
      </c>
      <c r="BU71" s="826"/>
      <c r="BV71" s="827"/>
      <c r="BW71" s="828" t="str">
        <f t="shared" si="86"/>
        <v>Ж-Е НЕ ВАКЦ.</v>
      </c>
      <c r="BX71" s="829" t="str">
        <f t="shared" si="87"/>
        <v>-</v>
      </c>
      <c r="BY71" s="830" t="str">
        <f t="shared" ca="1" si="88"/>
        <v>-</v>
      </c>
      <c r="BZ71" s="831">
        <v>42964</v>
      </c>
      <c r="CA71" s="832">
        <v>5</v>
      </c>
      <c r="CB71" s="833">
        <f t="shared" ca="1" si="89"/>
        <v>170</v>
      </c>
      <c r="CC71" s="834" t="str">
        <f t="shared" ca="1" si="90"/>
        <v>-</v>
      </c>
      <c r="CD71" s="835">
        <f t="shared" si="91"/>
        <v>42985</v>
      </c>
      <c r="CE71" s="831">
        <v>42985</v>
      </c>
      <c r="CF71" s="832">
        <v>5</v>
      </c>
      <c r="CG71" s="833">
        <f t="shared" ca="1" si="92"/>
        <v>149</v>
      </c>
      <c r="CH71" s="836">
        <f t="shared" si="93"/>
        <v>0</v>
      </c>
      <c r="CI71" s="837" t="str">
        <f t="shared" si="94"/>
        <v>УСПЕШНО</v>
      </c>
      <c r="CJ71" s="838" t="str">
        <f t="shared" ca="1" si="95"/>
        <v>-</v>
      </c>
      <c r="CK71" s="831"/>
      <c r="CL71" s="832"/>
      <c r="CM71" s="833" t="str">
        <f t="shared" si="96"/>
        <v>-</v>
      </c>
      <c r="CN71" s="834" t="str">
        <f t="shared" si="97"/>
        <v>-</v>
      </c>
      <c r="CO71" s="830" t="str">
        <f t="shared" ca="1" si="98"/>
        <v>-</v>
      </c>
      <c r="CP71" s="831">
        <v>42882</v>
      </c>
      <c r="CQ71" s="832">
        <v>2</v>
      </c>
      <c r="CR71" s="833">
        <f t="shared" si="99"/>
        <v>-152</v>
      </c>
      <c r="CS71" s="833">
        <f t="shared" ca="1" si="100"/>
        <v>252</v>
      </c>
      <c r="CT71" s="834" t="str">
        <f t="shared" ca="1" si="101"/>
        <v>-</v>
      </c>
      <c r="CU71" s="835">
        <f t="shared" si="102"/>
        <v>42903</v>
      </c>
      <c r="CV71" s="831">
        <v>42903</v>
      </c>
      <c r="CW71" s="832">
        <v>2</v>
      </c>
      <c r="CX71" s="833">
        <f t="shared" si="103"/>
        <v>0</v>
      </c>
      <c r="CY71" s="840" t="str">
        <f t="shared" si="104"/>
        <v>УСПЕШНО</v>
      </c>
      <c r="CZ71" s="833">
        <f t="shared" si="105"/>
        <v>-131</v>
      </c>
      <c r="DA71" s="838" t="str">
        <f t="shared" ca="1" si="106"/>
        <v>-</v>
      </c>
      <c r="DB71" s="841"/>
      <c r="DC71" s="832"/>
    </row>
    <row r="72" spans="1:107" s="842" customFormat="1" ht="15.95" customHeight="1" x14ac:dyDescent="0.25">
      <c r="A72" s="790">
        <v>70</v>
      </c>
      <c r="B72" s="791">
        <f t="shared" ca="1" si="54"/>
        <v>43134</v>
      </c>
      <c r="C72" s="792" t="s">
        <v>614</v>
      </c>
      <c r="D72" s="793" t="s">
        <v>3202</v>
      </c>
      <c r="E72" s="794" t="s">
        <v>1323</v>
      </c>
      <c r="F72" s="795" t="s">
        <v>1822</v>
      </c>
      <c r="G72" s="796">
        <f>SUMIFS(МОЛОКО!L8:L6958,МОЛОКО!F8:F6958,"2703",МОЛОКО!L8:L6958,"&gt;0")</f>
        <v>23.8</v>
      </c>
      <c r="H72" s="797" t="s">
        <v>603</v>
      </c>
      <c r="I72" s="798">
        <v>42265</v>
      </c>
      <c r="J72" s="799">
        <f t="shared" ca="1" si="55"/>
        <v>2.3808219178082193</v>
      </c>
      <c r="K72" s="799">
        <f t="shared" ca="1" si="56"/>
        <v>28.966666666666665</v>
      </c>
      <c r="L72" s="800">
        <f t="shared" ca="1" si="57"/>
        <v>869</v>
      </c>
      <c r="M72" s="801">
        <v>42896</v>
      </c>
      <c r="N72" s="802">
        <v>42896</v>
      </c>
      <c r="O72" s="803">
        <f t="shared" ca="1" si="58"/>
        <v>238</v>
      </c>
      <c r="P72" s="804">
        <v>1</v>
      </c>
      <c r="Q72" s="805" t="s">
        <v>2366</v>
      </c>
      <c r="R72" s="118" t="s">
        <v>2966</v>
      </c>
      <c r="S72" s="807">
        <v>42957</v>
      </c>
      <c r="T72" s="798">
        <v>43056</v>
      </c>
      <c r="U72" s="798">
        <f t="shared" si="59"/>
        <v>43074</v>
      </c>
      <c r="V72" s="804">
        <f t="shared" ca="1" si="60"/>
        <v>60</v>
      </c>
      <c r="W72" s="808">
        <v>2</v>
      </c>
      <c r="X72" s="794">
        <f t="shared" si="61"/>
        <v>160</v>
      </c>
      <c r="Y72" s="794">
        <v>3</v>
      </c>
      <c r="Z72" s="809" t="str">
        <f t="shared" ca="1" si="62"/>
        <v>-----</v>
      </c>
      <c r="AA72" s="810">
        <f t="shared" ca="1" si="63"/>
        <v>78</v>
      </c>
      <c r="AB72" s="804">
        <v>0</v>
      </c>
      <c r="AC72" s="811" t="str">
        <f t="shared" ca="1" si="64"/>
        <v>-----</v>
      </c>
      <c r="AD72" s="798">
        <v>43042</v>
      </c>
      <c r="AE72" s="794" t="str">
        <f t="shared" ca="1" si="65"/>
        <v>-</v>
      </c>
      <c r="AF72" s="798">
        <f t="shared" si="66"/>
        <v>43091</v>
      </c>
      <c r="AG72" s="812">
        <f t="shared" ca="1" si="67"/>
        <v>43</v>
      </c>
      <c r="AH72" s="807">
        <v>42989</v>
      </c>
      <c r="AI72" s="807" t="str">
        <f t="shared" si="68"/>
        <v>-</v>
      </c>
      <c r="AJ72" s="807" t="str">
        <f t="shared" si="69"/>
        <v>-</v>
      </c>
      <c r="AK72" s="813"/>
      <c r="AL72" s="807" t="str">
        <f t="shared" si="70"/>
        <v>-</v>
      </c>
      <c r="AM72" s="807" t="str">
        <f t="shared" si="71"/>
        <v>-</v>
      </c>
      <c r="AN72" s="814" t="str">
        <f t="shared" ca="1" si="72"/>
        <v>-</v>
      </c>
      <c r="AO72" s="815">
        <v>1</v>
      </c>
      <c r="AP72" s="816" t="str">
        <f t="shared" ca="1" si="73"/>
        <v>-</v>
      </c>
      <c r="AQ72" s="817"/>
      <c r="AR72" s="794" t="str">
        <f t="shared" si="74"/>
        <v>-</v>
      </c>
      <c r="AS72" s="818"/>
      <c r="AT72" s="794" t="str">
        <f t="shared" si="75"/>
        <v>-</v>
      </c>
      <c r="AU72" s="819"/>
      <c r="AV72" s="820"/>
      <c r="AW72" s="821"/>
      <c r="AX72" s="821"/>
      <c r="AY72" s="969" t="str">
        <f t="shared" si="76"/>
        <v>-</v>
      </c>
      <c r="AZ72" s="966" t="str">
        <f t="shared" si="77"/>
        <v>-</v>
      </c>
      <c r="BA72" s="971" t="str">
        <f t="shared" si="78"/>
        <v>-</v>
      </c>
      <c r="BB72" s="975"/>
      <c r="BC72" s="821"/>
      <c r="BD72" s="821"/>
      <c r="BE72" s="963" t="str">
        <f t="shared" si="79"/>
        <v>-</v>
      </c>
      <c r="BF72" s="984"/>
      <c r="BG72" s="988"/>
      <c r="BH72" s="982"/>
      <c r="BI72" s="991"/>
      <c r="BJ72" s="991"/>
      <c r="BK72" s="993" t="str">
        <f t="shared" si="80"/>
        <v>-</v>
      </c>
      <c r="BL72" s="820">
        <v>42980</v>
      </c>
      <c r="BM72" s="821">
        <v>5</v>
      </c>
      <c r="BN72" s="822">
        <f t="shared" ca="1" si="81"/>
        <v>154</v>
      </c>
      <c r="BO72" s="823">
        <f t="shared" si="82"/>
        <v>23.833333333333332</v>
      </c>
      <c r="BP72" s="824">
        <v>43001</v>
      </c>
      <c r="BQ72" s="821">
        <v>2</v>
      </c>
      <c r="BR72" s="822">
        <f t="shared" ca="1" si="83"/>
        <v>133</v>
      </c>
      <c r="BS72" s="823">
        <f t="shared" si="84"/>
        <v>3.5</v>
      </c>
      <c r="BT72" s="825" t="str">
        <f t="shared" ca="1" si="85"/>
        <v>-</v>
      </c>
      <c r="BU72" s="826"/>
      <c r="BV72" s="827"/>
      <c r="BW72" s="828" t="str">
        <f t="shared" si="86"/>
        <v>Ж-Е НЕ ВАКЦ.</v>
      </c>
      <c r="BX72" s="829" t="str">
        <f t="shared" si="87"/>
        <v>-</v>
      </c>
      <c r="BY72" s="830" t="str">
        <f t="shared" ca="1" si="88"/>
        <v>-</v>
      </c>
      <c r="BZ72" s="831">
        <v>42916</v>
      </c>
      <c r="CA72" s="832">
        <v>5</v>
      </c>
      <c r="CB72" s="833">
        <f t="shared" ca="1" si="89"/>
        <v>218</v>
      </c>
      <c r="CC72" s="834" t="str">
        <f t="shared" ca="1" si="90"/>
        <v>-</v>
      </c>
      <c r="CD72" s="835">
        <f t="shared" si="91"/>
        <v>42937</v>
      </c>
      <c r="CE72" s="831">
        <v>42937</v>
      </c>
      <c r="CF72" s="832">
        <v>5</v>
      </c>
      <c r="CG72" s="833">
        <f t="shared" ca="1" si="92"/>
        <v>197</v>
      </c>
      <c r="CH72" s="836">
        <f t="shared" si="93"/>
        <v>0</v>
      </c>
      <c r="CI72" s="837" t="str">
        <f t="shared" si="94"/>
        <v>УСПЕШНО</v>
      </c>
      <c r="CJ72" s="838" t="str">
        <f t="shared" ca="1" si="95"/>
        <v>-</v>
      </c>
      <c r="CK72" s="831"/>
      <c r="CL72" s="832"/>
      <c r="CM72" s="833" t="str">
        <f t="shared" si="96"/>
        <v>-</v>
      </c>
      <c r="CN72" s="834" t="str">
        <f t="shared" si="97"/>
        <v>-</v>
      </c>
      <c r="CO72" s="830" t="str">
        <f t="shared" ca="1" si="98"/>
        <v>-</v>
      </c>
      <c r="CP72" s="839"/>
      <c r="CQ72" s="832"/>
      <c r="CR72" s="833" t="str">
        <f t="shared" si="99"/>
        <v>-</v>
      </c>
      <c r="CS72" s="833" t="str">
        <f t="shared" si="100"/>
        <v>-</v>
      </c>
      <c r="CT72" s="834" t="str">
        <f t="shared" si="101"/>
        <v>-</v>
      </c>
      <c r="CU72" s="835" t="str">
        <f t="shared" si="102"/>
        <v>-</v>
      </c>
      <c r="CV72" s="839"/>
      <c r="CW72" s="832"/>
      <c r="CX72" s="833" t="str">
        <f t="shared" si="103"/>
        <v>-</v>
      </c>
      <c r="CY72" s="840" t="str">
        <f t="shared" si="104"/>
        <v>-</v>
      </c>
      <c r="CZ72" s="833" t="str">
        <f t="shared" si="105"/>
        <v>-</v>
      </c>
      <c r="DA72" s="838" t="str">
        <f t="shared" ca="1" si="106"/>
        <v>-</v>
      </c>
      <c r="DB72" s="841"/>
      <c r="DC72" s="832"/>
    </row>
    <row r="73" spans="1:107" s="842" customFormat="1" ht="17.25" customHeight="1" x14ac:dyDescent="0.25">
      <c r="A73" s="790">
        <v>71</v>
      </c>
      <c r="B73" s="791">
        <f t="shared" ca="1" si="54"/>
        <v>43134</v>
      </c>
      <c r="C73" s="847" t="s">
        <v>614</v>
      </c>
      <c r="D73" s="793" t="s">
        <v>3202</v>
      </c>
      <c r="E73" s="794" t="s">
        <v>1861</v>
      </c>
      <c r="F73" s="795" t="s">
        <v>1908</v>
      </c>
      <c r="G73" s="796">
        <f>SUMIFS(МОЛОКО!L8:L6958,МОЛОКО!F8:F6958,"2715",МОЛОКО!L8:L6958,"&gt;0")</f>
        <v>21</v>
      </c>
      <c r="H73" s="797" t="s">
        <v>603</v>
      </c>
      <c r="I73" s="798">
        <v>42284</v>
      </c>
      <c r="J73" s="799">
        <f t="shared" ca="1" si="55"/>
        <v>2.3287671232876712</v>
      </c>
      <c r="K73" s="799">
        <f t="shared" ca="1" si="56"/>
        <v>28.333333333333332</v>
      </c>
      <c r="L73" s="800">
        <f t="shared" ca="1" si="57"/>
        <v>850</v>
      </c>
      <c r="M73" s="801">
        <v>42958</v>
      </c>
      <c r="N73" s="802">
        <v>42958</v>
      </c>
      <c r="O73" s="803">
        <f t="shared" ca="1" si="58"/>
        <v>176</v>
      </c>
      <c r="P73" s="804">
        <v>1</v>
      </c>
      <c r="Q73" s="68" t="s">
        <v>1451</v>
      </c>
      <c r="R73" s="118" t="s">
        <v>2962</v>
      </c>
      <c r="S73" s="807">
        <v>43027</v>
      </c>
      <c r="T73" s="798">
        <v>43027</v>
      </c>
      <c r="U73" s="798">
        <f t="shared" si="59"/>
        <v>43045</v>
      </c>
      <c r="V73" s="804">
        <f t="shared" ca="1" si="60"/>
        <v>89</v>
      </c>
      <c r="W73" s="808">
        <v>1</v>
      </c>
      <c r="X73" s="794">
        <f t="shared" si="61"/>
        <v>69</v>
      </c>
      <c r="Y73" s="794">
        <v>3</v>
      </c>
      <c r="Z73" s="809" t="str">
        <f t="shared" ca="1" si="62"/>
        <v>-----</v>
      </c>
      <c r="AA73" s="810">
        <f t="shared" ca="1" si="63"/>
        <v>107</v>
      </c>
      <c r="AB73" s="804"/>
      <c r="AC73" s="811" t="str">
        <f t="shared" ca="1" si="64"/>
        <v>-----</v>
      </c>
      <c r="AD73" s="798"/>
      <c r="AE73" s="794" t="str">
        <f t="shared" ca="1" si="65"/>
        <v>-</v>
      </c>
      <c r="AF73" s="798">
        <f t="shared" si="66"/>
        <v>43062</v>
      </c>
      <c r="AG73" s="812">
        <f t="shared" ca="1" si="67"/>
        <v>72</v>
      </c>
      <c r="AH73" s="807"/>
      <c r="AI73" s="807" t="str">
        <f t="shared" si="68"/>
        <v>-</v>
      </c>
      <c r="AJ73" s="807" t="str">
        <f t="shared" si="69"/>
        <v>-</v>
      </c>
      <c r="AK73" s="813"/>
      <c r="AL73" s="807" t="str">
        <f t="shared" si="70"/>
        <v>-</v>
      </c>
      <c r="AM73" s="807" t="str">
        <f t="shared" si="71"/>
        <v>-</v>
      </c>
      <c r="AN73" s="814" t="str">
        <f t="shared" ca="1" si="72"/>
        <v>-</v>
      </c>
      <c r="AO73" s="815">
        <v>1</v>
      </c>
      <c r="AP73" s="816" t="str">
        <f t="shared" ca="1" si="73"/>
        <v>-</v>
      </c>
      <c r="AQ73" s="817"/>
      <c r="AR73" s="794" t="str">
        <f t="shared" si="74"/>
        <v>-</v>
      </c>
      <c r="AS73" s="818"/>
      <c r="AT73" s="794" t="str">
        <f t="shared" si="75"/>
        <v>-</v>
      </c>
      <c r="AU73" s="819"/>
      <c r="AV73" s="820"/>
      <c r="AW73" s="821"/>
      <c r="AX73" s="821"/>
      <c r="AY73" s="969" t="str">
        <f t="shared" si="76"/>
        <v>-</v>
      </c>
      <c r="AZ73" s="966" t="str">
        <f t="shared" si="77"/>
        <v>-</v>
      </c>
      <c r="BA73" s="971" t="str">
        <f t="shared" si="78"/>
        <v>-</v>
      </c>
      <c r="BB73" s="975"/>
      <c r="BC73" s="821"/>
      <c r="BD73" s="821"/>
      <c r="BE73" s="963" t="str">
        <f t="shared" si="79"/>
        <v>-</v>
      </c>
      <c r="BF73" s="984">
        <v>43033</v>
      </c>
      <c r="BG73" s="988" t="s">
        <v>3353</v>
      </c>
      <c r="BH73" s="986" t="s">
        <v>3354</v>
      </c>
      <c r="BI73" s="991">
        <v>5</v>
      </c>
      <c r="BJ73" s="991" t="s">
        <v>3356</v>
      </c>
      <c r="BK73" s="993">
        <f t="shared" ca="1" si="80"/>
        <v>101</v>
      </c>
      <c r="BL73" s="820">
        <v>42980</v>
      </c>
      <c r="BM73" s="821">
        <v>5</v>
      </c>
      <c r="BN73" s="822">
        <f t="shared" ca="1" si="81"/>
        <v>154</v>
      </c>
      <c r="BO73" s="823">
        <f t="shared" si="82"/>
        <v>23.2</v>
      </c>
      <c r="BP73" s="824">
        <v>43001</v>
      </c>
      <c r="BQ73" s="821">
        <v>2</v>
      </c>
      <c r="BR73" s="822">
        <f t="shared" ca="1" si="83"/>
        <v>133</v>
      </c>
      <c r="BS73" s="823">
        <f t="shared" si="84"/>
        <v>1.4333333333333333</v>
      </c>
      <c r="BT73" s="825" t="str">
        <f t="shared" ca="1" si="85"/>
        <v>-</v>
      </c>
      <c r="BU73" s="826"/>
      <c r="BV73" s="827"/>
      <c r="BW73" s="828" t="str">
        <f t="shared" si="86"/>
        <v>Ж-Е НЕ ВАКЦ.</v>
      </c>
      <c r="BX73" s="829" t="str">
        <f t="shared" si="87"/>
        <v>-</v>
      </c>
      <c r="BY73" s="830" t="str">
        <f t="shared" ca="1" si="88"/>
        <v>-</v>
      </c>
      <c r="BZ73" s="831">
        <v>42904</v>
      </c>
      <c r="CA73" s="832">
        <v>5</v>
      </c>
      <c r="CB73" s="833">
        <f t="shared" ca="1" si="89"/>
        <v>230</v>
      </c>
      <c r="CC73" s="834" t="str">
        <f t="shared" ca="1" si="90"/>
        <v>-</v>
      </c>
      <c r="CD73" s="835">
        <f t="shared" si="91"/>
        <v>42925</v>
      </c>
      <c r="CE73" s="831">
        <v>42925</v>
      </c>
      <c r="CF73" s="832">
        <v>5</v>
      </c>
      <c r="CG73" s="833">
        <f t="shared" ca="1" si="92"/>
        <v>209</v>
      </c>
      <c r="CH73" s="836">
        <f t="shared" si="93"/>
        <v>0</v>
      </c>
      <c r="CI73" s="837" t="str">
        <f t="shared" si="94"/>
        <v>УСПЕШНО</v>
      </c>
      <c r="CJ73" s="838" t="str">
        <f t="shared" ca="1" si="95"/>
        <v>-</v>
      </c>
      <c r="CK73" s="831"/>
      <c r="CL73" s="832"/>
      <c r="CM73" s="833" t="str">
        <f t="shared" si="96"/>
        <v>-</v>
      </c>
      <c r="CN73" s="834" t="str">
        <f t="shared" si="97"/>
        <v>-</v>
      </c>
      <c r="CO73" s="830" t="str">
        <f t="shared" ca="1" si="98"/>
        <v>-</v>
      </c>
      <c r="CP73" s="839"/>
      <c r="CQ73" s="832"/>
      <c r="CR73" s="833" t="str">
        <f t="shared" si="99"/>
        <v>-</v>
      </c>
      <c r="CS73" s="833" t="str">
        <f t="shared" si="100"/>
        <v>-</v>
      </c>
      <c r="CT73" s="834" t="str">
        <f t="shared" si="101"/>
        <v>-</v>
      </c>
      <c r="CU73" s="835" t="str">
        <f t="shared" si="102"/>
        <v>-</v>
      </c>
      <c r="CV73" s="839"/>
      <c r="CW73" s="832"/>
      <c r="CX73" s="833" t="str">
        <f t="shared" si="103"/>
        <v>-</v>
      </c>
      <c r="CY73" s="840" t="str">
        <f t="shared" si="104"/>
        <v>-</v>
      </c>
      <c r="CZ73" s="833" t="str">
        <f t="shared" si="105"/>
        <v>-</v>
      </c>
      <c r="DA73" s="838" t="str">
        <f t="shared" ca="1" si="106"/>
        <v>-</v>
      </c>
      <c r="DB73" s="841"/>
      <c r="DC73" s="832"/>
    </row>
    <row r="74" spans="1:107" s="842" customFormat="1" ht="15.95" customHeight="1" x14ac:dyDescent="0.25">
      <c r="A74" s="790">
        <v>72</v>
      </c>
      <c r="B74" s="791">
        <f t="shared" ca="1" si="54"/>
        <v>43134</v>
      </c>
      <c r="C74" s="792" t="s">
        <v>614</v>
      </c>
      <c r="D74" s="793" t="s">
        <v>3202</v>
      </c>
      <c r="E74" s="794" t="s">
        <v>2296</v>
      </c>
      <c r="F74" s="795" t="s">
        <v>2082</v>
      </c>
      <c r="G74" s="796">
        <f>SUMIFS(МОЛОКО!L8:L6958,МОЛОКО!F8:F6958,"2717",МОЛОКО!L8:L6958,"&gt;0")</f>
        <v>32.200000000000003</v>
      </c>
      <c r="H74" s="797" t="s">
        <v>603</v>
      </c>
      <c r="I74" s="798">
        <v>42285</v>
      </c>
      <c r="J74" s="799">
        <f t="shared" ca="1" si="55"/>
        <v>2.3260273972602739</v>
      </c>
      <c r="K74" s="799">
        <f t="shared" ca="1" si="56"/>
        <v>28.3</v>
      </c>
      <c r="L74" s="800">
        <f t="shared" ca="1" si="57"/>
        <v>849</v>
      </c>
      <c r="M74" s="801">
        <v>42988</v>
      </c>
      <c r="N74" s="802">
        <v>42988</v>
      </c>
      <c r="O74" s="803">
        <f t="shared" ca="1" si="58"/>
        <v>146</v>
      </c>
      <c r="P74" s="804">
        <v>1</v>
      </c>
      <c r="Q74" s="68" t="s">
        <v>2366</v>
      </c>
      <c r="R74" s="118" t="s">
        <v>2962</v>
      </c>
      <c r="S74" s="807">
        <v>43048</v>
      </c>
      <c r="T74" s="798">
        <v>43048</v>
      </c>
      <c r="U74" s="798">
        <f t="shared" si="59"/>
        <v>43066</v>
      </c>
      <c r="V74" s="804">
        <f t="shared" ca="1" si="60"/>
        <v>68</v>
      </c>
      <c r="W74" s="808">
        <v>1</v>
      </c>
      <c r="X74" s="794">
        <f t="shared" si="61"/>
        <v>60</v>
      </c>
      <c r="Y74" s="794">
        <v>3</v>
      </c>
      <c r="Z74" s="809" t="str">
        <f t="shared" ca="1" si="62"/>
        <v>-----</v>
      </c>
      <c r="AA74" s="810">
        <f t="shared" ca="1" si="63"/>
        <v>86</v>
      </c>
      <c r="AB74" s="804"/>
      <c r="AC74" s="811" t="str">
        <f t="shared" ca="1" si="64"/>
        <v>-----</v>
      </c>
      <c r="AD74" s="798"/>
      <c r="AE74" s="794" t="str">
        <f t="shared" ca="1" si="65"/>
        <v>-</v>
      </c>
      <c r="AF74" s="798">
        <f t="shared" si="66"/>
        <v>43083</v>
      </c>
      <c r="AG74" s="812">
        <f t="shared" ca="1" si="67"/>
        <v>51</v>
      </c>
      <c r="AH74" s="807"/>
      <c r="AI74" s="807" t="str">
        <f t="shared" si="68"/>
        <v>-</v>
      </c>
      <c r="AJ74" s="807" t="str">
        <f t="shared" si="69"/>
        <v>-</v>
      </c>
      <c r="AK74" s="813"/>
      <c r="AL74" s="807" t="str">
        <f t="shared" si="70"/>
        <v>-</v>
      </c>
      <c r="AM74" s="807" t="str">
        <f t="shared" si="71"/>
        <v>-</v>
      </c>
      <c r="AN74" s="814" t="str">
        <f t="shared" ca="1" si="72"/>
        <v>-</v>
      </c>
      <c r="AO74" s="815">
        <v>1</v>
      </c>
      <c r="AP74" s="816" t="str">
        <f t="shared" ca="1" si="73"/>
        <v>-</v>
      </c>
      <c r="AQ74" s="817"/>
      <c r="AR74" s="794" t="str">
        <f t="shared" si="74"/>
        <v>-</v>
      </c>
      <c r="AS74" s="818"/>
      <c r="AT74" s="794" t="str">
        <f t="shared" si="75"/>
        <v>-</v>
      </c>
      <c r="AU74" s="819"/>
      <c r="AV74" s="820"/>
      <c r="AW74" s="821"/>
      <c r="AX74" s="821"/>
      <c r="AY74" s="969" t="str">
        <f t="shared" si="76"/>
        <v>-</v>
      </c>
      <c r="AZ74" s="966" t="str">
        <f t="shared" si="77"/>
        <v>-</v>
      </c>
      <c r="BA74" s="971" t="str">
        <f t="shared" si="78"/>
        <v>-</v>
      </c>
      <c r="BB74" s="975"/>
      <c r="BC74" s="821"/>
      <c r="BD74" s="821"/>
      <c r="BE74" s="963" t="str">
        <f t="shared" si="79"/>
        <v>-</v>
      </c>
      <c r="BF74" s="984"/>
      <c r="BG74" s="988"/>
      <c r="BH74" s="982"/>
      <c r="BI74" s="991"/>
      <c r="BJ74" s="991"/>
      <c r="BK74" s="993" t="str">
        <f t="shared" si="80"/>
        <v>-</v>
      </c>
      <c r="BL74" s="820">
        <v>42982</v>
      </c>
      <c r="BM74" s="821">
        <v>5</v>
      </c>
      <c r="BN74" s="822">
        <f t="shared" ca="1" si="81"/>
        <v>152</v>
      </c>
      <c r="BO74" s="823">
        <f t="shared" si="82"/>
        <v>23.233333333333334</v>
      </c>
      <c r="BP74" s="824">
        <v>43001</v>
      </c>
      <c r="BQ74" s="821">
        <v>2</v>
      </c>
      <c r="BR74" s="822">
        <f t="shared" ca="1" si="83"/>
        <v>133</v>
      </c>
      <c r="BS74" s="823">
        <f t="shared" si="84"/>
        <v>0.43333333333333335</v>
      </c>
      <c r="BT74" s="825" t="str">
        <f t="shared" ca="1" si="85"/>
        <v>-</v>
      </c>
      <c r="BU74" s="826"/>
      <c r="BV74" s="827"/>
      <c r="BW74" s="828" t="str">
        <f t="shared" si="86"/>
        <v>Ж-Е НЕ ВАКЦ.</v>
      </c>
      <c r="BX74" s="829" t="str">
        <f t="shared" si="87"/>
        <v>-</v>
      </c>
      <c r="BY74" s="830" t="str">
        <f t="shared" ca="1" si="88"/>
        <v>-</v>
      </c>
      <c r="BZ74" s="831">
        <v>42894</v>
      </c>
      <c r="CA74" s="832">
        <v>5</v>
      </c>
      <c r="CB74" s="833">
        <f t="shared" ca="1" si="89"/>
        <v>240</v>
      </c>
      <c r="CC74" s="834" t="str">
        <f t="shared" ca="1" si="90"/>
        <v>-</v>
      </c>
      <c r="CD74" s="835">
        <f t="shared" si="91"/>
        <v>42915</v>
      </c>
      <c r="CE74" s="831">
        <v>42915</v>
      </c>
      <c r="CF74" s="832">
        <v>5</v>
      </c>
      <c r="CG74" s="833">
        <f t="shared" ca="1" si="92"/>
        <v>219</v>
      </c>
      <c r="CH74" s="836">
        <f t="shared" si="93"/>
        <v>0</v>
      </c>
      <c r="CI74" s="837" t="str">
        <f t="shared" si="94"/>
        <v>УСПЕШНО</v>
      </c>
      <c r="CJ74" s="838" t="str">
        <f t="shared" ca="1" si="95"/>
        <v>-</v>
      </c>
      <c r="CK74" s="831"/>
      <c r="CL74" s="832"/>
      <c r="CM74" s="833" t="str">
        <f t="shared" si="96"/>
        <v>-</v>
      </c>
      <c r="CN74" s="834" t="str">
        <f t="shared" si="97"/>
        <v>-</v>
      </c>
      <c r="CO74" s="830" t="str">
        <f t="shared" ca="1" si="98"/>
        <v>-</v>
      </c>
      <c r="CP74" s="831">
        <v>42925</v>
      </c>
      <c r="CQ74" s="832">
        <v>2</v>
      </c>
      <c r="CR74" s="833">
        <f t="shared" si="99"/>
        <v>-123</v>
      </c>
      <c r="CS74" s="833">
        <f t="shared" ca="1" si="100"/>
        <v>209</v>
      </c>
      <c r="CT74" s="834" t="str">
        <f t="shared" ca="1" si="101"/>
        <v>-</v>
      </c>
      <c r="CU74" s="835">
        <f t="shared" si="102"/>
        <v>42946</v>
      </c>
      <c r="CV74" s="831">
        <v>42946</v>
      </c>
      <c r="CW74" s="832">
        <v>2</v>
      </c>
      <c r="CX74" s="833">
        <f t="shared" si="103"/>
        <v>0</v>
      </c>
      <c r="CY74" s="840" t="str">
        <f t="shared" si="104"/>
        <v>УСПЕШНО</v>
      </c>
      <c r="CZ74" s="833">
        <f t="shared" si="105"/>
        <v>-102</v>
      </c>
      <c r="DA74" s="838" t="str">
        <f t="shared" ca="1" si="106"/>
        <v>-</v>
      </c>
      <c r="DB74" s="841"/>
      <c r="DC74" s="832"/>
    </row>
    <row r="75" spans="1:107" s="842" customFormat="1" ht="15.95" customHeight="1" x14ac:dyDescent="0.25">
      <c r="A75" s="790">
        <v>73</v>
      </c>
      <c r="B75" s="791">
        <f t="shared" ca="1" si="54"/>
        <v>43134</v>
      </c>
      <c r="C75" s="792" t="s">
        <v>614</v>
      </c>
      <c r="D75" s="793" t="s">
        <v>3202</v>
      </c>
      <c r="E75" s="794" t="s">
        <v>861</v>
      </c>
      <c r="F75" s="795" t="s">
        <v>2084</v>
      </c>
      <c r="G75" s="796">
        <f>SUMIFS(МОЛОКО!L8:L6958,МОЛОКО!F8:F6958,"2729",МОЛОКО!L8:L6958,"&gt;0")</f>
        <v>31.3</v>
      </c>
      <c r="H75" s="797" t="s">
        <v>603</v>
      </c>
      <c r="I75" s="798">
        <v>42302</v>
      </c>
      <c r="J75" s="799">
        <f t="shared" ca="1" si="55"/>
        <v>2.2794520547945205</v>
      </c>
      <c r="K75" s="799">
        <f t="shared" ca="1" si="56"/>
        <v>27.733333333333334</v>
      </c>
      <c r="L75" s="800">
        <f t="shared" ca="1" si="57"/>
        <v>832</v>
      </c>
      <c r="M75" s="801">
        <v>42993</v>
      </c>
      <c r="N75" s="802">
        <v>42993</v>
      </c>
      <c r="O75" s="803">
        <f t="shared" ca="1" si="58"/>
        <v>141</v>
      </c>
      <c r="P75" s="804">
        <v>1</v>
      </c>
      <c r="Q75" s="805"/>
      <c r="R75" s="806"/>
      <c r="S75" s="807"/>
      <c r="T75" s="798"/>
      <c r="U75" s="798" t="str">
        <f t="shared" si="59"/>
        <v>-</v>
      </c>
      <c r="V75" s="804" t="str">
        <f t="shared" ca="1" si="60"/>
        <v>-</v>
      </c>
      <c r="W75" s="808">
        <v>0</v>
      </c>
      <c r="X75" s="794" t="str">
        <f t="shared" si="61"/>
        <v>-</v>
      </c>
      <c r="Y75" s="794">
        <v>0</v>
      </c>
      <c r="Z75" s="809" t="str">
        <f t="shared" ca="1" si="62"/>
        <v>-----</v>
      </c>
      <c r="AA75" s="810">
        <f t="shared" ca="1" si="63"/>
        <v>43134</v>
      </c>
      <c r="AB75" s="804"/>
      <c r="AC75" s="811" t="str">
        <f t="shared" ca="1" si="64"/>
        <v>-----</v>
      </c>
      <c r="AD75" s="798"/>
      <c r="AE75" s="794" t="str">
        <f t="shared" ca="1" si="65"/>
        <v>яловая</v>
      </c>
      <c r="AF75" s="798" t="str">
        <f t="shared" si="66"/>
        <v>-</v>
      </c>
      <c r="AG75" s="812" t="str">
        <f t="shared" si="67"/>
        <v>---------</v>
      </c>
      <c r="AH75" s="807"/>
      <c r="AI75" s="807" t="str">
        <f t="shared" si="68"/>
        <v>-</v>
      </c>
      <c r="AJ75" s="807" t="str">
        <f t="shared" si="69"/>
        <v>-</v>
      </c>
      <c r="AK75" s="813"/>
      <c r="AL75" s="807" t="str">
        <f t="shared" si="70"/>
        <v>-</v>
      </c>
      <c r="AM75" s="807" t="str">
        <f t="shared" si="71"/>
        <v>-</v>
      </c>
      <c r="AN75" s="814" t="str">
        <f t="shared" ca="1" si="72"/>
        <v>-</v>
      </c>
      <c r="AO75" s="815">
        <v>1</v>
      </c>
      <c r="AP75" s="816" t="str">
        <f t="shared" ca="1" si="73"/>
        <v>-</v>
      </c>
      <c r="AQ75" s="817"/>
      <c r="AR75" s="794" t="str">
        <f t="shared" si="74"/>
        <v>-</v>
      </c>
      <c r="AS75" s="818"/>
      <c r="AT75" s="794" t="str">
        <f t="shared" si="75"/>
        <v>-</v>
      </c>
      <c r="AU75" s="819">
        <v>1</v>
      </c>
      <c r="AV75" s="820"/>
      <c r="AW75" s="821"/>
      <c r="AX75" s="821"/>
      <c r="AY75" s="969" t="str">
        <f t="shared" si="76"/>
        <v>-</v>
      </c>
      <c r="AZ75" s="966" t="str">
        <f t="shared" si="77"/>
        <v>-</v>
      </c>
      <c r="BA75" s="971" t="str">
        <f t="shared" si="78"/>
        <v>-</v>
      </c>
      <c r="BB75" s="975"/>
      <c r="BC75" s="821"/>
      <c r="BD75" s="821"/>
      <c r="BE75" s="963" t="str">
        <f t="shared" si="79"/>
        <v>-</v>
      </c>
      <c r="BF75" s="984"/>
      <c r="BG75" s="988"/>
      <c r="BH75" s="982"/>
      <c r="BI75" s="991"/>
      <c r="BJ75" s="991"/>
      <c r="BK75" s="993" t="str">
        <f t="shared" si="80"/>
        <v>-</v>
      </c>
      <c r="BL75" s="820">
        <v>42982</v>
      </c>
      <c r="BM75" s="821">
        <v>5</v>
      </c>
      <c r="BN75" s="822">
        <f t="shared" ca="1" si="81"/>
        <v>152</v>
      </c>
      <c r="BO75" s="823">
        <f t="shared" si="82"/>
        <v>22.666666666666668</v>
      </c>
      <c r="BP75" s="824">
        <v>43001</v>
      </c>
      <c r="BQ75" s="821">
        <v>2</v>
      </c>
      <c r="BR75" s="822">
        <f t="shared" ca="1" si="83"/>
        <v>133</v>
      </c>
      <c r="BS75" s="823">
        <f t="shared" si="84"/>
        <v>0.26666666666666666</v>
      </c>
      <c r="BT75" s="825" t="str">
        <f t="shared" ca="1" si="85"/>
        <v>-</v>
      </c>
      <c r="BU75" s="826"/>
      <c r="BV75" s="827"/>
      <c r="BW75" s="828" t="str">
        <f t="shared" si="86"/>
        <v>Ж-Е НЕ ВАКЦ.</v>
      </c>
      <c r="BX75" s="829" t="str">
        <f t="shared" si="87"/>
        <v>-</v>
      </c>
      <c r="BY75" s="830" t="str">
        <f t="shared" ca="1" si="88"/>
        <v>-</v>
      </c>
      <c r="BZ75" s="831">
        <v>42904</v>
      </c>
      <c r="CA75" s="832">
        <v>5</v>
      </c>
      <c r="CB75" s="833">
        <f t="shared" ca="1" si="89"/>
        <v>230</v>
      </c>
      <c r="CC75" s="834" t="str">
        <f t="shared" ca="1" si="90"/>
        <v>-</v>
      </c>
      <c r="CD75" s="835">
        <f t="shared" si="91"/>
        <v>42925</v>
      </c>
      <c r="CE75" s="831">
        <v>42925</v>
      </c>
      <c r="CF75" s="832">
        <v>5</v>
      </c>
      <c r="CG75" s="833">
        <f t="shared" ca="1" si="92"/>
        <v>209</v>
      </c>
      <c r="CH75" s="836">
        <f t="shared" si="93"/>
        <v>0</v>
      </c>
      <c r="CI75" s="837" t="str">
        <f t="shared" si="94"/>
        <v>УСПЕШНО</v>
      </c>
      <c r="CJ75" s="838" t="str">
        <f t="shared" ca="1" si="95"/>
        <v>-</v>
      </c>
      <c r="CK75" s="831"/>
      <c r="CL75" s="832"/>
      <c r="CM75" s="833" t="str">
        <f t="shared" si="96"/>
        <v>-</v>
      </c>
      <c r="CN75" s="834" t="str">
        <f t="shared" si="97"/>
        <v>-</v>
      </c>
      <c r="CO75" s="830" t="str">
        <f t="shared" ca="1" si="98"/>
        <v>-</v>
      </c>
      <c r="CP75" s="839"/>
      <c r="CQ75" s="832"/>
      <c r="CR75" s="833" t="str">
        <f t="shared" si="99"/>
        <v>-</v>
      </c>
      <c r="CS75" s="833" t="str">
        <f t="shared" si="100"/>
        <v>-</v>
      </c>
      <c r="CT75" s="834" t="str">
        <f t="shared" si="101"/>
        <v>-</v>
      </c>
      <c r="CU75" s="835" t="str">
        <f t="shared" si="102"/>
        <v>-</v>
      </c>
      <c r="CV75" s="839"/>
      <c r="CW75" s="832"/>
      <c r="CX75" s="833" t="str">
        <f t="shared" si="103"/>
        <v>-</v>
      </c>
      <c r="CY75" s="840" t="str">
        <f t="shared" si="104"/>
        <v>-</v>
      </c>
      <c r="CZ75" s="833" t="str">
        <f t="shared" si="105"/>
        <v>-</v>
      </c>
      <c r="DA75" s="838" t="str">
        <f t="shared" ca="1" si="106"/>
        <v>-</v>
      </c>
      <c r="DB75" s="841"/>
      <c r="DC75" s="832"/>
    </row>
    <row r="76" spans="1:107" s="842" customFormat="1" ht="15.95" customHeight="1" x14ac:dyDescent="0.25">
      <c r="A76" s="790">
        <v>74</v>
      </c>
      <c r="B76" s="791">
        <f t="shared" ca="1" si="54"/>
        <v>43134</v>
      </c>
      <c r="C76" s="792" t="s">
        <v>614</v>
      </c>
      <c r="D76" s="793" t="s">
        <v>3202</v>
      </c>
      <c r="E76" s="794" t="s">
        <v>1827</v>
      </c>
      <c r="F76" s="795" t="s">
        <v>2098</v>
      </c>
      <c r="G76" s="796">
        <f>SUMIFS(МОЛОКО!L8:L6958,МОЛОКО!F8:F6958,"2760",МОЛОКО!L8:L6958,"&gt;0")</f>
        <v>23.599999999999998</v>
      </c>
      <c r="H76" s="797" t="s">
        <v>603</v>
      </c>
      <c r="I76" s="798">
        <v>42343</v>
      </c>
      <c r="J76" s="799">
        <f t="shared" ca="1" si="55"/>
        <v>2.1671232876712327</v>
      </c>
      <c r="K76" s="799">
        <f t="shared" ca="1" si="56"/>
        <v>26.366666666666667</v>
      </c>
      <c r="L76" s="800">
        <f t="shared" ca="1" si="57"/>
        <v>791</v>
      </c>
      <c r="M76" s="801">
        <v>42983</v>
      </c>
      <c r="N76" s="802">
        <v>42983</v>
      </c>
      <c r="O76" s="803">
        <f t="shared" ca="1" si="58"/>
        <v>151</v>
      </c>
      <c r="P76" s="804">
        <v>1</v>
      </c>
      <c r="Q76" s="68" t="s">
        <v>2366</v>
      </c>
      <c r="R76" s="118" t="s">
        <v>2966</v>
      </c>
      <c r="S76" s="807">
        <v>43048</v>
      </c>
      <c r="T76" s="798">
        <v>43048</v>
      </c>
      <c r="U76" s="798">
        <f t="shared" si="59"/>
        <v>43066</v>
      </c>
      <c r="V76" s="804">
        <f t="shared" ca="1" si="60"/>
        <v>68</v>
      </c>
      <c r="W76" s="808">
        <v>1</v>
      </c>
      <c r="X76" s="794">
        <f t="shared" si="61"/>
        <v>65</v>
      </c>
      <c r="Y76" s="794">
        <v>3</v>
      </c>
      <c r="Z76" s="809" t="str">
        <f t="shared" ca="1" si="62"/>
        <v>-----</v>
      </c>
      <c r="AA76" s="810">
        <f t="shared" ca="1" si="63"/>
        <v>86</v>
      </c>
      <c r="AB76" s="804"/>
      <c r="AC76" s="811" t="str">
        <f t="shared" ca="1" si="64"/>
        <v>-----</v>
      </c>
      <c r="AD76" s="798"/>
      <c r="AE76" s="794" t="str">
        <f t="shared" ca="1" si="65"/>
        <v>-</v>
      </c>
      <c r="AF76" s="798">
        <f t="shared" si="66"/>
        <v>43083</v>
      </c>
      <c r="AG76" s="812">
        <f t="shared" ca="1" si="67"/>
        <v>51</v>
      </c>
      <c r="AH76" s="807"/>
      <c r="AI76" s="807" t="str">
        <f t="shared" si="68"/>
        <v>-</v>
      </c>
      <c r="AJ76" s="807" t="str">
        <f t="shared" si="69"/>
        <v>-</v>
      </c>
      <c r="AK76" s="813"/>
      <c r="AL76" s="807" t="str">
        <f t="shared" si="70"/>
        <v>-</v>
      </c>
      <c r="AM76" s="807" t="str">
        <f t="shared" si="71"/>
        <v>-</v>
      </c>
      <c r="AN76" s="814" t="str">
        <f t="shared" ca="1" si="72"/>
        <v>-</v>
      </c>
      <c r="AO76" s="815">
        <v>1</v>
      </c>
      <c r="AP76" s="816" t="str">
        <f t="shared" ca="1" si="73"/>
        <v>-</v>
      </c>
      <c r="AQ76" s="817"/>
      <c r="AR76" s="794" t="str">
        <f t="shared" si="74"/>
        <v>-</v>
      </c>
      <c r="AS76" s="818"/>
      <c r="AT76" s="794" t="str">
        <f t="shared" si="75"/>
        <v>-</v>
      </c>
      <c r="AU76" s="819"/>
      <c r="AV76" s="820"/>
      <c r="AW76" s="821"/>
      <c r="AX76" s="821"/>
      <c r="AY76" s="969" t="str">
        <f t="shared" si="76"/>
        <v>-</v>
      </c>
      <c r="AZ76" s="966" t="str">
        <f t="shared" si="77"/>
        <v>-</v>
      </c>
      <c r="BA76" s="971" t="str">
        <f t="shared" si="78"/>
        <v>-</v>
      </c>
      <c r="BB76" s="975"/>
      <c r="BC76" s="821"/>
      <c r="BD76" s="821"/>
      <c r="BE76" s="963" t="str">
        <f t="shared" si="79"/>
        <v>-</v>
      </c>
      <c r="BF76" s="984">
        <v>43033</v>
      </c>
      <c r="BG76" s="988" t="s">
        <v>3353</v>
      </c>
      <c r="BH76" s="986" t="s">
        <v>3354</v>
      </c>
      <c r="BI76" s="991">
        <v>5</v>
      </c>
      <c r="BJ76" s="991" t="s">
        <v>3356</v>
      </c>
      <c r="BK76" s="993">
        <f t="shared" ca="1" si="80"/>
        <v>101</v>
      </c>
      <c r="BL76" s="820">
        <v>42982</v>
      </c>
      <c r="BM76" s="821">
        <v>5</v>
      </c>
      <c r="BN76" s="822">
        <f t="shared" ca="1" si="81"/>
        <v>152</v>
      </c>
      <c r="BO76" s="823">
        <f t="shared" si="82"/>
        <v>21.3</v>
      </c>
      <c r="BP76" s="824">
        <v>43001</v>
      </c>
      <c r="BQ76" s="821">
        <v>2</v>
      </c>
      <c r="BR76" s="822">
        <f t="shared" ca="1" si="83"/>
        <v>133</v>
      </c>
      <c r="BS76" s="823">
        <f t="shared" si="84"/>
        <v>0.6</v>
      </c>
      <c r="BT76" s="825" t="str">
        <f t="shared" ca="1" si="85"/>
        <v>-</v>
      </c>
      <c r="BU76" s="826"/>
      <c r="BV76" s="827"/>
      <c r="BW76" s="828" t="str">
        <f t="shared" si="86"/>
        <v>Ж-Е НЕ ВАКЦ.</v>
      </c>
      <c r="BX76" s="829" t="str">
        <f t="shared" si="87"/>
        <v>-</v>
      </c>
      <c r="BY76" s="830" t="str">
        <f t="shared" ca="1" si="88"/>
        <v>-</v>
      </c>
      <c r="BZ76" s="831">
        <v>42894</v>
      </c>
      <c r="CA76" s="832">
        <v>5</v>
      </c>
      <c r="CB76" s="833">
        <f t="shared" ca="1" si="89"/>
        <v>240</v>
      </c>
      <c r="CC76" s="834" t="str">
        <f t="shared" ca="1" si="90"/>
        <v>-</v>
      </c>
      <c r="CD76" s="835">
        <f t="shared" si="91"/>
        <v>42915</v>
      </c>
      <c r="CE76" s="831">
        <v>42915</v>
      </c>
      <c r="CF76" s="832">
        <v>5</v>
      </c>
      <c r="CG76" s="833">
        <f t="shared" ca="1" si="92"/>
        <v>219</v>
      </c>
      <c r="CH76" s="836">
        <f t="shared" si="93"/>
        <v>0</v>
      </c>
      <c r="CI76" s="837" t="str">
        <f t="shared" si="94"/>
        <v>УСПЕШНО</v>
      </c>
      <c r="CJ76" s="838" t="str">
        <f t="shared" ca="1" si="95"/>
        <v>-</v>
      </c>
      <c r="CK76" s="831"/>
      <c r="CL76" s="832"/>
      <c r="CM76" s="833" t="str">
        <f t="shared" si="96"/>
        <v>-</v>
      </c>
      <c r="CN76" s="834" t="str">
        <f t="shared" si="97"/>
        <v>-</v>
      </c>
      <c r="CO76" s="830" t="str">
        <f t="shared" ca="1" si="98"/>
        <v>-</v>
      </c>
      <c r="CP76" s="831">
        <v>42925</v>
      </c>
      <c r="CQ76" s="832">
        <v>2</v>
      </c>
      <c r="CR76" s="833">
        <f t="shared" si="99"/>
        <v>-123</v>
      </c>
      <c r="CS76" s="833">
        <f t="shared" ca="1" si="100"/>
        <v>209</v>
      </c>
      <c r="CT76" s="834" t="str">
        <f t="shared" ca="1" si="101"/>
        <v>-</v>
      </c>
      <c r="CU76" s="835">
        <f t="shared" si="102"/>
        <v>42946</v>
      </c>
      <c r="CV76" s="831">
        <v>42946</v>
      </c>
      <c r="CW76" s="832">
        <v>2</v>
      </c>
      <c r="CX76" s="833">
        <f t="shared" si="103"/>
        <v>0</v>
      </c>
      <c r="CY76" s="840" t="str">
        <f t="shared" si="104"/>
        <v>УСПЕШНО</v>
      </c>
      <c r="CZ76" s="833">
        <f t="shared" si="105"/>
        <v>-102</v>
      </c>
      <c r="DA76" s="838" t="str">
        <f t="shared" ca="1" si="106"/>
        <v>-</v>
      </c>
      <c r="DB76" s="841"/>
      <c r="DC76" s="832"/>
    </row>
    <row r="77" spans="1:107" s="842" customFormat="1" ht="15.95" customHeight="1" x14ac:dyDescent="0.25">
      <c r="A77" s="790">
        <v>75</v>
      </c>
      <c r="B77" s="791">
        <f t="shared" ca="1" si="54"/>
        <v>43134</v>
      </c>
      <c r="C77" s="271" t="s">
        <v>614</v>
      </c>
      <c r="D77" s="59" t="s">
        <v>3202</v>
      </c>
      <c r="E77" s="794" t="s">
        <v>2809</v>
      </c>
      <c r="F77" s="795" t="s">
        <v>2101</v>
      </c>
      <c r="G77" s="796">
        <f>SUMIFS(МОЛОКО!L8:L6958,МОЛОКО!F8:F6958,"2767",МОЛОКО!L8:L6958,"&gt;0")</f>
        <v>17.600000000000001</v>
      </c>
      <c r="H77" s="797" t="s">
        <v>603</v>
      </c>
      <c r="I77" s="798">
        <v>42347</v>
      </c>
      <c r="J77" s="799">
        <f t="shared" ca="1" si="55"/>
        <v>2.1561643835616437</v>
      </c>
      <c r="K77" s="799">
        <f t="shared" ca="1" si="56"/>
        <v>26.233333333333334</v>
      </c>
      <c r="L77" s="800">
        <f t="shared" ca="1" si="57"/>
        <v>787</v>
      </c>
      <c r="M77" s="801">
        <v>43002</v>
      </c>
      <c r="N77" s="802">
        <v>43002</v>
      </c>
      <c r="O77" s="803">
        <f t="shared" ca="1" si="58"/>
        <v>132</v>
      </c>
      <c r="P77" s="804">
        <v>1</v>
      </c>
      <c r="Q77" s="805"/>
      <c r="R77" s="806"/>
      <c r="S77" s="807"/>
      <c r="T77" s="798"/>
      <c r="U77" s="798" t="str">
        <f t="shared" si="59"/>
        <v>-</v>
      </c>
      <c r="V77" s="804" t="str">
        <f t="shared" ca="1" si="60"/>
        <v>-</v>
      </c>
      <c r="W77" s="808">
        <v>0</v>
      </c>
      <c r="X77" s="794" t="str">
        <f t="shared" si="61"/>
        <v>-</v>
      </c>
      <c r="Y77" s="794">
        <v>0</v>
      </c>
      <c r="Z77" s="809" t="str">
        <f t="shared" ca="1" si="62"/>
        <v>-----</v>
      </c>
      <c r="AA77" s="810">
        <f t="shared" ca="1" si="63"/>
        <v>43134</v>
      </c>
      <c r="AB77" s="804"/>
      <c r="AC77" s="811" t="str">
        <f t="shared" ca="1" si="64"/>
        <v>-----</v>
      </c>
      <c r="AD77" s="798"/>
      <c r="AE77" s="794" t="str">
        <f t="shared" ca="1" si="65"/>
        <v>яловая</v>
      </c>
      <c r="AF77" s="798" t="str">
        <f t="shared" si="66"/>
        <v>-</v>
      </c>
      <c r="AG77" s="812" t="str">
        <f t="shared" si="67"/>
        <v>---------</v>
      </c>
      <c r="AH77" s="807"/>
      <c r="AI77" s="807" t="str">
        <f t="shared" si="68"/>
        <v>-</v>
      </c>
      <c r="AJ77" s="807" t="str">
        <f t="shared" si="69"/>
        <v>-</v>
      </c>
      <c r="AK77" s="813"/>
      <c r="AL77" s="807" t="str">
        <f t="shared" si="70"/>
        <v>-</v>
      </c>
      <c r="AM77" s="807" t="str">
        <f t="shared" si="71"/>
        <v>-</v>
      </c>
      <c r="AN77" s="814" t="str">
        <f t="shared" ca="1" si="72"/>
        <v>-</v>
      </c>
      <c r="AO77" s="815">
        <v>1</v>
      </c>
      <c r="AP77" s="816" t="str">
        <f t="shared" ca="1" si="73"/>
        <v>-</v>
      </c>
      <c r="AQ77" s="817"/>
      <c r="AR77" s="794" t="str">
        <f t="shared" si="74"/>
        <v>-</v>
      </c>
      <c r="AS77" s="818"/>
      <c r="AT77" s="794" t="str">
        <f t="shared" si="75"/>
        <v>-</v>
      </c>
      <c r="AU77" s="819"/>
      <c r="AV77" s="820"/>
      <c r="AW77" s="821"/>
      <c r="AX77" s="821"/>
      <c r="AY77" s="969" t="str">
        <f t="shared" si="76"/>
        <v>-</v>
      </c>
      <c r="AZ77" s="966" t="str">
        <f t="shared" si="77"/>
        <v>-</v>
      </c>
      <c r="BA77" s="971" t="str">
        <f t="shared" si="78"/>
        <v>-</v>
      </c>
      <c r="BB77" s="975"/>
      <c r="BC77" s="821"/>
      <c r="BD77" s="821"/>
      <c r="BE77" s="963" t="str">
        <f t="shared" si="79"/>
        <v>-</v>
      </c>
      <c r="BF77" s="984">
        <v>43033</v>
      </c>
      <c r="BG77" s="988" t="s">
        <v>3353</v>
      </c>
      <c r="BH77" s="986" t="s">
        <v>3354</v>
      </c>
      <c r="BI77" s="991">
        <v>5</v>
      </c>
      <c r="BJ77" s="991" t="s">
        <v>3356</v>
      </c>
      <c r="BK77" s="993">
        <f t="shared" ca="1" si="80"/>
        <v>101</v>
      </c>
      <c r="BL77" s="820">
        <v>42978</v>
      </c>
      <c r="BM77" s="821">
        <v>5</v>
      </c>
      <c r="BN77" s="822">
        <f t="shared" ca="1" si="81"/>
        <v>156</v>
      </c>
      <c r="BO77" s="823">
        <f t="shared" si="82"/>
        <v>21.033333333333335</v>
      </c>
      <c r="BP77" s="824"/>
      <c r="BQ77" s="821"/>
      <c r="BR77" s="822" t="str">
        <f t="shared" si="83"/>
        <v>-</v>
      </c>
      <c r="BS77" s="823" t="str">
        <f t="shared" si="84"/>
        <v>-</v>
      </c>
      <c r="BT77" s="825" t="str">
        <f t="shared" ca="1" si="85"/>
        <v>-</v>
      </c>
      <c r="BU77" s="826"/>
      <c r="BV77" s="827"/>
      <c r="BW77" s="828" t="str">
        <f t="shared" si="86"/>
        <v>Ж-Е НЕ ВАКЦ.</v>
      </c>
      <c r="BX77" s="829" t="str">
        <f t="shared" si="87"/>
        <v>-</v>
      </c>
      <c r="BY77" s="830" t="str">
        <f t="shared" ca="1" si="88"/>
        <v>-</v>
      </c>
      <c r="BZ77" s="831">
        <v>42894</v>
      </c>
      <c r="CA77" s="832">
        <v>5</v>
      </c>
      <c r="CB77" s="833">
        <f t="shared" ca="1" si="89"/>
        <v>240</v>
      </c>
      <c r="CC77" s="834" t="str">
        <f t="shared" ca="1" si="90"/>
        <v>-</v>
      </c>
      <c r="CD77" s="835">
        <f t="shared" si="91"/>
        <v>42915</v>
      </c>
      <c r="CE77" s="831">
        <v>42915</v>
      </c>
      <c r="CF77" s="832">
        <v>5</v>
      </c>
      <c r="CG77" s="833">
        <f t="shared" ca="1" si="92"/>
        <v>219</v>
      </c>
      <c r="CH77" s="836">
        <f t="shared" si="93"/>
        <v>0</v>
      </c>
      <c r="CI77" s="837" t="str">
        <f t="shared" si="94"/>
        <v>УСПЕШНО</v>
      </c>
      <c r="CJ77" s="838" t="str">
        <f t="shared" ca="1" si="95"/>
        <v>-</v>
      </c>
      <c r="CK77" s="831"/>
      <c r="CL77" s="832"/>
      <c r="CM77" s="833" t="str">
        <f t="shared" si="96"/>
        <v>-</v>
      </c>
      <c r="CN77" s="834" t="str">
        <f t="shared" si="97"/>
        <v>-</v>
      </c>
      <c r="CO77" s="830" t="str">
        <f t="shared" ca="1" si="98"/>
        <v>-</v>
      </c>
      <c r="CP77" s="831">
        <v>42958</v>
      </c>
      <c r="CQ77" s="832">
        <v>2</v>
      </c>
      <c r="CR77" s="833">
        <f t="shared" si="99"/>
        <v>42958</v>
      </c>
      <c r="CS77" s="833">
        <f t="shared" ca="1" si="100"/>
        <v>176</v>
      </c>
      <c r="CT77" s="834" t="str">
        <f t="shared" ca="1" si="101"/>
        <v>-</v>
      </c>
      <c r="CU77" s="835">
        <f t="shared" si="102"/>
        <v>42979</v>
      </c>
      <c r="CV77" s="831">
        <v>42980</v>
      </c>
      <c r="CW77" s="832">
        <v>2</v>
      </c>
      <c r="CX77" s="833">
        <f t="shared" si="103"/>
        <v>1</v>
      </c>
      <c r="CY77" s="840" t="str">
        <f t="shared" si="104"/>
        <v>-</v>
      </c>
      <c r="CZ77" s="833">
        <f t="shared" si="105"/>
        <v>42980</v>
      </c>
      <c r="DA77" s="838" t="str">
        <f t="shared" ca="1" si="106"/>
        <v>-</v>
      </c>
      <c r="DB77" s="841"/>
      <c r="DC77" s="832"/>
    </row>
    <row r="78" spans="1:107" s="842" customFormat="1" ht="15.95" customHeight="1" x14ac:dyDescent="0.25">
      <c r="A78" s="790">
        <v>76</v>
      </c>
      <c r="B78" s="791">
        <f t="shared" ca="1" si="54"/>
        <v>43134</v>
      </c>
      <c r="C78" s="271" t="s">
        <v>614</v>
      </c>
      <c r="D78" s="59" t="s">
        <v>3202</v>
      </c>
      <c r="E78" s="794" t="s">
        <v>1095</v>
      </c>
      <c r="F78" s="795" t="s">
        <v>2103</v>
      </c>
      <c r="G78" s="796">
        <f>SUMIFS(МОЛОКО!L8:L6958,МОЛОКО!F8:F6958,"2773",МОЛОКО!L8:L6958,"&gt;0")</f>
        <v>28.6</v>
      </c>
      <c r="H78" s="797" t="s">
        <v>603</v>
      </c>
      <c r="I78" s="798">
        <v>42351</v>
      </c>
      <c r="J78" s="799">
        <f t="shared" ca="1" si="55"/>
        <v>2.1452054794520548</v>
      </c>
      <c r="K78" s="799">
        <f t="shared" ca="1" si="56"/>
        <v>26.1</v>
      </c>
      <c r="L78" s="800">
        <f t="shared" ca="1" si="57"/>
        <v>783</v>
      </c>
      <c r="M78" s="801">
        <v>43030</v>
      </c>
      <c r="N78" s="802">
        <v>43030</v>
      </c>
      <c r="O78" s="803">
        <f t="shared" ca="1" si="58"/>
        <v>104</v>
      </c>
      <c r="P78" s="804">
        <v>1</v>
      </c>
      <c r="Q78" s="805"/>
      <c r="R78" s="806"/>
      <c r="S78" s="807"/>
      <c r="T78" s="798"/>
      <c r="U78" s="798" t="str">
        <f t="shared" si="59"/>
        <v>-</v>
      </c>
      <c r="V78" s="804" t="str">
        <f t="shared" ca="1" si="60"/>
        <v>-</v>
      </c>
      <c r="W78" s="808">
        <v>0</v>
      </c>
      <c r="X78" s="794" t="str">
        <f t="shared" si="61"/>
        <v>-</v>
      </c>
      <c r="Y78" s="794">
        <v>0</v>
      </c>
      <c r="Z78" s="809" t="str">
        <f t="shared" ca="1" si="62"/>
        <v>-----</v>
      </c>
      <c r="AA78" s="810">
        <f t="shared" ca="1" si="63"/>
        <v>43134</v>
      </c>
      <c r="AB78" s="804"/>
      <c r="AC78" s="811" t="str">
        <f t="shared" ca="1" si="64"/>
        <v>-----</v>
      </c>
      <c r="AD78" s="798"/>
      <c r="AE78" s="794" t="str">
        <f t="shared" ca="1" si="65"/>
        <v>-</v>
      </c>
      <c r="AF78" s="798" t="str">
        <f t="shared" si="66"/>
        <v>-</v>
      </c>
      <c r="AG78" s="812" t="str">
        <f t="shared" si="67"/>
        <v>---------</v>
      </c>
      <c r="AH78" s="807"/>
      <c r="AI78" s="807" t="str">
        <f t="shared" si="68"/>
        <v>-</v>
      </c>
      <c r="AJ78" s="807" t="str">
        <f t="shared" si="69"/>
        <v>-</v>
      </c>
      <c r="AK78" s="813"/>
      <c r="AL78" s="807" t="str">
        <f t="shared" si="70"/>
        <v>-</v>
      </c>
      <c r="AM78" s="807" t="str">
        <f t="shared" si="71"/>
        <v>-</v>
      </c>
      <c r="AN78" s="814" t="str">
        <f t="shared" ca="1" si="72"/>
        <v>-</v>
      </c>
      <c r="AO78" s="815">
        <v>1</v>
      </c>
      <c r="AP78" s="816" t="str">
        <f t="shared" ca="1" si="73"/>
        <v>-</v>
      </c>
      <c r="AQ78" s="817"/>
      <c r="AR78" s="794" t="str">
        <f t="shared" si="74"/>
        <v>-</v>
      </c>
      <c r="AS78" s="818"/>
      <c r="AT78" s="794" t="str">
        <f t="shared" si="75"/>
        <v>-</v>
      </c>
      <c r="AU78" s="819"/>
      <c r="AV78" s="820"/>
      <c r="AW78" s="821"/>
      <c r="AX78" s="821"/>
      <c r="AY78" s="969" t="str">
        <f t="shared" si="76"/>
        <v>-</v>
      </c>
      <c r="AZ78" s="966" t="str">
        <f t="shared" si="77"/>
        <v>-</v>
      </c>
      <c r="BA78" s="971" t="str">
        <f t="shared" si="78"/>
        <v>-</v>
      </c>
      <c r="BB78" s="975"/>
      <c r="BC78" s="821"/>
      <c r="BD78" s="821"/>
      <c r="BE78" s="963" t="str">
        <f t="shared" si="79"/>
        <v>-</v>
      </c>
      <c r="BF78" s="984"/>
      <c r="BG78" s="988"/>
      <c r="BH78" s="982"/>
      <c r="BI78" s="991"/>
      <c r="BJ78" s="991"/>
      <c r="BK78" s="993" t="str">
        <f t="shared" si="80"/>
        <v>-</v>
      </c>
      <c r="BL78" s="820">
        <v>42978</v>
      </c>
      <c r="BM78" s="821">
        <v>5</v>
      </c>
      <c r="BN78" s="822">
        <f t="shared" ca="1" si="81"/>
        <v>156</v>
      </c>
      <c r="BO78" s="823">
        <f t="shared" si="82"/>
        <v>20.9</v>
      </c>
      <c r="BP78" s="824"/>
      <c r="BQ78" s="821"/>
      <c r="BR78" s="822" t="str">
        <f t="shared" si="83"/>
        <v>-</v>
      </c>
      <c r="BS78" s="823" t="str">
        <f t="shared" si="84"/>
        <v>-</v>
      </c>
      <c r="BT78" s="825" t="str">
        <f t="shared" ca="1" si="85"/>
        <v>-</v>
      </c>
      <c r="BU78" s="826"/>
      <c r="BV78" s="827"/>
      <c r="BW78" s="828" t="str">
        <f t="shared" si="86"/>
        <v>Ж-Е НЕ ВАКЦ.</v>
      </c>
      <c r="BX78" s="829" t="str">
        <f t="shared" si="87"/>
        <v>-</v>
      </c>
      <c r="BY78" s="830" t="str">
        <f t="shared" ca="1" si="88"/>
        <v>-</v>
      </c>
      <c r="BZ78" s="831">
        <v>42894</v>
      </c>
      <c r="CA78" s="832">
        <v>5</v>
      </c>
      <c r="CB78" s="833">
        <f t="shared" ca="1" si="89"/>
        <v>240</v>
      </c>
      <c r="CC78" s="834" t="str">
        <f t="shared" ca="1" si="90"/>
        <v>-</v>
      </c>
      <c r="CD78" s="835">
        <f t="shared" si="91"/>
        <v>42915</v>
      </c>
      <c r="CE78" s="831">
        <v>42915</v>
      </c>
      <c r="CF78" s="832">
        <v>5</v>
      </c>
      <c r="CG78" s="833">
        <f t="shared" ca="1" si="92"/>
        <v>219</v>
      </c>
      <c r="CH78" s="836">
        <f t="shared" si="93"/>
        <v>0</v>
      </c>
      <c r="CI78" s="837" t="str">
        <f t="shared" si="94"/>
        <v>УСПЕШНО</v>
      </c>
      <c r="CJ78" s="838" t="str">
        <f t="shared" ca="1" si="95"/>
        <v>-</v>
      </c>
      <c r="CK78" s="831"/>
      <c r="CL78" s="832"/>
      <c r="CM78" s="833" t="str">
        <f t="shared" si="96"/>
        <v>-</v>
      </c>
      <c r="CN78" s="834" t="str">
        <f t="shared" si="97"/>
        <v>-</v>
      </c>
      <c r="CO78" s="830" t="str">
        <f t="shared" ca="1" si="98"/>
        <v>-</v>
      </c>
      <c r="CP78" s="831">
        <v>42958</v>
      </c>
      <c r="CQ78" s="832">
        <v>2</v>
      </c>
      <c r="CR78" s="833">
        <f t="shared" si="99"/>
        <v>42958</v>
      </c>
      <c r="CS78" s="833">
        <f t="shared" ca="1" si="100"/>
        <v>176</v>
      </c>
      <c r="CT78" s="834" t="str">
        <f t="shared" ca="1" si="101"/>
        <v>-</v>
      </c>
      <c r="CU78" s="835">
        <f t="shared" si="102"/>
        <v>42979</v>
      </c>
      <c r="CV78" s="831">
        <v>42980</v>
      </c>
      <c r="CW78" s="832">
        <v>2</v>
      </c>
      <c r="CX78" s="833">
        <f t="shared" si="103"/>
        <v>1</v>
      </c>
      <c r="CY78" s="840" t="str">
        <f t="shared" si="104"/>
        <v>-</v>
      </c>
      <c r="CZ78" s="833">
        <f t="shared" si="105"/>
        <v>42980</v>
      </c>
      <c r="DA78" s="838" t="str">
        <f t="shared" ca="1" si="106"/>
        <v>-</v>
      </c>
      <c r="DB78" s="841"/>
      <c r="DC78" s="832"/>
    </row>
    <row r="79" spans="1:107" s="842" customFormat="1" ht="15.95" customHeight="1" x14ac:dyDescent="0.25">
      <c r="A79" s="790">
        <v>77</v>
      </c>
      <c r="B79" s="791">
        <f t="shared" ca="1" si="54"/>
        <v>43134</v>
      </c>
      <c r="C79" s="271" t="s">
        <v>614</v>
      </c>
      <c r="D79" s="59" t="s">
        <v>3202</v>
      </c>
      <c r="E79" s="794" t="s">
        <v>1317</v>
      </c>
      <c r="F79" s="795" t="s">
        <v>1787</v>
      </c>
      <c r="G79" s="796">
        <f>SUMIFS(МОЛОКО!L8:L6958,МОЛОКО!F8:F6958,"2839",МОЛОКО!L8:L6958,"&gt;0")</f>
        <v>30.6</v>
      </c>
      <c r="H79" s="797" t="s">
        <v>603</v>
      </c>
      <c r="I79" s="798">
        <v>42413</v>
      </c>
      <c r="J79" s="799">
        <f t="shared" ca="1" si="55"/>
        <v>1.9753424657534246</v>
      </c>
      <c r="K79" s="799">
        <f t="shared" ca="1" si="56"/>
        <v>24.033333333333335</v>
      </c>
      <c r="L79" s="800">
        <f t="shared" ca="1" si="57"/>
        <v>721</v>
      </c>
      <c r="M79" s="801">
        <v>43006</v>
      </c>
      <c r="N79" s="802">
        <v>43006</v>
      </c>
      <c r="O79" s="803">
        <f t="shared" ca="1" si="58"/>
        <v>128</v>
      </c>
      <c r="P79" s="804">
        <v>1</v>
      </c>
      <c r="Q79" s="805"/>
      <c r="R79" s="806"/>
      <c r="S79" s="807"/>
      <c r="T79" s="798"/>
      <c r="U79" s="798" t="str">
        <f t="shared" si="59"/>
        <v>-</v>
      </c>
      <c r="V79" s="804" t="str">
        <f t="shared" ca="1" si="60"/>
        <v>-</v>
      </c>
      <c r="W79" s="808">
        <v>0</v>
      </c>
      <c r="X79" s="794" t="str">
        <f t="shared" si="61"/>
        <v>-</v>
      </c>
      <c r="Y79" s="794">
        <v>0</v>
      </c>
      <c r="Z79" s="809" t="str">
        <f t="shared" ca="1" si="62"/>
        <v>-----</v>
      </c>
      <c r="AA79" s="810">
        <f t="shared" ca="1" si="63"/>
        <v>43134</v>
      </c>
      <c r="AB79" s="804"/>
      <c r="AC79" s="811" t="str">
        <f t="shared" ca="1" si="64"/>
        <v>-----</v>
      </c>
      <c r="AD79" s="798"/>
      <c r="AE79" s="794" t="str">
        <f t="shared" ca="1" si="65"/>
        <v>яловая</v>
      </c>
      <c r="AF79" s="798" t="str">
        <f t="shared" si="66"/>
        <v>-</v>
      </c>
      <c r="AG79" s="812" t="str">
        <f t="shared" si="67"/>
        <v>---------</v>
      </c>
      <c r="AH79" s="807"/>
      <c r="AI79" s="807" t="str">
        <f t="shared" si="68"/>
        <v>-</v>
      </c>
      <c r="AJ79" s="807" t="str">
        <f t="shared" si="69"/>
        <v>-</v>
      </c>
      <c r="AK79" s="813"/>
      <c r="AL79" s="807" t="str">
        <f t="shared" si="70"/>
        <v>-</v>
      </c>
      <c r="AM79" s="807" t="str">
        <f t="shared" si="71"/>
        <v>-</v>
      </c>
      <c r="AN79" s="814" t="str">
        <f t="shared" ca="1" si="72"/>
        <v>-</v>
      </c>
      <c r="AO79" s="815">
        <v>1</v>
      </c>
      <c r="AP79" s="816" t="str">
        <f t="shared" ca="1" si="73"/>
        <v>-</v>
      </c>
      <c r="AQ79" s="817"/>
      <c r="AR79" s="794" t="str">
        <f t="shared" si="74"/>
        <v>-</v>
      </c>
      <c r="AS79" s="818"/>
      <c r="AT79" s="794" t="str">
        <f t="shared" si="75"/>
        <v>-</v>
      </c>
      <c r="AU79" s="819"/>
      <c r="AV79" s="820"/>
      <c r="AW79" s="821"/>
      <c r="AX79" s="821"/>
      <c r="AY79" s="969" t="str">
        <f t="shared" si="76"/>
        <v>-</v>
      </c>
      <c r="AZ79" s="966" t="str">
        <f t="shared" si="77"/>
        <v>-</v>
      </c>
      <c r="BA79" s="971" t="str">
        <f t="shared" si="78"/>
        <v>-</v>
      </c>
      <c r="BB79" s="975"/>
      <c r="BC79" s="821"/>
      <c r="BD79" s="821"/>
      <c r="BE79" s="963" t="str">
        <f t="shared" si="79"/>
        <v>-</v>
      </c>
      <c r="BF79" s="984"/>
      <c r="BG79" s="988"/>
      <c r="BH79" s="982"/>
      <c r="BI79" s="991"/>
      <c r="BJ79" s="991"/>
      <c r="BK79" s="993" t="str">
        <f t="shared" si="80"/>
        <v>-</v>
      </c>
      <c r="BL79" s="820">
        <v>42978</v>
      </c>
      <c r="BM79" s="821">
        <v>5</v>
      </c>
      <c r="BN79" s="822">
        <f t="shared" ca="1" si="81"/>
        <v>156</v>
      </c>
      <c r="BO79" s="823">
        <f t="shared" si="82"/>
        <v>18.833333333333332</v>
      </c>
      <c r="BP79" s="824"/>
      <c r="BQ79" s="821"/>
      <c r="BR79" s="822" t="str">
        <f t="shared" si="83"/>
        <v>-</v>
      </c>
      <c r="BS79" s="823" t="str">
        <f t="shared" si="84"/>
        <v>-</v>
      </c>
      <c r="BT79" s="825" t="str">
        <f t="shared" ca="1" si="85"/>
        <v>-</v>
      </c>
      <c r="BU79" s="826"/>
      <c r="BV79" s="827"/>
      <c r="BW79" s="828" t="str">
        <f t="shared" si="86"/>
        <v>Ж-Е НЕ ВАКЦ.</v>
      </c>
      <c r="BX79" s="829" t="str">
        <f t="shared" si="87"/>
        <v>-</v>
      </c>
      <c r="BY79" s="830" t="str">
        <f t="shared" ca="1" si="88"/>
        <v>-</v>
      </c>
      <c r="BZ79" s="831">
        <v>42894</v>
      </c>
      <c r="CA79" s="832">
        <v>5</v>
      </c>
      <c r="CB79" s="833">
        <f t="shared" ca="1" si="89"/>
        <v>240</v>
      </c>
      <c r="CC79" s="834" t="str">
        <f t="shared" ca="1" si="90"/>
        <v>-</v>
      </c>
      <c r="CD79" s="835">
        <f t="shared" si="91"/>
        <v>42915</v>
      </c>
      <c r="CE79" s="831">
        <v>42915</v>
      </c>
      <c r="CF79" s="832">
        <v>5</v>
      </c>
      <c r="CG79" s="833">
        <f t="shared" ca="1" si="92"/>
        <v>219</v>
      </c>
      <c r="CH79" s="836">
        <f t="shared" si="93"/>
        <v>0</v>
      </c>
      <c r="CI79" s="837" t="str">
        <f t="shared" si="94"/>
        <v>УСПЕШНО</v>
      </c>
      <c r="CJ79" s="838" t="str">
        <f t="shared" ca="1" si="95"/>
        <v>-</v>
      </c>
      <c r="CK79" s="831"/>
      <c r="CL79" s="832"/>
      <c r="CM79" s="833" t="str">
        <f t="shared" si="96"/>
        <v>-</v>
      </c>
      <c r="CN79" s="834" t="str">
        <f t="shared" si="97"/>
        <v>-</v>
      </c>
      <c r="CO79" s="830" t="str">
        <f t="shared" ca="1" si="98"/>
        <v>-</v>
      </c>
      <c r="CP79" s="831">
        <v>42958</v>
      </c>
      <c r="CQ79" s="832">
        <v>2</v>
      </c>
      <c r="CR79" s="833">
        <f t="shared" si="99"/>
        <v>42958</v>
      </c>
      <c r="CS79" s="833">
        <f t="shared" ca="1" si="100"/>
        <v>176</v>
      </c>
      <c r="CT79" s="834" t="str">
        <f t="shared" ca="1" si="101"/>
        <v>-</v>
      </c>
      <c r="CU79" s="835">
        <f t="shared" si="102"/>
        <v>42979</v>
      </c>
      <c r="CV79" s="831">
        <v>42980</v>
      </c>
      <c r="CW79" s="832">
        <v>2</v>
      </c>
      <c r="CX79" s="833">
        <f t="shared" si="103"/>
        <v>1</v>
      </c>
      <c r="CY79" s="840" t="str">
        <f t="shared" si="104"/>
        <v>-</v>
      </c>
      <c r="CZ79" s="833">
        <f t="shared" si="105"/>
        <v>42980</v>
      </c>
      <c r="DA79" s="838" t="str">
        <f t="shared" ca="1" si="106"/>
        <v>-</v>
      </c>
      <c r="DB79" s="841"/>
      <c r="DC79" s="832"/>
    </row>
    <row r="80" spans="1:107" s="842" customFormat="1" ht="15.95" customHeight="1" x14ac:dyDescent="0.25">
      <c r="A80" s="790">
        <v>78</v>
      </c>
      <c r="B80" s="791">
        <f t="shared" ca="1" si="54"/>
        <v>43134</v>
      </c>
      <c r="C80" s="792" t="s">
        <v>614</v>
      </c>
      <c r="D80" s="793" t="s">
        <v>3202</v>
      </c>
      <c r="E80" s="794" t="s">
        <v>849</v>
      </c>
      <c r="F80" s="795" t="s">
        <v>850</v>
      </c>
      <c r="G80" s="796">
        <f>SUMIFS(МОЛОКО!L8:L6958,МОЛОКО!F8:F6958,"7109",МОЛОКО!L8:L6958,"&gt;0")</f>
        <v>30.8</v>
      </c>
      <c r="H80" s="797" t="s">
        <v>721</v>
      </c>
      <c r="I80" s="798">
        <v>41041</v>
      </c>
      <c r="J80" s="799">
        <f t="shared" ca="1" si="55"/>
        <v>5.7342465753424658</v>
      </c>
      <c r="K80" s="799">
        <f t="shared" ca="1" si="56"/>
        <v>69.766666666666666</v>
      </c>
      <c r="L80" s="800">
        <f t="shared" ca="1" si="57"/>
        <v>2093</v>
      </c>
      <c r="M80" s="801">
        <v>41796</v>
      </c>
      <c r="N80" s="802">
        <v>42937</v>
      </c>
      <c r="O80" s="803">
        <f t="shared" ca="1" si="58"/>
        <v>197</v>
      </c>
      <c r="P80" s="804">
        <v>4</v>
      </c>
      <c r="Q80" s="68" t="s">
        <v>2366</v>
      </c>
      <c r="R80" s="118" t="s">
        <v>2962</v>
      </c>
      <c r="S80" s="807">
        <v>43028</v>
      </c>
      <c r="T80" s="798">
        <v>43028</v>
      </c>
      <c r="U80" s="798">
        <f t="shared" si="59"/>
        <v>43046</v>
      </c>
      <c r="V80" s="804">
        <f t="shared" ca="1" si="60"/>
        <v>88</v>
      </c>
      <c r="W80" s="808">
        <v>1</v>
      </c>
      <c r="X80" s="794">
        <f t="shared" si="61"/>
        <v>91</v>
      </c>
      <c r="Y80" s="794">
        <v>3</v>
      </c>
      <c r="Z80" s="809" t="str">
        <f t="shared" ca="1" si="62"/>
        <v>-----</v>
      </c>
      <c r="AA80" s="810">
        <f t="shared" ca="1" si="63"/>
        <v>106</v>
      </c>
      <c r="AB80" s="804"/>
      <c r="AC80" s="811" t="str">
        <f t="shared" ca="1" si="64"/>
        <v>-----</v>
      </c>
      <c r="AD80" s="798"/>
      <c r="AE80" s="794" t="str">
        <f t="shared" ca="1" si="65"/>
        <v>-</v>
      </c>
      <c r="AF80" s="798">
        <f t="shared" si="66"/>
        <v>43063</v>
      </c>
      <c r="AG80" s="812">
        <f t="shared" ca="1" si="67"/>
        <v>71</v>
      </c>
      <c r="AH80" s="807"/>
      <c r="AI80" s="807" t="str">
        <f t="shared" si="68"/>
        <v>-</v>
      </c>
      <c r="AJ80" s="807" t="str">
        <f t="shared" si="69"/>
        <v>-</v>
      </c>
      <c r="AK80" s="813"/>
      <c r="AL80" s="807" t="str">
        <f t="shared" si="70"/>
        <v>-</v>
      </c>
      <c r="AM80" s="807" t="str">
        <f t="shared" si="71"/>
        <v>-</v>
      </c>
      <c r="AN80" s="814" t="str">
        <f t="shared" ca="1" si="72"/>
        <v>-</v>
      </c>
      <c r="AO80" s="815">
        <v>1</v>
      </c>
      <c r="AP80" s="816" t="str">
        <f t="shared" ca="1" si="73"/>
        <v>-</v>
      </c>
      <c r="AQ80" s="817"/>
      <c r="AR80" s="794" t="str">
        <f t="shared" si="74"/>
        <v>-</v>
      </c>
      <c r="AS80" s="818"/>
      <c r="AT80" s="794" t="str">
        <f t="shared" si="75"/>
        <v>-</v>
      </c>
      <c r="AU80" s="819"/>
      <c r="AV80" s="820"/>
      <c r="AW80" s="821"/>
      <c r="AX80" s="821"/>
      <c r="AY80" s="969" t="str">
        <f t="shared" si="76"/>
        <v>-</v>
      </c>
      <c r="AZ80" s="966" t="str">
        <f t="shared" si="77"/>
        <v>-</v>
      </c>
      <c r="BA80" s="971" t="str">
        <f t="shared" si="78"/>
        <v>-</v>
      </c>
      <c r="BB80" s="975"/>
      <c r="BC80" s="821"/>
      <c r="BD80" s="821"/>
      <c r="BE80" s="963" t="str">
        <f t="shared" si="79"/>
        <v>-</v>
      </c>
      <c r="BF80" s="984"/>
      <c r="BG80" s="988"/>
      <c r="BH80" s="982"/>
      <c r="BI80" s="991"/>
      <c r="BJ80" s="991"/>
      <c r="BK80" s="993" t="str">
        <f t="shared" si="80"/>
        <v>-</v>
      </c>
      <c r="BL80" s="820">
        <v>42980</v>
      </c>
      <c r="BM80" s="821">
        <v>5</v>
      </c>
      <c r="BN80" s="822">
        <f t="shared" ca="1" si="81"/>
        <v>154</v>
      </c>
      <c r="BO80" s="823">
        <f t="shared" si="82"/>
        <v>64.63333333333334</v>
      </c>
      <c r="BP80" s="824"/>
      <c r="BQ80" s="821"/>
      <c r="BR80" s="822" t="str">
        <f t="shared" si="83"/>
        <v>-</v>
      </c>
      <c r="BS80" s="823" t="str">
        <f t="shared" si="84"/>
        <v>-</v>
      </c>
      <c r="BT80" s="825" t="str">
        <f t="shared" ca="1" si="85"/>
        <v>-</v>
      </c>
      <c r="BU80" s="826"/>
      <c r="BV80" s="827"/>
      <c r="BW80" s="828" t="str">
        <f t="shared" si="86"/>
        <v>Ж-Е НЕ ВАКЦ.</v>
      </c>
      <c r="BX80" s="829" t="str">
        <f t="shared" si="87"/>
        <v>-</v>
      </c>
      <c r="BY80" s="830" t="str">
        <f t="shared" ca="1" si="88"/>
        <v>-</v>
      </c>
      <c r="BZ80" s="831">
        <v>42964</v>
      </c>
      <c r="CA80" s="832">
        <v>5</v>
      </c>
      <c r="CB80" s="833">
        <f t="shared" ca="1" si="89"/>
        <v>170</v>
      </c>
      <c r="CC80" s="834" t="str">
        <f t="shared" ca="1" si="90"/>
        <v>-</v>
      </c>
      <c r="CD80" s="835">
        <f t="shared" si="91"/>
        <v>42985</v>
      </c>
      <c r="CE80" s="831">
        <v>42985</v>
      </c>
      <c r="CF80" s="832">
        <v>5</v>
      </c>
      <c r="CG80" s="833">
        <f t="shared" ca="1" si="92"/>
        <v>149</v>
      </c>
      <c r="CH80" s="836">
        <f t="shared" si="93"/>
        <v>0</v>
      </c>
      <c r="CI80" s="837" t="str">
        <f t="shared" si="94"/>
        <v>УСПЕШНО</v>
      </c>
      <c r="CJ80" s="838" t="str">
        <f t="shared" ca="1" si="95"/>
        <v>-</v>
      </c>
      <c r="CK80" s="831"/>
      <c r="CL80" s="832"/>
      <c r="CM80" s="833" t="str">
        <f t="shared" si="96"/>
        <v>-</v>
      </c>
      <c r="CN80" s="834" t="str">
        <f t="shared" si="97"/>
        <v>-</v>
      </c>
      <c r="CO80" s="830" t="str">
        <f t="shared" ca="1" si="98"/>
        <v>-</v>
      </c>
      <c r="CP80" s="831">
        <v>42882</v>
      </c>
      <c r="CQ80" s="832">
        <v>2</v>
      </c>
      <c r="CR80" s="833">
        <f t="shared" si="99"/>
        <v>-146</v>
      </c>
      <c r="CS80" s="833">
        <f t="shared" ca="1" si="100"/>
        <v>252</v>
      </c>
      <c r="CT80" s="834" t="str">
        <f t="shared" ca="1" si="101"/>
        <v>-</v>
      </c>
      <c r="CU80" s="835">
        <f t="shared" si="102"/>
        <v>42903</v>
      </c>
      <c r="CV80" s="831">
        <v>42903</v>
      </c>
      <c r="CW80" s="832">
        <v>2</v>
      </c>
      <c r="CX80" s="833">
        <f t="shared" si="103"/>
        <v>0</v>
      </c>
      <c r="CY80" s="840" t="str">
        <f t="shared" si="104"/>
        <v>УСПЕШНО</v>
      </c>
      <c r="CZ80" s="833">
        <f t="shared" si="105"/>
        <v>-125</v>
      </c>
      <c r="DA80" s="838" t="str">
        <f t="shared" ca="1" si="106"/>
        <v>-</v>
      </c>
      <c r="DB80" s="841"/>
      <c r="DC80" s="832"/>
    </row>
    <row r="81" spans="1:107" s="842" customFormat="1" ht="15.95" customHeight="1" x14ac:dyDescent="0.25">
      <c r="A81" s="790">
        <v>79</v>
      </c>
      <c r="B81" s="791">
        <f t="shared" ca="1" si="54"/>
        <v>43134</v>
      </c>
      <c r="C81" s="792" t="s">
        <v>614</v>
      </c>
      <c r="D81" s="793" t="s">
        <v>3202</v>
      </c>
      <c r="E81" s="794" t="s">
        <v>316</v>
      </c>
      <c r="F81" s="795" t="s">
        <v>1399</v>
      </c>
      <c r="G81" s="796">
        <f>SUMIFS(МОЛОКО!L8:L6958,МОЛОКО!F8:F6958,"13313",МОЛОКО!L8:L6958,"&gt;0")</f>
        <v>21.1</v>
      </c>
      <c r="H81" s="797" t="s">
        <v>87</v>
      </c>
      <c r="I81" s="798">
        <v>41559</v>
      </c>
      <c r="J81" s="799">
        <f t="shared" ca="1" si="55"/>
        <v>4.3150684931506849</v>
      </c>
      <c r="K81" s="799">
        <f t="shared" ca="1" si="56"/>
        <v>52.5</v>
      </c>
      <c r="L81" s="800">
        <f t="shared" ca="1" si="57"/>
        <v>1575</v>
      </c>
      <c r="M81" s="801">
        <v>42476</v>
      </c>
      <c r="N81" s="802">
        <v>42837</v>
      </c>
      <c r="O81" s="803">
        <f t="shared" ca="1" si="58"/>
        <v>297</v>
      </c>
      <c r="P81" s="804">
        <v>2</v>
      </c>
      <c r="Q81" s="68" t="s">
        <v>2366</v>
      </c>
      <c r="R81" s="806" t="s">
        <v>3020</v>
      </c>
      <c r="S81" s="807">
        <v>42901</v>
      </c>
      <c r="T81" s="798">
        <v>43027</v>
      </c>
      <c r="U81" s="798">
        <f t="shared" si="59"/>
        <v>43045</v>
      </c>
      <c r="V81" s="804">
        <f t="shared" ca="1" si="60"/>
        <v>89</v>
      </c>
      <c r="W81" s="808">
        <v>3</v>
      </c>
      <c r="X81" s="794">
        <f t="shared" si="61"/>
        <v>190</v>
      </c>
      <c r="Y81" s="794">
        <v>3</v>
      </c>
      <c r="Z81" s="809" t="str">
        <f t="shared" ca="1" si="62"/>
        <v>-----</v>
      </c>
      <c r="AA81" s="810">
        <f t="shared" ca="1" si="63"/>
        <v>107</v>
      </c>
      <c r="AB81" s="804"/>
      <c r="AC81" s="811" t="str">
        <f t="shared" ca="1" si="64"/>
        <v>-----</v>
      </c>
      <c r="AD81" s="798"/>
      <c r="AE81" s="794" t="str">
        <f t="shared" ca="1" si="65"/>
        <v>-</v>
      </c>
      <c r="AF81" s="798">
        <f t="shared" si="66"/>
        <v>43062</v>
      </c>
      <c r="AG81" s="812">
        <f t="shared" ca="1" si="67"/>
        <v>72</v>
      </c>
      <c r="AH81" s="807">
        <v>43020</v>
      </c>
      <c r="AI81" s="807" t="str">
        <f t="shared" si="68"/>
        <v>-</v>
      </c>
      <c r="AJ81" s="807" t="str">
        <f t="shared" si="69"/>
        <v>-</v>
      </c>
      <c r="AK81" s="813"/>
      <c r="AL81" s="807" t="str">
        <f t="shared" si="70"/>
        <v>-</v>
      </c>
      <c r="AM81" s="807" t="str">
        <f t="shared" si="71"/>
        <v>-</v>
      </c>
      <c r="AN81" s="814" t="str">
        <f t="shared" ca="1" si="72"/>
        <v>-</v>
      </c>
      <c r="AO81" s="815">
        <v>1</v>
      </c>
      <c r="AP81" s="816" t="str">
        <f t="shared" ca="1" si="73"/>
        <v>-</v>
      </c>
      <c r="AQ81" s="817"/>
      <c r="AR81" s="794" t="str">
        <f t="shared" si="74"/>
        <v>-</v>
      </c>
      <c r="AS81" s="818" t="s">
        <v>3021</v>
      </c>
      <c r="AT81" s="794" t="str">
        <f t="shared" si="75"/>
        <v>-</v>
      </c>
      <c r="AU81" s="819"/>
      <c r="AV81" s="820"/>
      <c r="AW81" s="821"/>
      <c r="AX81" s="821"/>
      <c r="AY81" s="969" t="str">
        <f t="shared" si="76"/>
        <v>-</v>
      </c>
      <c r="AZ81" s="966" t="str">
        <f t="shared" si="77"/>
        <v>-</v>
      </c>
      <c r="BA81" s="971" t="str">
        <f t="shared" si="78"/>
        <v>-</v>
      </c>
      <c r="BB81" s="975"/>
      <c r="BC81" s="821"/>
      <c r="BD81" s="821"/>
      <c r="BE81" s="963" t="str">
        <f t="shared" si="79"/>
        <v>-</v>
      </c>
      <c r="BF81" s="984">
        <v>43033</v>
      </c>
      <c r="BG81" s="988" t="s">
        <v>3353</v>
      </c>
      <c r="BH81" s="986" t="s">
        <v>3354</v>
      </c>
      <c r="BI81" s="991">
        <v>5</v>
      </c>
      <c r="BJ81" s="991" t="s">
        <v>3356</v>
      </c>
      <c r="BK81" s="993">
        <f t="shared" ca="1" si="80"/>
        <v>101</v>
      </c>
      <c r="BL81" s="820">
        <v>42980</v>
      </c>
      <c r="BM81" s="821">
        <v>5</v>
      </c>
      <c r="BN81" s="822">
        <f t="shared" ca="1" si="81"/>
        <v>154</v>
      </c>
      <c r="BO81" s="823">
        <f t="shared" si="82"/>
        <v>47.366666666666667</v>
      </c>
      <c r="BP81" s="824">
        <v>43001</v>
      </c>
      <c r="BQ81" s="821">
        <v>2</v>
      </c>
      <c r="BR81" s="822">
        <f t="shared" ca="1" si="83"/>
        <v>133</v>
      </c>
      <c r="BS81" s="823">
        <f t="shared" si="84"/>
        <v>17.5</v>
      </c>
      <c r="BT81" s="825" t="str">
        <f t="shared" ca="1" si="85"/>
        <v>-</v>
      </c>
      <c r="BU81" s="826"/>
      <c r="BV81" s="827"/>
      <c r="BW81" s="828" t="str">
        <f t="shared" si="86"/>
        <v>Ж-Е НЕ ВАКЦ.</v>
      </c>
      <c r="BX81" s="829" t="str">
        <f t="shared" si="87"/>
        <v>-</v>
      </c>
      <c r="BY81" s="830" t="str">
        <f t="shared" ca="1" si="88"/>
        <v>-</v>
      </c>
      <c r="BZ81" s="831">
        <v>42887</v>
      </c>
      <c r="CA81" s="832">
        <v>5</v>
      </c>
      <c r="CB81" s="833">
        <f t="shared" ca="1" si="89"/>
        <v>247</v>
      </c>
      <c r="CC81" s="834" t="str">
        <f t="shared" ca="1" si="90"/>
        <v>-</v>
      </c>
      <c r="CD81" s="835">
        <f t="shared" si="91"/>
        <v>42908</v>
      </c>
      <c r="CE81" s="831">
        <v>42908</v>
      </c>
      <c r="CF81" s="832">
        <v>5</v>
      </c>
      <c r="CG81" s="833">
        <f t="shared" ca="1" si="92"/>
        <v>226</v>
      </c>
      <c r="CH81" s="836">
        <f t="shared" si="93"/>
        <v>0</v>
      </c>
      <c r="CI81" s="837" t="str">
        <f t="shared" si="94"/>
        <v>УСПЕШНО</v>
      </c>
      <c r="CJ81" s="838" t="str">
        <f t="shared" ca="1" si="95"/>
        <v>-</v>
      </c>
      <c r="CK81" s="831"/>
      <c r="CL81" s="832"/>
      <c r="CM81" s="833" t="str">
        <f t="shared" si="96"/>
        <v>-</v>
      </c>
      <c r="CN81" s="834" t="str">
        <f t="shared" si="97"/>
        <v>-</v>
      </c>
      <c r="CO81" s="830" t="str">
        <f t="shared" ca="1" si="98"/>
        <v>-</v>
      </c>
      <c r="CP81" s="839"/>
      <c r="CQ81" s="832"/>
      <c r="CR81" s="833" t="str">
        <f t="shared" si="99"/>
        <v>-</v>
      </c>
      <c r="CS81" s="833" t="str">
        <f t="shared" si="100"/>
        <v>-</v>
      </c>
      <c r="CT81" s="834" t="str">
        <f t="shared" si="101"/>
        <v>-</v>
      </c>
      <c r="CU81" s="835" t="str">
        <f t="shared" si="102"/>
        <v>-</v>
      </c>
      <c r="CV81" s="839"/>
      <c r="CW81" s="832"/>
      <c r="CX81" s="833" t="str">
        <f t="shared" si="103"/>
        <v>-</v>
      </c>
      <c r="CY81" s="840" t="str">
        <f t="shared" si="104"/>
        <v>-</v>
      </c>
      <c r="CZ81" s="833" t="str">
        <f t="shared" si="105"/>
        <v>-</v>
      </c>
      <c r="DA81" s="838" t="str">
        <f t="shared" ca="1" si="106"/>
        <v>-</v>
      </c>
      <c r="DB81" s="841"/>
      <c r="DC81" s="832"/>
    </row>
    <row r="82" spans="1:107" s="842" customFormat="1" ht="15.95" customHeight="1" x14ac:dyDescent="0.25">
      <c r="A82" s="790">
        <v>80</v>
      </c>
      <c r="B82" s="791">
        <f t="shared" ca="1" si="54"/>
        <v>43134</v>
      </c>
      <c r="C82" s="792" t="s">
        <v>614</v>
      </c>
      <c r="D82" s="793" t="s">
        <v>3202</v>
      </c>
      <c r="E82" s="794" t="s">
        <v>568</v>
      </c>
      <c r="F82" s="795" t="s">
        <v>569</v>
      </c>
      <c r="G82" s="796">
        <f>SUMIFS(МОЛОКО!L8:L6958,МОЛОКО!F8:F6958,"277270",МОЛОКО!L8:L6958,"&gt;0")</f>
        <v>49.4</v>
      </c>
      <c r="H82" s="797" t="s">
        <v>78</v>
      </c>
      <c r="I82" s="798">
        <v>41334</v>
      </c>
      <c r="J82" s="799">
        <f t="shared" ca="1" si="55"/>
        <v>4.9315068493150687</v>
      </c>
      <c r="K82" s="799">
        <f t="shared" ca="1" si="56"/>
        <v>60</v>
      </c>
      <c r="L82" s="800">
        <f t="shared" ca="1" si="57"/>
        <v>1800</v>
      </c>
      <c r="M82" s="801">
        <v>42157</v>
      </c>
      <c r="N82" s="802">
        <v>42970</v>
      </c>
      <c r="O82" s="803">
        <f t="shared" ca="1" si="58"/>
        <v>164</v>
      </c>
      <c r="P82" s="804">
        <v>3</v>
      </c>
      <c r="Q82" s="68" t="s">
        <v>1451</v>
      </c>
      <c r="R82" s="118" t="s">
        <v>2966</v>
      </c>
      <c r="S82" s="807">
        <v>43034</v>
      </c>
      <c r="T82" s="798">
        <v>43034</v>
      </c>
      <c r="U82" s="798">
        <f t="shared" si="59"/>
        <v>43052</v>
      </c>
      <c r="V82" s="804">
        <f t="shared" ca="1" si="60"/>
        <v>82</v>
      </c>
      <c r="W82" s="808">
        <v>1</v>
      </c>
      <c r="X82" s="794">
        <f t="shared" si="61"/>
        <v>64</v>
      </c>
      <c r="Y82" s="794">
        <v>3</v>
      </c>
      <c r="Z82" s="809" t="str">
        <f t="shared" ca="1" si="62"/>
        <v>-----</v>
      </c>
      <c r="AA82" s="810">
        <f t="shared" ca="1" si="63"/>
        <v>100</v>
      </c>
      <c r="AB82" s="804"/>
      <c r="AC82" s="811" t="str">
        <f t="shared" ca="1" si="64"/>
        <v>-----</v>
      </c>
      <c r="AD82" s="798"/>
      <c r="AE82" s="794" t="str">
        <f t="shared" ca="1" si="65"/>
        <v>-</v>
      </c>
      <c r="AF82" s="798">
        <f t="shared" si="66"/>
        <v>43069</v>
      </c>
      <c r="AG82" s="812">
        <f t="shared" ca="1" si="67"/>
        <v>65</v>
      </c>
      <c r="AH82" s="807"/>
      <c r="AI82" s="807" t="str">
        <f t="shared" si="68"/>
        <v>-</v>
      </c>
      <c r="AJ82" s="807" t="str">
        <f t="shared" si="69"/>
        <v>-</v>
      </c>
      <c r="AK82" s="813"/>
      <c r="AL82" s="807" t="str">
        <f t="shared" si="70"/>
        <v>-</v>
      </c>
      <c r="AM82" s="807" t="str">
        <f t="shared" si="71"/>
        <v>-</v>
      </c>
      <c r="AN82" s="814" t="str">
        <f t="shared" ca="1" si="72"/>
        <v>-</v>
      </c>
      <c r="AO82" s="815">
        <v>1</v>
      </c>
      <c r="AP82" s="816" t="str">
        <f t="shared" ca="1" si="73"/>
        <v>-</v>
      </c>
      <c r="AQ82" s="817"/>
      <c r="AR82" s="794" t="str">
        <f t="shared" si="74"/>
        <v>-</v>
      </c>
      <c r="AS82" s="818"/>
      <c r="AT82" s="794" t="str">
        <f t="shared" si="75"/>
        <v>-</v>
      </c>
      <c r="AU82" s="819"/>
      <c r="AV82" s="820"/>
      <c r="AW82" s="821"/>
      <c r="AX82" s="821"/>
      <c r="AY82" s="969" t="str">
        <f t="shared" si="76"/>
        <v>-</v>
      </c>
      <c r="AZ82" s="966" t="str">
        <f t="shared" si="77"/>
        <v>-</v>
      </c>
      <c r="BA82" s="971" t="str">
        <f t="shared" si="78"/>
        <v>-</v>
      </c>
      <c r="BB82" s="975"/>
      <c r="BC82" s="821"/>
      <c r="BD82" s="821"/>
      <c r="BE82" s="963" t="str">
        <f t="shared" si="79"/>
        <v>-</v>
      </c>
      <c r="BF82" s="984"/>
      <c r="BG82" s="988"/>
      <c r="BH82" s="982"/>
      <c r="BI82" s="991"/>
      <c r="BJ82" s="991"/>
      <c r="BK82" s="993" t="str">
        <f t="shared" si="80"/>
        <v>-</v>
      </c>
      <c r="BL82" s="820">
        <v>42982</v>
      </c>
      <c r="BM82" s="821">
        <v>5</v>
      </c>
      <c r="BN82" s="822">
        <f t="shared" ca="1" si="81"/>
        <v>152</v>
      </c>
      <c r="BO82" s="823">
        <f t="shared" si="82"/>
        <v>54.93333333333333</v>
      </c>
      <c r="BP82" s="824"/>
      <c r="BQ82" s="821"/>
      <c r="BR82" s="822" t="str">
        <f t="shared" si="83"/>
        <v>-</v>
      </c>
      <c r="BS82" s="823" t="str">
        <f t="shared" si="84"/>
        <v>-</v>
      </c>
      <c r="BT82" s="825" t="str">
        <f t="shared" ca="1" si="85"/>
        <v>-</v>
      </c>
      <c r="BU82" s="826"/>
      <c r="BV82" s="827"/>
      <c r="BW82" s="828" t="str">
        <f t="shared" si="86"/>
        <v>Ж-Е НЕ ВАКЦ.</v>
      </c>
      <c r="BX82" s="829" t="str">
        <f t="shared" si="87"/>
        <v>-</v>
      </c>
      <c r="BY82" s="830" t="str">
        <f t="shared" ca="1" si="88"/>
        <v>-</v>
      </c>
      <c r="BZ82" s="831">
        <v>42887</v>
      </c>
      <c r="CA82" s="832">
        <v>5</v>
      </c>
      <c r="CB82" s="833">
        <f t="shared" ca="1" si="89"/>
        <v>247</v>
      </c>
      <c r="CC82" s="834" t="str">
        <f t="shared" ca="1" si="90"/>
        <v>-</v>
      </c>
      <c r="CD82" s="835">
        <f t="shared" si="91"/>
        <v>42908</v>
      </c>
      <c r="CE82" s="831">
        <v>42908</v>
      </c>
      <c r="CF82" s="832">
        <v>5</v>
      </c>
      <c r="CG82" s="833">
        <f t="shared" ca="1" si="92"/>
        <v>226</v>
      </c>
      <c r="CH82" s="836">
        <f t="shared" si="93"/>
        <v>0</v>
      </c>
      <c r="CI82" s="837" t="str">
        <f t="shared" si="94"/>
        <v>УСПЕШНО</v>
      </c>
      <c r="CJ82" s="838" t="str">
        <f t="shared" ca="1" si="95"/>
        <v>-</v>
      </c>
      <c r="CK82" s="831"/>
      <c r="CL82" s="832"/>
      <c r="CM82" s="833" t="str">
        <f t="shared" si="96"/>
        <v>-</v>
      </c>
      <c r="CN82" s="834" t="str">
        <f t="shared" si="97"/>
        <v>-</v>
      </c>
      <c r="CO82" s="830" t="str">
        <f t="shared" ca="1" si="98"/>
        <v>-</v>
      </c>
      <c r="CP82" s="831">
        <v>42925</v>
      </c>
      <c r="CQ82" s="832">
        <v>2</v>
      </c>
      <c r="CR82" s="833">
        <f t="shared" si="99"/>
        <v>-109</v>
      </c>
      <c r="CS82" s="833">
        <f t="shared" ca="1" si="100"/>
        <v>209</v>
      </c>
      <c r="CT82" s="834" t="str">
        <f t="shared" ca="1" si="101"/>
        <v>-</v>
      </c>
      <c r="CU82" s="835">
        <f t="shared" si="102"/>
        <v>42946</v>
      </c>
      <c r="CV82" s="831">
        <v>42946</v>
      </c>
      <c r="CW82" s="832">
        <v>2</v>
      </c>
      <c r="CX82" s="833">
        <f t="shared" si="103"/>
        <v>0</v>
      </c>
      <c r="CY82" s="840" t="str">
        <f t="shared" si="104"/>
        <v>УСПЕШНО</v>
      </c>
      <c r="CZ82" s="833">
        <f t="shared" si="105"/>
        <v>-88</v>
      </c>
      <c r="DA82" s="838" t="str">
        <f t="shared" ca="1" si="106"/>
        <v>-</v>
      </c>
      <c r="DB82" s="841"/>
      <c r="DC82" s="832"/>
    </row>
    <row r="83" spans="1:107" s="842" customFormat="1" ht="15.95" customHeight="1" x14ac:dyDescent="0.25">
      <c r="A83" s="790">
        <v>81</v>
      </c>
      <c r="B83" s="791">
        <f t="shared" ca="1" si="54"/>
        <v>43134</v>
      </c>
      <c r="C83" s="792" t="s">
        <v>614</v>
      </c>
      <c r="D83" s="793" t="s">
        <v>3203</v>
      </c>
      <c r="E83" s="794" t="s">
        <v>196</v>
      </c>
      <c r="F83" s="795" t="s">
        <v>1416</v>
      </c>
      <c r="G83" s="796">
        <f>SUMIFS(МОЛОКО!L8:L6958,МОЛОКО!F8:F6958,"75",МОЛОКО!L8:L6958,"&gt;0")</f>
        <v>21.5</v>
      </c>
      <c r="H83" s="797" t="s">
        <v>603</v>
      </c>
      <c r="I83" s="798">
        <v>41299</v>
      </c>
      <c r="J83" s="799">
        <f t="shared" ca="1" si="55"/>
        <v>5.0273972602739727</v>
      </c>
      <c r="K83" s="799">
        <f t="shared" ca="1" si="56"/>
        <v>61.166666666666664</v>
      </c>
      <c r="L83" s="800">
        <f t="shared" ca="1" si="57"/>
        <v>1835</v>
      </c>
      <c r="M83" s="801">
        <v>41307</v>
      </c>
      <c r="N83" s="802">
        <v>42799</v>
      </c>
      <c r="O83" s="803">
        <f t="shared" ca="1" si="58"/>
        <v>335</v>
      </c>
      <c r="P83" s="804">
        <v>3</v>
      </c>
      <c r="Q83" s="805" t="s">
        <v>2366</v>
      </c>
      <c r="R83" s="806" t="s">
        <v>2663</v>
      </c>
      <c r="S83" s="807">
        <v>42866</v>
      </c>
      <c r="T83" s="798">
        <v>42866</v>
      </c>
      <c r="U83" s="798" t="str">
        <f t="shared" si="59"/>
        <v>-</v>
      </c>
      <c r="V83" s="804" t="str">
        <f t="shared" ca="1" si="60"/>
        <v>-</v>
      </c>
      <c r="W83" s="808">
        <v>1</v>
      </c>
      <c r="X83" s="794">
        <f t="shared" si="61"/>
        <v>67</v>
      </c>
      <c r="Y83" s="794">
        <v>1</v>
      </c>
      <c r="Z83" s="809" t="str">
        <f t="shared" ca="1" si="62"/>
        <v>-----</v>
      </c>
      <c r="AA83" s="810" t="str">
        <f t="shared" ca="1" si="63"/>
        <v>-----</v>
      </c>
      <c r="AB83" s="804">
        <v>1</v>
      </c>
      <c r="AC83" s="811" t="str">
        <f t="shared" ca="1" si="64"/>
        <v>-----</v>
      </c>
      <c r="AD83" s="798">
        <v>42935</v>
      </c>
      <c r="AE83" s="794" t="str">
        <f t="shared" ca="1" si="65"/>
        <v>-</v>
      </c>
      <c r="AF83" s="798" t="str">
        <f t="shared" si="66"/>
        <v>-</v>
      </c>
      <c r="AG83" s="812" t="str">
        <f t="shared" si="67"/>
        <v>---------</v>
      </c>
      <c r="AH83" s="807">
        <v>42900</v>
      </c>
      <c r="AI83" s="807">
        <f t="shared" si="68"/>
        <v>43056</v>
      </c>
      <c r="AJ83" s="807">
        <f t="shared" si="69"/>
        <v>43086</v>
      </c>
      <c r="AK83" s="813"/>
      <c r="AL83" s="807">
        <f t="shared" si="70"/>
        <v>43125</v>
      </c>
      <c r="AM83" s="807">
        <f t="shared" si="71"/>
        <v>43146</v>
      </c>
      <c r="AN83" s="814">
        <f t="shared" ca="1" si="72"/>
        <v>-12</v>
      </c>
      <c r="AO83" s="815">
        <v>1</v>
      </c>
      <c r="AP83" s="816" t="str">
        <f t="shared" ca="1" si="73"/>
        <v>-</v>
      </c>
      <c r="AQ83" s="817"/>
      <c r="AR83" s="794" t="str">
        <f t="shared" si="74"/>
        <v>-</v>
      </c>
      <c r="AS83" s="818"/>
      <c r="AT83" s="794" t="str">
        <f t="shared" si="75"/>
        <v>-</v>
      </c>
      <c r="AU83" s="819"/>
      <c r="AV83" s="820"/>
      <c r="AW83" s="821"/>
      <c r="AX83" s="821"/>
      <c r="AY83" s="969" t="str">
        <f t="shared" si="76"/>
        <v>-</v>
      </c>
      <c r="AZ83" s="966" t="str">
        <f t="shared" si="77"/>
        <v>-</v>
      </c>
      <c r="BA83" s="971" t="str">
        <f t="shared" si="78"/>
        <v>-</v>
      </c>
      <c r="BB83" s="975"/>
      <c r="BC83" s="821"/>
      <c r="BD83" s="821"/>
      <c r="BE83" s="963" t="str">
        <f t="shared" si="79"/>
        <v>-</v>
      </c>
      <c r="BF83" s="984"/>
      <c r="BG83" s="988"/>
      <c r="BH83" s="982"/>
      <c r="BI83" s="991"/>
      <c r="BJ83" s="991"/>
      <c r="BK83" s="993" t="str">
        <f t="shared" si="80"/>
        <v>-</v>
      </c>
      <c r="BL83" s="820">
        <v>42979</v>
      </c>
      <c r="BM83" s="821">
        <v>5</v>
      </c>
      <c r="BN83" s="822">
        <f t="shared" ca="1" si="81"/>
        <v>155</v>
      </c>
      <c r="BO83" s="823">
        <f t="shared" si="82"/>
        <v>56</v>
      </c>
      <c r="BP83" s="824"/>
      <c r="BQ83" s="821"/>
      <c r="BR83" s="822" t="str">
        <f t="shared" si="83"/>
        <v>-</v>
      </c>
      <c r="BS83" s="823" t="str">
        <f t="shared" si="84"/>
        <v>-</v>
      </c>
      <c r="BT83" s="825" t="str">
        <f t="shared" ca="1" si="85"/>
        <v>-</v>
      </c>
      <c r="BU83" s="826"/>
      <c r="BV83" s="827"/>
      <c r="BW83" s="828" t="str">
        <f t="shared" si="86"/>
        <v>Ж-Е НЕ ВАКЦ.</v>
      </c>
      <c r="BX83" s="829" t="str">
        <f t="shared" si="87"/>
        <v>-</v>
      </c>
      <c r="BY83" s="830" t="str">
        <f t="shared" ca="1" si="88"/>
        <v>-</v>
      </c>
      <c r="BZ83" s="831">
        <v>42887</v>
      </c>
      <c r="CA83" s="832">
        <v>5</v>
      </c>
      <c r="CB83" s="833">
        <f t="shared" ca="1" si="89"/>
        <v>247</v>
      </c>
      <c r="CC83" s="834" t="str">
        <f t="shared" ca="1" si="90"/>
        <v>-</v>
      </c>
      <c r="CD83" s="835">
        <f t="shared" si="91"/>
        <v>42908</v>
      </c>
      <c r="CE83" s="831">
        <v>42908</v>
      </c>
      <c r="CF83" s="832">
        <v>5</v>
      </c>
      <c r="CG83" s="833">
        <f t="shared" ca="1" si="92"/>
        <v>226</v>
      </c>
      <c r="CH83" s="836">
        <f t="shared" si="93"/>
        <v>0</v>
      </c>
      <c r="CI83" s="837" t="str">
        <f t="shared" si="94"/>
        <v>УСПЕШНО</v>
      </c>
      <c r="CJ83" s="838" t="str">
        <f t="shared" ca="1" si="95"/>
        <v>-</v>
      </c>
      <c r="CK83" s="831"/>
      <c r="CL83" s="832"/>
      <c r="CM83" s="833" t="str">
        <f t="shared" si="96"/>
        <v>-</v>
      </c>
      <c r="CN83" s="834" t="str">
        <f t="shared" si="97"/>
        <v>-</v>
      </c>
      <c r="CO83" s="830" t="str">
        <f t="shared" ca="1" si="98"/>
        <v>ТРЕБУЕТСЯ ВАКЦИНАЦИЯ</v>
      </c>
      <c r="CP83" s="839"/>
      <c r="CQ83" s="832"/>
      <c r="CR83" s="833" t="str">
        <f t="shared" si="99"/>
        <v>-</v>
      </c>
      <c r="CS83" s="833" t="str">
        <f t="shared" si="100"/>
        <v>-</v>
      </c>
      <c r="CT83" s="834" t="str">
        <f t="shared" si="101"/>
        <v>-</v>
      </c>
      <c r="CU83" s="835" t="str">
        <f t="shared" si="102"/>
        <v>-</v>
      </c>
      <c r="CV83" s="839"/>
      <c r="CW83" s="832"/>
      <c r="CX83" s="833" t="str">
        <f t="shared" si="103"/>
        <v>-</v>
      </c>
      <c r="CY83" s="840" t="str">
        <f t="shared" si="104"/>
        <v>-</v>
      </c>
      <c r="CZ83" s="833" t="str">
        <f t="shared" si="105"/>
        <v>-</v>
      </c>
      <c r="DA83" s="838" t="str">
        <f t="shared" ca="1" si="106"/>
        <v>-</v>
      </c>
      <c r="DB83" s="841"/>
      <c r="DC83" s="832"/>
    </row>
    <row r="84" spans="1:107" s="842" customFormat="1" ht="15.95" customHeight="1" x14ac:dyDescent="0.25">
      <c r="A84" s="790">
        <v>82</v>
      </c>
      <c r="B84" s="791">
        <f t="shared" ca="1" si="54"/>
        <v>43134</v>
      </c>
      <c r="C84" s="792" t="s">
        <v>614</v>
      </c>
      <c r="D84" s="59" t="s">
        <v>3203</v>
      </c>
      <c r="E84" s="794" t="s">
        <v>788</v>
      </c>
      <c r="F84" s="795" t="s">
        <v>789</v>
      </c>
      <c r="G84" s="796">
        <f>SUMIFS(МОЛОКО!L8:L6958,МОЛОКО!F8:F6958,"698",МОЛОКО!L8:L6958,"&gt;0")</f>
        <v>26.2</v>
      </c>
      <c r="H84" s="797" t="s">
        <v>603</v>
      </c>
      <c r="I84" s="798">
        <v>39956</v>
      </c>
      <c r="J84" s="799">
        <f t="shared" ca="1" si="55"/>
        <v>8.706849315068494</v>
      </c>
      <c r="K84" s="799">
        <f t="shared" ca="1" si="56"/>
        <v>105.93333333333334</v>
      </c>
      <c r="L84" s="800">
        <f t="shared" ca="1" si="57"/>
        <v>3178</v>
      </c>
      <c r="M84" s="801">
        <v>40901</v>
      </c>
      <c r="N84" s="802">
        <v>42882</v>
      </c>
      <c r="O84" s="803">
        <f t="shared" ca="1" si="58"/>
        <v>252</v>
      </c>
      <c r="P84" s="804">
        <v>6</v>
      </c>
      <c r="Q84" s="805" t="s">
        <v>2366</v>
      </c>
      <c r="R84" s="806" t="s">
        <v>2962</v>
      </c>
      <c r="S84" s="807">
        <v>42943</v>
      </c>
      <c r="T84" s="798">
        <v>42943</v>
      </c>
      <c r="U84" s="798" t="str">
        <f t="shared" si="59"/>
        <v>-</v>
      </c>
      <c r="V84" s="804" t="str">
        <f t="shared" ca="1" si="60"/>
        <v>-</v>
      </c>
      <c r="W84" s="808">
        <v>1</v>
      </c>
      <c r="X84" s="794">
        <f t="shared" si="61"/>
        <v>61</v>
      </c>
      <c r="Y84" s="794">
        <v>1</v>
      </c>
      <c r="Z84" s="809" t="str">
        <f t="shared" ca="1" si="62"/>
        <v>-----</v>
      </c>
      <c r="AA84" s="810" t="str">
        <f t="shared" ca="1" si="63"/>
        <v>-----</v>
      </c>
      <c r="AB84" s="804">
        <v>1</v>
      </c>
      <c r="AC84" s="811" t="str">
        <f t="shared" ca="1" si="64"/>
        <v>-----</v>
      </c>
      <c r="AD84" s="798">
        <v>43030</v>
      </c>
      <c r="AE84" s="794" t="str">
        <f t="shared" ca="1" si="65"/>
        <v>-</v>
      </c>
      <c r="AF84" s="798" t="str">
        <f t="shared" si="66"/>
        <v>-</v>
      </c>
      <c r="AG84" s="812" t="str">
        <f t="shared" si="67"/>
        <v>---------</v>
      </c>
      <c r="AH84" s="807">
        <v>42975</v>
      </c>
      <c r="AI84" s="807">
        <f t="shared" si="68"/>
        <v>43133</v>
      </c>
      <c r="AJ84" s="807">
        <f t="shared" si="69"/>
        <v>43163</v>
      </c>
      <c r="AK84" s="813"/>
      <c r="AL84" s="807">
        <f t="shared" si="70"/>
        <v>43202</v>
      </c>
      <c r="AM84" s="807">
        <f t="shared" si="71"/>
        <v>43223</v>
      </c>
      <c r="AN84" s="814">
        <f t="shared" ca="1" si="72"/>
        <v>-89</v>
      </c>
      <c r="AO84" s="815">
        <v>1</v>
      </c>
      <c r="AP84" s="816" t="str">
        <f t="shared" ca="1" si="73"/>
        <v>-</v>
      </c>
      <c r="AQ84" s="817"/>
      <c r="AR84" s="794" t="str">
        <f t="shared" si="74"/>
        <v>-</v>
      </c>
      <c r="AS84" s="818"/>
      <c r="AT84" s="794" t="str">
        <f t="shared" si="75"/>
        <v>-</v>
      </c>
      <c r="AU84" s="819"/>
      <c r="AV84" s="820"/>
      <c r="AW84" s="821"/>
      <c r="AX84" s="821"/>
      <c r="AY84" s="969" t="str">
        <f t="shared" si="76"/>
        <v>-</v>
      </c>
      <c r="AZ84" s="966" t="str">
        <f t="shared" si="77"/>
        <v>-</v>
      </c>
      <c r="BA84" s="971" t="str">
        <f t="shared" si="78"/>
        <v>-</v>
      </c>
      <c r="BB84" s="975"/>
      <c r="BC84" s="821"/>
      <c r="BD84" s="821"/>
      <c r="BE84" s="963" t="str">
        <f t="shared" si="79"/>
        <v>-</v>
      </c>
      <c r="BF84" s="984"/>
      <c r="BG84" s="988"/>
      <c r="BH84" s="982"/>
      <c r="BI84" s="991"/>
      <c r="BJ84" s="991"/>
      <c r="BK84" s="993" t="str">
        <f t="shared" si="80"/>
        <v>-</v>
      </c>
      <c r="BL84" s="820">
        <v>42980</v>
      </c>
      <c r="BM84" s="821">
        <v>5</v>
      </c>
      <c r="BN84" s="822">
        <f t="shared" ca="1" si="81"/>
        <v>154</v>
      </c>
      <c r="BO84" s="823">
        <f t="shared" si="82"/>
        <v>100.8</v>
      </c>
      <c r="BP84" s="824"/>
      <c r="BQ84" s="821"/>
      <c r="BR84" s="822" t="str">
        <f t="shared" si="83"/>
        <v>-</v>
      </c>
      <c r="BS84" s="823" t="str">
        <f t="shared" si="84"/>
        <v>-</v>
      </c>
      <c r="BT84" s="825" t="str">
        <f t="shared" ca="1" si="85"/>
        <v>-</v>
      </c>
      <c r="BU84" s="826"/>
      <c r="BV84" s="827"/>
      <c r="BW84" s="828" t="str">
        <f t="shared" si="86"/>
        <v>Ж-Е НЕ ВАКЦ.</v>
      </c>
      <c r="BX84" s="829" t="str">
        <f t="shared" si="87"/>
        <v>-</v>
      </c>
      <c r="BY84" s="830" t="str">
        <f t="shared" ca="1" si="88"/>
        <v>-</v>
      </c>
      <c r="BZ84" s="831">
        <v>42904</v>
      </c>
      <c r="CA84" s="832">
        <v>5</v>
      </c>
      <c r="CB84" s="833">
        <f t="shared" ca="1" si="89"/>
        <v>230</v>
      </c>
      <c r="CC84" s="834" t="str">
        <f t="shared" ca="1" si="90"/>
        <v>-</v>
      </c>
      <c r="CD84" s="835">
        <f t="shared" si="91"/>
        <v>42925</v>
      </c>
      <c r="CE84" s="831">
        <v>42925</v>
      </c>
      <c r="CF84" s="832">
        <v>5</v>
      </c>
      <c r="CG84" s="833">
        <f t="shared" ca="1" si="92"/>
        <v>209</v>
      </c>
      <c r="CH84" s="836">
        <f t="shared" si="93"/>
        <v>0</v>
      </c>
      <c r="CI84" s="837" t="str">
        <f t="shared" si="94"/>
        <v>УСПЕШНО</v>
      </c>
      <c r="CJ84" s="838" t="str">
        <f t="shared" ca="1" si="95"/>
        <v>-</v>
      </c>
      <c r="CK84" s="831"/>
      <c r="CL84" s="832"/>
      <c r="CM84" s="833" t="str">
        <f t="shared" si="96"/>
        <v>-</v>
      </c>
      <c r="CN84" s="834" t="str">
        <f t="shared" si="97"/>
        <v>-</v>
      </c>
      <c r="CO84" s="830" t="str">
        <f t="shared" ca="1" si="98"/>
        <v>-</v>
      </c>
      <c r="CP84" s="839"/>
      <c r="CQ84" s="832"/>
      <c r="CR84" s="833" t="str">
        <f t="shared" si="99"/>
        <v>-</v>
      </c>
      <c r="CS84" s="833" t="str">
        <f t="shared" si="100"/>
        <v>-</v>
      </c>
      <c r="CT84" s="834" t="str">
        <f t="shared" si="101"/>
        <v>-</v>
      </c>
      <c r="CU84" s="835" t="str">
        <f t="shared" si="102"/>
        <v>-</v>
      </c>
      <c r="CV84" s="839"/>
      <c r="CW84" s="832"/>
      <c r="CX84" s="833" t="str">
        <f t="shared" si="103"/>
        <v>-</v>
      </c>
      <c r="CY84" s="840" t="str">
        <f t="shared" si="104"/>
        <v>-</v>
      </c>
      <c r="CZ84" s="833" t="str">
        <f t="shared" si="105"/>
        <v>-</v>
      </c>
      <c r="DA84" s="838" t="str">
        <f t="shared" ca="1" si="106"/>
        <v>-</v>
      </c>
      <c r="DB84" s="841"/>
      <c r="DC84" s="832"/>
    </row>
    <row r="85" spans="1:107" s="842" customFormat="1" ht="15.95" customHeight="1" x14ac:dyDescent="0.25">
      <c r="A85" s="790">
        <v>83</v>
      </c>
      <c r="B85" s="791">
        <f t="shared" ca="1" si="54"/>
        <v>43134</v>
      </c>
      <c r="C85" s="792" t="s">
        <v>614</v>
      </c>
      <c r="D85" s="793" t="s">
        <v>3203</v>
      </c>
      <c r="E85" s="794" t="s">
        <v>108</v>
      </c>
      <c r="F85" s="795" t="s">
        <v>109</v>
      </c>
      <c r="G85" s="796">
        <f>SUMIFS(МОЛОКО!L8:L6958,МОЛОКО!F8:F6958,"1170",МОЛОКО!L8:L6958,"&gt;0")</f>
        <v>29.9</v>
      </c>
      <c r="H85" s="797" t="s">
        <v>603</v>
      </c>
      <c r="I85" s="798">
        <v>40558</v>
      </c>
      <c r="J85" s="799">
        <f t="shared" ca="1" si="55"/>
        <v>7.0575342465753428</v>
      </c>
      <c r="K85" s="799">
        <f t="shared" ca="1" si="56"/>
        <v>85.86666666666666</v>
      </c>
      <c r="L85" s="800">
        <f t="shared" ca="1" si="57"/>
        <v>2576</v>
      </c>
      <c r="M85" s="801">
        <v>41595</v>
      </c>
      <c r="N85" s="802">
        <v>42941</v>
      </c>
      <c r="O85" s="803">
        <f t="shared" ca="1" si="58"/>
        <v>193</v>
      </c>
      <c r="P85" s="804">
        <v>4</v>
      </c>
      <c r="Q85" s="805" t="s">
        <v>2366</v>
      </c>
      <c r="R85" s="806" t="s">
        <v>2962</v>
      </c>
      <c r="S85" s="807">
        <v>43014</v>
      </c>
      <c r="T85" s="798">
        <v>43014</v>
      </c>
      <c r="U85" s="798" t="str">
        <f t="shared" si="59"/>
        <v>-</v>
      </c>
      <c r="V85" s="804" t="str">
        <f t="shared" ca="1" si="60"/>
        <v>-</v>
      </c>
      <c r="W85" s="808">
        <v>1</v>
      </c>
      <c r="X85" s="794">
        <f t="shared" si="61"/>
        <v>73</v>
      </c>
      <c r="Y85" s="794">
        <v>0</v>
      </c>
      <c r="Z85" s="809" t="str">
        <f t="shared" ca="1" si="62"/>
        <v>-----</v>
      </c>
      <c r="AA85" s="810">
        <f t="shared" ca="1" si="63"/>
        <v>120</v>
      </c>
      <c r="AB85" s="804"/>
      <c r="AC85" s="811" t="str">
        <f t="shared" ca="1" si="64"/>
        <v>-----</v>
      </c>
      <c r="AD85" s="798"/>
      <c r="AE85" s="794" t="str">
        <f t="shared" ca="1" si="65"/>
        <v>яловая</v>
      </c>
      <c r="AF85" s="798" t="str">
        <f t="shared" si="66"/>
        <v>-</v>
      </c>
      <c r="AG85" s="812" t="str">
        <f t="shared" si="67"/>
        <v>---------</v>
      </c>
      <c r="AH85" s="807">
        <v>43052</v>
      </c>
      <c r="AI85" s="807" t="str">
        <f t="shared" si="68"/>
        <v>-</v>
      </c>
      <c r="AJ85" s="807" t="str">
        <f t="shared" si="69"/>
        <v>-</v>
      </c>
      <c r="AK85" s="813"/>
      <c r="AL85" s="807" t="str">
        <f t="shared" si="70"/>
        <v>-</v>
      </c>
      <c r="AM85" s="807" t="str">
        <f t="shared" si="71"/>
        <v>-</v>
      </c>
      <c r="AN85" s="814" t="str">
        <f t="shared" ca="1" si="72"/>
        <v>-</v>
      </c>
      <c r="AO85" s="815">
        <v>1</v>
      </c>
      <c r="AP85" s="816" t="str">
        <f t="shared" ca="1" si="73"/>
        <v>-</v>
      </c>
      <c r="AQ85" s="817"/>
      <c r="AR85" s="794" t="str">
        <f t="shared" si="74"/>
        <v>-</v>
      </c>
      <c r="AS85" s="818"/>
      <c r="AT85" s="794" t="str">
        <f t="shared" si="75"/>
        <v>-</v>
      </c>
      <c r="AU85" s="819"/>
      <c r="AV85" s="820"/>
      <c r="AW85" s="821"/>
      <c r="AX85" s="821"/>
      <c r="AY85" s="969" t="str">
        <f t="shared" si="76"/>
        <v>-</v>
      </c>
      <c r="AZ85" s="966" t="str">
        <f t="shared" si="77"/>
        <v>-</v>
      </c>
      <c r="BA85" s="971" t="str">
        <f t="shared" si="78"/>
        <v>-</v>
      </c>
      <c r="BB85" s="975"/>
      <c r="BC85" s="821"/>
      <c r="BD85" s="821"/>
      <c r="BE85" s="963" t="str">
        <f t="shared" si="79"/>
        <v>-</v>
      </c>
      <c r="BF85" s="984"/>
      <c r="BG85" s="988"/>
      <c r="BH85" s="982"/>
      <c r="BI85" s="991"/>
      <c r="BJ85" s="991"/>
      <c r="BK85" s="993" t="str">
        <f t="shared" si="80"/>
        <v>-</v>
      </c>
      <c r="BL85" s="820">
        <v>42980</v>
      </c>
      <c r="BM85" s="821">
        <v>5</v>
      </c>
      <c r="BN85" s="822">
        <f t="shared" ca="1" si="81"/>
        <v>154</v>
      </c>
      <c r="BO85" s="823">
        <f t="shared" si="82"/>
        <v>80.733333333333334</v>
      </c>
      <c r="BP85" s="824"/>
      <c r="BQ85" s="821"/>
      <c r="BR85" s="822" t="str">
        <f t="shared" si="83"/>
        <v>-</v>
      </c>
      <c r="BS85" s="823" t="str">
        <f t="shared" si="84"/>
        <v>-</v>
      </c>
      <c r="BT85" s="825" t="str">
        <f t="shared" ca="1" si="85"/>
        <v>-</v>
      </c>
      <c r="BU85" s="826"/>
      <c r="BV85" s="827"/>
      <c r="BW85" s="828" t="str">
        <f t="shared" si="86"/>
        <v>Ж-Е НЕ ВАКЦ.</v>
      </c>
      <c r="BX85" s="829" t="str">
        <f t="shared" si="87"/>
        <v>-</v>
      </c>
      <c r="BY85" s="830" t="str">
        <f t="shared" ca="1" si="88"/>
        <v>-</v>
      </c>
      <c r="BZ85" s="831">
        <v>42964</v>
      </c>
      <c r="CA85" s="832">
        <v>5</v>
      </c>
      <c r="CB85" s="833">
        <f t="shared" ca="1" si="89"/>
        <v>170</v>
      </c>
      <c r="CC85" s="834" t="str">
        <f t="shared" ca="1" si="90"/>
        <v>-</v>
      </c>
      <c r="CD85" s="835">
        <f t="shared" si="91"/>
        <v>42985</v>
      </c>
      <c r="CE85" s="831">
        <v>42985</v>
      </c>
      <c r="CF85" s="832">
        <v>5</v>
      </c>
      <c r="CG85" s="833">
        <f t="shared" ca="1" si="92"/>
        <v>149</v>
      </c>
      <c r="CH85" s="836">
        <f t="shared" si="93"/>
        <v>0</v>
      </c>
      <c r="CI85" s="837" t="str">
        <f t="shared" si="94"/>
        <v>УСПЕШНО</v>
      </c>
      <c r="CJ85" s="838" t="str">
        <f t="shared" ca="1" si="95"/>
        <v>-</v>
      </c>
      <c r="CK85" s="831"/>
      <c r="CL85" s="832"/>
      <c r="CM85" s="833" t="str">
        <f t="shared" si="96"/>
        <v>-</v>
      </c>
      <c r="CN85" s="834" t="str">
        <f t="shared" si="97"/>
        <v>-</v>
      </c>
      <c r="CO85" s="830" t="str">
        <f t="shared" ca="1" si="98"/>
        <v>-</v>
      </c>
      <c r="CP85" s="831">
        <v>42882</v>
      </c>
      <c r="CQ85" s="832">
        <v>2</v>
      </c>
      <c r="CR85" s="833">
        <f t="shared" si="99"/>
        <v>-132</v>
      </c>
      <c r="CS85" s="833">
        <f t="shared" ca="1" si="100"/>
        <v>252</v>
      </c>
      <c r="CT85" s="834" t="str">
        <f t="shared" ca="1" si="101"/>
        <v>-</v>
      </c>
      <c r="CU85" s="835">
        <f t="shared" si="102"/>
        <v>42903</v>
      </c>
      <c r="CV85" s="831">
        <v>42903</v>
      </c>
      <c r="CW85" s="832">
        <v>2</v>
      </c>
      <c r="CX85" s="833">
        <f t="shared" si="103"/>
        <v>0</v>
      </c>
      <c r="CY85" s="840" t="str">
        <f t="shared" si="104"/>
        <v>УСПЕШНО</v>
      </c>
      <c r="CZ85" s="833">
        <f t="shared" si="105"/>
        <v>-111</v>
      </c>
      <c r="DA85" s="838" t="str">
        <f t="shared" ca="1" si="106"/>
        <v>-</v>
      </c>
      <c r="DB85" s="841"/>
      <c r="DC85" s="832"/>
    </row>
    <row r="86" spans="1:107" s="842" customFormat="1" ht="15.95" customHeight="1" x14ac:dyDescent="0.25">
      <c r="A86" s="790">
        <v>84</v>
      </c>
      <c r="B86" s="791">
        <f t="shared" ca="1" si="54"/>
        <v>43134</v>
      </c>
      <c r="C86" s="792" t="s">
        <v>614</v>
      </c>
      <c r="D86" s="793" t="s">
        <v>3203</v>
      </c>
      <c r="E86" s="794" t="s">
        <v>202</v>
      </c>
      <c r="F86" s="795" t="s">
        <v>203</v>
      </c>
      <c r="G86" s="796">
        <f>SUMIFS(МОЛОКО!L8:L6958,МОЛОКО!F8:F6958,"1285",МОЛОКО!L8:L6958,"&gt;0")</f>
        <v>30.6</v>
      </c>
      <c r="H86" s="797" t="s">
        <v>603</v>
      </c>
      <c r="I86" s="798">
        <v>40659</v>
      </c>
      <c r="J86" s="799">
        <f t="shared" ca="1" si="55"/>
        <v>6.7808219178082192</v>
      </c>
      <c r="K86" s="799">
        <f t="shared" ca="1" si="56"/>
        <v>82.5</v>
      </c>
      <c r="L86" s="800">
        <f t="shared" ca="1" si="57"/>
        <v>2475</v>
      </c>
      <c r="M86" s="801">
        <v>41573</v>
      </c>
      <c r="N86" s="802">
        <v>42894</v>
      </c>
      <c r="O86" s="803">
        <f t="shared" ca="1" si="58"/>
        <v>240</v>
      </c>
      <c r="P86" s="804">
        <v>4</v>
      </c>
      <c r="Q86" s="805" t="s">
        <v>1451</v>
      </c>
      <c r="R86" s="806" t="s">
        <v>2966</v>
      </c>
      <c r="S86" s="807">
        <v>42957</v>
      </c>
      <c r="T86" s="798">
        <v>43022</v>
      </c>
      <c r="U86" s="798">
        <f t="shared" si="59"/>
        <v>43040</v>
      </c>
      <c r="V86" s="804">
        <f t="shared" ca="1" si="60"/>
        <v>94</v>
      </c>
      <c r="W86" s="808">
        <v>2</v>
      </c>
      <c r="X86" s="794">
        <f t="shared" si="61"/>
        <v>128</v>
      </c>
      <c r="Y86" s="794">
        <v>2</v>
      </c>
      <c r="Z86" s="809" t="str">
        <f t="shared" ca="1" si="62"/>
        <v>-----</v>
      </c>
      <c r="AA86" s="810">
        <f t="shared" ca="1" si="63"/>
        <v>112</v>
      </c>
      <c r="AB86" s="804"/>
      <c r="AC86" s="811" t="str">
        <f t="shared" ca="1" si="64"/>
        <v>-----</v>
      </c>
      <c r="AD86" s="798"/>
      <c r="AE86" s="794" t="str">
        <f t="shared" ca="1" si="65"/>
        <v>-</v>
      </c>
      <c r="AF86" s="798">
        <f t="shared" si="66"/>
        <v>43057</v>
      </c>
      <c r="AG86" s="812">
        <f t="shared" ca="1" si="67"/>
        <v>77</v>
      </c>
      <c r="AH86" s="807">
        <v>43052</v>
      </c>
      <c r="AI86" s="807" t="str">
        <f t="shared" si="68"/>
        <v>-</v>
      </c>
      <c r="AJ86" s="807" t="str">
        <f t="shared" si="69"/>
        <v>-</v>
      </c>
      <c r="AK86" s="813"/>
      <c r="AL86" s="807" t="str">
        <f t="shared" si="70"/>
        <v>-</v>
      </c>
      <c r="AM86" s="807" t="str">
        <f t="shared" si="71"/>
        <v>-</v>
      </c>
      <c r="AN86" s="814" t="str">
        <f t="shared" ca="1" si="72"/>
        <v>-</v>
      </c>
      <c r="AO86" s="815">
        <v>1</v>
      </c>
      <c r="AP86" s="816" t="str">
        <f t="shared" ca="1" si="73"/>
        <v>-</v>
      </c>
      <c r="AQ86" s="817"/>
      <c r="AR86" s="794" t="str">
        <f t="shared" si="74"/>
        <v>-</v>
      </c>
      <c r="AS86" s="818"/>
      <c r="AT86" s="794" t="str">
        <f t="shared" si="75"/>
        <v>-</v>
      </c>
      <c r="AU86" s="819"/>
      <c r="AV86" s="820"/>
      <c r="AW86" s="821"/>
      <c r="AX86" s="821"/>
      <c r="AY86" s="969" t="str">
        <f t="shared" si="76"/>
        <v>-</v>
      </c>
      <c r="AZ86" s="966" t="str">
        <f t="shared" si="77"/>
        <v>-</v>
      </c>
      <c r="BA86" s="971" t="str">
        <f t="shared" si="78"/>
        <v>-</v>
      </c>
      <c r="BB86" s="975"/>
      <c r="BC86" s="821"/>
      <c r="BD86" s="821"/>
      <c r="BE86" s="963" t="str">
        <f t="shared" si="79"/>
        <v>-</v>
      </c>
      <c r="BF86" s="984"/>
      <c r="BG86" s="988"/>
      <c r="BH86" s="982"/>
      <c r="BI86" s="991"/>
      <c r="BJ86" s="991"/>
      <c r="BK86" s="993" t="str">
        <f t="shared" si="80"/>
        <v>-</v>
      </c>
      <c r="BL86" s="820">
        <v>42980</v>
      </c>
      <c r="BM86" s="821">
        <v>5</v>
      </c>
      <c r="BN86" s="822">
        <f t="shared" ca="1" si="81"/>
        <v>154</v>
      </c>
      <c r="BO86" s="823">
        <f t="shared" si="82"/>
        <v>77.36666666666666</v>
      </c>
      <c r="BP86" s="824"/>
      <c r="BQ86" s="821"/>
      <c r="BR86" s="822" t="str">
        <f t="shared" si="83"/>
        <v>-</v>
      </c>
      <c r="BS86" s="823" t="str">
        <f t="shared" si="84"/>
        <v>-</v>
      </c>
      <c r="BT86" s="825" t="str">
        <f t="shared" ca="1" si="85"/>
        <v>-</v>
      </c>
      <c r="BU86" s="826"/>
      <c r="BV86" s="827"/>
      <c r="BW86" s="828" t="str">
        <f t="shared" si="86"/>
        <v>Ж-Е НЕ ВАКЦ.</v>
      </c>
      <c r="BX86" s="829" t="str">
        <f t="shared" si="87"/>
        <v>-</v>
      </c>
      <c r="BY86" s="830" t="str">
        <f t="shared" ca="1" si="88"/>
        <v>-</v>
      </c>
      <c r="BZ86" s="831">
        <v>42916</v>
      </c>
      <c r="CA86" s="832">
        <v>5</v>
      </c>
      <c r="CB86" s="833">
        <f t="shared" ca="1" si="89"/>
        <v>218</v>
      </c>
      <c r="CC86" s="834" t="str">
        <f t="shared" ca="1" si="90"/>
        <v>-</v>
      </c>
      <c r="CD86" s="835">
        <f t="shared" si="91"/>
        <v>42937</v>
      </c>
      <c r="CE86" s="831">
        <v>42937</v>
      </c>
      <c r="CF86" s="832">
        <v>5</v>
      </c>
      <c r="CG86" s="833">
        <f t="shared" ca="1" si="92"/>
        <v>197</v>
      </c>
      <c r="CH86" s="836">
        <f t="shared" si="93"/>
        <v>0</v>
      </c>
      <c r="CI86" s="837" t="str">
        <f t="shared" si="94"/>
        <v>УСПЕШНО</v>
      </c>
      <c r="CJ86" s="838" t="str">
        <f t="shared" ca="1" si="95"/>
        <v>-</v>
      </c>
      <c r="CK86" s="831"/>
      <c r="CL86" s="832"/>
      <c r="CM86" s="833" t="str">
        <f t="shared" si="96"/>
        <v>-</v>
      </c>
      <c r="CN86" s="834" t="str">
        <f t="shared" si="97"/>
        <v>-</v>
      </c>
      <c r="CO86" s="830" t="str">
        <f t="shared" ca="1" si="98"/>
        <v>-</v>
      </c>
      <c r="CP86" s="839"/>
      <c r="CQ86" s="832"/>
      <c r="CR86" s="833" t="str">
        <f t="shared" si="99"/>
        <v>-</v>
      </c>
      <c r="CS86" s="833" t="str">
        <f t="shared" si="100"/>
        <v>-</v>
      </c>
      <c r="CT86" s="834" t="str">
        <f t="shared" si="101"/>
        <v>-</v>
      </c>
      <c r="CU86" s="835" t="str">
        <f t="shared" si="102"/>
        <v>-</v>
      </c>
      <c r="CV86" s="839"/>
      <c r="CW86" s="832"/>
      <c r="CX86" s="833" t="str">
        <f t="shared" si="103"/>
        <v>-</v>
      </c>
      <c r="CY86" s="840" t="str">
        <f t="shared" si="104"/>
        <v>-</v>
      </c>
      <c r="CZ86" s="833" t="str">
        <f t="shared" si="105"/>
        <v>-</v>
      </c>
      <c r="DA86" s="838" t="str">
        <f t="shared" ca="1" si="106"/>
        <v>-</v>
      </c>
      <c r="DB86" s="841"/>
      <c r="DC86" s="832"/>
    </row>
    <row r="87" spans="1:107" s="842" customFormat="1" ht="15.95" customHeight="1" x14ac:dyDescent="0.25">
      <c r="A87" s="790">
        <v>85</v>
      </c>
      <c r="B87" s="791">
        <f t="shared" ca="1" si="54"/>
        <v>43134</v>
      </c>
      <c r="C87" s="792" t="s">
        <v>614</v>
      </c>
      <c r="D87" s="793" t="s">
        <v>3203</v>
      </c>
      <c r="E87" s="794" t="s">
        <v>772</v>
      </c>
      <c r="F87" s="795" t="s">
        <v>812</v>
      </c>
      <c r="G87" s="796">
        <f>SUMIFS(МОЛОКО!L8:L6958,МОЛОКО!F8:F6958,"1455",МОЛОКО!L8:L6958,"&gt;0")</f>
        <v>25.2</v>
      </c>
      <c r="H87" s="797" t="s">
        <v>603</v>
      </c>
      <c r="I87" s="798">
        <v>40940</v>
      </c>
      <c r="J87" s="799">
        <f t="shared" ca="1" si="55"/>
        <v>6.0109589041095894</v>
      </c>
      <c r="K87" s="799">
        <f t="shared" ca="1" si="56"/>
        <v>73.13333333333334</v>
      </c>
      <c r="L87" s="800">
        <f t="shared" ca="1" si="57"/>
        <v>2194</v>
      </c>
      <c r="M87" s="801">
        <v>41801</v>
      </c>
      <c r="N87" s="802">
        <v>42862</v>
      </c>
      <c r="O87" s="803">
        <f t="shared" ca="1" si="58"/>
        <v>272</v>
      </c>
      <c r="P87" s="804">
        <v>4</v>
      </c>
      <c r="Q87" s="805" t="s">
        <v>1451</v>
      </c>
      <c r="R87" s="806" t="s">
        <v>2966</v>
      </c>
      <c r="S87" s="807">
        <v>42922</v>
      </c>
      <c r="T87" s="798">
        <v>43035</v>
      </c>
      <c r="U87" s="798">
        <f t="shared" si="59"/>
        <v>43053</v>
      </c>
      <c r="V87" s="804">
        <f t="shared" ca="1" si="60"/>
        <v>81</v>
      </c>
      <c r="W87" s="808">
        <v>4</v>
      </c>
      <c r="X87" s="794">
        <f t="shared" si="61"/>
        <v>173</v>
      </c>
      <c r="Y87" s="794">
        <v>3</v>
      </c>
      <c r="Z87" s="809" t="str">
        <f t="shared" ca="1" si="62"/>
        <v>-----</v>
      </c>
      <c r="AA87" s="810">
        <f t="shared" ca="1" si="63"/>
        <v>99</v>
      </c>
      <c r="AB87" s="804"/>
      <c r="AC87" s="811" t="str">
        <f t="shared" ca="1" si="64"/>
        <v>-----</v>
      </c>
      <c r="AD87" s="798"/>
      <c r="AE87" s="794" t="str">
        <f t="shared" ca="1" si="65"/>
        <v>-</v>
      </c>
      <c r="AF87" s="798">
        <f t="shared" si="66"/>
        <v>43070</v>
      </c>
      <c r="AG87" s="812">
        <f t="shared" ca="1" si="67"/>
        <v>64</v>
      </c>
      <c r="AH87" s="807">
        <v>43020</v>
      </c>
      <c r="AI87" s="807" t="str">
        <f t="shared" si="68"/>
        <v>-</v>
      </c>
      <c r="AJ87" s="807" t="str">
        <f t="shared" si="69"/>
        <v>-</v>
      </c>
      <c r="AK87" s="813"/>
      <c r="AL87" s="807" t="str">
        <f t="shared" si="70"/>
        <v>-</v>
      </c>
      <c r="AM87" s="807" t="str">
        <f t="shared" si="71"/>
        <v>-</v>
      </c>
      <c r="AN87" s="814" t="str">
        <f t="shared" ca="1" si="72"/>
        <v>-</v>
      </c>
      <c r="AO87" s="815">
        <v>1</v>
      </c>
      <c r="AP87" s="816" t="str">
        <f t="shared" ca="1" si="73"/>
        <v>-</v>
      </c>
      <c r="AQ87" s="817"/>
      <c r="AR87" s="794" t="str">
        <f t="shared" si="74"/>
        <v>-</v>
      </c>
      <c r="AS87" s="818"/>
      <c r="AT87" s="794" t="str">
        <f t="shared" si="75"/>
        <v>-</v>
      </c>
      <c r="AU87" s="819"/>
      <c r="AV87" s="820"/>
      <c r="AW87" s="821"/>
      <c r="AX87" s="821"/>
      <c r="AY87" s="969" t="str">
        <f t="shared" si="76"/>
        <v>-</v>
      </c>
      <c r="AZ87" s="966" t="str">
        <f t="shared" si="77"/>
        <v>-</v>
      </c>
      <c r="BA87" s="971" t="str">
        <f t="shared" si="78"/>
        <v>-</v>
      </c>
      <c r="BB87" s="975"/>
      <c r="BC87" s="821"/>
      <c r="BD87" s="821"/>
      <c r="BE87" s="963" t="str">
        <f t="shared" si="79"/>
        <v>-</v>
      </c>
      <c r="BF87" s="984"/>
      <c r="BG87" s="988"/>
      <c r="BH87" s="982"/>
      <c r="BI87" s="991"/>
      <c r="BJ87" s="991"/>
      <c r="BK87" s="993" t="str">
        <f t="shared" si="80"/>
        <v>-</v>
      </c>
      <c r="BL87" s="820">
        <v>42980</v>
      </c>
      <c r="BM87" s="821">
        <v>5</v>
      </c>
      <c r="BN87" s="822">
        <f t="shared" ca="1" si="81"/>
        <v>154</v>
      </c>
      <c r="BO87" s="823">
        <f t="shared" si="82"/>
        <v>68</v>
      </c>
      <c r="BP87" s="824"/>
      <c r="BQ87" s="821"/>
      <c r="BR87" s="822" t="str">
        <f t="shared" si="83"/>
        <v>-</v>
      </c>
      <c r="BS87" s="823" t="str">
        <f t="shared" si="84"/>
        <v>-</v>
      </c>
      <c r="BT87" s="825" t="str">
        <f t="shared" ca="1" si="85"/>
        <v>-</v>
      </c>
      <c r="BU87" s="826"/>
      <c r="BV87" s="827"/>
      <c r="BW87" s="828" t="str">
        <f t="shared" si="86"/>
        <v>Ж-Е НЕ ВАКЦ.</v>
      </c>
      <c r="BX87" s="829" t="str">
        <f t="shared" si="87"/>
        <v>-</v>
      </c>
      <c r="BY87" s="830" t="str">
        <f t="shared" ca="1" si="88"/>
        <v>-</v>
      </c>
      <c r="BZ87" s="831">
        <v>42888</v>
      </c>
      <c r="CA87" s="832">
        <v>5</v>
      </c>
      <c r="CB87" s="833">
        <f t="shared" ca="1" si="89"/>
        <v>246</v>
      </c>
      <c r="CC87" s="834" t="str">
        <f t="shared" ca="1" si="90"/>
        <v>-</v>
      </c>
      <c r="CD87" s="835">
        <f t="shared" si="91"/>
        <v>42909</v>
      </c>
      <c r="CE87" s="831">
        <v>42909</v>
      </c>
      <c r="CF87" s="832">
        <v>5</v>
      </c>
      <c r="CG87" s="833">
        <f t="shared" ca="1" si="92"/>
        <v>225</v>
      </c>
      <c r="CH87" s="836">
        <f t="shared" si="93"/>
        <v>0</v>
      </c>
      <c r="CI87" s="837" t="str">
        <f t="shared" si="94"/>
        <v>УСПЕШНО</v>
      </c>
      <c r="CJ87" s="838" t="str">
        <f t="shared" ca="1" si="95"/>
        <v>-</v>
      </c>
      <c r="CK87" s="831"/>
      <c r="CL87" s="832"/>
      <c r="CM87" s="833" t="str">
        <f t="shared" si="96"/>
        <v>-</v>
      </c>
      <c r="CN87" s="834" t="str">
        <f t="shared" si="97"/>
        <v>-</v>
      </c>
      <c r="CO87" s="830" t="str">
        <f t="shared" ca="1" si="98"/>
        <v>-</v>
      </c>
      <c r="CP87" s="839"/>
      <c r="CQ87" s="832"/>
      <c r="CR87" s="833" t="str">
        <f t="shared" si="99"/>
        <v>-</v>
      </c>
      <c r="CS87" s="833" t="str">
        <f t="shared" si="100"/>
        <v>-</v>
      </c>
      <c r="CT87" s="834" t="str">
        <f t="shared" si="101"/>
        <v>-</v>
      </c>
      <c r="CU87" s="835" t="str">
        <f t="shared" si="102"/>
        <v>-</v>
      </c>
      <c r="CV87" s="839"/>
      <c r="CW87" s="832"/>
      <c r="CX87" s="833" t="str">
        <f t="shared" si="103"/>
        <v>-</v>
      </c>
      <c r="CY87" s="840" t="str">
        <f t="shared" si="104"/>
        <v>-</v>
      </c>
      <c r="CZ87" s="833" t="str">
        <f t="shared" si="105"/>
        <v>-</v>
      </c>
      <c r="DA87" s="838" t="str">
        <f t="shared" ca="1" si="106"/>
        <v>-</v>
      </c>
      <c r="DB87" s="841"/>
      <c r="DC87" s="832"/>
    </row>
    <row r="88" spans="1:107" s="842" customFormat="1" ht="15.95" customHeight="1" x14ac:dyDescent="0.25">
      <c r="A88" s="790">
        <v>86</v>
      </c>
      <c r="B88" s="791">
        <f t="shared" ca="1" si="54"/>
        <v>43134</v>
      </c>
      <c r="C88" s="792" t="s">
        <v>614</v>
      </c>
      <c r="D88" s="793" t="s">
        <v>3203</v>
      </c>
      <c r="E88" s="794" t="s">
        <v>243</v>
      </c>
      <c r="F88" s="795" t="s">
        <v>244</v>
      </c>
      <c r="G88" s="796">
        <f>SUMIFS(МОЛОКО!L8:L6958,МОЛОКО!F8:F6958,"1468",МОЛОКО!L8:L6958,"&gt;0")</f>
        <v>30</v>
      </c>
      <c r="H88" s="797" t="s">
        <v>603</v>
      </c>
      <c r="I88" s="798">
        <v>40965</v>
      </c>
      <c r="J88" s="799">
        <f t="shared" ca="1" si="55"/>
        <v>5.9424657534246572</v>
      </c>
      <c r="K88" s="799">
        <f t="shared" ca="1" si="56"/>
        <v>72.3</v>
      </c>
      <c r="L88" s="800">
        <f t="shared" ca="1" si="57"/>
        <v>2169</v>
      </c>
      <c r="M88" s="801">
        <v>41972</v>
      </c>
      <c r="N88" s="802">
        <v>42854</v>
      </c>
      <c r="O88" s="803">
        <f t="shared" ca="1" si="58"/>
        <v>280</v>
      </c>
      <c r="P88" s="804">
        <v>3</v>
      </c>
      <c r="Q88" s="805" t="s">
        <v>1451</v>
      </c>
      <c r="R88" s="806" t="s">
        <v>2269</v>
      </c>
      <c r="S88" s="807">
        <v>42915</v>
      </c>
      <c r="T88" s="798">
        <v>42915</v>
      </c>
      <c r="U88" s="798" t="str">
        <f t="shared" si="59"/>
        <v>-</v>
      </c>
      <c r="V88" s="804" t="str">
        <f t="shared" ca="1" si="60"/>
        <v>-</v>
      </c>
      <c r="W88" s="808">
        <v>1</v>
      </c>
      <c r="X88" s="794">
        <f t="shared" si="61"/>
        <v>61</v>
      </c>
      <c r="Y88" s="794">
        <v>1</v>
      </c>
      <c r="Z88" s="809" t="str">
        <f t="shared" ca="1" si="62"/>
        <v>-----</v>
      </c>
      <c r="AA88" s="810" t="str">
        <f t="shared" ca="1" si="63"/>
        <v>-----</v>
      </c>
      <c r="AB88" s="804">
        <v>1</v>
      </c>
      <c r="AC88" s="811" t="str">
        <f t="shared" ca="1" si="64"/>
        <v>-----</v>
      </c>
      <c r="AD88" s="798">
        <v>42995</v>
      </c>
      <c r="AE88" s="794" t="str">
        <f t="shared" ca="1" si="65"/>
        <v>-</v>
      </c>
      <c r="AF88" s="798" t="str">
        <f t="shared" si="66"/>
        <v>-</v>
      </c>
      <c r="AG88" s="812" t="str">
        <f t="shared" si="67"/>
        <v>---------</v>
      </c>
      <c r="AH88" s="807">
        <v>42947</v>
      </c>
      <c r="AI88" s="807">
        <f t="shared" si="68"/>
        <v>43105</v>
      </c>
      <c r="AJ88" s="807">
        <f t="shared" si="69"/>
        <v>43135</v>
      </c>
      <c r="AK88" s="813"/>
      <c r="AL88" s="807">
        <f t="shared" si="70"/>
        <v>43174</v>
      </c>
      <c r="AM88" s="807">
        <f t="shared" si="71"/>
        <v>43195</v>
      </c>
      <c r="AN88" s="814">
        <f t="shared" ca="1" si="72"/>
        <v>-61</v>
      </c>
      <c r="AO88" s="815">
        <v>1</v>
      </c>
      <c r="AP88" s="816" t="str">
        <f t="shared" ca="1" si="73"/>
        <v>-</v>
      </c>
      <c r="AQ88" s="817"/>
      <c r="AR88" s="794" t="str">
        <f t="shared" si="74"/>
        <v>-</v>
      </c>
      <c r="AS88" s="818"/>
      <c r="AT88" s="794" t="str">
        <f t="shared" si="75"/>
        <v>-</v>
      </c>
      <c r="AU88" s="819"/>
      <c r="AV88" s="820"/>
      <c r="AW88" s="821"/>
      <c r="AX88" s="821"/>
      <c r="AY88" s="969" t="str">
        <f t="shared" si="76"/>
        <v>-</v>
      </c>
      <c r="AZ88" s="966" t="str">
        <f t="shared" si="77"/>
        <v>-</v>
      </c>
      <c r="BA88" s="971" t="str">
        <f t="shared" si="78"/>
        <v>-</v>
      </c>
      <c r="BB88" s="975"/>
      <c r="BC88" s="821"/>
      <c r="BD88" s="821"/>
      <c r="BE88" s="963" t="str">
        <f t="shared" si="79"/>
        <v>-</v>
      </c>
      <c r="BF88" s="984"/>
      <c r="BG88" s="988"/>
      <c r="BH88" s="982"/>
      <c r="BI88" s="991"/>
      <c r="BJ88" s="991"/>
      <c r="BK88" s="993" t="str">
        <f t="shared" si="80"/>
        <v>-</v>
      </c>
      <c r="BL88" s="820">
        <v>42980</v>
      </c>
      <c r="BM88" s="821">
        <v>5</v>
      </c>
      <c r="BN88" s="822">
        <f t="shared" ca="1" si="81"/>
        <v>154</v>
      </c>
      <c r="BO88" s="823">
        <f t="shared" si="82"/>
        <v>67.166666666666671</v>
      </c>
      <c r="BP88" s="824"/>
      <c r="BQ88" s="821"/>
      <c r="BR88" s="822" t="str">
        <f t="shared" si="83"/>
        <v>-</v>
      </c>
      <c r="BS88" s="823" t="str">
        <f t="shared" si="84"/>
        <v>-</v>
      </c>
      <c r="BT88" s="825" t="str">
        <f t="shared" ca="1" si="85"/>
        <v>-</v>
      </c>
      <c r="BU88" s="826"/>
      <c r="BV88" s="827"/>
      <c r="BW88" s="828" t="str">
        <f t="shared" si="86"/>
        <v>Ж-Е НЕ ВАКЦ.</v>
      </c>
      <c r="BX88" s="829" t="str">
        <f t="shared" si="87"/>
        <v>-</v>
      </c>
      <c r="BY88" s="830" t="str">
        <f t="shared" ca="1" si="88"/>
        <v>-</v>
      </c>
      <c r="BZ88" s="831">
        <v>42887</v>
      </c>
      <c r="CA88" s="832">
        <v>5</v>
      </c>
      <c r="CB88" s="833">
        <f t="shared" ca="1" si="89"/>
        <v>247</v>
      </c>
      <c r="CC88" s="834" t="str">
        <f t="shared" ca="1" si="90"/>
        <v>-</v>
      </c>
      <c r="CD88" s="835">
        <f t="shared" si="91"/>
        <v>42908</v>
      </c>
      <c r="CE88" s="831">
        <v>42908</v>
      </c>
      <c r="CF88" s="832">
        <v>5</v>
      </c>
      <c r="CG88" s="833">
        <f t="shared" ca="1" si="92"/>
        <v>226</v>
      </c>
      <c r="CH88" s="836">
        <f t="shared" si="93"/>
        <v>0</v>
      </c>
      <c r="CI88" s="837" t="str">
        <f t="shared" si="94"/>
        <v>УСПЕШНО</v>
      </c>
      <c r="CJ88" s="838" t="str">
        <f t="shared" ca="1" si="95"/>
        <v>-</v>
      </c>
      <c r="CK88" s="831"/>
      <c r="CL88" s="832"/>
      <c r="CM88" s="833" t="str">
        <f t="shared" si="96"/>
        <v>-</v>
      </c>
      <c r="CN88" s="834" t="str">
        <f t="shared" si="97"/>
        <v>-</v>
      </c>
      <c r="CO88" s="830" t="str">
        <f t="shared" ca="1" si="98"/>
        <v>ТРЕБУЕТСЯ ВАКЦИНАЦИЯ</v>
      </c>
      <c r="CP88" s="839"/>
      <c r="CQ88" s="832"/>
      <c r="CR88" s="833" t="str">
        <f t="shared" si="99"/>
        <v>-</v>
      </c>
      <c r="CS88" s="833" t="str">
        <f t="shared" si="100"/>
        <v>-</v>
      </c>
      <c r="CT88" s="834" t="str">
        <f t="shared" si="101"/>
        <v>-</v>
      </c>
      <c r="CU88" s="835" t="str">
        <f t="shared" si="102"/>
        <v>-</v>
      </c>
      <c r="CV88" s="839"/>
      <c r="CW88" s="832"/>
      <c r="CX88" s="833" t="str">
        <f t="shared" si="103"/>
        <v>-</v>
      </c>
      <c r="CY88" s="840" t="str">
        <f t="shared" si="104"/>
        <v>-</v>
      </c>
      <c r="CZ88" s="833" t="str">
        <f t="shared" si="105"/>
        <v>-</v>
      </c>
      <c r="DA88" s="838" t="str">
        <f t="shared" ca="1" si="106"/>
        <v>-</v>
      </c>
      <c r="DB88" s="841"/>
      <c r="DC88" s="832"/>
    </row>
    <row r="89" spans="1:107" s="842" customFormat="1" ht="15.95" customHeight="1" x14ac:dyDescent="0.25">
      <c r="A89" s="790">
        <v>87</v>
      </c>
      <c r="B89" s="791">
        <f t="shared" ca="1" si="54"/>
        <v>43134</v>
      </c>
      <c r="C89" s="792" t="s">
        <v>614</v>
      </c>
      <c r="D89" s="793" t="s">
        <v>3203</v>
      </c>
      <c r="E89" s="794" t="s">
        <v>223</v>
      </c>
      <c r="F89" s="795" t="s">
        <v>224</v>
      </c>
      <c r="G89" s="796">
        <f>SUMIFS(МОЛОКО!L8:L6958,МОЛОКО!F8:F6958,"1493",МОЛОКО!L8:L6958,"&gt;0")</f>
        <v>24.3</v>
      </c>
      <c r="H89" s="797" t="s">
        <v>603</v>
      </c>
      <c r="I89" s="798">
        <v>40994</v>
      </c>
      <c r="J89" s="799">
        <f t="shared" ca="1" si="55"/>
        <v>5.8630136986301373</v>
      </c>
      <c r="K89" s="799">
        <f t="shared" ca="1" si="56"/>
        <v>71.333333333333329</v>
      </c>
      <c r="L89" s="800">
        <f t="shared" ca="1" si="57"/>
        <v>2140</v>
      </c>
      <c r="M89" s="801">
        <v>41955</v>
      </c>
      <c r="N89" s="802">
        <v>42923</v>
      </c>
      <c r="O89" s="803">
        <f t="shared" ca="1" si="58"/>
        <v>211</v>
      </c>
      <c r="P89" s="804">
        <v>3</v>
      </c>
      <c r="Q89" s="805" t="s">
        <v>1451</v>
      </c>
      <c r="R89" s="806" t="s">
        <v>3020</v>
      </c>
      <c r="S89" s="807">
        <v>42985</v>
      </c>
      <c r="T89" s="798">
        <v>43005</v>
      </c>
      <c r="U89" s="798" t="str">
        <f t="shared" si="59"/>
        <v>-</v>
      </c>
      <c r="V89" s="804" t="str">
        <f t="shared" ca="1" si="60"/>
        <v>-</v>
      </c>
      <c r="W89" s="808">
        <v>2</v>
      </c>
      <c r="X89" s="794">
        <f t="shared" si="61"/>
        <v>82</v>
      </c>
      <c r="Y89" s="794">
        <v>1</v>
      </c>
      <c r="Z89" s="809" t="str">
        <f t="shared" ca="1" si="62"/>
        <v>ПОДЛЕЖИТ ПЕРЕПРОВЕРКЕ</v>
      </c>
      <c r="AA89" s="810">
        <f t="shared" ca="1" si="63"/>
        <v>129</v>
      </c>
      <c r="AB89" s="804"/>
      <c r="AC89" s="811">
        <f t="shared" ca="1" si="64"/>
        <v>43077</v>
      </c>
      <c r="AD89" s="798"/>
      <c r="AE89" s="794" t="str">
        <f t="shared" ca="1" si="65"/>
        <v>-</v>
      </c>
      <c r="AF89" s="798" t="str">
        <f t="shared" si="66"/>
        <v>-</v>
      </c>
      <c r="AG89" s="812" t="str">
        <f t="shared" si="67"/>
        <v>---------</v>
      </c>
      <c r="AH89" s="807">
        <v>43038</v>
      </c>
      <c r="AI89" s="807">
        <f t="shared" si="68"/>
        <v>43195</v>
      </c>
      <c r="AJ89" s="807">
        <f t="shared" si="69"/>
        <v>43225</v>
      </c>
      <c r="AK89" s="813"/>
      <c r="AL89" s="807">
        <f t="shared" si="70"/>
        <v>43264</v>
      </c>
      <c r="AM89" s="807">
        <f t="shared" si="71"/>
        <v>43285</v>
      </c>
      <c r="AN89" s="814">
        <f t="shared" ca="1" si="72"/>
        <v>-151</v>
      </c>
      <c r="AO89" s="815">
        <v>1</v>
      </c>
      <c r="AP89" s="816" t="str">
        <f t="shared" ca="1" si="73"/>
        <v>-</v>
      </c>
      <c r="AQ89" s="817"/>
      <c r="AR89" s="794" t="str">
        <f t="shared" si="74"/>
        <v>-</v>
      </c>
      <c r="AS89" s="818"/>
      <c r="AT89" s="794" t="str">
        <f t="shared" si="75"/>
        <v>-</v>
      </c>
      <c r="AU89" s="819"/>
      <c r="AV89" s="820"/>
      <c r="AW89" s="821"/>
      <c r="AX89" s="821"/>
      <c r="AY89" s="969" t="str">
        <f t="shared" si="76"/>
        <v>-</v>
      </c>
      <c r="AZ89" s="966" t="str">
        <f t="shared" si="77"/>
        <v>-</v>
      </c>
      <c r="BA89" s="971" t="str">
        <f t="shared" si="78"/>
        <v>-</v>
      </c>
      <c r="BB89" s="975"/>
      <c r="BC89" s="821"/>
      <c r="BD89" s="821"/>
      <c r="BE89" s="963" t="str">
        <f t="shared" si="79"/>
        <v>-</v>
      </c>
      <c r="BF89" s="984"/>
      <c r="BG89" s="988"/>
      <c r="BH89" s="982"/>
      <c r="BI89" s="991"/>
      <c r="BJ89" s="991"/>
      <c r="BK89" s="993" t="str">
        <f t="shared" si="80"/>
        <v>-</v>
      </c>
      <c r="BL89" s="820">
        <v>42980</v>
      </c>
      <c r="BM89" s="821">
        <v>5</v>
      </c>
      <c r="BN89" s="822">
        <f t="shared" ca="1" si="81"/>
        <v>154</v>
      </c>
      <c r="BO89" s="823">
        <f t="shared" si="82"/>
        <v>66.2</v>
      </c>
      <c r="BP89" s="824"/>
      <c r="BQ89" s="821"/>
      <c r="BR89" s="822" t="str">
        <f t="shared" si="83"/>
        <v>-</v>
      </c>
      <c r="BS89" s="823" t="str">
        <f t="shared" si="84"/>
        <v>-</v>
      </c>
      <c r="BT89" s="825" t="str">
        <f t="shared" ca="1" si="85"/>
        <v>-</v>
      </c>
      <c r="BU89" s="826"/>
      <c r="BV89" s="827"/>
      <c r="BW89" s="828" t="str">
        <f t="shared" si="86"/>
        <v>Ж-Е НЕ ВАКЦ.</v>
      </c>
      <c r="BX89" s="829" t="str">
        <f t="shared" si="87"/>
        <v>-</v>
      </c>
      <c r="BY89" s="830" t="str">
        <f t="shared" ca="1" si="88"/>
        <v>-</v>
      </c>
      <c r="BZ89" s="831">
        <v>42964</v>
      </c>
      <c r="CA89" s="832">
        <v>5</v>
      </c>
      <c r="CB89" s="833">
        <f t="shared" ca="1" si="89"/>
        <v>170</v>
      </c>
      <c r="CC89" s="834" t="str">
        <f t="shared" ca="1" si="90"/>
        <v>-</v>
      </c>
      <c r="CD89" s="835">
        <f t="shared" si="91"/>
        <v>42985</v>
      </c>
      <c r="CE89" s="831">
        <v>42985</v>
      </c>
      <c r="CF89" s="832">
        <v>5</v>
      </c>
      <c r="CG89" s="833">
        <f t="shared" ca="1" si="92"/>
        <v>149</v>
      </c>
      <c r="CH89" s="836">
        <f t="shared" si="93"/>
        <v>0</v>
      </c>
      <c r="CI89" s="837" t="str">
        <f t="shared" si="94"/>
        <v>УСПЕШНО</v>
      </c>
      <c r="CJ89" s="838" t="str">
        <f t="shared" ca="1" si="95"/>
        <v>-</v>
      </c>
      <c r="CK89" s="831"/>
      <c r="CL89" s="832"/>
      <c r="CM89" s="833" t="str">
        <f t="shared" si="96"/>
        <v>-</v>
      </c>
      <c r="CN89" s="834" t="str">
        <f t="shared" si="97"/>
        <v>-</v>
      </c>
      <c r="CO89" s="830" t="str">
        <f t="shared" ca="1" si="98"/>
        <v>-</v>
      </c>
      <c r="CP89" s="831">
        <v>42882</v>
      </c>
      <c r="CQ89" s="832">
        <v>2</v>
      </c>
      <c r="CR89" s="833">
        <f t="shared" si="99"/>
        <v>-123</v>
      </c>
      <c r="CS89" s="833">
        <f t="shared" ca="1" si="100"/>
        <v>252</v>
      </c>
      <c r="CT89" s="834" t="str">
        <f t="shared" ca="1" si="101"/>
        <v>-</v>
      </c>
      <c r="CU89" s="835">
        <f t="shared" si="102"/>
        <v>42903</v>
      </c>
      <c r="CV89" s="831">
        <v>42903</v>
      </c>
      <c r="CW89" s="832">
        <v>2</v>
      </c>
      <c r="CX89" s="833">
        <f t="shared" si="103"/>
        <v>0</v>
      </c>
      <c r="CY89" s="840" t="str">
        <f t="shared" si="104"/>
        <v>УСПЕШНО</v>
      </c>
      <c r="CZ89" s="833">
        <f t="shared" si="105"/>
        <v>-102</v>
      </c>
      <c r="DA89" s="838" t="str">
        <f t="shared" ca="1" si="106"/>
        <v>-</v>
      </c>
      <c r="DB89" s="841"/>
      <c r="DC89" s="832"/>
    </row>
    <row r="90" spans="1:107" s="842" customFormat="1" ht="15.95" customHeight="1" x14ac:dyDescent="0.25">
      <c r="A90" s="790">
        <v>88</v>
      </c>
      <c r="B90" s="791">
        <f t="shared" ca="1" si="54"/>
        <v>43134</v>
      </c>
      <c r="C90" s="792" t="s">
        <v>614</v>
      </c>
      <c r="D90" s="793" t="s">
        <v>3203</v>
      </c>
      <c r="E90" s="794" t="s">
        <v>822</v>
      </c>
      <c r="F90" s="795" t="s">
        <v>823</v>
      </c>
      <c r="G90" s="796">
        <f>SUMIFS(МОЛОКО!L8:L6958,МОЛОКО!F8:F6958,"1527",МОЛОКО!L8:L6958,"&gt;0")</f>
        <v>26.2</v>
      </c>
      <c r="H90" s="797" t="s">
        <v>603</v>
      </c>
      <c r="I90" s="798">
        <v>41020</v>
      </c>
      <c r="J90" s="799">
        <f t="shared" ca="1" si="55"/>
        <v>5.7917808219178086</v>
      </c>
      <c r="K90" s="799">
        <f t="shared" ca="1" si="56"/>
        <v>70.466666666666669</v>
      </c>
      <c r="L90" s="800">
        <f t="shared" ca="1" si="57"/>
        <v>2114</v>
      </c>
      <c r="M90" s="801">
        <v>41822</v>
      </c>
      <c r="N90" s="802">
        <v>42888</v>
      </c>
      <c r="O90" s="803">
        <f t="shared" ca="1" si="58"/>
        <v>246</v>
      </c>
      <c r="P90" s="804">
        <v>4</v>
      </c>
      <c r="Q90" s="805" t="s">
        <v>1451</v>
      </c>
      <c r="R90" s="806" t="s">
        <v>2962</v>
      </c>
      <c r="S90" s="807">
        <v>42950</v>
      </c>
      <c r="T90" s="798">
        <v>42950</v>
      </c>
      <c r="U90" s="798" t="str">
        <f t="shared" si="59"/>
        <v>-</v>
      </c>
      <c r="V90" s="804" t="str">
        <f t="shared" ca="1" si="60"/>
        <v>-</v>
      </c>
      <c r="W90" s="808">
        <v>1</v>
      </c>
      <c r="X90" s="794">
        <f t="shared" si="61"/>
        <v>62</v>
      </c>
      <c r="Y90" s="794">
        <v>1</v>
      </c>
      <c r="Z90" s="809" t="str">
        <f t="shared" ca="1" si="62"/>
        <v>-----</v>
      </c>
      <c r="AA90" s="810" t="str">
        <f t="shared" ca="1" si="63"/>
        <v>-----</v>
      </c>
      <c r="AB90" s="804">
        <v>1</v>
      </c>
      <c r="AC90" s="811" t="str">
        <f t="shared" ca="1" si="64"/>
        <v>-----</v>
      </c>
      <c r="AD90" s="798">
        <v>43030</v>
      </c>
      <c r="AE90" s="794" t="str">
        <f t="shared" ca="1" si="65"/>
        <v>-</v>
      </c>
      <c r="AF90" s="798" t="str">
        <f t="shared" si="66"/>
        <v>-</v>
      </c>
      <c r="AG90" s="812" t="str">
        <f t="shared" si="67"/>
        <v>---------</v>
      </c>
      <c r="AH90" s="807">
        <v>42982</v>
      </c>
      <c r="AI90" s="807">
        <f t="shared" si="68"/>
        <v>43140</v>
      </c>
      <c r="AJ90" s="807">
        <f t="shared" si="69"/>
        <v>43170</v>
      </c>
      <c r="AK90" s="813"/>
      <c r="AL90" s="807">
        <f t="shared" si="70"/>
        <v>43209</v>
      </c>
      <c r="AM90" s="807">
        <f t="shared" si="71"/>
        <v>43230</v>
      </c>
      <c r="AN90" s="814">
        <f t="shared" ca="1" si="72"/>
        <v>-96</v>
      </c>
      <c r="AO90" s="815">
        <v>1</v>
      </c>
      <c r="AP90" s="816" t="str">
        <f t="shared" ca="1" si="73"/>
        <v>-</v>
      </c>
      <c r="AQ90" s="817"/>
      <c r="AR90" s="794" t="str">
        <f t="shared" si="74"/>
        <v>-</v>
      </c>
      <c r="AS90" s="818"/>
      <c r="AT90" s="794" t="str">
        <f t="shared" si="75"/>
        <v>-</v>
      </c>
      <c r="AU90" s="819"/>
      <c r="AV90" s="820"/>
      <c r="AW90" s="821"/>
      <c r="AX90" s="821"/>
      <c r="AY90" s="969" t="str">
        <f t="shared" si="76"/>
        <v>-</v>
      </c>
      <c r="AZ90" s="966" t="str">
        <f t="shared" si="77"/>
        <v>-</v>
      </c>
      <c r="BA90" s="971" t="str">
        <f t="shared" si="78"/>
        <v>-</v>
      </c>
      <c r="BB90" s="975"/>
      <c r="BC90" s="821"/>
      <c r="BD90" s="821"/>
      <c r="BE90" s="963" t="str">
        <f t="shared" si="79"/>
        <v>-</v>
      </c>
      <c r="BF90" s="984"/>
      <c r="BG90" s="988"/>
      <c r="BH90" s="982"/>
      <c r="BI90" s="991"/>
      <c r="BJ90" s="991"/>
      <c r="BK90" s="993" t="str">
        <f t="shared" si="80"/>
        <v>-</v>
      </c>
      <c r="BL90" s="820">
        <v>42980</v>
      </c>
      <c r="BM90" s="821">
        <v>5</v>
      </c>
      <c r="BN90" s="822">
        <f t="shared" ca="1" si="81"/>
        <v>154</v>
      </c>
      <c r="BO90" s="823">
        <f t="shared" si="82"/>
        <v>65.333333333333329</v>
      </c>
      <c r="BP90" s="824"/>
      <c r="BQ90" s="821"/>
      <c r="BR90" s="822" t="str">
        <f t="shared" si="83"/>
        <v>-</v>
      </c>
      <c r="BS90" s="823" t="str">
        <f t="shared" si="84"/>
        <v>-</v>
      </c>
      <c r="BT90" s="825" t="str">
        <f t="shared" ca="1" si="85"/>
        <v>-</v>
      </c>
      <c r="BU90" s="826"/>
      <c r="BV90" s="827"/>
      <c r="BW90" s="828" t="str">
        <f t="shared" si="86"/>
        <v>Ж-Е НЕ ВАКЦ.</v>
      </c>
      <c r="BX90" s="829" t="str">
        <f t="shared" si="87"/>
        <v>-</v>
      </c>
      <c r="BY90" s="830" t="str">
        <f t="shared" ca="1" si="88"/>
        <v>-</v>
      </c>
      <c r="BZ90" s="831">
        <v>42916</v>
      </c>
      <c r="CA90" s="832">
        <v>5</v>
      </c>
      <c r="CB90" s="833">
        <f t="shared" ca="1" si="89"/>
        <v>218</v>
      </c>
      <c r="CC90" s="834" t="str">
        <f t="shared" ca="1" si="90"/>
        <v>-</v>
      </c>
      <c r="CD90" s="835">
        <f t="shared" si="91"/>
        <v>42937</v>
      </c>
      <c r="CE90" s="831">
        <v>42937</v>
      </c>
      <c r="CF90" s="832">
        <v>5</v>
      </c>
      <c r="CG90" s="833">
        <f t="shared" ca="1" si="92"/>
        <v>197</v>
      </c>
      <c r="CH90" s="836">
        <f t="shared" si="93"/>
        <v>0</v>
      </c>
      <c r="CI90" s="837" t="str">
        <f t="shared" si="94"/>
        <v>УСПЕШНО</v>
      </c>
      <c r="CJ90" s="838" t="str">
        <f t="shared" ca="1" si="95"/>
        <v>-</v>
      </c>
      <c r="CK90" s="831"/>
      <c r="CL90" s="832"/>
      <c r="CM90" s="833" t="str">
        <f t="shared" si="96"/>
        <v>-</v>
      </c>
      <c r="CN90" s="834" t="str">
        <f t="shared" si="97"/>
        <v>-</v>
      </c>
      <c r="CO90" s="830" t="str">
        <f t="shared" ca="1" si="98"/>
        <v>-</v>
      </c>
      <c r="CP90" s="839"/>
      <c r="CQ90" s="832"/>
      <c r="CR90" s="833" t="str">
        <f t="shared" si="99"/>
        <v>-</v>
      </c>
      <c r="CS90" s="833" t="str">
        <f t="shared" si="100"/>
        <v>-</v>
      </c>
      <c r="CT90" s="834" t="str">
        <f t="shared" si="101"/>
        <v>-</v>
      </c>
      <c r="CU90" s="835" t="str">
        <f t="shared" si="102"/>
        <v>-</v>
      </c>
      <c r="CV90" s="839"/>
      <c r="CW90" s="832"/>
      <c r="CX90" s="833" t="str">
        <f t="shared" si="103"/>
        <v>-</v>
      </c>
      <c r="CY90" s="840" t="str">
        <f t="shared" si="104"/>
        <v>-</v>
      </c>
      <c r="CZ90" s="833" t="str">
        <f t="shared" si="105"/>
        <v>-</v>
      </c>
      <c r="DA90" s="838" t="str">
        <f t="shared" ca="1" si="106"/>
        <v>-</v>
      </c>
      <c r="DB90" s="841"/>
      <c r="DC90" s="832"/>
    </row>
    <row r="91" spans="1:107" s="842" customFormat="1" ht="15.95" customHeight="1" x14ac:dyDescent="0.25">
      <c r="A91" s="790">
        <v>89</v>
      </c>
      <c r="B91" s="791">
        <f t="shared" ca="1" si="54"/>
        <v>43134</v>
      </c>
      <c r="C91" s="792" t="s">
        <v>614</v>
      </c>
      <c r="D91" s="793" t="s">
        <v>3203</v>
      </c>
      <c r="E91" s="794" t="s">
        <v>233</v>
      </c>
      <c r="F91" s="795" t="s">
        <v>234</v>
      </c>
      <c r="G91" s="796">
        <f>SUMIFS(МОЛОКО!L8:L6958,МОЛОКО!F8:F6958,"1561",МОЛОКО!L8:L6958,"&gt;0")</f>
        <v>31.8</v>
      </c>
      <c r="H91" s="797" t="s">
        <v>603</v>
      </c>
      <c r="I91" s="798">
        <v>41045</v>
      </c>
      <c r="J91" s="799">
        <f t="shared" ca="1" si="55"/>
        <v>5.7232876712328764</v>
      </c>
      <c r="K91" s="799">
        <f t="shared" ca="1" si="56"/>
        <v>69.63333333333334</v>
      </c>
      <c r="L91" s="800">
        <f t="shared" ca="1" si="57"/>
        <v>2089</v>
      </c>
      <c r="M91" s="801">
        <v>41964</v>
      </c>
      <c r="N91" s="802">
        <v>42867</v>
      </c>
      <c r="O91" s="803">
        <f t="shared" ca="1" si="58"/>
        <v>267</v>
      </c>
      <c r="P91" s="804">
        <v>3</v>
      </c>
      <c r="Q91" s="805"/>
      <c r="R91" s="806"/>
      <c r="S91" s="807"/>
      <c r="T91" s="798"/>
      <c r="U91" s="798" t="str">
        <f t="shared" si="59"/>
        <v>-</v>
      </c>
      <c r="V91" s="804" t="str">
        <f t="shared" ca="1" si="60"/>
        <v>-</v>
      </c>
      <c r="W91" s="808">
        <v>0</v>
      </c>
      <c r="X91" s="794" t="str">
        <f t="shared" si="61"/>
        <v>-</v>
      </c>
      <c r="Y91" s="794">
        <v>0</v>
      </c>
      <c r="Z91" s="809" t="str">
        <f t="shared" ca="1" si="62"/>
        <v>-----</v>
      </c>
      <c r="AA91" s="810">
        <f t="shared" ca="1" si="63"/>
        <v>43134</v>
      </c>
      <c r="AB91" s="804"/>
      <c r="AC91" s="811" t="str">
        <f t="shared" ca="1" si="64"/>
        <v>-----</v>
      </c>
      <c r="AD91" s="798"/>
      <c r="AE91" s="794" t="str">
        <f t="shared" ca="1" si="65"/>
        <v>яловая</v>
      </c>
      <c r="AF91" s="798" t="str">
        <f t="shared" si="66"/>
        <v>-</v>
      </c>
      <c r="AG91" s="812" t="str">
        <f t="shared" si="67"/>
        <v>---------</v>
      </c>
      <c r="AH91" s="807"/>
      <c r="AI91" s="807" t="str">
        <f t="shared" si="68"/>
        <v>-</v>
      </c>
      <c r="AJ91" s="807" t="str">
        <f t="shared" si="69"/>
        <v>-</v>
      </c>
      <c r="AK91" s="813"/>
      <c r="AL91" s="807" t="str">
        <f t="shared" si="70"/>
        <v>-</v>
      </c>
      <c r="AM91" s="807" t="str">
        <f t="shared" si="71"/>
        <v>-</v>
      </c>
      <c r="AN91" s="814" t="str">
        <f t="shared" ca="1" si="72"/>
        <v>-</v>
      </c>
      <c r="AO91" s="815">
        <v>1</v>
      </c>
      <c r="AP91" s="816" t="str">
        <f t="shared" ca="1" si="73"/>
        <v>-</v>
      </c>
      <c r="AQ91" s="817"/>
      <c r="AR91" s="794" t="str">
        <f t="shared" si="74"/>
        <v>-</v>
      </c>
      <c r="AS91" s="818"/>
      <c r="AT91" s="794" t="str">
        <f t="shared" si="75"/>
        <v>-</v>
      </c>
      <c r="AU91" s="819"/>
      <c r="AV91" s="820"/>
      <c r="AW91" s="821"/>
      <c r="AX91" s="821"/>
      <c r="AY91" s="969" t="str">
        <f t="shared" si="76"/>
        <v>-</v>
      </c>
      <c r="AZ91" s="966" t="str">
        <f t="shared" si="77"/>
        <v>-</v>
      </c>
      <c r="BA91" s="971" t="str">
        <f t="shared" si="78"/>
        <v>-</v>
      </c>
      <c r="BB91" s="975"/>
      <c r="BC91" s="821"/>
      <c r="BD91" s="821"/>
      <c r="BE91" s="963" t="str">
        <f t="shared" si="79"/>
        <v>-</v>
      </c>
      <c r="BF91" s="984"/>
      <c r="BG91" s="988"/>
      <c r="BH91" s="982"/>
      <c r="BI91" s="991"/>
      <c r="BJ91" s="991"/>
      <c r="BK91" s="993" t="str">
        <f t="shared" si="80"/>
        <v>-</v>
      </c>
      <c r="BL91" s="820">
        <v>42980</v>
      </c>
      <c r="BM91" s="821">
        <v>5</v>
      </c>
      <c r="BN91" s="822">
        <f t="shared" ca="1" si="81"/>
        <v>154</v>
      </c>
      <c r="BO91" s="823">
        <f t="shared" si="82"/>
        <v>64.5</v>
      </c>
      <c r="BP91" s="824"/>
      <c r="BQ91" s="821"/>
      <c r="BR91" s="822" t="str">
        <f t="shared" si="83"/>
        <v>-</v>
      </c>
      <c r="BS91" s="823" t="str">
        <f t="shared" si="84"/>
        <v>-</v>
      </c>
      <c r="BT91" s="825" t="str">
        <f t="shared" ca="1" si="85"/>
        <v>-</v>
      </c>
      <c r="BU91" s="826"/>
      <c r="BV91" s="827"/>
      <c r="BW91" s="828" t="str">
        <f t="shared" si="86"/>
        <v>Ж-Е НЕ ВАКЦ.</v>
      </c>
      <c r="BX91" s="829" t="str">
        <f t="shared" si="87"/>
        <v>-</v>
      </c>
      <c r="BY91" s="830" t="str">
        <f t="shared" ca="1" si="88"/>
        <v>-</v>
      </c>
      <c r="BZ91" s="831">
        <v>42888</v>
      </c>
      <c r="CA91" s="832">
        <v>5</v>
      </c>
      <c r="CB91" s="833">
        <f t="shared" ca="1" si="89"/>
        <v>246</v>
      </c>
      <c r="CC91" s="834" t="str">
        <f t="shared" ca="1" si="90"/>
        <v>-</v>
      </c>
      <c r="CD91" s="835">
        <f t="shared" si="91"/>
        <v>42909</v>
      </c>
      <c r="CE91" s="831">
        <v>42909</v>
      </c>
      <c r="CF91" s="832">
        <v>5</v>
      </c>
      <c r="CG91" s="833">
        <f t="shared" ca="1" si="92"/>
        <v>225</v>
      </c>
      <c r="CH91" s="836">
        <f t="shared" si="93"/>
        <v>0</v>
      </c>
      <c r="CI91" s="837" t="str">
        <f t="shared" si="94"/>
        <v>УСПЕШНО</v>
      </c>
      <c r="CJ91" s="838" t="str">
        <f t="shared" ca="1" si="95"/>
        <v>-</v>
      </c>
      <c r="CK91" s="831"/>
      <c r="CL91" s="832"/>
      <c r="CM91" s="833" t="str">
        <f t="shared" si="96"/>
        <v>-</v>
      </c>
      <c r="CN91" s="834" t="str">
        <f t="shared" si="97"/>
        <v>-</v>
      </c>
      <c r="CO91" s="830" t="str">
        <f t="shared" ca="1" si="98"/>
        <v>-</v>
      </c>
      <c r="CP91" s="839"/>
      <c r="CQ91" s="832"/>
      <c r="CR91" s="833" t="str">
        <f t="shared" si="99"/>
        <v>-</v>
      </c>
      <c r="CS91" s="833" t="str">
        <f t="shared" si="100"/>
        <v>-</v>
      </c>
      <c r="CT91" s="834" t="str">
        <f t="shared" si="101"/>
        <v>-</v>
      </c>
      <c r="CU91" s="835" t="str">
        <f t="shared" si="102"/>
        <v>-</v>
      </c>
      <c r="CV91" s="839"/>
      <c r="CW91" s="832"/>
      <c r="CX91" s="833" t="str">
        <f t="shared" si="103"/>
        <v>-</v>
      </c>
      <c r="CY91" s="840" t="str">
        <f t="shared" si="104"/>
        <v>-</v>
      </c>
      <c r="CZ91" s="833" t="str">
        <f t="shared" si="105"/>
        <v>-</v>
      </c>
      <c r="DA91" s="838" t="str">
        <f t="shared" ca="1" si="106"/>
        <v>-</v>
      </c>
      <c r="DB91" s="841"/>
      <c r="DC91" s="832"/>
    </row>
    <row r="92" spans="1:107" s="842" customFormat="1" ht="15.95" customHeight="1" x14ac:dyDescent="0.25">
      <c r="A92" s="790">
        <v>90</v>
      </c>
      <c r="B92" s="791">
        <f t="shared" ca="1" si="54"/>
        <v>43134</v>
      </c>
      <c r="C92" s="792" t="s">
        <v>614</v>
      </c>
      <c r="D92" s="793" t="s">
        <v>3203</v>
      </c>
      <c r="E92" s="794" t="s">
        <v>806</v>
      </c>
      <c r="F92" s="795" t="s">
        <v>880</v>
      </c>
      <c r="G92" s="796">
        <f>SUMIFS(МОЛОКО!L8:L6958,МОЛОКО!F8:F6958,"1585",МОЛОКО!L8:L6958,"&gt;0")</f>
        <v>15</v>
      </c>
      <c r="H92" s="797" t="s">
        <v>603</v>
      </c>
      <c r="I92" s="798">
        <v>41058</v>
      </c>
      <c r="J92" s="799">
        <f t="shared" ca="1" si="55"/>
        <v>5.6876712328767125</v>
      </c>
      <c r="K92" s="799">
        <f t="shared" ca="1" si="56"/>
        <v>69.2</v>
      </c>
      <c r="L92" s="800">
        <f t="shared" ca="1" si="57"/>
        <v>2076</v>
      </c>
      <c r="M92" s="801">
        <v>41934</v>
      </c>
      <c r="N92" s="802">
        <v>42950</v>
      </c>
      <c r="O92" s="803">
        <f t="shared" ca="1" si="58"/>
        <v>184</v>
      </c>
      <c r="P92" s="804">
        <v>3</v>
      </c>
      <c r="Q92" s="805"/>
      <c r="R92" s="806"/>
      <c r="S92" s="807"/>
      <c r="T92" s="798"/>
      <c r="U92" s="798" t="str">
        <f t="shared" si="59"/>
        <v>-</v>
      </c>
      <c r="V92" s="804" t="str">
        <f t="shared" ca="1" si="60"/>
        <v>-</v>
      </c>
      <c r="W92" s="808">
        <v>0</v>
      </c>
      <c r="X92" s="794" t="str">
        <f t="shared" si="61"/>
        <v>-</v>
      </c>
      <c r="Y92" s="794">
        <v>0</v>
      </c>
      <c r="Z92" s="809" t="str">
        <f t="shared" ca="1" si="62"/>
        <v>-----</v>
      </c>
      <c r="AA92" s="810">
        <f t="shared" ca="1" si="63"/>
        <v>43134</v>
      </c>
      <c r="AB92" s="804"/>
      <c r="AC92" s="811" t="str">
        <f t="shared" ca="1" si="64"/>
        <v>-----</v>
      </c>
      <c r="AD92" s="798"/>
      <c r="AE92" s="794" t="str">
        <f t="shared" ca="1" si="65"/>
        <v>яловая</v>
      </c>
      <c r="AF92" s="798" t="str">
        <f t="shared" si="66"/>
        <v>-</v>
      </c>
      <c r="AG92" s="812" t="str">
        <f t="shared" si="67"/>
        <v>---------</v>
      </c>
      <c r="AH92" s="807"/>
      <c r="AI92" s="807" t="str">
        <f t="shared" si="68"/>
        <v>-</v>
      </c>
      <c r="AJ92" s="807" t="str">
        <f t="shared" si="69"/>
        <v>-</v>
      </c>
      <c r="AK92" s="813"/>
      <c r="AL92" s="807" t="str">
        <f t="shared" si="70"/>
        <v>-</v>
      </c>
      <c r="AM92" s="807" t="str">
        <f t="shared" si="71"/>
        <v>-</v>
      </c>
      <c r="AN92" s="814" t="str">
        <f t="shared" ca="1" si="72"/>
        <v>-</v>
      </c>
      <c r="AO92" s="815">
        <v>1</v>
      </c>
      <c r="AP92" s="816" t="str">
        <f t="shared" ca="1" si="73"/>
        <v>-</v>
      </c>
      <c r="AQ92" s="817"/>
      <c r="AR92" s="794" t="str">
        <f t="shared" si="74"/>
        <v>-</v>
      </c>
      <c r="AS92" s="818"/>
      <c r="AT92" s="794" t="str">
        <f t="shared" si="75"/>
        <v>-</v>
      </c>
      <c r="AU92" s="819"/>
      <c r="AV92" s="820"/>
      <c r="AW92" s="821"/>
      <c r="AX92" s="821"/>
      <c r="AY92" s="969" t="str">
        <f t="shared" si="76"/>
        <v>-</v>
      </c>
      <c r="AZ92" s="966" t="str">
        <f t="shared" si="77"/>
        <v>-</v>
      </c>
      <c r="BA92" s="971" t="str">
        <f t="shared" si="78"/>
        <v>-</v>
      </c>
      <c r="BB92" s="975"/>
      <c r="BC92" s="821"/>
      <c r="BD92" s="821"/>
      <c r="BE92" s="963" t="str">
        <f t="shared" si="79"/>
        <v>-</v>
      </c>
      <c r="BF92" s="984"/>
      <c r="BG92" s="988"/>
      <c r="BH92" s="982"/>
      <c r="BI92" s="991"/>
      <c r="BJ92" s="991"/>
      <c r="BK92" s="993" t="str">
        <f t="shared" si="80"/>
        <v>-</v>
      </c>
      <c r="BL92" s="820">
        <v>42980</v>
      </c>
      <c r="BM92" s="821">
        <v>5</v>
      </c>
      <c r="BN92" s="822">
        <f t="shared" ca="1" si="81"/>
        <v>154</v>
      </c>
      <c r="BO92" s="823">
        <f t="shared" si="82"/>
        <v>64.066666666666663</v>
      </c>
      <c r="BP92" s="824"/>
      <c r="BQ92" s="821"/>
      <c r="BR92" s="822" t="str">
        <f t="shared" si="83"/>
        <v>-</v>
      </c>
      <c r="BS92" s="823" t="str">
        <f t="shared" si="84"/>
        <v>-</v>
      </c>
      <c r="BT92" s="825" t="str">
        <f t="shared" ca="1" si="85"/>
        <v>-</v>
      </c>
      <c r="BU92" s="826"/>
      <c r="BV92" s="827"/>
      <c r="BW92" s="828" t="str">
        <f t="shared" si="86"/>
        <v>Ж-Е НЕ ВАКЦ.</v>
      </c>
      <c r="BX92" s="829" t="str">
        <f t="shared" si="87"/>
        <v>-</v>
      </c>
      <c r="BY92" s="830" t="str">
        <f t="shared" ca="1" si="88"/>
        <v>-</v>
      </c>
      <c r="BZ92" s="831">
        <v>42988</v>
      </c>
      <c r="CA92" s="832">
        <v>5</v>
      </c>
      <c r="CB92" s="833">
        <f t="shared" ca="1" si="89"/>
        <v>146</v>
      </c>
      <c r="CC92" s="834" t="str">
        <f t="shared" ca="1" si="90"/>
        <v>-</v>
      </c>
      <c r="CD92" s="835">
        <f t="shared" si="91"/>
        <v>43009</v>
      </c>
      <c r="CE92" s="831">
        <v>43009</v>
      </c>
      <c r="CF92" s="832">
        <v>5</v>
      </c>
      <c r="CG92" s="833">
        <f t="shared" ca="1" si="92"/>
        <v>125</v>
      </c>
      <c r="CH92" s="836">
        <f t="shared" si="93"/>
        <v>0</v>
      </c>
      <c r="CI92" s="837" t="str">
        <f t="shared" si="94"/>
        <v>УСПЕШНО</v>
      </c>
      <c r="CJ92" s="838" t="str">
        <f t="shared" ca="1" si="95"/>
        <v>-</v>
      </c>
      <c r="CK92" s="831"/>
      <c r="CL92" s="832"/>
      <c r="CM92" s="833" t="str">
        <f t="shared" si="96"/>
        <v>-</v>
      </c>
      <c r="CN92" s="834" t="str">
        <f t="shared" si="97"/>
        <v>-</v>
      </c>
      <c r="CO92" s="830" t="str">
        <f t="shared" ca="1" si="98"/>
        <v>-</v>
      </c>
      <c r="CP92" s="831">
        <v>42882</v>
      </c>
      <c r="CQ92" s="832">
        <v>2</v>
      </c>
      <c r="CR92" s="833">
        <f t="shared" si="99"/>
        <v>42882</v>
      </c>
      <c r="CS92" s="833">
        <f t="shared" ca="1" si="100"/>
        <v>252</v>
      </c>
      <c r="CT92" s="834" t="str">
        <f t="shared" ca="1" si="101"/>
        <v>-</v>
      </c>
      <c r="CU92" s="835">
        <f t="shared" si="102"/>
        <v>42903</v>
      </c>
      <c r="CV92" s="831">
        <v>42903</v>
      </c>
      <c r="CW92" s="832">
        <v>2</v>
      </c>
      <c r="CX92" s="833">
        <f t="shared" si="103"/>
        <v>0</v>
      </c>
      <c r="CY92" s="840" t="str">
        <f t="shared" si="104"/>
        <v>УСПЕШНО</v>
      </c>
      <c r="CZ92" s="833">
        <f t="shared" si="105"/>
        <v>42903</v>
      </c>
      <c r="DA92" s="838" t="str">
        <f t="shared" ca="1" si="106"/>
        <v>-</v>
      </c>
      <c r="DB92" s="841"/>
      <c r="DC92" s="832"/>
    </row>
    <row r="93" spans="1:107" s="842" customFormat="1" ht="15.95" customHeight="1" x14ac:dyDescent="0.25">
      <c r="A93" s="790">
        <v>91</v>
      </c>
      <c r="B93" s="791">
        <f t="shared" ca="1" si="54"/>
        <v>43134</v>
      </c>
      <c r="C93" s="29" t="s">
        <v>614</v>
      </c>
      <c r="D93" s="427" t="s">
        <v>3203</v>
      </c>
      <c r="E93" s="794" t="s">
        <v>237</v>
      </c>
      <c r="F93" s="795" t="s">
        <v>238</v>
      </c>
      <c r="G93" s="796">
        <f>SUMIFS(МОЛОКО!L8:L6958,МОЛОКО!F8:F6958,"1602",МОЛОКО!L8:L6958,"&gt;0")</f>
        <v>29.2</v>
      </c>
      <c r="H93" s="797" t="s">
        <v>603</v>
      </c>
      <c r="I93" s="798">
        <v>41075</v>
      </c>
      <c r="J93" s="799">
        <f t="shared" ca="1" si="55"/>
        <v>5.6410958904109592</v>
      </c>
      <c r="K93" s="799">
        <f t="shared" ca="1" si="56"/>
        <v>68.63333333333334</v>
      </c>
      <c r="L93" s="800">
        <f t="shared" ca="1" si="57"/>
        <v>2059</v>
      </c>
      <c r="M93" s="801">
        <v>41075</v>
      </c>
      <c r="N93" s="802">
        <v>43035</v>
      </c>
      <c r="O93" s="803">
        <f t="shared" ca="1" si="58"/>
        <v>99</v>
      </c>
      <c r="P93" s="804">
        <v>3</v>
      </c>
      <c r="Q93" s="805"/>
      <c r="R93" s="806"/>
      <c r="S93" s="807"/>
      <c r="T93" s="798"/>
      <c r="U93" s="798" t="str">
        <f t="shared" si="59"/>
        <v>-</v>
      </c>
      <c r="V93" s="804" t="str">
        <f t="shared" ca="1" si="60"/>
        <v>-</v>
      </c>
      <c r="W93" s="808">
        <v>0</v>
      </c>
      <c r="X93" s="794" t="str">
        <f t="shared" si="61"/>
        <v>-</v>
      </c>
      <c r="Y93" s="794">
        <v>0</v>
      </c>
      <c r="Z93" s="809" t="str">
        <f t="shared" ca="1" si="62"/>
        <v>-----</v>
      </c>
      <c r="AA93" s="810">
        <f t="shared" ca="1" si="63"/>
        <v>43134</v>
      </c>
      <c r="AB93" s="804"/>
      <c r="AC93" s="811" t="str">
        <f t="shared" ca="1" si="64"/>
        <v>-----</v>
      </c>
      <c r="AD93" s="798"/>
      <c r="AE93" s="794" t="str">
        <f t="shared" ca="1" si="65"/>
        <v>-</v>
      </c>
      <c r="AF93" s="798" t="str">
        <f t="shared" si="66"/>
        <v>-</v>
      </c>
      <c r="AG93" s="812" t="str">
        <f t="shared" si="67"/>
        <v>---------</v>
      </c>
      <c r="AH93" s="807"/>
      <c r="AI93" s="807" t="str">
        <f t="shared" si="68"/>
        <v>-</v>
      </c>
      <c r="AJ93" s="807" t="str">
        <f t="shared" si="69"/>
        <v>-</v>
      </c>
      <c r="AK93" s="813"/>
      <c r="AL93" s="807" t="str">
        <f t="shared" si="70"/>
        <v>-</v>
      </c>
      <c r="AM93" s="807" t="str">
        <f t="shared" si="71"/>
        <v>-</v>
      </c>
      <c r="AN93" s="814" t="str">
        <f t="shared" ca="1" si="72"/>
        <v>-</v>
      </c>
      <c r="AO93" s="815">
        <v>1</v>
      </c>
      <c r="AP93" s="816" t="str">
        <f t="shared" ca="1" si="73"/>
        <v>-</v>
      </c>
      <c r="AQ93" s="817"/>
      <c r="AR93" s="794" t="str">
        <f t="shared" si="74"/>
        <v>-</v>
      </c>
      <c r="AS93" s="818"/>
      <c r="AT93" s="794" t="str">
        <f t="shared" si="75"/>
        <v>-</v>
      </c>
      <c r="AU93" s="819"/>
      <c r="AV93" s="820"/>
      <c r="AW93" s="821"/>
      <c r="AX93" s="821"/>
      <c r="AY93" s="969" t="str">
        <f t="shared" si="76"/>
        <v>-</v>
      </c>
      <c r="AZ93" s="966" t="str">
        <f t="shared" si="77"/>
        <v>-</v>
      </c>
      <c r="BA93" s="971" t="str">
        <f t="shared" si="78"/>
        <v>-</v>
      </c>
      <c r="BB93" s="975"/>
      <c r="BC93" s="821"/>
      <c r="BD93" s="821"/>
      <c r="BE93" s="963" t="str">
        <f t="shared" si="79"/>
        <v>-</v>
      </c>
      <c r="BF93" s="984"/>
      <c r="BG93" s="988"/>
      <c r="BH93" s="982"/>
      <c r="BI93" s="991"/>
      <c r="BJ93" s="991"/>
      <c r="BK93" s="993" t="str">
        <f t="shared" si="80"/>
        <v>-</v>
      </c>
      <c r="BL93" s="820">
        <v>42978</v>
      </c>
      <c r="BM93" s="821">
        <v>5</v>
      </c>
      <c r="BN93" s="822">
        <f t="shared" ca="1" si="81"/>
        <v>156</v>
      </c>
      <c r="BO93" s="823">
        <f t="shared" si="82"/>
        <v>63.43333333333333</v>
      </c>
      <c r="BP93" s="824"/>
      <c r="BQ93" s="821"/>
      <c r="BR93" s="822" t="str">
        <f t="shared" si="83"/>
        <v>-</v>
      </c>
      <c r="BS93" s="823" t="str">
        <f t="shared" si="84"/>
        <v>-</v>
      </c>
      <c r="BT93" s="825" t="str">
        <f t="shared" ca="1" si="85"/>
        <v>-</v>
      </c>
      <c r="BU93" s="826"/>
      <c r="BV93" s="827"/>
      <c r="BW93" s="828" t="str">
        <f t="shared" si="86"/>
        <v>Ж-Е НЕ ВАКЦ.</v>
      </c>
      <c r="BX93" s="829" t="str">
        <f t="shared" si="87"/>
        <v>-</v>
      </c>
      <c r="BY93" s="830" t="str">
        <f t="shared" ca="1" si="88"/>
        <v>-</v>
      </c>
      <c r="BZ93" s="831">
        <v>42887</v>
      </c>
      <c r="CA93" s="832">
        <v>5</v>
      </c>
      <c r="CB93" s="833">
        <f t="shared" ca="1" si="89"/>
        <v>247</v>
      </c>
      <c r="CC93" s="834" t="str">
        <f t="shared" ca="1" si="90"/>
        <v>-</v>
      </c>
      <c r="CD93" s="835">
        <f t="shared" si="91"/>
        <v>42908</v>
      </c>
      <c r="CE93" s="831">
        <v>42908</v>
      </c>
      <c r="CF93" s="832">
        <v>5</v>
      </c>
      <c r="CG93" s="833">
        <f t="shared" ca="1" si="92"/>
        <v>226</v>
      </c>
      <c r="CH93" s="836">
        <f t="shared" si="93"/>
        <v>0</v>
      </c>
      <c r="CI93" s="837" t="str">
        <f t="shared" si="94"/>
        <v>УСПЕШНО</v>
      </c>
      <c r="CJ93" s="838" t="str">
        <f t="shared" ca="1" si="95"/>
        <v>-</v>
      </c>
      <c r="CK93" s="831"/>
      <c r="CL93" s="832"/>
      <c r="CM93" s="833" t="str">
        <f t="shared" si="96"/>
        <v>-</v>
      </c>
      <c r="CN93" s="834" t="str">
        <f t="shared" si="97"/>
        <v>-</v>
      </c>
      <c r="CO93" s="830" t="str">
        <f t="shared" ca="1" si="98"/>
        <v>-</v>
      </c>
      <c r="CP93" s="831">
        <v>42975</v>
      </c>
      <c r="CQ93" s="832">
        <v>2</v>
      </c>
      <c r="CR93" s="833">
        <f t="shared" si="99"/>
        <v>42975</v>
      </c>
      <c r="CS93" s="833">
        <f t="shared" ca="1" si="100"/>
        <v>159</v>
      </c>
      <c r="CT93" s="834" t="str">
        <f t="shared" ca="1" si="101"/>
        <v>-</v>
      </c>
      <c r="CU93" s="835">
        <f t="shared" si="102"/>
        <v>42996</v>
      </c>
      <c r="CV93" s="831">
        <v>42996</v>
      </c>
      <c r="CW93" s="832">
        <v>2</v>
      </c>
      <c r="CX93" s="833">
        <f t="shared" si="103"/>
        <v>0</v>
      </c>
      <c r="CY93" s="840" t="str">
        <f t="shared" si="104"/>
        <v>УСПЕШНО</v>
      </c>
      <c r="CZ93" s="833">
        <f t="shared" si="105"/>
        <v>42996</v>
      </c>
      <c r="DA93" s="838" t="str">
        <f t="shared" ca="1" si="106"/>
        <v>-</v>
      </c>
      <c r="DB93" s="841"/>
      <c r="DC93" s="832"/>
    </row>
    <row r="94" spans="1:107" s="842" customFormat="1" ht="15.95" customHeight="1" x14ac:dyDescent="0.25">
      <c r="A94" s="790">
        <v>92</v>
      </c>
      <c r="B94" s="791">
        <f t="shared" ca="1" si="54"/>
        <v>43134</v>
      </c>
      <c r="C94" s="29" t="s">
        <v>614</v>
      </c>
      <c r="D94" s="59" t="s">
        <v>3203</v>
      </c>
      <c r="E94" s="794" t="s">
        <v>262</v>
      </c>
      <c r="F94" s="795" t="s">
        <v>263</v>
      </c>
      <c r="G94" s="796">
        <f>SUMIFS(МОЛОКО!L8:L6958,МОЛОКО!F8:F6958,"1684",МОЛОКО!L8:L6958,"&gt;0")</f>
        <v>33</v>
      </c>
      <c r="H94" s="797" t="s">
        <v>603</v>
      </c>
      <c r="I94" s="798">
        <v>41164</v>
      </c>
      <c r="J94" s="799">
        <f t="shared" ca="1" si="55"/>
        <v>5.397260273972603</v>
      </c>
      <c r="K94" s="799">
        <f t="shared" ca="1" si="56"/>
        <v>65.666666666666671</v>
      </c>
      <c r="L94" s="800">
        <f t="shared" ca="1" si="57"/>
        <v>1970</v>
      </c>
      <c r="M94" s="801">
        <v>41993</v>
      </c>
      <c r="N94" s="802">
        <v>43021</v>
      </c>
      <c r="O94" s="803">
        <f t="shared" ca="1" si="58"/>
        <v>113</v>
      </c>
      <c r="P94" s="804">
        <v>3</v>
      </c>
      <c r="Q94" s="805"/>
      <c r="R94" s="806"/>
      <c r="S94" s="807"/>
      <c r="T94" s="798"/>
      <c r="U94" s="798" t="str">
        <f t="shared" si="59"/>
        <v>-</v>
      </c>
      <c r="V94" s="804" t="str">
        <f t="shared" ca="1" si="60"/>
        <v>-</v>
      </c>
      <c r="W94" s="808">
        <v>0</v>
      </c>
      <c r="X94" s="794" t="str">
        <f t="shared" si="61"/>
        <v>-</v>
      </c>
      <c r="Y94" s="794">
        <v>0</v>
      </c>
      <c r="Z94" s="809" t="str">
        <f t="shared" ca="1" si="62"/>
        <v>-----</v>
      </c>
      <c r="AA94" s="810">
        <f t="shared" ca="1" si="63"/>
        <v>43134</v>
      </c>
      <c r="AB94" s="804"/>
      <c r="AC94" s="811" t="str">
        <f t="shared" ca="1" si="64"/>
        <v>-----</v>
      </c>
      <c r="AD94" s="798"/>
      <c r="AE94" s="794" t="str">
        <f t="shared" ca="1" si="65"/>
        <v>-</v>
      </c>
      <c r="AF94" s="798" t="str">
        <f t="shared" si="66"/>
        <v>-</v>
      </c>
      <c r="AG94" s="812" t="str">
        <f t="shared" si="67"/>
        <v>---------</v>
      </c>
      <c r="AH94" s="807"/>
      <c r="AI94" s="807" t="str">
        <f t="shared" si="68"/>
        <v>-</v>
      </c>
      <c r="AJ94" s="807" t="str">
        <f t="shared" si="69"/>
        <v>-</v>
      </c>
      <c r="AK94" s="813"/>
      <c r="AL94" s="807" t="str">
        <f t="shared" si="70"/>
        <v>-</v>
      </c>
      <c r="AM94" s="807" t="str">
        <f t="shared" si="71"/>
        <v>-</v>
      </c>
      <c r="AN94" s="814" t="str">
        <f t="shared" ca="1" si="72"/>
        <v>-</v>
      </c>
      <c r="AO94" s="815">
        <v>1</v>
      </c>
      <c r="AP94" s="816" t="str">
        <f t="shared" ca="1" si="73"/>
        <v>-</v>
      </c>
      <c r="AQ94" s="817"/>
      <c r="AR94" s="794" t="str">
        <f t="shared" si="74"/>
        <v>-</v>
      </c>
      <c r="AS94" s="818"/>
      <c r="AT94" s="794" t="str">
        <f t="shared" si="75"/>
        <v>-</v>
      </c>
      <c r="AU94" s="819"/>
      <c r="AV94" s="820"/>
      <c r="AW94" s="821"/>
      <c r="AX94" s="821"/>
      <c r="AY94" s="969" t="str">
        <f t="shared" si="76"/>
        <v>-</v>
      </c>
      <c r="AZ94" s="966" t="str">
        <f t="shared" si="77"/>
        <v>-</v>
      </c>
      <c r="BA94" s="971" t="str">
        <f t="shared" si="78"/>
        <v>-</v>
      </c>
      <c r="BB94" s="975"/>
      <c r="BC94" s="821"/>
      <c r="BD94" s="821"/>
      <c r="BE94" s="963" t="str">
        <f t="shared" si="79"/>
        <v>-</v>
      </c>
      <c r="BF94" s="984"/>
      <c r="BG94" s="988"/>
      <c r="BH94" s="982"/>
      <c r="BI94" s="991"/>
      <c r="BJ94" s="991"/>
      <c r="BK94" s="993" t="str">
        <f t="shared" si="80"/>
        <v>-</v>
      </c>
      <c r="BL94" s="820">
        <v>42978</v>
      </c>
      <c r="BM94" s="821">
        <v>5</v>
      </c>
      <c r="BN94" s="822">
        <f t="shared" ca="1" si="81"/>
        <v>156</v>
      </c>
      <c r="BO94" s="823">
        <f t="shared" si="82"/>
        <v>60.466666666666669</v>
      </c>
      <c r="BP94" s="824"/>
      <c r="BQ94" s="821"/>
      <c r="BR94" s="822" t="str">
        <f t="shared" si="83"/>
        <v>-</v>
      </c>
      <c r="BS94" s="823" t="str">
        <f t="shared" si="84"/>
        <v>-</v>
      </c>
      <c r="BT94" s="825" t="str">
        <f t="shared" ca="1" si="85"/>
        <v>-</v>
      </c>
      <c r="BU94" s="826"/>
      <c r="BV94" s="827"/>
      <c r="BW94" s="828" t="str">
        <f t="shared" si="86"/>
        <v>Ж-Е НЕ ВАКЦ.</v>
      </c>
      <c r="BX94" s="829" t="str">
        <f t="shared" si="87"/>
        <v>-</v>
      </c>
      <c r="BY94" s="830" t="str">
        <f t="shared" ca="1" si="88"/>
        <v>-</v>
      </c>
      <c r="BZ94" s="831">
        <v>43046</v>
      </c>
      <c r="CA94" s="832">
        <v>5</v>
      </c>
      <c r="CB94" s="833">
        <f t="shared" ca="1" si="89"/>
        <v>88</v>
      </c>
      <c r="CC94" s="834" t="str">
        <f t="shared" ca="1" si="90"/>
        <v>ТРЕБУЕТСЯ БУСТЕРНАЯ ДОЗА</v>
      </c>
      <c r="CD94" s="835">
        <f t="shared" si="91"/>
        <v>43067</v>
      </c>
      <c r="CE94" s="839"/>
      <c r="CF94" s="832"/>
      <c r="CG94" s="833" t="str">
        <f t="shared" si="92"/>
        <v>-</v>
      </c>
      <c r="CH94" s="836" t="str">
        <f t="shared" si="93"/>
        <v>-</v>
      </c>
      <c r="CI94" s="837" t="str">
        <f t="shared" si="94"/>
        <v>-</v>
      </c>
      <c r="CJ94" s="838" t="str">
        <f t="shared" si="95"/>
        <v>-</v>
      </c>
      <c r="CK94" s="831"/>
      <c r="CL94" s="832"/>
      <c r="CM94" s="833" t="str">
        <f t="shared" si="96"/>
        <v>-</v>
      </c>
      <c r="CN94" s="834" t="str">
        <f t="shared" si="97"/>
        <v>-</v>
      </c>
      <c r="CO94" s="830" t="str">
        <f t="shared" ca="1" si="98"/>
        <v>-</v>
      </c>
      <c r="CP94" s="831">
        <v>42958</v>
      </c>
      <c r="CQ94" s="832">
        <v>2</v>
      </c>
      <c r="CR94" s="833">
        <f t="shared" si="99"/>
        <v>42958</v>
      </c>
      <c r="CS94" s="833">
        <f t="shared" ca="1" si="100"/>
        <v>176</v>
      </c>
      <c r="CT94" s="834" t="str">
        <f t="shared" ca="1" si="101"/>
        <v>-</v>
      </c>
      <c r="CU94" s="835">
        <f t="shared" si="102"/>
        <v>42979</v>
      </c>
      <c r="CV94" s="831">
        <v>42980</v>
      </c>
      <c r="CW94" s="832">
        <v>2</v>
      </c>
      <c r="CX94" s="833">
        <f t="shared" si="103"/>
        <v>1</v>
      </c>
      <c r="CY94" s="840" t="str">
        <f t="shared" si="104"/>
        <v>-</v>
      </c>
      <c r="CZ94" s="833">
        <f t="shared" si="105"/>
        <v>42980</v>
      </c>
      <c r="DA94" s="838" t="str">
        <f t="shared" ca="1" si="106"/>
        <v>-</v>
      </c>
      <c r="DB94" s="841"/>
      <c r="DC94" s="832"/>
    </row>
    <row r="95" spans="1:107" s="842" customFormat="1" ht="15.95" customHeight="1" x14ac:dyDescent="0.25">
      <c r="A95" s="790">
        <v>93</v>
      </c>
      <c r="B95" s="791">
        <f t="shared" ca="1" si="54"/>
        <v>43134</v>
      </c>
      <c r="C95" s="792" t="s">
        <v>614</v>
      </c>
      <c r="D95" s="793" t="s">
        <v>3203</v>
      </c>
      <c r="E95" s="794" t="s">
        <v>404</v>
      </c>
      <c r="F95" s="795" t="s">
        <v>405</v>
      </c>
      <c r="G95" s="796">
        <f>SUMIFS(МОЛОКО!L8:L6958,МОЛОКО!F8:F6958,"1856",МОЛОКО!L8:L6958,"&gt;0")</f>
        <v>24</v>
      </c>
      <c r="H95" s="797" t="s">
        <v>603</v>
      </c>
      <c r="I95" s="798">
        <v>41400</v>
      </c>
      <c r="J95" s="799">
        <f t="shared" ca="1" si="55"/>
        <v>4.7506849315068491</v>
      </c>
      <c r="K95" s="799">
        <f t="shared" ca="1" si="56"/>
        <v>57.8</v>
      </c>
      <c r="L95" s="800">
        <f t="shared" ca="1" si="57"/>
        <v>1734</v>
      </c>
      <c r="M95" s="801">
        <v>42353</v>
      </c>
      <c r="N95" s="802">
        <v>42815</v>
      </c>
      <c r="O95" s="803">
        <f t="shared" ca="1" si="58"/>
        <v>319</v>
      </c>
      <c r="P95" s="804">
        <v>2</v>
      </c>
      <c r="Q95" s="805" t="s">
        <v>2366</v>
      </c>
      <c r="R95" s="118" t="s">
        <v>2962</v>
      </c>
      <c r="S95" s="807">
        <v>42874</v>
      </c>
      <c r="T95" s="798">
        <v>43028</v>
      </c>
      <c r="U95" s="798">
        <f t="shared" si="59"/>
        <v>43046</v>
      </c>
      <c r="V95" s="804">
        <f t="shared" ca="1" si="60"/>
        <v>88</v>
      </c>
      <c r="W95" s="808">
        <v>4</v>
      </c>
      <c r="X95" s="794">
        <f t="shared" si="61"/>
        <v>213</v>
      </c>
      <c r="Y95" s="794">
        <v>3</v>
      </c>
      <c r="Z95" s="809" t="str">
        <f t="shared" ca="1" si="62"/>
        <v>-----</v>
      </c>
      <c r="AA95" s="810">
        <f t="shared" ca="1" si="63"/>
        <v>106</v>
      </c>
      <c r="AB95" s="804"/>
      <c r="AC95" s="811" t="str">
        <f t="shared" ca="1" si="64"/>
        <v>-----</v>
      </c>
      <c r="AD95" s="798"/>
      <c r="AE95" s="794" t="str">
        <f t="shared" ca="1" si="65"/>
        <v>-</v>
      </c>
      <c r="AF95" s="798">
        <f t="shared" si="66"/>
        <v>43063</v>
      </c>
      <c r="AG95" s="812">
        <f t="shared" ca="1" si="67"/>
        <v>71</v>
      </c>
      <c r="AH95" s="807">
        <v>42994</v>
      </c>
      <c r="AI95" s="807" t="str">
        <f t="shared" si="68"/>
        <v>-</v>
      </c>
      <c r="AJ95" s="807" t="str">
        <f t="shared" si="69"/>
        <v>-</v>
      </c>
      <c r="AK95" s="813"/>
      <c r="AL95" s="807" t="str">
        <f t="shared" si="70"/>
        <v>-</v>
      </c>
      <c r="AM95" s="807" t="str">
        <f t="shared" si="71"/>
        <v>-</v>
      </c>
      <c r="AN95" s="814" t="str">
        <f t="shared" ca="1" si="72"/>
        <v>-</v>
      </c>
      <c r="AO95" s="815">
        <v>1</v>
      </c>
      <c r="AP95" s="816" t="str">
        <f t="shared" ca="1" si="73"/>
        <v>-</v>
      </c>
      <c r="AQ95" s="817"/>
      <c r="AR95" s="794" t="str">
        <f t="shared" si="74"/>
        <v>-</v>
      </c>
      <c r="AS95" s="818"/>
      <c r="AT95" s="794" t="str">
        <f t="shared" si="75"/>
        <v>-</v>
      </c>
      <c r="AU95" s="819"/>
      <c r="AV95" s="820"/>
      <c r="AW95" s="821"/>
      <c r="AX95" s="821"/>
      <c r="AY95" s="969" t="str">
        <f t="shared" si="76"/>
        <v>-</v>
      </c>
      <c r="AZ95" s="966" t="str">
        <f t="shared" si="77"/>
        <v>-</v>
      </c>
      <c r="BA95" s="971" t="str">
        <f t="shared" si="78"/>
        <v>-</v>
      </c>
      <c r="BB95" s="975"/>
      <c r="BC95" s="821"/>
      <c r="BD95" s="821"/>
      <c r="BE95" s="963" t="str">
        <f t="shared" si="79"/>
        <v>-</v>
      </c>
      <c r="BF95" s="984"/>
      <c r="BG95" s="988"/>
      <c r="BH95" s="982"/>
      <c r="BI95" s="991"/>
      <c r="BJ95" s="991"/>
      <c r="BK95" s="993" t="str">
        <f t="shared" si="80"/>
        <v>-</v>
      </c>
      <c r="BL95" s="820">
        <v>42981</v>
      </c>
      <c r="BM95" s="821">
        <v>5</v>
      </c>
      <c r="BN95" s="822">
        <f t="shared" ca="1" si="81"/>
        <v>153</v>
      </c>
      <c r="BO95" s="823">
        <f t="shared" si="82"/>
        <v>52.7</v>
      </c>
      <c r="BP95" s="824"/>
      <c r="BQ95" s="821"/>
      <c r="BR95" s="822" t="str">
        <f t="shared" si="83"/>
        <v>-</v>
      </c>
      <c r="BS95" s="823" t="str">
        <f t="shared" si="84"/>
        <v>-</v>
      </c>
      <c r="BT95" s="825" t="str">
        <f t="shared" ca="1" si="85"/>
        <v>-</v>
      </c>
      <c r="BU95" s="826"/>
      <c r="BV95" s="827"/>
      <c r="BW95" s="828" t="str">
        <f t="shared" si="86"/>
        <v>Ж-Е НЕ ВАКЦ.</v>
      </c>
      <c r="BX95" s="829" t="str">
        <f t="shared" si="87"/>
        <v>-</v>
      </c>
      <c r="BY95" s="830" t="str">
        <f t="shared" ca="1" si="88"/>
        <v>-</v>
      </c>
      <c r="BZ95" s="831">
        <v>42887</v>
      </c>
      <c r="CA95" s="832">
        <v>5</v>
      </c>
      <c r="CB95" s="833">
        <f t="shared" ca="1" si="89"/>
        <v>247</v>
      </c>
      <c r="CC95" s="834" t="str">
        <f t="shared" ca="1" si="90"/>
        <v>-</v>
      </c>
      <c r="CD95" s="835">
        <f t="shared" si="91"/>
        <v>42908</v>
      </c>
      <c r="CE95" s="831">
        <v>42908</v>
      </c>
      <c r="CF95" s="832">
        <v>5</v>
      </c>
      <c r="CG95" s="833">
        <f t="shared" ca="1" si="92"/>
        <v>226</v>
      </c>
      <c r="CH95" s="836">
        <f t="shared" si="93"/>
        <v>0</v>
      </c>
      <c r="CI95" s="837" t="str">
        <f t="shared" si="94"/>
        <v>УСПЕШНО</v>
      </c>
      <c r="CJ95" s="838" t="str">
        <f t="shared" ca="1" si="95"/>
        <v>-</v>
      </c>
      <c r="CK95" s="831"/>
      <c r="CL95" s="832"/>
      <c r="CM95" s="833" t="str">
        <f t="shared" si="96"/>
        <v>-</v>
      </c>
      <c r="CN95" s="834" t="str">
        <f t="shared" si="97"/>
        <v>-</v>
      </c>
      <c r="CO95" s="830" t="str">
        <f t="shared" ca="1" si="98"/>
        <v>-</v>
      </c>
      <c r="CP95" s="839"/>
      <c r="CQ95" s="832"/>
      <c r="CR95" s="833" t="str">
        <f t="shared" si="99"/>
        <v>-</v>
      </c>
      <c r="CS95" s="833" t="str">
        <f t="shared" si="100"/>
        <v>-</v>
      </c>
      <c r="CT95" s="834" t="str">
        <f t="shared" si="101"/>
        <v>-</v>
      </c>
      <c r="CU95" s="835" t="str">
        <f t="shared" si="102"/>
        <v>-</v>
      </c>
      <c r="CV95" s="839"/>
      <c r="CW95" s="832"/>
      <c r="CX95" s="833" t="str">
        <f t="shared" si="103"/>
        <v>-</v>
      </c>
      <c r="CY95" s="840" t="str">
        <f t="shared" si="104"/>
        <v>-</v>
      </c>
      <c r="CZ95" s="833" t="str">
        <f t="shared" si="105"/>
        <v>-</v>
      </c>
      <c r="DA95" s="838" t="str">
        <f t="shared" ca="1" si="106"/>
        <v>-</v>
      </c>
      <c r="DB95" s="841"/>
      <c r="DC95" s="832"/>
    </row>
    <row r="96" spans="1:107" s="842" customFormat="1" ht="15.95" customHeight="1" x14ac:dyDescent="0.25">
      <c r="A96" s="790">
        <v>94</v>
      </c>
      <c r="B96" s="791">
        <f t="shared" ca="1" si="54"/>
        <v>43134</v>
      </c>
      <c r="C96" s="792" t="s">
        <v>614</v>
      </c>
      <c r="D96" s="793" t="s">
        <v>3203</v>
      </c>
      <c r="E96" s="794" t="s">
        <v>493</v>
      </c>
      <c r="F96" s="795" t="s">
        <v>494</v>
      </c>
      <c r="G96" s="796">
        <f>SUMIFS(МОЛОКО!L8:L6958,МОЛОКО!F8:F6958,"1868",МОЛОКО!L8:L6958,"&gt;0")</f>
        <v>21.7</v>
      </c>
      <c r="H96" s="797" t="s">
        <v>603</v>
      </c>
      <c r="I96" s="798">
        <v>41410</v>
      </c>
      <c r="J96" s="799">
        <f t="shared" ca="1" si="55"/>
        <v>4.7232876712328764</v>
      </c>
      <c r="K96" s="799">
        <f t="shared" ca="1" si="56"/>
        <v>57.466666666666669</v>
      </c>
      <c r="L96" s="800">
        <f t="shared" ca="1" si="57"/>
        <v>1724</v>
      </c>
      <c r="M96" s="801">
        <v>42169</v>
      </c>
      <c r="N96" s="802">
        <v>42754</v>
      </c>
      <c r="O96" s="803">
        <f t="shared" ca="1" si="58"/>
        <v>380</v>
      </c>
      <c r="P96" s="804">
        <v>2</v>
      </c>
      <c r="Q96" s="805" t="s">
        <v>2366</v>
      </c>
      <c r="R96" s="806" t="s">
        <v>1875</v>
      </c>
      <c r="S96" s="807">
        <v>42817</v>
      </c>
      <c r="T96" s="798">
        <v>42929</v>
      </c>
      <c r="U96" s="798" t="str">
        <f t="shared" si="59"/>
        <v>-</v>
      </c>
      <c r="V96" s="804" t="str">
        <f t="shared" ca="1" si="60"/>
        <v>-</v>
      </c>
      <c r="W96" s="808">
        <v>4</v>
      </c>
      <c r="X96" s="794">
        <f t="shared" si="61"/>
        <v>175</v>
      </c>
      <c r="Y96" s="794">
        <v>1</v>
      </c>
      <c r="Z96" s="809" t="str">
        <f t="shared" ca="1" si="62"/>
        <v>-----</v>
      </c>
      <c r="AA96" s="810" t="str">
        <f t="shared" ca="1" si="63"/>
        <v>-----</v>
      </c>
      <c r="AB96" s="804">
        <v>1</v>
      </c>
      <c r="AC96" s="811" t="str">
        <f t="shared" ca="1" si="64"/>
        <v>-----</v>
      </c>
      <c r="AD96" s="798">
        <v>43043</v>
      </c>
      <c r="AE96" s="794" t="str">
        <f t="shared" ca="1" si="65"/>
        <v>-</v>
      </c>
      <c r="AF96" s="798" t="str">
        <f t="shared" si="66"/>
        <v>-</v>
      </c>
      <c r="AG96" s="812" t="str">
        <f t="shared" si="67"/>
        <v>---------</v>
      </c>
      <c r="AH96" s="807">
        <v>42974</v>
      </c>
      <c r="AI96" s="807">
        <f t="shared" si="68"/>
        <v>43119</v>
      </c>
      <c r="AJ96" s="807">
        <f t="shared" si="69"/>
        <v>43149</v>
      </c>
      <c r="AK96" s="813"/>
      <c r="AL96" s="807">
        <f t="shared" si="70"/>
        <v>43188</v>
      </c>
      <c r="AM96" s="807">
        <f t="shared" si="71"/>
        <v>43209</v>
      </c>
      <c r="AN96" s="814">
        <f t="shared" ca="1" si="72"/>
        <v>-75</v>
      </c>
      <c r="AO96" s="815">
        <v>1</v>
      </c>
      <c r="AP96" s="816" t="str">
        <f t="shared" ca="1" si="73"/>
        <v>-</v>
      </c>
      <c r="AQ96" s="817"/>
      <c r="AR96" s="794" t="str">
        <f t="shared" si="74"/>
        <v>-</v>
      </c>
      <c r="AS96" s="818"/>
      <c r="AT96" s="794" t="str">
        <f t="shared" si="75"/>
        <v>-</v>
      </c>
      <c r="AU96" s="819"/>
      <c r="AV96" s="820"/>
      <c r="AW96" s="821"/>
      <c r="AX96" s="821"/>
      <c r="AY96" s="969" t="str">
        <f t="shared" si="76"/>
        <v>-</v>
      </c>
      <c r="AZ96" s="966" t="str">
        <f t="shared" si="77"/>
        <v>-</v>
      </c>
      <c r="BA96" s="971" t="str">
        <f t="shared" si="78"/>
        <v>-</v>
      </c>
      <c r="BB96" s="975"/>
      <c r="BC96" s="821"/>
      <c r="BD96" s="821"/>
      <c r="BE96" s="963" t="str">
        <f t="shared" si="79"/>
        <v>-</v>
      </c>
      <c r="BF96" s="984"/>
      <c r="BG96" s="988"/>
      <c r="BH96" s="982"/>
      <c r="BI96" s="991"/>
      <c r="BJ96" s="991"/>
      <c r="BK96" s="993" t="str">
        <f t="shared" si="80"/>
        <v>-</v>
      </c>
      <c r="BL96" s="820">
        <v>42980</v>
      </c>
      <c r="BM96" s="821">
        <v>5</v>
      </c>
      <c r="BN96" s="822">
        <f t="shared" ca="1" si="81"/>
        <v>154</v>
      </c>
      <c r="BO96" s="823">
        <f t="shared" si="82"/>
        <v>52.333333333333336</v>
      </c>
      <c r="BP96" s="824"/>
      <c r="BQ96" s="821"/>
      <c r="BR96" s="822" t="str">
        <f t="shared" si="83"/>
        <v>-</v>
      </c>
      <c r="BS96" s="823" t="str">
        <f t="shared" si="84"/>
        <v>-</v>
      </c>
      <c r="BT96" s="825" t="str">
        <f t="shared" ca="1" si="85"/>
        <v>-</v>
      </c>
      <c r="BU96" s="826"/>
      <c r="BV96" s="827"/>
      <c r="BW96" s="828" t="str">
        <f t="shared" si="86"/>
        <v>Ж-Е НЕ ВАКЦ.</v>
      </c>
      <c r="BX96" s="829" t="str">
        <f t="shared" si="87"/>
        <v>-</v>
      </c>
      <c r="BY96" s="830" t="str">
        <f t="shared" ca="1" si="88"/>
        <v>-</v>
      </c>
      <c r="BZ96" s="831">
        <v>42887</v>
      </c>
      <c r="CA96" s="832">
        <v>5</v>
      </c>
      <c r="CB96" s="833">
        <f t="shared" ca="1" si="89"/>
        <v>247</v>
      </c>
      <c r="CC96" s="834" t="str">
        <f t="shared" ca="1" si="90"/>
        <v>-</v>
      </c>
      <c r="CD96" s="835">
        <f t="shared" si="91"/>
        <v>42908</v>
      </c>
      <c r="CE96" s="831">
        <v>42908</v>
      </c>
      <c r="CF96" s="832">
        <v>5</v>
      </c>
      <c r="CG96" s="833">
        <f t="shared" ca="1" si="92"/>
        <v>226</v>
      </c>
      <c r="CH96" s="836">
        <f t="shared" si="93"/>
        <v>0</v>
      </c>
      <c r="CI96" s="837" t="str">
        <f t="shared" si="94"/>
        <v>УСПЕШНО</v>
      </c>
      <c r="CJ96" s="838" t="str">
        <f t="shared" ca="1" si="95"/>
        <v>-</v>
      </c>
      <c r="CK96" s="831"/>
      <c r="CL96" s="832"/>
      <c r="CM96" s="833" t="str">
        <f t="shared" si="96"/>
        <v>-</v>
      </c>
      <c r="CN96" s="834" t="str">
        <f t="shared" si="97"/>
        <v>-</v>
      </c>
      <c r="CO96" s="830" t="str">
        <f t="shared" ca="1" si="98"/>
        <v>-</v>
      </c>
      <c r="CP96" s="839"/>
      <c r="CQ96" s="832"/>
      <c r="CR96" s="833" t="str">
        <f t="shared" si="99"/>
        <v>-</v>
      </c>
      <c r="CS96" s="833" t="str">
        <f t="shared" si="100"/>
        <v>-</v>
      </c>
      <c r="CT96" s="834" t="str">
        <f t="shared" si="101"/>
        <v>-</v>
      </c>
      <c r="CU96" s="835" t="str">
        <f t="shared" si="102"/>
        <v>-</v>
      </c>
      <c r="CV96" s="839"/>
      <c r="CW96" s="832"/>
      <c r="CX96" s="833" t="str">
        <f t="shared" si="103"/>
        <v>-</v>
      </c>
      <c r="CY96" s="840" t="str">
        <f t="shared" si="104"/>
        <v>-</v>
      </c>
      <c r="CZ96" s="833" t="str">
        <f t="shared" si="105"/>
        <v>-</v>
      </c>
      <c r="DA96" s="838" t="str">
        <f t="shared" ca="1" si="106"/>
        <v>-</v>
      </c>
      <c r="DB96" s="841"/>
      <c r="DC96" s="832"/>
    </row>
    <row r="97" spans="1:107" s="842" customFormat="1" ht="15.95" customHeight="1" x14ac:dyDescent="0.25">
      <c r="A97" s="790">
        <v>95</v>
      </c>
      <c r="B97" s="791">
        <f t="shared" ca="1" si="54"/>
        <v>43134</v>
      </c>
      <c r="C97" s="792" t="s">
        <v>614</v>
      </c>
      <c r="D97" s="793" t="s">
        <v>3203</v>
      </c>
      <c r="E97" s="848" t="s">
        <v>407</v>
      </c>
      <c r="F97" s="849" t="s">
        <v>408</v>
      </c>
      <c r="G97" s="796">
        <f>SUMIFS(МОЛОКО!L8:L6958,МОЛОКО!F8:F6958,"1884",МОЛОКО!L8:L6958,"&gt;0")</f>
        <v>23.2</v>
      </c>
      <c r="H97" s="797" t="s">
        <v>603</v>
      </c>
      <c r="I97" s="798">
        <v>41425</v>
      </c>
      <c r="J97" s="799">
        <f t="shared" ca="1" si="55"/>
        <v>4.6821917808219178</v>
      </c>
      <c r="K97" s="799">
        <f t="shared" ca="1" si="56"/>
        <v>56.966666666666669</v>
      </c>
      <c r="L97" s="800">
        <f t="shared" ca="1" si="57"/>
        <v>1709</v>
      </c>
      <c r="M97" s="801">
        <v>42367</v>
      </c>
      <c r="N97" s="802">
        <v>42869</v>
      </c>
      <c r="O97" s="803">
        <f t="shared" ca="1" si="58"/>
        <v>265</v>
      </c>
      <c r="P97" s="804">
        <v>2</v>
      </c>
      <c r="Q97" s="68" t="s">
        <v>2366</v>
      </c>
      <c r="R97" s="118" t="s">
        <v>3020</v>
      </c>
      <c r="S97" s="807">
        <v>42936</v>
      </c>
      <c r="T97" s="798">
        <v>43042</v>
      </c>
      <c r="U97" s="798">
        <f t="shared" si="59"/>
        <v>43060</v>
      </c>
      <c r="V97" s="804">
        <f t="shared" ca="1" si="60"/>
        <v>74</v>
      </c>
      <c r="W97" s="808">
        <v>3</v>
      </c>
      <c r="X97" s="794">
        <f t="shared" si="61"/>
        <v>173</v>
      </c>
      <c r="Y97" s="794">
        <v>3</v>
      </c>
      <c r="Z97" s="809" t="str">
        <f t="shared" ca="1" si="62"/>
        <v>-----</v>
      </c>
      <c r="AA97" s="810">
        <f t="shared" ca="1" si="63"/>
        <v>92</v>
      </c>
      <c r="AB97" s="804"/>
      <c r="AC97" s="811" t="str">
        <f t="shared" ca="1" si="64"/>
        <v>-----</v>
      </c>
      <c r="AD97" s="798"/>
      <c r="AE97" s="794" t="str">
        <f t="shared" ca="1" si="65"/>
        <v>-</v>
      </c>
      <c r="AF97" s="798">
        <f t="shared" si="66"/>
        <v>43077</v>
      </c>
      <c r="AG97" s="812">
        <f t="shared" ca="1" si="67"/>
        <v>57</v>
      </c>
      <c r="AH97" s="807">
        <v>43035</v>
      </c>
      <c r="AI97" s="807" t="str">
        <f t="shared" si="68"/>
        <v>-</v>
      </c>
      <c r="AJ97" s="807" t="str">
        <f t="shared" si="69"/>
        <v>-</v>
      </c>
      <c r="AK97" s="813"/>
      <c r="AL97" s="807" t="str">
        <f t="shared" si="70"/>
        <v>-</v>
      </c>
      <c r="AM97" s="807" t="str">
        <f t="shared" si="71"/>
        <v>-</v>
      </c>
      <c r="AN97" s="814" t="str">
        <f t="shared" ca="1" si="72"/>
        <v>-</v>
      </c>
      <c r="AO97" s="815">
        <v>1</v>
      </c>
      <c r="AP97" s="816" t="str">
        <f t="shared" ca="1" si="73"/>
        <v>-</v>
      </c>
      <c r="AQ97" s="817"/>
      <c r="AR97" s="794" t="str">
        <f t="shared" si="74"/>
        <v>-</v>
      </c>
      <c r="AS97" s="818"/>
      <c r="AT97" s="794" t="str">
        <f t="shared" si="75"/>
        <v>-</v>
      </c>
      <c r="AU97" s="819"/>
      <c r="AV97" s="820"/>
      <c r="AW97" s="821"/>
      <c r="AX97" s="821"/>
      <c r="AY97" s="969" t="str">
        <f t="shared" si="76"/>
        <v>-</v>
      </c>
      <c r="AZ97" s="966" t="str">
        <f t="shared" si="77"/>
        <v>-</v>
      </c>
      <c r="BA97" s="971" t="str">
        <f t="shared" si="78"/>
        <v>-</v>
      </c>
      <c r="BB97" s="975"/>
      <c r="BC97" s="821"/>
      <c r="BD97" s="821"/>
      <c r="BE97" s="963" t="str">
        <f t="shared" si="79"/>
        <v>-</v>
      </c>
      <c r="BF97" s="984"/>
      <c r="BG97" s="988"/>
      <c r="BH97" s="982"/>
      <c r="BI97" s="991"/>
      <c r="BJ97" s="991"/>
      <c r="BK97" s="993" t="str">
        <f t="shared" si="80"/>
        <v>-</v>
      </c>
      <c r="BL97" s="820">
        <v>42980</v>
      </c>
      <c r="BM97" s="821">
        <v>5</v>
      </c>
      <c r="BN97" s="822">
        <f t="shared" ca="1" si="81"/>
        <v>154</v>
      </c>
      <c r="BO97" s="823">
        <f t="shared" si="82"/>
        <v>51.833333333333336</v>
      </c>
      <c r="BP97" s="824"/>
      <c r="BQ97" s="821"/>
      <c r="BR97" s="822" t="str">
        <f t="shared" si="83"/>
        <v>-</v>
      </c>
      <c r="BS97" s="823" t="str">
        <f t="shared" si="84"/>
        <v>-</v>
      </c>
      <c r="BT97" s="825" t="str">
        <f t="shared" ca="1" si="85"/>
        <v>-</v>
      </c>
      <c r="BU97" s="826"/>
      <c r="BV97" s="827"/>
      <c r="BW97" s="828" t="str">
        <f t="shared" si="86"/>
        <v>Ж-Е НЕ ВАКЦ.</v>
      </c>
      <c r="BX97" s="829" t="str">
        <f t="shared" si="87"/>
        <v>-</v>
      </c>
      <c r="BY97" s="830" t="str">
        <f t="shared" ca="1" si="88"/>
        <v>-</v>
      </c>
      <c r="BZ97" s="831">
        <v>42904</v>
      </c>
      <c r="CA97" s="832">
        <v>5</v>
      </c>
      <c r="CB97" s="833">
        <f t="shared" ca="1" si="89"/>
        <v>230</v>
      </c>
      <c r="CC97" s="834" t="str">
        <f t="shared" ca="1" si="90"/>
        <v>-</v>
      </c>
      <c r="CD97" s="835">
        <f t="shared" si="91"/>
        <v>42925</v>
      </c>
      <c r="CE97" s="831">
        <v>42925</v>
      </c>
      <c r="CF97" s="832">
        <v>5</v>
      </c>
      <c r="CG97" s="833">
        <f t="shared" ca="1" si="92"/>
        <v>209</v>
      </c>
      <c r="CH97" s="836">
        <f t="shared" si="93"/>
        <v>0</v>
      </c>
      <c r="CI97" s="837" t="str">
        <f t="shared" si="94"/>
        <v>УСПЕШНО</v>
      </c>
      <c r="CJ97" s="838" t="str">
        <f t="shared" ca="1" si="95"/>
        <v>-</v>
      </c>
      <c r="CK97" s="831"/>
      <c r="CL97" s="832"/>
      <c r="CM97" s="833" t="str">
        <f t="shared" si="96"/>
        <v>-</v>
      </c>
      <c r="CN97" s="834" t="str">
        <f t="shared" si="97"/>
        <v>-</v>
      </c>
      <c r="CO97" s="830" t="str">
        <f t="shared" ca="1" si="98"/>
        <v>-</v>
      </c>
      <c r="CP97" s="839"/>
      <c r="CQ97" s="832"/>
      <c r="CR97" s="833" t="str">
        <f t="shared" si="99"/>
        <v>-</v>
      </c>
      <c r="CS97" s="833" t="str">
        <f t="shared" si="100"/>
        <v>-</v>
      </c>
      <c r="CT97" s="834" t="str">
        <f t="shared" si="101"/>
        <v>-</v>
      </c>
      <c r="CU97" s="835" t="str">
        <f t="shared" si="102"/>
        <v>-</v>
      </c>
      <c r="CV97" s="839"/>
      <c r="CW97" s="832"/>
      <c r="CX97" s="833" t="str">
        <f t="shared" si="103"/>
        <v>-</v>
      </c>
      <c r="CY97" s="840" t="str">
        <f t="shared" si="104"/>
        <v>-</v>
      </c>
      <c r="CZ97" s="833" t="str">
        <f t="shared" si="105"/>
        <v>-</v>
      </c>
      <c r="DA97" s="838" t="str">
        <f t="shared" ca="1" si="106"/>
        <v>-</v>
      </c>
      <c r="DB97" s="841"/>
      <c r="DC97" s="832"/>
    </row>
    <row r="98" spans="1:107" s="842" customFormat="1" ht="15.95" customHeight="1" x14ac:dyDescent="0.25">
      <c r="A98" s="790">
        <v>96</v>
      </c>
      <c r="B98" s="791">
        <f t="shared" ca="1" si="54"/>
        <v>43134</v>
      </c>
      <c r="C98" s="792" t="s">
        <v>614</v>
      </c>
      <c r="D98" s="793" t="s">
        <v>3203</v>
      </c>
      <c r="E98" s="794" t="s">
        <v>1360</v>
      </c>
      <c r="F98" s="795" t="s">
        <v>1245</v>
      </c>
      <c r="G98" s="796">
        <f>SUMIFS(МОЛОКО!L8:L6958,МОЛОКО!F8:F6958,"2031",МОЛОКО!L8:L6958,"&gt;0")</f>
        <v>32.1</v>
      </c>
      <c r="H98" s="797" t="s">
        <v>603</v>
      </c>
      <c r="I98" s="798">
        <v>41596</v>
      </c>
      <c r="J98" s="799">
        <f t="shared" ca="1" si="55"/>
        <v>4.2136986301369861</v>
      </c>
      <c r="K98" s="799">
        <f t="shared" ca="1" si="56"/>
        <v>51.266666666666666</v>
      </c>
      <c r="L98" s="800">
        <f t="shared" ca="1" si="57"/>
        <v>1538</v>
      </c>
      <c r="M98" s="801">
        <v>42475</v>
      </c>
      <c r="N98" s="802">
        <v>42863</v>
      </c>
      <c r="O98" s="803">
        <f t="shared" ca="1" si="58"/>
        <v>271</v>
      </c>
      <c r="P98" s="804">
        <v>2</v>
      </c>
      <c r="Q98" s="805" t="s">
        <v>2366</v>
      </c>
      <c r="R98" s="806" t="s">
        <v>2962</v>
      </c>
      <c r="S98" s="807">
        <v>42922</v>
      </c>
      <c r="T98" s="798">
        <v>42942</v>
      </c>
      <c r="U98" s="798" t="str">
        <f t="shared" si="59"/>
        <v>-</v>
      </c>
      <c r="V98" s="804" t="str">
        <f t="shared" ca="1" si="60"/>
        <v>-</v>
      </c>
      <c r="W98" s="808">
        <v>2</v>
      </c>
      <c r="X98" s="794">
        <f t="shared" si="61"/>
        <v>79</v>
      </c>
      <c r="Y98" s="794">
        <v>1</v>
      </c>
      <c r="Z98" s="809" t="str">
        <f t="shared" ca="1" si="62"/>
        <v>-----</v>
      </c>
      <c r="AA98" s="810" t="str">
        <f t="shared" ca="1" si="63"/>
        <v>-----</v>
      </c>
      <c r="AB98" s="804">
        <v>1</v>
      </c>
      <c r="AC98" s="811" t="str">
        <f t="shared" ca="1" si="64"/>
        <v>-----</v>
      </c>
      <c r="AD98" s="798">
        <v>43030</v>
      </c>
      <c r="AE98" s="794" t="str">
        <f t="shared" ca="1" si="65"/>
        <v>-</v>
      </c>
      <c r="AF98" s="798" t="str">
        <f t="shared" si="66"/>
        <v>-</v>
      </c>
      <c r="AG98" s="812" t="str">
        <f t="shared" si="67"/>
        <v>---------</v>
      </c>
      <c r="AH98" s="807">
        <v>42975</v>
      </c>
      <c r="AI98" s="807">
        <f t="shared" si="68"/>
        <v>43132</v>
      </c>
      <c r="AJ98" s="807">
        <f t="shared" si="69"/>
        <v>43162</v>
      </c>
      <c r="AK98" s="813"/>
      <c r="AL98" s="807">
        <f t="shared" si="70"/>
        <v>43201</v>
      </c>
      <c r="AM98" s="807">
        <f t="shared" si="71"/>
        <v>43222</v>
      </c>
      <c r="AN98" s="814">
        <f t="shared" ca="1" si="72"/>
        <v>-88</v>
      </c>
      <c r="AO98" s="815">
        <v>1</v>
      </c>
      <c r="AP98" s="816" t="str">
        <f t="shared" ca="1" si="73"/>
        <v>-</v>
      </c>
      <c r="AQ98" s="817"/>
      <c r="AR98" s="794" t="str">
        <f t="shared" si="74"/>
        <v>-</v>
      </c>
      <c r="AS98" s="818"/>
      <c r="AT98" s="794" t="str">
        <f t="shared" si="75"/>
        <v>-</v>
      </c>
      <c r="AU98" s="819"/>
      <c r="AV98" s="820"/>
      <c r="AW98" s="821"/>
      <c r="AX98" s="821"/>
      <c r="AY98" s="969" t="str">
        <f t="shared" si="76"/>
        <v>-</v>
      </c>
      <c r="AZ98" s="966" t="str">
        <f t="shared" si="77"/>
        <v>-</v>
      </c>
      <c r="BA98" s="971" t="str">
        <f t="shared" si="78"/>
        <v>-</v>
      </c>
      <c r="BB98" s="975"/>
      <c r="BC98" s="821"/>
      <c r="BD98" s="821"/>
      <c r="BE98" s="963" t="str">
        <f t="shared" si="79"/>
        <v>-</v>
      </c>
      <c r="BF98" s="984"/>
      <c r="BG98" s="988"/>
      <c r="BH98" s="982"/>
      <c r="BI98" s="991"/>
      <c r="BJ98" s="991"/>
      <c r="BK98" s="993" t="str">
        <f t="shared" si="80"/>
        <v>-</v>
      </c>
      <c r="BL98" s="820">
        <v>42980</v>
      </c>
      <c r="BM98" s="821">
        <v>5</v>
      </c>
      <c r="BN98" s="822">
        <f t="shared" ca="1" si="81"/>
        <v>154</v>
      </c>
      <c r="BO98" s="823">
        <f t="shared" si="82"/>
        <v>46.133333333333333</v>
      </c>
      <c r="BP98" s="824">
        <v>43001</v>
      </c>
      <c r="BQ98" s="821">
        <v>2</v>
      </c>
      <c r="BR98" s="822">
        <f t="shared" ca="1" si="83"/>
        <v>133</v>
      </c>
      <c r="BS98" s="823">
        <f t="shared" si="84"/>
        <v>17.533333333333335</v>
      </c>
      <c r="BT98" s="825" t="str">
        <f t="shared" ca="1" si="85"/>
        <v>-</v>
      </c>
      <c r="BU98" s="826"/>
      <c r="BV98" s="827"/>
      <c r="BW98" s="828" t="str">
        <f t="shared" si="86"/>
        <v>Ж-Е НЕ ВАКЦ.</v>
      </c>
      <c r="BX98" s="829" t="str">
        <f t="shared" si="87"/>
        <v>-</v>
      </c>
      <c r="BY98" s="830" t="str">
        <f t="shared" ca="1" si="88"/>
        <v>-</v>
      </c>
      <c r="BZ98" s="831">
        <v>42888</v>
      </c>
      <c r="CA98" s="832">
        <v>5</v>
      </c>
      <c r="CB98" s="833">
        <f t="shared" ca="1" si="89"/>
        <v>246</v>
      </c>
      <c r="CC98" s="834" t="str">
        <f t="shared" ca="1" si="90"/>
        <v>-</v>
      </c>
      <c r="CD98" s="835">
        <f t="shared" si="91"/>
        <v>42909</v>
      </c>
      <c r="CE98" s="831">
        <v>42909</v>
      </c>
      <c r="CF98" s="832">
        <v>5</v>
      </c>
      <c r="CG98" s="833">
        <f t="shared" ca="1" si="92"/>
        <v>225</v>
      </c>
      <c r="CH98" s="836">
        <f t="shared" si="93"/>
        <v>0</v>
      </c>
      <c r="CI98" s="837" t="str">
        <f t="shared" si="94"/>
        <v>УСПЕШНО</v>
      </c>
      <c r="CJ98" s="838" t="str">
        <f t="shared" ca="1" si="95"/>
        <v>-</v>
      </c>
      <c r="CK98" s="831"/>
      <c r="CL98" s="832"/>
      <c r="CM98" s="833" t="str">
        <f t="shared" si="96"/>
        <v>-</v>
      </c>
      <c r="CN98" s="834" t="str">
        <f t="shared" si="97"/>
        <v>-</v>
      </c>
      <c r="CO98" s="830" t="str">
        <f t="shared" ca="1" si="98"/>
        <v>-</v>
      </c>
      <c r="CP98" s="839"/>
      <c r="CQ98" s="832"/>
      <c r="CR98" s="833" t="str">
        <f t="shared" si="99"/>
        <v>-</v>
      </c>
      <c r="CS98" s="833" t="str">
        <f t="shared" si="100"/>
        <v>-</v>
      </c>
      <c r="CT98" s="834" t="str">
        <f t="shared" si="101"/>
        <v>-</v>
      </c>
      <c r="CU98" s="835" t="str">
        <f t="shared" si="102"/>
        <v>-</v>
      </c>
      <c r="CV98" s="839"/>
      <c r="CW98" s="832"/>
      <c r="CX98" s="833" t="str">
        <f t="shared" si="103"/>
        <v>-</v>
      </c>
      <c r="CY98" s="840" t="str">
        <f t="shared" si="104"/>
        <v>-</v>
      </c>
      <c r="CZ98" s="833" t="str">
        <f t="shared" si="105"/>
        <v>-</v>
      </c>
      <c r="DA98" s="838" t="str">
        <f t="shared" ca="1" si="106"/>
        <v>-</v>
      </c>
      <c r="DB98" s="841"/>
      <c r="DC98" s="832"/>
    </row>
    <row r="99" spans="1:107" s="842" customFormat="1" ht="15.95" customHeight="1" x14ac:dyDescent="0.25">
      <c r="A99" s="790">
        <v>97</v>
      </c>
      <c r="B99" s="791">
        <f t="shared" ca="1" si="54"/>
        <v>43134</v>
      </c>
      <c r="C99" s="792" t="s">
        <v>614</v>
      </c>
      <c r="D99" s="793" t="s">
        <v>3203</v>
      </c>
      <c r="E99" s="794" t="s">
        <v>1364</v>
      </c>
      <c r="F99" s="795" t="s">
        <v>1250</v>
      </c>
      <c r="G99" s="796">
        <f>SUMIFS(МОЛОКО!L8:L6958,МОЛОКО!F8:F6958,"2065",МОЛОКО!L8:L6958,"&gt;0")</f>
        <v>39</v>
      </c>
      <c r="H99" s="797" t="s">
        <v>603</v>
      </c>
      <c r="I99" s="798">
        <v>41619</v>
      </c>
      <c r="J99" s="799">
        <f t="shared" ca="1" si="55"/>
        <v>4.1506849315068495</v>
      </c>
      <c r="K99" s="799">
        <f t="shared" ca="1" si="56"/>
        <v>50.5</v>
      </c>
      <c r="L99" s="800">
        <f t="shared" ca="1" si="57"/>
        <v>1515</v>
      </c>
      <c r="M99" s="801">
        <v>42473</v>
      </c>
      <c r="N99" s="802">
        <v>42804</v>
      </c>
      <c r="O99" s="803">
        <f t="shared" ca="1" si="58"/>
        <v>330</v>
      </c>
      <c r="P99" s="804">
        <v>2</v>
      </c>
      <c r="Q99" s="68" t="s">
        <v>2366</v>
      </c>
      <c r="R99" s="118" t="s">
        <v>2435</v>
      </c>
      <c r="S99" s="807">
        <v>42866</v>
      </c>
      <c r="T99" s="798">
        <v>43035</v>
      </c>
      <c r="U99" s="798">
        <f t="shared" si="59"/>
        <v>43053</v>
      </c>
      <c r="V99" s="804">
        <f t="shared" ca="1" si="60"/>
        <v>81</v>
      </c>
      <c r="W99" s="808">
        <v>5</v>
      </c>
      <c r="X99" s="794">
        <f t="shared" ref="X99:X116" si="107">IF(AND(N99&gt;0,T99&gt;0),T99-N99,"-")</f>
        <v>231</v>
      </c>
      <c r="Y99" s="794">
        <v>3</v>
      </c>
      <c r="Z99" s="809" t="str">
        <f t="shared" ca="1" si="62"/>
        <v>-----</v>
      </c>
      <c r="AA99" s="810">
        <f t="shared" ca="1" si="63"/>
        <v>99</v>
      </c>
      <c r="AB99" s="804"/>
      <c r="AC99" s="811" t="str">
        <f t="shared" ca="1" si="64"/>
        <v>-----</v>
      </c>
      <c r="AD99" s="798"/>
      <c r="AE99" s="794" t="str">
        <f t="shared" ca="1" si="65"/>
        <v>-</v>
      </c>
      <c r="AF99" s="798">
        <f t="shared" si="66"/>
        <v>43070</v>
      </c>
      <c r="AG99" s="812">
        <f t="shared" ca="1" si="67"/>
        <v>64</v>
      </c>
      <c r="AH99" s="807">
        <v>43020</v>
      </c>
      <c r="AI99" s="807" t="str">
        <f t="shared" si="68"/>
        <v>-</v>
      </c>
      <c r="AJ99" s="807" t="str">
        <f t="shared" si="69"/>
        <v>-</v>
      </c>
      <c r="AK99" s="813"/>
      <c r="AL99" s="807" t="str">
        <f t="shared" si="70"/>
        <v>-</v>
      </c>
      <c r="AM99" s="807" t="str">
        <f t="shared" si="71"/>
        <v>-</v>
      </c>
      <c r="AN99" s="814" t="str">
        <f t="shared" ca="1" si="72"/>
        <v>-</v>
      </c>
      <c r="AO99" s="815">
        <v>1</v>
      </c>
      <c r="AP99" s="816" t="str">
        <f t="shared" ca="1" si="73"/>
        <v>-</v>
      </c>
      <c r="AQ99" s="817"/>
      <c r="AR99" s="794" t="str">
        <f t="shared" si="74"/>
        <v>-</v>
      </c>
      <c r="AS99" s="818"/>
      <c r="AT99" s="794" t="str">
        <f t="shared" si="75"/>
        <v>-</v>
      </c>
      <c r="AU99" s="819"/>
      <c r="AV99" s="820"/>
      <c r="AW99" s="821"/>
      <c r="AX99" s="821"/>
      <c r="AY99" s="969" t="str">
        <f t="shared" si="76"/>
        <v>-</v>
      </c>
      <c r="AZ99" s="966" t="str">
        <f t="shared" si="77"/>
        <v>-</v>
      </c>
      <c r="BA99" s="971" t="str">
        <f t="shared" si="78"/>
        <v>-</v>
      </c>
      <c r="BB99" s="975"/>
      <c r="BC99" s="821"/>
      <c r="BD99" s="821"/>
      <c r="BE99" s="963" t="str">
        <f t="shared" si="79"/>
        <v>-</v>
      </c>
      <c r="BF99" s="984"/>
      <c r="BG99" s="988"/>
      <c r="BH99" s="982"/>
      <c r="BI99" s="991"/>
      <c r="BJ99" s="991"/>
      <c r="BK99" s="993" t="str">
        <f t="shared" si="80"/>
        <v>-</v>
      </c>
      <c r="BL99" s="820">
        <v>42980</v>
      </c>
      <c r="BM99" s="821">
        <v>5</v>
      </c>
      <c r="BN99" s="822">
        <f t="shared" ca="1" si="81"/>
        <v>154</v>
      </c>
      <c r="BO99" s="823">
        <f t="shared" si="82"/>
        <v>45.366666666666667</v>
      </c>
      <c r="BP99" s="824">
        <v>43001</v>
      </c>
      <c r="BQ99" s="821">
        <v>2</v>
      </c>
      <c r="BR99" s="822">
        <f t="shared" ca="1" si="83"/>
        <v>133</v>
      </c>
      <c r="BS99" s="823">
        <f t="shared" si="84"/>
        <v>17.600000000000001</v>
      </c>
      <c r="BT99" s="825" t="str">
        <f t="shared" ca="1" si="85"/>
        <v>-</v>
      </c>
      <c r="BU99" s="826"/>
      <c r="BV99" s="827"/>
      <c r="BW99" s="828" t="str">
        <f t="shared" si="86"/>
        <v>Ж-Е НЕ ВАКЦ.</v>
      </c>
      <c r="BX99" s="829" t="str">
        <f t="shared" si="87"/>
        <v>-</v>
      </c>
      <c r="BY99" s="830" t="str">
        <f t="shared" ca="1" si="88"/>
        <v>-</v>
      </c>
      <c r="BZ99" s="831">
        <v>42887</v>
      </c>
      <c r="CA99" s="832">
        <v>5</v>
      </c>
      <c r="CB99" s="833">
        <f t="shared" ca="1" si="89"/>
        <v>247</v>
      </c>
      <c r="CC99" s="834" t="str">
        <f t="shared" ca="1" si="90"/>
        <v>-</v>
      </c>
      <c r="CD99" s="835">
        <f t="shared" si="91"/>
        <v>42908</v>
      </c>
      <c r="CE99" s="831">
        <v>42908</v>
      </c>
      <c r="CF99" s="832">
        <v>5</v>
      </c>
      <c r="CG99" s="833">
        <f t="shared" ca="1" si="92"/>
        <v>226</v>
      </c>
      <c r="CH99" s="836">
        <f t="shared" si="93"/>
        <v>0</v>
      </c>
      <c r="CI99" s="837" t="str">
        <f t="shared" si="94"/>
        <v>УСПЕШНО</v>
      </c>
      <c r="CJ99" s="838" t="str">
        <f t="shared" ca="1" si="95"/>
        <v>-</v>
      </c>
      <c r="CK99" s="831"/>
      <c r="CL99" s="832"/>
      <c r="CM99" s="833" t="str">
        <f t="shared" si="96"/>
        <v>-</v>
      </c>
      <c r="CN99" s="834" t="str">
        <f t="shared" si="97"/>
        <v>-</v>
      </c>
      <c r="CO99" s="830" t="str">
        <f t="shared" ca="1" si="98"/>
        <v>-</v>
      </c>
      <c r="CP99" s="839"/>
      <c r="CQ99" s="832"/>
      <c r="CR99" s="833" t="str">
        <f t="shared" si="99"/>
        <v>-</v>
      </c>
      <c r="CS99" s="833" t="str">
        <f t="shared" si="100"/>
        <v>-</v>
      </c>
      <c r="CT99" s="834" t="str">
        <f t="shared" si="101"/>
        <v>-</v>
      </c>
      <c r="CU99" s="835" t="str">
        <f t="shared" si="102"/>
        <v>-</v>
      </c>
      <c r="CV99" s="839"/>
      <c r="CW99" s="832"/>
      <c r="CX99" s="833" t="str">
        <f t="shared" si="103"/>
        <v>-</v>
      </c>
      <c r="CY99" s="840" t="str">
        <f t="shared" si="104"/>
        <v>-</v>
      </c>
      <c r="CZ99" s="833" t="str">
        <f t="shared" si="105"/>
        <v>-</v>
      </c>
      <c r="DA99" s="838" t="str">
        <f t="shared" ca="1" si="106"/>
        <v>-</v>
      </c>
      <c r="DB99" s="841"/>
      <c r="DC99" s="832"/>
    </row>
    <row r="100" spans="1:107" s="842" customFormat="1" ht="15.95" customHeight="1" x14ac:dyDescent="0.25">
      <c r="A100" s="790">
        <v>98</v>
      </c>
      <c r="B100" s="791">
        <f t="shared" ca="1" si="54"/>
        <v>43134</v>
      </c>
      <c r="C100" s="792" t="s">
        <v>614</v>
      </c>
      <c r="D100" s="793" t="s">
        <v>3203</v>
      </c>
      <c r="E100" s="794" t="s">
        <v>1386</v>
      </c>
      <c r="F100" s="795" t="s">
        <v>1263</v>
      </c>
      <c r="G100" s="796">
        <f>SUMIFS(МОЛОКО!L8:L6958,МОЛОКО!F8:F6958,"2134",МОЛОКО!L8:L6958,"&gt;0")</f>
        <v>23.2</v>
      </c>
      <c r="H100" s="797" t="s">
        <v>603</v>
      </c>
      <c r="I100" s="798">
        <v>41684</v>
      </c>
      <c r="J100" s="799">
        <f t="shared" ca="1" si="55"/>
        <v>3.9726027397260273</v>
      </c>
      <c r="K100" s="799">
        <f t="shared" ca="1" si="56"/>
        <v>48.333333333333336</v>
      </c>
      <c r="L100" s="800">
        <f t="shared" ca="1" si="57"/>
        <v>1450</v>
      </c>
      <c r="M100" s="801">
        <v>42460</v>
      </c>
      <c r="N100" s="802">
        <v>42886</v>
      </c>
      <c r="O100" s="803">
        <f t="shared" ca="1" si="58"/>
        <v>248</v>
      </c>
      <c r="P100" s="804">
        <v>2</v>
      </c>
      <c r="Q100" s="805" t="s">
        <v>1451</v>
      </c>
      <c r="R100" s="806" t="s">
        <v>2966</v>
      </c>
      <c r="S100" s="807">
        <v>42943</v>
      </c>
      <c r="T100" s="798">
        <v>43005</v>
      </c>
      <c r="U100" s="798" t="str">
        <f t="shared" si="59"/>
        <v>-</v>
      </c>
      <c r="V100" s="804" t="str">
        <f t="shared" ca="1" si="60"/>
        <v>-</v>
      </c>
      <c r="W100" s="808">
        <v>3</v>
      </c>
      <c r="X100" s="794">
        <f t="shared" si="107"/>
        <v>119</v>
      </c>
      <c r="Y100" s="794">
        <v>1</v>
      </c>
      <c r="Z100" s="809" t="str">
        <f t="shared" ca="1" si="62"/>
        <v>ПОДЛЕЖИТ ПЕРЕПРОВЕРКЕ</v>
      </c>
      <c r="AA100" s="810">
        <f t="shared" ca="1" si="63"/>
        <v>129</v>
      </c>
      <c r="AB100" s="804"/>
      <c r="AC100" s="811">
        <f t="shared" ca="1" si="64"/>
        <v>43077</v>
      </c>
      <c r="AD100" s="798"/>
      <c r="AE100" s="794" t="str">
        <f t="shared" ca="1" si="65"/>
        <v>-</v>
      </c>
      <c r="AF100" s="798" t="str">
        <f t="shared" si="66"/>
        <v>-</v>
      </c>
      <c r="AG100" s="812" t="str">
        <f t="shared" si="67"/>
        <v>---------</v>
      </c>
      <c r="AH100" s="807">
        <v>43038</v>
      </c>
      <c r="AI100" s="807">
        <f t="shared" si="68"/>
        <v>43195</v>
      </c>
      <c r="AJ100" s="807">
        <f t="shared" si="69"/>
        <v>43225</v>
      </c>
      <c r="AK100" s="813"/>
      <c r="AL100" s="807">
        <f t="shared" si="70"/>
        <v>43264</v>
      </c>
      <c r="AM100" s="807">
        <f t="shared" si="71"/>
        <v>43285</v>
      </c>
      <c r="AN100" s="814">
        <f t="shared" ca="1" si="72"/>
        <v>-151</v>
      </c>
      <c r="AO100" s="815">
        <v>1</v>
      </c>
      <c r="AP100" s="816" t="str">
        <f t="shared" ca="1" si="73"/>
        <v>-</v>
      </c>
      <c r="AQ100" s="817"/>
      <c r="AR100" s="794" t="str">
        <f t="shared" si="74"/>
        <v>-</v>
      </c>
      <c r="AS100" s="818"/>
      <c r="AT100" s="794" t="str">
        <f t="shared" si="75"/>
        <v>-</v>
      </c>
      <c r="AU100" s="819"/>
      <c r="AV100" s="820"/>
      <c r="AW100" s="821"/>
      <c r="AX100" s="821"/>
      <c r="AY100" s="969" t="str">
        <f t="shared" si="76"/>
        <v>-</v>
      </c>
      <c r="AZ100" s="966" t="str">
        <f t="shared" si="77"/>
        <v>-</v>
      </c>
      <c r="BA100" s="971" t="str">
        <f t="shared" si="78"/>
        <v>-</v>
      </c>
      <c r="BB100" s="975"/>
      <c r="BC100" s="821"/>
      <c r="BD100" s="821"/>
      <c r="BE100" s="963" t="str">
        <f t="shared" si="79"/>
        <v>-</v>
      </c>
      <c r="BF100" s="984"/>
      <c r="BG100" s="988"/>
      <c r="BH100" s="982"/>
      <c r="BI100" s="991"/>
      <c r="BJ100" s="991"/>
      <c r="BK100" s="993" t="str">
        <f t="shared" si="80"/>
        <v>-</v>
      </c>
      <c r="BL100" s="820">
        <v>42980</v>
      </c>
      <c r="BM100" s="821">
        <v>5</v>
      </c>
      <c r="BN100" s="822">
        <f t="shared" ca="1" si="81"/>
        <v>154</v>
      </c>
      <c r="BO100" s="823">
        <f t="shared" si="82"/>
        <v>43.2</v>
      </c>
      <c r="BP100" s="824">
        <v>43001</v>
      </c>
      <c r="BQ100" s="821">
        <v>2</v>
      </c>
      <c r="BR100" s="822">
        <f t="shared" ca="1" si="83"/>
        <v>133</v>
      </c>
      <c r="BS100" s="823">
        <f t="shared" si="84"/>
        <v>18.033333333333335</v>
      </c>
      <c r="BT100" s="825" t="str">
        <f t="shared" ca="1" si="85"/>
        <v>-</v>
      </c>
      <c r="BU100" s="826"/>
      <c r="BV100" s="827"/>
      <c r="BW100" s="828" t="str">
        <f t="shared" si="86"/>
        <v>Ж-Е НЕ ВАКЦ.</v>
      </c>
      <c r="BX100" s="829" t="str">
        <f t="shared" si="87"/>
        <v>-</v>
      </c>
      <c r="BY100" s="830" t="str">
        <f t="shared" ca="1" si="88"/>
        <v>-</v>
      </c>
      <c r="BZ100" s="831">
        <v>42916</v>
      </c>
      <c r="CA100" s="832">
        <v>5</v>
      </c>
      <c r="CB100" s="833">
        <f t="shared" ca="1" si="89"/>
        <v>218</v>
      </c>
      <c r="CC100" s="834" t="str">
        <f t="shared" ca="1" si="90"/>
        <v>-</v>
      </c>
      <c r="CD100" s="835">
        <f t="shared" si="91"/>
        <v>42937</v>
      </c>
      <c r="CE100" s="831">
        <v>42937</v>
      </c>
      <c r="CF100" s="832">
        <v>5</v>
      </c>
      <c r="CG100" s="833">
        <f t="shared" ca="1" si="92"/>
        <v>197</v>
      </c>
      <c r="CH100" s="836">
        <f t="shared" si="93"/>
        <v>0</v>
      </c>
      <c r="CI100" s="837" t="str">
        <f t="shared" si="94"/>
        <v>УСПЕШНО</v>
      </c>
      <c r="CJ100" s="838" t="str">
        <f t="shared" ca="1" si="95"/>
        <v>-</v>
      </c>
      <c r="CK100" s="831"/>
      <c r="CL100" s="832"/>
      <c r="CM100" s="833" t="str">
        <f t="shared" si="96"/>
        <v>-</v>
      </c>
      <c r="CN100" s="834" t="str">
        <f t="shared" si="97"/>
        <v>-</v>
      </c>
      <c r="CO100" s="830" t="str">
        <f t="shared" ca="1" si="98"/>
        <v>-</v>
      </c>
      <c r="CP100" s="839"/>
      <c r="CQ100" s="832"/>
      <c r="CR100" s="833" t="str">
        <f t="shared" si="99"/>
        <v>-</v>
      </c>
      <c r="CS100" s="833" t="str">
        <f t="shared" si="100"/>
        <v>-</v>
      </c>
      <c r="CT100" s="834" t="str">
        <f t="shared" si="101"/>
        <v>-</v>
      </c>
      <c r="CU100" s="835" t="str">
        <f t="shared" si="102"/>
        <v>-</v>
      </c>
      <c r="CV100" s="839"/>
      <c r="CW100" s="832"/>
      <c r="CX100" s="833" t="str">
        <f t="shared" si="103"/>
        <v>-</v>
      </c>
      <c r="CY100" s="840" t="str">
        <f t="shared" si="104"/>
        <v>-</v>
      </c>
      <c r="CZ100" s="833" t="str">
        <f t="shared" si="105"/>
        <v>-</v>
      </c>
      <c r="DA100" s="838" t="str">
        <f t="shared" ca="1" si="106"/>
        <v>-</v>
      </c>
      <c r="DB100" s="841"/>
      <c r="DC100" s="832"/>
    </row>
    <row r="101" spans="1:107" s="842" customFormat="1" ht="15.95" customHeight="1" x14ac:dyDescent="0.25">
      <c r="A101" s="790">
        <v>99</v>
      </c>
      <c r="B101" s="791">
        <f t="shared" ca="1" si="54"/>
        <v>43134</v>
      </c>
      <c r="C101" s="29" t="s">
        <v>614</v>
      </c>
      <c r="D101" s="327" t="s">
        <v>3203</v>
      </c>
      <c r="E101" s="794" t="s">
        <v>1285</v>
      </c>
      <c r="F101" s="795" t="s">
        <v>1161</v>
      </c>
      <c r="G101" s="796">
        <f>SUMIFS(МОЛОКО!L8:L6958,МОЛОКО!F8:F6958,"2176",МОЛОКО!L8:L6958,"&gt;0")</f>
        <v>35.5</v>
      </c>
      <c r="H101" s="797" t="s">
        <v>603</v>
      </c>
      <c r="I101" s="798">
        <v>41736</v>
      </c>
      <c r="J101" s="799">
        <f t="shared" ca="1" si="55"/>
        <v>3.8301369863013699</v>
      </c>
      <c r="K101" s="799">
        <f t="shared" ca="1" si="56"/>
        <v>46.6</v>
      </c>
      <c r="L101" s="800">
        <f t="shared" ca="1" si="57"/>
        <v>1398</v>
      </c>
      <c r="M101" s="801">
        <v>42565</v>
      </c>
      <c r="N101" s="802">
        <v>42998</v>
      </c>
      <c r="O101" s="803">
        <f t="shared" ca="1" si="58"/>
        <v>136</v>
      </c>
      <c r="P101" s="804">
        <v>2</v>
      </c>
      <c r="Q101" s="68" t="s">
        <v>2366</v>
      </c>
      <c r="R101" s="118" t="s">
        <v>2962</v>
      </c>
      <c r="S101" s="807">
        <v>43055</v>
      </c>
      <c r="T101" s="798">
        <v>43055</v>
      </c>
      <c r="U101" s="798">
        <f t="shared" si="59"/>
        <v>43073</v>
      </c>
      <c r="V101" s="804">
        <f t="shared" ca="1" si="60"/>
        <v>61</v>
      </c>
      <c r="W101" s="808">
        <v>1</v>
      </c>
      <c r="X101" s="794">
        <f t="shared" si="107"/>
        <v>57</v>
      </c>
      <c r="Y101" s="794">
        <v>3</v>
      </c>
      <c r="Z101" s="809" t="str">
        <f t="shared" ca="1" si="62"/>
        <v>-----</v>
      </c>
      <c r="AA101" s="810">
        <f t="shared" ca="1" si="63"/>
        <v>79</v>
      </c>
      <c r="AB101" s="804"/>
      <c r="AC101" s="811" t="str">
        <f t="shared" ca="1" si="64"/>
        <v>-----</v>
      </c>
      <c r="AD101" s="798"/>
      <c r="AE101" s="794" t="str">
        <f t="shared" ca="1" si="65"/>
        <v>-</v>
      </c>
      <c r="AF101" s="798">
        <f t="shared" si="66"/>
        <v>43090</v>
      </c>
      <c r="AG101" s="812">
        <f t="shared" ca="1" si="67"/>
        <v>44</v>
      </c>
      <c r="AH101" s="807"/>
      <c r="AI101" s="807" t="str">
        <f t="shared" si="68"/>
        <v>-</v>
      </c>
      <c r="AJ101" s="807" t="str">
        <f t="shared" si="69"/>
        <v>-</v>
      </c>
      <c r="AK101" s="813"/>
      <c r="AL101" s="807" t="str">
        <f t="shared" si="70"/>
        <v>-</v>
      </c>
      <c r="AM101" s="807" t="str">
        <f t="shared" si="71"/>
        <v>-</v>
      </c>
      <c r="AN101" s="814" t="str">
        <f t="shared" ca="1" si="72"/>
        <v>-</v>
      </c>
      <c r="AO101" s="815">
        <v>1</v>
      </c>
      <c r="AP101" s="816" t="str">
        <f t="shared" ca="1" si="73"/>
        <v>-</v>
      </c>
      <c r="AQ101" s="817"/>
      <c r="AR101" s="794" t="str">
        <f t="shared" si="74"/>
        <v>-</v>
      </c>
      <c r="AS101" s="818"/>
      <c r="AT101" s="794" t="str">
        <f t="shared" si="75"/>
        <v>-</v>
      </c>
      <c r="AU101" s="819"/>
      <c r="AV101" s="820"/>
      <c r="AW101" s="821"/>
      <c r="AX101" s="821"/>
      <c r="AY101" s="969" t="str">
        <f t="shared" si="76"/>
        <v>-</v>
      </c>
      <c r="AZ101" s="966" t="str">
        <f t="shared" si="77"/>
        <v>-</v>
      </c>
      <c r="BA101" s="971" t="str">
        <f t="shared" si="78"/>
        <v>-</v>
      </c>
      <c r="BB101" s="975"/>
      <c r="BC101" s="821"/>
      <c r="BD101" s="821"/>
      <c r="BE101" s="963" t="str">
        <f t="shared" si="79"/>
        <v>-</v>
      </c>
      <c r="BF101" s="984"/>
      <c r="BG101" s="988"/>
      <c r="BH101" s="982"/>
      <c r="BI101" s="991"/>
      <c r="BJ101" s="991"/>
      <c r="BK101" s="993" t="str">
        <f t="shared" si="80"/>
        <v>-</v>
      </c>
      <c r="BL101" s="820">
        <v>42978</v>
      </c>
      <c r="BM101" s="821">
        <v>5</v>
      </c>
      <c r="BN101" s="822">
        <f t="shared" ca="1" si="81"/>
        <v>156</v>
      </c>
      <c r="BO101" s="823">
        <f t="shared" si="82"/>
        <v>41.4</v>
      </c>
      <c r="BP101" s="824">
        <v>43001</v>
      </c>
      <c r="BQ101" s="821">
        <v>2</v>
      </c>
      <c r="BR101" s="822">
        <f t="shared" ca="1" si="83"/>
        <v>133</v>
      </c>
      <c r="BS101" s="823">
        <f t="shared" si="84"/>
        <v>14.533333333333333</v>
      </c>
      <c r="BT101" s="825" t="str">
        <f t="shared" ca="1" si="85"/>
        <v>-</v>
      </c>
      <c r="BU101" s="826"/>
      <c r="BV101" s="827"/>
      <c r="BW101" s="828" t="str">
        <f t="shared" si="86"/>
        <v>Ж-Е НЕ ВАКЦ.</v>
      </c>
      <c r="BX101" s="829" t="str">
        <f t="shared" si="87"/>
        <v>-</v>
      </c>
      <c r="BY101" s="830" t="str">
        <f t="shared" ca="1" si="88"/>
        <v>-</v>
      </c>
      <c r="BZ101" s="831">
        <v>42887</v>
      </c>
      <c r="CA101" s="832">
        <v>5</v>
      </c>
      <c r="CB101" s="833">
        <f t="shared" ca="1" si="89"/>
        <v>247</v>
      </c>
      <c r="CC101" s="834" t="str">
        <f t="shared" ca="1" si="90"/>
        <v>-</v>
      </c>
      <c r="CD101" s="835">
        <f t="shared" si="91"/>
        <v>42908</v>
      </c>
      <c r="CE101" s="831">
        <v>42908</v>
      </c>
      <c r="CF101" s="832">
        <v>5</v>
      </c>
      <c r="CG101" s="833">
        <f t="shared" ca="1" si="92"/>
        <v>226</v>
      </c>
      <c r="CH101" s="836">
        <f t="shared" si="93"/>
        <v>0</v>
      </c>
      <c r="CI101" s="837" t="str">
        <f t="shared" si="94"/>
        <v>УСПЕШНО</v>
      </c>
      <c r="CJ101" s="838" t="str">
        <f t="shared" ca="1" si="95"/>
        <v>-</v>
      </c>
      <c r="CK101" s="831"/>
      <c r="CL101" s="832"/>
      <c r="CM101" s="833" t="str">
        <f t="shared" si="96"/>
        <v>-</v>
      </c>
      <c r="CN101" s="834" t="str">
        <f t="shared" si="97"/>
        <v>-</v>
      </c>
      <c r="CO101" s="830" t="str">
        <f t="shared" ca="1" si="98"/>
        <v>-</v>
      </c>
      <c r="CP101" s="831">
        <v>42941</v>
      </c>
      <c r="CQ101" s="832">
        <v>2</v>
      </c>
      <c r="CR101" s="833">
        <f t="shared" si="99"/>
        <v>-114</v>
      </c>
      <c r="CS101" s="833">
        <f t="shared" ca="1" si="100"/>
        <v>193</v>
      </c>
      <c r="CT101" s="834" t="str">
        <f t="shared" ca="1" si="101"/>
        <v>-</v>
      </c>
      <c r="CU101" s="835">
        <f t="shared" si="102"/>
        <v>42962</v>
      </c>
      <c r="CV101" s="831">
        <v>42962</v>
      </c>
      <c r="CW101" s="832">
        <v>2</v>
      </c>
      <c r="CX101" s="833">
        <f t="shared" si="103"/>
        <v>0</v>
      </c>
      <c r="CY101" s="840" t="str">
        <f t="shared" si="104"/>
        <v>УСПЕШНО</v>
      </c>
      <c r="CZ101" s="833">
        <f t="shared" si="105"/>
        <v>-93</v>
      </c>
      <c r="DA101" s="838" t="str">
        <f t="shared" ca="1" si="106"/>
        <v>-</v>
      </c>
      <c r="DB101" s="841"/>
      <c r="DC101" s="832"/>
    </row>
    <row r="102" spans="1:107" s="842" customFormat="1" ht="15.95" customHeight="1" x14ac:dyDescent="0.25">
      <c r="A102" s="790">
        <v>100</v>
      </c>
      <c r="B102" s="791">
        <f t="shared" ca="1" si="54"/>
        <v>43134</v>
      </c>
      <c r="C102" s="792" t="s">
        <v>614</v>
      </c>
      <c r="D102" s="793" t="s">
        <v>3203</v>
      </c>
      <c r="E102" s="794" t="s">
        <v>1290</v>
      </c>
      <c r="F102" s="795" t="s">
        <v>1166</v>
      </c>
      <c r="G102" s="796">
        <f>SUMIFS(МОЛОКО!L8:L6958,МОЛОКО!F8:F6958,"2185",МОЛОКО!L8:L6958,"&gt;0")</f>
        <v>28</v>
      </c>
      <c r="H102" s="797" t="s">
        <v>603</v>
      </c>
      <c r="I102" s="798">
        <v>41745</v>
      </c>
      <c r="J102" s="799">
        <f t="shared" ca="1" si="55"/>
        <v>3.8054794520547945</v>
      </c>
      <c r="K102" s="799">
        <f t="shared" ca="1" si="56"/>
        <v>46.3</v>
      </c>
      <c r="L102" s="800">
        <f t="shared" ca="1" si="57"/>
        <v>1389</v>
      </c>
      <c r="M102" s="801">
        <v>42490</v>
      </c>
      <c r="N102" s="802">
        <v>42855</v>
      </c>
      <c r="O102" s="803">
        <f t="shared" ca="1" si="58"/>
        <v>279</v>
      </c>
      <c r="P102" s="804">
        <v>2</v>
      </c>
      <c r="Q102" s="805" t="s">
        <v>1451</v>
      </c>
      <c r="R102" s="806" t="s">
        <v>2269</v>
      </c>
      <c r="S102" s="807">
        <v>42915</v>
      </c>
      <c r="T102" s="798">
        <v>42915</v>
      </c>
      <c r="U102" s="798" t="str">
        <f t="shared" si="59"/>
        <v>-</v>
      </c>
      <c r="V102" s="804" t="str">
        <f t="shared" ca="1" si="60"/>
        <v>-</v>
      </c>
      <c r="W102" s="808">
        <v>1</v>
      </c>
      <c r="X102" s="794">
        <f t="shared" si="107"/>
        <v>60</v>
      </c>
      <c r="Y102" s="794">
        <v>1</v>
      </c>
      <c r="Z102" s="809" t="str">
        <f t="shared" ca="1" si="62"/>
        <v>-----</v>
      </c>
      <c r="AA102" s="810" t="str">
        <f t="shared" ca="1" si="63"/>
        <v>-----</v>
      </c>
      <c r="AB102" s="804">
        <v>1</v>
      </c>
      <c r="AC102" s="811" t="str">
        <f t="shared" ca="1" si="64"/>
        <v>-----</v>
      </c>
      <c r="AD102" s="798">
        <v>42995</v>
      </c>
      <c r="AE102" s="794" t="str">
        <f t="shared" ca="1" si="65"/>
        <v>-</v>
      </c>
      <c r="AF102" s="798" t="str">
        <f t="shared" si="66"/>
        <v>-</v>
      </c>
      <c r="AG102" s="812" t="str">
        <f t="shared" si="67"/>
        <v>---------</v>
      </c>
      <c r="AH102" s="807">
        <v>42947</v>
      </c>
      <c r="AI102" s="807">
        <f t="shared" si="68"/>
        <v>43105</v>
      </c>
      <c r="AJ102" s="807">
        <f t="shared" si="69"/>
        <v>43135</v>
      </c>
      <c r="AK102" s="813"/>
      <c r="AL102" s="807">
        <f t="shared" si="70"/>
        <v>43174</v>
      </c>
      <c r="AM102" s="807">
        <f t="shared" si="71"/>
        <v>43195</v>
      </c>
      <c r="AN102" s="814">
        <f t="shared" ca="1" si="72"/>
        <v>-61</v>
      </c>
      <c r="AO102" s="815">
        <v>1</v>
      </c>
      <c r="AP102" s="816" t="str">
        <f t="shared" ca="1" si="73"/>
        <v>-</v>
      </c>
      <c r="AQ102" s="817"/>
      <c r="AR102" s="794" t="str">
        <f t="shared" si="74"/>
        <v>-</v>
      </c>
      <c r="AS102" s="818"/>
      <c r="AT102" s="794" t="str">
        <f t="shared" si="75"/>
        <v>-</v>
      </c>
      <c r="AU102" s="819"/>
      <c r="AV102" s="820"/>
      <c r="AW102" s="821"/>
      <c r="AX102" s="821"/>
      <c r="AY102" s="969" t="str">
        <f t="shared" si="76"/>
        <v>-</v>
      </c>
      <c r="AZ102" s="966" t="str">
        <f t="shared" si="77"/>
        <v>-</v>
      </c>
      <c r="BA102" s="971" t="str">
        <f t="shared" si="78"/>
        <v>-</v>
      </c>
      <c r="BB102" s="975"/>
      <c r="BC102" s="821"/>
      <c r="BD102" s="821"/>
      <c r="BE102" s="963" t="str">
        <f t="shared" si="79"/>
        <v>-</v>
      </c>
      <c r="BF102" s="984"/>
      <c r="BG102" s="988"/>
      <c r="BH102" s="982"/>
      <c r="BI102" s="991"/>
      <c r="BJ102" s="991"/>
      <c r="BK102" s="993" t="str">
        <f t="shared" si="80"/>
        <v>-</v>
      </c>
      <c r="BL102" s="820">
        <v>42980</v>
      </c>
      <c r="BM102" s="821">
        <v>5</v>
      </c>
      <c r="BN102" s="822">
        <f t="shared" ca="1" si="81"/>
        <v>154</v>
      </c>
      <c r="BO102" s="823">
        <f t="shared" si="82"/>
        <v>41.166666666666664</v>
      </c>
      <c r="BP102" s="824">
        <v>43001</v>
      </c>
      <c r="BQ102" s="821">
        <v>2</v>
      </c>
      <c r="BR102" s="822">
        <f t="shared" ca="1" si="83"/>
        <v>133</v>
      </c>
      <c r="BS102" s="823">
        <f t="shared" si="84"/>
        <v>17.033333333333335</v>
      </c>
      <c r="BT102" s="825" t="str">
        <f t="shared" ca="1" si="85"/>
        <v>-</v>
      </c>
      <c r="BU102" s="826"/>
      <c r="BV102" s="827"/>
      <c r="BW102" s="828" t="str">
        <f t="shared" si="86"/>
        <v>Ж-Е НЕ ВАКЦ.</v>
      </c>
      <c r="BX102" s="829" t="str">
        <f t="shared" si="87"/>
        <v>-</v>
      </c>
      <c r="BY102" s="830" t="str">
        <f t="shared" ca="1" si="88"/>
        <v>-</v>
      </c>
      <c r="BZ102" s="831">
        <v>42887</v>
      </c>
      <c r="CA102" s="832">
        <v>5</v>
      </c>
      <c r="CB102" s="833">
        <f t="shared" ca="1" si="89"/>
        <v>247</v>
      </c>
      <c r="CC102" s="834" t="str">
        <f t="shared" ca="1" si="90"/>
        <v>-</v>
      </c>
      <c r="CD102" s="835">
        <f t="shared" si="91"/>
        <v>42908</v>
      </c>
      <c r="CE102" s="831">
        <v>42908</v>
      </c>
      <c r="CF102" s="832">
        <v>5</v>
      </c>
      <c r="CG102" s="833">
        <f t="shared" ca="1" si="92"/>
        <v>226</v>
      </c>
      <c r="CH102" s="836">
        <f t="shared" si="93"/>
        <v>0</v>
      </c>
      <c r="CI102" s="837" t="str">
        <f t="shared" si="94"/>
        <v>УСПЕШНО</v>
      </c>
      <c r="CJ102" s="838" t="str">
        <f t="shared" ca="1" si="95"/>
        <v>-</v>
      </c>
      <c r="CK102" s="831"/>
      <c r="CL102" s="832"/>
      <c r="CM102" s="833" t="str">
        <f t="shared" si="96"/>
        <v>-</v>
      </c>
      <c r="CN102" s="834" t="str">
        <f t="shared" si="97"/>
        <v>-</v>
      </c>
      <c r="CO102" s="830" t="str">
        <f t="shared" ca="1" si="98"/>
        <v>ТРЕБУЕТСЯ ВАКЦИНАЦИЯ</v>
      </c>
      <c r="CP102" s="839"/>
      <c r="CQ102" s="832"/>
      <c r="CR102" s="833" t="str">
        <f t="shared" si="99"/>
        <v>-</v>
      </c>
      <c r="CS102" s="833" t="str">
        <f t="shared" si="100"/>
        <v>-</v>
      </c>
      <c r="CT102" s="834" t="str">
        <f t="shared" si="101"/>
        <v>-</v>
      </c>
      <c r="CU102" s="835" t="str">
        <f t="shared" si="102"/>
        <v>-</v>
      </c>
      <c r="CV102" s="839"/>
      <c r="CW102" s="832"/>
      <c r="CX102" s="833" t="str">
        <f t="shared" si="103"/>
        <v>-</v>
      </c>
      <c r="CY102" s="840" t="str">
        <f t="shared" si="104"/>
        <v>-</v>
      </c>
      <c r="CZ102" s="833" t="str">
        <f t="shared" si="105"/>
        <v>-</v>
      </c>
      <c r="DA102" s="838" t="str">
        <f t="shared" ca="1" si="106"/>
        <v>-</v>
      </c>
      <c r="DB102" s="841"/>
      <c r="DC102" s="832"/>
    </row>
    <row r="103" spans="1:107" s="842" customFormat="1" ht="15.95" customHeight="1" x14ac:dyDescent="0.25">
      <c r="A103" s="790">
        <v>101</v>
      </c>
      <c r="B103" s="791">
        <f t="shared" ca="1" si="54"/>
        <v>43134</v>
      </c>
      <c r="C103" s="792" t="s">
        <v>614</v>
      </c>
      <c r="D103" s="793" t="s">
        <v>3203</v>
      </c>
      <c r="E103" s="794" t="s">
        <v>1082</v>
      </c>
      <c r="F103" s="795" t="s">
        <v>1175</v>
      </c>
      <c r="G103" s="796">
        <f>SUMIFS(МОЛОКО!L8:L6958,МОЛОКО!F8:F6958,"2202",МОЛОКО!L8:L6958,"&gt;0")</f>
        <v>25.4</v>
      </c>
      <c r="H103" s="797" t="s">
        <v>603</v>
      </c>
      <c r="I103" s="798">
        <v>41753</v>
      </c>
      <c r="J103" s="799">
        <f t="shared" ca="1" si="55"/>
        <v>3.7835616438356166</v>
      </c>
      <c r="K103" s="799">
        <f t="shared" ca="1" si="56"/>
        <v>46.033333333333331</v>
      </c>
      <c r="L103" s="800">
        <f t="shared" ca="1" si="57"/>
        <v>1381</v>
      </c>
      <c r="M103" s="801">
        <v>42576</v>
      </c>
      <c r="N103" s="802">
        <v>42916</v>
      </c>
      <c r="O103" s="803">
        <f t="shared" ca="1" si="58"/>
        <v>218</v>
      </c>
      <c r="P103" s="804">
        <v>2</v>
      </c>
      <c r="Q103" s="805" t="s">
        <v>1451</v>
      </c>
      <c r="R103" s="806" t="s">
        <v>2962</v>
      </c>
      <c r="S103" s="807">
        <v>42978</v>
      </c>
      <c r="T103" s="798">
        <v>43020</v>
      </c>
      <c r="U103" s="798">
        <f t="shared" si="59"/>
        <v>43038</v>
      </c>
      <c r="V103" s="804">
        <f t="shared" ca="1" si="60"/>
        <v>96</v>
      </c>
      <c r="W103" s="808">
        <v>2</v>
      </c>
      <c r="X103" s="794">
        <f t="shared" si="107"/>
        <v>104</v>
      </c>
      <c r="Y103" s="794">
        <v>2</v>
      </c>
      <c r="Z103" s="809" t="str">
        <f t="shared" ca="1" si="62"/>
        <v>-----</v>
      </c>
      <c r="AA103" s="810">
        <f t="shared" ca="1" si="63"/>
        <v>114</v>
      </c>
      <c r="AB103" s="804"/>
      <c r="AC103" s="811" t="str">
        <f t="shared" ca="1" si="64"/>
        <v>-----</v>
      </c>
      <c r="AD103" s="798"/>
      <c r="AE103" s="794" t="str">
        <f t="shared" ca="1" si="65"/>
        <v>-</v>
      </c>
      <c r="AF103" s="798">
        <f t="shared" si="66"/>
        <v>43055</v>
      </c>
      <c r="AG103" s="812">
        <f t="shared" ca="1" si="67"/>
        <v>79</v>
      </c>
      <c r="AH103" s="807">
        <v>43052</v>
      </c>
      <c r="AI103" s="807" t="str">
        <f t="shared" si="68"/>
        <v>-</v>
      </c>
      <c r="AJ103" s="807" t="str">
        <f t="shared" si="69"/>
        <v>-</v>
      </c>
      <c r="AK103" s="813"/>
      <c r="AL103" s="807" t="str">
        <f t="shared" si="70"/>
        <v>-</v>
      </c>
      <c r="AM103" s="807" t="str">
        <f t="shared" si="71"/>
        <v>-</v>
      </c>
      <c r="AN103" s="814" t="str">
        <f t="shared" ca="1" si="72"/>
        <v>-</v>
      </c>
      <c r="AO103" s="815">
        <v>1</v>
      </c>
      <c r="AP103" s="816" t="str">
        <f t="shared" ca="1" si="73"/>
        <v>-</v>
      </c>
      <c r="AQ103" s="817"/>
      <c r="AR103" s="794" t="str">
        <f t="shared" si="74"/>
        <v>-</v>
      </c>
      <c r="AS103" s="818"/>
      <c r="AT103" s="794" t="str">
        <f t="shared" si="75"/>
        <v>-</v>
      </c>
      <c r="AU103" s="819"/>
      <c r="AV103" s="820"/>
      <c r="AW103" s="821"/>
      <c r="AX103" s="821"/>
      <c r="AY103" s="969" t="str">
        <f t="shared" si="76"/>
        <v>-</v>
      </c>
      <c r="AZ103" s="966" t="str">
        <f t="shared" si="77"/>
        <v>-</v>
      </c>
      <c r="BA103" s="971" t="str">
        <f t="shared" si="78"/>
        <v>-</v>
      </c>
      <c r="BB103" s="975"/>
      <c r="BC103" s="821"/>
      <c r="BD103" s="821"/>
      <c r="BE103" s="963" t="str">
        <f t="shared" si="79"/>
        <v>-</v>
      </c>
      <c r="BF103" s="984"/>
      <c r="BG103" s="988"/>
      <c r="BH103" s="982"/>
      <c r="BI103" s="991"/>
      <c r="BJ103" s="991"/>
      <c r="BK103" s="993" t="str">
        <f t="shared" si="80"/>
        <v>-</v>
      </c>
      <c r="BL103" s="820">
        <v>42980</v>
      </c>
      <c r="BM103" s="821">
        <v>5</v>
      </c>
      <c r="BN103" s="822">
        <f t="shared" ca="1" si="81"/>
        <v>154</v>
      </c>
      <c r="BO103" s="823">
        <f t="shared" si="82"/>
        <v>40.9</v>
      </c>
      <c r="BP103" s="824">
        <v>43001</v>
      </c>
      <c r="BQ103" s="821">
        <v>2</v>
      </c>
      <c r="BR103" s="822">
        <f t="shared" ca="1" si="83"/>
        <v>133</v>
      </c>
      <c r="BS103" s="823">
        <f t="shared" si="84"/>
        <v>14.166666666666666</v>
      </c>
      <c r="BT103" s="825" t="str">
        <f t="shared" ca="1" si="85"/>
        <v>-</v>
      </c>
      <c r="BU103" s="826"/>
      <c r="BV103" s="827"/>
      <c r="BW103" s="828" t="str">
        <f t="shared" si="86"/>
        <v>Ж-Е НЕ ВАКЦ.</v>
      </c>
      <c r="BX103" s="829" t="str">
        <f t="shared" si="87"/>
        <v>-</v>
      </c>
      <c r="BY103" s="830" t="str">
        <f t="shared" ca="1" si="88"/>
        <v>-</v>
      </c>
      <c r="BZ103" s="831">
        <v>42940</v>
      </c>
      <c r="CA103" s="832">
        <v>5</v>
      </c>
      <c r="CB103" s="833">
        <f t="shared" ca="1" si="89"/>
        <v>194</v>
      </c>
      <c r="CC103" s="834" t="str">
        <f t="shared" ca="1" si="90"/>
        <v>-</v>
      </c>
      <c r="CD103" s="835">
        <f t="shared" si="91"/>
        <v>42961</v>
      </c>
      <c r="CE103" s="831">
        <v>42969</v>
      </c>
      <c r="CF103" s="832">
        <v>5</v>
      </c>
      <c r="CG103" s="833">
        <f t="shared" ca="1" si="92"/>
        <v>165</v>
      </c>
      <c r="CH103" s="836">
        <f t="shared" si="93"/>
        <v>-8</v>
      </c>
      <c r="CI103" s="837" t="str">
        <f t="shared" si="94"/>
        <v>-</v>
      </c>
      <c r="CJ103" s="838" t="str">
        <f t="shared" ca="1" si="95"/>
        <v>-</v>
      </c>
      <c r="CK103" s="831"/>
      <c r="CL103" s="832"/>
      <c r="CM103" s="833" t="str">
        <f t="shared" si="96"/>
        <v>-</v>
      </c>
      <c r="CN103" s="834" t="str">
        <f t="shared" si="97"/>
        <v>-</v>
      </c>
      <c r="CO103" s="830" t="str">
        <f t="shared" ca="1" si="98"/>
        <v>-</v>
      </c>
      <c r="CP103" s="839"/>
      <c r="CQ103" s="832"/>
      <c r="CR103" s="833" t="str">
        <f t="shared" si="99"/>
        <v>-</v>
      </c>
      <c r="CS103" s="833" t="str">
        <f t="shared" si="100"/>
        <v>-</v>
      </c>
      <c r="CT103" s="834" t="str">
        <f t="shared" si="101"/>
        <v>-</v>
      </c>
      <c r="CU103" s="835" t="str">
        <f t="shared" si="102"/>
        <v>-</v>
      </c>
      <c r="CV103" s="839"/>
      <c r="CW103" s="832"/>
      <c r="CX103" s="833" t="str">
        <f t="shared" si="103"/>
        <v>-</v>
      </c>
      <c r="CY103" s="840" t="str">
        <f t="shared" si="104"/>
        <v>-</v>
      </c>
      <c r="CZ103" s="833" t="str">
        <f t="shared" si="105"/>
        <v>-</v>
      </c>
      <c r="DA103" s="838" t="str">
        <f t="shared" ca="1" si="106"/>
        <v>-</v>
      </c>
      <c r="DB103" s="841"/>
      <c r="DC103" s="832"/>
    </row>
    <row r="104" spans="1:107" s="842" customFormat="1" ht="15.95" customHeight="1" x14ac:dyDescent="0.25">
      <c r="A104" s="790">
        <v>102</v>
      </c>
      <c r="B104" s="791">
        <f t="shared" ca="1" si="54"/>
        <v>43134</v>
      </c>
      <c r="C104" s="792" t="s">
        <v>614</v>
      </c>
      <c r="D104" s="59" t="s">
        <v>3203</v>
      </c>
      <c r="E104" s="794" t="s">
        <v>1299</v>
      </c>
      <c r="F104" s="795" t="s">
        <v>1176</v>
      </c>
      <c r="G104" s="796">
        <f>SUMIFS(МОЛОКО!L8:L6958,МОЛОКО!F8:F6958,"2206",МОЛОКО!L8:L6958,"&gt;0")</f>
        <v>23.5</v>
      </c>
      <c r="H104" s="797" t="s">
        <v>603</v>
      </c>
      <c r="I104" s="798">
        <v>41756</v>
      </c>
      <c r="J104" s="799">
        <f t="shared" ca="1" si="55"/>
        <v>3.7753424657534245</v>
      </c>
      <c r="K104" s="799">
        <f t="shared" ca="1" si="56"/>
        <v>45.93333333333333</v>
      </c>
      <c r="L104" s="800">
        <f t="shared" ca="1" si="57"/>
        <v>1378</v>
      </c>
      <c r="M104" s="801">
        <v>42494</v>
      </c>
      <c r="N104" s="802">
        <v>42859</v>
      </c>
      <c r="O104" s="803">
        <f t="shared" ca="1" si="58"/>
        <v>275</v>
      </c>
      <c r="P104" s="804">
        <v>2</v>
      </c>
      <c r="Q104" s="805" t="s">
        <v>1451</v>
      </c>
      <c r="R104" s="806" t="s">
        <v>2269</v>
      </c>
      <c r="S104" s="807">
        <v>42922</v>
      </c>
      <c r="T104" s="798">
        <v>42922</v>
      </c>
      <c r="U104" s="798" t="str">
        <f t="shared" si="59"/>
        <v>-</v>
      </c>
      <c r="V104" s="804" t="str">
        <f t="shared" ca="1" si="60"/>
        <v>-</v>
      </c>
      <c r="W104" s="808">
        <v>1</v>
      </c>
      <c r="X104" s="794">
        <f t="shared" si="107"/>
        <v>63</v>
      </c>
      <c r="Y104" s="794">
        <v>1</v>
      </c>
      <c r="Z104" s="809" t="str">
        <f t="shared" ca="1" si="62"/>
        <v>-----</v>
      </c>
      <c r="AA104" s="810" t="str">
        <f t="shared" ca="1" si="63"/>
        <v>-----</v>
      </c>
      <c r="AB104" s="804">
        <v>1</v>
      </c>
      <c r="AC104" s="811" t="str">
        <f t="shared" ca="1" si="64"/>
        <v>-----</v>
      </c>
      <c r="AD104" s="798">
        <v>42995</v>
      </c>
      <c r="AE104" s="794" t="str">
        <f t="shared" ca="1" si="65"/>
        <v>-</v>
      </c>
      <c r="AF104" s="798" t="str">
        <f t="shared" si="66"/>
        <v>-</v>
      </c>
      <c r="AG104" s="812" t="str">
        <f t="shared" si="67"/>
        <v>---------</v>
      </c>
      <c r="AH104" s="807">
        <v>43035</v>
      </c>
      <c r="AI104" s="807">
        <f t="shared" si="68"/>
        <v>43112</v>
      </c>
      <c r="AJ104" s="807">
        <f t="shared" si="69"/>
        <v>43142</v>
      </c>
      <c r="AK104" s="813"/>
      <c r="AL104" s="807">
        <f t="shared" si="70"/>
        <v>43181</v>
      </c>
      <c r="AM104" s="807">
        <f t="shared" si="71"/>
        <v>43202</v>
      </c>
      <c r="AN104" s="814">
        <f t="shared" ca="1" si="72"/>
        <v>-68</v>
      </c>
      <c r="AO104" s="815">
        <v>1</v>
      </c>
      <c r="AP104" s="816" t="str">
        <f t="shared" ca="1" si="73"/>
        <v>-</v>
      </c>
      <c r="AQ104" s="817"/>
      <c r="AR104" s="794" t="str">
        <f t="shared" si="74"/>
        <v>-</v>
      </c>
      <c r="AS104" s="818"/>
      <c r="AT104" s="794" t="str">
        <f t="shared" si="75"/>
        <v>-</v>
      </c>
      <c r="AU104" s="819"/>
      <c r="AV104" s="820"/>
      <c r="AW104" s="821"/>
      <c r="AX104" s="821"/>
      <c r="AY104" s="969" t="str">
        <f t="shared" si="76"/>
        <v>-</v>
      </c>
      <c r="AZ104" s="966" t="str">
        <f t="shared" si="77"/>
        <v>-</v>
      </c>
      <c r="BA104" s="971" t="str">
        <f t="shared" si="78"/>
        <v>-</v>
      </c>
      <c r="BB104" s="975"/>
      <c r="BC104" s="821"/>
      <c r="BD104" s="821"/>
      <c r="BE104" s="963" t="str">
        <f t="shared" si="79"/>
        <v>-</v>
      </c>
      <c r="BF104" s="984"/>
      <c r="BG104" s="988"/>
      <c r="BH104" s="982"/>
      <c r="BI104" s="991"/>
      <c r="BJ104" s="991"/>
      <c r="BK104" s="993" t="str">
        <f t="shared" si="80"/>
        <v>-</v>
      </c>
      <c r="BL104" s="820">
        <v>42980</v>
      </c>
      <c r="BM104" s="821">
        <v>5</v>
      </c>
      <c r="BN104" s="822">
        <f t="shared" ca="1" si="81"/>
        <v>154</v>
      </c>
      <c r="BO104" s="823">
        <f t="shared" si="82"/>
        <v>40.799999999999997</v>
      </c>
      <c r="BP104" s="824">
        <v>43001</v>
      </c>
      <c r="BQ104" s="821">
        <v>2</v>
      </c>
      <c r="BR104" s="822">
        <f t="shared" ca="1" si="83"/>
        <v>133</v>
      </c>
      <c r="BS104" s="823">
        <f t="shared" si="84"/>
        <v>16.899999999999999</v>
      </c>
      <c r="BT104" s="825" t="str">
        <f t="shared" ca="1" si="85"/>
        <v>-</v>
      </c>
      <c r="BU104" s="826"/>
      <c r="BV104" s="827"/>
      <c r="BW104" s="828" t="str">
        <f t="shared" si="86"/>
        <v>Ж-Е НЕ ВАКЦ.</v>
      </c>
      <c r="BX104" s="829" t="str">
        <f t="shared" si="87"/>
        <v>-</v>
      </c>
      <c r="BY104" s="830" t="str">
        <f t="shared" ca="1" si="88"/>
        <v>-</v>
      </c>
      <c r="BZ104" s="831">
        <v>42888</v>
      </c>
      <c r="CA104" s="832">
        <v>5</v>
      </c>
      <c r="CB104" s="833">
        <f t="shared" ca="1" si="89"/>
        <v>246</v>
      </c>
      <c r="CC104" s="834" t="str">
        <f t="shared" ca="1" si="90"/>
        <v>-</v>
      </c>
      <c r="CD104" s="835">
        <f t="shared" si="91"/>
        <v>42909</v>
      </c>
      <c r="CE104" s="831">
        <v>42909</v>
      </c>
      <c r="CF104" s="832">
        <v>5</v>
      </c>
      <c r="CG104" s="833">
        <f t="shared" ca="1" si="92"/>
        <v>225</v>
      </c>
      <c r="CH104" s="836">
        <f t="shared" si="93"/>
        <v>0</v>
      </c>
      <c r="CI104" s="837" t="str">
        <f t="shared" si="94"/>
        <v>УСПЕШНО</v>
      </c>
      <c r="CJ104" s="838" t="str">
        <f t="shared" ca="1" si="95"/>
        <v>-</v>
      </c>
      <c r="CK104" s="831"/>
      <c r="CL104" s="832"/>
      <c r="CM104" s="833" t="str">
        <f t="shared" si="96"/>
        <v>-</v>
      </c>
      <c r="CN104" s="834" t="str">
        <f t="shared" si="97"/>
        <v>-</v>
      </c>
      <c r="CO104" s="830" t="str">
        <f t="shared" ca="1" si="98"/>
        <v>ТРЕБУЕТСЯ ВАКЦИНАЦИЯ</v>
      </c>
      <c r="CP104" s="839"/>
      <c r="CQ104" s="832"/>
      <c r="CR104" s="833" t="str">
        <f t="shared" si="99"/>
        <v>-</v>
      </c>
      <c r="CS104" s="833" t="str">
        <f t="shared" si="100"/>
        <v>-</v>
      </c>
      <c r="CT104" s="834" t="str">
        <f t="shared" si="101"/>
        <v>-</v>
      </c>
      <c r="CU104" s="835" t="str">
        <f t="shared" si="102"/>
        <v>-</v>
      </c>
      <c r="CV104" s="839"/>
      <c r="CW104" s="832"/>
      <c r="CX104" s="833" t="str">
        <f t="shared" si="103"/>
        <v>-</v>
      </c>
      <c r="CY104" s="840" t="str">
        <f t="shared" si="104"/>
        <v>-</v>
      </c>
      <c r="CZ104" s="833" t="str">
        <f t="shared" si="105"/>
        <v>-</v>
      </c>
      <c r="DA104" s="838" t="str">
        <f t="shared" ca="1" si="106"/>
        <v>-</v>
      </c>
      <c r="DB104" s="841"/>
      <c r="DC104" s="832"/>
    </row>
    <row r="105" spans="1:107" s="842" customFormat="1" ht="15.95" customHeight="1" x14ac:dyDescent="0.25">
      <c r="A105" s="790">
        <v>103</v>
      </c>
      <c r="B105" s="791">
        <f t="shared" ca="1" si="54"/>
        <v>43134</v>
      </c>
      <c r="C105" s="792" t="s">
        <v>614</v>
      </c>
      <c r="D105" s="793" t="s">
        <v>3203</v>
      </c>
      <c r="E105" s="794" t="s">
        <v>1307</v>
      </c>
      <c r="F105" s="998" t="s">
        <v>1188</v>
      </c>
      <c r="G105" s="796">
        <f>SUMIFS(МОЛОКО!L8:L6958,МОЛОКО!F8:F6958,"2237",МОЛОКО!L8:L6958,"&gt;0")</f>
        <v>19.600000000000001</v>
      </c>
      <c r="H105" s="797" t="s">
        <v>603</v>
      </c>
      <c r="I105" s="798">
        <v>41786</v>
      </c>
      <c r="J105" s="799">
        <f t="shared" ca="1" si="55"/>
        <v>3.6931506849315068</v>
      </c>
      <c r="K105" s="799">
        <f t="shared" ca="1" si="56"/>
        <v>44.93333333333333</v>
      </c>
      <c r="L105" s="800">
        <f t="shared" ca="1" si="57"/>
        <v>1348</v>
      </c>
      <c r="M105" s="801">
        <v>42486</v>
      </c>
      <c r="N105" s="802">
        <v>42894</v>
      </c>
      <c r="O105" s="803">
        <f t="shared" ca="1" si="58"/>
        <v>240</v>
      </c>
      <c r="P105" s="804">
        <v>2</v>
      </c>
      <c r="Q105" s="805" t="s">
        <v>2366</v>
      </c>
      <c r="R105" s="806" t="s">
        <v>2962</v>
      </c>
      <c r="S105" s="807">
        <v>42957</v>
      </c>
      <c r="T105" s="798">
        <v>42957</v>
      </c>
      <c r="U105" s="798" t="str">
        <f t="shared" si="59"/>
        <v>-</v>
      </c>
      <c r="V105" s="804" t="str">
        <f t="shared" ca="1" si="60"/>
        <v>-</v>
      </c>
      <c r="W105" s="808">
        <v>1</v>
      </c>
      <c r="X105" s="794">
        <f t="shared" si="107"/>
        <v>63</v>
      </c>
      <c r="Y105" s="794">
        <v>1</v>
      </c>
      <c r="Z105" s="809" t="str">
        <f t="shared" ca="1" si="62"/>
        <v>-----</v>
      </c>
      <c r="AA105" s="810" t="str">
        <f t="shared" ca="1" si="63"/>
        <v>-----</v>
      </c>
      <c r="AB105" s="804">
        <v>1</v>
      </c>
      <c r="AC105" s="811" t="str">
        <f t="shared" ca="1" si="64"/>
        <v>-----</v>
      </c>
      <c r="AD105" s="798">
        <v>43042</v>
      </c>
      <c r="AE105" s="794" t="str">
        <f t="shared" ca="1" si="65"/>
        <v>-</v>
      </c>
      <c r="AF105" s="798" t="str">
        <f t="shared" si="66"/>
        <v>-</v>
      </c>
      <c r="AG105" s="812" t="str">
        <f t="shared" si="67"/>
        <v>---------</v>
      </c>
      <c r="AH105" s="807">
        <v>42989</v>
      </c>
      <c r="AI105" s="807">
        <f t="shared" si="68"/>
        <v>43147</v>
      </c>
      <c r="AJ105" s="807">
        <f t="shared" si="69"/>
        <v>43177</v>
      </c>
      <c r="AK105" s="813"/>
      <c r="AL105" s="807">
        <f t="shared" si="70"/>
        <v>43216</v>
      </c>
      <c r="AM105" s="807">
        <f t="shared" si="71"/>
        <v>43237</v>
      </c>
      <c r="AN105" s="814">
        <f t="shared" ca="1" si="72"/>
        <v>-103</v>
      </c>
      <c r="AO105" s="815">
        <v>1</v>
      </c>
      <c r="AP105" s="816" t="str">
        <f t="shared" ca="1" si="73"/>
        <v>-</v>
      </c>
      <c r="AQ105" s="817"/>
      <c r="AR105" s="794" t="str">
        <f t="shared" si="74"/>
        <v>-</v>
      </c>
      <c r="AS105" s="818"/>
      <c r="AT105" s="794" t="str">
        <f t="shared" si="75"/>
        <v>-</v>
      </c>
      <c r="AU105" s="300" t="s">
        <v>2696</v>
      </c>
      <c r="AV105" s="820"/>
      <c r="AW105" s="821"/>
      <c r="AX105" s="821"/>
      <c r="AY105" s="969" t="str">
        <f t="shared" si="76"/>
        <v>-</v>
      </c>
      <c r="AZ105" s="966" t="str">
        <f t="shared" si="77"/>
        <v>-</v>
      </c>
      <c r="BA105" s="971" t="str">
        <f t="shared" si="78"/>
        <v>-</v>
      </c>
      <c r="BB105" s="975"/>
      <c r="BC105" s="821"/>
      <c r="BD105" s="821"/>
      <c r="BE105" s="963" t="str">
        <f t="shared" si="79"/>
        <v>-</v>
      </c>
      <c r="BF105" s="984"/>
      <c r="BG105" s="988"/>
      <c r="BH105" s="982"/>
      <c r="BI105" s="991"/>
      <c r="BJ105" s="991"/>
      <c r="BK105" s="993" t="str">
        <f t="shared" si="80"/>
        <v>-</v>
      </c>
      <c r="BL105" s="820">
        <v>42980</v>
      </c>
      <c r="BM105" s="821">
        <v>5</v>
      </c>
      <c r="BN105" s="822">
        <f t="shared" ca="1" si="81"/>
        <v>154</v>
      </c>
      <c r="BO105" s="823">
        <f t="shared" si="82"/>
        <v>39.799999999999997</v>
      </c>
      <c r="BP105" s="824">
        <v>43001</v>
      </c>
      <c r="BQ105" s="821">
        <v>2</v>
      </c>
      <c r="BR105" s="822">
        <f t="shared" ca="1" si="83"/>
        <v>133</v>
      </c>
      <c r="BS105" s="823">
        <f t="shared" si="84"/>
        <v>17.166666666666668</v>
      </c>
      <c r="BT105" s="825" t="str">
        <f t="shared" ca="1" si="85"/>
        <v>-</v>
      </c>
      <c r="BU105" s="826"/>
      <c r="BV105" s="827"/>
      <c r="BW105" s="828" t="str">
        <f t="shared" si="86"/>
        <v>Ж-Е НЕ ВАКЦ.</v>
      </c>
      <c r="BX105" s="829" t="str">
        <f t="shared" si="87"/>
        <v>-</v>
      </c>
      <c r="BY105" s="830" t="str">
        <f t="shared" ca="1" si="88"/>
        <v>-</v>
      </c>
      <c r="BZ105" s="831">
        <v>42916</v>
      </c>
      <c r="CA105" s="832">
        <v>5</v>
      </c>
      <c r="CB105" s="833">
        <f t="shared" ca="1" si="89"/>
        <v>218</v>
      </c>
      <c r="CC105" s="834" t="str">
        <f t="shared" ca="1" si="90"/>
        <v>-</v>
      </c>
      <c r="CD105" s="835">
        <f t="shared" si="91"/>
        <v>42937</v>
      </c>
      <c r="CE105" s="831">
        <v>42937</v>
      </c>
      <c r="CF105" s="832">
        <v>5</v>
      </c>
      <c r="CG105" s="833">
        <f t="shared" ca="1" si="92"/>
        <v>197</v>
      </c>
      <c r="CH105" s="836">
        <f t="shared" si="93"/>
        <v>0</v>
      </c>
      <c r="CI105" s="837" t="str">
        <f t="shared" si="94"/>
        <v>УСПЕШНО</v>
      </c>
      <c r="CJ105" s="838" t="str">
        <f t="shared" ca="1" si="95"/>
        <v>-</v>
      </c>
      <c r="CK105" s="831"/>
      <c r="CL105" s="832"/>
      <c r="CM105" s="833" t="str">
        <f t="shared" si="96"/>
        <v>-</v>
      </c>
      <c r="CN105" s="834" t="str">
        <f t="shared" si="97"/>
        <v>-</v>
      </c>
      <c r="CO105" s="830" t="str">
        <f t="shared" ca="1" si="98"/>
        <v>-</v>
      </c>
      <c r="CP105" s="839"/>
      <c r="CQ105" s="832"/>
      <c r="CR105" s="833" t="str">
        <f t="shared" si="99"/>
        <v>-</v>
      </c>
      <c r="CS105" s="833" t="str">
        <f t="shared" si="100"/>
        <v>-</v>
      </c>
      <c r="CT105" s="834" t="str">
        <f t="shared" si="101"/>
        <v>-</v>
      </c>
      <c r="CU105" s="835" t="str">
        <f t="shared" si="102"/>
        <v>-</v>
      </c>
      <c r="CV105" s="839"/>
      <c r="CW105" s="832"/>
      <c r="CX105" s="833" t="str">
        <f t="shared" si="103"/>
        <v>-</v>
      </c>
      <c r="CY105" s="840" t="str">
        <f t="shared" si="104"/>
        <v>-</v>
      </c>
      <c r="CZ105" s="833" t="str">
        <f t="shared" si="105"/>
        <v>-</v>
      </c>
      <c r="DA105" s="838" t="str">
        <f t="shared" ca="1" si="106"/>
        <v>-</v>
      </c>
      <c r="DB105" s="841"/>
      <c r="DC105" s="832"/>
    </row>
    <row r="106" spans="1:107" s="842" customFormat="1" ht="15.95" customHeight="1" x14ac:dyDescent="0.25">
      <c r="A106" s="790">
        <v>104</v>
      </c>
      <c r="B106" s="791">
        <f t="shared" ca="1" si="54"/>
        <v>43134</v>
      </c>
      <c r="C106" s="792" t="s">
        <v>614</v>
      </c>
      <c r="D106" s="793" t="s">
        <v>3203</v>
      </c>
      <c r="E106" s="794" t="s">
        <v>1318</v>
      </c>
      <c r="F106" s="795" t="s">
        <v>1200</v>
      </c>
      <c r="G106" s="796">
        <f>SUMIFS(МОЛОКО!L8:L6958,МОЛОКО!F8:F6958,"2268",МОЛОКО!L8:L6958,"&gt;0")</f>
        <v>30.4</v>
      </c>
      <c r="H106" s="797" t="s">
        <v>603</v>
      </c>
      <c r="I106" s="798">
        <v>41808</v>
      </c>
      <c r="J106" s="799">
        <f t="shared" ca="1" si="55"/>
        <v>3.6328767123287671</v>
      </c>
      <c r="K106" s="799">
        <f t="shared" ca="1" si="56"/>
        <v>44.2</v>
      </c>
      <c r="L106" s="800">
        <f t="shared" ca="1" si="57"/>
        <v>1326</v>
      </c>
      <c r="M106" s="801">
        <v>42505</v>
      </c>
      <c r="N106" s="802">
        <v>42918</v>
      </c>
      <c r="O106" s="803">
        <f t="shared" ca="1" si="58"/>
        <v>216</v>
      </c>
      <c r="P106" s="804">
        <v>2</v>
      </c>
      <c r="Q106" s="805" t="s">
        <v>2366</v>
      </c>
      <c r="R106" s="806" t="s">
        <v>2962</v>
      </c>
      <c r="S106" s="807">
        <v>42978</v>
      </c>
      <c r="T106" s="798">
        <v>43042</v>
      </c>
      <c r="U106" s="798">
        <f t="shared" si="59"/>
        <v>43060</v>
      </c>
      <c r="V106" s="804">
        <f t="shared" ca="1" si="60"/>
        <v>74</v>
      </c>
      <c r="W106" s="808">
        <v>2</v>
      </c>
      <c r="X106" s="794">
        <f t="shared" si="107"/>
        <v>124</v>
      </c>
      <c r="Y106" s="794">
        <v>3</v>
      </c>
      <c r="Z106" s="809" t="str">
        <f t="shared" ca="1" si="62"/>
        <v>-----</v>
      </c>
      <c r="AA106" s="810">
        <f t="shared" ca="1" si="63"/>
        <v>92</v>
      </c>
      <c r="AB106" s="804"/>
      <c r="AC106" s="811" t="str">
        <f t="shared" ca="1" si="64"/>
        <v>-----</v>
      </c>
      <c r="AD106" s="798"/>
      <c r="AE106" s="794" t="str">
        <f t="shared" ca="1" si="65"/>
        <v>-</v>
      </c>
      <c r="AF106" s="798">
        <f t="shared" si="66"/>
        <v>43077</v>
      </c>
      <c r="AG106" s="812">
        <f t="shared" ca="1" si="67"/>
        <v>57</v>
      </c>
      <c r="AH106" s="807">
        <v>43014</v>
      </c>
      <c r="AI106" s="807" t="str">
        <f t="shared" si="68"/>
        <v>-</v>
      </c>
      <c r="AJ106" s="807" t="str">
        <f t="shared" si="69"/>
        <v>-</v>
      </c>
      <c r="AK106" s="813"/>
      <c r="AL106" s="807" t="str">
        <f t="shared" si="70"/>
        <v>-</v>
      </c>
      <c r="AM106" s="807" t="str">
        <f t="shared" si="71"/>
        <v>-</v>
      </c>
      <c r="AN106" s="814" t="str">
        <f t="shared" ca="1" si="72"/>
        <v>-</v>
      </c>
      <c r="AO106" s="815">
        <v>1</v>
      </c>
      <c r="AP106" s="816" t="str">
        <f t="shared" ca="1" si="73"/>
        <v>-</v>
      </c>
      <c r="AQ106" s="817"/>
      <c r="AR106" s="794" t="str">
        <f t="shared" si="74"/>
        <v>-</v>
      </c>
      <c r="AS106" s="818"/>
      <c r="AT106" s="794" t="str">
        <f t="shared" si="75"/>
        <v>-</v>
      </c>
      <c r="AU106" s="819"/>
      <c r="AV106" s="820"/>
      <c r="AW106" s="821"/>
      <c r="AX106" s="821"/>
      <c r="AY106" s="969" t="str">
        <f t="shared" si="76"/>
        <v>-</v>
      </c>
      <c r="AZ106" s="966" t="str">
        <f t="shared" si="77"/>
        <v>-</v>
      </c>
      <c r="BA106" s="971" t="str">
        <f t="shared" si="78"/>
        <v>-</v>
      </c>
      <c r="BB106" s="975"/>
      <c r="BC106" s="821"/>
      <c r="BD106" s="821"/>
      <c r="BE106" s="963" t="str">
        <f t="shared" si="79"/>
        <v>-</v>
      </c>
      <c r="BF106" s="984"/>
      <c r="BG106" s="988"/>
      <c r="BH106" s="982"/>
      <c r="BI106" s="991"/>
      <c r="BJ106" s="991"/>
      <c r="BK106" s="993" t="str">
        <f t="shared" si="80"/>
        <v>-</v>
      </c>
      <c r="BL106" s="820">
        <v>42980</v>
      </c>
      <c r="BM106" s="821">
        <v>5</v>
      </c>
      <c r="BN106" s="822">
        <f t="shared" ca="1" si="81"/>
        <v>154</v>
      </c>
      <c r="BO106" s="823">
        <f t="shared" si="82"/>
        <v>39.06666666666667</v>
      </c>
      <c r="BP106" s="824">
        <v>43001</v>
      </c>
      <c r="BQ106" s="821">
        <v>2</v>
      </c>
      <c r="BR106" s="822">
        <f t="shared" ca="1" si="83"/>
        <v>133</v>
      </c>
      <c r="BS106" s="823">
        <f t="shared" si="84"/>
        <v>16.533333333333335</v>
      </c>
      <c r="BT106" s="825" t="str">
        <f t="shared" ca="1" si="85"/>
        <v>-</v>
      </c>
      <c r="BU106" s="826"/>
      <c r="BV106" s="827"/>
      <c r="BW106" s="828" t="str">
        <f t="shared" si="86"/>
        <v>Ж-Е НЕ ВАКЦ.</v>
      </c>
      <c r="BX106" s="829" t="str">
        <f t="shared" si="87"/>
        <v>-</v>
      </c>
      <c r="BY106" s="830" t="str">
        <f t="shared" ca="1" si="88"/>
        <v>-</v>
      </c>
      <c r="BZ106" s="831">
        <v>42964</v>
      </c>
      <c r="CA106" s="832">
        <v>5</v>
      </c>
      <c r="CB106" s="833">
        <f t="shared" ca="1" si="89"/>
        <v>170</v>
      </c>
      <c r="CC106" s="834" t="str">
        <f t="shared" ca="1" si="90"/>
        <v>-</v>
      </c>
      <c r="CD106" s="835">
        <f t="shared" si="91"/>
        <v>42985</v>
      </c>
      <c r="CE106" s="831">
        <v>42985</v>
      </c>
      <c r="CF106" s="832">
        <v>5</v>
      </c>
      <c r="CG106" s="833">
        <f t="shared" ca="1" si="92"/>
        <v>149</v>
      </c>
      <c r="CH106" s="836">
        <f t="shared" si="93"/>
        <v>0</v>
      </c>
      <c r="CI106" s="837" t="str">
        <f t="shared" si="94"/>
        <v>УСПЕШНО</v>
      </c>
      <c r="CJ106" s="838" t="str">
        <f t="shared" ca="1" si="95"/>
        <v>-</v>
      </c>
      <c r="CK106" s="831"/>
      <c r="CL106" s="832"/>
      <c r="CM106" s="833" t="str">
        <f t="shared" si="96"/>
        <v>-</v>
      </c>
      <c r="CN106" s="834" t="str">
        <f t="shared" si="97"/>
        <v>-</v>
      </c>
      <c r="CO106" s="830" t="str">
        <f t="shared" ca="1" si="98"/>
        <v>-</v>
      </c>
      <c r="CP106" s="839"/>
      <c r="CQ106" s="832"/>
      <c r="CR106" s="833" t="str">
        <f t="shared" si="99"/>
        <v>-</v>
      </c>
      <c r="CS106" s="833" t="str">
        <f t="shared" si="100"/>
        <v>-</v>
      </c>
      <c r="CT106" s="834" t="str">
        <f t="shared" si="101"/>
        <v>-</v>
      </c>
      <c r="CU106" s="835" t="str">
        <f t="shared" si="102"/>
        <v>-</v>
      </c>
      <c r="CV106" s="839"/>
      <c r="CW106" s="832"/>
      <c r="CX106" s="833" t="str">
        <f t="shared" si="103"/>
        <v>-</v>
      </c>
      <c r="CY106" s="840" t="str">
        <f t="shared" si="104"/>
        <v>-</v>
      </c>
      <c r="CZ106" s="833" t="str">
        <f t="shared" si="105"/>
        <v>-</v>
      </c>
      <c r="DA106" s="838" t="str">
        <f t="shared" ca="1" si="106"/>
        <v>-</v>
      </c>
      <c r="DB106" s="841"/>
      <c r="DC106" s="832"/>
    </row>
    <row r="107" spans="1:107" s="842" customFormat="1" ht="15.95" customHeight="1" x14ac:dyDescent="0.25">
      <c r="A107" s="790">
        <v>105</v>
      </c>
      <c r="B107" s="791">
        <f t="shared" ca="1" si="54"/>
        <v>43134</v>
      </c>
      <c r="C107" s="792" t="s">
        <v>614</v>
      </c>
      <c r="D107" s="793" t="s">
        <v>3203</v>
      </c>
      <c r="E107" s="794" t="s">
        <v>1321</v>
      </c>
      <c r="F107" s="795" t="s">
        <v>1204</v>
      </c>
      <c r="G107" s="796">
        <f>SUMIFS(МОЛОКО!L8:L6958,МОЛОКО!F8:F6958,"2287",МОЛОКО!L8:L6958,"&gt;0")</f>
        <v>25</v>
      </c>
      <c r="H107" s="797" t="s">
        <v>603</v>
      </c>
      <c r="I107" s="798">
        <v>41839</v>
      </c>
      <c r="J107" s="799">
        <f t="shared" ca="1" si="55"/>
        <v>3.547945205479452</v>
      </c>
      <c r="K107" s="799">
        <f t="shared" ca="1" si="56"/>
        <v>43.166666666666664</v>
      </c>
      <c r="L107" s="800">
        <f t="shared" ca="1" si="57"/>
        <v>1295</v>
      </c>
      <c r="M107" s="801">
        <v>42559</v>
      </c>
      <c r="N107" s="802">
        <v>42931</v>
      </c>
      <c r="O107" s="803">
        <f t="shared" ca="1" si="58"/>
        <v>203</v>
      </c>
      <c r="P107" s="804">
        <v>2</v>
      </c>
      <c r="Q107" s="805" t="s">
        <v>1451</v>
      </c>
      <c r="R107" s="806" t="s">
        <v>2966</v>
      </c>
      <c r="S107" s="807">
        <v>42992</v>
      </c>
      <c r="T107" s="798">
        <v>43015</v>
      </c>
      <c r="U107" s="798" t="str">
        <f t="shared" si="59"/>
        <v>-</v>
      </c>
      <c r="V107" s="804" t="str">
        <f t="shared" ca="1" si="60"/>
        <v>-</v>
      </c>
      <c r="W107" s="808">
        <v>2</v>
      </c>
      <c r="X107" s="794">
        <f t="shared" si="107"/>
        <v>84</v>
      </c>
      <c r="Y107" s="794">
        <v>1</v>
      </c>
      <c r="Z107" s="809" t="str">
        <f t="shared" ca="1" si="62"/>
        <v>ПОДЛЕЖИТ ПЕРЕПРОВЕРКЕ</v>
      </c>
      <c r="AA107" s="810">
        <f t="shared" ca="1" si="63"/>
        <v>119</v>
      </c>
      <c r="AB107" s="804"/>
      <c r="AC107" s="811">
        <f t="shared" ca="1" si="64"/>
        <v>43087</v>
      </c>
      <c r="AD107" s="798"/>
      <c r="AE107" s="794" t="str">
        <f t="shared" ca="1" si="65"/>
        <v>-</v>
      </c>
      <c r="AF107" s="798" t="str">
        <f t="shared" si="66"/>
        <v>-</v>
      </c>
      <c r="AG107" s="812" t="str">
        <f t="shared" si="67"/>
        <v>---------</v>
      </c>
      <c r="AH107" s="807">
        <v>43045</v>
      </c>
      <c r="AI107" s="807">
        <f t="shared" si="68"/>
        <v>43205</v>
      </c>
      <c r="AJ107" s="807">
        <f t="shared" si="69"/>
        <v>43235</v>
      </c>
      <c r="AK107" s="813"/>
      <c r="AL107" s="807">
        <f t="shared" si="70"/>
        <v>43274</v>
      </c>
      <c r="AM107" s="807">
        <f t="shared" si="71"/>
        <v>43295</v>
      </c>
      <c r="AN107" s="814">
        <f t="shared" ca="1" si="72"/>
        <v>-161</v>
      </c>
      <c r="AO107" s="815">
        <v>1</v>
      </c>
      <c r="AP107" s="816" t="str">
        <f t="shared" ca="1" si="73"/>
        <v>-</v>
      </c>
      <c r="AQ107" s="817"/>
      <c r="AR107" s="794" t="str">
        <f t="shared" si="74"/>
        <v>-</v>
      </c>
      <c r="AS107" s="818"/>
      <c r="AT107" s="794" t="str">
        <f t="shared" si="75"/>
        <v>-</v>
      </c>
      <c r="AU107" s="819"/>
      <c r="AV107" s="820"/>
      <c r="AW107" s="821"/>
      <c r="AX107" s="821"/>
      <c r="AY107" s="969" t="str">
        <f t="shared" si="76"/>
        <v>-</v>
      </c>
      <c r="AZ107" s="966" t="str">
        <f t="shared" si="77"/>
        <v>-</v>
      </c>
      <c r="BA107" s="971" t="str">
        <f t="shared" si="78"/>
        <v>-</v>
      </c>
      <c r="BB107" s="975"/>
      <c r="BC107" s="821"/>
      <c r="BD107" s="821"/>
      <c r="BE107" s="963" t="str">
        <f t="shared" si="79"/>
        <v>-</v>
      </c>
      <c r="BF107" s="984"/>
      <c r="BG107" s="988"/>
      <c r="BH107" s="982"/>
      <c r="BI107" s="991"/>
      <c r="BJ107" s="991"/>
      <c r="BK107" s="993" t="str">
        <f t="shared" si="80"/>
        <v>-</v>
      </c>
      <c r="BL107" s="820">
        <v>42980</v>
      </c>
      <c r="BM107" s="821">
        <v>5</v>
      </c>
      <c r="BN107" s="822">
        <f t="shared" ca="1" si="81"/>
        <v>154</v>
      </c>
      <c r="BO107" s="823">
        <f t="shared" si="82"/>
        <v>38.033333333333331</v>
      </c>
      <c r="BP107" s="824">
        <v>43001</v>
      </c>
      <c r="BQ107" s="821">
        <v>2</v>
      </c>
      <c r="BR107" s="822">
        <f t="shared" ca="1" si="83"/>
        <v>133</v>
      </c>
      <c r="BS107" s="823">
        <f t="shared" si="84"/>
        <v>14.733333333333333</v>
      </c>
      <c r="BT107" s="825" t="str">
        <f t="shared" ca="1" si="85"/>
        <v>-</v>
      </c>
      <c r="BU107" s="826"/>
      <c r="BV107" s="827"/>
      <c r="BW107" s="828" t="str">
        <f t="shared" si="86"/>
        <v>Ж-Е НЕ ВАКЦ.</v>
      </c>
      <c r="BX107" s="829" t="str">
        <f t="shared" si="87"/>
        <v>-</v>
      </c>
      <c r="BY107" s="830" t="str">
        <f t="shared" ca="1" si="88"/>
        <v>-</v>
      </c>
      <c r="BZ107" s="831">
        <v>42964</v>
      </c>
      <c r="CA107" s="832">
        <v>5</v>
      </c>
      <c r="CB107" s="833">
        <f t="shared" ca="1" si="89"/>
        <v>170</v>
      </c>
      <c r="CC107" s="834" t="str">
        <f t="shared" ca="1" si="90"/>
        <v>-</v>
      </c>
      <c r="CD107" s="835">
        <f t="shared" si="91"/>
        <v>42985</v>
      </c>
      <c r="CE107" s="831">
        <v>42985</v>
      </c>
      <c r="CF107" s="832">
        <v>5</v>
      </c>
      <c r="CG107" s="833">
        <f t="shared" ca="1" si="92"/>
        <v>149</v>
      </c>
      <c r="CH107" s="836">
        <f t="shared" si="93"/>
        <v>0</v>
      </c>
      <c r="CI107" s="837" t="str">
        <f t="shared" si="94"/>
        <v>УСПЕШНО</v>
      </c>
      <c r="CJ107" s="838" t="str">
        <f t="shared" ca="1" si="95"/>
        <v>-</v>
      </c>
      <c r="CK107" s="831"/>
      <c r="CL107" s="832"/>
      <c r="CM107" s="833" t="str">
        <f t="shared" si="96"/>
        <v>-</v>
      </c>
      <c r="CN107" s="834" t="str">
        <f t="shared" si="97"/>
        <v>-</v>
      </c>
      <c r="CO107" s="830" t="str">
        <f t="shared" ca="1" si="98"/>
        <v>-</v>
      </c>
      <c r="CP107" s="831">
        <v>42882</v>
      </c>
      <c r="CQ107" s="832">
        <v>2</v>
      </c>
      <c r="CR107" s="833">
        <f t="shared" si="99"/>
        <v>-133</v>
      </c>
      <c r="CS107" s="833">
        <f t="shared" ca="1" si="100"/>
        <v>252</v>
      </c>
      <c r="CT107" s="834" t="str">
        <f t="shared" ca="1" si="101"/>
        <v>-</v>
      </c>
      <c r="CU107" s="835">
        <f t="shared" si="102"/>
        <v>42903</v>
      </c>
      <c r="CV107" s="831">
        <v>42903</v>
      </c>
      <c r="CW107" s="832">
        <v>2</v>
      </c>
      <c r="CX107" s="833">
        <f t="shared" si="103"/>
        <v>0</v>
      </c>
      <c r="CY107" s="840" t="str">
        <f t="shared" si="104"/>
        <v>УСПЕШНО</v>
      </c>
      <c r="CZ107" s="833">
        <f t="shared" si="105"/>
        <v>-112</v>
      </c>
      <c r="DA107" s="838" t="str">
        <f t="shared" ca="1" si="106"/>
        <v>-</v>
      </c>
      <c r="DB107" s="841"/>
      <c r="DC107" s="832"/>
    </row>
    <row r="108" spans="1:107" s="842" customFormat="1" ht="15.95" customHeight="1" x14ac:dyDescent="0.25">
      <c r="A108" s="790">
        <v>106</v>
      </c>
      <c r="B108" s="791">
        <f t="shared" ca="1" si="54"/>
        <v>43134</v>
      </c>
      <c r="C108" s="792" t="s">
        <v>614</v>
      </c>
      <c r="D108" s="793" t="s">
        <v>3203</v>
      </c>
      <c r="E108" s="794" t="s">
        <v>1328</v>
      </c>
      <c r="F108" s="795" t="s">
        <v>1211</v>
      </c>
      <c r="G108" s="796">
        <f>SUMIFS(МОЛОКО!L8:L6958,МОЛОКО!F8:F6958,"2317",МОЛОКО!L8:L6958,"&gt;0")</f>
        <v>22.2</v>
      </c>
      <c r="H108" s="797" t="s">
        <v>603</v>
      </c>
      <c r="I108" s="798">
        <v>41865</v>
      </c>
      <c r="J108" s="799">
        <f t="shared" ca="1" si="55"/>
        <v>3.4767123287671233</v>
      </c>
      <c r="K108" s="799">
        <f t="shared" ca="1" si="56"/>
        <v>42.3</v>
      </c>
      <c r="L108" s="800">
        <f t="shared" ca="1" si="57"/>
        <v>1269</v>
      </c>
      <c r="M108" s="801">
        <v>42518</v>
      </c>
      <c r="N108" s="802">
        <v>42876</v>
      </c>
      <c r="O108" s="803">
        <f t="shared" ca="1" si="58"/>
        <v>258</v>
      </c>
      <c r="P108" s="804">
        <v>2</v>
      </c>
      <c r="Q108" s="805" t="s">
        <v>2309</v>
      </c>
      <c r="R108" s="806" t="s">
        <v>2269</v>
      </c>
      <c r="S108" s="807">
        <v>42936</v>
      </c>
      <c r="T108" s="798">
        <v>42936</v>
      </c>
      <c r="U108" s="798" t="str">
        <f t="shared" si="59"/>
        <v>-</v>
      </c>
      <c r="V108" s="804" t="str">
        <f t="shared" ca="1" si="60"/>
        <v>-</v>
      </c>
      <c r="W108" s="808">
        <v>1</v>
      </c>
      <c r="X108" s="794">
        <f t="shared" si="107"/>
        <v>60</v>
      </c>
      <c r="Y108" s="794">
        <v>1</v>
      </c>
      <c r="Z108" s="809" t="str">
        <f t="shared" ca="1" si="62"/>
        <v>-----</v>
      </c>
      <c r="AA108" s="810" t="str">
        <f t="shared" ca="1" si="63"/>
        <v>-----</v>
      </c>
      <c r="AB108" s="804">
        <v>1</v>
      </c>
      <c r="AC108" s="811" t="str">
        <f t="shared" ca="1" si="64"/>
        <v>-----</v>
      </c>
      <c r="AD108" s="798">
        <v>43043</v>
      </c>
      <c r="AE108" s="794" t="str">
        <f t="shared" ca="1" si="65"/>
        <v>-</v>
      </c>
      <c r="AF108" s="798" t="str">
        <f t="shared" si="66"/>
        <v>-</v>
      </c>
      <c r="AG108" s="812" t="str">
        <f t="shared" si="67"/>
        <v>---------</v>
      </c>
      <c r="AH108" s="807">
        <v>42968</v>
      </c>
      <c r="AI108" s="807">
        <f t="shared" si="68"/>
        <v>43126</v>
      </c>
      <c r="AJ108" s="807">
        <f t="shared" si="69"/>
        <v>43156</v>
      </c>
      <c r="AK108" s="813"/>
      <c r="AL108" s="807">
        <f t="shared" si="70"/>
        <v>43195</v>
      </c>
      <c r="AM108" s="807">
        <f t="shared" si="71"/>
        <v>43216</v>
      </c>
      <c r="AN108" s="814">
        <f t="shared" ca="1" si="72"/>
        <v>-82</v>
      </c>
      <c r="AO108" s="815">
        <v>1</v>
      </c>
      <c r="AP108" s="816" t="str">
        <f t="shared" ca="1" si="73"/>
        <v>-</v>
      </c>
      <c r="AQ108" s="817"/>
      <c r="AR108" s="794" t="str">
        <f t="shared" si="74"/>
        <v>-</v>
      </c>
      <c r="AS108" s="818"/>
      <c r="AT108" s="794" t="str">
        <f t="shared" si="75"/>
        <v>-</v>
      </c>
      <c r="AU108" s="819"/>
      <c r="AV108" s="820"/>
      <c r="AW108" s="821"/>
      <c r="AX108" s="821"/>
      <c r="AY108" s="969" t="str">
        <f t="shared" si="76"/>
        <v>-</v>
      </c>
      <c r="AZ108" s="966" t="str">
        <f t="shared" si="77"/>
        <v>-</v>
      </c>
      <c r="BA108" s="971" t="str">
        <f t="shared" si="78"/>
        <v>-</v>
      </c>
      <c r="BB108" s="975"/>
      <c r="BC108" s="821"/>
      <c r="BD108" s="821"/>
      <c r="BE108" s="963" t="str">
        <f t="shared" si="79"/>
        <v>-</v>
      </c>
      <c r="BF108" s="984"/>
      <c r="BG108" s="988"/>
      <c r="BH108" s="982"/>
      <c r="BI108" s="991"/>
      <c r="BJ108" s="991"/>
      <c r="BK108" s="993" t="str">
        <f t="shared" si="80"/>
        <v>-</v>
      </c>
      <c r="BL108" s="820">
        <v>42980</v>
      </c>
      <c r="BM108" s="821">
        <v>5</v>
      </c>
      <c r="BN108" s="822">
        <f t="shared" ca="1" si="81"/>
        <v>154</v>
      </c>
      <c r="BO108" s="823">
        <f t="shared" si="82"/>
        <v>37.166666666666664</v>
      </c>
      <c r="BP108" s="824">
        <v>43001</v>
      </c>
      <c r="BQ108" s="821">
        <v>2</v>
      </c>
      <c r="BR108" s="822">
        <f t="shared" ca="1" si="83"/>
        <v>133</v>
      </c>
      <c r="BS108" s="823">
        <f t="shared" si="84"/>
        <v>16.100000000000001</v>
      </c>
      <c r="BT108" s="825" t="str">
        <f t="shared" ca="1" si="85"/>
        <v>-</v>
      </c>
      <c r="BU108" s="826"/>
      <c r="BV108" s="827"/>
      <c r="BW108" s="828" t="str">
        <f t="shared" si="86"/>
        <v>Ж-Е НЕ ВАКЦ.</v>
      </c>
      <c r="BX108" s="829" t="str">
        <f t="shared" si="87"/>
        <v>-</v>
      </c>
      <c r="BY108" s="830" t="str">
        <f t="shared" ca="1" si="88"/>
        <v>-</v>
      </c>
      <c r="BZ108" s="831">
        <v>42904</v>
      </c>
      <c r="CA108" s="832">
        <v>5</v>
      </c>
      <c r="CB108" s="833">
        <f t="shared" ca="1" si="89"/>
        <v>230</v>
      </c>
      <c r="CC108" s="834" t="str">
        <f t="shared" ca="1" si="90"/>
        <v>-</v>
      </c>
      <c r="CD108" s="835">
        <f t="shared" si="91"/>
        <v>42925</v>
      </c>
      <c r="CE108" s="831">
        <v>42925</v>
      </c>
      <c r="CF108" s="832">
        <v>5</v>
      </c>
      <c r="CG108" s="833">
        <f t="shared" ca="1" si="92"/>
        <v>209</v>
      </c>
      <c r="CH108" s="836">
        <f t="shared" si="93"/>
        <v>0</v>
      </c>
      <c r="CI108" s="837" t="str">
        <f t="shared" si="94"/>
        <v>УСПЕШНО</v>
      </c>
      <c r="CJ108" s="838" t="str">
        <f t="shared" ca="1" si="95"/>
        <v>-</v>
      </c>
      <c r="CK108" s="831"/>
      <c r="CL108" s="832"/>
      <c r="CM108" s="833" t="str">
        <f t="shared" si="96"/>
        <v>-</v>
      </c>
      <c r="CN108" s="834" t="str">
        <f t="shared" si="97"/>
        <v>-</v>
      </c>
      <c r="CO108" s="830" t="str">
        <f t="shared" ca="1" si="98"/>
        <v>-</v>
      </c>
      <c r="CP108" s="839"/>
      <c r="CQ108" s="832"/>
      <c r="CR108" s="833" t="str">
        <f t="shared" si="99"/>
        <v>-</v>
      </c>
      <c r="CS108" s="833" t="str">
        <f t="shared" si="100"/>
        <v>-</v>
      </c>
      <c r="CT108" s="834" t="str">
        <f t="shared" si="101"/>
        <v>-</v>
      </c>
      <c r="CU108" s="835" t="str">
        <f t="shared" si="102"/>
        <v>-</v>
      </c>
      <c r="CV108" s="839"/>
      <c r="CW108" s="832"/>
      <c r="CX108" s="833" t="str">
        <f t="shared" si="103"/>
        <v>-</v>
      </c>
      <c r="CY108" s="840" t="str">
        <f t="shared" si="104"/>
        <v>-</v>
      </c>
      <c r="CZ108" s="833" t="str">
        <f t="shared" si="105"/>
        <v>-</v>
      </c>
      <c r="DA108" s="838" t="str">
        <f t="shared" ca="1" si="106"/>
        <v>-</v>
      </c>
      <c r="DB108" s="841"/>
      <c r="DC108" s="832"/>
    </row>
    <row r="109" spans="1:107" s="842" customFormat="1" ht="15.95" customHeight="1" x14ac:dyDescent="0.25">
      <c r="A109" s="790">
        <v>107</v>
      </c>
      <c r="B109" s="791">
        <f t="shared" ca="1" si="54"/>
        <v>43134</v>
      </c>
      <c r="C109" s="792" t="s">
        <v>614</v>
      </c>
      <c r="D109" s="793" t="s">
        <v>3203</v>
      </c>
      <c r="E109" s="794" t="s">
        <v>1342</v>
      </c>
      <c r="F109" s="795" t="s">
        <v>1226</v>
      </c>
      <c r="G109" s="796">
        <f>SUMIFS(МОЛОКО!L8:L6958,МОЛОКО!F8:F6958,"2356",МОЛОКО!L8:L6958,"&gt;0")</f>
        <v>19</v>
      </c>
      <c r="H109" s="797" t="s">
        <v>603</v>
      </c>
      <c r="I109" s="798">
        <v>41899</v>
      </c>
      <c r="J109" s="799">
        <f t="shared" ca="1" si="55"/>
        <v>3.3835616438356166</v>
      </c>
      <c r="K109" s="799">
        <f t="shared" ca="1" si="56"/>
        <v>41.166666666666664</v>
      </c>
      <c r="L109" s="800">
        <f t="shared" ca="1" si="57"/>
        <v>1235</v>
      </c>
      <c r="M109" s="801">
        <v>42581</v>
      </c>
      <c r="N109" s="802">
        <v>42907</v>
      </c>
      <c r="O109" s="803">
        <f t="shared" ca="1" si="58"/>
        <v>227</v>
      </c>
      <c r="P109" s="804">
        <v>2</v>
      </c>
      <c r="Q109" s="68" t="s">
        <v>2366</v>
      </c>
      <c r="R109" s="118" t="s">
        <v>2966</v>
      </c>
      <c r="S109" s="807">
        <v>42964</v>
      </c>
      <c r="T109" s="798">
        <v>43044</v>
      </c>
      <c r="U109" s="798">
        <f t="shared" si="59"/>
        <v>43062</v>
      </c>
      <c r="V109" s="804">
        <f t="shared" ca="1" si="60"/>
        <v>72</v>
      </c>
      <c r="W109" s="808">
        <v>3</v>
      </c>
      <c r="X109" s="794">
        <f t="shared" si="107"/>
        <v>137</v>
      </c>
      <c r="Y109" s="794">
        <v>3</v>
      </c>
      <c r="Z109" s="809" t="str">
        <f t="shared" ca="1" si="62"/>
        <v>-----</v>
      </c>
      <c r="AA109" s="810">
        <f t="shared" ca="1" si="63"/>
        <v>90</v>
      </c>
      <c r="AB109" s="804"/>
      <c r="AC109" s="811" t="str">
        <f t="shared" ca="1" si="64"/>
        <v>-----</v>
      </c>
      <c r="AD109" s="798"/>
      <c r="AE109" s="794" t="str">
        <f t="shared" ca="1" si="65"/>
        <v>-</v>
      </c>
      <c r="AF109" s="798">
        <f t="shared" si="66"/>
        <v>43079</v>
      </c>
      <c r="AG109" s="812">
        <f t="shared" ca="1" si="67"/>
        <v>55</v>
      </c>
      <c r="AH109" s="807">
        <v>43020</v>
      </c>
      <c r="AI109" s="807" t="str">
        <f t="shared" si="68"/>
        <v>-</v>
      </c>
      <c r="AJ109" s="807" t="str">
        <f t="shared" si="69"/>
        <v>-</v>
      </c>
      <c r="AK109" s="813"/>
      <c r="AL109" s="807" t="str">
        <f t="shared" si="70"/>
        <v>-</v>
      </c>
      <c r="AM109" s="807" t="str">
        <f t="shared" si="71"/>
        <v>-</v>
      </c>
      <c r="AN109" s="814" t="str">
        <f t="shared" ca="1" si="72"/>
        <v>-</v>
      </c>
      <c r="AO109" s="815">
        <v>1</v>
      </c>
      <c r="AP109" s="816" t="str">
        <f t="shared" ca="1" si="73"/>
        <v>-</v>
      </c>
      <c r="AQ109" s="441" t="s">
        <v>3491</v>
      </c>
      <c r="AR109" s="794" t="str">
        <f t="shared" si="74"/>
        <v>-</v>
      </c>
      <c r="AS109" s="818"/>
      <c r="AT109" s="794" t="str">
        <f t="shared" si="75"/>
        <v>-</v>
      </c>
      <c r="AU109" s="819"/>
      <c r="AV109" s="820"/>
      <c r="AW109" s="821"/>
      <c r="AX109" s="821"/>
      <c r="AY109" s="969" t="str">
        <f t="shared" si="76"/>
        <v>-</v>
      </c>
      <c r="AZ109" s="966" t="str">
        <f t="shared" si="77"/>
        <v>-</v>
      </c>
      <c r="BA109" s="971" t="str">
        <f t="shared" si="78"/>
        <v>-</v>
      </c>
      <c r="BB109" s="975"/>
      <c r="BC109" s="821"/>
      <c r="BD109" s="821"/>
      <c r="BE109" s="963" t="str">
        <f t="shared" si="79"/>
        <v>-</v>
      </c>
      <c r="BF109" s="984"/>
      <c r="BG109" s="988"/>
      <c r="BH109" s="982"/>
      <c r="BI109" s="991"/>
      <c r="BJ109" s="991"/>
      <c r="BK109" s="993" t="str">
        <f t="shared" si="80"/>
        <v>-</v>
      </c>
      <c r="BL109" s="820">
        <v>42980</v>
      </c>
      <c r="BM109" s="821">
        <v>5</v>
      </c>
      <c r="BN109" s="822">
        <f t="shared" ca="1" si="81"/>
        <v>154</v>
      </c>
      <c r="BO109" s="823">
        <f t="shared" si="82"/>
        <v>36.033333333333331</v>
      </c>
      <c r="BP109" s="824">
        <v>43001</v>
      </c>
      <c r="BQ109" s="821">
        <v>2</v>
      </c>
      <c r="BR109" s="822">
        <f t="shared" ca="1" si="83"/>
        <v>133</v>
      </c>
      <c r="BS109" s="823">
        <f t="shared" si="84"/>
        <v>14</v>
      </c>
      <c r="BT109" s="825" t="str">
        <f t="shared" ca="1" si="85"/>
        <v>-</v>
      </c>
      <c r="BU109" s="826"/>
      <c r="BV109" s="827"/>
      <c r="BW109" s="828" t="str">
        <f t="shared" si="86"/>
        <v>Ж-Е НЕ ВАКЦ.</v>
      </c>
      <c r="BX109" s="829" t="str">
        <f t="shared" si="87"/>
        <v>-</v>
      </c>
      <c r="BY109" s="830" t="str">
        <f t="shared" ca="1" si="88"/>
        <v>-</v>
      </c>
      <c r="BZ109" s="831">
        <v>42940</v>
      </c>
      <c r="CA109" s="832">
        <v>5</v>
      </c>
      <c r="CB109" s="833">
        <f t="shared" ca="1" si="89"/>
        <v>194</v>
      </c>
      <c r="CC109" s="834" t="str">
        <f t="shared" ca="1" si="90"/>
        <v>-</v>
      </c>
      <c r="CD109" s="835">
        <f t="shared" si="91"/>
        <v>42961</v>
      </c>
      <c r="CE109" s="831">
        <v>42969</v>
      </c>
      <c r="CF109" s="832">
        <v>5</v>
      </c>
      <c r="CG109" s="833">
        <f t="shared" ca="1" si="92"/>
        <v>165</v>
      </c>
      <c r="CH109" s="836">
        <f t="shared" si="93"/>
        <v>-8</v>
      </c>
      <c r="CI109" s="837" t="str">
        <f t="shared" si="94"/>
        <v>-</v>
      </c>
      <c r="CJ109" s="838" t="str">
        <f t="shared" ca="1" si="95"/>
        <v>-</v>
      </c>
      <c r="CK109" s="831"/>
      <c r="CL109" s="832"/>
      <c r="CM109" s="833" t="str">
        <f t="shared" si="96"/>
        <v>-</v>
      </c>
      <c r="CN109" s="834" t="str">
        <f t="shared" si="97"/>
        <v>-</v>
      </c>
      <c r="CO109" s="830" t="str">
        <f t="shared" ca="1" si="98"/>
        <v>-</v>
      </c>
      <c r="CP109" s="839"/>
      <c r="CQ109" s="832"/>
      <c r="CR109" s="833" t="str">
        <f t="shared" si="99"/>
        <v>-</v>
      </c>
      <c r="CS109" s="833" t="str">
        <f t="shared" si="100"/>
        <v>-</v>
      </c>
      <c r="CT109" s="834" t="str">
        <f t="shared" si="101"/>
        <v>-</v>
      </c>
      <c r="CU109" s="835" t="str">
        <f t="shared" si="102"/>
        <v>-</v>
      </c>
      <c r="CV109" s="839"/>
      <c r="CW109" s="832"/>
      <c r="CX109" s="833" t="str">
        <f t="shared" si="103"/>
        <v>-</v>
      </c>
      <c r="CY109" s="840" t="str">
        <f t="shared" si="104"/>
        <v>-</v>
      </c>
      <c r="CZ109" s="833" t="str">
        <f t="shared" si="105"/>
        <v>-</v>
      </c>
      <c r="DA109" s="838" t="str">
        <f t="shared" ca="1" si="106"/>
        <v>-</v>
      </c>
      <c r="DB109" s="841"/>
      <c r="DC109" s="832"/>
    </row>
    <row r="110" spans="1:107" s="842" customFormat="1" ht="15.95" customHeight="1" x14ac:dyDescent="0.25">
      <c r="A110" s="790">
        <v>108</v>
      </c>
      <c r="B110" s="791">
        <f t="shared" ca="1" si="54"/>
        <v>43134</v>
      </c>
      <c r="C110" s="792" t="s">
        <v>614</v>
      </c>
      <c r="D110" s="793" t="s">
        <v>3203</v>
      </c>
      <c r="E110" s="794" t="s">
        <v>1347</v>
      </c>
      <c r="F110" s="795" t="s">
        <v>1230</v>
      </c>
      <c r="G110" s="796">
        <f>SUMIFS(МОЛОКО!L8:L6958,МОЛОКО!F8:F6958,"2372",МОЛОКО!L8:L6958,"&gt;0")</f>
        <v>16.600000000000001</v>
      </c>
      <c r="H110" s="797" t="s">
        <v>603</v>
      </c>
      <c r="I110" s="798">
        <v>41926</v>
      </c>
      <c r="J110" s="799">
        <f t="shared" ca="1" si="55"/>
        <v>3.3095890410958906</v>
      </c>
      <c r="K110" s="799">
        <f t="shared" ca="1" si="56"/>
        <v>40.266666666666666</v>
      </c>
      <c r="L110" s="800">
        <f t="shared" ca="1" si="57"/>
        <v>1208</v>
      </c>
      <c r="M110" s="801">
        <v>42614</v>
      </c>
      <c r="N110" s="802">
        <v>42979</v>
      </c>
      <c r="O110" s="803">
        <f t="shared" ca="1" si="58"/>
        <v>155</v>
      </c>
      <c r="P110" s="804">
        <v>2</v>
      </c>
      <c r="Q110" s="68" t="s">
        <v>2366</v>
      </c>
      <c r="R110" s="118" t="s">
        <v>2962</v>
      </c>
      <c r="S110" s="807">
        <v>43041</v>
      </c>
      <c r="T110" s="798">
        <v>43041</v>
      </c>
      <c r="U110" s="798">
        <f t="shared" si="59"/>
        <v>43059</v>
      </c>
      <c r="V110" s="804">
        <f t="shared" ca="1" si="60"/>
        <v>75</v>
      </c>
      <c r="W110" s="808">
        <v>1</v>
      </c>
      <c r="X110" s="794">
        <f t="shared" si="107"/>
        <v>62</v>
      </c>
      <c r="Y110" s="794">
        <v>3</v>
      </c>
      <c r="Z110" s="809" t="str">
        <f t="shared" ca="1" si="62"/>
        <v>-----</v>
      </c>
      <c r="AA110" s="810">
        <f t="shared" ca="1" si="63"/>
        <v>93</v>
      </c>
      <c r="AB110" s="804"/>
      <c r="AC110" s="811" t="str">
        <f t="shared" ca="1" si="64"/>
        <v>-----</v>
      </c>
      <c r="AD110" s="798"/>
      <c r="AE110" s="794" t="str">
        <f t="shared" ca="1" si="65"/>
        <v>-</v>
      </c>
      <c r="AF110" s="798">
        <f t="shared" si="66"/>
        <v>43076</v>
      </c>
      <c r="AG110" s="812">
        <f t="shared" ca="1" si="67"/>
        <v>58</v>
      </c>
      <c r="AH110" s="807"/>
      <c r="AI110" s="807" t="str">
        <f t="shared" si="68"/>
        <v>-</v>
      </c>
      <c r="AJ110" s="807" t="str">
        <f t="shared" si="69"/>
        <v>-</v>
      </c>
      <c r="AK110" s="813"/>
      <c r="AL110" s="807" t="str">
        <f t="shared" si="70"/>
        <v>-</v>
      </c>
      <c r="AM110" s="807" t="str">
        <f t="shared" si="71"/>
        <v>-</v>
      </c>
      <c r="AN110" s="814" t="str">
        <f t="shared" ca="1" si="72"/>
        <v>-</v>
      </c>
      <c r="AO110" s="815">
        <v>1</v>
      </c>
      <c r="AP110" s="816" t="str">
        <f t="shared" ca="1" si="73"/>
        <v>-</v>
      </c>
      <c r="AQ110" s="817"/>
      <c r="AR110" s="794" t="str">
        <f t="shared" si="74"/>
        <v>-</v>
      </c>
      <c r="AS110" s="818"/>
      <c r="AT110" s="794" t="str">
        <f t="shared" si="75"/>
        <v>-</v>
      </c>
      <c r="AU110" s="819"/>
      <c r="AV110" s="820"/>
      <c r="AW110" s="821"/>
      <c r="AX110" s="821"/>
      <c r="AY110" s="969" t="str">
        <f t="shared" si="76"/>
        <v>-</v>
      </c>
      <c r="AZ110" s="966" t="str">
        <f t="shared" si="77"/>
        <v>-</v>
      </c>
      <c r="BA110" s="971" t="str">
        <f t="shared" si="78"/>
        <v>-</v>
      </c>
      <c r="BB110" s="975"/>
      <c r="BC110" s="821"/>
      <c r="BD110" s="821"/>
      <c r="BE110" s="963" t="str">
        <f t="shared" si="79"/>
        <v>-</v>
      </c>
      <c r="BF110" s="984"/>
      <c r="BG110" s="988"/>
      <c r="BH110" s="982"/>
      <c r="BI110" s="991"/>
      <c r="BJ110" s="991"/>
      <c r="BK110" s="993" t="str">
        <f t="shared" si="80"/>
        <v>-</v>
      </c>
      <c r="BL110" s="820">
        <v>42982</v>
      </c>
      <c r="BM110" s="821">
        <v>5</v>
      </c>
      <c r="BN110" s="822">
        <f t="shared" ca="1" si="81"/>
        <v>152</v>
      </c>
      <c r="BO110" s="823">
        <f t="shared" si="82"/>
        <v>35.200000000000003</v>
      </c>
      <c r="BP110" s="824">
        <v>43001</v>
      </c>
      <c r="BQ110" s="821">
        <v>2</v>
      </c>
      <c r="BR110" s="822">
        <f t="shared" ca="1" si="83"/>
        <v>133</v>
      </c>
      <c r="BS110" s="823">
        <f t="shared" si="84"/>
        <v>12.9</v>
      </c>
      <c r="BT110" s="825" t="str">
        <f t="shared" ca="1" si="85"/>
        <v>-</v>
      </c>
      <c r="BU110" s="826"/>
      <c r="BV110" s="827"/>
      <c r="BW110" s="828" t="str">
        <f t="shared" si="86"/>
        <v>Ж-Е НЕ ВАКЦ.</v>
      </c>
      <c r="BX110" s="829" t="str">
        <f t="shared" si="87"/>
        <v>-</v>
      </c>
      <c r="BY110" s="830" t="str">
        <f t="shared" ca="1" si="88"/>
        <v>-</v>
      </c>
      <c r="BZ110" s="831">
        <v>42887</v>
      </c>
      <c r="CA110" s="832">
        <v>5</v>
      </c>
      <c r="CB110" s="833">
        <f t="shared" ca="1" si="89"/>
        <v>247</v>
      </c>
      <c r="CC110" s="834" t="str">
        <f t="shared" ca="1" si="90"/>
        <v>-</v>
      </c>
      <c r="CD110" s="835">
        <f t="shared" si="91"/>
        <v>42908</v>
      </c>
      <c r="CE110" s="831">
        <v>42908</v>
      </c>
      <c r="CF110" s="832">
        <v>5</v>
      </c>
      <c r="CG110" s="833">
        <f t="shared" ca="1" si="92"/>
        <v>226</v>
      </c>
      <c r="CH110" s="836">
        <f t="shared" si="93"/>
        <v>0</v>
      </c>
      <c r="CI110" s="837" t="str">
        <f t="shared" si="94"/>
        <v>УСПЕШНО</v>
      </c>
      <c r="CJ110" s="838" t="str">
        <f t="shared" ca="1" si="95"/>
        <v>-</v>
      </c>
      <c r="CK110" s="831"/>
      <c r="CL110" s="832"/>
      <c r="CM110" s="833" t="str">
        <f t="shared" si="96"/>
        <v>-</v>
      </c>
      <c r="CN110" s="834" t="str">
        <f t="shared" si="97"/>
        <v>-</v>
      </c>
      <c r="CO110" s="830" t="str">
        <f t="shared" ca="1" si="98"/>
        <v>-</v>
      </c>
      <c r="CP110" s="831">
        <v>42925</v>
      </c>
      <c r="CQ110" s="832">
        <v>2</v>
      </c>
      <c r="CR110" s="833">
        <f t="shared" si="99"/>
        <v>-116</v>
      </c>
      <c r="CS110" s="833">
        <f t="shared" ca="1" si="100"/>
        <v>209</v>
      </c>
      <c r="CT110" s="834" t="str">
        <f t="shared" ca="1" si="101"/>
        <v>-</v>
      </c>
      <c r="CU110" s="835">
        <f t="shared" si="102"/>
        <v>42946</v>
      </c>
      <c r="CV110" s="831">
        <v>42946</v>
      </c>
      <c r="CW110" s="832">
        <v>2</v>
      </c>
      <c r="CX110" s="833">
        <f t="shared" si="103"/>
        <v>0</v>
      </c>
      <c r="CY110" s="840" t="str">
        <f t="shared" si="104"/>
        <v>УСПЕШНО</v>
      </c>
      <c r="CZ110" s="833">
        <f t="shared" si="105"/>
        <v>-95</v>
      </c>
      <c r="DA110" s="838" t="str">
        <f t="shared" ca="1" si="106"/>
        <v>-</v>
      </c>
      <c r="DB110" s="841"/>
      <c r="DC110" s="832"/>
    </row>
    <row r="111" spans="1:107" s="842" customFormat="1" ht="15.95" customHeight="1" x14ac:dyDescent="0.25">
      <c r="A111" s="790">
        <v>109</v>
      </c>
      <c r="B111" s="791">
        <f t="shared" ca="1" si="54"/>
        <v>43134</v>
      </c>
      <c r="C111" s="29" t="s">
        <v>614</v>
      </c>
      <c r="D111" s="59" t="s">
        <v>3203</v>
      </c>
      <c r="E111" s="794" t="s">
        <v>1099</v>
      </c>
      <c r="F111" s="795" t="s">
        <v>1231</v>
      </c>
      <c r="G111" s="796">
        <f>SUMIFS(МОЛОКО!L8:L6958,МОЛОКО!F8:F6958,"2378",МОЛОКО!L8:L6958,"&gt;0")</f>
        <v>24.6</v>
      </c>
      <c r="H111" s="797" t="s">
        <v>603</v>
      </c>
      <c r="I111" s="798">
        <v>41931</v>
      </c>
      <c r="J111" s="799">
        <f t="shared" ca="1" si="55"/>
        <v>3.2958904109589042</v>
      </c>
      <c r="K111" s="799">
        <f t="shared" ca="1" si="56"/>
        <v>40.1</v>
      </c>
      <c r="L111" s="800">
        <f t="shared" ca="1" si="57"/>
        <v>1203</v>
      </c>
      <c r="M111" s="801">
        <v>42625</v>
      </c>
      <c r="N111" s="802">
        <v>43011</v>
      </c>
      <c r="O111" s="803">
        <f t="shared" ca="1" si="58"/>
        <v>123</v>
      </c>
      <c r="P111" s="804">
        <v>2</v>
      </c>
      <c r="Q111" s="805"/>
      <c r="R111" s="806"/>
      <c r="S111" s="807"/>
      <c r="T111" s="798"/>
      <c r="U111" s="798" t="str">
        <f t="shared" si="59"/>
        <v>-</v>
      </c>
      <c r="V111" s="804" t="str">
        <f t="shared" ca="1" si="60"/>
        <v>-</v>
      </c>
      <c r="W111" s="808">
        <v>0</v>
      </c>
      <c r="X111" s="794" t="str">
        <f t="shared" si="107"/>
        <v>-</v>
      </c>
      <c r="Y111" s="794">
        <v>0</v>
      </c>
      <c r="Z111" s="809" t="str">
        <f t="shared" ca="1" si="62"/>
        <v>-----</v>
      </c>
      <c r="AA111" s="810">
        <f t="shared" ca="1" si="63"/>
        <v>43134</v>
      </c>
      <c r="AB111" s="804"/>
      <c r="AC111" s="811" t="str">
        <f t="shared" ca="1" si="64"/>
        <v>-----</v>
      </c>
      <c r="AD111" s="798"/>
      <c r="AE111" s="794" t="str">
        <f t="shared" ca="1" si="65"/>
        <v>яловая</v>
      </c>
      <c r="AF111" s="798" t="str">
        <f t="shared" si="66"/>
        <v>-</v>
      </c>
      <c r="AG111" s="812" t="str">
        <f t="shared" si="67"/>
        <v>---------</v>
      </c>
      <c r="AH111" s="807"/>
      <c r="AI111" s="807" t="str">
        <f t="shared" si="68"/>
        <v>-</v>
      </c>
      <c r="AJ111" s="807" t="str">
        <f t="shared" si="69"/>
        <v>-</v>
      </c>
      <c r="AK111" s="813"/>
      <c r="AL111" s="807" t="str">
        <f t="shared" si="70"/>
        <v>-</v>
      </c>
      <c r="AM111" s="807" t="str">
        <f t="shared" si="71"/>
        <v>-</v>
      </c>
      <c r="AN111" s="814" t="str">
        <f t="shared" ca="1" si="72"/>
        <v>-</v>
      </c>
      <c r="AO111" s="815">
        <v>1</v>
      </c>
      <c r="AP111" s="816" t="str">
        <f t="shared" ca="1" si="73"/>
        <v>-</v>
      </c>
      <c r="AQ111" s="817"/>
      <c r="AR111" s="794" t="str">
        <f t="shared" si="74"/>
        <v>-</v>
      </c>
      <c r="AS111" s="818"/>
      <c r="AT111" s="794" t="str">
        <f t="shared" si="75"/>
        <v>-</v>
      </c>
      <c r="AU111" s="819"/>
      <c r="AV111" s="865"/>
      <c r="AW111" s="821"/>
      <c r="AX111" s="821"/>
      <c r="AY111" s="969" t="str">
        <f t="shared" si="76"/>
        <v>-</v>
      </c>
      <c r="AZ111" s="966" t="str">
        <f t="shared" si="77"/>
        <v>-</v>
      </c>
      <c r="BA111" s="971" t="str">
        <f t="shared" si="78"/>
        <v>-</v>
      </c>
      <c r="BB111" s="975"/>
      <c r="BC111" s="821"/>
      <c r="BD111" s="821"/>
      <c r="BE111" s="963" t="str">
        <f t="shared" si="79"/>
        <v>-</v>
      </c>
      <c r="BF111" s="984"/>
      <c r="BG111" s="988"/>
      <c r="BH111" s="982"/>
      <c r="BI111" s="991"/>
      <c r="BJ111" s="991"/>
      <c r="BK111" s="993" t="str">
        <f t="shared" si="80"/>
        <v>-</v>
      </c>
      <c r="BL111" s="865"/>
      <c r="BM111" s="821"/>
      <c r="BN111" s="822" t="str">
        <f t="shared" si="81"/>
        <v>-</v>
      </c>
      <c r="BO111" s="823" t="str">
        <f t="shared" si="82"/>
        <v>-</v>
      </c>
      <c r="BP111" s="824">
        <v>43001</v>
      </c>
      <c r="BQ111" s="821">
        <v>2</v>
      </c>
      <c r="BR111" s="822">
        <f t="shared" ca="1" si="83"/>
        <v>133</v>
      </c>
      <c r="BS111" s="823">
        <f t="shared" si="84"/>
        <v>12.533333333333333</v>
      </c>
      <c r="BT111" s="825" t="str">
        <f t="shared" ca="1" si="85"/>
        <v>-</v>
      </c>
      <c r="BU111" s="826"/>
      <c r="BV111" s="827"/>
      <c r="BW111" s="828" t="str">
        <f t="shared" si="86"/>
        <v>Ж-Е НЕ ВАКЦ.</v>
      </c>
      <c r="BX111" s="829" t="str">
        <f t="shared" si="87"/>
        <v>-</v>
      </c>
      <c r="BY111" s="830" t="str">
        <f t="shared" ca="1" si="88"/>
        <v>-</v>
      </c>
      <c r="BZ111" s="831">
        <v>42887</v>
      </c>
      <c r="CA111" s="832">
        <v>5</v>
      </c>
      <c r="CB111" s="833">
        <f t="shared" ca="1" si="89"/>
        <v>247</v>
      </c>
      <c r="CC111" s="834" t="str">
        <f t="shared" ca="1" si="90"/>
        <v>-</v>
      </c>
      <c r="CD111" s="835">
        <f t="shared" si="91"/>
        <v>42908</v>
      </c>
      <c r="CE111" s="831">
        <v>42908</v>
      </c>
      <c r="CF111" s="832">
        <v>5</v>
      </c>
      <c r="CG111" s="833">
        <f t="shared" ca="1" si="92"/>
        <v>226</v>
      </c>
      <c r="CH111" s="836">
        <f t="shared" si="93"/>
        <v>0</v>
      </c>
      <c r="CI111" s="837" t="str">
        <f t="shared" si="94"/>
        <v>УСПЕШНО</v>
      </c>
      <c r="CJ111" s="838" t="str">
        <f t="shared" ca="1" si="95"/>
        <v>-</v>
      </c>
      <c r="CK111" s="831"/>
      <c r="CL111" s="832"/>
      <c r="CM111" s="833" t="str">
        <f t="shared" si="96"/>
        <v>-</v>
      </c>
      <c r="CN111" s="834" t="str">
        <f t="shared" si="97"/>
        <v>-</v>
      </c>
      <c r="CO111" s="830" t="str">
        <f t="shared" ca="1" si="98"/>
        <v>-</v>
      </c>
      <c r="CP111" s="831">
        <v>42941</v>
      </c>
      <c r="CQ111" s="832">
        <v>2</v>
      </c>
      <c r="CR111" s="833">
        <f t="shared" si="99"/>
        <v>42941</v>
      </c>
      <c r="CS111" s="833">
        <f t="shared" ca="1" si="100"/>
        <v>193</v>
      </c>
      <c r="CT111" s="834" t="str">
        <f t="shared" ca="1" si="101"/>
        <v>-</v>
      </c>
      <c r="CU111" s="835">
        <f t="shared" si="102"/>
        <v>42962</v>
      </c>
      <c r="CV111" s="831">
        <v>42962</v>
      </c>
      <c r="CW111" s="832">
        <v>2</v>
      </c>
      <c r="CX111" s="833">
        <f t="shared" si="103"/>
        <v>0</v>
      </c>
      <c r="CY111" s="840" t="str">
        <f t="shared" si="104"/>
        <v>УСПЕШНО</v>
      </c>
      <c r="CZ111" s="833">
        <f t="shared" si="105"/>
        <v>42962</v>
      </c>
      <c r="DA111" s="838" t="str">
        <f t="shared" ca="1" si="106"/>
        <v>-</v>
      </c>
      <c r="DB111" s="841"/>
      <c r="DC111" s="832"/>
    </row>
    <row r="112" spans="1:107" s="842" customFormat="1" ht="15.95" customHeight="1" x14ac:dyDescent="0.25">
      <c r="A112" s="790">
        <v>110</v>
      </c>
      <c r="B112" s="791">
        <f t="shared" ca="1" si="54"/>
        <v>43134</v>
      </c>
      <c r="C112" s="792" t="s">
        <v>614</v>
      </c>
      <c r="D112" s="793" t="s">
        <v>3203</v>
      </c>
      <c r="E112" s="794" t="s">
        <v>1911</v>
      </c>
      <c r="F112" s="795" t="s">
        <v>1907</v>
      </c>
      <c r="G112" s="796">
        <f>SUMIFS(МОЛОКО!L8:L6958,МОЛОКО!F8:F6958,"2700",МОЛОКО!L8:L6958,"&gt;0")</f>
        <v>20.2</v>
      </c>
      <c r="H112" s="797" t="s">
        <v>603</v>
      </c>
      <c r="I112" s="798">
        <v>42257</v>
      </c>
      <c r="J112" s="799">
        <f t="shared" ca="1" si="55"/>
        <v>2.4027397260273973</v>
      </c>
      <c r="K112" s="799">
        <f t="shared" ca="1" si="56"/>
        <v>29.233333333333334</v>
      </c>
      <c r="L112" s="800">
        <f t="shared" ca="1" si="57"/>
        <v>877</v>
      </c>
      <c r="M112" s="801">
        <v>42949</v>
      </c>
      <c r="N112" s="802">
        <v>42949</v>
      </c>
      <c r="O112" s="803">
        <f t="shared" ca="1" si="58"/>
        <v>185</v>
      </c>
      <c r="P112" s="804">
        <v>1</v>
      </c>
      <c r="Q112" s="68" t="s">
        <v>1451</v>
      </c>
      <c r="R112" s="118" t="s">
        <v>3020</v>
      </c>
      <c r="S112" s="807">
        <v>43012</v>
      </c>
      <c r="T112" s="798">
        <v>43056</v>
      </c>
      <c r="U112" s="798">
        <f t="shared" si="59"/>
        <v>43074</v>
      </c>
      <c r="V112" s="804">
        <f t="shared" ca="1" si="60"/>
        <v>60</v>
      </c>
      <c r="W112" s="808">
        <v>2</v>
      </c>
      <c r="X112" s="794">
        <f t="shared" si="107"/>
        <v>107</v>
      </c>
      <c r="Y112" s="794">
        <v>3</v>
      </c>
      <c r="Z112" s="809" t="str">
        <f t="shared" ca="1" si="62"/>
        <v>-----</v>
      </c>
      <c r="AA112" s="810">
        <f t="shared" ca="1" si="63"/>
        <v>78</v>
      </c>
      <c r="AB112" s="804"/>
      <c r="AC112" s="811" t="str">
        <f t="shared" ca="1" si="64"/>
        <v>-----</v>
      </c>
      <c r="AD112" s="798"/>
      <c r="AE112" s="794" t="str">
        <f t="shared" ca="1" si="65"/>
        <v>-</v>
      </c>
      <c r="AF112" s="798">
        <f t="shared" si="66"/>
        <v>43091</v>
      </c>
      <c r="AG112" s="812">
        <f t="shared" ca="1" si="67"/>
        <v>43</v>
      </c>
      <c r="AH112" s="807">
        <v>43052</v>
      </c>
      <c r="AI112" s="807" t="str">
        <f t="shared" si="68"/>
        <v>-</v>
      </c>
      <c r="AJ112" s="807" t="str">
        <f t="shared" si="69"/>
        <v>-</v>
      </c>
      <c r="AK112" s="813"/>
      <c r="AL112" s="807" t="str">
        <f t="shared" si="70"/>
        <v>-</v>
      </c>
      <c r="AM112" s="807" t="str">
        <f t="shared" si="71"/>
        <v>-</v>
      </c>
      <c r="AN112" s="814" t="str">
        <f t="shared" ca="1" si="72"/>
        <v>-</v>
      </c>
      <c r="AO112" s="815">
        <v>1</v>
      </c>
      <c r="AP112" s="816" t="str">
        <f t="shared" ca="1" si="73"/>
        <v>-</v>
      </c>
      <c r="AQ112" s="817"/>
      <c r="AR112" s="794" t="str">
        <f t="shared" si="74"/>
        <v>-</v>
      </c>
      <c r="AS112" s="818"/>
      <c r="AT112" s="794" t="str">
        <f t="shared" si="75"/>
        <v>-</v>
      </c>
      <c r="AU112" s="819"/>
      <c r="AV112" s="820"/>
      <c r="AW112" s="821"/>
      <c r="AX112" s="821"/>
      <c r="AY112" s="969" t="str">
        <f t="shared" si="76"/>
        <v>-</v>
      </c>
      <c r="AZ112" s="966" t="str">
        <f t="shared" si="77"/>
        <v>-</v>
      </c>
      <c r="BA112" s="971" t="str">
        <f t="shared" si="78"/>
        <v>-</v>
      </c>
      <c r="BB112" s="975"/>
      <c r="BC112" s="821"/>
      <c r="BD112" s="821"/>
      <c r="BE112" s="963" t="str">
        <f t="shared" si="79"/>
        <v>-</v>
      </c>
      <c r="BF112" s="984"/>
      <c r="BG112" s="988"/>
      <c r="BH112" s="982"/>
      <c r="BI112" s="991"/>
      <c r="BJ112" s="991"/>
      <c r="BK112" s="993" t="str">
        <f t="shared" si="80"/>
        <v>-</v>
      </c>
      <c r="BL112" s="820">
        <v>42980</v>
      </c>
      <c r="BM112" s="821">
        <v>5</v>
      </c>
      <c r="BN112" s="822">
        <f t="shared" ca="1" si="81"/>
        <v>154</v>
      </c>
      <c r="BO112" s="823">
        <f t="shared" si="82"/>
        <v>24.1</v>
      </c>
      <c r="BP112" s="824">
        <v>43001</v>
      </c>
      <c r="BQ112" s="821">
        <v>2</v>
      </c>
      <c r="BR112" s="822">
        <f t="shared" ca="1" si="83"/>
        <v>133</v>
      </c>
      <c r="BS112" s="823">
        <f t="shared" si="84"/>
        <v>1.7333333333333334</v>
      </c>
      <c r="BT112" s="825" t="str">
        <f t="shared" ca="1" si="85"/>
        <v>-</v>
      </c>
      <c r="BU112" s="826"/>
      <c r="BV112" s="827"/>
      <c r="BW112" s="828" t="str">
        <f t="shared" si="86"/>
        <v>Ж-Е НЕ ВАКЦ.</v>
      </c>
      <c r="BX112" s="829" t="str">
        <f t="shared" si="87"/>
        <v>-</v>
      </c>
      <c r="BY112" s="830" t="str">
        <f t="shared" ca="1" si="88"/>
        <v>-</v>
      </c>
      <c r="BZ112" s="831">
        <v>42894</v>
      </c>
      <c r="CA112" s="832">
        <v>5</v>
      </c>
      <c r="CB112" s="833">
        <f t="shared" ca="1" si="89"/>
        <v>240</v>
      </c>
      <c r="CC112" s="834" t="str">
        <f t="shared" ca="1" si="90"/>
        <v>-</v>
      </c>
      <c r="CD112" s="835">
        <f t="shared" si="91"/>
        <v>42915</v>
      </c>
      <c r="CE112" s="831">
        <v>42915</v>
      </c>
      <c r="CF112" s="832">
        <v>5</v>
      </c>
      <c r="CG112" s="833">
        <f t="shared" ca="1" si="92"/>
        <v>219</v>
      </c>
      <c r="CH112" s="836">
        <f t="shared" si="93"/>
        <v>0</v>
      </c>
      <c r="CI112" s="837" t="str">
        <f t="shared" si="94"/>
        <v>УСПЕШНО</v>
      </c>
      <c r="CJ112" s="838" t="str">
        <f t="shared" ca="1" si="95"/>
        <v>-</v>
      </c>
      <c r="CK112" s="831"/>
      <c r="CL112" s="832"/>
      <c r="CM112" s="833" t="str">
        <f t="shared" si="96"/>
        <v>-</v>
      </c>
      <c r="CN112" s="834" t="str">
        <f t="shared" si="97"/>
        <v>-</v>
      </c>
      <c r="CO112" s="830" t="str">
        <f t="shared" ca="1" si="98"/>
        <v>-</v>
      </c>
      <c r="CP112" s="839"/>
      <c r="CQ112" s="832"/>
      <c r="CR112" s="833" t="str">
        <f t="shared" si="99"/>
        <v>-</v>
      </c>
      <c r="CS112" s="833" t="str">
        <f t="shared" si="100"/>
        <v>-</v>
      </c>
      <c r="CT112" s="834" t="str">
        <f t="shared" si="101"/>
        <v>-</v>
      </c>
      <c r="CU112" s="835" t="str">
        <f t="shared" si="102"/>
        <v>-</v>
      </c>
      <c r="CV112" s="839"/>
      <c r="CW112" s="832"/>
      <c r="CX112" s="833" t="str">
        <f t="shared" si="103"/>
        <v>-</v>
      </c>
      <c r="CY112" s="840" t="str">
        <f t="shared" si="104"/>
        <v>-</v>
      </c>
      <c r="CZ112" s="833" t="str">
        <f t="shared" si="105"/>
        <v>-</v>
      </c>
      <c r="DA112" s="838" t="str">
        <f t="shared" ca="1" si="106"/>
        <v>-</v>
      </c>
      <c r="DB112" s="841"/>
      <c r="DC112" s="832"/>
    </row>
    <row r="113" spans="1:107" s="842" customFormat="1" ht="15.95" customHeight="1" x14ac:dyDescent="0.25">
      <c r="A113" s="790">
        <v>111</v>
      </c>
      <c r="B113" s="791">
        <f t="shared" ca="1" si="54"/>
        <v>43134</v>
      </c>
      <c r="C113" s="29" t="s">
        <v>614</v>
      </c>
      <c r="D113" s="59" t="s">
        <v>3203</v>
      </c>
      <c r="E113" s="794" t="s">
        <v>710</v>
      </c>
      <c r="F113" s="795" t="s">
        <v>1857</v>
      </c>
      <c r="G113" s="796">
        <f>SUMIFS(МОЛОКО!L8:L6958,МОЛОКО!F8:F6958,"2710",МОЛОКО!L8:L6958,"&gt;0")</f>
        <v>39.200000000000003</v>
      </c>
      <c r="H113" s="797" t="s">
        <v>603</v>
      </c>
      <c r="I113" s="798">
        <v>42275</v>
      </c>
      <c r="J113" s="799">
        <f t="shared" ca="1" si="55"/>
        <v>2.3534246575342466</v>
      </c>
      <c r="K113" s="799">
        <f t="shared" ca="1" si="56"/>
        <v>28.633333333333333</v>
      </c>
      <c r="L113" s="800">
        <f t="shared" ca="1" si="57"/>
        <v>859</v>
      </c>
      <c r="M113" s="801">
        <v>42998</v>
      </c>
      <c r="N113" s="802">
        <v>42998</v>
      </c>
      <c r="O113" s="803">
        <f t="shared" ca="1" si="58"/>
        <v>136</v>
      </c>
      <c r="P113" s="804">
        <v>1</v>
      </c>
      <c r="Q113" s="68" t="s">
        <v>2366</v>
      </c>
      <c r="R113" s="118" t="s">
        <v>2962</v>
      </c>
      <c r="S113" s="807">
        <v>43055</v>
      </c>
      <c r="T113" s="798">
        <v>43055</v>
      </c>
      <c r="U113" s="798">
        <f t="shared" si="59"/>
        <v>43073</v>
      </c>
      <c r="V113" s="804">
        <f t="shared" ca="1" si="60"/>
        <v>61</v>
      </c>
      <c r="W113" s="808">
        <v>1</v>
      </c>
      <c r="X113" s="794">
        <f t="shared" si="107"/>
        <v>57</v>
      </c>
      <c r="Y113" s="794">
        <v>3</v>
      </c>
      <c r="Z113" s="809" t="str">
        <f t="shared" ca="1" si="62"/>
        <v>-----</v>
      </c>
      <c r="AA113" s="810">
        <f t="shared" ca="1" si="63"/>
        <v>79</v>
      </c>
      <c r="AB113" s="804"/>
      <c r="AC113" s="811" t="str">
        <f t="shared" ca="1" si="64"/>
        <v>-----</v>
      </c>
      <c r="AD113" s="798"/>
      <c r="AE113" s="794" t="str">
        <f t="shared" ca="1" si="65"/>
        <v>-</v>
      </c>
      <c r="AF113" s="798">
        <f t="shared" si="66"/>
        <v>43090</v>
      </c>
      <c r="AG113" s="812">
        <f t="shared" ca="1" si="67"/>
        <v>44</v>
      </c>
      <c r="AH113" s="807"/>
      <c r="AI113" s="807" t="str">
        <f t="shared" si="68"/>
        <v>-</v>
      </c>
      <c r="AJ113" s="807" t="str">
        <f t="shared" si="69"/>
        <v>-</v>
      </c>
      <c r="AK113" s="813"/>
      <c r="AL113" s="807" t="str">
        <f t="shared" si="70"/>
        <v>-</v>
      </c>
      <c r="AM113" s="807" t="str">
        <f t="shared" si="71"/>
        <v>-</v>
      </c>
      <c r="AN113" s="814" t="str">
        <f t="shared" ca="1" si="72"/>
        <v>-</v>
      </c>
      <c r="AO113" s="815">
        <v>1</v>
      </c>
      <c r="AP113" s="816" t="str">
        <f t="shared" ca="1" si="73"/>
        <v>-</v>
      </c>
      <c r="AQ113" s="817"/>
      <c r="AR113" s="794" t="str">
        <f t="shared" si="74"/>
        <v>-</v>
      </c>
      <c r="AS113" s="818"/>
      <c r="AT113" s="794" t="str">
        <f t="shared" si="75"/>
        <v>-</v>
      </c>
      <c r="AU113" s="819"/>
      <c r="AV113" s="820"/>
      <c r="AW113" s="821"/>
      <c r="AX113" s="821"/>
      <c r="AY113" s="969" t="str">
        <f t="shared" si="76"/>
        <v>-</v>
      </c>
      <c r="AZ113" s="966" t="str">
        <f t="shared" si="77"/>
        <v>-</v>
      </c>
      <c r="BA113" s="971" t="str">
        <f t="shared" si="78"/>
        <v>-</v>
      </c>
      <c r="BB113" s="975"/>
      <c r="BC113" s="821"/>
      <c r="BD113" s="821"/>
      <c r="BE113" s="963" t="str">
        <f t="shared" si="79"/>
        <v>-</v>
      </c>
      <c r="BF113" s="984"/>
      <c r="BG113" s="988"/>
      <c r="BH113" s="982"/>
      <c r="BI113" s="991"/>
      <c r="BJ113" s="991"/>
      <c r="BK113" s="993" t="str">
        <f t="shared" si="80"/>
        <v>-</v>
      </c>
      <c r="BL113" s="820">
        <v>42978</v>
      </c>
      <c r="BM113" s="821">
        <v>5</v>
      </c>
      <c r="BN113" s="822">
        <f t="shared" ca="1" si="81"/>
        <v>156</v>
      </c>
      <c r="BO113" s="823">
        <f t="shared" si="82"/>
        <v>23.433333333333334</v>
      </c>
      <c r="BP113" s="824">
        <v>43001</v>
      </c>
      <c r="BQ113" s="821">
        <v>2</v>
      </c>
      <c r="BR113" s="822">
        <f t="shared" ca="1" si="83"/>
        <v>133</v>
      </c>
      <c r="BS113" s="823">
        <f t="shared" si="84"/>
        <v>0.1</v>
      </c>
      <c r="BT113" s="825" t="str">
        <f t="shared" ca="1" si="85"/>
        <v>-</v>
      </c>
      <c r="BU113" s="826"/>
      <c r="BV113" s="827"/>
      <c r="BW113" s="828" t="str">
        <f t="shared" si="86"/>
        <v>Ж-Е НЕ ВАКЦ.</v>
      </c>
      <c r="BX113" s="829" t="str">
        <f t="shared" si="87"/>
        <v>-</v>
      </c>
      <c r="BY113" s="830" t="str">
        <f t="shared" ca="1" si="88"/>
        <v>-</v>
      </c>
      <c r="BZ113" s="831">
        <v>42894</v>
      </c>
      <c r="CA113" s="832">
        <v>5</v>
      </c>
      <c r="CB113" s="833">
        <f t="shared" ca="1" si="89"/>
        <v>240</v>
      </c>
      <c r="CC113" s="834" t="str">
        <f t="shared" ca="1" si="90"/>
        <v>-</v>
      </c>
      <c r="CD113" s="835">
        <f t="shared" si="91"/>
        <v>42915</v>
      </c>
      <c r="CE113" s="831">
        <v>42915</v>
      </c>
      <c r="CF113" s="832">
        <v>5</v>
      </c>
      <c r="CG113" s="833">
        <f t="shared" ca="1" si="92"/>
        <v>219</v>
      </c>
      <c r="CH113" s="836">
        <f t="shared" si="93"/>
        <v>0</v>
      </c>
      <c r="CI113" s="837" t="str">
        <f t="shared" si="94"/>
        <v>УСПЕШНО</v>
      </c>
      <c r="CJ113" s="838" t="str">
        <f t="shared" ca="1" si="95"/>
        <v>-</v>
      </c>
      <c r="CK113" s="831"/>
      <c r="CL113" s="832"/>
      <c r="CM113" s="833" t="str">
        <f t="shared" si="96"/>
        <v>-</v>
      </c>
      <c r="CN113" s="834" t="str">
        <f t="shared" si="97"/>
        <v>-</v>
      </c>
      <c r="CO113" s="830" t="str">
        <f t="shared" ca="1" si="98"/>
        <v>-</v>
      </c>
      <c r="CP113" s="831">
        <v>42958</v>
      </c>
      <c r="CQ113" s="832">
        <v>2</v>
      </c>
      <c r="CR113" s="833">
        <f t="shared" si="99"/>
        <v>-97</v>
      </c>
      <c r="CS113" s="833">
        <f t="shared" ca="1" si="100"/>
        <v>176</v>
      </c>
      <c r="CT113" s="834" t="str">
        <f t="shared" ca="1" si="101"/>
        <v>-</v>
      </c>
      <c r="CU113" s="835">
        <f t="shared" si="102"/>
        <v>42979</v>
      </c>
      <c r="CV113" s="831">
        <v>42980</v>
      </c>
      <c r="CW113" s="832">
        <v>2</v>
      </c>
      <c r="CX113" s="833">
        <f t="shared" si="103"/>
        <v>1</v>
      </c>
      <c r="CY113" s="840" t="str">
        <f t="shared" si="104"/>
        <v>-</v>
      </c>
      <c r="CZ113" s="833">
        <f t="shared" si="105"/>
        <v>-75</v>
      </c>
      <c r="DA113" s="838" t="str">
        <f t="shared" ca="1" si="106"/>
        <v>-</v>
      </c>
      <c r="DB113" s="841"/>
      <c r="DC113" s="832"/>
    </row>
    <row r="114" spans="1:107" s="842" customFormat="1" ht="15" customHeight="1" x14ac:dyDescent="0.25">
      <c r="A114" s="790">
        <v>112</v>
      </c>
      <c r="B114" s="791">
        <f t="shared" ca="1" si="54"/>
        <v>43134</v>
      </c>
      <c r="C114" s="271" t="s">
        <v>614</v>
      </c>
      <c r="D114" s="59" t="s">
        <v>3203</v>
      </c>
      <c r="E114" s="22" t="s">
        <v>2803</v>
      </c>
      <c r="F114" s="795" t="s">
        <v>2086</v>
      </c>
      <c r="G114" s="796">
        <f>SUMIFS(МОЛОКО!L8:L6958,МОЛОКО!F8:F6958,"2740",МОЛОКО!L8:L6958,"&gt;0")</f>
        <v>13.399999999999999</v>
      </c>
      <c r="H114" s="797" t="s">
        <v>603</v>
      </c>
      <c r="I114" s="798">
        <v>42321</v>
      </c>
      <c r="J114" s="799">
        <f t="shared" ca="1" si="55"/>
        <v>2.2273972602739724</v>
      </c>
      <c r="K114" s="799">
        <f t="shared" ca="1" si="56"/>
        <v>27.1</v>
      </c>
      <c r="L114" s="800">
        <f t="shared" ca="1" si="57"/>
        <v>813</v>
      </c>
      <c r="M114" s="801">
        <v>43020</v>
      </c>
      <c r="N114" s="802">
        <v>43020</v>
      </c>
      <c r="O114" s="803">
        <f t="shared" ca="1" si="58"/>
        <v>114</v>
      </c>
      <c r="P114" s="804">
        <v>1</v>
      </c>
      <c r="Q114" s="805"/>
      <c r="R114" s="806"/>
      <c r="S114" s="807"/>
      <c r="T114" s="798"/>
      <c r="U114" s="798" t="str">
        <f t="shared" si="59"/>
        <v>-</v>
      </c>
      <c r="V114" s="804" t="str">
        <f t="shared" ca="1" si="60"/>
        <v>-</v>
      </c>
      <c r="W114" s="808">
        <v>0</v>
      </c>
      <c r="X114" s="794" t="str">
        <f t="shared" si="107"/>
        <v>-</v>
      </c>
      <c r="Y114" s="794">
        <v>0</v>
      </c>
      <c r="Z114" s="809" t="str">
        <f t="shared" ca="1" si="62"/>
        <v>-----</v>
      </c>
      <c r="AA114" s="810">
        <f t="shared" ca="1" si="63"/>
        <v>43134</v>
      </c>
      <c r="AB114" s="804"/>
      <c r="AC114" s="811" t="str">
        <f t="shared" ca="1" si="64"/>
        <v>-----</v>
      </c>
      <c r="AD114" s="798"/>
      <c r="AE114" s="794" t="str">
        <f t="shared" ca="1" si="65"/>
        <v>-</v>
      </c>
      <c r="AF114" s="798" t="str">
        <f t="shared" si="66"/>
        <v>-</v>
      </c>
      <c r="AG114" s="812" t="str">
        <f t="shared" si="67"/>
        <v>---------</v>
      </c>
      <c r="AH114" s="807"/>
      <c r="AI114" s="807" t="str">
        <f t="shared" si="68"/>
        <v>-</v>
      </c>
      <c r="AJ114" s="807" t="str">
        <f t="shared" si="69"/>
        <v>-</v>
      </c>
      <c r="AK114" s="813"/>
      <c r="AL114" s="807" t="str">
        <f t="shared" si="70"/>
        <v>-</v>
      </c>
      <c r="AM114" s="807" t="str">
        <f t="shared" si="71"/>
        <v>-</v>
      </c>
      <c r="AN114" s="814" t="str">
        <f t="shared" ca="1" si="72"/>
        <v>-</v>
      </c>
      <c r="AO114" s="815">
        <v>1</v>
      </c>
      <c r="AP114" s="816" t="str">
        <f t="shared" ca="1" si="73"/>
        <v>-</v>
      </c>
      <c r="AQ114" s="817"/>
      <c r="AR114" s="794" t="str">
        <f t="shared" si="74"/>
        <v>-</v>
      </c>
      <c r="AS114" s="818"/>
      <c r="AT114" s="794" t="str">
        <f t="shared" si="75"/>
        <v>-</v>
      </c>
      <c r="AU114" s="819"/>
      <c r="AV114" s="820"/>
      <c r="AW114" s="821"/>
      <c r="AX114" s="821"/>
      <c r="AY114" s="969" t="str">
        <f t="shared" si="76"/>
        <v>-</v>
      </c>
      <c r="AZ114" s="966" t="str">
        <f t="shared" si="77"/>
        <v>-</v>
      </c>
      <c r="BA114" s="971" t="str">
        <f t="shared" si="78"/>
        <v>-</v>
      </c>
      <c r="BB114" s="975"/>
      <c r="BC114" s="821"/>
      <c r="BD114" s="821"/>
      <c r="BE114" s="963" t="str">
        <f t="shared" si="79"/>
        <v>-</v>
      </c>
      <c r="BF114" s="984"/>
      <c r="BG114" s="988"/>
      <c r="BH114" s="982"/>
      <c r="BI114" s="991"/>
      <c r="BJ114" s="991"/>
      <c r="BK114" s="993" t="str">
        <f t="shared" si="80"/>
        <v>-</v>
      </c>
      <c r="BL114" s="820">
        <v>42978</v>
      </c>
      <c r="BM114" s="821">
        <v>5</v>
      </c>
      <c r="BN114" s="822">
        <f t="shared" ca="1" si="81"/>
        <v>156</v>
      </c>
      <c r="BO114" s="823">
        <f t="shared" si="82"/>
        <v>21.9</v>
      </c>
      <c r="BP114" s="824"/>
      <c r="BQ114" s="821"/>
      <c r="BR114" s="822" t="str">
        <f t="shared" si="83"/>
        <v>-</v>
      </c>
      <c r="BS114" s="823" t="str">
        <f t="shared" si="84"/>
        <v>-</v>
      </c>
      <c r="BT114" s="825" t="str">
        <f t="shared" ca="1" si="85"/>
        <v>-</v>
      </c>
      <c r="BU114" s="826"/>
      <c r="BV114" s="827"/>
      <c r="BW114" s="828" t="str">
        <f t="shared" si="86"/>
        <v>Ж-Е НЕ ВАКЦ.</v>
      </c>
      <c r="BX114" s="829" t="str">
        <f t="shared" si="87"/>
        <v>-</v>
      </c>
      <c r="BY114" s="830" t="str">
        <f t="shared" ca="1" si="88"/>
        <v>-</v>
      </c>
      <c r="BZ114" s="831">
        <v>42894</v>
      </c>
      <c r="CA114" s="832">
        <v>5</v>
      </c>
      <c r="CB114" s="833">
        <f t="shared" ca="1" si="89"/>
        <v>240</v>
      </c>
      <c r="CC114" s="834" t="str">
        <f t="shared" ca="1" si="90"/>
        <v>-</v>
      </c>
      <c r="CD114" s="835">
        <f t="shared" si="91"/>
        <v>42915</v>
      </c>
      <c r="CE114" s="831">
        <v>42915</v>
      </c>
      <c r="CF114" s="832">
        <v>5</v>
      </c>
      <c r="CG114" s="833">
        <f t="shared" ca="1" si="92"/>
        <v>219</v>
      </c>
      <c r="CH114" s="836">
        <f t="shared" si="93"/>
        <v>0</v>
      </c>
      <c r="CI114" s="837" t="str">
        <f t="shared" si="94"/>
        <v>УСПЕШНО</v>
      </c>
      <c r="CJ114" s="838" t="str">
        <f t="shared" ca="1" si="95"/>
        <v>-</v>
      </c>
      <c r="CK114" s="831"/>
      <c r="CL114" s="832"/>
      <c r="CM114" s="833" t="str">
        <f t="shared" si="96"/>
        <v>-</v>
      </c>
      <c r="CN114" s="834" t="str">
        <f t="shared" si="97"/>
        <v>-</v>
      </c>
      <c r="CO114" s="830" t="str">
        <f t="shared" ca="1" si="98"/>
        <v>-</v>
      </c>
      <c r="CP114" s="831">
        <v>42958</v>
      </c>
      <c r="CQ114" s="832">
        <v>2</v>
      </c>
      <c r="CR114" s="833">
        <f t="shared" si="99"/>
        <v>42958</v>
      </c>
      <c r="CS114" s="833">
        <f t="shared" ca="1" si="100"/>
        <v>176</v>
      </c>
      <c r="CT114" s="834" t="str">
        <f t="shared" ca="1" si="101"/>
        <v>-</v>
      </c>
      <c r="CU114" s="835">
        <f t="shared" si="102"/>
        <v>42979</v>
      </c>
      <c r="CV114" s="831">
        <v>42980</v>
      </c>
      <c r="CW114" s="832">
        <v>2</v>
      </c>
      <c r="CX114" s="833">
        <f t="shared" si="103"/>
        <v>1</v>
      </c>
      <c r="CY114" s="840" t="str">
        <f t="shared" si="104"/>
        <v>-</v>
      </c>
      <c r="CZ114" s="833">
        <f t="shared" si="105"/>
        <v>42980</v>
      </c>
      <c r="DA114" s="838" t="str">
        <f t="shared" ca="1" si="106"/>
        <v>-</v>
      </c>
      <c r="DB114" s="841"/>
      <c r="DC114" s="832"/>
    </row>
    <row r="115" spans="1:107" s="842" customFormat="1" ht="15.95" customHeight="1" x14ac:dyDescent="0.25">
      <c r="A115" s="790">
        <v>113</v>
      </c>
      <c r="B115" s="791">
        <f t="shared" ca="1" si="54"/>
        <v>43134</v>
      </c>
      <c r="C115" s="271" t="s">
        <v>614</v>
      </c>
      <c r="D115" s="327" t="s">
        <v>3203</v>
      </c>
      <c r="E115" s="794" t="s">
        <v>2807</v>
      </c>
      <c r="F115" s="795" t="s">
        <v>2091</v>
      </c>
      <c r="G115" s="796">
        <f>SUMIFS(МОЛОКО!L8:L6958,МОЛОКО!F8:F6958,"2749",МОЛОКО!L8:L6958,"&gt;0")</f>
        <v>21.2</v>
      </c>
      <c r="H115" s="797" t="s">
        <v>603</v>
      </c>
      <c r="I115" s="798">
        <v>42335</v>
      </c>
      <c r="J115" s="799">
        <f t="shared" ca="1" si="55"/>
        <v>2.1890410958904107</v>
      </c>
      <c r="K115" s="799">
        <f t="shared" ca="1" si="56"/>
        <v>26.633333333333333</v>
      </c>
      <c r="L115" s="800">
        <f t="shared" ca="1" si="57"/>
        <v>799</v>
      </c>
      <c r="M115" s="802">
        <v>43013</v>
      </c>
      <c r="N115" s="802">
        <v>43013</v>
      </c>
      <c r="O115" s="803">
        <f t="shared" ca="1" si="58"/>
        <v>121</v>
      </c>
      <c r="P115" s="804">
        <v>1</v>
      </c>
      <c r="Q115" s="805"/>
      <c r="R115" s="806"/>
      <c r="S115" s="807"/>
      <c r="T115" s="798"/>
      <c r="U115" s="798" t="str">
        <f t="shared" si="59"/>
        <v>-</v>
      </c>
      <c r="V115" s="804" t="str">
        <f t="shared" ca="1" si="60"/>
        <v>-</v>
      </c>
      <c r="W115" s="808"/>
      <c r="X115" s="794" t="str">
        <f t="shared" si="107"/>
        <v>-</v>
      </c>
      <c r="Y115" s="794"/>
      <c r="Z115" s="809" t="str">
        <f t="shared" ca="1" si="62"/>
        <v>-----</v>
      </c>
      <c r="AA115" s="810">
        <f t="shared" ca="1" si="63"/>
        <v>43134</v>
      </c>
      <c r="AB115" s="804"/>
      <c r="AC115" s="811" t="str">
        <f t="shared" ca="1" si="64"/>
        <v>-----</v>
      </c>
      <c r="AD115" s="798"/>
      <c r="AE115" s="794" t="str">
        <f t="shared" ca="1" si="65"/>
        <v>яловая</v>
      </c>
      <c r="AF115" s="798" t="str">
        <f t="shared" si="66"/>
        <v>-</v>
      </c>
      <c r="AG115" s="812" t="str">
        <f t="shared" si="67"/>
        <v>---------</v>
      </c>
      <c r="AH115" s="807"/>
      <c r="AI115" s="807" t="str">
        <f t="shared" si="68"/>
        <v>-</v>
      </c>
      <c r="AJ115" s="807" t="str">
        <f t="shared" si="69"/>
        <v>-</v>
      </c>
      <c r="AK115" s="813"/>
      <c r="AL115" s="807" t="str">
        <f t="shared" si="70"/>
        <v>-</v>
      </c>
      <c r="AM115" s="807" t="str">
        <f t="shared" si="71"/>
        <v>-</v>
      </c>
      <c r="AN115" s="814" t="str">
        <f t="shared" ca="1" si="72"/>
        <v>-</v>
      </c>
      <c r="AO115" s="815">
        <v>1</v>
      </c>
      <c r="AP115" s="816" t="str">
        <f t="shared" ca="1" si="73"/>
        <v>-</v>
      </c>
      <c r="AQ115" s="817"/>
      <c r="AR115" s="794" t="str">
        <f t="shared" si="74"/>
        <v>-</v>
      </c>
      <c r="AS115" s="818"/>
      <c r="AT115" s="794" t="str">
        <f t="shared" si="75"/>
        <v>-</v>
      </c>
      <c r="AU115" s="819"/>
      <c r="AV115" s="820"/>
      <c r="AW115" s="821"/>
      <c r="AX115" s="821"/>
      <c r="AY115" s="969" t="str">
        <f t="shared" si="76"/>
        <v>-</v>
      </c>
      <c r="AZ115" s="966" t="str">
        <f t="shared" si="77"/>
        <v>-</v>
      </c>
      <c r="BA115" s="971" t="str">
        <f t="shared" si="78"/>
        <v>-</v>
      </c>
      <c r="BB115" s="975"/>
      <c r="BC115" s="821"/>
      <c r="BD115" s="821"/>
      <c r="BE115" s="963" t="str">
        <f t="shared" si="79"/>
        <v>-</v>
      </c>
      <c r="BF115" s="984"/>
      <c r="BG115" s="988"/>
      <c r="BH115" s="982"/>
      <c r="BI115" s="991"/>
      <c r="BJ115" s="991"/>
      <c r="BK115" s="993" t="str">
        <f t="shared" si="80"/>
        <v>-</v>
      </c>
      <c r="BL115" s="820">
        <v>42978</v>
      </c>
      <c r="BM115" s="821">
        <v>5</v>
      </c>
      <c r="BN115" s="822">
        <f t="shared" ca="1" si="81"/>
        <v>156</v>
      </c>
      <c r="BO115" s="823">
        <f t="shared" si="82"/>
        <v>21.433333333333334</v>
      </c>
      <c r="BP115" s="824"/>
      <c r="BQ115" s="821"/>
      <c r="BR115" s="822" t="str">
        <f t="shared" si="83"/>
        <v>-</v>
      </c>
      <c r="BS115" s="823" t="str">
        <f t="shared" si="84"/>
        <v>-</v>
      </c>
      <c r="BT115" s="825" t="str">
        <f t="shared" ca="1" si="85"/>
        <v>-</v>
      </c>
      <c r="BU115" s="826"/>
      <c r="BV115" s="827"/>
      <c r="BW115" s="828" t="str">
        <f t="shared" si="86"/>
        <v>Ж-Е НЕ ВАКЦ.</v>
      </c>
      <c r="BX115" s="829" t="str">
        <f t="shared" si="87"/>
        <v>-</v>
      </c>
      <c r="BY115" s="830" t="str">
        <f t="shared" ca="1" si="88"/>
        <v>-</v>
      </c>
      <c r="BZ115" s="831">
        <v>42894</v>
      </c>
      <c r="CA115" s="832">
        <v>5</v>
      </c>
      <c r="CB115" s="833">
        <f t="shared" ca="1" si="89"/>
        <v>240</v>
      </c>
      <c r="CC115" s="834" t="str">
        <f t="shared" ca="1" si="90"/>
        <v>-</v>
      </c>
      <c r="CD115" s="835">
        <f t="shared" si="91"/>
        <v>42915</v>
      </c>
      <c r="CE115" s="831">
        <v>42915</v>
      </c>
      <c r="CF115" s="832">
        <v>5</v>
      </c>
      <c r="CG115" s="833">
        <f t="shared" ca="1" si="92"/>
        <v>219</v>
      </c>
      <c r="CH115" s="836">
        <f t="shared" si="93"/>
        <v>0</v>
      </c>
      <c r="CI115" s="837" t="str">
        <f t="shared" si="94"/>
        <v>УСПЕШНО</v>
      </c>
      <c r="CJ115" s="838" t="str">
        <f t="shared" ca="1" si="95"/>
        <v>-</v>
      </c>
      <c r="CK115" s="831"/>
      <c r="CL115" s="832"/>
      <c r="CM115" s="833" t="str">
        <f t="shared" si="96"/>
        <v>-</v>
      </c>
      <c r="CN115" s="834" t="str">
        <f t="shared" si="97"/>
        <v>-</v>
      </c>
      <c r="CO115" s="830" t="str">
        <f t="shared" ca="1" si="98"/>
        <v>-</v>
      </c>
      <c r="CP115" s="831">
        <v>42958</v>
      </c>
      <c r="CQ115" s="832">
        <v>2</v>
      </c>
      <c r="CR115" s="833">
        <f t="shared" si="99"/>
        <v>42958</v>
      </c>
      <c r="CS115" s="833">
        <f t="shared" ca="1" si="100"/>
        <v>176</v>
      </c>
      <c r="CT115" s="834" t="str">
        <f t="shared" ca="1" si="101"/>
        <v>-</v>
      </c>
      <c r="CU115" s="835">
        <f t="shared" si="102"/>
        <v>42979</v>
      </c>
      <c r="CV115" s="831">
        <v>42980</v>
      </c>
      <c r="CW115" s="832">
        <v>2</v>
      </c>
      <c r="CX115" s="833">
        <f t="shared" si="103"/>
        <v>1</v>
      </c>
      <c r="CY115" s="840" t="str">
        <f t="shared" si="104"/>
        <v>-</v>
      </c>
      <c r="CZ115" s="833">
        <f t="shared" si="105"/>
        <v>42980</v>
      </c>
      <c r="DA115" s="838" t="str">
        <f t="shared" ca="1" si="106"/>
        <v>-</v>
      </c>
      <c r="DB115" s="841"/>
      <c r="DC115" s="832"/>
    </row>
    <row r="116" spans="1:107" s="842" customFormat="1" ht="15.95" customHeight="1" x14ac:dyDescent="0.25">
      <c r="A116" s="790">
        <v>114</v>
      </c>
      <c r="B116" s="791">
        <f t="shared" ca="1" si="54"/>
        <v>43134</v>
      </c>
      <c r="C116" s="271" t="s">
        <v>614</v>
      </c>
      <c r="D116" s="59" t="s">
        <v>3203</v>
      </c>
      <c r="E116" s="794" t="s">
        <v>2813</v>
      </c>
      <c r="F116" s="795" t="s">
        <v>2108</v>
      </c>
      <c r="G116" s="796">
        <f>SUMIFS(МОЛОКО!L8:L6958,МОЛОКО!F8:F6958,"2780",МОЛОКО!L8:L6958,"&gt;0")</f>
        <v>22</v>
      </c>
      <c r="H116" s="797" t="s">
        <v>603</v>
      </c>
      <c r="I116" s="798">
        <v>42355</v>
      </c>
      <c r="J116" s="799">
        <f t="shared" ca="1" si="55"/>
        <v>2.1342465753424658</v>
      </c>
      <c r="K116" s="799">
        <f t="shared" ca="1" si="56"/>
        <v>25.966666666666665</v>
      </c>
      <c r="L116" s="800">
        <f t="shared" ca="1" si="57"/>
        <v>779</v>
      </c>
      <c r="M116" s="801">
        <v>43011</v>
      </c>
      <c r="N116" s="802">
        <v>43011</v>
      </c>
      <c r="O116" s="803">
        <f t="shared" ca="1" si="58"/>
        <v>123</v>
      </c>
      <c r="P116" s="804">
        <v>1</v>
      </c>
      <c r="Q116" s="805"/>
      <c r="R116" s="806"/>
      <c r="S116" s="807"/>
      <c r="T116" s="798"/>
      <c r="U116" s="798" t="str">
        <f t="shared" si="59"/>
        <v>-</v>
      </c>
      <c r="V116" s="804" t="str">
        <f t="shared" ca="1" si="60"/>
        <v>-</v>
      </c>
      <c r="W116" s="808">
        <v>0</v>
      </c>
      <c r="X116" s="794" t="str">
        <f t="shared" si="107"/>
        <v>-</v>
      </c>
      <c r="Y116" s="794">
        <v>0</v>
      </c>
      <c r="Z116" s="809" t="str">
        <f t="shared" ca="1" si="62"/>
        <v>-----</v>
      </c>
      <c r="AA116" s="810">
        <f t="shared" ca="1" si="63"/>
        <v>43134</v>
      </c>
      <c r="AB116" s="804"/>
      <c r="AC116" s="811" t="str">
        <f t="shared" ca="1" si="64"/>
        <v>-----</v>
      </c>
      <c r="AD116" s="798"/>
      <c r="AE116" s="794" t="str">
        <f t="shared" ca="1" si="65"/>
        <v>яловая</v>
      </c>
      <c r="AF116" s="798" t="str">
        <f t="shared" si="66"/>
        <v>-</v>
      </c>
      <c r="AG116" s="812" t="str">
        <f t="shared" si="67"/>
        <v>---------</v>
      </c>
      <c r="AH116" s="807"/>
      <c r="AI116" s="807" t="str">
        <f t="shared" si="68"/>
        <v>-</v>
      </c>
      <c r="AJ116" s="807" t="str">
        <f t="shared" si="69"/>
        <v>-</v>
      </c>
      <c r="AK116" s="813"/>
      <c r="AL116" s="807" t="str">
        <f t="shared" si="70"/>
        <v>-</v>
      </c>
      <c r="AM116" s="807" t="str">
        <f t="shared" si="71"/>
        <v>-</v>
      </c>
      <c r="AN116" s="814" t="str">
        <f t="shared" ca="1" si="72"/>
        <v>-</v>
      </c>
      <c r="AO116" s="815">
        <v>1</v>
      </c>
      <c r="AP116" s="816" t="str">
        <f t="shared" ca="1" si="73"/>
        <v>-</v>
      </c>
      <c r="AQ116" s="817"/>
      <c r="AR116" s="794" t="str">
        <f t="shared" si="74"/>
        <v>-</v>
      </c>
      <c r="AS116" s="818"/>
      <c r="AT116" s="794" t="str">
        <f t="shared" si="75"/>
        <v>-</v>
      </c>
      <c r="AU116" s="819"/>
      <c r="AV116" s="820"/>
      <c r="AW116" s="821"/>
      <c r="AX116" s="821"/>
      <c r="AY116" s="969" t="str">
        <f t="shared" si="76"/>
        <v>-</v>
      </c>
      <c r="AZ116" s="966" t="str">
        <f t="shared" si="77"/>
        <v>-</v>
      </c>
      <c r="BA116" s="971" t="str">
        <f t="shared" si="78"/>
        <v>-</v>
      </c>
      <c r="BB116" s="975"/>
      <c r="BC116" s="821"/>
      <c r="BD116" s="821"/>
      <c r="BE116" s="963" t="str">
        <f t="shared" si="79"/>
        <v>-</v>
      </c>
      <c r="BF116" s="984"/>
      <c r="BG116" s="988"/>
      <c r="BH116" s="982"/>
      <c r="BI116" s="991"/>
      <c r="BJ116" s="991"/>
      <c r="BK116" s="993" t="str">
        <f t="shared" si="80"/>
        <v>-</v>
      </c>
      <c r="BL116" s="820">
        <v>42978</v>
      </c>
      <c r="BM116" s="821">
        <v>5</v>
      </c>
      <c r="BN116" s="822">
        <f t="shared" ca="1" si="81"/>
        <v>156</v>
      </c>
      <c r="BO116" s="823">
        <f t="shared" si="82"/>
        <v>20.766666666666666</v>
      </c>
      <c r="BP116" s="824"/>
      <c r="BQ116" s="821"/>
      <c r="BR116" s="822" t="str">
        <f t="shared" si="83"/>
        <v>-</v>
      </c>
      <c r="BS116" s="823" t="str">
        <f t="shared" si="84"/>
        <v>-</v>
      </c>
      <c r="BT116" s="825" t="str">
        <f t="shared" ca="1" si="85"/>
        <v>-</v>
      </c>
      <c r="BU116" s="826"/>
      <c r="BV116" s="827"/>
      <c r="BW116" s="828" t="str">
        <f t="shared" si="86"/>
        <v>Ж-Е НЕ ВАКЦ.</v>
      </c>
      <c r="BX116" s="829" t="str">
        <f t="shared" si="87"/>
        <v>-</v>
      </c>
      <c r="BY116" s="830" t="str">
        <f t="shared" ca="1" si="88"/>
        <v>-</v>
      </c>
      <c r="BZ116" s="831">
        <v>42894</v>
      </c>
      <c r="CA116" s="832">
        <v>5</v>
      </c>
      <c r="CB116" s="833">
        <f t="shared" ca="1" si="89"/>
        <v>240</v>
      </c>
      <c r="CC116" s="834" t="str">
        <f t="shared" ca="1" si="90"/>
        <v>-</v>
      </c>
      <c r="CD116" s="835">
        <f t="shared" si="91"/>
        <v>42915</v>
      </c>
      <c r="CE116" s="831">
        <v>42915</v>
      </c>
      <c r="CF116" s="832">
        <v>5</v>
      </c>
      <c r="CG116" s="833">
        <f t="shared" ca="1" si="92"/>
        <v>219</v>
      </c>
      <c r="CH116" s="836">
        <f t="shared" si="93"/>
        <v>0</v>
      </c>
      <c r="CI116" s="837" t="str">
        <f t="shared" si="94"/>
        <v>УСПЕШНО</v>
      </c>
      <c r="CJ116" s="838" t="str">
        <f t="shared" ca="1" si="95"/>
        <v>-</v>
      </c>
      <c r="CK116" s="831"/>
      <c r="CL116" s="832"/>
      <c r="CM116" s="833" t="str">
        <f t="shared" si="96"/>
        <v>-</v>
      </c>
      <c r="CN116" s="834" t="str">
        <f t="shared" si="97"/>
        <v>-</v>
      </c>
      <c r="CO116" s="830" t="str">
        <f t="shared" ca="1" si="98"/>
        <v>-</v>
      </c>
      <c r="CP116" s="831">
        <v>42958</v>
      </c>
      <c r="CQ116" s="832">
        <v>2</v>
      </c>
      <c r="CR116" s="833">
        <f t="shared" si="99"/>
        <v>42958</v>
      </c>
      <c r="CS116" s="833">
        <f t="shared" ca="1" si="100"/>
        <v>176</v>
      </c>
      <c r="CT116" s="834" t="str">
        <f t="shared" ca="1" si="101"/>
        <v>-</v>
      </c>
      <c r="CU116" s="835">
        <f t="shared" si="102"/>
        <v>42979</v>
      </c>
      <c r="CV116" s="831">
        <v>42980</v>
      </c>
      <c r="CW116" s="832">
        <v>2</v>
      </c>
      <c r="CX116" s="833">
        <f t="shared" si="103"/>
        <v>1</v>
      </c>
      <c r="CY116" s="840" t="str">
        <f t="shared" si="104"/>
        <v>-</v>
      </c>
      <c r="CZ116" s="833">
        <f t="shared" si="105"/>
        <v>42980</v>
      </c>
      <c r="DA116" s="838" t="str">
        <f t="shared" ca="1" si="106"/>
        <v>-</v>
      </c>
      <c r="DB116" s="841"/>
      <c r="DC116" s="832"/>
    </row>
    <row r="117" spans="1:107" s="842" customFormat="1" ht="15.95" customHeight="1" x14ac:dyDescent="0.25">
      <c r="A117" s="790">
        <v>115</v>
      </c>
      <c r="B117" s="791">
        <f t="shared" ca="1" si="54"/>
        <v>43134</v>
      </c>
      <c r="C117" s="792" t="s">
        <v>614</v>
      </c>
      <c r="D117" s="793" t="s">
        <v>3203</v>
      </c>
      <c r="E117" s="794" t="s">
        <v>185</v>
      </c>
      <c r="F117" s="795" t="s">
        <v>898</v>
      </c>
      <c r="G117" s="796">
        <f>SUMIFS(МОЛОКО!L8:L6958,МОЛОКО!F8:F6958,"5146",МОЛОКО!L8:L6958,"&gt;0")</f>
        <v>24.5</v>
      </c>
      <c r="H117" s="797" t="s">
        <v>911</v>
      </c>
      <c r="I117" s="798">
        <v>38482</v>
      </c>
      <c r="J117" s="799">
        <f t="shared" ca="1" si="55"/>
        <v>12.745205479452055</v>
      </c>
      <c r="K117" s="799">
        <f t="shared" ca="1" si="56"/>
        <v>155.06666666666666</v>
      </c>
      <c r="L117" s="800">
        <f t="shared" ca="1" si="57"/>
        <v>4652</v>
      </c>
      <c r="M117" s="801">
        <v>39286</v>
      </c>
      <c r="N117" s="802">
        <v>42996</v>
      </c>
      <c r="O117" s="803">
        <f t="shared" ca="1" si="58"/>
        <v>138</v>
      </c>
      <c r="P117" s="804">
        <v>10</v>
      </c>
      <c r="Q117" s="68" t="s">
        <v>2366</v>
      </c>
      <c r="R117" s="118" t="s">
        <v>2962</v>
      </c>
      <c r="S117" s="807">
        <v>43055</v>
      </c>
      <c r="T117" s="798">
        <v>43055</v>
      </c>
      <c r="U117" s="798">
        <f t="shared" si="59"/>
        <v>43073</v>
      </c>
      <c r="V117" s="804">
        <f t="shared" ca="1" si="60"/>
        <v>61</v>
      </c>
      <c r="W117" s="808">
        <v>0</v>
      </c>
      <c r="X117" s="794">
        <v>1</v>
      </c>
      <c r="Y117" s="794">
        <v>3</v>
      </c>
      <c r="Z117" s="809" t="str">
        <f t="shared" ca="1" si="62"/>
        <v>-----</v>
      </c>
      <c r="AA117" s="810">
        <f t="shared" ca="1" si="63"/>
        <v>79</v>
      </c>
      <c r="AB117" s="804"/>
      <c r="AC117" s="811" t="str">
        <f t="shared" ca="1" si="64"/>
        <v>-----</v>
      </c>
      <c r="AD117" s="798"/>
      <c r="AE117" s="794" t="str">
        <f t="shared" ca="1" si="65"/>
        <v>-</v>
      </c>
      <c r="AF117" s="798">
        <f t="shared" si="66"/>
        <v>43090</v>
      </c>
      <c r="AG117" s="812" t="str">
        <f t="shared" si="67"/>
        <v>---------</v>
      </c>
      <c r="AH117" s="807"/>
      <c r="AI117" s="807" t="str">
        <f t="shared" si="68"/>
        <v>-</v>
      </c>
      <c r="AJ117" s="807" t="str">
        <f t="shared" si="69"/>
        <v>-</v>
      </c>
      <c r="AK117" s="813"/>
      <c r="AL117" s="807" t="str">
        <f t="shared" si="70"/>
        <v>-</v>
      </c>
      <c r="AM117" s="807" t="str">
        <f t="shared" si="71"/>
        <v>-</v>
      </c>
      <c r="AN117" s="814" t="str">
        <f t="shared" ca="1" si="72"/>
        <v>-</v>
      </c>
      <c r="AO117" s="815">
        <v>1</v>
      </c>
      <c r="AP117" s="816" t="str">
        <f t="shared" ca="1" si="73"/>
        <v>-</v>
      </c>
      <c r="AQ117" s="817"/>
      <c r="AR117" s="794" t="str">
        <f t="shared" si="74"/>
        <v>-</v>
      </c>
      <c r="AS117" s="818"/>
      <c r="AT117" s="794" t="str">
        <f t="shared" si="75"/>
        <v>-</v>
      </c>
      <c r="AU117" s="819"/>
      <c r="AV117" s="820"/>
      <c r="AW117" s="821"/>
      <c r="AX117" s="821"/>
      <c r="AY117" s="969" t="str">
        <f t="shared" si="76"/>
        <v>-</v>
      </c>
      <c r="AZ117" s="966" t="str">
        <f t="shared" si="77"/>
        <v>-</v>
      </c>
      <c r="BA117" s="971" t="str">
        <f t="shared" si="78"/>
        <v>-</v>
      </c>
      <c r="BB117" s="975"/>
      <c r="BC117" s="821"/>
      <c r="BD117" s="821"/>
      <c r="BE117" s="963" t="str">
        <f t="shared" si="79"/>
        <v>-</v>
      </c>
      <c r="BF117" s="984"/>
      <c r="BG117" s="988"/>
      <c r="BH117" s="982"/>
      <c r="BI117" s="991"/>
      <c r="BJ117" s="991"/>
      <c r="BK117" s="993" t="str">
        <f t="shared" si="80"/>
        <v>-</v>
      </c>
      <c r="BL117" s="820">
        <v>42982</v>
      </c>
      <c r="BM117" s="821">
        <v>5</v>
      </c>
      <c r="BN117" s="822">
        <f t="shared" ca="1" si="81"/>
        <v>152</v>
      </c>
      <c r="BO117" s="823">
        <f t="shared" si="82"/>
        <v>150</v>
      </c>
      <c r="BP117" s="824"/>
      <c r="BQ117" s="821"/>
      <c r="BR117" s="822" t="str">
        <f t="shared" si="83"/>
        <v>-</v>
      </c>
      <c r="BS117" s="823" t="str">
        <f t="shared" si="84"/>
        <v>-</v>
      </c>
      <c r="BT117" s="825" t="str">
        <f t="shared" ca="1" si="85"/>
        <v>-</v>
      </c>
      <c r="BU117" s="826"/>
      <c r="BV117" s="827"/>
      <c r="BW117" s="828" t="str">
        <f t="shared" si="86"/>
        <v>Ж-Е НЕ ВАКЦ.</v>
      </c>
      <c r="BX117" s="829" t="str">
        <f t="shared" si="87"/>
        <v>-</v>
      </c>
      <c r="BY117" s="830" t="str">
        <f t="shared" ca="1" si="88"/>
        <v>-</v>
      </c>
      <c r="BZ117" s="831">
        <v>42887</v>
      </c>
      <c r="CA117" s="832">
        <v>5</v>
      </c>
      <c r="CB117" s="833">
        <f t="shared" ca="1" si="89"/>
        <v>247</v>
      </c>
      <c r="CC117" s="834" t="str">
        <f t="shared" ca="1" si="90"/>
        <v>-</v>
      </c>
      <c r="CD117" s="835">
        <f t="shared" si="91"/>
        <v>42908</v>
      </c>
      <c r="CE117" s="831">
        <v>42908</v>
      </c>
      <c r="CF117" s="832">
        <v>5</v>
      </c>
      <c r="CG117" s="833">
        <f t="shared" ca="1" si="92"/>
        <v>226</v>
      </c>
      <c r="CH117" s="836">
        <f t="shared" si="93"/>
        <v>0</v>
      </c>
      <c r="CI117" s="837" t="str">
        <f t="shared" si="94"/>
        <v>УСПЕШНО</v>
      </c>
      <c r="CJ117" s="838" t="str">
        <f t="shared" ca="1" si="95"/>
        <v>-</v>
      </c>
      <c r="CK117" s="831"/>
      <c r="CL117" s="832"/>
      <c r="CM117" s="833" t="str">
        <f t="shared" si="96"/>
        <v>-</v>
      </c>
      <c r="CN117" s="834" t="str">
        <f t="shared" si="97"/>
        <v>-</v>
      </c>
      <c r="CO117" s="830" t="str">
        <f t="shared" ca="1" si="98"/>
        <v>-</v>
      </c>
      <c r="CP117" s="831">
        <v>42925</v>
      </c>
      <c r="CQ117" s="832">
        <v>2</v>
      </c>
      <c r="CR117" s="833">
        <f t="shared" si="99"/>
        <v>-130</v>
      </c>
      <c r="CS117" s="833">
        <f t="shared" ca="1" si="100"/>
        <v>209</v>
      </c>
      <c r="CT117" s="834" t="str">
        <f t="shared" ca="1" si="101"/>
        <v>-</v>
      </c>
      <c r="CU117" s="835">
        <f t="shared" si="102"/>
        <v>42946</v>
      </c>
      <c r="CV117" s="831">
        <v>42946</v>
      </c>
      <c r="CW117" s="832">
        <v>2</v>
      </c>
      <c r="CX117" s="833">
        <f t="shared" si="103"/>
        <v>0</v>
      </c>
      <c r="CY117" s="840" t="str">
        <f t="shared" si="104"/>
        <v>УСПЕШНО</v>
      </c>
      <c r="CZ117" s="833">
        <f t="shared" si="105"/>
        <v>-109</v>
      </c>
      <c r="DA117" s="838" t="str">
        <f t="shared" ca="1" si="106"/>
        <v>-</v>
      </c>
      <c r="DB117" s="841"/>
      <c r="DC117" s="832"/>
    </row>
    <row r="118" spans="1:107" s="842" customFormat="1" ht="15" customHeight="1" x14ac:dyDescent="0.25">
      <c r="A118" s="790">
        <v>116</v>
      </c>
      <c r="B118" s="791">
        <f t="shared" ca="1" si="54"/>
        <v>43134</v>
      </c>
      <c r="C118" s="792" t="s">
        <v>614</v>
      </c>
      <c r="D118" s="793" t="s">
        <v>3203</v>
      </c>
      <c r="E118" s="794" t="s">
        <v>411</v>
      </c>
      <c r="F118" s="795" t="s">
        <v>658</v>
      </c>
      <c r="G118" s="796">
        <f>SUMIFS(МОЛОКО!L8:L6958,МОЛОКО!F8:F6958,"7200",МОЛОКО!L8:L6958,"&gt;0")</f>
        <v>29.8</v>
      </c>
      <c r="H118" s="797" t="s">
        <v>721</v>
      </c>
      <c r="I118" s="798">
        <v>41099</v>
      </c>
      <c r="J118" s="799">
        <f t="shared" ca="1" si="55"/>
        <v>5.5753424657534243</v>
      </c>
      <c r="K118" s="799">
        <f t="shared" ca="1" si="56"/>
        <v>67.833333333333329</v>
      </c>
      <c r="L118" s="800">
        <f t="shared" ca="1" si="57"/>
        <v>2035</v>
      </c>
      <c r="M118" s="801">
        <v>41870</v>
      </c>
      <c r="N118" s="802">
        <v>42813</v>
      </c>
      <c r="O118" s="803">
        <f t="shared" ca="1" si="58"/>
        <v>321</v>
      </c>
      <c r="P118" s="804">
        <v>3</v>
      </c>
      <c r="Q118" s="805" t="s">
        <v>1451</v>
      </c>
      <c r="R118" s="806" t="s">
        <v>3020</v>
      </c>
      <c r="S118" s="807">
        <v>42873</v>
      </c>
      <c r="T118" s="798">
        <v>42958</v>
      </c>
      <c r="U118" s="798" t="str">
        <f t="shared" si="59"/>
        <v>-</v>
      </c>
      <c r="V118" s="804" t="str">
        <f t="shared" ca="1" si="60"/>
        <v>-</v>
      </c>
      <c r="W118" s="808">
        <v>3</v>
      </c>
      <c r="X118" s="794">
        <f t="shared" ref="X118:X181" si="108">IF(AND(N118&gt;0,T118&gt;0),T118-N118,"-")</f>
        <v>145</v>
      </c>
      <c r="Y118" s="794">
        <v>1</v>
      </c>
      <c r="Z118" s="809" t="str">
        <f t="shared" ca="1" si="62"/>
        <v>-----</v>
      </c>
      <c r="AA118" s="810" t="str">
        <f t="shared" ca="1" si="63"/>
        <v>-----</v>
      </c>
      <c r="AB118" s="804">
        <v>1</v>
      </c>
      <c r="AC118" s="811" t="str">
        <f t="shared" ca="1" si="64"/>
        <v>-----</v>
      </c>
      <c r="AD118" s="798">
        <v>43042</v>
      </c>
      <c r="AE118" s="794" t="str">
        <f t="shared" ca="1" si="65"/>
        <v>-</v>
      </c>
      <c r="AF118" s="798" t="str">
        <f t="shared" si="66"/>
        <v>-</v>
      </c>
      <c r="AG118" s="812" t="str">
        <f t="shared" si="67"/>
        <v>---------</v>
      </c>
      <c r="AH118" s="807">
        <v>42989</v>
      </c>
      <c r="AI118" s="807">
        <f t="shared" si="68"/>
        <v>43148</v>
      </c>
      <c r="AJ118" s="807">
        <f t="shared" si="69"/>
        <v>43178</v>
      </c>
      <c r="AK118" s="813"/>
      <c r="AL118" s="807">
        <f t="shared" si="70"/>
        <v>43217</v>
      </c>
      <c r="AM118" s="807">
        <f t="shared" si="71"/>
        <v>43238</v>
      </c>
      <c r="AN118" s="814">
        <f t="shared" ca="1" si="72"/>
        <v>-104</v>
      </c>
      <c r="AO118" s="815">
        <v>1</v>
      </c>
      <c r="AP118" s="816" t="str">
        <f t="shared" ca="1" si="73"/>
        <v>-</v>
      </c>
      <c r="AQ118" s="817"/>
      <c r="AR118" s="794" t="str">
        <f t="shared" si="74"/>
        <v>-</v>
      </c>
      <c r="AS118" s="818"/>
      <c r="AT118" s="794" t="str">
        <f t="shared" si="75"/>
        <v>-</v>
      </c>
      <c r="AU118" s="819"/>
      <c r="AV118" s="820"/>
      <c r="AW118" s="821"/>
      <c r="AX118" s="821"/>
      <c r="AY118" s="969" t="str">
        <f t="shared" si="76"/>
        <v>-</v>
      </c>
      <c r="AZ118" s="966" t="str">
        <f t="shared" si="77"/>
        <v>-</v>
      </c>
      <c r="BA118" s="971" t="str">
        <f t="shared" si="78"/>
        <v>-</v>
      </c>
      <c r="BB118" s="975"/>
      <c r="BC118" s="821"/>
      <c r="BD118" s="821"/>
      <c r="BE118" s="963" t="str">
        <f t="shared" si="79"/>
        <v>-</v>
      </c>
      <c r="BF118" s="984"/>
      <c r="BG118" s="988"/>
      <c r="BH118" s="982"/>
      <c r="BI118" s="991"/>
      <c r="BJ118" s="991"/>
      <c r="BK118" s="993" t="str">
        <f t="shared" si="80"/>
        <v>-</v>
      </c>
      <c r="BL118" s="820">
        <v>42980</v>
      </c>
      <c r="BM118" s="821">
        <v>5</v>
      </c>
      <c r="BN118" s="822">
        <f t="shared" ca="1" si="81"/>
        <v>154</v>
      </c>
      <c r="BO118" s="823">
        <f t="shared" si="82"/>
        <v>62.7</v>
      </c>
      <c r="BP118" s="824"/>
      <c r="BQ118" s="821"/>
      <c r="BR118" s="822" t="str">
        <f t="shared" si="83"/>
        <v>-</v>
      </c>
      <c r="BS118" s="823" t="str">
        <f t="shared" si="84"/>
        <v>-</v>
      </c>
      <c r="BT118" s="825" t="str">
        <f t="shared" ca="1" si="85"/>
        <v>-</v>
      </c>
      <c r="BU118" s="826"/>
      <c r="BV118" s="827"/>
      <c r="BW118" s="828" t="str">
        <f t="shared" si="86"/>
        <v>Ж-Е НЕ ВАКЦ.</v>
      </c>
      <c r="BX118" s="829" t="str">
        <f t="shared" si="87"/>
        <v>-</v>
      </c>
      <c r="BY118" s="830" t="str">
        <f t="shared" ca="1" si="88"/>
        <v>-</v>
      </c>
      <c r="BZ118" s="831">
        <v>42887</v>
      </c>
      <c r="CA118" s="832">
        <v>5</v>
      </c>
      <c r="CB118" s="833">
        <f t="shared" ca="1" si="89"/>
        <v>247</v>
      </c>
      <c r="CC118" s="834" t="str">
        <f t="shared" ca="1" si="90"/>
        <v>-</v>
      </c>
      <c r="CD118" s="835">
        <f t="shared" si="91"/>
        <v>42908</v>
      </c>
      <c r="CE118" s="831">
        <v>42908</v>
      </c>
      <c r="CF118" s="832">
        <v>5</v>
      </c>
      <c r="CG118" s="833">
        <f t="shared" ca="1" si="92"/>
        <v>226</v>
      </c>
      <c r="CH118" s="836">
        <f t="shared" si="93"/>
        <v>0</v>
      </c>
      <c r="CI118" s="837" t="str">
        <f t="shared" si="94"/>
        <v>УСПЕШНО</v>
      </c>
      <c r="CJ118" s="838" t="str">
        <f t="shared" ca="1" si="95"/>
        <v>-</v>
      </c>
      <c r="CK118" s="831"/>
      <c r="CL118" s="832"/>
      <c r="CM118" s="833" t="str">
        <f t="shared" si="96"/>
        <v>-</v>
      </c>
      <c r="CN118" s="834" t="str">
        <f t="shared" si="97"/>
        <v>-</v>
      </c>
      <c r="CO118" s="830" t="str">
        <f t="shared" ca="1" si="98"/>
        <v>-</v>
      </c>
      <c r="CP118" s="839"/>
      <c r="CQ118" s="832"/>
      <c r="CR118" s="833" t="str">
        <f t="shared" si="99"/>
        <v>-</v>
      </c>
      <c r="CS118" s="833" t="str">
        <f t="shared" si="100"/>
        <v>-</v>
      </c>
      <c r="CT118" s="834" t="str">
        <f t="shared" si="101"/>
        <v>-</v>
      </c>
      <c r="CU118" s="835" t="str">
        <f t="shared" si="102"/>
        <v>-</v>
      </c>
      <c r="CV118" s="839"/>
      <c r="CW118" s="832"/>
      <c r="CX118" s="833" t="str">
        <f t="shared" si="103"/>
        <v>-</v>
      </c>
      <c r="CY118" s="840" t="str">
        <f t="shared" si="104"/>
        <v>-</v>
      </c>
      <c r="CZ118" s="833" t="str">
        <f t="shared" si="105"/>
        <v>-</v>
      </c>
      <c r="DA118" s="838" t="str">
        <f t="shared" ca="1" si="106"/>
        <v>-</v>
      </c>
      <c r="DB118" s="841"/>
      <c r="DC118" s="832"/>
    </row>
    <row r="119" spans="1:107" s="842" customFormat="1" ht="15.95" customHeight="1" x14ac:dyDescent="0.25">
      <c r="A119" s="790">
        <v>117</v>
      </c>
      <c r="B119" s="791">
        <f t="shared" ca="1" si="54"/>
        <v>43134</v>
      </c>
      <c r="C119" s="792" t="s">
        <v>614</v>
      </c>
      <c r="D119" s="793" t="s">
        <v>3203</v>
      </c>
      <c r="E119" s="794" t="s">
        <v>562</v>
      </c>
      <c r="F119" s="795" t="s">
        <v>563</v>
      </c>
      <c r="G119" s="796">
        <f>SUMIFS(МОЛОКО!L8:L6958,МОЛОКО!F8:F6958,"11058",МОЛОКО!L8:L6958,"&gt;0")</f>
        <v>24.4</v>
      </c>
      <c r="H119" s="797" t="s">
        <v>78</v>
      </c>
      <c r="I119" s="798">
        <v>41465</v>
      </c>
      <c r="J119" s="799">
        <f t="shared" ca="1" si="55"/>
        <v>4.5726027397260278</v>
      </c>
      <c r="K119" s="799">
        <f t="shared" ca="1" si="56"/>
        <v>55.633333333333333</v>
      </c>
      <c r="L119" s="800">
        <f t="shared" ca="1" si="57"/>
        <v>1669</v>
      </c>
      <c r="M119" s="801">
        <v>42207</v>
      </c>
      <c r="N119" s="802">
        <v>42741</v>
      </c>
      <c r="O119" s="803">
        <f t="shared" ca="1" si="58"/>
        <v>393</v>
      </c>
      <c r="P119" s="804">
        <v>2</v>
      </c>
      <c r="Q119" s="805"/>
      <c r="R119" s="806"/>
      <c r="S119" s="807"/>
      <c r="T119" s="798"/>
      <c r="U119" s="798" t="str">
        <f t="shared" si="59"/>
        <v>-</v>
      </c>
      <c r="V119" s="804" t="str">
        <f t="shared" ca="1" si="60"/>
        <v>-</v>
      </c>
      <c r="W119" s="808">
        <v>0</v>
      </c>
      <c r="X119" s="794" t="str">
        <f t="shared" si="108"/>
        <v>-</v>
      </c>
      <c r="Y119" s="794">
        <v>0</v>
      </c>
      <c r="Z119" s="809" t="str">
        <f t="shared" ca="1" si="62"/>
        <v>-----</v>
      </c>
      <c r="AA119" s="810">
        <f t="shared" ca="1" si="63"/>
        <v>43134</v>
      </c>
      <c r="AB119" s="804"/>
      <c r="AC119" s="811" t="str">
        <f t="shared" ca="1" si="64"/>
        <v>-----</v>
      </c>
      <c r="AD119" s="798"/>
      <c r="AE119" s="794" t="str">
        <f t="shared" ca="1" si="65"/>
        <v>яловая</v>
      </c>
      <c r="AF119" s="798" t="str">
        <f t="shared" si="66"/>
        <v>-</v>
      </c>
      <c r="AG119" s="812" t="str">
        <f t="shared" si="67"/>
        <v>---------</v>
      </c>
      <c r="AH119" s="807"/>
      <c r="AI119" s="807" t="str">
        <f t="shared" si="68"/>
        <v>-</v>
      </c>
      <c r="AJ119" s="807" t="str">
        <f t="shared" si="69"/>
        <v>-</v>
      </c>
      <c r="AK119" s="813"/>
      <c r="AL119" s="807" t="str">
        <f t="shared" si="70"/>
        <v>-</v>
      </c>
      <c r="AM119" s="807" t="str">
        <f t="shared" si="71"/>
        <v>-</v>
      </c>
      <c r="AN119" s="814" t="str">
        <f t="shared" ca="1" si="72"/>
        <v>-</v>
      </c>
      <c r="AO119" s="815">
        <v>1</v>
      </c>
      <c r="AP119" s="816" t="str">
        <f t="shared" ca="1" si="73"/>
        <v>БРАК</v>
      </c>
      <c r="AQ119" s="817" t="s">
        <v>2665</v>
      </c>
      <c r="AR119" s="794" t="str">
        <f t="shared" si="74"/>
        <v>-</v>
      </c>
      <c r="AS119" s="818"/>
      <c r="AT119" s="794" t="str">
        <f t="shared" si="75"/>
        <v>-</v>
      </c>
      <c r="AU119" s="819"/>
      <c r="AV119" s="820"/>
      <c r="AW119" s="821"/>
      <c r="AX119" s="821"/>
      <c r="AY119" s="969" t="str">
        <f t="shared" si="76"/>
        <v>-</v>
      </c>
      <c r="AZ119" s="966" t="str">
        <f t="shared" si="77"/>
        <v>-</v>
      </c>
      <c r="BA119" s="971" t="str">
        <f t="shared" si="78"/>
        <v>-</v>
      </c>
      <c r="BB119" s="975"/>
      <c r="BC119" s="821"/>
      <c r="BD119" s="821"/>
      <c r="BE119" s="963" t="str">
        <f t="shared" si="79"/>
        <v>-</v>
      </c>
      <c r="BF119" s="984"/>
      <c r="BG119" s="988"/>
      <c r="BH119" s="982"/>
      <c r="BI119" s="991"/>
      <c r="BJ119" s="991"/>
      <c r="BK119" s="993" t="str">
        <f t="shared" si="80"/>
        <v>-</v>
      </c>
      <c r="BL119" s="820">
        <v>42980</v>
      </c>
      <c r="BM119" s="821">
        <v>5</v>
      </c>
      <c r="BN119" s="822">
        <f t="shared" ca="1" si="81"/>
        <v>154</v>
      </c>
      <c r="BO119" s="823">
        <f t="shared" si="82"/>
        <v>50.5</v>
      </c>
      <c r="BP119" s="824"/>
      <c r="BQ119" s="821"/>
      <c r="BR119" s="822" t="str">
        <f t="shared" si="83"/>
        <v>-</v>
      </c>
      <c r="BS119" s="823" t="str">
        <f t="shared" si="84"/>
        <v>-</v>
      </c>
      <c r="BT119" s="825" t="str">
        <f t="shared" ca="1" si="85"/>
        <v>-</v>
      </c>
      <c r="BU119" s="826"/>
      <c r="BV119" s="827"/>
      <c r="BW119" s="828" t="str">
        <f t="shared" si="86"/>
        <v>Ж-Е НЕ ВАКЦ.</v>
      </c>
      <c r="BX119" s="829" t="str">
        <f t="shared" si="87"/>
        <v>-</v>
      </c>
      <c r="BY119" s="830" t="str">
        <f t="shared" ca="1" si="88"/>
        <v>-</v>
      </c>
      <c r="BZ119" s="831">
        <v>42887</v>
      </c>
      <c r="CA119" s="832">
        <v>5</v>
      </c>
      <c r="CB119" s="833">
        <f t="shared" ca="1" si="89"/>
        <v>247</v>
      </c>
      <c r="CC119" s="834" t="str">
        <f t="shared" ca="1" si="90"/>
        <v>-</v>
      </c>
      <c r="CD119" s="835">
        <f t="shared" si="91"/>
        <v>42908</v>
      </c>
      <c r="CE119" s="831">
        <v>42908</v>
      </c>
      <c r="CF119" s="832">
        <v>5</v>
      </c>
      <c r="CG119" s="833">
        <f t="shared" ca="1" si="92"/>
        <v>226</v>
      </c>
      <c r="CH119" s="836">
        <f t="shared" si="93"/>
        <v>0</v>
      </c>
      <c r="CI119" s="837" t="str">
        <f t="shared" si="94"/>
        <v>УСПЕШНО</v>
      </c>
      <c r="CJ119" s="838" t="str">
        <f t="shared" ca="1" si="95"/>
        <v>-</v>
      </c>
      <c r="CK119" s="831"/>
      <c r="CL119" s="832"/>
      <c r="CM119" s="833" t="str">
        <f t="shared" si="96"/>
        <v>-</v>
      </c>
      <c r="CN119" s="834" t="str">
        <f t="shared" si="97"/>
        <v>-</v>
      </c>
      <c r="CO119" s="830" t="str">
        <f t="shared" ca="1" si="98"/>
        <v>-</v>
      </c>
      <c r="CP119" s="839"/>
      <c r="CQ119" s="832"/>
      <c r="CR119" s="833" t="str">
        <f t="shared" si="99"/>
        <v>-</v>
      </c>
      <c r="CS119" s="833" t="str">
        <f t="shared" si="100"/>
        <v>-</v>
      </c>
      <c r="CT119" s="834" t="str">
        <f t="shared" si="101"/>
        <v>-</v>
      </c>
      <c r="CU119" s="835" t="str">
        <f t="shared" si="102"/>
        <v>-</v>
      </c>
      <c r="CV119" s="839"/>
      <c r="CW119" s="832"/>
      <c r="CX119" s="833" t="str">
        <f t="shared" si="103"/>
        <v>-</v>
      </c>
      <c r="CY119" s="840" t="str">
        <f t="shared" si="104"/>
        <v>-</v>
      </c>
      <c r="CZ119" s="833" t="str">
        <f t="shared" si="105"/>
        <v>-</v>
      </c>
      <c r="DA119" s="838" t="str">
        <f t="shared" ca="1" si="106"/>
        <v>-</v>
      </c>
      <c r="DB119" s="841"/>
      <c r="DC119" s="832"/>
    </row>
    <row r="120" spans="1:107" s="842" customFormat="1" ht="15.95" customHeight="1" x14ac:dyDescent="0.25">
      <c r="A120" s="790">
        <v>118</v>
      </c>
      <c r="B120" s="791">
        <f t="shared" ca="1" si="54"/>
        <v>43134</v>
      </c>
      <c r="C120" s="792" t="s">
        <v>614</v>
      </c>
      <c r="D120" s="793" t="s">
        <v>3203</v>
      </c>
      <c r="E120" s="794" t="s">
        <v>1400</v>
      </c>
      <c r="F120" s="795" t="s">
        <v>1401</v>
      </c>
      <c r="G120" s="796">
        <f>SUMIFS(МОЛОКО!L8:L6958,МОЛОКО!F8:F6958,"13156",МОЛОКО!L8:L6958,"&gt;0")</f>
        <v>21.6</v>
      </c>
      <c r="H120" s="797" t="s">
        <v>87</v>
      </c>
      <c r="I120" s="798">
        <v>41426</v>
      </c>
      <c r="J120" s="799">
        <f t="shared" ca="1" si="55"/>
        <v>4.6794520547945204</v>
      </c>
      <c r="K120" s="799">
        <f t="shared" ca="1" si="56"/>
        <v>56.93333333333333</v>
      </c>
      <c r="L120" s="800">
        <f t="shared" ca="1" si="57"/>
        <v>1708</v>
      </c>
      <c r="M120" s="801">
        <v>42476</v>
      </c>
      <c r="N120" s="802">
        <v>42922</v>
      </c>
      <c r="O120" s="803">
        <f t="shared" ca="1" si="58"/>
        <v>212</v>
      </c>
      <c r="P120" s="804">
        <v>2</v>
      </c>
      <c r="Q120" s="805" t="s">
        <v>1451</v>
      </c>
      <c r="R120" s="118" t="s">
        <v>2962</v>
      </c>
      <c r="S120" s="807">
        <v>42978</v>
      </c>
      <c r="T120" s="798">
        <v>43035</v>
      </c>
      <c r="U120" s="798">
        <f t="shared" si="59"/>
        <v>43053</v>
      </c>
      <c r="V120" s="804">
        <f t="shared" ca="1" si="60"/>
        <v>81</v>
      </c>
      <c r="W120" s="808">
        <v>3</v>
      </c>
      <c r="X120" s="794">
        <f t="shared" si="108"/>
        <v>113</v>
      </c>
      <c r="Y120" s="794">
        <v>3</v>
      </c>
      <c r="Z120" s="809" t="str">
        <f t="shared" ca="1" si="62"/>
        <v>-----</v>
      </c>
      <c r="AA120" s="810">
        <f t="shared" ca="1" si="63"/>
        <v>99</v>
      </c>
      <c r="AB120" s="804"/>
      <c r="AC120" s="811" t="str">
        <f t="shared" ca="1" si="64"/>
        <v>-----</v>
      </c>
      <c r="AD120" s="798"/>
      <c r="AE120" s="794" t="str">
        <f t="shared" ca="1" si="65"/>
        <v>-</v>
      </c>
      <c r="AF120" s="798">
        <f t="shared" si="66"/>
        <v>43070</v>
      </c>
      <c r="AG120" s="812">
        <f t="shared" ca="1" si="67"/>
        <v>64</v>
      </c>
      <c r="AH120" s="807">
        <v>43035</v>
      </c>
      <c r="AI120" s="807" t="str">
        <f t="shared" si="68"/>
        <v>-</v>
      </c>
      <c r="AJ120" s="807" t="str">
        <f t="shared" si="69"/>
        <v>-</v>
      </c>
      <c r="AK120" s="813"/>
      <c r="AL120" s="807" t="str">
        <f t="shared" si="70"/>
        <v>-</v>
      </c>
      <c r="AM120" s="807" t="str">
        <f t="shared" si="71"/>
        <v>-</v>
      </c>
      <c r="AN120" s="814" t="str">
        <f t="shared" ca="1" si="72"/>
        <v>-</v>
      </c>
      <c r="AO120" s="815">
        <v>1</v>
      </c>
      <c r="AP120" s="816" t="str">
        <f t="shared" ca="1" si="73"/>
        <v>-</v>
      </c>
      <c r="AQ120" s="817"/>
      <c r="AR120" s="794" t="str">
        <f t="shared" si="74"/>
        <v>-</v>
      </c>
      <c r="AS120" s="818"/>
      <c r="AT120" s="794" t="str">
        <f t="shared" si="75"/>
        <v>-</v>
      </c>
      <c r="AU120" s="819"/>
      <c r="AV120" s="820"/>
      <c r="AW120" s="821"/>
      <c r="AX120" s="821"/>
      <c r="AY120" s="969" t="str">
        <f t="shared" si="76"/>
        <v>-</v>
      </c>
      <c r="AZ120" s="966" t="str">
        <f t="shared" si="77"/>
        <v>-</v>
      </c>
      <c r="BA120" s="971" t="str">
        <f t="shared" si="78"/>
        <v>-</v>
      </c>
      <c r="BB120" s="975"/>
      <c r="BC120" s="821"/>
      <c r="BD120" s="821"/>
      <c r="BE120" s="963" t="str">
        <f t="shared" si="79"/>
        <v>-</v>
      </c>
      <c r="BF120" s="984"/>
      <c r="BG120" s="988"/>
      <c r="BH120" s="982"/>
      <c r="BI120" s="991"/>
      <c r="BJ120" s="991"/>
      <c r="BK120" s="993" t="str">
        <f t="shared" si="80"/>
        <v>-</v>
      </c>
      <c r="BL120" s="820">
        <v>42980</v>
      </c>
      <c r="BM120" s="821">
        <v>5</v>
      </c>
      <c r="BN120" s="822">
        <f t="shared" ca="1" si="81"/>
        <v>154</v>
      </c>
      <c r="BO120" s="823">
        <f t="shared" si="82"/>
        <v>51.8</v>
      </c>
      <c r="BP120" s="824"/>
      <c r="BQ120" s="821"/>
      <c r="BR120" s="822" t="str">
        <f t="shared" si="83"/>
        <v>-</v>
      </c>
      <c r="BS120" s="823" t="str">
        <f t="shared" si="84"/>
        <v>-</v>
      </c>
      <c r="BT120" s="825" t="str">
        <f t="shared" ca="1" si="85"/>
        <v>-</v>
      </c>
      <c r="BU120" s="826"/>
      <c r="BV120" s="827"/>
      <c r="BW120" s="828" t="str">
        <f t="shared" si="86"/>
        <v>Ж-Е НЕ ВАКЦ.</v>
      </c>
      <c r="BX120" s="829" t="str">
        <f t="shared" si="87"/>
        <v>-</v>
      </c>
      <c r="BY120" s="830" t="str">
        <f t="shared" ca="1" si="88"/>
        <v>-</v>
      </c>
      <c r="BZ120" s="831">
        <v>42964</v>
      </c>
      <c r="CA120" s="832">
        <v>5</v>
      </c>
      <c r="CB120" s="833">
        <f t="shared" ca="1" si="89"/>
        <v>170</v>
      </c>
      <c r="CC120" s="834" t="str">
        <f t="shared" ca="1" si="90"/>
        <v>-</v>
      </c>
      <c r="CD120" s="835">
        <f t="shared" si="91"/>
        <v>42985</v>
      </c>
      <c r="CE120" s="831">
        <v>42985</v>
      </c>
      <c r="CF120" s="832">
        <v>5</v>
      </c>
      <c r="CG120" s="833">
        <f t="shared" ca="1" si="92"/>
        <v>149</v>
      </c>
      <c r="CH120" s="836">
        <f t="shared" si="93"/>
        <v>0</v>
      </c>
      <c r="CI120" s="837" t="str">
        <f t="shared" si="94"/>
        <v>УСПЕШНО</v>
      </c>
      <c r="CJ120" s="838" t="str">
        <f t="shared" ca="1" si="95"/>
        <v>-</v>
      </c>
      <c r="CK120" s="831"/>
      <c r="CL120" s="832"/>
      <c r="CM120" s="833" t="str">
        <f t="shared" si="96"/>
        <v>-</v>
      </c>
      <c r="CN120" s="834" t="str">
        <f t="shared" si="97"/>
        <v>-</v>
      </c>
      <c r="CO120" s="830" t="str">
        <f t="shared" ca="1" si="98"/>
        <v>-</v>
      </c>
      <c r="CP120" s="839"/>
      <c r="CQ120" s="832"/>
      <c r="CR120" s="833" t="str">
        <f t="shared" si="99"/>
        <v>-</v>
      </c>
      <c r="CS120" s="833" t="str">
        <f t="shared" si="100"/>
        <v>-</v>
      </c>
      <c r="CT120" s="834" t="str">
        <f t="shared" si="101"/>
        <v>-</v>
      </c>
      <c r="CU120" s="835" t="str">
        <f t="shared" si="102"/>
        <v>-</v>
      </c>
      <c r="CV120" s="839"/>
      <c r="CW120" s="832"/>
      <c r="CX120" s="833" t="str">
        <f t="shared" si="103"/>
        <v>-</v>
      </c>
      <c r="CY120" s="840" t="str">
        <f t="shared" si="104"/>
        <v>-</v>
      </c>
      <c r="CZ120" s="833" t="str">
        <f t="shared" si="105"/>
        <v>-</v>
      </c>
      <c r="DA120" s="838" t="str">
        <f t="shared" ca="1" si="106"/>
        <v>-</v>
      </c>
      <c r="DB120" s="841"/>
      <c r="DC120" s="832"/>
    </row>
    <row r="121" spans="1:107" s="842" customFormat="1" ht="15.95" customHeight="1" x14ac:dyDescent="0.25">
      <c r="A121" s="790">
        <v>119</v>
      </c>
      <c r="B121" s="791">
        <f t="shared" ca="1" si="54"/>
        <v>43134</v>
      </c>
      <c r="C121" s="792" t="s">
        <v>614</v>
      </c>
      <c r="D121" s="793" t="s">
        <v>3203</v>
      </c>
      <c r="E121" s="794" t="s">
        <v>1410</v>
      </c>
      <c r="F121" s="795" t="s">
        <v>1411</v>
      </c>
      <c r="G121" s="796">
        <f>SUMIFS(МОЛОКО!L8:L6958,МОЛОКО!F8:F6958,"13228",МОЛОКО!L8:L6958,"&gt;0")</f>
        <v>39.5</v>
      </c>
      <c r="H121" s="797" t="s">
        <v>87</v>
      </c>
      <c r="I121" s="798">
        <v>41474</v>
      </c>
      <c r="J121" s="799">
        <f t="shared" ca="1" si="55"/>
        <v>4.5479452054794525</v>
      </c>
      <c r="K121" s="799">
        <f t="shared" ca="1" si="56"/>
        <v>55.333333333333336</v>
      </c>
      <c r="L121" s="800">
        <f t="shared" ca="1" si="57"/>
        <v>1660</v>
      </c>
      <c r="M121" s="801">
        <v>42488</v>
      </c>
      <c r="N121" s="802">
        <v>42824</v>
      </c>
      <c r="O121" s="803">
        <f t="shared" ca="1" si="58"/>
        <v>310</v>
      </c>
      <c r="P121" s="804">
        <v>2</v>
      </c>
      <c r="Q121" s="805" t="s">
        <v>1451</v>
      </c>
      <c r="R121" s="806" t="s">
        <v>2269</v>
      </c>
      <c r="S121" s="807">
        <v>42887</v>
      </c>
      <c r="T121" s="798">
        <v>42929</v>
      </c>
      <c r="U121" s="798" t="str">
        <f t="shared" si="59"/>
        <v>-</v>
      </c>
      <c r="V121" s="804" t="str">
        <f t="shared" ca="1" si="60"/>
        <v>-</v>
      </c>
      <c r="W121" s="808">
        <v>2</v>
      </c>
      <c r="X121" s="794">
        <f t="shared" si="108"/>
        <v>105</v>
      </c>
      <c r="Y121" s="794">
        <v>1</v>
      </c>
      <c r="Z121" s="809" t="str">
        <f t="shared" ca="1" si="62"/>
        <v>ПОДЛЕЖИТ ПЕРЕПРОВЕРКЕ</v>
      </c>
      <c r="AA121" s="810">
        <f t="shared" ca="1" si="63"/>
        <v>205</v>
      </c>
      <c r="AB121" s="804"/>
      <c r="AC121" s="811">
        <f t="shared" ca="1" si="64"/>
        <v>43001</v>
      </c>
      <c r="AD121" s="798"/>
      <c r="AE121" s="794" t="str">
        <f t="shared" ca="1" si="65"/>
        <v>-</v>
      </c>
      <c r="AF121" s="798" t="str">
        <f t="shared" si="66"/>
        <v>-</v>
      </c>
      <c r="AG121" s="812" t="str">
        <f t="shared" si="67"/>
        <v>---------</v>
      </c>
      <c r="AH121" s="807">
        <v>42923</v>
      </c>
      <c r="AI121" s="807">
        <f t="shared" si="68"/>
        <v>43119</v>
      </c>
      <c r="AJ121" s="807">
        <f t="shared" si="69"/>
        <v>43149</v>
      </c>
      <c r="AK121" s="813"/>
      <c r="AL121" s="807">
        <f t="shared" si="70"/>
        <v>43188</v>
      </c>
      <c r="AM121" s="807">
        <f t="shared" si="71"/>
        <v>43209</v>
      </c>
      <c r="AN121" s="814">
        <f t="shared" ca="1" si="72"/>
        <v>-75</v>
      </c>
      <c r="AO121" s="815">
        <v>1</v>
      </c>
      <c r="AP121" s="816" t="str">
        <f t="shared" ca="1" si="73"/>
        <v>-</v>
      </c>
      <c r="AQ121" s="817"/>
      <c r="AR121" s="794" t="str">
        <f t="shared" si="74"/>
        <v>-</v>
      </c>
      <c r="AS121" s="818"/>
      <c r="AT121" s="794" t="str">
        <f t="shared" si="75"/>
        <v>-</v>
      </c>
      <c r="AU121" s="819"/>
      <c r="AV121" s="820"/>
      <c r="AW121" s="821"/>
      <c r="AX121" s="821"/>
      <c r="AY121" s="969" t="str">
        <f t="shared" si="76"/>
        <v>-</v>
      </c>
      <c r="AZ121" s="966" t="str">
        <f t="shared" si="77"/>
        <v>-</v>
      </c>
      <c r="BA121" s="971" t="str">
        <f t="shared" si="78"/>
        <v>-</v>
      </c>
      <c r="BB121" s="975"/>
      <c r="BC121" s="821"/>
      <c r="BD121" s="821"/>
      <c r="BE121" s="963" t="str">
        <f t="shared" si="79"/>
        <v>-</v>
      </c>
      <c r="BF121" s="984"/>
      <c r="BG121" s="988"/>
      <c r="BH121" s="982"/>
      <c r="BI121" s="991"/>
      <c r="BJ121" s="991"/>
      <c r="BK121" s="993" t="str">
        <f t="shared" si="80"/>
        <v>-</v>
      </c>
      <c r="BL121" s="820">
        <v>42980</v>
      </c>
      <c r="BM121" s="821">
        <v>5</v>
      </c>
      <c r="BN121" s="822">
        <f t="shared" ca="1" si="81"/>
        <v>154</v>
      </c>
      <c r="BO121" s="823">
        <f t="shared" si="82"/>
        <v>50.2</v>
      </c>
      <c r="BP121" s="824"/>
      <c r="BQ121" s="821"/>
      <c r="BR121" s="822" t="str">
        <f t="shared" si="83"/>
        <v>-</v>
      </c>
      <c r="BS121" s="823" t="str">
        <f t="shared" si="84"/>
        <v>-</v>
      </c>
      <c r="BT121" s="825" t="str">
        <f t="shared" ca="1" si="85"/>
        <v>-</v>
      </c>
      <c r="BU121" s="826"/>
      <c r="BV121" s="827"/>
      <c r="BW121" s="828" t="str">
        <f t="shared" si="86"/>
        <v>Ж-Е НЕ ВАКЦ.</v>
      </c>
      <c r="BX121" s="829" t="str">
        <f t="shared" si="87"/>
        <v>-</v>
      </c>
      <c r="BY121" s="830" t="str">
        <f t="shared" ca="1" si="88"/>
        <v>-</v>
      </c>
      <c r="BZ121" s="831">
        <v>42887</v>
      </c>
      <c r="CA121" s="832">
        <v>5</v>
      </c>
      <c r="CB121" s="833">
        <f t="shared" ca="1" si="89"/>
        <v>247</v>
      </c>
      <c r="CC121" s="834" t="str">
        <f t="shared" ca="1" si="90"/>
        <v>-</v>
      </c>
      <c r="CD121" s="835">
        <f t="shared" si="91"/>
        <v>42908</v>
      </c>
      <c r="CE121" s="831">
        <v>42908</v>
      </c>
      <c r="CF121" s="832">
        <v>5</v>
      </c>
      <c r="CG121" s="833">
        <f t="shared" ca="1" si="92"/>
        <v>226</v>
      </c>
      <c r="CH121" s="836">
        <f t="shared" si="93"/>
        <v>0</v>
      </c>
      <c r="CI121" s="837" t="str">
        <f t="shared" si="94"/>
        <v>УСПЕШНО</v>
      </c>
      <c r="CJ121" s="838" t="str">
        <f t="shared" ca="1" si="95"/>
        <v>-</v>
      </c>
      <c r="CK121" s="831"/>
      <c r="CL121" s="832"/>
      <c r="CM121" s="833" t="str">
        <f t="shared" si="96"/>
        <v>-</v>
      </c>
      <c r="CN121" s="834" t="str">
        <f t="shared" si="97"/>
        <v>-</v>
      </c>
      <c r="CO121" s="830" t="str">
        <f t="shared" ca="1" si="98"/>
        <v>-</v>
      </c>
      <c r="CP121" s="839"/>
      <c r="CQ121" s="832"/>
      <c r="CR121" s="833" t="str">
        <f t="shared" si="99"/>
        <v>-</v>
      </c>
      <c r="CS121" s="833" t="str">
        <f t="shared" si="100"/>
        <v>-</v>
      </c>
      <c r="CT121" s="834" t="str">
        <f t="shared" si="101"/>
        <v>-</v>
      </c>
      <c r="CU121" s="835" t="str">
        <f t="shared" si="102"/>
        <v>-</v>
      </c>
      <c r="CV121" s="839"/>
      <c r="CW121" s="832"/>
      <c r="CX121" s="833" t="str">
        <f t="shared" si="103"/>
        <v>-</v>
      </c>
      <c r="CY121" s="840" t="str">
        <f t="shared" si="104"/>
        <v>-</v>
      </c>
      <c r="CZ121" s="833" t="str">
        <f t="shared" si="105"/>
        <v>-</v>
      </c>
      <c r="DA121" s="838" t="str">
        <f t="shared" ca="1" si="106"/>
        <v>-</v>
      </c>
      <c r="DB121" s="841"/>
      <c r="DC121" s="832"/>
    </row>
    <row r="122" spans="1:107" s="842" customFormat="1" ht="15.95" customHeight="1" x14ac:dyDescent="0.25">
      <c r="A122" s="790">
        <v>120</v>
      </c>
      <c r="B122" s="791">
        <f t="shared" ca="1" si="54"/>
        <v>43134</v>
      </c>
      <c r="C122" s="792" t="s">
        <v>614</v>
      </c>
      <c r="D122" s="793" t="s">
        <v>3203</v>
      </c>
      <c r="E122" s="794" t="s">
        <v>156</v>
      </c>
      <c r="F122" s="795" t="s">
        <v>1396</v>
      </c>
      <c r="G122" s="796">
        <f>SUMIFS(МОЛОКО!L8:L6958,МОЛОКО!F8:F6958,"13263",МОЛОКО!L8:L6958,"&gt;0")</f>
        <v>21.2</v>
      </c>
      <c r="H122" s="797" t="s">
        <v>87</v>
      </c>
      <c r="I122" s="798">
        <v>41498</v>
      </c>
      <c r="J122" s="799">
        <f t="shared" ca="1" si="55"/>
        <v>4.4821917808219176</v>
      </c>
      <c r="K122" s="799">
        <f t="shared" ca="1" si="56"/>
        <v>54.533333333333331</v>
      </c>
      <c r="L122" s="800">
        <f t="shared" ca="1" si="57"/>
        <v>1636</v>
      </c>
      <c r="M122" s="801">
        <v>42476</v>
      </c>
      <c r="N122" s="802">
        <v>42830</v>
      </c>
      <c r="O122" s="803">
        <f t="shared" ca="1" si="58"/>
        <v>304</v>
      </c>
      <c r="P122" s="804">
        <v>2</v>
      </c>
      <c r="Q122" s="805" t="s">
        <v>1451</v>
      </c>
      <c r="R122" s="806" t="s">
        <v>3020</v>
      </c>
      <c r="S122" s="807">
        <v>42901</v>
      </c>
      <c r="T122" s="798">
        <v>42986</v>
      </c>
      <c r="U122" s="798" t="str">
        <f t="shared" si="59"/>
        <v>-</v>
      </c>
      <c r="V122" s="804" t="str">
        <f t="shared" ca="1" si="60"/>
        <v>-</v>
      </c>
      <c r="W122" s="808">
        <v>4</v>
      </c>
      <c r="X122" s="794">
        <f t="shared" si="108"/>
        <v>156</v>
      </c>
      <c r="Y122" s="794">
        <v>1</v>
      </c>
      <c r="Z122" s="809" t="str">
        <f t="shared" ca="1" si="62"/>
        <v>-----</v>
      </c>
      <c r="AA122" s="810" t="str">
        <f t="shared" ca="1" si="63"/>
        <v>-----</v>
      </c>
      <c r="AB122" s="804">
        <v>1</v>
      </c>
      <c r="AC122" s="811" t="str">
        <f t="shared" ca="1" si="64"/>
        <v>-----</v>
      </c>
      <c r="AD122" s="798">
        <v>43055</v>
      </c>
      <c r="AE122" s="794" t="str">
        <f t="shared" ca="1" si="65"/>
        <v>-</v>
      </c>
      <c r="AF122" s="798" t="str">
        <f t="shared" si="66"/>
        <v>-</v>
      </c>
      <c r="AG122" s="812" t="str">
        <f t="shared" si="67"/>
        <v>---------</v>
      </c>
      <c r="AH122" s="807">
        <v>43017</v>
      </c>
      <c r="AI122" s="807">
        <f t="shared" si="68"/>
        <v>43176</v>
      </c>
      <c r="AJ122" s="807">
        <f t="shared" si="69"/>
        <v>43206</v>
      </c>
      <c r="AK122" s="813"/>
      <c r="AL122" s="807">
        <f t="shared" si="70"/>
        <v>43245</v>
      </c>
      <c r="AM122" s="807">
        <f t="shared" si="71"/>
        <v>43266</v>
      </c>
      <c r="AN122" s="814">
        <f t="shared" ca="1" si="72"/>
        <v>-132</v>
      </c>
      <c r="AO122" s="815">
        <v>1</v>
      </c>
      <c r="AP122" s="816" t="str">
        <f t="shared" ca="1" si="73"/>
        <v>-</v>
      </c>
      <c r="AQ122" s="817"/>
      <c r="AR122" s="794" t="str">
        <f t="shared" si="74"/>
        <v>-</v>
      </c>
      <c r="AS122" s="818"/>
      <c r="AT122" s="794" t="str">
        <f t="shared" si="75"/>
        <v>-</v>
      </c>
      <c r="AU122" s="819"/>
      <c r="AV122" s="820"/>
      <c r="AW122" s="821"/>
      <c r="AX122" s="821"/>
      <c r="AY122" s="969" t="str">
        <f t="shared" si="76"/>
        <v>-</v>
      </c>
      <c r="AZ122" s="966" t="str">
        <f t="shared" si="77"/>
        <v>-</v>
      </c>
      <c r="BA122" s="971" t="str">
        <f t="shared" si="78"/>
        <v>-</v>
      </c>
      <c r="BB122" s="975"/>
      <c r="BC122" s="821"/>
      <c r="BD122" s="821"/>
      <c r="BE122" s="963" t="str">
        <f t="shared" si="79"/>
        <v>-</v>
      </c>
      <c r="BF122" s="984"/>
      <c r="BG122" s="988"/>
      <c r="BH122" s="982"/>
      <c r="BI122" s="991"/>
      <c r="BJ122" s="991"/>
      <c r="BK122" s="993" t="str">
        <f t="shared" si="80"/>
        <v>-</v>
      </c>
      <c r="BL122" s="820">
        <v>42980</v>
      </c>
      <c r="BM122" s="821">
        <v>5</v>
      </c>
      <c r="BN122" s="822">
        <f t="shared" ca="1" si="81"/>
        <v>154</v>
      </c>
      <c r="BO122" s="823">
        <f t="shared" si="82"/>
        <v>49.4</v>
      </c>
      <c r="BP122" s="824"/>
      <c r="BQ122" s="821"/>
      <c r="BR122" s="822" t="str">
        <f t="shared" si="83"/>
        <v>-</v>
      </c>
      <c r="BS122" s="823" t="str">
        <f t="shared" si="84"/>
        <v>-</v>
      </c>
      <c r="BT122" s="825" t="str">
        <f t="shared" ca="1" si="85"/>
        <v>-</v>
      </c>
      <c r="BU122" s="826"/>
      <c r="BV122" s="827"/>
      <c r="BW122" s="828" t="str">
        <f t="shared" si="86"/>
        <v>Ж-Е НЕ ВАКЦ.</v>
      </c>
      <c r="BX122" s="829" t="str">
        <f t="shared" si="87"/>
        <v>-</v>
      </c>
      <c r="BY122" s="830" t="str">
        <f t="shared" ca="1" si="88"/>
        <v>-</v>
      </c>
      <c r="BZ122" s="831">
        <v>42887</v>
      </c>
      <c r="CA122" s="832">
        <v>5</v>
      </c>
      <c r="CB122" s="833">
        <f t="shared" ca="1" si="89"/>
        <v>247</v>
      </c>
      <c r="CC122" s="834" t="str">
        <f t="shared" ca="1" si="90"/>
        <v>-</v>
      </c>
      <c r="CD122" s="835">
        <f t="shared" si="91"/>
        <v>42908</v>
      </c>
      <c r="CE122" s="831">
        <v>42908</v>
      </c>
      <c r="CF122" s="832">
        <v>5</v>
      </c>
      <c r="CG122" s="833">
        <f t="shared" ca="1" si="92"/>
        <v>226</v>
      </c>
      <c r="CH122" s="836">
        <f t="shared" si="93"/>
        <v>0</v>
      </c>
      <c r="CI122" s="837" t="str">
        <f t="shared" si="94"/>
        <v>УСПЕШНО</v>
      </c>
      <c r="CJ122" s="838" t="str">
        <f t="shared" ca="1" si="95"/>
        <v>-</v>
      </c>
      <c r="CK122" s="831"/>
      <c r="CL122" s="832"/>
      <c r="CM122" s="833" t="str">
        <f t="shared" si="96"/>
        <v>-</v>
      </c>
      <c r="CN122" s="834" t="str">
        <f t="shared" si="97"/>
        <v>-</v>
      </c>
      <c r="CO122" s="830" t="str">
        <f t="shared" ca="1" si="98"/>
        <v>-</v>
      </c>
      <c r="CP122" s="839"/>
      <c r="CQ122" s="832"/>
      <c r="CR122" s="833" t="str">
        <f t="shared" si="99"/>
        <v>-</v>
      </c>
      <c r="CS122" s="833" t="str">
        <f t="shared" si="100"/>
        <v>-</v>
      </c>
      <c r="CT122" s="834" t="str">
        <f t="shared" si="101"/>
        <v>-</v>
      </c>
      <c r="CU122" s="835" t="str">
        <f t="shared" si="102"/>
        <v>-</v>
      </c>
      <c r="CV122" s="839"/>
      <c r="CW122" s="832"/>
      <c r="CX122" s="833" t="str">
        <f t="shared" si="103"/>
        <v>-</v>
      </c>
      <c r="CY122" s="840" t="str">
        <f t="shared" si="104"/>
        <v>-</v>
      </c>
      <c r="CZ122" s="833" t="str">
        <f t="shared" si="105"/>
        <v>-</v>
      </c>
      <c r="DA122" s="838" t="str">
        <f t="shared" ca="1" si="106"/>
        <v>-</v>
      </c>
      <c r="DB122" s="841"/>
      <c r="DC122" s="832"/>
    </row>
    <row r="123" spans="1:107" s="842" customFormat="1" ht="15.95" customHeight="1" x14ac:dyDescent="0.25">
      <c r="A123" s="790">
        <v>121</v>
      </c>
      <c r="B123" s="791">
        <f t="shared" ca="1" si="54"/>
        <v>43134</v>
      </c>
      <c r="C123" s="792" t="s">
        <v>614</v>
      </c>
      <c r="D123" s="793" t="s">
        <v>3203</v>
      </c>
      <c r="E123" s="850" t="s">
        <v>27</v>
      </c>
      <c r="F123" s="795" t="s">
        <v>28</v>
      </c>
      <c r="G123" s="796">
        <f>SUMIFS(МОЛОКО!L8:L6958,МОЛОКО!F8:F6958,"55094",МОЛОКО!L8:L6958,"&gt;0")</f>
        <v>33.6</v>
      </c>
      <c r="H123" s="797" t="s">
        <v>78</v>
      </c>
      <c r="I123" s="798">
        <v>40355</v>
      </c>
      <c r="J123" s="799">
        <f t="shared" ca="1" si="55"/>
        <v>7.6136986301369864</v>
      </c>
      <c r="K123" s="799">
        <f t="shared" ca="1" si="56"/>
        <v>92.63333333333334</v>
      </c>
      <c r="L123" s="800">
        <f t="shared" ca="1" si="57"/>
        <v>2779</v>
      </c>
      <c r="M123" s="801">
        <v>41061</v>
      </c>
      <c r="N123" s="802">
        <v>42872</v>
      </c>
      <c r="O123" s="803">
        <f t="shared" ca="1" si="58"/>
        <v>262</v>
      </c>
      <c r="P123" s="804">
        <v>5</v>
      </c>
      <c r="Q123" s="805" t="s">
        <v>2366</v>
      </c>
      <c r="R123" s="806" t="s">
        <v>2966</v>
      </c>
      <c r="S123" s="807">
        <v>42932</v>
      </c>
      <c r="T123" s="798">
        <v>42963</v>
      </c>
      <c r="U123" s="798" t="str">
        <f t="shared" si="59"/>
        <v>-</v>
      </c>
      <c r="V123" s="804" t="str">
        <f t="shared" ca="1" si="60"/>
        <v>-</v>
      </c>
      <c r="W123" s="851">
        <v>2</v>
      </c>
      <c r="X123" s="794">
        <f t="shared" si="108"/>
        <v>91</v>
      </c>
      <c r="Y123" s="794">
        <v>0</v>
      </c>
      <c r="Z123" s="809" t="str">
        <f t="shared" ca="1" si="62"/>
        <v>-----</v>
      </c>
      <c r="AA123" s="810">
        <f t="shared" ca="1" si="63"/>
        <v>171</v>
      </c>
      <c r="AB123" s="804"/>
      <c r="AC123" s="811" t="str">
        <f t="shared" ca="1" si="64"/>
        <v>-----</v>
      </c>
      <c r="AD123" s="798"/>
      <c r="AE123" s="794" t="str">
        <f t="shared" ca="1" si="65"/>
        <v>яловая</v>
      </c>
      <c r="AF123" s="798" t="str">
        <f t="shared" si="66"/>
        <v>-</v>
      </c>
      <c r="AG123" s="812" t="str">
        <f t="shared" si="67"/>
        <v>---------</v>
      </c>
      <c r="AH123" s="807">
        <v>43000</v>
      </c>
      <c r="AI123" s="807" t="str">
        <f t="shared" si="68"/>
        <v>-</v>
      </c>
      <c r="AJ123" s="807" t="str">
        <f t="shared" si="69"/>
        <v>-</v>
      </c>
      <c r="AK123" s="813"/>
      <c r="AL123" s="807" t="str">
        <f t="shared" si="70"/>
        <v>-</v>
      </c>
      <c r="AM123" s="807" t="str">
        <f t="shared" si="71"/>
        <v>-</v>
      </c>
      <c r="AN123" s="814" t="str">
        <f t="shared" ca="1" si="72"/>
        <v>-</v>
      </c>
      <c r="AO123" s="815">
        <v>1</v>
      </c>
      <c r="AP123" s="816" t="str">
        <f t="shared" ca="1" si="73"/>
        <v>-</v>
      </c>
      <c r="AQ123" s="817"/>
      <c r="AR123" s="794" t="str">
        <f t="shared" si="74"/>
        <v>-</v>
      </c>
      <c r="AS123" s="818"/>
      <c r="AT123" s="794" t="str">
        <f t="shared" si="75"/>
        <v>-</v>
      </c>
      <c r="AU123" s="819"/>
      <c r="AV123" s="820"/>
      <c r="AW123" s="821"/>
      <c r="AX123" s="821"/>
      <c r="AY123" s="969" t="str">
        <f t="shared" si="76"/>
        <v>-</v>
      </c>
      <c r="AZ123" s="966" t="str">
        <f t="shared" si="77"/>
        <v>-</v>
      </c>
      <c r="BA123" s="971" t="str">
        <f t="shared" si="78"/>
        <v>-</v>
      </c>
      <c r="BB123" s="975"/>
      <c r="BC123" s="821"/>
      <c r="BD123" s="821"/>
      <c r="BE123" s="963" t="str">
        <f t="shared" si="79"/>
        <v>-</v>
      </c>
      <c r="BF123" s="984"/>
      <c r="BG123" s="988"/>
      <c r="BH123" s="982"/>
      <c r="BI123" s="991"/>
      <c r="BJ123" s="991"/>
      <c r="BK123" s="993" t="str">
        <f t="shared" si="80"/>
        <v>-</v>
      </c>
      <c r="BL123" s="820">
        <v>42980</v>
      </c>
      <c r="BM123" s="821">
        <v>5</v>
      </c>
      <c r="BN123" s="822">
        <f t="shared" ca="1" si="81"/>
        <v>154</v>
      </c>
      <c r="BO123" s="823">
        <f t="shared" si="82"/>
        <v>87.5</v>
      </c>
      <c r="BP123" s="824"/>
      <c r="BQ123" s="821"/>
      <c r="BR123" s="822" t="str">
        <f t="shared" si="83"/>
        <v>-</v>
      </c>
      <c r="BS123" s="823" t="str">
        <f t="shared" si="84"/>
        <v>-</v>
      </c>
      <c r="BT123" s="825" t="str">
        <f t="shared" ca="1" si="85"/>
        <v>-</v>
      </c>
      <c r="BU123" s="826"/>
      <c r="BV123" s="827"/>
      <c r="BW123" s="828" t="str">
        <f t="shared" si="86"/>
        <v>Ж-Е НЕ ВАКЦ.</v>
      </c>
      <c r="BX123" s="829" t="str">
        <f t="shared" si="87"/>
        <v>-</v>
      </c>
      <c r="BY123" s="830" t="str">
        <f t="shared" ca="1" si="88"/>
        <v>-</v>
      </c>
      <c r="BZ123" s="831">
        <v>42904</v>
      </c>
      <c r="CA123" s="832">
        <v>5</v>
      </c>
      <c r="CB123" s="833">
        <f t="shared" ca="1" si="89"/>
        <v>230</v>
      </c>
      <c r="CC123" s="834" t="str">
        <f t="shared" ca="1" si="90"/>
        <v>-</v>
      </c>
      <c r="CD123" s="835">
        <f t="shared" si="91"/>
        <v>42925</v>
      </c>
      <c r="CE123" s="831">
        <v>42925</v>
      </c>
      <c r="CF123" s="832">
        <v>5</v>
      </c>
      <c r="CG123" s="833">
        <f t="shared" ca="1" si="92"/>
        <v>209</v>
      </c>
      <c r="CH123" s="836">
        <f t="shared" si="93"/>
        <v>0</v>
      </c>
      <c r="CI123" s="837" t="str">
        <f t="shared" si="94"/>
        <v>УСПЕШНО</v>
      </c>
      <c r="CJ123" s="838" t="str">
        <f t="shared" ca="1" si="95"/>
        <v>-</v>
      </c>
      <c r="CK123" s="831"/>
      <c r="CL123" s="832"/>
      <c r="CM123" s="833" t="str">
        <f t="shared" si="96"/>
        <v>-</v>
      </c>
      <c r="CN123" s="834" t="str">
        <f t="shared" si="97"/>
        <v>-</v>
      </c>
      <c r="CO123" s="830" t="str">
        <f t="shared" ca="1" si="98"/>
        <v>-</v>
      </c>
      <c r="CP123" s="839"/>
      <c r="CQ123" s="832"/>
      <c r="CR123" s="833" t="str">
        <f t="shared" si="99"/>
        <v>-</v>
      </c>
      <c r="CS123" s="833" t="str">
        <f t="shared" si="100"/>
        <v>-</v>
      </c>
      <c r="CT123" s="834" t="str">
        <f t="shared" si="101"/>
        <v>-</v>
      </c>
      <c r="CU123" s="835" t="str">
        <f t="shared" si="102"/>
        <v>-</v>
      </c>
      <c r="CV123" s="839"/>
      <c r="CW123" s="832"/>
      <c r="CX123" s="833" t="str">
        <f t="shared" si="103"/>
        <v>-</v>
      </c>
      <c r="CY123" s="840" t="str">
        <f t="shared" si="104"/>
        <v>-</v>
      </c>
      <c r="CZ123" s="833" t="str">
        <f t="shared" si="105"/>
        <v>-</v>
      </c>
      <c r="DA123" s="838" t="str">
        <f t="shared" ca="1" si="106"/>
        <v>-</v>
      </c>
      <c r="DB123" s="841"/>
      <c r="DC123" s="832"/>
    </row>
    <row r="124" spans="1:107" s="842" customFormat="1" ht="15.95" customHeight="1" x14ac:dyDescent="0.25">
      <c r="A124" s="790">
        <v>122</v>
      </c>
      <c r="B124" s="791">
        <f t="shared" ca="1" si="54"/>
        <v>43134</v>
      </c>
      <c r="C124" s="792" t="s">
        <v>614</v>
      </c>
      <c r="D124" s="793" t="s">
        <v>3203</v>
      </c>
      <c r="E124" s="794" t="s">
        <v>45</v>
      </c>
      <c r="F124" s="795" t="s">
        <v>46</v>
      </c>
      <c r="G124" s="796">
        <f>SUMIFS(МОЛОКО!L8:L6958,МОЛОКО!F8:F6958,"175492",МОЛОКО!L8:L6958,"&gt;0")</f>
        <v>21</v>
      </c>
      <c r="H124" s="797" t="s">
        <v>78</v>
      </c>
      <c r="I124" s="798">
        <v>40220</v>
      </c>
      <c r="J124" s="799">
        <f t="shared" ca="1" si="55"/>
        <v>7.9835616438356167</v>
      </c>
      <c r="K124" s="799">
        <f t="shared" ca="1" si="56"/>
        <v>97.13333333333334</v>
      </c>
      <c r="L124" s="800">
        <f t="shared" ca="1" si="57"/>
        <v>2914</v>
      </c>
      <c r="M124" s="801">
        <v>41079</v>
      </c>
      <c r="N124" s="802">
        <v>42862</v>
      </c>
      <c r="O124" s="803">
        <f t="shared" ca="1" si="58"/>
        <v>272</v>
      </c>
      <c r="P124" s="804">
        <v>5</v>
      </c>
      <c r="Q124" s="805" t="s">
        <v>1451</v>
      </c>
      <c r="R124" s="806" t="s">
        <v>2966</v>
      </c>
      <c r="S124" s="807">
        <v>42922</v>
      </c>
      <c r="T124" s="798">
        <v>42986</v>
      </c>
      <c r="U124" s="798" t="str">
        <f t="shared" si="59"/>
        <v>-</v>
      </c>
      <c r="V124" s="804" t="str">
        <f t="shared" ca="1" si="60"/>
        <v>-</v>
      </c>
      <c r="W124" s="808">
        <v>3</v>
      </c>
      <c r="X124" s="794">
        <f t="shared" si="108"/>
        <v>124</v>
      </c>
      <c r="Y124" s="794">
        <v>1</v>
      </c>
      <c r="Z124" s="809" t="str">
        <f t="shared" ca="1" si="62"/>
        <v>-----</v>
      </c>
      <c r="AA124" s="810" t="str">
        <f t="shared" ca="1" si="63"/>
        <v>-----</v>
      </c>
      <c r="AB124" s="804">
        <v>1</v>
      </c>
      <c r="AC124" s="811" t="str">
        <f t="shared" ca="1" si="64"/>
        <v>-----</v>
      </c>
      <c r="AD124" s="798">
        <v>43055</v>
      </c>
      <c r="AE124" s="794" t="str">
        <f t="shared" ca="1" si="65"/>
        <v>-</v>
      </c>
      <c r="AF124" s="798" t="str">
        <f t="shared" si="66"/>
        <v>-</v>
      </c>
      <c r="AG124" s="812" t="str">
        <f t="shared" si="67"/>
        <v>---------</v>
      </c>
      <c r="AH124" s="807">
        <v>43021</v>
      </c>
      <c r="AI124" s="807">
        <f t="shared" si="68"/>
        <v>43176</v>
      </c>
      <c r="AJ124" s="807">
        <f t="shared" si="69"/>
        <v>43206</v>
      </c>
      <c r="AK124" s="813"/>
      <c r="AL124" s="807">
        <f t="shared" si="70"/>
        <v>43245</v>
      </c>
      <c r="AM124" s="807">
        <f t="shared" si="71"/>
        <v>43266</v>
      </c>
      <c r="AN124" s="814">
        <f t="shared" ca="1" si="72"/>
        <v>-132</v>
      </c>
      <c r="AO124" s="815">
        <v>1</v>
      </c>
      <c r="AP124" s="816" t="str">
        <f t="shared" ca="1" si="73"/>
        <v>-</v>
      </c>
      <c r="AQ124" s="817"/>
      <c r="AR124" s="794" t="str">
        <f t="shared" si="74"/>
        <v>-</v>
      </c>
      <c r="AS124" s="818"/>
      <c r="AT124" s="794" t="str">
        <f t="shared" si="75"/>
        <v>-</v>
      </c>
      <c r="AU124" s="819"/>
      <c r="AV124" s="820"/>
      <c r="AW124" s="821"/>
      <c r="AX124" s="821"/>
      <c r="AY124" s="969" t="str">
        <f t="shared" si="76"/>
        <v>-</v>
      </c>
      <c r="AZ124" s="966" t="str">
        <f t="shared" si="77"/>
        <v>-</v>
      </c>
      <c r="BA124" s="971" t="str">
        <f t="shared" si="78"/>
        <v>-</v>
      </c>
      <c r="BB124" s="975"/>
      <c r="BC124" s="821"/>
      <c r="BD124" s="821"/>
      <c r="BE124" s="963" t="str">
        <f t="shared" si="79"/>
        <v>-</v>
      </c>
      <c r="BF124" s="984"/>
      <c r="BG124" s="988"/>
      <c r="BH124" s="982"/>
      <c r="BI124" s="991"/>
      <c r="BJ124" s="991"/>
      <c r="BK124" s="993" t="str">
        <f t="shared" si="80"/>
        <v>-</v>
      </c>
      <c r="BL124" s="820">
        <v>42980</v>
      </c>
      <c r="BM124" s="821">
        <v>5</v>
      </c>
      <c r="BN124" s="822">
        <f t="shared" ca="1" si="81"/>
        <v>154</v>
      </c>
      <c r="BO124" s="823">
        <f t="shared" si="82"/>
        <v>92</v>
      </c>
      <c r="BP124" s="824"/>
      <c r="BQ124" s="821"/>
      <c r="BR124" s="822" t="str">
        <f t="shared" si="83"/>
        <v>-</v>
      </c>
      <c r="BS124" s="823" t="str">
        <f t="shared" si="84"/>
        <v>-</v>
      </c>
      <c r="BT124" s="825" t="str">
        <f t="shared" ca="1" si="85"/>
        <v>-</v>
      </c>
      <c r="BU124" s="826"/>
      <c r="BV124" s="827"/>
      <c r="BW124" s="828" t="str">
        <f t="shared" si="86"/>
        <v>Ж-Е НЕ ВАКЦ.</v>
      </c>
      <c r="BX124" s="829" t="str">
        <f t="shared" si="87"/>
        <v>-</v>
      </c>
      <c r="BY124" s="830" t="str">
        <f t="shared" ca="1" si="88"/>
        <v>-</v>
      </c>
      <c r="BZ124" s="831">
        <v>42888</v>
      </c>
      <c r="CA124" s="832">
        <v>5</v>
      </c>
      <c r="CB124" s="833">
        <f t="shared" ca="1" si="89"/>
        <v>246</v>
      </c>
      <c r="CC124" s="834" t="str">
        <f t="shared" ca="1" si="90"/>
        <v>-</v>
      </c>
      <c r="CD124" s="835">
        <f t="shared" si="91"/>
        <v>42909</v>
      </c>
      <c r="CE124" s="831">
        <v>42909</v>
      </c>
      <c r="CF124" s="832">
        <v>5</v>
      </c>
      <c r="CG124" s="833">
        <f t="shared" ca="1" si="92"/>
        <v>225</v>
      </c>
      <c r="CH124" s="836">
        <f t="shared" si="93"/>
        <v>0</v>
      </c>
      <c r="CI124" s="837" t="str">
        <f t="shared" si="94"/>
        <v>УСПЕШНО</v>
      </c>
      <c r="CJ124" s="838" t="str">
        <f t="shared" ca="1" si="95"/>
        <v>-</v>
      </c>
      <c r="CK124" s="831"/>
      <c r="CL124" s="832"/>
      <c r="CM124" s="833" t="str">
        <f t="shared" si="96"/>
        <v>-</v>
      </c>
      <c r="CN124" s="834" t="str">
        <f t="shared" si="97"/>
        <v>-</v>
      </c>
      <c r="CO124" s="830" t="str">
        <f t="shared" ca="1" si="98"/>
        <v>-</v>
      </c>
      <c r="CP124" s="839"/>
      <c r="CQ124" s="832"/>
      <c r="CR124" s="833" t="str">
        <f t="shared" si="99"/>
        <v>-</v>
      </c>
      <c r="CS124" s="833" t="str">
        <f t="shared" si="100"/>
        <v>-</v>
      </c>
      <c r="CT124" s="834" t="str">
        <f t="shared" si="101"/>
        <v>-</v>
      </c>
      <c r="CU124" s="835" t="str">
        <f t="shared" si="102"/>
        <v>-</v>
      </c>
      <c r="CV124" s="839"/>
      <c r="CW124" s="832"/>
      <c r="CX124" s="833" t="str">
        <f t="shared" si="103"/>
        <v>-</v>
      </c>
      <c r="CY124" s="840" t="str">
        <f t="shared" si="104"/>
        <v>-</v>
      </c>
      <c r="CZ124" s="833" t="str">
        <f t="shared" si="105"/>
        <v>-</v>
      </c>
      <c r="DA124" s="838" t="str">
        <f t="shared" ca="1" si="106"/>
        <v>-</v>
      </c>
      <c r="DB124" s="841"/>
      <c r="DC124" s="832"/>
    </row>
    <row r="125" spans="1:107" s="842" customFormat="1" ht="15.95" customHeight="1" x14ac:dyDescent="0.25">
      <c r="A125" s="790">
        <v>123</v>
      </c>
      <c r="B125" s="791">
        <f t="shared" ca="1" si="54"/>
        <v>43134</v>
      </c>
      <c r="C125" s="792" t="s">
        <v>614</v>
      </c>
      <c r="D125" s="793" t="s">
        <v>3203</v>
      </c>
      <c r="E125" s="794" t="s">
        <v>451</v>
      </c>
      <c r="F125" s="795" t="s">
        <v>452</v>
      </c>
      <c r="G125" s="796">
        <f>SUMIFS(МОЛОКО!L8:L6958,МОЛОКО!F8:F6958,"277374",МОЛОКО!L8:L6958,"&gt;0")</f>
        <v>21.6</v>
      </c>
      <c r="H125" s="797" t="s">
        <v>78</v>
      </c>
      <c r="I125" s="798">
        <v>41495</v>
      </c>
      <c r="J125" s="799">
        <f t="shared" ca="1" si="55"/>
        <v>4.4904109589041097</v>
      </c>
      <c r="K125" s="799">
        <f t="shared" ca="1" si="56"/>
        <v>54.633333333333333</v>
      </c>
      <c r="L125" s="800">
        <f t="shared" ca="1" si="57"/>
        <v>1639</v>
      </c>
      <c r="M125" s="801">
        <v>42226</v>
      </c>
      <c r="N125" s="802">
        <v>42760</v>
      </c>
      <c r="O125" s="803">
        <f t="shared" ca="1" si="58"/>
        <v>374</v>
      </c>
      <c r="P125" s="804">
        <v>2</v>
      </c>
      <c r="Q125" s="805" t="s">
        <v>1451</v>
      </c>
      <c r="R125" s="806" t="s">
        <v>2663</v>
      </c>
      <c r="S125" s="807">
        <v>42824</v>
      </c>
      <c r="T125" s="798">
        <v>42870</v>
      </c>
      <c r="U125" s="798" t="str">
        <f t="shared" si="59"/>
        <v>-</v>
      </c>
      <c r="V125" s="804" t="str">
        <f t="shared" ca="1" si="60"/>
        <v>-</v>
      </c>
      <c r="W125" s="808">
        <v>2</v>
      </c>
      <c r="X125" s="794">
        <f t="shared" si="108"/>
        <v>110</v>
      </c>
      <c r="Y125" s="794">
        <v>1</v>
      </c>
      <c r="Z125" s="809" t="str">
        <f t="shared" ca="1" si="62"/>
        <v>-----</v>
      </c>
      <c r="AA125" s="810" t="str">
        <f t="shared" ca="1" si="63"/>
        <v>-----</v>
      </c>
      <c r="AB125" s="804">
        <v>1</v>
      </c>
      <c r="AC125" s="811" t="str">
        <f t="shared" ca="1" si="64"/>
        <v>-----</v>
      </c>
      <c r="AD125" s="798">
        <v>42935</v>
      </c>
      <c r="AE125" s="794" t="str">
        <f t="shared" ca="1" si="65"/>
        <v>-</v>
      </c>
      <c r="AF125" s="798" t="str">
        <f t="shared" si="66"/>
        <v>-</v>
      </c>
      <c r="AG125" s="812" t="str">
        <f t="shared" si="67"/>
        <v>---------</v>
      </c>
      <c r="AH125" s="807">
        <v>42907</v>
      </c>
      <c r="AI125" s="807">
        <f t="shared" si="68"/>
        <v>43060</v>
      </c>
      <c r="AJ125" s="807">
        <f t="shared" si="69"/>
        <v>43090</v>
      </c>
      <c r="AK125" s="813"/>
      <c r="AL125" s="807">
        <f t="shared" si="70"/>
        <v>43129</v>
      </c>
      <c r="AM125" s="807">
        <f t="shared" si="71"/>
        <v>43150</v>
      </c>
      <c r="AN125" s="814">
        <f t="shared" ca="1" si="72"/>
        <v>-16</v>
      </c>
      <c r="AO125" s="815">
        <v>1</v>
      </c>
      <c r="AP125" s="816" t="str">
        <f t="shared" ca="1" si="73"/>
        <v>-</v>
      </c>
      <c r="AQ125" s="817"/>
      <c r="AR125" s="794" t="str">
        <f t="shared" si="74"/>
        <v>-</v>
      </c>
      <c r="AS125" s="818"/>
      <c r="AT125" s="794" t="str">
        <f t="shared" si="75"/>
        <v>-</v>
      </c>
      <c r="AU125" s="819"/>
      <c r="AV125" s="820"/>
      <c r="AW125" s="821"/>
      <c r="AX125" s="821"/>
      <c r="AY125" s="969" t="str">
        <f t="shared" si="76"/>
        <v>-</v>
      </c>
      <c r="AZ125" s="966" t="str">
        <f t="shared" si="77"/>
        <v>-</v>
      </c>
      <c r="BA125" s="971" t="str">
        <f t="shared" si="78"/>
        <v>-</v>
      </c>
      <c r="BB125" s="975"/>
      <c r="BC125" s="821"/>
      <c r="BD125" s="821"/>
      <c r="BE125" s="963" t="str">
        <f t="shared" si="79"/>
        <v>-</v>
      </c>
      <c r="BF125" s="984"/>
      <c r="BG125" s="988"/>
      <c r="BH125" s="982"/>
      <c r="BI125" s="991"/>
      <c r="BJ125" s="991"/>
      <c r="BK125" s="993" t="str">
        <f t="shared" si="80"/>
        <v>-</v>
      </c>
      <c r="BL125" s="820">
        <v>42980</v>
      </c>
      <c r="BM125" s="821">
        <v>5</v>
      </c>
      <c r="BN125" s="822">
        <f t="shared" ca="1" si="81"/>
        <v>154</v>
      </c>
      <c r="BO125" s="823">
        <f t="shared" si="82"/>
        <v>49.5</v>
      </c>
      <c r="BP125" s="824"/>
      <c r="BQ125" s="821"/>
      <c r="BR125" s="822" t="str">
        <f t="shared" si="83"/>
        <v>-</v>
      </c>
      <c r="BS125" s="823" t="str">
        <f t="shared" si="84"/>
        <v>-</v>
      </c>
      <c r="BT125" s="825" t="str">
        <f t="shared" ca="1" si="85"/>
        <v>-</v>
      </c>
      <c r="BU125" s="826"/>
      <c r="BV125" s="827"/>
      <c r="BW125" s="828" t="str">
        <f t="shared" si="86"/>
        <v>Ж-Е НЕ ВАКЦ.</v>
      </c>
      <c r="BX125" s="829" t="str">
        <f t="shared" si="87"/>
        <v>-</v>
      </c>
      <c r="BY125" s="830" t="str">
        <f t="shared" ca="1" si="88"/>
        <v>-</v>
      </c>
      <c r="BZ125" s="831">
        <v>42887</v>
      </c>
      <c r="CA125" s="832">
        <v>5</v>
      </c>
      <c r="CB125" s="833">
        <f t="shared" ca="1" si="89"/>
        <v>247</v>
      </c>
      <c r="CC125" s="834" t="str">
        <f t="shared" ca="1" si="90"/>
        <v>-</v>
      </c>
      <c r="CD125" s="835">
        <f t="shared" si="91"/>
        <v>42908</v>
      </c>
      <c r="CE125" s="831">
        <v>42908</v>
      </c>
      <c r="CF125" s="832">
        <v>5</v>
      </c>
      <c r="CG125" s="833">
        <f t="shared" ca="1" si="92"/>
        <v>226</v>
      </c>
      <c r="CH125" s="836">
        <f t="shared" si="93"/>
        <v>0</v>
      </c>
      <c r="CI125" s="837" t="str">
        <f t="shared" si="94"/>
        <v>УСПЕШНО</v>
      </c>
      <c r="CJ125" s="838" t="str">
        <f t="shared" ca="1" si="95"/>
        <v>-</v>
      </c>
      <c r="CK125" s="831"/>
      <c r="CL125" s="832"/>
      <c r="CM125" s="833" t="str">
        <f t="shared" si="96"/>
        <v>-</v>
      </c>
      <c r="CN125" s="834" t="str">
        <f t="shared" si="97"/>
        <v>-</v>
      </c>
      <c r="CO125" s="830" t="str">
        <f t="shared" ca="1" si="98"/>
        <v>ТРЕБУЕТСЯ ВАКЦИНАЦИЯ</v>
      </c>
      <c r="CP125" s="839"/>
      <c r="CQ125" s="832"/>
      <c r="CR125" s="833" t="str">
        <f t="shared" si="99"/>
        <v>-</v>
      </c>
      <c r="CS125" s="833" t="str">
        <f t="shared" si="100"/>
        <v>-</v>
      </c>
      <c r="CT125" s="834" t="str">
        <f t="shared" si="101"/>
        <v>-</v>
      </c>
      <c r="CU125" s="835" t="str">
        <f t="shared" si="102"/>
        <v>-</v>
      </c>
      <c r="CV125" s="839"/>
      <c r="CW125" s="832"/>
      <c r="CX125" s="833" t="str">
        <f t="shared" si="103"/>
        <v>-</v>
      </c>
      <c r="CY125" s="840" t="str">
        <f t="shared" si="104"/>
        <v>-</v>
      </c>
      <c r="CZ125" s="833" t="str">
        <f t="shared" si="105"/>
        <v>-</v>
      </c>
      <c r="DA125" s="838" t="str">
        <f t="shared" ca="1" si="106"/>
        <v>-</v>
      </c>
      <c r="DB125" s="841"/>
      <c r="DC125" s="832"/>
    </row>
    <row r="126" spans="1:107" s="842" customFormat="1" ht="15.95" customHeight="1" x14ac:dyDescent="0.25">
      <c r="A126" s="790">
        <v>124</v>
      </c>
      <c r="B126" s="791">
        <f t="shared" ca="1" si="54"/>
        <v>43134</v>
      </c>
      <c r="C126" s="792" t="s">
        <v>614</v>
      </c>
      <c r="D126" s="793" t="s">
        <v>3204</v>
      </c>
      <c r="E126" s="794" t="s">
        <v>254</v>
      </c>
      <c r="F126" s="795" t="s">
        <v>737</v>
      </c>
      <c r="G126" s="796">
        <f>SUMIFS(МОЛОКО!L8:L6958,МОЛОКО!F8:F6958,"25",МОЛОКО!L8:L6958,"&gt;0")</f>
        <v>35</v>
      </c>
      <c r="H126" s="797" t="s">
        <v>603</v>
      </c>
      <c r="I126" s="798">
        <v>40247</v>
      </c>
      <c r="J126" s="799">
        <f t="shared" ca="1" si="55"/>
        <v>7.9095890410958907</v>
      </c>
      <c r="K126" s="799">
        <f t="shared" ca="1" si="56"/>
        <v>96.233333333333334</v>
      </c>
      <c r="L126" s="800">
        <f t="shared" ca="1" si="57"/>
        <v>2887</v>
      </c>
      <c r="M126" s="801">
        <v>40619</v>
      </c>
      <c r="N126" s="802">
        <v>42862</v>
      </c>
      <c r="O126" s="803">
        <f t="shared" ca="1" si="58"/>
        <v>272</v>
      </c>
      <c r="P126" s="804">
        <v>6</v>
      </c>
      <c r="Q126" s="68" t="s">
        <v>2366</v>
      </c>
      <c r="R126" s="118" t="s">
        <v>3020</v>
      </c>
      <c r="S126" s="807">
        <v>43021</v>
      </c>
      <c r="T126" s="798">
        <v>43043</v>
      </c>
      <c r="U126" s="798">
        <f t="shared" si="59"/>
        <v>43061</v>
      </c>
      <c r="V126" s="804">
        <f t="shared" ca="1" si="60"/>
        <v>73</v>
      </c>
      <c r="W126" s="808">
        <v>2</v>
      </c>
      <c r="X126" s="794">
        <f t="shared" si="108"/>
        <v>181</v>
      </c>
      <c r="Y126" s="794">
        <v>3</v>
      </c>
      <c r="Z126" s="809" t="str">
        <f t="shared" ca="1" si="62"/>
        <v>-----</v>
      </c>
      <c r="AA126" s="810">
        <f t="shared" ca="1" si="63"/>
        <v>91</v>
      </c>
      <c r="AB126" s="804"/>
      <c r="AC126" s="811" t="str">
        <f t="shared" ca="1" si="64"/>
        <v>-----</v>
      </c>
      <c r="AD126" s="798"/>
      <c r="AE126" s="794" t="str">
        <f t="shared" ca="1" si="65"/>
        <v>-</v>
      </c>
      <c r="AF126" s="798">
        <f t="shared" si="66"/>
        <v>43078</v>
      </c>
      <c r="AG126" s="812">
        <f t="shared" ca="1" si="67"/>
        <v>56</v>
      </c>
      <c r="AH126" s="807"/>
      <c r="AI126" s="807" t="str">
        <f t="shared" si="68"/>
        <v>-</v>
      </c>
      <c r="AJ126" s="807" t="str">
        <f t="shared" si="69"/>
        <v>-</v>
      </c>
      <c r="AK126" s="813"/>
      <c r="AL126" s="807" t="str">
        <f t="shared" si="70"/>
        <v>-</v>
      </c>
      <c r="AM126" s="807" t="str">
        <f t="shared" si="71"/>
        <v>-</v>
      </c>
      <c r="AN126" s="814" t="str">
        <f t="shared" ca="1" si="72"/>
        <v>-</v>
      </c>
      <c r="AO126" s="815">
        <v>1</v>
      </c>
      <c r="AP126" s="816" t="str">
        <f t="shared" ca="1" si="73"/>
        <v>-</v>
      </c>
      <c r="AQ126" s="817" t="s">
        <v>1863</v>
      </c>
      <c r="AR126" s="794" t="str">
        <f t="shared" si="74"/>
        <v>-</v>
      </c>
      <c r="AS126" s="818"/>
      <c r="AT126" s="794" t="str">
        <f t="shared" si="75"/>
        <v>-</v>
      </c>
      <c r="AU126" s="819"/>
      <c r="AV126" s="820"/>
      <c r="AW126" s="821"/>
      <c r="AX126" s="821"/>
      <c r="AY126" s="969" t="str">
        <f t="shared" si="76"/>
        <v>-</v>
      </c>
      <c r="AZ126" s="966" t="str">
        <f t="shared" si="77"/>
        <v>-</v>
      </c>
      <c r="BA126" s="971" t="str">
        <f t="shared" si="78"/>
        <v>-</v>
      </c>
      <c r="BB126" s="975"/>
      <c r="BC126" s="821"/>
      <c r="BD126" s="821"/>
      <c r="BE126" s="963" t="str">
        <f t="shared" si="79"/>
        <v>-</v>
      </c>
      <c r="BF126" s="984"/>
      <c r="BG126" s="988"/>
      <c r="BH126" s="982"/>
      <c r="BI126" s="991"/>
      <c r="BJ126" s="991"/>
      <c r="BK126" s="993" t="str">
        <f t="shared" si="80"/>
        <v>-</v>
      </c>
      <c r="BL126" s="820">
        <v>42980</v>
      </c>
      <c r="BM126" s="821">
        <v>5</v>
      </c>
      <c r="BN126" s="822">
        <f t="shared" ca="1" si="81"/>
        <v>154</v>
      </c>
      <c r="BO126" s="823">
        <f t="shared" si="82"/>
        <v>91.1</v>
      </c>
      <c r="BP126" s="824"/>
      <c r="BQ126" s="821"/>
      <c r="BR126" s="822" t="str">
        <f t="shared" si="83"/>
        <v>-</v>
      </c>
      <c r="BS126" s="823" t="str">
        <f t="shared" si="84"/>
        <v>-</v>
      </c>
      <c r="BT126" s="825" t="str">
        <f t="shared" ca="1" si="85"/>
        <v>-</v>
      </c>
      <c r="BU126" s="826"/>
      <c r="BV126" s="827"/>
      <c r="BW126" s="828" t="str">
        <f t="shared" si="86"/>
        <v>Ж-Е НЕ ВАКЦ.</v>
      </c>
      <c r="BX126" s="829" t="str">
        <f t="shared" si="87"/>
        <v>-</v>
      </c>
      <c r="BY126" s="830" t="str">
        <f t="shared" ca="1" si="88"/>
        <v>-</v>
      </c>
      <c r="BZ126" s="831">
        <v>42887</v>
      </c>
      <c r="CA126" s="832">
        <v>5</v>
      </c>
      <c r="CB126" s="833">
        <f t="shared" ca="1" si="89"/>
        <v>247</v>
      </c>
      <c r="CC126" s="834" t="str">
        <f t="shared" ca="1" si="90"/>
        <v>-</v>
      </c>
      <c r="CD126" s="835">
        <f t="shared" si="91"/>
        <v>42908</v>
      </c>
      <c r="CE126" s="831">
        <v>42908</v>
      </c>
      <c r="CF126" s="832">
        <v>5</v>
      </c>
      <c r="CG126" s="833">
        <f t="shared" ca="1" si="92"/>
        <v>226</v>
      </c>
      <c r="CH126" s="836">
        <f t="shared" si="93"/>
        <v>0</v>
      </c>
      <c r="CI126" s="837" t="str">
        <f t="shared" si="94"/>
        <v>УСПЕШНО</v>
      </c>
      <c r="CJ126" s="838" t="str">
        <f t="shared" ca="1" si="95"/>
        <v>-</v>
      </c>
      <c r="CK126" s="831"/>
      <c r="CL126" s="832"/>
      <c r="CM126" s="833" t="str">
        <f t="shared" si="96"/>
        <v>-</v>
      </c>
      <c r="CN126" s="834" t="str">
        <f t="shared" si="97"/>
        <v>-</v>
      </c>
      <c r="CO126" s="830" t="str">
        <f t="shared" ca="1" si="98"/>
        <v>-</v>
      </c>
      <c r="CP126" s="839"/>
      <c r="CQ126" s="832"/>
      <c r="CR126" s="833" t="str">
        <f t="shared" si="99"/>
        <v>-</v>
      </c>
      <c r="CS126" s="833" t="str">
        <f t="shared" si="100"/>
        <v>-</v>
      </c>
      <c r="CT126" s="834" t="str">
        <f t="shared" si="101"/>
        <v>-</v>
      </c>
      <c r="CU126" s="835" t="str">
        <f t="shared" si="102"/>
        <v>-</v>
      </c>
      <c r="CV126" s="839"/>
      <c r="CW126" s="832"/>
      <c r="CX126" s="833" t="str">
        <f t="shared" si="103"/>
        <v>-</v>
      </c>
      <c r="CY126" s="840" t="str">
        <f t="shared" si="104"/>
        <v>-</v>
      </c>
      <c r="CZ126" s="833" t="str">
        <f t="shared" si="105"/>
        <v>-</v>
      </c>
      <c r="DA126" s="838" t="str">
        <f t="shared" ca="1" si="106"/>
        <v>-</v>
      </c>
      <c r="DB126" s="841"/>
      <c r="DC126" s="832"/>
    </row>
    <row r="127" spans="1:107" s="842" customFormat="1" ht="15.6" customHeight="1" x14ac:dyDescent="0.25">
      <c r="A127" s="790">
        <v>125</v>
      </c>
      <c r="B127" s="791">
        <f t="shared" ca="1" si="54"/>
        <v>43134</v>
      </c>
      <c r="C127" s="792" t="s">
        <v>614</v>
      </c>
      <c r="D127" s="793" t="s">
        <v>3204</v>
      </c>
      <c r="E127" s="794" t="s">
        <v>686</v>
      </c>
      <c r="F127" s="795" t="s">
        <v>687</v>
      </c>
      <c r="G127" s="796">
        <f>SUMIFS(МОЛОКО!L8:L6958,МОЛОКО!F8:F6958,"79",МОЛОКО!L8:L6958,"&gt;0")</f>
        <v>22.2</v>
      </c>
      <c r="H127" s="797" t="s">
        <v>603</v>
      </c>
      <c r="I127" s="798">
        <v>41583</v>
      </c>
      <c r="J127" s="799">
        <f t="shared" ca="1" si="55"/>
        <v>4.2493150684931509</v>
      </c>
      <c r="K127" s="799">
        <f t="shared" ca="1" si="56"/>
        <v>51.7</v>
      </c>
      <c r="L127" s="800">
        <f t="shared" ca="1" si="57"/>
        <v>1551</v>
      </c>
      <c r="M127" s="801">
        <v>42354</v>
      </c>
      <c r="N127" s="802">
        <v>42930</v>
      </c>
      <c r="O127" s="803">
        <f t="shared" ca="1" si="58"/>
        <v>204</v>
      </c>
      <c r="P127" s="804">
        <v>2</v>
      </c>
      <c r="Q127" s="805" t="s">
        <v>1451</v>
      </c>
      <c r="R127" s="806" t="s">
        <v>3020</v>
      </c>
      <c r="S127" s="807">
        <v>42992</v>
      </c>
      <c r="T127" s="798">
        <v>43022</v>
      </c>
      <c r="U127" s="798">
        <f t="shared" si="59"/>
        <v>43040</v>
      </c>
      <c r="V127" s="804">
        <f t="shared" ca="1" si="60"/>
        <v>94</v>
      </c>
      <c r="W127" s="808">
        <v>2</v>
      </c>
      <c r="X127" s="794">
        <f t="shared" si="108"/>
        <v>92</v>
      </c>
      <c r="Y127" s="794">
        <v>2</v>
      </c>
      <c r="Z127" s="809" t="str">
        <f t="shared" ca="1" si="62"/>
        <v>-----</v>
      </c>
      <c r="AA127" s="810">
        <f t="shared" ca="1" si="63"/>
        <v>112</v>
      </c>
      <c r="AB127" s="804"/>
      <c r="AC127" s="811" t="str">
        <f t="shared" ca="1" si="64"/>
        <v>-----</v>
      </c>
      <c r="AD127" s="798"/>
      <c r="AE127" s="794" t="str">
        <f t="shared" ca="1" si="65"/>
        <v>-</v>
      </c>
      <c r="AF127" s="798">
        <f t="shared" si="66"/>
        <v>43057</v>
      </c>
      <c r="AG127" s="812">
        <f t="shared" ca="1" si="67"/>
        <v>77</v>
      </c>
      <c r="AH127" s="807">
        <v>43052</v>
      </c>
      <c r="AI127" s="807" t="str">
        <f t="shared" si="68"/>
        <v>-</v>
      </c>
      <c r="AJ127" s="807" t="str">
        <f t="shared" si="69"/>
        <v>-</v>
      </c>
      <c r="AK127" s="813"/>
      <c r="AL127" s="807" t="str">
        <f t="shared" si="70"/>
        <v>-</v>
      </c>
      <c r="AM127" s="807" t="str">
        <f t="shared" si="71"/>
        <v>-</v>
      </c>
      <c r="AN127" s="814" t="str">
        <f t="shared" ca="1" si="72"/>
        <v>-</v>
      </c>
      <c r="AO127" s="815">
        <v>1</v>
      </c>
      <c r="AP127" s="816" t="str">
        <f t="shared" ca="1" si="73"/>
        <v>-</v>
      </c>
      <c r="AQ127" s="817"/>
      <c r="AR127" s="794" t="str">
        <f t="shared" si="74"/>
        <v>-</v>
      </c>
      <c r="AS127" s="818"/>
      <c r="AT127" s="794" t="str">
        <f t="shared" si="75"/>
        <v>-</v>
      </c>
      <c r="AU127" s="819"/>
      <c r="AV127" s="820"/>
      <c r="AW127" s="821"/>
      <c r="AX127" s="821"/>
      <c r="AY127" s="969" t="str">
        <f t="shared" si="76"/>
        <v>-</v>
      </c>
      <c r="AZ127" s="966" t="str">
        <f t="shared" si="77"/>
        <v>-</v>
      </c>
      <c r="BA127" s="971" t="str">
        <f t="shared" si="78"/>
        <v>-</v>
      </c>
      <c r="BB127" s="975"/>
      <c r="BC127" s="821"/>
      <c r="BD127" s="821"/>
      <c r="BE127" s="963" t="str">
        <f t="shared" si="79"/>
        <v>-</v>
      </c>
      <c r="BF127" s="984"/>
      <c r="BG127" s="988"/>
      <c r="BH127" s="982"/>
      <c r="BI127" s="991"/>
      <c r="BJ127" s="991"/>
      <c r="BK127" s="993" t="str">
        <f t="shared" si="80"/>
        <v>-</v>
      </c>
      <c r="BL127" s="820">
        <v>42980</v>
      </c>
      <c r="BM127" s="821">
        <v>5</v>
      </c>
      <c r="BN127" s="822">
        <f t="shared" ca="1" si="81"/>
        <v>154</v>
      </c>
      <c r="BO127" s="823">
        <f t="shared" si="82"/>
        <v>46.56666666666667</v>
      </c>
      <c r="BP127" s="824">
        <v>43001</v>
      </c>
      <c r="BQ127" s="821">
        <v>2</v>
      </c>
      <c r="BR127" s="822">
        <f t="shared" ca="1" si="83"/>
        <v>133</v>
      </c>
      <c r="BS127" s="823">
        <f t="shared" si="84"/>
        <v>21.566666666666666</v>
      </c>
      <c r="BT127" s="825" t="str">
        <f t="shared" ca="1" si="85"/>
        <v>-</v>
      </c>
      <c r="BU127" s="826"/>
      <c r="BV127" s="827"/>
      <c r="BW127" s="828" t="str">
        <f t="shared" si="86"/>
        <v>Ж-Е НЕ ВАКЦ.</v>
      </c>
      <c r="BX127" s="829" t="str">
        <f t="shared" si="87"/>
        <v>-</v>
      </c>
      <c r="BY127" s="830" t="str">
        <f t="shared" ca="1" si="88"/>
        <v>-</v>
      </c>
      <c r="BZ127" s="831">
        <v>42964</v>
      </c>
      <c r="CA127" s="832">
        <v>5</v>
      </c>
      <c r="CB127" s="833">
        <f t="shared" ca="1" si="89"/>
        <v>170</v>
      </c>
      <c r="CC127" s="834" t="str">
        <f t="shared" ca="1" si="90"/>
        <v>-</v>
      </c>
      <c r="CD127" s="835">
        <f t="shared" si="91"/>
        <v>42985</v>
      </c>
      <c r="CE127" s="831">
        <v>42985</v>
      </c>
      <c r="CF127" s="832">
        <v>5</v>
      </c>
      <c r="CG127" s="833">
        <f t="shared" ca="1" si="92"/>
        <v>149</v>
      </c>
      <c r="CH127" s="836">
        <f t="shared" si="93"/>
        <v>0</v>
      </c>
      <c r="CI127" s="837" t="str">
        <f t="shared" si="94"/>
        <v>УСПЕШНО</v>
      </c>
      <c r="CJ127" s="838" t="str">
        <f t="shared" ca="1" si="95"/>
        <v>-</v>
      </c>
      <c r="CK127" s="831"/>
      <c r="CL127" s="832"/>
      <c r="CM127" s="833" t="str">
        <f t="shared" si="96"/>
        <v>-</v>
      </c>
      <c r="CN127" s="834" t="str">
        <f t="shared" si="97"/>
        <v>-</v>
      </c>
      <c r="CO127" s="830" t="str">
        <f t="shared" ca="1" si="98"/>
        <v>-</v>
      </c>
      <c r="CP127" s="831">
        <v>42882</v>
      </c>
      <c r="CQ127" s="832">
        <v>2</v>
      </c>
      <c r="CR127" s="833">
        <f t="shared" si="99"/>
        <v>-140</v>
      </c>
      <c r="CS127" s="833">
        <f t="shared" ca="1" si="100"/>
        <v>252</v>
      </c>
      <c r="CT127" s="834" t="str">
        <f t="shared" ca="1" si="101"/>
        <v>-</v>
      </c>
      <c r="CU127" s="835">
        <f t="shared" si="102"/>
        <v>42903</v>
      </c>
      <c r="CV127" s="831">
        <v>42903</v>
      </c>
      <c r="CW127" s="832">
        <v>2</v>
      </c>
      <c r="CX127" s="833">
        <f t="shared" si="103"/>
        <v>0</v>
      </c>
      <c r="CY127" s="840" t="str">
        <f t="shared" si="104"/>
        <v>УСПЕШНО</v>
      </c>
      <c r="CZ127" s="833">
        <f t="shared" si="105"/>
        <v>-119</v>
      </c>
      <c r="DA127" s="838" t="str">
        <f t="shared" ca="1" si="106"/>
        <v>-</v>
      </c>
      <c r="DB127" s="841"/>
      <c r="DC127" s="832"/>
    </row>
    <row r="128" spans="1:107" s="842" customFormat="1" ht="15.6" customHeight="1" x14ac:dyDescent="0.25">
      <c r="A128" s="790">
        <v>126</v>
      </c>
      <c r="B128" s="791">
        <f t="shared" ca="1" si="54"/>
        <v>43134</v>
      </c>
      <c r="C128" s="792" t="s">
        <v>614</v>
      </c>
      <c r="D128" s="793" t="s">
        <v>3204</v>
      </c>
      <c r="E128" s="794" t="s">
        <v>279</v>
      </c>
      <c r="F128" s="852">
        <v>285</v>
      </c>
      <c r="G128" s="796">
        <f>SUMIFS(МОЛОКО!L8:L6958,МОЛОКО!F8:F6958,"285",МОЛОКО!L8:L6958,"&gt;0")</f>
        <v>22</v>
      </c>
      <c r="H128" s="797" t="s">
        <v>603</v>
      </c>
      <c r="I128" s="798">
        <v>39566</v>
      </c>
      <c r="J128" s="799">
        <f t="shared" ca="1" si="55"/>
        <v>9.7753424657534254</v>
      </c>
      <c r="K128" s="799">
        <f t="shared" ca="1" si="56"/>
        <v>118.93333333333334</v>
      </c>
      <c r="L128" s="800">
        <f t="shared" ca="1" si="57"/>
        <v>3568</v>
      </c>
      <c r="M128" s="801">
        <v>40508</v>
      </c>
      <c r="N128" s="802">
        <v>42884</v>
      </c>
      <c r="O128" s="803">
        <f t="shared" ca="1" si="58"/>
        <v>250</v>
      </c>
      <c r="P128" s="804">
        <v>6</v>
      </c>
      <c r="Q128" s="805" t="s">
        <v>1451</v>
      </c>
      <c r="R128" s="806" t="s">
        <v>2966</v>
      </c>
      <c r="S128" s="807">
        <v>42979</v>
      </c>
      <c r="T128" s="798">
        <v>43020</v>
      </c>
      <c r="U128" s="798" t="str">
        <f t="shared" si="59"/>
        <v>-</v>
      </c>
      <c r="V128" s="804" t="str">
        <f t="shared" ca="1" si="60"/>
        <v>-</v>
      </c>
      <c r="W128" s="808">
        <v>2</v>
      </c>
      <c r="X128" s="794">
        <f t="shared" si="108"/>
        <v>136</v>
      </c>
      <c r="Y128" s="794">
        <v>1</v>
      </c>
      <c r="Z128" s="809" t="str">
        <f t="shared" ca="1" si="62"/>
        <v>ПОДЛЕЖИТ ПЕРЕПРОВЕРКЕ</v>
      </c>
      <c r="AA128" s="810">
        <f t="shared" ca="1" si="63"/>
        <v>114</v>
      </c>
      <c r="AB128" s="804"/>
      <c r="AC128" s="811">
        <f t="shared" ca="1" si="64"/>
        <v>43092</v>
      </c>
      <c r="AD128" s="798"/>
      <c r="AE128" s="794" t="str">
        <f t="shared" ca="1" si="65"/>
        <v>-</v>
      </c>
      <c r="AF128" s="798" t="str">
        <f t="shared" si="66"/>
        <v>-</v>
      </c>
      <c r="AG128" s="812" t="str">
        <f t="shared" si="67"/>
        <v>---------</v>
      </c>
      <c r="AH128" s="807">
        <v>43052</v>
      </c>
      <c r="AI128" s="807">
        <f t="shared" si="68"/>
        <v>43210</v>
      </c>
      <c r="AJ128" s="807">
        <f t="shared" si="69"/>
        <v>43240</v>
      </c>
      <c r="AK128" s="813"/>
      <c r="AL128" s="807">
        <f t="shared" si="70"/>
        <v>43279</v>
      </c>
      <c r="AM128" s="807">
        <f t="shared" si="71"/>
        <v>43300</v>
      </c>
      <c r="AN128" s="814">
        <f t="shared" ca="1" si="72"/>
        <v>-166</v>
      </c>
      <c r="AO128" s="815">
        <v>1</v>
      </c>
      <c r="AP128" s="816" t="str">
        <f t="shared" ca="1" si="73"/>
        <v>-</v>
      </c>
      <c r="AQ128" s="817"/>
      <c r="AR128" s="794" t="str">
        <f t="shared" si="74"/>
        <v>-</v>
      </c>
      <c r="AS128" s="818"/>
      <c r="AT128" s="794" t="str">
        <f t="shared" si="75"/>
        <v>-</v>
      </c>
      <c r="AU128" s="819"/>
      <c r="AV128" s="820"/>
      <c r="AW128" s="821"/>
      <c r="AX128" s="821"/>
      <c r="AY128" s="969" t="str">
        <f t="shared" si="76"/>
        <v>-</v>
      </c>
      <c r="AZ128" s="966" t="str">
        <f t="shared" si="77"/>
        <v>-</v>
      </c>
      <c r="BA128" s="971" t="str">
        <f t="shared" si="78"/>
        <v>-</v>
      </c>
      <c r="BB128" s="975"/>
      <c r="BC128" s="821"/>
      <c r="BD128" s="821"/>
      <c r="BE128" s="963" t="str">
        <f t="shared" si="79"/>
        <v>-</v>
      </c>
      <c r="BF128" s="984"/>
      <c r="BG128" s="988"/>
      <c r="BH128" s="982"/>
      <c r="BI128" s="991"/>
      <c r="BJ128" s="991"/>
      <c r="BK128" s="993" t="str">
        <f t="shared" si="80"/>
        <v>-</v>
      </c>
      <c r="BL128" s="820">
        <v>42980</v>
      </c>
      <c r="BM128" s="821">
        <v>5</v>
      </c>
      <c r="BN128" s="822">
        <f t="shared" ca="1" si="81"/>
        <v>154</v>
      </c>
      <c r="BO128" s="823">
        <f t="shared" si="82"/>
        <v>113.8</v>
      </c>
      <c r="BP128" s="824"/>
      <c r="BQ128" s="821"/>
      <c r="BR128" s="822" t="str">
        <f t="shared" si="83"/>
        <v>-</v>
      </c>
      <c r="BS128" s="823" t="str">
        <f t="shared" si="84"/>
        <v>-</v>
      </c>
      <c r="BT128" s="825" t="str">
        <f t="shared" ca="1" si="85"/>
        <v>-</v>
      </c>
      <c r="BU128" s="826"/>
      <c r="BV128" s="827"/>
      <c r="BW128" s="828" t="str">
        <f t="shared" si="86"/>
        <v>Ж-Е НЕ ВАКЦ.</v>
      </c>
      <c r="BX128" s="829" t="str">
        <f t="shared" si="87"/>
        <v>-</v>
      </c>
      <c r="BY128" s="830" t="str">
        <f t="shared" ca="1" si="88"/>
        <v>-</v>
      </c>
      <c r="BZ128" s="831">
        <v>42916</v>
      </c>
      <c r="CA128" s="832">
        <v>5</v>
      </c>
      <c r="CB128" s="833">
        <f t="shared" ca="1" si="89"/>
        <v>218</v>
      </c>
      <c r="CC128" s="834" t="str">
        <f t="shared" ca="1" si="90"/>
        <v>-</v>
      </c>
      <c r="CD128" s="835">
        <f t="shared" si="91"/>
        <v>42937</v>
      </c>
      <c r="CE128" s="831">
        <v>42937</v>
      </c>
      <c r="CF128" s="832">
        <v>5</v>
      </c>
      <c r="CG128" s="833">
        <f t="shared" ca="1" si="92"/>
        <v>197</v>
      </c>
      <c r="CH128" s="836">
        <f t="shared" si="93"/>
        <v>0</v>
      </c>
      <c r="CI128" s="837" t="str">
        <f t="shared" si="94"/>
        <v>УСПЕШНО</v>
      </c>
      <c r="CJ128" s="838" t="str">
        <f t="shared" ca="1" si="95"/>
        <v>-</v>
      </c>
      <c r="CK128" s="831"/>
      <c r="CL128" s="832"/>
      <c r="CM128" s="833" t="str">
        <f t="shared" si="96"/>
        <v>-</v>
      </c>
      <c r="CN128" s="834" t="str">
        <f t="shared" si="97"/>
        <v>-</v>
      </c>
      <c r="CO128" s="830" t="str">
        <f t="shared" ca="1" si="98"/>
        <v>-</v>
      </c>
      <c r="CP128" s="839"/>
      <c r="CQ128" s="832"/>
      <c r="CR128" s="833" t="str">
        <f t="shared" si="99"/>
        <v>-</v>
      </c>
      <c r="CS128" s="833" t="str">
        <f t="shared" si="100"/>
        <v>-</v>
      </c>
      <c r="CT128" s="834" t="str">
        <f t="shared" si="101"/>
        <v>-</v>
      </c>
      <c r="CU128" s="835" t="str">
        <f t="shared" si="102"/>
        <v>-</v>
      </c>
      <c r="CV128" s="839"/>
      <c r="CW128" s="832"/>
      <c r="CX128" s="833" t="str">
        <f t="shared" si="103"/>
        <v>-</v>
      </c>
      <c r="CY128" s="840" t="str">
        <f t="shared" si="104"/>
        <v>-</v>
      </c>
      <c r="CZ128" s="833" t="str">
        <f t="shared" si="105"/>
        <v>-</v>
      </c>
      <c r="DA128" s="838" t="str">
        <f t="shared" ca="1" si="106"/>
        <v>-</v>
      </c>
      <c r="DB128" s="841"/>
      <c r="DC128" s="832"/>
    </row>
    <row r="129" spans="1:107" s="842" customFormat="1" ht="15.6" customHeight="1" x14ac:dyDescent="0.25">
      <c r="A129" s="790">
        <v>127</v>
      </c>
      <c r="B129" s="791">
        <f t="shared" ca="1" si="54"/>
        <v>43134</v>
      </c>
      <c r="C129" s="792" t="s">
        <v>614</v>
      </c>
      <c r="D129" s="793" t="s">
        <v>3204</v>
      </c>
      <c r="E129" s="794" t="s">
        <v>387</v>
      </c>
      <c r="F129" s="795" t="s">
        <v>514</v>
      </c>
      <c r="G129" s="796">
        <f>SUMIFS(МОЛОКО!L8:L6958,МОЛОКО!F8:F6958,"1325",МОЛОКО!L8:L6958,"&gt;0")</f>
        <v>25.799999999999997</v>
      </c>
      <c r="H129" s="797" t="s">
        <v>603</v>
      </c>
      <c r="I129" s="798">
        <v>40720</v>
      </c>
      <c r="J129" s="799">
        <f t="shared" ca="1" si="55"/>
        <v>6.6136986301369864</v>
      </c>
      <c r="K129" s="799">
        <f t="shared" ca="1" si="56"/>
        <v>80.466666666666669</v>
      </c>
      <c r="L129" s="800">
        <f t="shared" ca="1" si="57"/>
        <v>2414</v>
      </c>
      <c r="M129" s="801">
        <v>41735</v>
      </c>
      <c r="N129" s="802">
        <v>42875</v>
      </c>
      <c r="O129" s="803">
        <f t="shared" ca="1" si="58"/>
        <v>259</v>
      </c>
      <c r="P129" s="804">
        <v>3</v>
      </c>
      <c r="Q129" s="805" t="s">
        <v>1451</v>
      </c>
      <c r="R129" s="806" t="s">
        <v>2966</v>
      </c>
      <c r="S129" s="807">
        <v>42936</v>
      </c>
      <c r="T129" s="798">
        <v>42979</v>
      </c>
      <c r="U129" s="798" t="str">
        <f t="shared" si="59"/>
        <v>-</v>
      </c>
      <c r="V129" s="804" t="str">
        <f t="shared" ca="1" si="60"/>
        <v>-</v>
      </c>
      <c r="W129" s="808">
        <v>2</v>
      </c>
      <c r="X129" s="794">
        <f t="shared" si="108"/>
        <v>104</v>
      </c>
      <c r="Y129" s="794">
        <v>1</v>
      </c>
      <c r="Z129" s="809" t="str">
        <f t="shared" ca="1" si="62"/>
        <v>-----</v>
      </c>
      <c r="AA129" s="810" t="str">
        <f t="shared" ca="1" si="63"/>
        <v>-----</v>
      </c>
      <c r="AB129" s="804">
        <v>1</v>
      </c>
      <c r="AC129" s="811" t="str">
        <f t="shared" ca="1" si="64"/>
        <v>-----</v>
      </c>
      <c r="AD129" s="798">
        <v>43047</v>
      </c>
      <c r="AE129" s="794" t="str">
        <f t="shared" ca="1" si="65"/>
        <v>-</v>
      </c>
      <c r="AF129" s="798" t="str">
        <f t="shared" si="66"/>
        <v>-</v>
      </c>
      <c r="AG129" s="812" t="str">
        <f t="shared" si="67"/>
        <v>---------</v>
      </c>
      <c r="AH129" s="807">
        <v>43010</v>
      </c>
      <c r="AI129" s="807">
        <f t="shared" si="68"/>
        <v>43169</v>
      </c>
      <c r="AJ129" s="807">
        <f t="shared" si="69"/>
        <v>43199</v>
      </c>
      <c r="AK129" s="813"/>
      <c r="AL129" s="807">
        <f t="shared" si="70"/>
        <v>43238</v>
      </c>
      <c r="AM129" s="807">
        <f t="shared" si="71"/>
        <v>43259</v>
      </c>
      <c r="AN129" s="814">
        <f t="shared" ca="1" si="72"/>
        <v>-125</v>
      </c>
      <c r="AO129" s="815">
        <v>1</v>
      </c>
      <c r="AP129" s="816" t="str">
        <f t="shared" ca="1" si="73"/>
        <v>-</v>
      </c>
      <c r="AQ129" s="817"/>
      <c r="AR129" s="794" t="str">
        <f t="shared" si="74"/>
        <v>-</v>
      </c>
      <c r="AS129" s="818"/>
      <c r="AT129" s="794" t="str">
        <f t="shared" si="75"/>
        <v>-</v>
      </c>
      <c r="AU129" s="819"/>
      <c r="AV129" s="820"/>
      <c r="AW129" s="821"/>
      <c r="AX129" s="821"/>
      <c r="AY129" s="969" t="str">
        <f t="shared" si="76"/>
        <v>-</v>
      </c>
      <c r="AZ129" s="966" t="str">
        <f t="shared" si="77"/>
        <v>-</v>
      </c>
      <c r="BA129" s="971" t="str">
        <f t="shared" si="78"/>
        <v>-</v>
      </c>
      <c r="BB129" s="975"/>
      <c r="BC129" s="821"/>
      <c r="BD129" s="821"/>
      <c r="BE129" s="963" t="str">
        <f t="shared" si="79"/>
        <v>-</v>
      </c>
      <c r="BF129" s="984"/>
      <c r="BG129" s="988"/>
      <c r="BH129" s="982"/>
      <c r="BI129" s="991"/>
      <c r="BJ129" s="991"/>
      <c r="BK129" s="993" t="str">
        <f t="shared" si="80"/>
        <v>-</v>
      </c>
      <c r="BL129" s="820">
        <v>42980</v>
      </c>
      <c r="BM129" s="821">
        <v>5</v>
      </c>
      <c r="BN129" s="822">
        <f t="shared" ca="1" si="81"/>
        <v>154</v>
      </c>
      <c r="BO129" s="823">
        <f t="shared" si="82"/>
        <v>75.333333333333329</v>
      </c>
      <c r="BP129" s="824"/>
      <c r="BQ129" s="821"/>
      <c r="BR129" s="822" t="str">
        <f t="shared" si="83"/>
        <v>-</v>
      </c>
      <c r="BS129" s="823" t="str">
        <f t="shared" si="84"/>
        <v>-</v>
      </c>
      <c r="BT129" s="825" t="str">
        <f t="shared" ca="1" si="85"/>
        <v>-</v>
      </c>
      <c r="BU129" s="826"/>
      <c r="BV129" s="827"/>
      <c r="BW129" s="828" t="str">
        <f t="shared" si="86"/>
        <v>Ж-Е НЕ ВАКЦ.</v>
      </c>
      <c r="BX129" s="829" t="str">
        <f t="shared" si="87"/>
        <v>-</v>
      </c>
      <c r="BY129" s="830" t="str">
        <f t="shared" ca="1" si="88"/>
        <v>-</v>
      </c>
      <c r="BZ129" s="831">
        <v>42904</v>
      </c>
      <c r="CA129" s="832">
        <v>5</v>
      </c>
      <c r="CB129" s="833">
        <f t="shared" ca="1" si="89"/>
        <v>230</v>
      </c>
      <c r="CC129" s="834" t="str">
        <f t="shared" ca="1" si="90"/>
        <v>-</v>
      </c>
      <c r="CD129" s="835">
        <f t="shared" si="91"/>
        <v>42925</v>
      </c>
      <c r="CE129" s="831">
        <v>42925</v>
      </c>
      <c r="CF129" s="832">
        <v>5</v>
      </c>
      <c r="CG129" s="833">
        <f t="shared" ca="1" si="92"/>
        <v>209</v>
      </c>
      <c r="CH129" s="836">
        <f t="shared" si="93"/>
        <v>0</v>
      </c>
      <c r="CI129" s="837" t="str">
        <f t="shared" si="94"/>
        <v>УСПЕШНО</v>
      </c>
      <c r="CJ129" s="838" t="str">
        <f t="shared" ca="1" si="95"/>
        <v>-</v>
      </c>
      <c r="CK129" s="831"/>
      <c r="CL129" s="832"/>
      <c r="CM129" s="833" t="str">
        <f t="shared" si="96"/>
        <v>-</v>
      </c>
      <c r="CN129" s="834" t="str">
        <f t="shared" si="97"/>
        <v>-</v>
      </c>
      <c r="CO129" s="830" t="str">
        <f t="shared" ca="1" si="98"/>
        <v>-</v>
      </c>
      <c r="CP129" s="839"/>
      <c r="CQ129" s="832"/>
      <c r="CR129" s="833" t="str">
        <f t="shared" si="99"/>
        <v>-</v>
      </c>
      <c r="CS129" s="833" t="str">
        <f t="shared" si="100"/>
        <v>-</v>
      </c>
      <c r="CT129" s="834" t="str">
        <f t="shared" si="101"/>
        <v>-</v>
      </c>
      <c r="CU129" s="835" t="str">
        <f t="shared" si="102"/>
        <v>-</v>
      </c>
      <c r="CV129" s="839"/>
      <c r="CW129" s="832"/>
      <c r="CX129" s="833" t="str">
        <f t="shared" si="103"/>
        <v>-</v>
      </c>
      <c r="CY129" s="840" t="str">
        <f t="shared" si="104"/>
        <v>-</v>
      </c>
      <c r="CZ129" s="833" t="str">
        <f t="shared" si="105"/>
        <v>-</v>
      </c>
      <c r="DA129" s="838" t="str">
        <f t="shared" ca="1" si="106"/>
        <v>-</v>
      </c>
      <c r="DB129" s="841"/>
      <c r="DC129" s="832"/>
    </row>
    <row r="130" spans="1:107" s="842" customFormat="1" ht="15.6" customHeight="1" x14ac:dyDescent="0.25">
      <c r="A130" s="790">
        <v>128</v>
      </c>
      <c r="B130" s="791">
        <f t="shared" ca="1" si="54"/>
        <v>43134</v>
      </c>
      <c r="C130" s="792" t="s">
        <v>614</v>
      </c>
      <c r="D130" s="793" t="s">
        <v>3204</v>
      </c>
      <c r="E130" s="794" t="s">
        <v>146</v>
      </c>
      <c r="F130" s="998" t="s">
        <v>371</v>
      </c>
      <c r="G130" s="796">
        <f>SUMIFS(МОЛОКО!L8:L6958,МОЛОКО!F8:F6958,"1417",МОЛОКО!L8:L6958,"&gt;0")</f>
        <v>21</v>
      </c>
      <c r="H130" s="797" t="s">
        <v>603</v>
      </c>
      <c r="I130" s="798">
        <v>41273</v>
      </c>
      <c r="J130" s="799">
        <f t="shared" ca="1" si="55"/>
        <v>5.0986301369863014</v>
      </c>
      <c r="K130" s="799">
        <f t="shared" ca="1" si="56"/>
        <v>62.033333333333331</v>
      </c>
      <c r="L130" s="800">
        <f t="shared" ca="1" si="57"/>
        <v>1861</v>
      </c>
      <c r="M130" s="801">
        <v>41625</v>
      </c>
      <c r="N130" s="802">
        <v>42867</v>
      </c>
      <c r="O130" s="803">
        <f t="shared" ca="1" si="58"/>
        <v>267</v>
      </c>
      <c r="P130" s="804">
        <v>3</v>
      </c>
      <c r="Q130" s="805" t="s">
        <v>2366</v>
      </c>
      <c r="R130" s="806" t="s">
        <v>3020</v>
      </c>
      <c r="S130" s="807">
        <v>42929</v>
      </c>
      <c r="T130" s="798">
        <v>43013</v>
      </c>
      <c r="U130" s="798" t="str">
        <f t="shared" si="59"/>
        <v>-</v>
      </c>
      <c r="V130" s="804" t="str">
        <f t="shared" ca="1" si="60"/>
        <v>-</v>
      </c>
      <c r="W130" s="808">
        <v>3</v>
      </c>
      <c r="X130" s="794">
        <f t="shared" si="108"/>
        <v>146</v>
      </c>
      <c r="Y130" s="794">
        <v>1</v>
      </c>
      <c r="Z130" s="809" t="str">
        <f t="shared" ca="1" si="62"/>
        <v>ПОДЛЕЖИТ ПЕРЕПРОВЕРКЕ</v>
      </c>
      <c r="AA130" s="810">
        <f t="shared" ca="1" si="63"/>
        <v>121</v>
      </c>
      <c r="AB130" s="804"/>
      <c r="AC130" s="811">
        <f t="shared" ca="1" si="64"/>
        <v>43085</v>
      </c>
      <c r="AD130" s="798"/>
      <c r="AE130" s="794" t="str">
        <f t="shared" ca="1" si="65"/>
        <v>-</v>
      </c>
      <c r="AF130" s="798" t="str">
        <f t="shared" si="66"/>
        <v>-</v>
      </c>
      <c r="AG130" s="812" t="str">
        <f t="shared" si="67"/>
        <v>---------</v>
      </c>
      <c r="AH130" s="807">
        <v>43045</v>
      </c>
      <c r="AI130" s="807">
        <f t="shared" si="68"/>
        <v>43203</v>
      </c>
      <c r="AJ130" s="807">
        <f t="shared" si="69"/>
        <v>43233</v>
      </c>
      <c r="AK130" s="813"/>
      <c r="AL130" s="807">
        <f t="shared" si="70"/>
        <v>43272</v>
      </c>
      <c r="AM130" s="807">
        <f t="shared" si="71"/>
        <v>43293</v>
      </c>
      <c r="AN130" s="814">
        <f t="shared" ca="1" si="72"/>
        <v>-159</v>
      </c>
      <c r="AO130" s="815">
        <v>1</v>
      </c>
      <c r="AP130" s="816" t="str">
        <f t="shared" ca="1" si="73"/>
        <v>-</v>
      </c>
      <c r="AQ130" s="817"/>
      <c r="AR130" s="794" t="str">
        <f t="shared" si="74"/>
        <v>-</v>
      </c>
      <c r="AS130" s="818"/>
      <c r="AT130" s="794" t="str">
        <f t="shared" si="75"/>
        <v>-</v>
      </c>
      <c r="AU130" s="300" t="s">
        <v>2696</v>
      </c>
      <c r="AV130" s="820"/>
      <c r="AW130" s="821"/>
      <c r="AX130" s="821"/>
      <c r="AY130" s="969" t="str">
        <f t="shared" si="76"/>
        <v>-</v>
      </c>
      <c r="AZ130" s="966" t="str">
        <f t="shared" si="77"/>
        <v>-</v>
      </c>
      <c r="BA130" s="971" t="str">
        <f t="shared" si="78"/>
        <v>-</v>
      </c>
      <c r="BB130" s="975"/>
      <c r="BC130" s="821"/>
      <c r="BD130" s="821"/>
      <c r="BE130" s="963" t="str">
        <f t="shared" si="79"/>
        <v>-</v>
      </c>
      <c r="BF130" s="984"/>
      <c r="BG130" s="988"/>
      <c r="BH130" s="982"/>
      <c r="BI130" s="991"/>
      <c r="BJ130" s="991"/>
      <c r="BK130" s="993" t="str">
        <f t="shared" si="80"/>
        <v>-</v>
      </c>
      <c r="BL130" s="820">
        <v>42980</v>
      </c>
      <c r="BM130" s="821">
        <v>5</v>
      </c>
      <c r="BN130" s="822">
        <f t="shared" ca="1" si="81"/>
        <v>154</v>
      </c>
      <c r="BO130" s="823">
        <f t="shared" si="82"/>
        <v>56.9</v>
      </c>
      <c r="BP130" s="824"/>
      <c r="BQ130" s="821"/>
      <c r="BR130" s="822" t="str">
        <f t="shared" si="83"/>
        <v>-</v>
      </c>
      <c r="BS130" s="823" t="str">
        <f t="shared" si="84"/>
        <v>-</v>
      </c>
      <c r="BT130" s="825" t="str">
        <f t="shared" ca="1" si="85"/>
        <v>-</v>
      </c>
      <c r="BU130" s="826"/>
      <c r="BV130" s="827"/>
      <c r="BW130" s="828" t="str">
        <f t="shared" si="86"/>
        <v>Ж-Е НЕ ВАКЦ.</v>
      </c>
      <c r="BX130" s="829" t="str">
        <f t="shared" si="87"/>
        <v>-</v>
      </c>
      <c r="BY130" s="830" t="str">
        <f t="shared" ca="1" si="88"/>
        <v>-</v>
      </c>
      <c r="BZ130" s="831">
        <v>42888</v>
      </c>
      <c r="CA130" s="832">
        <v>5</v>
      </c>
      <c r="CB130" s="833">
        <f t="shared" ca="1" si="89"/>
        <v>246</v>
      </c>
      <c r="CC130" s="834" t="str">
        <f t="shared" ca="1" si="90"/>
        <v>-</v>
      </c>
      <c r="CD130" s="835">
        <f t="shared" si="91"/>
        <v>42909</v>
      </c>
      <c r="CE130" s="831">
        <v>42909</v>
      </c>
      <c r="CF130" s="832">
        <v>5</v>
      </c>
      <c r="CG130" s="833">
        <f t="shared" ca="1" si="92"/>
        <v>225</v>
      </c>
      <c r="CH130" s="836">
        <f t="shared" si="93"/>
        <v>0</v>
      </c>
      <c r="CI130" s="837" t="str">
        <f t="shared" si="94"/>
        <v>УСПЕШНО</v>
      </c>
      <c r="CJ130" s="838" t="str">
        <f t="shared" ca="1" si="95"/>
        <v>-</v>
      </c>
      <c r="CK130" s="831"/>
      <c r="CL130" s="832"/>
      <c r="CM130" s="833" t="str">
        <f t="shared" si="96"/>
        <v>-</v>
      </c>
      <c r="CN130" s="834" t="str">
        <f t="shared" si="97"/>
        <v>-</v>
      </c>
      <c r="CO130" s="830" t="str">
        <f t="shared" ca="1" si="98"/>
        <v>-</v>
      </c>
      <c r="CP130" s="839"/>
      <c r="CQ130" s="832"/>
      <c r="CR130" s="833" t="str">
        <f t="shared" si="99"/>
        <v>-</v>
      </c>
      <c r="CS130" s="833" t="str">
        <f t="shared" si="100"/>
        <v>-</v>
      </c>
      <c r="CT130" s="834" t="str">
        <f t="shared" si="101"/>
        <v>-</v>
      </c>
      <c r="CU130" s="835" t="str">
        <f t="shared" si="102"/>
        <v>-</v>
      </c>
      <c r="CV130" s="839"/>
      <c r="CW130" s="832"/>
      <c r="CX130" s="833" t="str">
        <f t="shared" si="103"/>
        <v>-</v>
      </c>
      <c r="CY130" s="840" t="str">
        <f t="shared" si="104"/>
        <v>-</v>
      </c>
      <c r="CZ130" s="833" t="str">
        <f t="shared" si="105"/>
        <v>-</v>
      </c>
      <c r="DA130" s="838" t="str">
        <f t="shared" ca="1" si="106"/>
        <v>-</v>
      </c>
      <c r="DB130" s="841"/>
      <c r="DC130" s="832"/>
    </row>
    <row r="131" spans="1:107" s="842" customFormat="1" ht="15.6" customHeight="1" x14ac:dyDescent="0.25">
      <c r="A131" s="790">
        <v>129</v>
      </c>
      <c r="B131" s="791">
        <f t="shared" ref="B131:B194" ca="1" si="109">TODAY()</f>
        <v>43134</v>
      </c>
      <c r="C131" s="792" t="s">
        <v>614</v>
      </c>
      <c r="D131" s="793" t="s">
        <v>3204</v>
      </c>
      <c r="E131" s="794" t="s">
        <v>110</v>
      </c>
      <c r="F131" s="795" t="s">
        <v>111</v>
      </c>
      <c r="G131" s="796">
        <f>SUMIFS(МОЛОКО!L8:L6958,МОЛОКО!F8:F6958,"1447",МОЛОКО!L8:L6958,"&gt;0")</f>
        <v>28.8</v>
      </c>
      <c r="H131" s="797" t="s">
        <v>603</v>
      </c>
      <c r="I131" s="798">
        <v>40933</v>
      </c>
      <c r="J131" s="799">
        <f t="shared" ref="J131:J194" ca="1" si="110">(B131-I131)/365</f>
        <v>6.0301369863013701</v>
      </c>
      <c r="K131" s="799">
        <f t="shared" ref="K131:K194" ca="1" si="111">(B131-I131)/30</f>
        <v>73.36666666666666</v>
      </c>
      <c r="L131" s="800">
        <f t="shared" ref="L131:L194" ca="1" si="112">B131-I131</f>
        <v>2201</v>
      </c>
      <c r="M131" s="801">
        <v>41684</v>
      </c>
      <c r="N131" s="802">
        <v>42916</v>
      </c>
      <c r="O131" s="803">
        <f t="shared" ref="O131:O194" ca="1" si="113">IF(AND(B131&gt;0,N131&gt;0),B131-N131,"-")</f>
        <v>218</v>
      </c>
      <c r="P131" s="804">
        <v>4</v>
      </c>
      <c r="Q131" s="805" t="s">
        <v>2366</v>
      </c>
      <c r="R131" s="806" t="s">
        <v>3020</v>
      </c>
      <c r="S131" s="807">
        <v>42978</v>
      </c>
      <c r="T131" s="798">
        <v>42978</v>
      </c>
      <c r="U131" s="798" t="str">
        <f t="shared" ref="U131:U194" si="114">IF(AND(Y131&gt;1,T131&gt;0),T131+18,"-")</f>
        <v>-</v>
      </c>
      <c r="V131" s="804" t="str">
        <f t="shared" ref="V131:V194" ca="1" si="115">IF(AND(U131&gt;0,B131&gt;0,Y131&gt;1),B131-U131,"-")</f>
        <v>-</v>
      </c>
      <c r="W131" s="808">
        <v>1</v>
      </c>
      <c r="X131" s="794">
        <f t="shared" si="108"/>
        <v>62</v>
      </c>
      <c r="Y131" s="794">
        <v>0</v>
      </c>
      <c r="Z131" s="809" t="str">
        <f t="shared" ref="Z131:Z194" ca="1" si="116">IF(AND(Y131=1,AA131&gt;71,OR(ISBLANK(AB131),AB131=2)),"ПОДЛЕЖИТ ПЕРЕПРОВЕРКЕ","-----")</f>
        <v>-----</v>
      </c>
      <c r="AA131" s="810">
        <f t="shared" ref="AA131:AA194" ca="1" si="117">IF(AND(O131&gt;-1,W131&gt;0,Y131=1,AB131=1),"-----",B131-T131)</f>
        <v>156</v>
      </c>
      <c r="AB131" s="804">
        <v>0</v>
      </c>
      <c r="AC131" s="811" t="str">
        <f t="shared" ref="AC131:AC194" ca="1" si="118">IF(AND(AB131&lt;1,Z131="ПОДЛЕЖИТ ПЕРЕПРОВЕРКЕ",Y131=1),T131+72,"-----")</f>
        <v>-----</v>
      </c>
      <c r="AD131" s="798">
        <v>43047</v>
      </c>
      <c r="AE131" s="794" t="str">
        <f t="shared" ref="AE131:AE194" ca="1" si="119">IF(AND(O131&gt;120,Y131=0,N131&gt;0),"яловая","-")</f>
        <v>яловая</v>
      </c>
      <c r="AF131" s="798" t="str">
        <f t="shared" ref="AF131:AF194" si="120">IF(AND(T131&gt;0,OR(Y131=3,Y131=2)),T131+35,"-")</f>
        <v>-</v>
      </c>
      <c r="AG131" s="812" t="str">
        <f t="shared" ref="AG131:AG194" si="121">IF(AND(T131&gt;0,W131&gt;0,Q131&gt;0,OR(Y131=3,Y131=2)),B131-AF131,"---------")</f>
        <v>---------</v>
      </c>
      <c r="AH131" s="807">
        <v>43010</v>
      </c>
      <c r="AI131" s="807" t="str">
        <f t="shared" ref="AI131:AI194" si="122">IF(AND($T131&gt;0,$N131&gt;0,$Y131=1),$T131+280-90,"-")</f>
        <v>-</v>
      </c>
      <c r="AJ131" s="807" t="str">
        <f t="shared" ref="AJ131:AJ194" si="123">IF(AND(T131&gt;0,Y131=1,N131&gt;0),T131+280-60,"-")</f>
        <v>-</v>
      </c>
      <c r="AK131" s="813"/>
      <c r="AL131" s="807" t="str">
        <f t="shared" ref="AL131:AL194" si="124">IF(AND($T131&gt;0,$Y131=1),$T131+280-21,"-")</f>
        <v>-</v>
      </c>
      <c r="AM131" s="807" t="str">
        <f t="shared" ref="AM131:AM194" si="125">IF(AND(T131&gt;0,Y131=1),T131+280,"-")</f>
        <v>-</v>
      </c>
      <c r="AN131" s="814" t="str">
        <f t="shared" ref="AN131:AN194" ca="1" si="126">IF(AND(B131&gt;0,AM131&gt;0,AH131&gt;0,Y131=1),B131-AM131,"-")</f>
        <v>-</v>
      </c>
      <c r="AO131" s="815">
        <v>1</v>
      </c>
      <c r="AP131" s="816" t="str">
        <f t="shared" ref="AP131:AP194" ca="1" si="127">IF(AND(AE131="яловая",O131&gt;300),"БРАК","-")</f>
        <v>-</v>
      </c>
      <c r="AQ131" s="817"/>
      <c r="AR131" s="794" t="str">
        <f t="shared" ref="AR131:AR194" si="128">IF(AND(Y131=1,P131=0),"НЕТЕЛЬ","-")</f>
        <v>-</v>
      </c>
      <c r="AS131" s="818"/>
      <c r="AT131" s="794" t="str">
        <f t="shared" ref="AT131:AT194" si="129">IF(AND(N131&gt;0,T131&gt;0,W131&gt;0,Y131=1,AH131&gt;0,AK131&gt;0),"DRY COW","-")</f>
        <v>-</v>
      </c>
      <c r="AU131" s="819"/>
      <c r="AV131" s="820"/>
      <c r="AW131" s="821"/>
      <c r="AX131" s="821"/>
      <c r="AY131" s="969" t="str">
        <f t="shared" ref="AY131:AY194" si="130">IF(AND(AV131&gt;0,AW131&gt;0,AX131&gt;0),B131-AV131,"-")</f>
        <v>-</v>
      </c>
      <c r="AZ131" s="966" t="str">
        <f t="shared" ref="AZ131:AZ194" si="131">IF(AND(AV131&gt;0,AW131&gt;0,AX131&gt;0,AY131&gt;10,BB131=0,BC131=0,BD131=0),"РЕВАКЦИНАЦИЯ","-")</f>
        <v>-</v>
      </c>
      <c r="BA131" s="971" t="str">
        <f t="shared" ref="BA131:BA194" si="132">IF(AND(AV131&gt;0,AW131&gt;0,AX131&gt;0),AV131+10,"-")</f>
        <v>-</v>
      </c>
      <c r="BB131" s="975"/>
      <c r="BC131" s="821"/>
      <c r="BD131" s="821"/>
      <c r="BE131" s="963" t="str">
        <f t="shared" ref="BE131:BE194" si="133">IF(AND(BB131&gt;0,BC131&gt;0,BD131&gt;0),B131-BB131,"-")</f>
        <v>-</v>
      </c>
      <c r="BF131" s="984"/>
      <c r="BG131" s="988"/>
      <c r="BH131" s="982"/>
      <c r="BI131" s="991"/>
      <c r="BJ131" s="991"/>
      <c r="BK131" s="993" t="str">
        <f t="shared" ref="BK131:BK194" si="134">IF(AND(BF131&gt;0,BG131&gt;0,BH131&gt;0,BI131&gt;0,BJ131&gt;0),B131-BF131,"-")</f>
        <v>-</v>
      </c>
      <c r="BL131" s="820">
        <v>42980</v>
      </c>
      <c r="BM131" s="821">
        <v>5</v>
      </c>
      <c r="BN131" s="822">
        <f t="shared" ref="BN131:BN194" ca="1" si="135">IF(AND(BL131&gt;0,BM131&gt;0),B131-BL131,"-")</f>
        <v>154</v>
      </c>
      <c r="BO131" s="823">
        <f t="shared" ref="BO131:BO194" si="136">IF(AND(BL131&gt;0,BM131&gt;0),(BL131-I131)/30,"-")</f>
        <v>68.233333333333334</v>
      </c>
      <c r="BP131" s="824"/>
      <c r="BQ131" s="821"/>
      <c r="BR131" s="822" t="str">
        <f t="shared" ref="BR131:BR194" si="137">IF(AND(BP131&gt;0,BQ131&gt;0),B131-BP131,"-")</f>
        <v>-</v>
      </c>
      <c r="BS131" s="823" t="str">
        <f t="shared" ref="BS131:BS194" si="138">IF(AND(BP131&gt;0,BQ131&gt;0),(BP131-M131)/30,"-")</f>
        <v>-</v>
      </c>
      <c r="BT131" s="825" t="str">
        <f t="shared" ref="BT131:BT194" ca="1" si="139">IF(AND(OR(E131="тёлочка",E131="бычок"),L131&gt;0,BV131&lt;2,L131&lt;60),"ПОДЛЕЖИТ ВАКЦИНАЦИИ","-")</f>
        <v>-</v>
      </c>
      <c r="BU131" s="826"/>
      <c r="BV131" s="827"/>
      <c r="BW131" s="828" t="str">
        <f t="shared" ref="BW131:BW194" si="140">IF(AND(BU131&gt;0,BV131=2),BU131-I131,"Ж-Е НЕ ВАКЦ.")</f>
        <v>Ж-Е НЕ ВАКЦ.</v>
      </c>
      <c r="BX131" s="829" t="str">
        <f t="shared" ref="BX131:BX194" si="141">IF(AND(BU131&gt;0,BV131=2),B131-BU131,"-")</f>
        <v>-</v>
      </c>
      <c r="BY131" s="830" t="str">
        <f t="shared" ref="BY131:BY194" ca="1" si="142">IF(AND(L131&gt;42,CA131&lt;5),"ПОДЛЕЖИТ ВАКЦИНАЦИИ","-")</f>
        <v>-</v>
      </c>
      <c r="BZ131" s="831">
        <v>42964</v>
      </c>
      <c r="CA131" s="832">
        <v>5</v>
      </c>
      <c r="CB131" s="833">
        <f t="shared" ref="CB131:CB194" ca="1" si="143">IF(AND(BZ131&gt;0,CA131=5),B131-BZ131,"-")</f>
        <v>170</v>
      </c>
      <c r="CC131" s="834" t="str">
        <f t="shared" ref="CC131:CC194" ca="1" si="144">IF(AND(CA131=5,CB131&gt;20,CF131&lt;5),"ТРЕБУЕТСЯ БУСТЕРНАЯ ДОЗА","-")</f>
        <v>-</v>
      </c>
      <c r="CD131" s="835">
        <f t="shared" ref="CD131:CD194" si="145">IF(AND(BZ131&gt;0,CA131=5),BZ131+21,"-")</f>
        <v>42985</v>
      </c>
      <c r="CE131" s="831">
        <v>42985</v>
      </c>
      <c r="CF131" s="832">
        <v>5</v>
      </c>
      <c r="CG131" s="833">
        <f t="shared" ref="CG131:CG194" ca="1" si="146">IF(AND(CE131&gt;0,CF131=5),B131-CE131,"-")</f>
        <v>149</v>
      </c>
      <c r="CH131" s="836">
        <f t="shared" ref="CH131:CH194" si="147">IF(AND(CD131&gt;0,CE131&gt;0,CF131=5),CD131-CE131,"-")</f>
        <v>0</v>
      </c>
      <c r="CI131" s="837" t="str">
        <f t="shared" ref="CI131:CI194" si="148">IF(AND(CF131=5,CH131=0),"УСПЕШНО","-")</f>
        <v>УСПЕШНО</v>
      </c>
      <c r="CJ131" s="838" t="str">
        <f t="shared" ref="CJ131:CJ194" ca="1" si="149">IF(AND(BZ131&gt;0,CA131=5,CE131&gt;0,CF131=5,CG131&gt;240,CL131&lt;5),"НЕОБХОДИМА РЕВАКЦИНАЦИЯ","-")</f>
        <v>-</v>
      </c>
      <c r="CK131" s="831"/>
      <c r="CL131" s="832"/>
      <c r="CM131" s="833" t="str">
        <f t="shared" ref="CM131:CM194" si="150">IF(AND(CK131&gt;0,CL131=5),N131-CK131,"-")</f>
        <v>-</v>
      </c>
      <c r="CN131" s="834" t="str">
        <f t="shared" ref="CN131:CN194" si="151">IF(AND(CK131&gt;0,CL131=5,CM131&gt;240),"НЕОБХОДИМА РЕВАКЦИНАЦИЯ","-")</f>
        <v>-</v>
      </c>
      <c r="CO131" s="830" t="str">
        <f t="shared" ref="CO131:CO194" ca="1" si="152">IF(AND(Y131=1,AN131&gt;-70,CQ131&lt;2),"ТРЕБУЕТСЯ ВАКЦИНАЦИЯ","-")</f>
        <v>-</v>
      </c>
      <c r="CP131" s="839"/>
      <c r="CQ131" s="832"/>
      <c r="CR131" s="833" t="str">
        <f t="shared" ref="CR131:CR194" si="153">IF(AND(CP131&gt;0,CQ131=2),CP131-T131,"-")</f>
        <v>-</v>
      </c>
      <c r="CS131" s="833" t="str">
        <f t="shared" ref="CS131:CS194" si="154">IF(AND(CP131&gt;0,CQ131=2),B131-CP131,"-")</f>
        <v>-</v>
      </c>
      <c r="CT131" s="834" t="str">
        <f t="shared" ref="CT131:CT194" si="155">IF(AND(CQ131=2,CS131&gt;20,CW131&lt;2),"ТРЕБУЕТСЯ БУСТЕРНАЯ ДОЗА","-")</f>
        <v>-</v>
      </c>
      <c r="CU131" s="835" t="str">
        <f t="shared" ref="CU131:CU194" si="156">IF(AND(CP131&gt;0,CQ131=2),CP131+21,"-")</f>
        <v>-</v>
      </c>
      <c r="CV131" s="839"/>
      <c r="CW131" s="832"/>
      <c r="CX131" s="833" t="str">
        <f t="shared" ref="CX131:CX194" si="157">IF(AND(CU131&gt;0,CV131&gt;0,CW131=2),CV131-CU131,"-")</f>
        <v>-</v>
      </c>
      <c r="CY131" s="840" t="str">
        <f t="shared" ref="CY131:CY194" si="158">IF(AND(CW131=2,CX131=0),"УСПЕШНО","-")</f>
        <v>-</v>
      </c>
      <c r="CZ131" s="833" t="str">
        <f t="shared" ref="CZ131:CZ194" si="159">IF(AND(CV131&gt;0,CW131=2),CV131-T131,"-")</f>
        <v>-</v>
      </c>
      <c r="DA131" s="838" t="str">
        <f t="shared" ref="DA131:DA194" ca="1" si="160">IF(AND(CP131&gt;0,CQ131=2,CV131&gt;0,CW131=2,Y131=1,AN131&gt;-50,DC131&lt;2),"ТРЕБУЕТСЯ РЕВАКЦИНАЦИЯ","-")</f>
        <v>-</v>
      </c>
      <c r="DB131" s="841"/>
      <c r="DC131" s="832"/>
    </row>
    <row r="132" spans="1:107" s="842" customFormat="1" ht="15.6" customHeight="1" x14ac:dyDescent="0.25">
      <c r="A132" s="790">
        <v>130</v>
      </c>
      <c r="B132" s="791">
        <f t="shared" ca="1" si="109"/>
        <v>43134</v>
      </c>
      <c r="C132" s="792" t="s">
        <v>614</v>
      </c>
      <c r="D132" s="793" t="s">
        <v>3204</v>
      </c>
      <c r="E132" s="794" t="s">
        <v>876</v>
      </c>
      <c r="F132" s="795" t="s">
        <v>877</v>
      </c>
      <c r="G132" s="796">
        <f>SUMIFS(МОЛОКО!L8:L6958,МОЛОКО!F8:F6958,"1557",МОЛОКО!L8:L6958,"&gt;0")</f>
        <v>27.2</v>
      </c>
      <c r="H132" s="797" t="s">
        <v>603</v>
      </c>
      <c r="I132" s="798">
        <v>41043</v>
      </c>
      <c r="J132" s="799">
        <f t="shared" ca="1" si="110"/>
        <v>5.7287671232876711</v>
      </c>
      <c r="K132" s="799">
        <f t="shared" ca="1" si="111"/>
        <v>69.7</v>
      </c>
      <c r="L132" s="800">
        <f t="shared" ca="1" si="112"/>
        <v>2091</v>
      </c>
      <c r="M132" s="801">
        <v>41847</v>
      </c>
      <c r="N132" s="802">
        <v>42947</v>
      </c>
      <c r="O132" s="803">
        <f t="shared" ca="1" si="113"/>
        <v>187</v>
      </c>
      <c r="P132" s="804">
        <v>4</v>
      </c>
      <c r="Q132" s="805" t="s">
        <v>2366</v>
      </c>
      <c r="R132" s="806" t="s">
        <v>3020</v>
      </c>
      <c r="S132" s="807">
        <v>43013</v>
      </c>
      <c r="T132" s="798">
        <v>43013</v>
      </c>
      <c r="U132" s="798" t="str">
        <f t="shared" si="114"/>
        <v>-</v>
      </c>
      <c r="V132" s="804" t="str">
        <f t="shared" ca="1" si="115"/>
        <v>-</v>
      </c>
      <c r="W132" s="808">
        <v>1</v>
      </c>
      <c r="X132" s="794">
        <f t="shared" si="108"/>
        <v>66</v>
      </c>
      <c r="Y132" s="794">
        <v>1</v>
      </c>
      <c r="Z132" s="809" t="str">
        <f t="shared" ca="1" si="116"/>
        <v>ПОДЛЕЖИТ ПЕРЕПРОВЕРКЕ</v>
      </c>
      <c r="AA132" s="810">
        <f t="shared" ca="1" si="117"/>
        <v>121</v>
      </c>
      <c r="AB132" s="804"/>
      <c r="AC132" s="811">
        <f t="shared" ca="1" si="118"/>
        <v>43085</v>
      </c>
      <c r="AD132" s="798"/>
      <c r="AE132" s="794" t="str">
        <f t="shared" ca="1" si="119"/>
        <v>-</v>
      </c>
      <c r="AF132" s="798" t="str">
        <f t="shared" si="120"/>
        <v>-</v>
      </c>
      <c r="AG132" s="812" t="str">
        <f t="shared" si="121"/>
        <v>---------</v>
      </c>
      <c r="AH132" s="807">
        <v>43045</v>
      </c>
      <c r="AI132" s="807">
        <f t="shared" si="122"/>
        <v>43203</v>
      </c>
      <c r="AJ132" s="807">
        <f t="shared" si="123"/>
        <v>43233</v>
      </c>
      <c r="AK132" s="813"/>
      <c r="AL132" s="807">
        <f t="shared" si="124"/>
        <v>43272</v>
      </c>
      <c r="AM132" s="807">
        <f t="shared" si="125"/>
        <v>43293</v>
      </c>
      <c r="AN132" s="814">
        <f t="shared" ca="1" si="126"/>
        <v>-159</v>
      </c>
      <c r="AO132" s="815">
        <v>1</v>
      </c>
      <c r="AP132" s="816" t="str">
        <f t="shared" ca="1" si="127"/>
        <v>-</v>
      </c>
      <c r="AQ132" s="817"/>
      <c r="AR132" s="794" t="str">
        <f t="shared" si="128"/>
        <v>-</v>
      </c>
      <c r="AS132" s="818"/>
      <c r="AT132" s="794" t="str">
        <f t="shared" si="129"/>
        <v>-</v>
      </c>
      <c r="AU132" s="819"/>
      <c r="AV132" s="820"/>
      <c r="AW132" s="821"/>
      <c r="AX132" s="821"/>
      <c r="AY132" s="969" t="str">
        <f t="shared" si="130"/>
        <v>-</v>
      </c>
      <c r="AZ132" s="966" t="str">
        <f t="shared" si="131"/>
        <v>-</v>
      </c>
      <c r="BA132" s="971" t="str">
        <f t="shared" si="132"/>
        <v>-</v>
      </c>
      <c r="BB132" s="975"/>
      <c r="BC132" s="821"/>
      <c r="BD132" s="821"/>
      <c r="BE132" s="963" t="str">
        <f t="shared" si="133"/>
        <v>-</v>
      </c>
      <c r="BF132" s="984"/>
      <c r="BG132" s="988"/>
      <c r="BH132" s="982"/>
      <c r="BI132" s="991"/>
      <c r="BJ132" s="991"/>
      <c r="BK132" s="993" t="str">
        <f t="shared" si="134"/>
        <v>-</v>
      </c>
      <c r="BL132" s="820">
        <v>42980</v>
      </c>
      <c r="BM132" s="821">
        <v>5</v>
      </c>
      <c r="BN132" s="822">
        <f t="shared" ca="1" si="135"/>
        <v>154</v>
      </c>
      <c r="BO132" s="823">
        <f t="shared" si="136"/>
        <v>64.566666666666663</v>
      </c>
      <c r="BP132" s="824"/>
      <c r="BQ132" s="821"/>
      <c r="BR132" s="822" t="str">
        <f t="shared" si="137"/>
        <v>-</v>
      </c>
      <c r="BS132" s="823" t="str">
        <f t="shared" si="138"/>
        <v>-</v>
      </c>
      <c r="BT132" s="825" t="str">
        <f t="shared" ca="1" si="139"/>
        <v>-</v>
      </c>
      <c r="BU132" s="826"/>
      <c r="BV132" s="827"/>
      <c r="BW132" s="828" t="str">
        <f t="shared" si="140"/>
        <v>Ж-Е НЕ ВАКЦ.</v>
      </c>
      <c r="BX132" s="829" t="str">
        <f t="shared" si="141"/>
        <v>-</v>
      </c>
      <c r="BY132" s="830" t="str">
        <f t="shared" ca="1" si="142"/>
        <v>-</v>
      </c>
      <c r="BZ132" s="831">
        <v>42988</v>
      </c>
      <c r="CA132" s="832">
        <v>5</v>
      </c>
      <c r="CB132" s="833">
        <f t="shared" ca="1" si="143"/>
        <v>146</v>
      </c>
      <c r="CC132" s="834" t="str">
        <f t="shared" ca="1" si="144"/>
        <v>-</v>
      </c>
      <c r="CD132" s="835">
        <f t="shared" si="145"/>
        <v>43009</v>
      </c>
      <c r="CE132" s="831">
        <v>43009</v>
      </c>
      <c r="CF132" s="832">
        <v>5</v>
      </c>
      <c r="CG132" s="833">
        <f t="shared" ca="1" si="146"/>
        <v>125</v>
      </c>
      <c r="CH132" s="836">
        <f t="shared" si="147"/>
        <v>0</v>
      </c>
      <c r="CI132" s="837" t="str">
        <f t="shared" si="148"/>
        <v>УСПЕШНО</v>
      </c>
      <c r="CJ132" s="838" t="str">
        <f t="shared" ca="1" si="149"/>
        <v>-</v>
      </c>
      <c r="CK132" s="831"/>
      <c r="CL132" s="832"/>
      <c r="CM132" s="833" t="str">
        <f t="shared" si="150"/>
        <v>-</v>
      </c>
      <c r="CN132" s="834" t="str">
        <f t="shared" si="151"/>
        <v>-</v>
      </c>
      <c r="CO132" s="830" t="str">
        <f t="shared" ca="1" si="152"/>
        <v>-</v>
      </c>
      <c r="CP132" s="831">
        <v>42882</v>
      </c>
      <c r="CQ132" s="832">
        <v>2</v>
      </c>
      <c r="CR132" s="833">
        <f t="shared" si="153"/>
        <v>-131</v>
      </c>
      <c r="CS132" s="833">
        <f t="shared" ca="1" si="154"/>
        <v>252</v>
      </c>
      <c r="CT132" s="834" t="str">
        <f t="shared" ca="1" si="155"/>
        <v>-</v>
      </c>
      <c r="CU132" s="835">
        <f t="shared" si="156"/>
        <v>42903</v>
      </c>
      <c r="CV132" s="831">
        <v>42903</v>
      </c>
      <c r="CW132" s="832">
        <v>2</v>
      </c>
      <c r="CX132" s="833">
        <f t="shared" si="157"/>
        <v>0</v>
      </c>
      <c r="CY132" s="840" t="str">
        <f t="shared" si="158"/>
        <v>УСПЕШНО</v>
      </c>
      <c r="CZ132" s="833">
        <f t="shared" si="159"/>
        <v>-110</v>
      </c>
      <c r="DA132" s="838" t="str">
        <f t="shared" ca="1" si="160"/>
        <v>-</v>
      </c>
      <c r="DB132" s="841"/>
      <c r="DC132" s="832"/>
    </row>
    <row r="133" spans="1:107" s="842" customFormat="1" ht="15.6" customHeight="1" x14ac:dyDescent="0.25">
      <c r="A133" s="790">
        <v>131</v>
      </c>
      <c r="B133" s="791">
        <f t="shared" ca="1" si="109"/>
        <v>43134</v>
      </c>
      <c r="C133" s="792" t="s">
        <v>614</v>
      </c>
      <c r="D133" s="793" t="s">
        <v>3204</v>
      </c>
      <c r="E133" s="794" t="s">
        <v>786</v>
      </c>
      <c r="F133" s="795" t="s">
        <v>787</v>
      </c>
      <c r="G133" s="796">
        <f>SUMIFS(МОЛОКО!L8:L6958,МОЛОКО!F8:F6958,"1681",МОЛОКО!L8:L6958,"&gt;0")</f>
        <v>22.2</v>
      </c>
      <c r="H133" s="797" t="s">
        <v>603</v>
      </c>
      <c r="I133" s="798">
        <v>41163</v>
      </c>
      <c r="J133" s="799">
        <f t="shared" ca="1" si="110"/>
        <v>5.4</v>
      </c>
      <c r="K133" s="799">
        <f t="shared" ca="1" si="111"/>
        <v>65.7</v>
      </c>
      <c r="L133" s="800">
        <f t="shared" ca="1" si="112"/>
        <v>1971</v>
      </c>
      <c r="M133" s="801">
        <v>41915</v>
      </c>
      <c r="N133" s="802">
        <v>42872</v>
      </c>
      <c r="O133" s="803">
        <f t="shared" ca="1" si="113"/>
        <v>262</v>
      </c>
      <c r="P133" s="804">
        <v>3</v>
      </c>
      <c r="Q133" s="805" t="s">
        <v>2309</v>
      </c>
      <c r="R133" s="806" t="s">
        <v>2269</v>
      </c>
      <c r="S133" s="807">
        <v>42936</v>
      </c>
      <c r="T133" s="798">
        <v>42936</v>
      </c>
      <c r="U133" s="798" t="str">
        <f t="shared" si="114"/>
        <v>-</v>
      </c>
      <c r="V133" s="804" t="str">
        <f t="shared" ca="1" si="115"/>
        <v>-</v>
      </c>
      <c r="W133" s="808">
        <v>1</v>
      </c>
      <c r="X133" s="794">
        <f t="shared" si="108"/>
        <v>64</v>
      </c>
      <c r="Y133" s="794">
        <v>1</v>
      </c>
      <c r="Z133" s="809" t="str">
        <f t="shared" ca="1" si="116"/>
        <v>-----</v>
      </c>
      <c r="AA133" s="810" t="str">
        <f t="shared" ca="1" si="117"/>
        <v>-----</v>
      </c>
      <c r="AB133" s="804">
        <v>1</v>
      </c>
      <c r="AC133" s="811" t="str">
        <f t="shared" ca="1" si="118"/>
        <v>-----</v>
      </c>
      <c r="AD133" s="798">
        <v>43043</v>
      </c>
      <c r="AE133" s="794" t="str">
        <f t="shared" ca="1" si="119"/>
        <v>-</v>
      </c>
      <c r="AF133" s="798" t="str">
        <f t="shared" si="120"/>
        <v>-</v>
      </c>
      <c r="AG133" s="812" t="str">
        <f t="shared" si="121"/>
        <v>---------</v>
      </c>
      <c r="AH133" s="807">
        <v>42968</v>
      </c>
      <c r="AI133" s="807">
        <f t="shared" si="122"/>
        <v>43126</v>
      </c>
      <c r="AJ133" s="807">
        <f t="shared" si="123"/>
        <v>43156</v>
      </c>
      <c r="AK133" s="813"/>
      <c r="AL133" s="807">
        <f t="shared" si="124"/>
        <v>43195</v>
      </c>
      <c r="AM133" s="807">
        <f t="shared" si="125"/>
        <v>43216</v>
      </c>
      <c r="AN133" s="814">
        <f t="shared" ca="1" si="126"/>
        <v>-82</v>
      </c>
      <c r="AO133" s="815">
        <v>1</v>
      </c>
      <c r="AP133" s="816" t="str">
        <f t="shared" ca="1" si="127"/>
        <v>-</v>
      </c>
      <c r="AQ133" s="817"/>
      <c r="AR133" s="794" t="str">
        <f t="shared" si="128"/>
        <v>-</v>
      </c>
      <c r="AS133" s="818"/>
      <c r="AT133" s="794" t="str">
        <f t="shared" si="129"/>
        <v>-</v>
      </c>
      <c r="AU133" s="819"/>
      <c r="AV133" s="820"/>
      <c r="AW133" s="821"/>
      <c r="AX133" s="821"/>
      <c r="AY133" s="969" t="str">
        <f t="shared" si="130"/>
        <v>-</v>
      </c>
      <c r="AZ133" s="966" t="str">
        <f t="shared" si="131"/>
        <v>-</v>
      </c>
      <c r="BA133" s="971" t="str">
        <f t="shared" si="132"/>
        <v>-</v>
      </c>
      <c r="BB133" s="975"/>
      <c r="BC133" s="821"/>
      <c r="BD133" s="821"/>
      <c r="BE133" s="963" t="str">
        <f t="shared" si="133"/>
        <v>-</v>
      </c>
      <c r="BF133" s="984"/>
      <c r="BG133" s="988"/>
      <c r="BH133" s="982"/>
      <c r="BI133" s="991"/>
      <c r="BJ133" s="991"/>
      <c r="BK133" s="993" t="str">
        <f t="shared" si="134"/>
        <v>-</v>
      </c>
      <c r="BL133" s="820">
        <v>42980</v>
      </c>
      <c r="BM133" s="821">
        <v>5</v>
      </c>
      <c r="BN133" s="822">
        <f t="shared" ca="1" si="135"/>
        <v>154</v>
      </c>
      <c r="BO133" s="823">
        <f t="shared" si="136"/>
        <v>60.56666666666667</v>
      </c>
      <c r="BP133" s="824"/>
      <c r="BQ133" s="821"/>
      <c r="BR133" s="822" t="str">
        <f t="shared" si="137"/>
        <v>-</v>
      </c>
      <c r="BS133" s="823" t="str">
        <f t="shared" si="138"/>
        <v>-</v>
      </c>
      <c r="BT133" s="825" t="str">
        <f t="shared" ca="1" si="139"/>
        <v>-</v>
      </c>
      <c r="BU133" s="826"/>
      <c r="BV133" s="827"/>
      <c r="BW133" s="828" t="str">
        <f t="shared" si="140"/>
        <v>Ж-Е НЕ ВАКЦ.</v>
      </c>
      <c r="BX133" s="829" t="str">
        <f t="shared" si="141"/>
        <v>-</v>
      </c>
      <c r="BY133" s="830" t="str">
        <f t="shared" ca="1" si="142"/>
        <v>-</v>
      </c>
      <c r="BZ133" s="831">
        <v>42904</v>
      </c>
      <c r="CA133" s="832">
        <v>5</v>
      </c>
      <c r="CB133" s="833">
        <f t="shared" ca="1" si="143"/>
        <v>230</v>
      </c>
      <c r="CC133" s="834" t="str">
        <f t="shared" ca="1" si="144"/>
        <v>-</v>
      </c>
      <c r="CD133" s="835">
        <f t="shared" si="145"/>
        <v>42925</v>
      </c>
      <c r="CE133" s="831">
        <v>42925</v>
      </c>
      <c r="CF133" s="832">
        <v>5</v>
      </c>
      <c r="CG133" s="833">
        <f t="shared" ca="1" si="146"/>
        <v>209</v>
      </c>
      <c r="CH133" s="836">
        <f t="shared" si="147"/>
        <v>0</v>
      </c>
      <c r="CI133" s="837" t="str">
        <f t="shared" si="148"/>
        <v>УСПЕШНО</v>
      </c>
      <c r="CJ133" s="838" t="str">
        <f t="shared" ca="1" si="149"/>
        <v>-</v>
      </c>
      <c r="CK133" s="831"/>
      <c r="CL133" s="832"/>
      <c r="CM133" s="833" t="str">
        <f t="shared" si="150"/>
        <v>-</v>
      </c>
      <c r="CN133" s="834" t="str">
        <f t="shared" si="151"/>
        <v>-</v>
      </c>
      <c r="CO133" s="830" t="str">
        <f t="shared" ca="1" si="152"/>
        <v>-</v>
      </c>
      <c r="CP133" s="839"/>
      <c r="CQ133" s="832"/>
      <c r="CR133" s="833" t="str">
        <f t="shared" si="153"/>
        <v>-</v>
      </c>
      <c r="CS133" s="833" t="str">
        <f t="shared" si="154"/>
        <v>-</v>
      </c>
      <c r="CT133" s="834" t="str">
        <f t="shared" si="155"/>
        <v>-</v>
      </c>
      <c r="CU133" s="835" t="str">
        <f t="shared" si="156"/>
        <v>-</v>
      </c>
      <c r="CV133" s="839"/>
      <c r="CW133" s="832"/>
      <c r="CX133" s="833" t="str">
        <f t="shared" si="157"/>
        <v>-</v>
      </c>
      <c r="CY133" s="840" t="str">
        <f t="shared" si="158"/>
        <v>-</v>
      </c>
      <c r="CZ133" s="833" t="str">
        <f t="shared" si="159"/>
        <v>-</v>
      </c>
      <c r="DA133" s="838" t="str">
        <f t="shared" ca="1" si="160"/>
        <v>-</v>
      </c>
      <c r="DB133" s="841"/>
      <c r="DC133" s="832"/>
    </row>
    <row r="134" spans="1:107" s="842" customFormat="1" ht="15.6" customHeight="1" x14ac:dyDescent="0.25">
      <c r="A134" s="790">
        <v>132</v>
      </c>
      <c r="B134" s="791">
        <f t="shared" ca="1" si="109"/>
        <v>43134</v>
      </c>
      <c r="C134" s="29" t="s">
        <v>614</v>
      </c>
      <c r="D134" s="327" t="s">
        <v>3204</v>
      </c>
      <c r="E134" s="794" t="s">
        <v>138</v>
      </c>
      <c r="F134" s="795" t="s">
        <v>249</v>
      </c>
      <c r="G134" s="796">
        <f>SUMIFS(МОЛОКО!L8:L6958,МОЛОКО!F8:F6958,"1766",МОЛОКО!L8:L6958,"&gt;0")</f>
        <v>32.599999999999994</v>
      </c>
      <c r="H134" s="797" t="s">
        <v>603</v>
      </c>
      <c r="I134" s="798">
        <v>41284</v>
      </c>
      <c r="J134" s="799">
        <f t="shared" ca="1" si="110"/>
        <v>5.0684931506849313</v>
      </c>
      <c r="K134" s="799">
        <f t="shared" ca="1" si="111"/>
        <v>61.666666666666664</v>
      </c>
      <c r="L134" s="800">
        <f t="shared" ca="1" si="112"/>
        <v>1850</v>
      </c>
      <c r="M134" s="801">
        <v>41979</v>
      </c>
      <c r="N134" s="802">
        <v>43015</v>
      </c>
      <c r="O134" s="803">
        <f t="shared" ca="1" si="113"/>
        <v>119</v>
      </c>
      <c r="P134" s="804">
        <v>3</v>
      </c>
      <c r="Q134" s="805"/>
      <c r="R134" s="806"/>
      <c r="S134" s="807"/>
      <c r="T134" s="798"/>
      <c r="U134" s="798" t="str">
        <f t="shared" si="114"/>
        <v>-</v>
      </c>
      <c r="V134" s="804" t="str">
        <f t="shared" ca="1" si="115"/>
        <v>-</v>
      </c>
      <c r="W134" s="808">
        <v>0</v>
      </c>
      <c r="X134" s="794" t="str">
        <f t="shared" si="108"/>
        <v>-</v>
      </c>
      <c r="Y134" s="794">
        <v>0</v>
      </c>
      <c r="Z134" s="809" t="str">
        <f t="shared" ca="1" si="116"/>
        <v>-----</v>
      </c>
      <c r="AA134" s="810">
        <f t="shared" ca="1" si="117"/>
        <v>43134</v>
      </c>
      <c r="AB134" s="804"/>
      <c r="AC134" s="811" t="str">
        <f t="shared" ca="1" si="118"/>
        <v>-----</v>
      </c>
      <c r="AD134" s="798"/>
      <c r="AE134" s="794" t="str">
        <f t="shared" ca="1" si="119"/>
        <v>-</v>
      </c>
      <c r="AF134" s="798" t="str">
        <f t="shared" si="120"/>
        <v>-</v>
      </c>
      <c r="AG134" s="812" t="str">
        <f t="shared" si="121"/>
        <v>---------</v>
      </c>
      <c r="AH134" s="807"/>
      <c r="AI134" s="807" t="str">
        <f t="shared" si="122"/>
        <v>-</v>
      </c>
      <c r="AJ134" s="807" t="str">
        <f t="shared" si="123"/>
        <v>-</v>
      </c>
      <c r="AK134" s="813"/>
      <c r="AL134" s="807" t="str">
        <f t="shared" si="124"/>
        <v>-</v>
      </c>
      <c r="AM134" s="807" t="str">
        <f t="shared" si="125"/>
        <v>-</v>
      </c>
      <c r="AN134" s="814" t="str">
        <f t="shared" ca="1" si="126"/>
        <v>-</v>
      </c>
      <c r="AO134" s="815">
        <v>1</v>
      </c>
      <c r="AP134" s="816" t="str">
        <f t="shared" ca="1" si="127"/>
        <v>-</v>
      </c>
      <c r="AQ134" s="817"/>
      <c r="AR134" s="794" t="str">
        <f t="shared" si="128"/>
        <v>-</v>
      </c>
      <c r="AS134" s="818"/>
      <c r="AT134" s="794" t="str">
        <f t="shared" si="129"/>
        <v>-</v>
      </c>
      <c r="AU134" s="819"/>
      <c r="AV134" s="820"/>
      <c r="AW134" s="821"/>
      <c r="AX134" s="821"/>
      <c r="AY134" s="969" t="str">
        <f t="shared" si="130"/>
        <v>-</v>
      </c>
      <c r="AZ134" s="966" t="str">
        <f t="shared" si="131"/>
        <v>-</v>
      </c>
      <c r="BA134" s="971" t="str">
        <f t="shared" si="132"/>
        <v>-</v>
      </c>
      <c r="BB134" s="975"/>
      <c r="BC134" s="821"/>
      <c r="BD134" s="821"/>
      <c r="BE134" s="963" t="str">
        <f t="shared" si="133"/>
        <v>-</v>
      </c>
      <c r="BF134" s="984"/>
      <c r="BG134" s="988"/>
      <c r="BH134" s="982"/>
      <c r="BI134" s="991"/>
      <c r="BJ134" s="991"/>
      <c r="BK134" s="993" t="str">
        <f t="shared" si="134"/>
        <v>-</v>
      </c>
      <c r="BL134" s="820">
        <v>42982</v>
      </c>
      <c r="BM134" s="821">
        <v>5</v>
      </c>
      <c r="BN134" s="822">
        <f t="shared" ca="1" si="135"/>
        <v>152</v>
      </c>
      <c r="BO134" s="823">
        <f t="shared" si="136"/>
        <v>56.6</v>
      </c>
      <c r="BP134" s="824"/>
      <c r="BQ134" s="821"/>
      <c r="BR134" s="822" t="str">
        <f t="shared" si="137"/>
        <v>-</v>
      </c>
      <c r="BS134" s="823" t="str">
        <f t="shared" si="138"/>
        <v>-</v>
      </c>
      <c r="BT134" s="825" t="str">
        <f t="shared" ca="1" si="139"/>
        <v>-</v>
      </c>
      <c r="BU134" s="826"/>
      <c r="BV134" s="827"/>
      <c r="BW134" s="828" t="str">
        <f t="shared" si="140"/>
        <v>Ж-Е НЕ ВАКЦ.</v>
      </c>
      <c r="BX134" s="829" t="str">
        <f t="shared" si="141"/>
        <v>-</v>
      </c>
      <c r="BY134" s="830" t="str">
        <f t="shared" ca="1" si="142"/>
        <v>-</v>
      </c>
      <c r="BZ134" s="831">
        <v>42887</v>
      </c>
      <c r="CA134" s="832">
        <v>5</v>
      </c>
      <c r="CB134" s="833">
        <f t="shared" ca="1" si="143"/>
        <v>247</v>
      </c>
      <c r="CC134" s="834" t="str">
        <f t="shared" ca="1" si="144"/>
        <v>-</v>
      </c>
      <c r="CD134" s="835">
        <f t="shared" si="145"/>
        <v>42908</v>
      </c>
      <c r="CE134" s="831">
        <v>42908</v>
      </c>
      <c r="CF134" s="832">
        <v>5</v>
      </c>
      <c r="CG134" s="833">
        <f t="shared" ca="1" si="146"/>
        <v>226</v>
      </c>
      <c r="CH134" s="836">
        <f t="shared" si="147"/>
        <v>0</v>
      </c>
      <c r="CI134" s="837" t="str">
        <f t="shared" si="148"/>
        <v>УСПЕШНО</v>
      </c>
      <c r="CJ134" s="838" t="str">
        <f t="shared" ca="1" si="149"/>
        <v>-</v>
      </c>
      <c r="CK134" s="831"/>
      <c r="CL134" s="832"/>
      <c r="CM134" s="833" t="str">
        <f t="shared" si="150"/>
        <v>-</v>
      </c>
      <c r="CN134" s="834" t="str">
        <f t="shared" si="151"/>
        <v>-</v>
      </c>
      <c r="CO134" s="830" t="str">
        <f t="shared" ca="1" si="152"/>
        <v>-</v>
      </c>
      <c r="CP134" s="839"/>
      <c r="CQ134" s="832"/>
      <c r="CR134" s="833" t="str">
        <f t="shared" si="153"/>
        <v>-</v>
      </c>
      <c r="CS134" s="833" t="str">
        <f t="shared" si="154"/>
        <v>-</v>
      </c>
      <c r="CT134" s="834" t="str">
        <f t="shared" si="155"/>
        <v>-</v>
      </c>
      <c r="CU134" s="835" t="str">
        <f t="shared" si="156"/>
        <v>-</v>
      </c>
      <c r="CV134" s="839"/>
      <c r="CW134" s="832"/>
      <c r="CX134" s="833" t="str">
        <f t="shared" si="157"/>
        <v>-</v>
      </c>
      <c r="CY134" s="840" t="str">
        <f t="shared" si="158"/>
        <v>-</v>
      </c>
      <c r="CZ134" s="833" t="str">
        <f t="shared" si="159"/>
        <v>-</v>
      </c>
      <c r="DA134" s="838" t="str">
        <f t="shared" ca="1" si="160"/>
        <v>-</v>
      </c>
      <c r="DB134" s="841"/>
      <c r="DC134" s="832"/>
    </row>
    <row r="135" spans="1:107" s="842" customFormat="1" ht="15.6" customHeight="1" x14ac:dyDescent="0.25">
      <c r="A135" s="790">
        <v>133</v>
      </c>
      <c r="B135" s="791">
        <f t="shared" ca="1" si="109"/>
        <v>43134</v>
      </c>
      <c r="C135" s="792" t="s">
        <v>614</v>
      </c>
      <c r="D135" s="844" t="s">
        <v>3204</v>
      </c>
      <c r="E135" s="794" t="s">
        <v>283</v>
      </c>
      <c r="F135" s="795" t="s">
        <v>284</v>
      </c>
      <c r="G135" s="796">
        <f>SUMIFS(МОЛОКО!L8:L6958,МОЛОКО!F8:F6958,"1797",МОЛОКО!L8:L6958,"&gt;0")</f>
        <v>27.2</v>
      </c>
      <c r="H135" s="797" t="s">
        <v>603</v>
      </c>
      <c r="I135" s="798">
        <v>41317</v>
      </c>
      <c r="J135" s="799">
        <f t="shared" ca="1" si="110"/>
        <v>4.978082191780822</v>
      </c>
      <c r="K135" s="799">
        <f t="shared" ca="1" si="111"/>
        <v>60.56666666666667</v>
      </c>
      <c r="L135" s="800">
        <f t="shared" ca="1" si="112"/>
        <v>1817</v>
      </c>
      <c r="M135" s="801">
        <v>42015</v>
      </c>
      <c r="N135" s="802">
        <v>43001</v>
      </c>
      <c r="O135" s="803">
        <f t="shared" ca="1" si="113"/>
        <v>133</v>
      </c>
      <c r="P135" s="804">
        <v>3</v>
      </c>
      <c r="Q135" s="805"/>
      <c r="R135" s="806"/>
      <c r="S135" s="807"/>
      <c r="T135" s="798"/>
      <c r="U135" s="798" t="str">
        <f t="shared" si="114"/>
        <v>-</v>
      </c>
      <c r="V135" s="804" t="str">
        <f t="shared" ca="1" si="115"/>
        <v>-</v>
      </c>
      <c r="W135" s="808">
        <v>0</v>
      </c>
      <c r="X135" s="794" t="str">
        <f t="shared" si="108"/>
        <v>-</v>
      </c>
      <c r="Y135" s="794">
        <v>0</v>
      </c>
      <c r="Z135" s="809" t="str">
        <f t="shared" ca="1" si="116"/>
        <v>-----</v>
      </c>
      <c r="AA135" s="810">
        <f t="shared" ca="1" si="117"/>
        <v>43134</v>
      </c>
      <c r="AB135" s="804"/>
      <c r="AC135" s="811" t="str">
        <f t="shared" ca="1" si="118"/>
        <v>-----</v>
      </c>
      <c r="AD135" s="798"/>
      <c r="AE135" s="794" t="str">
        <f t="shared" ca="1" si="119"/>
        <v>яловая</v>
      </c>
      <c r="AF135" s="798" t="str">
        <f t="shared" si="120"/>
        <v>-</v>
      </c>
      <c r="AG135" s="812" t="str">
        <f t="shared" si="121"/>
        <v>---------</v>
      </c>
      <c r="AH135" s="807"/>
      <c r="AI135" s="807" t="str">
        <f t="shared" si="122"/>
        <v>-</v>
      </c>
      <c r="AJ135" s="807" t="str">
        <f t="shared" si="123"/>
        <v>-</v>
      </c>
      <c r="AK135" s="813"/>
      <c r="AL135" s="807" t="str">
        <f t="shared" si="124"/>
        <v>-</v>
      </c>
      <c r="AM135" s="807" t="str">
        <f t="shared" si="125"/>
        <v>-</v>
      </c>
      <c r="AN135" s="814" t="str">
        <f t="shared" ca="1" si="126"/>
        <v>-</v>
      </c>
      <c r="AO135" s="815">
        <v>1</v>
      </c>
      <c r="AP135" s="816" t="str">
        <f t="shared" ca="1" si="127"/>
        <v>-</v>
      </c>
      <c r="AQ135" s="817"/>
      <c r="AR135" s="794" t="str">
        <f t="shared" si="128"/>
        <v>-</v>
      </c>
      <c r="AS135" s="818"/>
      <c r="AT135" s="794" t="str">
        <f t="shared" si="129"/>
        <v>-</v>
      </c>
      <c r="AU135" s="819"/>
      <c r="AV135" s="820"/>
      <c r="AW135" s="821"/>
      <c r="AX135" s="821"/>
      <c r="AY135" s="969" t="str">
        <f t="shared" si="130"/>
        <v>-</v>
      </c>
      <c r="AZ135" s="966" t="str">
        <f t="shared" si="131"/>
        <v>-</v>
      </c>
      <c r="BA135" s="971" t="str">
        <f t="shared" si="132"/>
        <v>-</v>
      </c>
      <c r="BB135" s="975"/>
      <c r="BC135" s="821"/>
      <c r="BD135" s="821"/>
      <c r="BE135" s="963" t="str">
        <f t="shared" si="133"/>
        <v>-</v>
      </c>
      <c r="BF135" s="984"/>
      <c r="BG135" s="988"/>
      <c r="BH135" s="982"/>
      <c r="BI135" s="991"/>
      <c r="BJ135" s="991"/>
      <c r="BK135" s="993" t="str">
        <f t="shared" si="134"/>
        <v>-</v>
      </c>
      <c r="BL135" s="820">
        <v>42978</v>
      </c>
      <c r="BM135" s="821">
        <v>5</v>
      </c>
      <c r="BN135" s="822">
        <f t="shared" ca="1" si="135"/>
        <v>156</v>
      </c>
      <c r="BO135" s="823">
        <f t="shared" si="136"/>
        <v>55.366666666666667</v>
      </c>
      <c r="BP135" s="824"/>
      <c r="BQ135" s="821"/>
      <c r="BR135" s="822" t="str">
        <f t="shared" si="137"/>
        <v>-</v>
      </c>
      <c r="BS135" s="823" t="str">
        <f t="shared" si="138"/>
        <v>-</v>
      </c>
      <c r="BT135" s="825" t="str">
        <f t="shared" ca="1" si="139"/>
        <v>-</v>
      </c>
      <c r="BU135" s="826"/>
      <c r="BV135" s="827"/>
      <c r="BW135" s="828" t="str">
        <f t="shared" si="140"/>
        <v>Ж-Е НЕ ВАКЦ.</v>
      </c>
      <c r="BX135" s="829" t="str">
        <f t="shared" si="141"/>
        <v>-</v>
      </c>
      <c r="BY135" s="830" t="str">
        <f t="shared" ca="1" si="142"/>
        <v>-</v>
      </c>
      <c r="BZ135" s="831">
        <v>42887</v>
      </c>
      <c r="CA135" s="832">
        <v>5</v>
      </c>
      <c r="CB135" s="833">
        <f t="shared" ca="1" si="143"/>
        <v>247</v>
      </c>
      <c r="CC135" s="834" t="str">
        <f t="shared" ca="1" si="144"/>
        <v>-</v>
      </c>
      <c r="CD135" s="835">
        <f t="shared" si="145"/>
        <v>42908</v>
      </c>
      <c r="CE135" s="831">
        <v>42908</v>
      </c>
      <c r="CF135" s="832">
        <v>5</v>
      </c>
      <c r="CG135" s="833">
        <f t="shared" ca="1" si="146"/>
        <v>226</v>
      </c>
      <c r="CH135" s="836">
        <f t="shared" si="147"/>
        <v>0</v>
      </c>
      <c r="CI135" s="837" t="str">
        <f t="shared" si="148"/>
        <v>УСПЕШНО</v>
      </c>
      <c r="CJ135" s="838" t="str">
        <f t="shared" ca="1" si="149"/>
        <v>-</v>
      </c>
      <c r="CK135" s="831"/>
      <c r="CL135" s="832"/>
      <c r="CM135" s="833" t="str">
        <f t="shared" si="150"/>
        <v>-</v>
      </c>
      <c r="CN135" s="834" t="str">
        <f t="shared" si="151"/>
        <v>-</v>
      </c>
      <c r="CO135" s="830" t="str">
        <f t="shared" ca="1" si="152"/>
        <v>-</v>
      </c>
      <c r="CP135" s="831">
        <v>42941</v>
      </c>
      <c r="CQ135" s="832">
        <v>2</v>
      </c>
      <c r="CR135" s="833">
        <f t="shared" si="153"/>
        <v>42941</v>
      </c>
      <c r="CS135" s="833">
        <f t="shared" ca="1" si="154"/>
        <v>193</v>
      </c>
      <c r="CT135" s="834" t="str">
        <f t="shared" ca="1" si="155"/>
        <v>-</v>
      </c>
      <c r="CU135" s="835">
        <f t="shared" si="156"/>
        <v>42962</v>
      </c>
      <c r="CV135" s="831">
        <v>42962</v>
      </c>
      <c r="CW135" s="832">
        <v>2</v>
      </c>
      <c r="CX135" s="833">
        <f t="shared" si="157"/>
        <v>0</v>
      </c>
      <c r="CY135" s="840" t="str">
        <f t="shared" si="158"/>
        <v>УСПЕШНО</v>
      </c>
      <c r="CZ135" s="833">
        <f t="shared" si="159"/>
        <v>42962</v>
      </c>
      <c r="DA135" s="838" t="str">
        <f t="shared" ca="1" si="160"/>
        <v>-</v>
      </c>
      <c r="DB135" s="841"/>
      <c r="DC135" s="832"/>
    </row>
    <row r="136" spans="1:107" s="842" customFormat="1" ht="15.6" customHeight="1" x14ac:dyDescent="0.25">
      <c r="A136" s="790">
        <v>134</v>
      </c>
      <c r="B136" s="791">
        <f t="shared" ca="1" si="109"/>
        <v>43134</v>
      </c>
      <c r="C136" s="792" t="s">
        <v>614</v>
      </c>
      <c r="D136" s="793" t="s">
        <v>3204</v>
      </c>
      <c r="E136" s="794" t="s">
        <v>699</v>
      </c>
      <c r="F136" s="795" t="s">
        <v>700</v>
      </c>
      <c r="G136" s="796">
        <f>SUMIFS(МОЛОКО!L8:L6958,МОЛОКО!F8:F6958,"1819",МОЛОКО!L8:L6958,"&gt;0")</f>
        <v>20.2</v>
      </c>
      <c r="H136" s="797" t="s">
        <v>603</v>
      </c>
      <c r="I136" s="798">
        <v>41354</v>
      </c>
      <c r="J136" s="799">
        <f t="shared" ca="1" si="110"/>
        <v>4.8767123287671232</v>
      </c>
      <c r="K136" s="799">
        <f t="shared" ca="1" si="111"/>
        <v>59.333333333333336</v>
      </c>
      <c r="L136" s="800">
        <f t="shared" ca="1" si="112"/>
        <v>1780</v>
      </c>
      <c r="M136" s="801">
        <v>42385</v>
      </c>
      <c r="N136" s="802">
        <v>42833</v>
      </c>
      <c r="O136" s="803">
        <f t="shared" ca="1" si="113"/>
        <v>301</v>
      </c>
      <c r="P136" s="804">
        <v>2</v>
      </c>
      <c r="Q136" s="805" t="s">
        <v>1451</v>
      </c>
      <c r="R136" s="806" t="s">
        <v>3020</v>
      </c>
      <c r="S136" s="807">
        <v>42894</v>
      </c>
      <c r="T136" s="798">
        <v>43013</v>
      </c>
      <c r="U136" s="798" t="str">
        <f t="shared" si="114"/>
        <v>-</v>
      </c>
      <c r="V136" s="804" t="str">
        <f t="shared" ca="1" si="115"/>
        <v>-</v>
      </c>
      <c r="W136" s="808">
        <v>5</v>
      </c>
      <c r="X136" s="794">
        <f t="shared" si="108"/>
        <v>180</v>
      </c>
      <c r="Y136" s="794">
        <v>0</v>
      </c>
      <c r="Z136" s="809" t="str">
        <f t="shared" ca="1" si="116"/>
        <v>-----</v>
      </c>
      <c r="AA136" s="810">
        <f t="shared" ca="1" si="117"/>
        <v>121</v>
      </c>
      <c r="AB136" s="804"/>
      <c r="AC136" s="811" t="str">
        <f t="shared" ca="1" si="118"/>
        <v>-----</v>
      </c>
      <c r="AD136" s="798"/>
      <c r="AE136" s="794" t="str">
        <f t="shared" ca="1" si="119"/>
        <v>яловая</v>
      </c>
      <c r="AF136" s="798" t="str">
        <f t="shared" si="120"/>
        <v>-</v>
      </c>
      <c r="AG136" s="812" t="str">
        <f t="shared" si="121"/>
        <v>---------</v>
      </c>
      <c r="AH136" s="807">
        <v>43052</v>
      </c>
      <c r="AI136" s="807" t="str">
        <f t="shared" si="122"/>
        <v>-</v>
      </c>
      <c r="AJ136" s="807" t="str">
        <f t="shared" si="123"/>
        <v>-</v>
      </c>
      <c r="AK136" s="813"/>
      <c r="AL136" s="807" t="str">
        <f t="shared" si="124"/>
        <v>-</v>
      </c>
      <c r="AM136" s="807" t="str">
        <f t="shared" si="125"/>
        <v>-</v>
      </c>
      <c r="AN136" s="814" t="str">
        <f t="shared" ca="1" si="126"/>
        <v>-</v>
      </c>
      <c r="AO136" s="815">
        <v>1</v>
      </c>
      <c r="AP136" s="816" t="str">
        <f t="shared" ca="1" si="127"/>
        <v>БРАК</v>
      </c>
      <c r="AQ136" s="817"/>
      <c r="AR136" s="794" t="str">
        <f t="shared" si="128"/>
        <v>-</v>
      </c>
      <c r="AS136" s="818"/>
      <c r="AT136" s="794" t="str">
        <f t="shared" si="129"/>
        <v>-</v>
      </c>
      <c r="AU136" s="819"/>
      <c r="AV136" s="820"/>
      <c r="AW136" s="821"/>
      <c r="AX136" s="821"/>
      <c r="AY136" s="969" t="str">
        <f t="shared" si="130"/>
        <v>-</v>
      </c>
      <c r="AZ136" s="966" t="str">
        <f t="shared" si="131"/>
        <v>-</v>
      </c>
      <c r="BA136" s="971" t="str">
        <f t="shared" si="132"/>
        <v>-</v>
      </c>
      <c r="BB136" s="975"/>
      <c r="BC136" s="821"/>
      <c r="BD136" s="821"/>
      <c r="BE136" s="963" t="str">
        <f t="shared" si="133"/>
        <v>-</v>
      </c>
      <c r="BF136" s="984"/>
      <c r="BG136" s="988"/>
      <c r="BH136" s="982"/>
      <c r="BI136" s="991"/>
      <c r="BJ136" s="991"/>
      <c r="BK136" s="993" t="str">
        <f t="shared" si="134"/>
        <v>-</v>
      </c>
      <c r="BL136" s="820">
        <v>42980</v>
      </c>
      <c r="BM136" s="821">
        <v>5</v>
      </c>
      <c r="BN136" s="822">
        <f t="shared" ca="1" si="135"/>
        <v>154</v>
      </c>
      <c r="BO136" s="823">
        <f t="shared" si="136"/>
        <v>54.2</v>
      </c>
      <c r="BP136" s="824"/>
      <c r="BQ136" s="821"/>
      <c r="BR136" s="822" t="str">
        <f t="shared" si="137"/>
        <v>-</v>
      </c>
      <c r="BS136" s="823" t="str">
        <f t="shared" si="138"/>
        <v>-</v>
      </c>
      <c r="BT136" s="825" t="str">
        <f t="shared" ca="1" si="139"/>
        <v>-</v>
      </c>
      <c r="BU136" s="826"/>
      <c r="BV136" s="827"/>
      <c r="BW136" s="828" t="str">
        <f t="shared" si="140"/>
        <v>Ж-Е НЕ ВАКЦ.</v>
      </c>
      <c r="BX136" s="829" t="str">
        <f t="shared" si="141"/>
        <v>-</v>
      </c>
      <c r="BY136" s="830" t="str">
        <f t="shared" ca="1" si="142"/>
        <v>-</v>
      </c>
      <c r="BZ136" s="831">
        <v>42887</v>
      </c>
      <c r="CA136" s="832">
        <v>5</v>
      </c>
      <c r="CB136" s="833">
        <f t="shared" ca="1" si="143"/>
        <v>247</v>
      </c>
      <c r="CC136" s="834" t="str">
        <f t="shared" ca="1" si="144"/>
        <v>-</v>
      </c>
      <c r="CD136" s="835">
        <f t="shared" si="145"/>
        <v>42908</v>
      </c>
      <c r="CE136" s="831">
        <v>42908</v>
      </c>
      <c r="CF136" s="832">
        <v>5</v>
      </c>
      <c r="CG136" s="833">
        <f t="shared" ca="1" si="146"/>
        <v>226</v>
      </c>
      <c r="CH136" s="836">
        <f t="shared" si="147"/>
        <v>0</v>
      </c>
      <c r="CI136" s="837" t="str">
        <f t="shared" si="148"/>
        <v>УСПЕШНО</v>
      </c>
      <c r="CJ136" s="838" t="str">
        <f t="shared" ca="1" si="149"/>
        <v>-</v>
      </c>
      <c r="CK136" s="831"/>
      <c r="CL136" s="832"/>
      <c r="CM136" s="833" t="str">
        <f t="shared" si="150"/>
        <v>-</v>
      </c>
      <c r="CN136" s="834" t="str">
        <f t="shared" si="151"/>
        <v>-</v>
      </c>
      <c r="CO136" s="830" t="str">
        <f t="shared" ca="1" si="152"/>
        <v>-</v>
      </c>
      <c r="CP136" s="839"/>
      <c r="CQ136" s="832"/>
      <c r="CR136" s="833" t="str">
        <f t="shared" si="153"/>
        <v>-</v>
      </c>
      <c r="CS136" s="833" t="str">
        <f t="shared" si="154"/>
        <v>-</v>
      </c>
      <c r="CT136" s="834" t="str">
        <f t="shared" si="155"/>
        <v>-</v>
      </c>
      <c r="CU136" s="835" t="str">
        <f t="shared" si="156"/>
        <v>-</v>
      </c>
      <c r="CV136" s="839"/>
      <c r="CW136" s="832"/>
      <c r="CX136" s="833" t="str">
        <f t="shared" si="157"/>
        <v>-</v>
      </c>
      <c r="CY136" s="840" t="str">
        <f t="shared" si="158"/>
        <v>-</v>
      </c>
      <c r="CZ136" s="833" t="str">
        <f t="shared" si="159"/>
        <v>-</v>
      </c>
      <c r="DA136" s="838" t="str">
        <f t="shared" ca="1" si="160"/>
        <v>-</v>
      </c>
      <c r="DB136" s="841"/>
      <c r="DC136" s="832"/>
    </row>
    <row r="137" spans="1:107" s="842" customFormat="1" ht="15.6" customHeight="1" x14ac:dyDescent="0.25">
      <c r="A137" s="790">
        <v>135</v>
      </c>
      <c r="B137" s="791">
        <f t="shared" ca="1" si="109"/>
        <v>43134</v>
      </c>
      <c r="C137" s="792" t="s">
        <v>614</v>
      </c>
      <c r="D137" s="793" t="s">
        <v>3204</v>
      </c>
      <c r="E137" s="794" t="s">
        <v>96</v>
      </c>
      <c r="F137" s="795" t="s">
        <v>498</v>
      </c>
      <c r="G137" s="796">
        <f>SUMIFS(МОЛОКО!L8:L6958,МОЛОКО!F8:F6958,"1878",МОЛОКО!L8:L6958,"&gt;0")</f>
        <v>24.4</v>
      </c>
      <c r="H137" s="797" t="s">
        <v>603</v>
      </c>
      <c r="I137" s="798">
        <v>41418</v>
      </c>
      <c r="J137" s="799">
        <f t="shared" ca="1" si="110"/>
        <v>4.7013698630136984</v>
      </c>
      <c r="K137" s="799">
        <f t="shared" ca="1" si="111"/>
        <v>57.2</v>
      </c>
      <c r="L137" s="800">
        <f t="shared" ca="1" si="112"/>
        <v>1716</v>
      </c>
      <c r="M137" s="801">
        <v>42238</v>
      </c>
      <c r="N137" s="802">
        <v>42942</v>
      </c>
      <c r="O137" s="803">
        <f t="shared" ca="1" si="113"/>
        <v>192</v>
      </c>
      <c r="P137" s="804">
        <v>3</v>
      </c>
      <c r="Q137" s="68" t="s">
        <v>1451</v>
      </c>
      <c r="R137" s="118" t="s">
        <v>3020</v>
      </c>
      <c r="S137" s="807">
        <v>43007</v>
      </c>
      <c r="T137" s="798">
        <v>43056</v>
      </c>
      <c r="U137" s="798">
        <f t="shared" si="114"/>
        <v>43074</v>
      </c>
      <c r="V137" s="804">
        <f t="shared" ca="1" si="115"/>
        <v>60</v>
      </c>
      <c r="W137" s="808">
        <v>2</v>
      </c>
      <c r="X137" s="794">
        <f t="shared" si="108"/>
        <v>114</v>
      </c>
      <c r="Y137" s="794">
        <v>3</v>
      </c>
      <c r="Z137" s="809" t="str">
        <f t="shared" ca="1" si="116"/>
        <v>-----</v>
      </c>
      <c r="AA137" s="810">
        <f t="shared" ca="1" si="117"/>
        <v>78</v>
      </c>
      <c r="AB137" s="804"/>
      <c r="AC137" s="811" t="str">
        <f t="shared" ca="1" si="118"/>
        <v>-----</v>
      </c>
      <c r="AD137" s="798"/>
      <c r="AE137" s="794" t="str">
        <f t="shared" ca="1" si="119"/>
        <v>-</v>
      </c>
      <c r="AF137" s="798">
        <f t="shared" si="120"/>
        <v>43091</v>
      </c>
      <c r="AG137" s="812">
        <f t="shared" ca="1" si="121"/>
        <v>43</v>
      </c>
      <c r="AH137" s="807">
        <v>43042</v>
      </c>
      <c r="AI137" s="807" t="str">
        <f t="shared" si="122"/>
        <v>-</v>
      </c>
      <c r="AJ137" s="807" t="str">
        <f t="shared" si="123"/>
        <v>-</v>
      </c>
      <c r="AK137" s="813"/>
      <c r="AL137" s="807" t="str">
        <f t="shared" si="124"/>
        <v>-</v>
      </c>
      <c r="AM137" s="807" t="str">
        <f t="shared" si="125"/>
        <v>-</v>
      </c>
      <c r="AN137" s="814" t="str">
        <f t="shared" ca="1" si="126"/>
        <v>-</v>
      </c>
      <c r="AO137" s="815">
        <v>1</v>
      </c>
      <c r="AP137" s="816" t="str">
        <f t="shared" ca="1" si="127"/>
        <v>-</v>
      </c>
      <c r="AQ137" s="817"/>
      <c r="AR137" s="794" t="str">
        <f t="shared" si="128"/>
        <v>-</v>
      </c>
      <c r="AS137" s="818"/>
      <c r="AT137" s="794" t="str">
        <f t="shared" si="129"/>
        <v>-</v>
      </c>
      <c r="AU137" s="819"/>
      <c r="AV137" s="820"/>
      <c r="AW137" s="821"/>
      <c r="AX137" s="821"/>
      <c r="AY137" s="969" t="str">
        <f t="shared" si="130"/>
        <v>-</v>
      </c>
      <c r="AZ137" s="966" t="str">
        <f t="shared" si="131"/>
        <v>-</v>
      </c>
      <c r="BA137" s="971" t="str">
        <f t="shared" si="132"/>
        <v>-</v>
      </c>
      <c r="BB137" s="975"/>
      <c r="BC137" s="821"/>
      <c r="BD137" s="821"/>
      <c r="BE137" s="963" t="str">
        <f t="shared" si="133"/>
        <v>-</v>
      </c>
      <c r="BF137" s="984"/>
      <c r="BG137" s="988"/>
      <c r="BH137" s="982"/>
      <c r="BI137" s="991"/>
      <c r="BJ137" s="991"/>
      <c r="BK137" s="993" t="str">
        <f t="shared" si="134"/>
        <v>-</v>
      </c>
      <c r="BL137" s="820">
        <v>42980</v>
      </c>
      <c r="BM137" s="821">
        <v>5</v>
      </c>
      <c r="BN137" s="822">
        <f t="shared" ca="1" si="135"/>
        <v>154</v>
      </c>
      <c r="BO137" s="823">
        <f t="shared" si="136"/>
        <v>52.06666666666667</v>
      </c>
      <c r="BP137" s="824"/>
      <c r="BQ137" s="821"/>
      <c r="BR137" s="822" t="str">
        <f t="shared" si="137"/>
        <v>-</v>
      </c>
      <c r="BS137" s="823" t="str">
        <f t="shared" si="138"/>
        <v>-</v>
      </c>
      <c r="BT137" s="825" t="str">
        <f t="shared" ca="1" si="139"/>
        <v>-</v>
      </c>
      <c r="BU137" s="826"/>
      <c r="BV137" s="827"/>
      <c r="BW137" s="828" t="str">
        <f t="shared" si="140"/>
        <v>Ж-Е НЕ ВАКЦ.</v>
      </c>
      <c r="BX137" s="829" t="str">
        <f t="shared" si="141"/>
        <v>-</v>
      </c>
      <c r="BY137" s="830" t="str">
        <f t="shared" ca="1" si="142"/>
        <v>-</v>
      </c>
      <c r="BZ137" s="831">
        <v>42964</v>
      </c>
      <c r="CA137" s="832">
        <v>5</v>
      </c>
      <c r="CB137" s="833">
        <f t="shared" ca="1" si="143"/>
        <v>170</v>
      </c>
      <c r="CC137" s="834" t="str">
        <f t="shared" ca="1" si="144"/>
        <v>-</v>
      </c>
      <c r="CD137" s="835">
        <f t="shared" si="145"/>
        <v>42985</v>
      </c>
      <c r="CE137" s="831">
        <v>42985</v>
      </c>
      <c r="CF137" s="832">
        <v>5</v>
      </c>
      <c r="CG137" s="833">
        <f t="shared" ca="1" si="146"/>
        <v>149</v>
      </c>
      <c r="CH137" s="836">
        <f t="shared" si="147"/>
        <v>0</v>
      </c>
      <c r="CI137" s="837" t="str">
        <f t="shared" si="148"/>
        <v>УСПЕШНО</v>
      </c>
      <c r="CJ137" s="838" t="str">
        <f t="shared" ca="1" si="149"/>
        <v>-</v>
      </c>
      <c r="CK137" s="831"/>
      <c r="CL137" s="832"/>
      <c r="CM137" s="833" t="str">
        <f t="shared" si="150"/>
        <v>-</v>
      </c>
      <c r="CN137" s="834" t="str">
        <f t="shared" si="151"/>
        <v>-</v>
      </c>
      <c r="CO137" s="830" t="str">
        <f t="shared" ca="1" si="152"/>
        <v>-</v>
      </c>
      <c r="CP137" s="831">
        <v>42882</v>
      </c>
      <c r="CQ137" s="832">
        <v>2</v>
      </c>
      <c r="CR137" s="833">
        <f t="shared" si="153"/>
        <v>-174</v>
      </c>
      <c r="CS137" s="833">
        <f t="shared" ca="1" si="154"/>
        <v>252</v>
      </c>
      <c r="CT137" s="834" t="str">
        <f t="shared" ca="1" si="155"/>
        <v>-</v>
      </c>
      <c r="CU137" s="835">
        <f t="shared" si="156"/>
        <v>42903</v>
      </c>
      <c r="CV137" s="831">
        <v>42903</v>
      </c>
      <c r="CW137" s="832">
        <v>2</v>
      </c>
      <c r="CX137" s="833">
        <f t="shared" si="157"/>
        <v>0</v>
      </c>
      <c r="CY137" s="840" t="str">
        <f t="shared" si="158"/>
        <v>УСПЕШНО</v>
      </c>
      <c r="CZ137" s="833">
        <f t="shared" si="159"/>
        <v>-153</v>
      </c>
      <c r="DA137" s="838" t="str">
        <f t="shared" ca="1" si="160"/>
        <v>-</v>
      </c>
      <c r="DB137" s="841"/>
      <c r="DC137" s="832"/>
    </row>
    <row r="138" spans="1:107" s="842" customFormat="1" ht="15.6" customHeight="1" x14ac:dyDescent="0.25">
      <c r="A138" s="790">
        <v>136</v>
      </c>
      <c r="B138" s="791">
        <f t="shared" ca="1" si="109"/>
        <v>43134</v>
      </c>
      <c r="C138" s="792" t="s">
        <v>614</v>
      </c>
      <c r="D138" s="793" t="s">
        <v>3204</v>
      </c>
      <c r="E138" s="794" t="s">
        <v>409</v>
      </c>
      <c r="F138" s="795" t="s">
        <v>410</v>
      </c>
      <c r="G138" s="796">
        <f>SUMIFS(МОЛОКО!L8:L6958,МОЛОКО!F8:F6958,"1891",МОЛОКО!L8:L6958,"&gt;0")</f>
        <v>21.2</v>
      </c>
      <c r="H138" s="797" t="s">
        <v>603</v>
      </c>
      <c r="I138" s="798">
        <v>41433</v>
      </c>
      <c r="J138" s="799">
        <f t="shared" ca="1" si="110"/>
        <v>4.6602739726027398</v>
      </c>
      <c r="K138" s="799">
        <f t="shared" ca="1" si="111"/>
        <v>56.7</v>
      </c>
      <c r="L138" s="800">
        <f t="shared" ca="1" si="112"/>
        <v>1701</v>
      </c>
      <c r="M138" s="801">
        <v>42307</v>
      </c>
      <c r="N138" s="802">
        <v>42856</v>
      </c>
      <c r="O138" s="803">
        <f t="shared" ca="1" si="113"/>
        <v>278</v>
      </c>
      <c r="P138" s="804">
        <v>3</v>
      </c>
      <c r="Q138" s="805" t="s">
        <v>1451</v>
      </c>
      <c r="R138" s="806" t="s">
        <v>2269</v>
      </c>
      <c r="S138" s="807">
        <v>42915</v>
      </c>
      <c r="T138" s="798">
        <v>42915</v>
      </c>
      <c r="U138" s="798" t="str">
        <f t="shared" si="114"/>
        <v>-</v>
      </c>
      <c r="V138" s="804" t="str">
        <f t="shared" ca="1" si="115"/>
        <v>-</v>
      </c>
      <c r="W138" s="808">
        <v>1</v>
      </c>
      <c r="X138" s="794">
        <f t="shared" si="108"/>
        <v>59</v>
      </c>
      <c r="Y138" s="794">
        <v>1</v>
      </c>
      <c r="Z138" s="809" t="str">
        <f t="shared" ca="1" si="116"/>
        <v>-----</v>
      </c>
      <c r="AA138" s="810" t="str">
        <f t="shared" ca="1" si="117"/>
        <v>-----</v>
      </c>
      <c r="AB138" s="804">
        <v>1</v>
      </c>
      <c r="AC138" s="811" t="str">
        <f t="shared" ca="1" si="118"/>
        <v>-----</v>
      </c>
      <c r="AD138" s="798">
        <v>42995</v>
      </c>
      <c r="AE138" s="794" t="str">
        <f t="shared" ca="1" si="119"/>
        <v>-</v>
      </c>
      <c r="AF138" s="798" t="str">
        <f t="shared" si="120"/>
        <v>-</v>
      </c>
      <c r="AG138" s="812" t="str">
        <f t="shared" si="121"/>
        <v>---------</v>
      </c>
      <c r="AH138" s="807">
        <v>42947</v>
      </c>
      <c r="AI138" s="807">
        <f t="shared" si="122"/>
        <v>43105</v>
      </c>
      <c r="AJ138" s="807">
        <f t="shared" si="123"/>
        <v>43135</v>
      </c>
      <c r="AK138" s="813"/>
      <c r="AL138" s="807">
        <f t="shared" si="124"/>
        <v>43174</v>
      </c>
      <c r="AM138" s="807">
        <f t="shared" si="125"/>
        <v>43195</v>
      </c>
      <c r="AN138" s="814">
        <f t="shared" ca="1" si="126"/>
        <v>-61</v>
      </c>
      <c r="AO138" s="815">
        <v>1</v>
      </c>
      <c r="AP138" s="816" t="str">
        <f t="shared" ca="1" si="127"/>
        <v>-</v>
      </c>
      <c r="AQ138" s="817"/>
      <c r="AR138" s="794" t="str">
        <f t="shared" si="128"/>
        <v>-</v>
      </c>
      <c r="AS138" s="818"/>
      <c r="AT138" s="794" t="str">
        <f t="shared" si="129"/>
        <v>-</v>
      </c>
      <c r="AU138" s="819"/>
      <c r="AV138" s="820"/>
      <c r="AW138" s="821"/>
      <c r="AX138" s="821"/>
      <c r="AY138" s="969" t="str">
        <f t="shared" si="130"/>
        <v>-</v>
      </c>
      <c r="AZ138" s="966" t="str">
        <f t="shared" si="131"/>
        <v>-</v>
      </c>
      <c r="BA138" s="971" t="str">
        <f t="shared" si="132"/>
        <v>-</v>
      </c>
      <c r="BB138" s="975"/>
      <c r="BC138" s="821"/>
      <c r="BD138" s="821"/>
      <c r="BE138" s="963" t="str">
        <f t="shared" si="133"/>
        <v>-</v>
      </c>
      <c r="BF138" s="984"/>
      <c r="BG138" s="988"/>
      <c r="BH138" s="982"/>
      <c r="BI138" s="991"/>
      <c r="BJ138" s="991"/>
      <c r="BK138" s="993" t="str">
        <f t="shared" si="134"/>
        <v>-</v>
      </c>
      <c r="BL138" s="820">
        <v>42980</v>
      </c>
      <c r="BM138" s="821">
        <v>5</v>
      </c>
      <c r="BN138" s="822">
        <f t="shared" ca="1" si="135"/>
        <v>154</v>
      </c>
      <c r="BO138" s="823">
        <f t="shared" si="136"/>
        <v>51.56666666666667</v>
      </c>
      <c r="BP138" s="824"/>
      <c r="BQ138" s="821"/>
      <c r="BR138" s="822" t="str">
        <f t="shared" si="137"/>
        <v>-</v>
      </c>
      <c r="BS138" s="823" t="str">
        <f t="shared" si="138"/>
        <v>-</v>
      </c>
      <c r="BT138" s="825" t="str">
        <f t="shared" ca="1" si="139"/>
        <v>-</v>
      </c>
      <c r="BU138" s="826"/>
      <c r="BV138" s="827"/>
      <c r="BW138" s="828" t="str">
        <f t="shared" si="140"/>
        <v>Ж-Е НЕ ВАКЦ.</v>
      </c>
      <c r="BX138" s="829" t="str">
        <f t="shared" si="141"/>
        <v>-</v>
      </c>
      <c r="BY138" s="830" t="str">
        <f t="shared" ca="1" si="142"/>
        <v>-</v>
      </c>
      <c r="BZ138" s="831">
        <v>42887</v>
      </c>
      <c r="CA138" s="832">
        <v>5</v>
      </c>
      <c r="CB138" s="833">
        <f t="shared" ca="1" si="143"/>
        <v>247</v>
      </c>
      <c r="CC138" s="834" t="str">
        <f t="shared" ca="1" si="144"/>
        <v>-</v>
      </c>
      <c r="CD138" s="835">
        <f t="shared" si="145"/>
        <v>42908</v>
      </c>
      <c r="CE138" s="831">
        <v>42908</v>
      </c>
      <c r="CF138" s="832">
        <v>5</v>
      </c>
      <c r="CG138" s="833">
        <f t="shared" ca="1" si="146"/>
        <v>226</v>
      </c>
      <c r="CH138" s="836">
        <f t="shared" si="147"/>
        <v>0</v>
      </c>
      <c r="CI138" s="837" t="str">
        <f t="shared" si="148"/>
        <v>УСПЕШНО</v>
      </c>
      <c r="CJ138" s="838" t="str">
        <f t="shared" ca="1" si="149"/>
        <v>-</v>
      </c>
      <c r="CK138" s="831"/>
      <c r="CL138" s="832"/>
      <c r="CM138" s="833" t="str">
        <f t="shared" si="150"/>
        <v>-</v>
      </c>
      <c r="CN138" s="834" t="str">
        <f t="shared" si="151"/>
        <v>-</v>
      </c>
      <c r="CO138" s="830" t="str">
        <f t="shared" ca="1" si="152"/>
        <v>ТРЕБУЕТСЯ ВАКЦИНАЦИЯ</v>
      </c>
      <c r="CP138" s="839"/>
      <c r="CQ138" s="832"/>
      <c r="CR138" s="833" t="str">
        <f t="shared" si="153"/>
        <v>-</v>
      </c>
      <c r="CS138" s="833" t="str">
        <f t="shared" si="154"/>
        <v>-</v>
      </c>
      <c r="CT138" s="834" t="str">
        <f t="shared" si="155"/>
        <v>-</v>
      </c>
      <c r="CU138" s="835" t="str">
        <f t="shared" si="156"/>
        <v>-</v>
      </c>
      <c r="CV138" s="839"/>
      <c r="CW138" s="832"/>
      <c r="CX138" s="833" t="str">
        <f t="shared" si="157"/>
        <v>-</v>
      </c>
      <c r="CY138" s="840" t="str">
        <f t="shared" si="158"/>
        <v>-</v>
      </c>
      <c r="CZ138" s="833" t="str">
        <f t="shared" si="159"/>
        <v>-</v>
      </c>
      <c r="DA138" s="838" t="str">
        <f t="shared" ca="1" si="160"/>
        <v>-</v>
      </c>
      <c r="DB138" s="841"/>
      <c r="DC138" s="832"/>
    </row>
    <row r="139" spans="1:107" s="842" customFormat="1" ht="15.6" customHeight="1" x14ac:dyDescent="0.25">
      <c r="A139" s="790">
        <v>137</v>
      </c>
      <c r="B139" s="791">
        <f t="shared" ca="1" si="109"/>
        <v>43134</v>
      </c>
      <c r="C139" s="792" t="s">
        <v>614</v>
      </c>
      <c r="D139" s="793" t="s">
        <v>3204</v>
      </c>
      <c r="E139" s="794" t="s">
        <v>1358</v>
      </c>
      <c r="F139" s="795" t="s">
        <v>1242</v>
      </c>
      <c r="G139" s="796">
        <f>SUMIFS(МОЛОКО!L8:L6958,МОЛОКО!F8:F6958,"1914",МОЛОКО!L8:L6958,"&gt;0")</f>
        <v>27.8</v>
      </c>
      <c r="H139" s="797" t="s">
        <v>603</v>
      </c>
      <c r="I139" s="798">
        <v>41480</v>
      </c>
      <c r="J139" s="799">
        <f t="shared" ca="1" si="110"/>
        <v>4.5315068493150683</v>
      </c>
      <c r="K139" s="799">
        <f t="shared" ca="1" si="111"/>
        <v>55.133333333333333</v>
      </c>
      <c r="L139" s="800">
        <f t="shared" ca="1" si="112"/>
        <v>1654</v>
      </c>
      <c r="M139" s="801">
        <v>42470</v>
      </c>
      <c r="N139" s="802">
        <v>42866</v>
      </c>
      <c r="O139" s="803">
        <f t="shared" ca="1" si="113"/>
        <v>268</v>
      </c>
      <c r="P139" s="804">
        <v>2</v>
      </c>
      <c r="Q139" s="805" t="s">
        <v>2366</v>
      </c>
      <c r="R139" s="806" t="s">
        <v>3020</v>
      </c>
      <c r="S139" s="807">
        <v>42929</v>
      </c>
      <c r="T139" s="798">
        <v>43000</v>
      </c>
      <c r="U139" s="798" t="str">
        <f t="shared" si="114"/>
        <v>-</v>
      </c>
      <c r="V139" s="804" t="str">
        <f t="shared" ca="1" si="115"/>
        <v>-</v>
      </c>
      <c r="W139" s="808">
        <v>3</v>
      </c>
      <c r="X139" s="794">
        <f t="shared" si="108"/>
        <v>134</v>
      </c>
      <c r="Y139" s="794">
        <v>1</v>
      </c>
      <c r="Z139" s="809" t="str">
        <f t="shared" ca="1" si="116"/>
        <v>ПОДЛЕЖИТ ПЕРЕПРОВЕРКЕ</v>
      </c>
      <c r="AA139" s="810">
        <f t="shared" ca="1" si="117"/>
        <v>134</v>
      </c>
      <c r="AB139" s="804"/>
      <c r="AC139" s="811">
        <f t="shared" ca="1" si="118"/>
        <v>43072</v>
      </c>
      <c r="AD139" s="798"/>
      <c r="AE139" s="794" t="str">
        <f t="shared" ca="1" si="119"/>
        <v>-</v>
      </c>
      <c r="AF139" s="798" t="str">
        <f t="shared" si="120"/>
        <v>-</v>
      </c>
      <c r="AG139" s="812" t="str">
        <f t="shared" si="121"/>
        <v>---------</v>
      </c>
      <c r="AH139" s="807">
        <v>43031</v>
      </c>
      <c r="AI139" s="807">
        <f t="shared" si="122"/>
        <v>43190</v>
      </c>
      <c r="AJ139" s="807">
        <f t="shared" si="123"/>
        <v>43220</v>
      </c>
      <c r="AK139" s="813"/>
      <c r="AL139" s="807">
        <f t="shared" si="124"/>
        <v>43259</v>
      </c>
      <c r="AM139" s="807">
        <f t="shared" si="125"/>
        <v>43280</v>
      </c>
      <c r="AN139" s="814">
        <f t="shared" ca="1" si="126"/>
        <v>-146</v>
      </c>
      <c r="AO139" s="815">
        <v>1</v>
      </c>
      <c r="AP139" s="816" t="str">
        <f t="shared" ca="1" si="127"/>
        <v>-</v>
      </c>
      <c r="AQ139" s="817"/>
      <c r="AR139" s="794" t="str">
        <f t="shared" si="128"/>
        <v>-</v>
      </c>
      <c r="AS139" s="818"/>
      <c r="AT139" s="794" t="str">
        <f t="shared" si="129"/>
        <v>-</v>
      </c>
      <c r="AU139" s="819"/>
      <c r="AV139" s="820"/>
      <c r="AW139" s="821"/>
      <c r="AX139" s="821"/>
      <c r="AY139" s="969" t="str">
        <f t="shared" si="130"/>
        <v>-</v>
      </c>
      <c r="AZ139" s="966" t="str">
        <f t="shared" si="131"/>
        <v>-</v>
      </c>
      <c r="BA139" s="971" t="str">
        <f t="shared" si="132"/>
        <v>-</v>
      </c>
      <c r="BB139" s="975"/>
      <c r="BC139" s="821"/>
      <c r="BD139" s="821"/>
      <c r="BE139" s="963" t="str">
        <f t="shared" si="133"/>
        <v>-</v>
      </c>
      <c r="BF139" s="984"/>
      <c r="BG139" s="988"/>
      <c r="BH139" s="982"/>
      <c r="BI139" s="991"/>
      <c r="BJ139" s="991"/>
      <c r="BK139" s="993" t="str">
        <f t="shared" si="134"/>
        <v>-</v>
      </c>
      <c r="BL139" s="820">
        <v>42980</v>
      </c>
      <c r="BM139" s="821">
        <v>5</v>
      </c>
      <c r="BN139" s="822">
        <f t="shared" ca="1" si="135"/>
        <v>154</v>
      </c>
      <c r="BO139" s="823">
        <f t="shared" si="136"/>
        <v>50</v>
      </c>
      <c r="BP139" s="824"/>
      <c r="BQ139" s="821"/>
      <c r="BR139" s="822" t="str">
        <f t="shared" si="137"/>
        <v>-</v>
      </c>
      <c r="BS139" s="823" t="str">
        <f t="shared" si="138"/>
        <v>-</v>
      </c>
      <c r="BT139" s="825" t="str">
        <f t="shared" ca="1" si="139"/>
        <v>-</v>
      </c>
      <c r="BU139" s="826"/>
      <c r="BV139" s="827"/>
      <c r="BW139" s="828" t="str">
        <f t="shared" si="140"/>
        <v>Ж-Е НЕ ВАКЦ.</v>
      </c>
      <c r="BX139" s="829" t="str">
        <f t="shared" si="141"/>
        <v>-</v>
      </c>
      <c r="BY139" s="830" t="str">
        <f t="shared" ca="1" si="142"/>
        <v>-</v>
      </c>
      <c r="BZ139" s="831">
        <v>42888</v>
      </c>
      <c r="CA139" s="832">
        <v>5</v>
      </c>
      <c r="CB139" s="833">
        <f t="shared" ca="1" si="143"/>
        <v>246</v>
      </c>
      <c r="CC139" s="834" t="str">
        <f t="shared" ca="1" si="144"/>
        <v>-</v>
      </c>
      <c r="CD139" s="835">
        <f t="shared" si="145"/>
        <v>42909</v>
      </c>
      <c r="CE139" s="831">
        <v>42909</v>
      </c>
      <c r="CF139" s="832">
        <v>5</v>
      </c>
      <c r="CG139" s="833">
        <f t="shared" ca="1" si="146"/>
        <v>225</v>
      </c>
      <c r="CH139" s="836">
        <f t="shared" si="147"/>
        <v>0</v>
      </c>
      <c r="CI139" s="837" t="str">
        <f t="shared" si="148"/>
        <v>УСПЕШНО</v>
      </c>
      <c r="CJ139" s="838" t="str">
        <f t="shared" ca="1" si="149"/>
        <v>-</v>
      </c>
      <c r="CK139" s="831"/>
      <c r="CL139" s="832"/>
      <c r="CM139" s="833" t="str">
        <f t="shared" si="150"/>
        <v>-</v>
      </c>
      <c r="CN139" s="834" t="str">
        <f t="shared" si="151"/>
        <v>-</v>
      </c>
      <c r="CO139" s="830" t="str">
        <f t="shared" ca="1" si="152"/>
        <v>-</v>
      </c>
      <c r="CP139" s="839"/>
      <c r="CQ139" s="832"/>
      <c r="CR139" s="833" t="str">
        <f t="shared" si="153"/>
        <v>-</v>
      </c>
      <c r="CS139" s="833" t="str">
        <f t="shared" si="154"/>
        <v>-</v>
      </c>
      <c r="CT139" s="834" t="str">
        <f t="shared" si="155"/>
        <v>-</v>
      </c>
      <c r="CU139" s="835" t="str">
        <f t="shared" si="156"/>
        <v>-</v>
      </c>
      <c r="CV139" s="839"/>
      <c r="CW139" s="832"/>
      <c r="CX139" s="833" t="str">
        <f t="shared" si="157"/>
        <v>-</v>
      </c>
      <c r="CY139" s="840" t="str">
        <f t="shared" si="158"/>
        <v>-</v>
      </c>
      <c r="CZ139" s="833" t="str">
        <f t="shared" si="159"/>
        <v>-</v>
      </c>
      <c r="DA139" s="838" t="str">
        <f t="shared" ca="1" si="160"/>
        <v>-</v>
      </c>
      <c r="DB139" s="841"/>
      <c r="DC139" s="832"/>
    </row>
    <row r="140" spans="1:107" s="842" customFormat="1" ht="15.6" customHeight="1" x14ac:dyDescent="0.25">
      <c r="A140" s="790">
        <v>138</v>
      </c>
      <c r="B140" s="791">
        <f t="shared" ca="1" si="109"/>
        <v>43134</v>
      </c>
      <c r="C140" s="792" t="s">
        <v>614</v>
      </c>
      <c r="D140" s="793" t="s">
        <v>3204</v>
      </c>
      <c r="E140" s="794" t="s">
        <v>1359</v>
      </c>
      <c r="F140" s="795" t="s">
        <v>1244</v>
      </c>
      <c r="G140" s="796">
        <f>SUMIFS(МОЛОКО!L8:L6958,МОЛОКО!F8:F6958,"1976",МОЛОКО!L8:L6958,"&gt;0")</f>
        <v>26.2</v>
      </c>
      <c r="H140" s="797" t="s">
        <v>603</v>
      </c>
      <c r="I140" s="798">
        <v>41556</v>
      </c>
      <c r="J140" s="799">
        <f t="shared" ca="1" si="110"/>
        <v>4.3232876712328769</v>
      </c>
      <c r="K140" s="799">
        <f t="shared" ca="1" si="111"/>
        <v>52.6</v>
      </c>
      <c r="L140" s="800">
        <f t="shared" ca="1" si="112"/>
        <v>1578</v>
      </c>
      <c r="M140" s="801">
        <v>42494</v>
      </c>
      <c r="N140" s="802">
        <v>42848</v>
      </c>
      <c r="O140" s="803">
        <f t="shared" ca="1" si="113"/>
        <v>286</v>
      </c>
      <c r="P140" s="804">
        <v>2</v>
      </c>
      <c r="Q140" s="805" t="s">
        <v>2366</v>
      </c>
      <c r="R140" s="806" t="s">
        <v>2269</v>
      </c>
      <c r="S140" s="807">
        <v>42915</v>
      </c>
      <c r="T140" s="798">
        <v>42915</v>
      </c>
      <c r="U140" s="798" t="str">
        <f t="shared" si="114"/>
        <v>-</v>
      </c>
      <c r="V140" s="804" t="str">
        <f t="shared" ca="1" si="115"/>
        <v>-</v>
      </c>
      <c r="W140" s="808">
        <v>1</v>
      </c>
      <c r="X140" s="794">
        <f t="shared" si="108"/>
        <v>67</v>
      </c>
      <c r="Y140" s="794">
        <v>1</v>
      </c>
      <c r="Z140" s="809" t="str">
        <f t="shared" ca="1" si="116"/>
        <v>-----</v>
      </c>
      <c r="AA140" s="810" t="str">
        <f t="shared" ca="1" si="117"/>
        <v>-----</v>
      </c>
      <c r="AB140" s="804">
        <v>1</v>
      </c>
      <c r="AC140" s="811" t="str">
        <f t="shared" ca="1" si="118"/>
        <v>-----</v>
      </c>
      <c r="AD140" s="798">
        <v>42995</v>
      </c>
      <c r="AE140" s="794" t="str">
        <f t="shared" ca="1" si="119"/>
        <v>-</v>
      </c>
      <c r="AF140" s="798" t="str">
        <f t="shared" si="120"/>
        <v>-</v>
      </c>
      <c r="AG140" s="812" t="str">
        <f t="shared" si="121"/>
        <v>---------</v>
      </c>
      <c r="AH140" s="807">
        <v>42947</v>
      </c>
      <c r="AI140" s="807">
        <f t="shared" si="122"/>
        <v>43105</v>
      </c>
      <c r="AJ140" s="807">
        <f t="shared" si="123"/>
        <v>43135</v>
      </c>
      <c r="AK140" s="813"/>
      <c r="AL140" s="807">
        <f t="shared" si="124"/>
        <v>43174</v>
      </c>
      <c r="AM140" s="807">
        <f t="shared" si="125"/>
        <v>43195</v>
      </c>
      <c r="AN140" s="814">
        <f t="shared" ca="1" si="126"/>
        <v>-61</v>
      </c>
      <c r="AO140" s="815">
        <v>1</v>
      </c>
      <c r="AP140" s="816" t="str">
        <f t="shared" ca="1" si="127"/>
        <v>-</v>
      </c>
      <c r="AQ140" s="817"/>
      <c r="AR140" s="794" t="str">
        <f t="shared" si="128"/>
        <v>-</v>
      </c>
      <c r="AS140" s="818"/>
      <c r="AT140" s="794" t="str">
        <f t="shared" si="129"/>
        <v>-</v>
      </c>
      <c r="AU140" s="819"/>
      <c r="AV140" s="820"/>
      <c r="AW140" s="821"/>
      <c r="AX140" s="821"/>
      <c r="AY140" s="969" t="str">
        <f t="shared" si="130"/>
        <v>-</v>
      </c>
      <c r="AZ140" s="966" t="str">
        <f t="shared" si="131"/>
        <v>-</v>
      </c>
      <c r="BA140" s="971" t="str">
        <f t="shared" si="132"/>
        <v>-</v>
      </c>
      <c r="BB140" s="975"/>
      <c r="BC140" s="821"/>
      <c r="BD140" s="821"/>
      <c r="BE140" s="963" t="str">
        <f t="shared" si="133"/>
        <v>-</v>
      </c>
      <c r="BF140" s="984"/>
      <c r="BG140" s="988"/>
      <c r="BH140" s="982"/>
      <c r="BI140" s="991"/>
      <c r="BJ140" s="991"/>
      <c r="BK140" s="993" t="str">
        <f t="shared" si="134"/>
        <v>-</v>
      </c>
      <c r="BL140" s="820">
        <v>42980</v>
      </c>
      <c r="BM140" s="821">
        <v>5</v>
      </c>
      <c r="BN140" s="822">
        <f t="shared" ca="1" si="135"/>
        <v>154</v>
      </c>
      <c r="BO140" s="823">
        <f t="shared" si="136"/>
        <v>47.466666666666669</v>
      </c>
      <c r="BP140" s="824">
        <v>43001</v>
      </c>
      <c r="BQ140" s="821">
        <v>2</v>
      </c>
      <c r="BR140" s="822">
        <f t="shared" ca="1" si="137"/>
        <v>133</v>
      </c>
      <c r="BS140" s="823">
        <f t="shared" si="138"/>
        <v>16.899999999999999</v>
      </c>
      <c r="BT140" s="825" t="str">
        <f t="shared" ca="1" si="139"/>
        <v>-</v>
      </c>
      <c r="BU140" s="826"/>
      <c r="BV140" s="827"/>
      <c r="BW140" s="828" t="str">
        <f t="shared" si="140"/>
        <v>Ж-Е НЕ ВАКЦ.</v>
      </c>
      <c r="BX140" s="829" t="str">
        <f t="shared" si="141"/>
        <v>-</v>
      </c>
      <c r="BY140" s="830" t="str">
        <f t="shared" ca="1" si="142"/>
        <v>-</v>
      </c>
      <c r="BZ140" s="831">
        <v>42887</v>
      </c>
      <c r="CA140" s="832">
        <v>5</v>
      </c>
      <c r="CB140" s="833">
        <f t="shared" ca="1" si="143"/>
        <v>247</v>
      </c>
      <c r="CC140" s="834" t="str">
        <f t="shared" ca="1" si="144"/>
        <v>-</v>
      </c>
      <c r="CD140" s="835">
        <f t="shared" si="145"/>
        <v>42908</v>
      </c>
      <c r="CE140" s="831">
        <v>42908</v>
      </c>
      <c r="CF140" s="832">
        <v>5</v>
      </c>
      <c r="CG140" s="833">
        <f t="shared" ca="1" si="146"/>
        <v>226</v>
      </c>
      <c r="CH140" s="836">
        <f t="shared" si="147"/>
        <v>0</v>
      </c>
      <c r="CI140" s="837" t="str">
        <f t="shared" si="148"/>
        <v>УСПЕШНО</v>
      </c>
      <c r="CJ140" s="838" t="str">
        <f t="shared" ca="1" si="149"/>
        <v>-</v>
      </c>
      <c r="CK140" s="831"/>
      <c r="CL140" s="832"/>
      <c r="CM140" s="833" t="str">
        <f t="shared" si="150"/>
        <v>-</v>
      </c>
      <c r="CN140" s="834" t="str">
        <f t="shared" si="151"/>
        <v>-</v>
      </c>
      <c r="CO140" s="830" t="str">
        <f t="shared" ca="1" si="152"/>
        <v>ТРЕБУЕТСЯ ВАКЦИНАЦИЯ</v>
      </c>
      <c r="CP140" s="839"/>
      <c r="CQ140" s="832"/>
      <c r="CR140" s="833" t="str">
        <f t="shared" si="153"/>
        <v>-</v>
      </c>
      <c r="CS140" s="833" t="str">
        <f t="shared" si="154"/>
        <v>-</v>
      </c>
      <c r="CT140" s="834" t="str">
        <f t="shared" si="155"/>
        <v>-</v>
      </c>
      <c r="CU140" s="835" t="str">
        <f t="shared" si="156"/>
        <v>-</v>
      </c>
      <c r="CV140" s="839"/>
      <c r="CW140" s="832"/>
      <c r="CX140" s="833" t="str">
        <f t="shared" si="157"/>
        <v>-</v>
      </c>
      <c r="CY140" s="840" t="str">
        <f t="shared" si="158"/>
        <v>-</v>
      </c>
      <c r="CZ140" s="833" t="str">
        <f t="shared" si="159"/>
        <v>-</v>
      </c>
      <c r="DA140" s="838" t="str">
        <f t="shared" ca="1" si="160"/>
        <v>-</v>
      </c>
      <c r="DB140" s="841"/>
      <c r="DC140" s="832"/>
    </row>
    <row r="141" spans="1:107" s="842" customFormat="1" ht="15.6" customHeight="1" x14ac:dyDescent="0.25">
      <c r="A141" s="790">
        <v>139</v>
      </c>
      <c r="B141" s="791">
        <f t="shared" ca="1" si="109"/>
        <v>43134</v>
      </c>
      <c r="C141" s="792" t="s">
        <v>614</v>
      </c>
      <c r="D141" s="793" t="s">
        <v>3204</v>
      </c>
      <c r="E141" s="794" t="s">
        <v>1272</v>
      </c>
      <c r="F141" s="795" t="s">
        <v>1138</v>
      </c>
      <c r="G141" s="796">
        <f>SUMIFS(МОЛОКО!L8:L6958,МОЛОКО!F8:F6958,"2075",МОЛОКО!L8:L6958,"&gt;0")</f>
        <v>31.5</v>
      </c>
      <c r="H141" s="797" t="s">
        <v>603</v>
      </c>
      <c r="I141" s="798">
        <v>41628</v>
      </c>
      <c r="J141" s="799">
        <f t="shared" ca="1" si="110"/>
        <v>4.1260273972602741</v>
      </c>
      <c r="K141" s="799">
        <f t="shared" ca="1" si="111"/>
        <v>50.2</v>
      </c>
      <c r="L141" s="800">
        <f t="shared" ca="1" si="112"/>
        <v>1506</v>
      </c>
      <c r="M141" s="801">
        <v>42513</v>
      </c>
      <c r="N141" s="802">
        <v>42950</v>
      </c>
      <c r="O141" s="803">
        <f t="shared" ca="1" si="113"/>
        <v>184</v>
      </c>
      <c r="P141" s="804">
        <v>2</v>
      </c>
      <c r="Q141" s="805" t="s">
        <v>2366</v>
      </c>
      <c r="R141" s="806" t="s">
        <v>2966</v>
      </c>
      <c r="S141" s="807">
        <v>43013</v>
      </c>
      <c r="T141" s="798">
        <v>43013</v>
      </c>
      <c r="U141" s="798" t="str">
        <f t="shared" si="114"/>
        <v>-</v>
      </c>
      <c r="V141" s="804" t="str">
        <f t="shared" ca="1" si="115"/>
        <v>-</v>
      </c>
      <c r="W141" s="808">
        <v>1</v>
      </c>
      <c r="X141" s="794">
        <f t="shared" si="108"/>
        <v>63</v>
      </c>
      <c r="Y141" s="794">
        <v>0</v>
      </c>
      <c r="Z141" s="809" t="str">
        <f t="shared" ca="1" si="116"/>
        <v>-----</v>
      </c>
      <c r="AA141" s="810">
        <f t="shared" ca="1" si="117"/>
        <v>121</v>
      </c>
      <c r="AB141" s="804"/>
      <c r="AC141" s="811" t="str">
        <f t="shared" ca="1" si="118"/>
        <v>-----</v>
      </c>
      <c r="AD141" s="798"/>
      <c r="AE141" s="794" t="str">
        <f t="shared" ca="1" si="119"/>
        <v>яловая</v>
      </c>
      <c r="AF141" s="798" t="str">
        <f t="shared" si="120"/>
        <v>-</v>
      </c>
      <c r="AG141" s="812" t="str">
        <f t="shared" si="121"/>
        <v>---------</v>
      </c>
      <c r="AH141" s="807">
        <v>43052</v>
      </c>
      <c r="AI141" s="807" t="str">
        <f t="shared" si="122"/>
        <v>-</v>
      </c>
      <c r="AJ141" s="807" t="str">
        <f t="shared" si="123"/>
        <v>-</v>
      </c>
      <c r="AK141" s="813"/>
      <c r="AL141" s="807" t="str">
        <f t="shared" si="124"/>
        <v>-</v>
      </c>
      <c r="AM141" s="807" t="str">
        <f t="shared" si="125"/>
        <v>-</v>
      </c>
      <c r="AN141" s="814" t="str">
        <f t="shared" ca="1" si="126"/>
        <v>-</v>
      </c>
      <c r="AO141" s="815">
        <v>1</v>
      </c>
      <c r="AP141" s="816" t="str">
        <f t="shared" ca="1" si="127"/>
        <v>-</v>
      </c>
      <c r="AQ141" s="817"/>
      <c r="AR141" s="794" t="str">
        <f t="shared" si="128"/>
        <v>-</v>
      </c>
      <c r="AS141" s="818"/>
      <c r="AT141" s="794" t="str">
        <f t="shared" si="129"/>
        <v>-</v>
      </c>
      <c r="AU141" s="819"/>
      <c r="AV141" s="820"/>
      <c r="AW141" s="821"/>
      <c r="AX141" s="821"/>
      <c r="AY141" s="969" t="str">
        <f t="shared" si="130"/>
        <v>-</v>
      </c>
      <c r="AZ141" s="966" t="str">
        <f t="shared" si="131"/>
        <v>-</v>
      </c>
      <c r="BA141" s="971" t="str">
        <f t="shared" si="132"/>
        <v>-</v>
      </c>
      <c r="BB141" s="975"/>
      <c r="BC141" s="821"/>
      <c r="BD141" s="821"/>
      <c r="BE141" s="963" t="str">
        <f t="shared" si="133"/>
        <v>-</v>
      </c>
      <c r="BF141" s="984"/>
      <c r="BG141" s="988"/>
      <c r="BH141" s="982"/>
      <c r="BI141" s="991"/>
      <c r="BJ141" s="991"/>
      <c r="BK141" s="993" t="str">
        <f t="shared" si="134"/>
        <v>-</v>
      </c>
      <c r="BL141" s="820">
        <v>42980</v>
      </c>
      <c r="BM141" s="821">
        <v>5</v>
      </c>
      <c r="BN141" s="822">
        <f t="shared" ca="1" si="135"/>
        <v>154</v>
      </c>
      <c r="BO141" s="823">
        <f t="shared" si="136"/>
        <v>45.06666666666667</v>
      </c>
      <c r="BP141" s="824"/>
      <c r="BQ141" s="821"/>
      <c r="BR141" s="822" t="str">
        <f t="shared" si="137"/>
        <v>-</v>
      </c>
      <c r="BS141" s="823" t="str">
        <f t="shared" si="138"/>
        <v>-</v>
      </c>
      <c r="BT141" s="825" t="str">
        <f t="shared" ca="1" si="139"/>
        <v>-</v>
      </c>
      <c r="BU141" s="826"/>
      <c r="BV141" s="827"/>
      <c r="BW141" s="828" t="str">
        <f t="shared" si="140"/>
        <v>Ж-Е НЕ ВАКЦ.</v>
      </c>
      <c r="BX141" s="829" t="str">
        <f t="shared" si="141"/>
        <v>-</v>
      </c>
      <c r="BY141" s="830" t="str">
        <f t="shared" ca="1" si="142"/>
        <v>-</v>
      </c>
      <c r="BZ141" s="831">
        <v>42988</v>
      </c>
      <c r="CA141" s="832">
        <v>5</v>
      </c>
      <c r="CB141" s="833">
        <f t="shared" ca="1" si="143"/>
        <v>146</v>
      </c>
      <c r="CC141" s="834" t="str">
        <f t="shared" ca="1" si="144"/>
        <v>-</v>
      </c>
      <c r="CD141" s="835">
        <f t="shared" si="145"/>
        <v>43009</v>
      </c>
      <c r="CE141" s="831">
        <v>43009</v>
      </c>
      <c r="CF141" s="832">
        <v>5</v>
      </c>
      <c r="CG141" s="833">
        <f t="shared" ca="1" si="146"/>
        <v>125</v>
      </c>
      <c r="CH141" s="836">
        <f t="shared" si="147"/>
        <v>0</v>
      </c>
      <c r="CI141" s="837" t="str">
        <f t="shared" si="148"/>
        <v>УСПЕШНО</v>
      </c>
      <c r="CJ141" s="838" t="str">
        <f t="shared" ca="1" si="149"/>
        <v>-</v>
      </c>
      <c r="CK141" s="831"/>
      <c r="CL141" s="832"/>
      <c r="CM141" s="833" t="str">
        <f t="shared" si="150"/>
        <v>-</v>
      </c>
      <c r="CN141" s="834" t="str">
        <f t="shared" si="151"/>
        <v>-</v>
      </c>
      <c r="CO141" s="830" t="str">
        <f t="shared" ca="1" si="152"/>
        <v>-</v>
      </c>
      <c r="CP141" s="831">
        <v>42882</v>
      </c>
      <c r="CQ141" s="832">
        <v>2</v>
      </c>
      <c r="CR141" s="833">
        <f t="shared" si="153"/>
        <v>-131</v>
      </c>
      <c r="CS141" s="833">
        <f t="shared" ca="1" si="154"/>
        <v>252</v>
      </c>
      <c r="CT141" s="834" t="str">
        <f t="shared" ca="1" si="155"/>
        <v>-</v>
      </c>
      <c r="CU141" s="835">
        <f t="shared" si="156"/>
        <v>42903</v>
      </c>
      <c r="CV141" s="831">
        <v>42903</v>
      </c>
      <c r="CW141" s="832">
        <v>2</v>
      </c>
      <c r="CX141" s="833">
        <f t="shared" si="157"/>
        <v>0</v>
      </c>
      <c r="CY141" s="840" t="str">
        <f t="shared" si="158"/>
        <v>УСПЕШНО</v>
      </c>
      <c r="CZ141" s="833">
        <f t="shared" si="159"/>
        <v>-110</v>
      </c>
      <c r="DA141" s="838" t="str">
        <f t="shared" ca="1" si="160"/>
        <v>-</v>
      </c>
      <c r="DB141" s="841"/>
      <c r="DC141" s="832"/>
    </row>
    <row r="142" spans="1:107" s="842" customFormat="1" ht="15.6" customHeight="1" x14ac:dyDescent="0.25">
      <c r="A142" s="790">
        <v>140</v>
      </c>
      <c r="B142" s="791">
        <f t="shared" ca="1" si="109"/>
        <v>43134</v>
      </c>
      <c r="C142" s="792" t="s">
        <v>614</v>
      </c>
      <c r="D142" s="793" t="s">
        <v>3204</v>
      </c>
      <c r="E142" s="794" t="s">
        <v>1273</v>
      </c>
      <c r="F142" s="795" t="s">
        <v>1139</v>
      </c>
      <c r="G142" s="796">
        <f>SUMIFS(МОЛОКО!L8:L6958,МОЛОКО!F8:F6958,"2086",МОЛОКО!L8:L6958,"&gt;0")</f>
        <v>31.200000000000003</v>
      </c>
      <c r="H142" s="797" t="s">
        <v>603</v>
      </c>
      <c r="I142" s="798">
        <v>41638</v>
      </c>
      <c r="J142" s="799">
        <f t="shared" ca="1" si="110"/>
        <v>4.0986301369863014</v>
      </c>
      <c r="K142" s="799">
        <f t="shared" ca="1" si="111"/>
        <v>49.866666666666667</v>
      </c>
      <c r="L142" s="800">
        <f t="shared" ca="1" si="112"/>
        <v>1496</v>
      </c>
      <c r="M142" s="801">
        <v>42573</v>
      </c>
      <c r="N142" s="802">
        <v>42900</v>
      </c>
      <c r="O142" s="803">
        <f t="shared" ca="1" si="113"/>
        <v>234</v>
      </c>
      <c r="P142" s="804">
        <v>2</v>
      </c>
      <c r="Q142" s="68" t="s">
        <v>1451</v>
      </c>
      <c r="R142" s="118" t="s">
        <v>2966</v>
      </c>
      <c r="S142" s="807">
        <v>42957</v>
      </c>
      <c r="T142" s="798">
        <v>43056</v>
      </c>
      <c r="U142" s="798">
        <f t="shared" si="114"/>
        <v>43074</v>
      </c>
      <c r="V142" s="804">
        <f t="shared" ca="1" si="115"/>
        <v>60</v>
      </c>
      <c r="W142" s="808">
        <v>2</v>
      </c>
      <c r="X142" s="794">
        <f t="shared" si="108"/>
        <v>156</v>
      </c>
      <c r="Y142" s="794">
        <v>3</v>
      </c>
      <c r="Z142" s="809" t="str">
        <f t="shared" ca="1" si="116"/>
        <v>-----</v>
      </c>
      <c r="AA142" s="810">
        <f t="shared" ca="1" si="117"/>
        <v>78</v>
      </c>
      <c r="AB142" s="804"/>
      <c r="AC142" s="811" t="str">
        <f t="shared" ca="1" si="118"/>
        <v>-----</v>
      </c>
      <c r="AD142" s="798"/>
      <c r="AE142" s="794" t="str">
        <f t="shared" ca="1" si="119"/>
        <v>-</v>
      </c>
      <c r="AF142" s="798">
        <f t="shared" si="120"/>
        <v>43091</v>
      </c>
      <c r="AG142" s="812">
        <f t="shared" ca="1" si="121"/>
        <v>43</v>
      </c>
      <c r="AH142" s="807">
        <v>42992</v>
      </c>
      <c r="AI142" s="807" t="str">
        <f t="shared" si="122"/>
        <v>-</v>
      </c>
      <c r="AJ142" s="807" t="str">
        <f t="shared" si="123"/>
        <v>-</v>
      </c>
      <c r="AK142" s="813"/>
      <c r="AL142" s="807" t="str">
        <f t="shared" si="124"/>
        <v>-</v>
      </c>
      <c r="AM142" s="807" t="str">
        <f t="shared" si="125"/>
        <v>-</v>
      </c>
      <c r="AN142" s="814" t="str">
        <f t="shared" ca="1" si="126"/>
        <v>-</v>
      </c>
      <c r="AO142" s="815">
        <v>1</v>
      </c>
      <c r="AP142" s="816" t="str">
        <f t="shared" ca="1" si="127"/>
        <v>-</v>
      </c>
      <c r="AQ142" s="817"/>
      <c r="AR142" s="794" t="str">
        <f t="shared" si="128"/>
        <v>-</v>
      </c>
      <c r="AS142" s="818"/>
      <c r="AT142" s="794" t="str">
        <f t="shared" si="129"/>
        <v>-</v>
      </c>
      <c r="AU142" s="819"/>
      <c r="AV142" s="820"/>
      <c r="AW142" s="821"/>
      <c r="AX142" s="821"/>
      <c r="AY142" s="969" t="str">
        <f t="shared" si="130"/>
        <v>-</v>
      </c>
      <c r="AZ142" s="966" t="str">
        <f t="shared" si="131"/>
        <v>-</v>
      </c>
      <c r="BA142" s="971" t="str">
        <f t="shared" si="132"/>
        <v>-</v>
      </c>
      <c r="BB142" s="975"/>
      <c r="BC142" s="821"/>
      <c r="BD142" s="821"/>
      <c r="BE142" s="963" t="str">
        <f t="shared" si="133"/>
        <v>-</v>
      </c>
      <c r="BF142" s="984"/>
      <c r="BG142" s="988"/>
      <c r="BH142" s="982"/>
      <c r="BI142" s="991"/>
      <c r="BJ142" s="991"/>
      <c r="BK142" s="993" t="str">
        <f t="shared" si="134"/>
        <v>-</v>
      </c>
      <c r="BL142" s="820">
        <v>42980</v>
      </c>
      <c r="BM142" s="821">
        <v>5</v>
      </c>
      <c r="BN142" s="822">
        <f t="shared" ca="1" si="135"/>
        <v>154</v>
      </c>
      <c r="BO142" s="823">
        <f t="shared" si="136"/>
        <v>44.733333333333334</v>
      </c>
      <c r="BP142" s="824">
        <v>43001</v>
      </c>
      <c r="BQ142" s="821">
        <v>2</v>
      </c>
      <c r="BR142" s="822">
        <f t="shared" ca="1" si="137"/>
        <v>133</v>
      </c>
      <c r="BS142" s="823">
        <f t="shared" si="138"/>
        <v>14.266666666666667</v>
      </c>
      <c r="BT142" s="825" t="str">
        <f t="shared" ca="1" si="139"/>
        <v>-</v>
      </c>
      <c r="BU142" s="826"/>
      <c r="BV142" s="827"/>
      <c r="BW142" s="828" t="str">
        <f t="shared" si="140"/>
        <v>Ж-Е НЕ ВАКЦ.</v>
      </c>
      <c r="BX142" s="829" t="str">
        <f t="shared" si="141"/>
        <v>-</v>
      </c>
      <c r="BY142" s="830" t="str">
        <f t="shared" ca="1" si="142"/>
        <v>-</v>
      </c>
      <c r="BZ142" s="831">
        <v>42940</v>
      </c>
      <c r="CA142" s="832">
        <v>5</v>
      </c>
      <c r="CB142" s="833">
        <f t="shared" ca="1" si="143"/>
        <v>194</v>
      </c>
      <c r="CC142" s="834" t="str">
        <f t="shared" ca="1" si="144"/>
        <v>-</v>
      </c>
      <c r="CD142" s="835">
        <f t="shared" si="145"/>
        <v>42961</v>
      </c>
      <c r="CE142" s="831">
        <v>42969</v>
      </c>
      <c r="CF142" s="832">
        <v>5</v>
      </c>
      <c r="CG142" s="833">
        <f t="shared" ca="1" si="146"/>
        <v>165</v>
      </c>
      <c r="CH142" s="836">
        <f t="shared" si="147"/>
        <v>-8</v>
      </c>
      <c r="CI142" s="837" t="str">
        <f t="shared" si="148"/>
        <v>-</v>
      </c>
      <c r="CJ142" s="838" t="str">
        <f t="shared" ca="1" si="149"/>
        <v>-</v>
      </c>
      <c r="CK142" s="831"/>
      <c r="CL142" s="832"/>
      <c r="CM142" s="833" t="str">
        <f t="shared" si="150"/>
        <v>-</v>
      </c>
      <c r="CN142" s="834" t="str">
        <f t="shared" si="151"/>
        <v>-</v>
      </c>
      <c r="CO142" s="830" t="str">
        <f t="shared" ca="1" si="152"/>
        <v>-</v>
      </c>
      <c r="CP142" s="839"/>
      <c r="CQ142" s="832"/>
      <c r="CR142" s="833" t="str">
        <f t="shared" si="153"/>
        <v>-</v>
      </c>
      <c r="CS142" s="833" t="str">
        <f t="shared" si="154"/>
        <v>-</v>
      </c>
      <c r="CT142" s="834" t="str">
        <f t="shared" si="155"/>
        <v>-</v>
      </c>
      <c r="CU142" s="835" t="str">
        <f t="shared" si="156"/>
        <v>-</v>
      </c>
      <c r="CV142" s="839"/>
      <c r="CW142" s="832"/>
      <c r="CX142" s="833" t="str">
        <f t="shared" si="157"/>
        <v>-</v>
      </c>
      <c r="CY142" s="840" t="str">
        <f t="shared" si="158"/>
        <v>-</v>
      </c>
      <c r="CZ142" s="833" t="str">
        <f t="shared" si="159"/>
        <v>-</v>
      </c>
      <c r="DA142" s="838" t="str">
        <f t="shared" ca="1" si="160"/>
        <v>-</v>
      </c>
      <c r="DB142" s="841"/>
      <c r="DC142" s="832"/>
    </row>
    <row r="143" spans="1:107" s="842" customFormat="1" ht="15.6" customHeight="1" x14ac:dyDescent="0.25">
      <c r="A143" s="790">
        <v>141</v>
      </c>
      <c r="B143" s="791">
        <f t="shared" ca="1" si="109"/>
        <v>43134</v>
      </c>
      <c r="C143" s="792" t="s">
        <v>614</v>
      </c>
      <c r="D143" s="793" t="s">
        <v>3204</v>
      </c>
      <c r="E143" s="794" t="s">
        <v>1072</v>
      </c>
      <c r="F143" s="795" t="s">
        <v>1258</v>
      </c>
      <c r="G143" s="796">
        <f>SUMIFS(МОЛОКО!L8:L6958,МОЛОКО!F8:F6958,"2107",МОЛОКО!L8:L6958,"&gt;0")</f>
        <v>24.8</v>
      </c>
      <c r="H143" s="797" t="s">
        <v>603</v>
      </c>
      <c r="I143" s="798">
        <v>41658</v>
      </c>
      <c r="J143" s="799">
        <f t="shared" ca="1" si="110"/>
        <v>4.043835616438356</v>
      </c>
      <c r="K143" s="799">
        <f t="shared" ca="1" si="111"/>
        <v>49.2</v>
      </c>
      <c r="L143" s="800">
        <f t="shared" ca="1" si="112"/>
        <v>1476</v>
      </c>
      <c r="M143" s="801">
        <v>42503</v>
      </c>
      <c r="N143" s="802">
        <v>42848</v>
      </c>
      <c r="O143" s="803">
        <f t="shared" ca="1" si="113"/>
        <v>286</v>
      </c>
      <c r="P143" s="804">
        <v>2</v>
      </c>
      <c r="Q143" s="805" t="s">
        <v>2366</v>
      </c>
      <c r="R143" s="806" t="s">
        <v>2269</v>
      </c>
      <c r="S143" s="807">
        <v>42915</v>
      </c>
      <c r="T143" s="798">
        <v>42935</v>
      </c>
      <c r="U143" s="798" t="str">
        <f t="shared" si="114"/>
        <v>-</v>
      </c>
      <c r="V143" s="804" t="str">
        <f t="shared" ca="1" si="115"/>
        <v>-</v>
      </c>
      <c r="W143" s="808">
        <v>2</v>
      </c>
      <c r="X143" s="794">
        <f t="shared" si="108"/>
        <v>87</v>
      </c>
      <c r="Y143" s="794">
        <v>1</v>
      </c>
      <c r="Z143" s="809" t="str">
        <f t="shared" ca="1" si="116"/>
        <v>-----</v>
      </c>
      <c r="AA143" s="810" t="str">
        <f t="shared" ca="1" si="117"/>
        <v>-----</v>
      </c>
      <c r="AB143" s="804">
        <v>1</v>
      </c>
      <c r="AC143" s="811" t="str">
        <f t="shared" ca="1" si="118"/>
        <v>-----</v>
      </c>
      <c r="AD143" s="798">
        <v>43043</v>
      </c>
      <c r="AE143" s="794" t="str">
        <f t="shared" ca="1" si="119"/>
        <v>-</v>
      </c>
      <c r="AF143" s="798" t="str">
        <f t="shared" si="120"/>
        <v>-</v>
      </c>
      <c r="AG143" s="812" t="str">
        <f t="shared" si="121"/>
        <v>---------</v>
      </c>
      <c r="AH143" s="807">
        <v>42968</v>
      </c>
      <c r="AI143" s="807">
        <f t="shared" si="122"/>
        <v>43125</v>
      </c>
      <c r="AJ143" s="807">
        <f t="shared" si="123"/>
        <v>43155</v>
      </c>
      <c r="AK143" s="813"/>
      <c r="AL143" s="807">
        <f t="shared" si="124"/>
        <v>43194</v>
      </c>
      <c r="AM143" s="807">
        <f t="shared" si="125"/>
        <v>43215</v>
      </c>
      <c r="AN143" s="814">
        <f t="shared" ca="1" si="126"/>
        <v>-81</v>
      </c>
      <c r="AO143" s="815">
        <v>1</v>
      </c>
      <c r="AP143" s="816" t="str">
        <f t="shared" ca="1" si="127"/>
        <v>-</v>
      </c>
      <c r="AQ143" s="817"/>
      <c r="AR143" s="794" t="str">
        <f t="shared" si="128"/>
        <v>-</v>
      </c>
      <c r="AS143" s="818"/>
      <c r="AT143" s="794" t="str">
        <f t="shared" si="129"/>
        <v>-</v>
      </c>
      <c r="AU143" s="819"/>
      <c r="AV143" s="820"/>
      <c r="AW143" s="821"/>
      <c r="AX143" s="821"/>
      <c r="AY143" s="969" t="str">
        <f t="shared" si="130"/>
        <v>-</v>
      </c>
      <c r="AZ143" s="966" t="str">
        <f t="shared" si="131"/>
        <v>-</v>
      </c>
      <c r="BA143" s="971" t="str">
        <f t="shared" si="132"/>
        <v>-</v>
      </c>
      <c r="BB143" s="975"/>
      <c r="BC143" s="821"/>
      <c r="BD143" s="821"/>
      <c r="BE143" s="963" t="str">
        <f t="shared" si="133"/>
        <v>-</v>
      </c>
      <c r="BF143" s="984"/>
      <c r="BG143" s="988"/>
      <c r="BH143" s="982"/>
      <c r="BI143" s="991"/>
      <c r="BJ143" s="991"/>
      <c r="BK143" s="993" t="str">
        <f t="shared" si="134"/>
        <v>-</v>
      </c>
      <c r="BL143" s="820">
        <v>42980</v>
      </c>
      <c r="BM143" s="821">
        <v>5</v>
      </c>
      <c r="BN143" s="822">
        <f t="shared" ca="1" si="135"/>
        <v>154</v>
      </c>
      <c r="BO143" s="823">
        <f t="shared" si="136"/>
        <v>44.06666666666667</v>
      </c>
      <c r="BP143" s="824">
        <v>43001</v>
      </c>
      <c r="BQ143" s="821">
        <v>2</v>
      </c>
      <c r="BR143" s="822">
        <f t="shared" ca="1" si="137"/>
        <v>133</v>
      </c>
      <c r="BS143" s="823">
        <f t="shared" si="138"/>
        <v>16.600000000000001</v>
      </c>
      <c r="BT143" s="825" t="str">
        <f t="shared" ca="1" si="139"/>
        <v>-</v>
      </c>
      <c r="BU143" s="826"/>
      <c r="BV143" s="827"/>
      <c r="BW143" s="828" t="str">
        <f t="shared" si="140"/>
        <v>Ж-Е НЕ ВАКЦ.</v>
      </c>
      <c r="BX143" s="829" t="str">
        <f t="shared" si="141"/>
        <v>-</v>
      </c>
      <c r="BY143" s="830" t="str">
        <f t="shared" ca="1" si="142"/>
        <v>-</v>
      </c>
      <c r="BZ143" s="831">
        <v>42887</v>
      </c>
      <c r="CA143" s="832">
        <v>5</v>
      </c>
      <c r="CB143" s="833">
        <f t="shared" ca="1" si="143"/>
        <v>247</v>
      </c>
      <c r="CC143" s="834" t="str">
        <f t="shared" ca="1" si="144"/>
        <v>-</v>
      </c>
      <c r="CD143" s="835">
        <f t="shared" si="145"/>
        <v>42908</v>
      </c>
      <c r="CE143" s="831">
        <v>42908</v>
      </c>
      <c r="CF143" s="832">
        <v>5</v>
      </c>
      <c r="CG143" s="833">
        <f t="shared" ca="1" si="146"/>
        <v>226</v>
      </c>
      <c r="CH143" s="836">
        <f t="shared" si="147"/>
        <v>0</v>
      </c>
      <c r="CI143" s="837" t="str">
        <f t="shared" si="148"/>
        <v>УСПЕШНО</v>
      </c>
      <c r="CJ143" s="838" t="str">
        <f t="shared" ca="1" si="149"/>
        <v>-</v>
      </c>
      <c r="CK143" s="831"/>
      <c r="CL143" s="832"/>
      <c r="CM143" s="833" t="str">
        <f t="shared" si="150"/>
        <v>-</v>
      </c>
      <c r="CN143" s="834" t="str">
        <f t="shared" si="151"/>
        <v>-</v>
      </c>
      <c r="CO143" s="830" t="str">
        <f t="shared" ca="1" si="152"/>
        <v>-</v>
      </c>
      <c r="CP143" s="839"/>
      <c r="CQ143" s="832"/>
      <c r="CR143" s="833" t="str">
        <f t="shared" si="153"/>
        <v>-</v>
      </c>
      <c r="CS143" s="833" t="str">
        <f t="shared" si="154"/>
        <v>-</v>
      </c>
      <c r="CT143" s="834" t="str">
        <f t="shared" si="155"/>
        <v>-</v>
      </c>
      <c r="CU143" s="835" t="str">
        <f t="shared" si="156"/>
        <v>-</v>
      </c>
      <c r="CV143" s="839"/>
      <c r="CW143" s="832"/>
      <c r="CX143" s="833" t="str">
        <f t="shared" si="157"/>
        <v>-</v>
      </c>
      <c r="CY143" s="840" t="str">
        <f t="shared" si="158"/>
        <v>-</v>
      </c>
      <c r="CZ143" s="833" t="str">
        <f t="shared" si="159"/>
        <v>-</v>
      </c>
      <c r="DA143" s="838" t="str">
        <f t="shared" ca="1" si="160"/>
        <v>-</v>
      </c>
      <c r="DB143" s="841"/>
      <c r="DC143" s="832"/>
    </row>
    <row r="144" spans="1:107" s="842" customFormat="1" ht="15.6" customHeight="1" x14ac:dyDescent="0.25">
      <c r="A144" s="790">
        <v>143</v>
      </c>
      <c r="B144" s="791">
        <f t="shared" ca="1" si="109"/>
        <v>43134</v>
      </c>
      <c r="C144" s="792" t="s">
        <v>614</v>
      </c>
      <c r="D144" s="793" t="s">
        <v>3204</v>
      </c>
      <c r="E144" s="794" t="s">
        <v>1426</v>
      </c>
      <c r="F144" s="795" t="s">
        <v>1425</v>
      </c>
      <c r="G144" s="796">
        <f>SUMIFS(МОЛОКО!L8:L6958,МОЛОКО!F8:F6958,"2120",МОЛОКО!L8:L6958,"&gt;0")</f>
        <v>28.099999999999998</v>
      </c>
      <c r="H144" s="797" t="s">
        <v>603</v>
      </c>
      <c r="I144" s="798">
        <v>41668</v>
      </c>
      <c r="J144" s="799">
        <f t="shared" ca="1" si="110"/>
        <v>4.0164383561643833</v>
      </c>
      <c r="K144" s="799">
        <f t="shared" ca="1" si="111"/>
        <v>48.866666666666667</v>
      </c>
      <c r="L144" s="800">
        <f t="shared" ca="1" si="112"/>
        <v>1466</v>
      </c>
      <c r="M144" s="801">
        <v>42462</v>
      </c>
      <c r="N144" s="802">
        <v>42867</v>
      </c>
      <c r="O144" s="803">
        <f t="shared" ca="1" si="113"/>
        <v>267</v>
      </c>
      <c r="P144" s="804">
        <v>2</v>
      </c>
      <c r="Q144" s="805" t="s">
        <v>2366</v>
      </c>
      <c r="R144" s="806" t="s">
        <v>2269</v>
      </c>
      <c r="S144" s="807">
        <v>42894</v>
      </c>
      <c r="T144" s="798">
        <v>42929</v>
      </c>
      <c r="U144" s="798" t="str">
        <f t="shared" si="114"/>
        <v>-</v>
      </c>
      <c r="V144" s="804" t="str">
        <f t="shared" ca="1" si="115"/>
        <v>-</v>
      </c>
      <c r="W144" s="808">
        <v>2</v>
      </c>
      <c r="X144" s="794">
        <f t="shared" si="108"/>
        <v>62</v>
      </c>
      <c r="Y144" s="794">
        <v>1</v>
      </c>
      <c r="Z144" s="809" t="str">
        <f t="shared" ca="1" si="116"/>
        <v>-----</v>
      </c>
      <c r="AA144" s="810" t="str">
        <f t="shared" ca="1" si="117"/>
        <v>-----</v>
      </c>
      <c r="AB144" s="804">
        <v>1</v>
      </c>
      <c r="AC144" s="811" t="str">
        <f t="shared" ca="1" si="118"/>
        <v>-----</v>
      </c>
      <c r="AD144" s="798">
        <v>43043</v>
      </c>
      <c r="AE144" s="794" t="str">
        <f t="shared" ca="1" si="119"/>
        <v>-</v>
      </c>
      <c r="AF144" s="798" t="str">
        <f t="shared" si="120"/>
        <v>-</v>
      </c>
      <c r="AG144" s="812" t="str">
        <f t="shared" si="121"/>
        <v>---------</v>
      </c>
      <c r="AH144" s="807">
        <v>42961</v>
      </c>
      <c r="AI144" s="807">
        <f t="shared" si="122"/>
        <v>43119</v>
      </c>
      <c r="AJ144" s="807">
        <f t="shared" si="123"/>
        <v>43149</v>
      </c>
      <c r="AK144" s="813"/>
      <c r="AL144" s="807">
        <f t="shared" si="124"/>
        <v>43188</v>
      </c>
      <c r="AM144" s="807">
        <f t="shared" si="125"/>
        <v>43209</v>
      </c>
      <c r="AN144" s="814">
        <f t="shared" ca="1" si="126"/>
        <v>-75</v>
      </c>
      <c r="AO144" s="815">
        <v>1</v>
      </c>
      <c r="AP144" s="816" t="str">
        <f t="shared" ca="1" si="127"/>
        <v>-</v>
      </c>
      <c r="AQ144" s="817"/>
      <c r="AR144" s="794" t="str">
        <f t="shared" si="128"/>
        <v>-</v>
      </c>
      <c r="AS144" s="818"/>
      <c r="AT144" s="794" t="str">
        <f t="shared" si="129"/>
        <v>-</v>
      </c>
      <c r="AU144" s="819"/>
      <c r="AV144" s="820"/>
      <c r="AW144" s="821"/>
      <c r="AX144" s="821"/>
      <c r="AY144" s="969" t="str">
        <f t="shared" si="130"/>
        <v>-</v>
      </c>
      <c r="AZ144" s="966" t="str">
        <f t="shared" si="131"/>
        <v>-</v>
      </c>
      <c r="BA144" s="971" t="str">
        <f t="shared" si="132"/>
        <v>-</v>
      </c>
      <c r="BB144" s="975"/>
      <c r="BC144" s="821"/>
      <c r="BD144" s="821"/>
      <c r="BE144" s="963" t="str">
        <f t="shared" si="133"/>
        <v>-</v>
      </c>
      <c r="BF144" s="984"/>
      <c r="BG144" s="988"/>
      <c r="BH144" s="982"/>
      <c r="BI144" s="991"/>
      <c r="BJ144" s="991"/>
      <c r="BK144" s="993" t="str">
        <f t="shared" si="134"/>
        <v>-</v>
      </c>
      <c r="BL144" s="820">
        <v>42980</v>
      </c>
      <c r="BM144" s="821">
        <v>5</v>
      </c>
      <c r="BN144" s="822">
        <f t="shared" ca="1" si="135"/>
        <v>154</v>
      </c>
      <c r="BO144" s="823">
        <f t="shared" si="136"/>
        <v>43.733333333333334</v>
      </c>
      <c r="BP144" s="824">
        <v>43001</v>
      </c>
      <c r="BQ144" s="821">
        <v>2</v>
      </c>
      <c r="BR144" s="822">
        <f t="shared" ca="1" si="137"/>
        <v>133</v>
      </c>
      <c r="BS144" s="823">
        <f t="shared" si="138"/>
        <v>17.966666666666665</v>
      </c>
      <c r="BT144" s="825" t="str">
        <f t="shared" ca="1" si="139"/>
        <v>-</v>
      </c>
      <c r="BU144" s="826"/>
      <c r="BV144" s="827"/>
      <c r="BW144" s="828" t="str">
        <f t="shared" si="140"/>
        <v>Ж-Е НЕ ВАКЦ.</v>
      </c>
      <c r="BX144" s="829" t="str">
        <f t="shared" si="141"/>
        <v>-</v>
      </c>
      <c r="BY144" s="830" t="str">
        <f t="shared" ca="1" si="142"/>
        <v>-</v>
      </c>
      <c r="BZ144" s="831">
        <v>42888</v>
      </c>
      <c r="CA144" s="832">
        <v>5</v>
      </c>
      <c r="CB144" s="833">
        <f t="shared" ca="1" si="143"/>
        <v>246</v>
      </c>
      <c r="CC144" s="834" t="str">
        <f t="shared" ca="1" si="144"/>
        <v>-</v>
      </c>
      <c r="CD144" s="835">
        <f t="shared" si="145"/>
        <v>42909</v>
      </c>
      <c r="CE144" s="831">
        <v>42909</v>
      </c>
      <c r="CF144" s="832">
        <v>5</v>
      </c>
      <c r="CG144" s="833">
        <f t="shared" ca="1" si="146"/>
        <v>225</v>
      </c>
      <c r="CH144" s="836">
        <f t="shared" si="147"/>
        <v>0</v>
      </c>
      <c r="CI144" s="837" t="str">
        <f t="shared" si="148"/>
        <v>УСПЕШНО</v>
      </c>
      <c r="CJ144" s="838" t="str">
        <f t="shared" ca="1" si="149"/>
        <v>-</v>
      </c>
      <c r="CK144" s="831"/>
      <c r="CL144" s="832"/>
      <c r="CM144" s="833" t="str">
        <f t="shared" si="150"/>
        <v>-</v>
      </c>
      <c r="CN144" s="834" t="str">
        <f t="shared" si="151"/>
        <v>-</v>
      </c>
      <c r="CO144" s="830" t="str">
        <f t="shared" ca="1" si="152"/>
        <v>-</v>
      </c>
      <c r="CP144" s="839"/>
      <c r="CQ144" s="832"/>
      <c r="CR144" s="833" t="str">
        <f t="shared" si="153"/>
        <v>-</v>
      </c>
      <c r="CS144" s="833" t="str">
        <f t="shared" si="154"/>
        <v>-</v>
      </c>
      <c r="CT144" s="834" t="str">
        <f t="shared" si="155"/>
        <v>-</v>
      </c>
      <c r="CU144" s="835" t="str">
        <f t="shared" si="156"/>
        <v>-</v>
      </c>
      <c r="CV144" s="839"/>
      <c r="CW144" s="832"/>
      <c r="CX144" s="833" t="str">
        <f t="shared" si="157"/>
        <v>-</v>
      </c>
      <c r="CY144" s="840" t="str">
        <f t="shared" si="158"/>
        <v>-</v>
      </c>
      <c r="CZ144" s="833" t="str">
        <f t="shared" si="159"/>
        <v>-</v>
      </c>
      <c r="DA144" s="838" t="str">
        <f t="shared" ca="1" si="160"/>
        <v>-</v>
      </c>
      <c r="DB144" s="841"/>
      <c r="DC144" s="832"/>
    </row>
    <row r="145" spans="1:107" s="842" customFormat="1" ht="15.6" customHeight="1" x14ac:dyDescent="0.25">
      <c r="A145" s="790">
        <v>144</v>
      </c>
      <c r="B145" s="791">
        <f t="shared" ca="1" si="109"/>
        <v>43134</v>
      </c>
      <c r="C145" s="792" t="s">
        <v>614</v>
      </c>
      <c r="D145" s="793" t="s">
        <v>3204</v>
      </c>
      <c r="E145" s="794" t="s">
        <v>1298</v>
      </c>
      <c r="F145" s="795" t="s">
        <v>1174</v>
      </c>
      <c r="G145" s="796">
        <f>SUMIFS(МОЛОКО!L8:L6958,МОЛОКО!F8:F6958,"2201",МОЛОКО!L8:L6958,"&gt;0")</f>
        <v>23.6</v>
      </c>
      <c r="H145" s="797" t="s">
        <v>603</v>
      </c>
      <c r="I145" s="798">
        <v>41753</v>
      </c>
      <c r="J145" s="799">
        <f t="shared" ca="1" si="110"/>
        <v>3.7835616438356166</v>
      </c>
      <c r="K145" s="799">
        <f t="shared" ca="1" si="111"/>
        <v>46.033333333333331</v>
      </c>
      <c r="L145" s="800">
        <f t="shared" ca="1" si="112"/>
        <v>1381</v>
      </c>
      <c r="M145" s="801">
        <v>42497</v>
      </c>
      <c r="N145" s="802">
        <v>42880</v>
      </c>
      <c r="O145" s="803">
        <f t="shared" ca="1" si="113"/>
        <v>254</v>
      </c>
      <c r="P145" s="804">
        <v>2</v>
      </c>
      <c r="Q145" s="805" t="s">
        <v>2366</v>
      </c>
      <c r="R145" s="806" t="s">
        <v>2966</v>
      </c>
      <c r="S145" s="807">
        <v>42943</v>
      </c>
      <c r="T145" s="798">
        <v>42986</v>
      </c>
      <c r="U145" s="798" t="str">
        <f t="shared" si="114"/>
        <v>-</v>
      </c>
      <c r="V145" s="804" t="str">
        <f t="shared" ca="1" si="115"/>
        <v>-</v>
      </c>
      <c r="W145" s="808">
        <v>2</v>
      </c>
      <c r="X145" s="794">
        <f t="shared" si="108"/>
        <v>106</v>
      </c>
      <c r="Y145" s="794">
        <v>1</v>
      </c>
      <c r="Z145" s="809" t="str">
        <f t="shared" ca="1" si="116"/>
        <v>-----</v>
      </c>
      <c r="AA145" s="810" t="str">
        <f t="shared" ca="1" si="117"/>
        <v>-----</v>
      </c>
      <c r="AB145" s="804">
        <v>1</v>
      </c>
      <c r="AC145" s="811" t="str">
        <f t="shared" ca="1" si="118"/>
        <v>-----</v>
      </c>
      <c r="AD145" s="798">
        <v>43055</v>
      </c>
      <c r="AE145" s="794" t="str">
        <f t="shared" ca="1" si="119"/>
        <v>-</v>
      </c>
      <c r="AF145" s="798" t="str">
        <f t="shared" si="120"/>
        <v>-</v>
      </c>
      <c r="AG145" s="812" t="str">
        <f t="shared" si="121"/>
        <v>---------</v>
      </c>
      <c r="AH145" s="807">
        <v>43017</v>
      </c>
      <c r="AI145" s="807">
        <f t="shared" si="122"/>
        <v>43176</v>
      </c>
      <c r="AJ145" s="807">
        <f t="shared" si="123"/>
        <v>43206</v>
      </c>
      <c r="AK145" s="813"/>
      <c r="AL145" s="807">
        <f t="shared" si="124"/>
        <v>43245</v>
      </c>
      <c r="AM145" s="807">
        <f t="shared" si="125"/>
        <v>43266</v>
      </c>
      <c r="AN145" s="814">
        <f t="shared" ca="1" si="126"/>
        <v>-132</v>
      </c>
      <c r="AO145" s="815">
        <v>1</v>
      </c>
      <c r="AP145" s="816" t="str">
        <f t="shared" ca="1" si="127"/>
        <v>-</v>
      </c>
      <c r="AQ145" s="817"/>
      <c r="AR145" s="794" t="str">
        <f t="shared" si="128"/>
        <v>-</v>
      </c>
      <c r="AS145" s="818"/>
      <c r="AT145" s="794" t="str">
        <f t="shared" si="129"/>
        <v>-</v>
      </c>
      <c r="AU145" s="819"/>
      <c r="AV145" s="820"/>
      <c r="AW145" s="821"/>
      <c r="AX145" s="821"/>
      <c r="AY145" s="969" t="str">
        <f t="shared" si="130"/>
        <v>-</v>
      </c>
      <c r="AZ145" s="966" t="str">
        <f t="shared" si="131"/>
        <v>-</v>
      </c>
      <c r="BA145" s="971" t="str">
        <f t="shared" si="132"/>
        <v>-</v>
      </c>
      <c r="BB145" s="975"/>
      <c r="BC145" s="821"/>
      <c r="BD145" s="821"/>
      <c r="BE145" s="963" t="str">
        <f t="shared" si="133"/>
        <v>-</v>
      </c>
      <c r="BF145" s="984"/>
      <c r="BG145" s="988"/>
      <c r="BH145" s="982"/>
      <c r="BI145" s="991"/>
      <c r="BJ145" s="991"/>
      <c r="BK145" s="993" t="str">
        <f t="shared" si="134"/>
        <v>-</v>
      </c>
      <c r="BL145" s="820">
        <v>42980</v>
      </c>
      <c r="BM145" s="821">
        <v>5</v>
      </c>
      <c r="BN145" s="822">
        <f t="shared" ca="1" si="135"/>
        <v>154</v>
      </c>
      <c r="BO145" s="823">
        <f t="shared" si="136"/>
        <v>40.9</v>
      </c>
      <c r="BP145" s="824">
        <v>43001</v>
      </c>
      <c r="BQ145" s="821">
        <v>2</v>
      </c>
      <c r="BR145" s="822">
        <f t="shared" ca="1" si="137"/>
        <v>133</v>
      </c>
      <c r="BS145" s="823">
        <f t="shared" si="138"/>
        <v>16.8</v>
      </c>
      <c r="BT145" s="825" t="str">
        <f t="shared" ca="1" si="139"/>
        <v>-</v>
      </c>
      <c r="BU145" s="826"/>
      <c r="BV145" s="827"/>
      <c r="BW145" s="828" t="str">
        <f t="shared" si="140"/>
        <v>Ж-Е НЕ ВАКЦ.</v>
      </c>
      <c r="BX145" s="829" t="str">
        <f t="shared" si="141"/>
        <v>-</v>
      </c>
      <c r="BY145" s="830" t="str">
        <f t="shared" ca="1" si="142"/>
        <v>-</v>
      </c>
      <c r="BZ145" s="831">
        <v>42904</v>
      </c>
      <c r="CA145" s="832">
        <v>5</v>
      </c>
      <c r="CB145" s="833">
        <f t="shared" ca="1" si="143"/>
        <v>230</v>
      </c>
      <c r="CC145" s="834" t="str">
        <f t="shared" ca="1" si="144"/>
        <v>-</v>
      </c>
      <c r="CD145" s="835">
        <f t="shared" si="145"/>
        <v>42925</v>
      </c>
      <c r="CE145" s="831">
        <v>42925</v>
      </c>
      <c r="CF145" s="832">
        <v>5</v>
      </c>
      <c r="CG145" s="833">
        <f t="shared" ca="1" si="146"/>
        <v>209</v>
      </c>
      <c r="CH145" s="836">
        <f t="shared" si="147"/>
        <v>0</v>
      </c>
      <c r="CI145" s="837" t="str">
        <f t="shared" si="148"/>
        <v>УСПЕШНО</v>
      </c>
      <c r="CJ145" s="838" t="str">
        <f t="shared" ca="1" si="149"/>
        <v>-</v>
      </c>
      <c r="CK145" s="831"/>
      <c r="CL145" s="832"/>
      <c r="CM145" s="833" t="str">
        <f t="shared" si="150"/>
        <v>-</v>
      </c>
      <c r="CN145" s="834" t="str">
        <f t="shared" si="151"/>
        <v>-</v>
      </c>
      <c r="CO145" s="830" t="str">
        <f t="shared" ca="1" si="152"/>
        <v>-</v>
      </c>
      <c r="CP145" s="839"/>
      <c r="CQ145" s="832"/>
      <c r="CR145" s="833" t="str">
        <f t="shared" si="153"/>
        <v>-</v>
      </c>
      <c r="CS145" s="833" t="str">
        <f t="shared" si="154"/>
        <v>-</v>
      </c>
      <c r="CT145" s="834" t="str">
        <f t="shared" si="155"/>
        <v>-</v>
      </c>
      <c r="CU145" s="835" t="str">
        <f t="shared" si="156"/>
        <v>-</v>
      </c>
      <c r="CV145" s="839"/>
      <c r="CW145" s="832"/>
      <c r="CX145" s="833" t="str">
        <f t="shared" si="157"/>
        <v>-</v>
      </c>
      <c r="CY145" s="840" t="str">
        <f t="shared" si="158"/>
        <v>-</v>
      </c>
      <c r="CZ145" s="833" t="str">
        <f t="shared" si="159"/>
        <v>-</v>
      </c>
      <c r="DA145" s="838" t="str">
        <f t="shared" ca="1" si="160"/>
        <v>-</v>
      </c>
      <c r="DB145" s="841"/>
      <c r="DC145" s="832"/>
    </row>
    <row r="146" spans="1:107" s="842" customFormat="1" ht="15.6" customHeight="1" x14ac:dyDescent="0.25">
      <c r="A146" s="790">
        <v>146</v>
      </c>
      <c r="B146" s="791">
        <f t="shared" ca="1" si="109"/>
        <v>43134</v>
      </c>
      <c r="C146" s="792" t="s">
        <v>614</v>
      </c>
      <c r="D146" s="793" t="s">
        <v>3204</v>
      </c>
      <c r="E146" s="794" t="s">
        <v>1331</v>
      </c>
      <c r="F146" s="795" t="s">
        <v>1214</v>
      </c>
      <c r="G146" s="796">
        <f>SUMIFS(МОЛОКО!L8:L6958,МОЛОКО!F8:F6958,"2325",МОЛОКО!L8:L6958,"&gt;0")</f>
        <v>28</v>
      </c>
      <c r="H146" s="797" t="s">
        <v>603</v>
      </c>
      <c r="I146" s="798">
        <v>41870</v>
      </c>
      <c r="J146" s="799">
        <f t="shared" ca="1" si="110"/>
        <v>3.463013698630137</v>
      </c>
      <c r="K146" s="799">
        <f t="shared" ca="1" si="111"/>
        <v>42.133333333333333</v>
      </c>
      <c r="L146" s="800">
        <f t="shared" ca="1" si="112"/>
        <v>1264</v>
      </c>
      <c r="M146" s="801">
        <v>42565</v>
      </c>
      <c r="N146" s="802">
        <v>42959</v>
      </c>
      <c r="O146" s="803">
        <f t="shared" ca="1" si="113"/>
        <v>175</v>
      </c>
      <c r="P146" s="804">
        <v>2</v>
      </c>
      <c r="Q146" s="805" t="s">
        <v>1451</v>
      </c>
      <c r="R146" s="806" t="s">
        <v>3020</v>
      </c>
      <c r="S146" s="807">
        <v>43020</v>
      </c>
      <c r="T146" s="798">
        <v>43020</v>
      </c>
      <c r="U146" s="798" t="str">
        <f t="shared" si="114"/>
        <v>-</v>
      </c>
      <c r="V146" s="804" t="str">
        <f t="shared" ca="1" si="115"/>
        <v>-</v>
      </c>
      <c r="W146" s="808">
        <v>1</v>
      </c>
      <c r="X146" s="794">
        <f t="shared" si="108"/>
        <v>61</v>
      </c>
      <c r="Y146" s="794">
        <v>1</v>
      </c>
      <c r="Z146" s="809" t="str">
        <f t="shared" ca="1" si="116"/>
        <v>ПОДЛЕЖИТ ПЕРЕПРОВЕРКЕ</v>
      </c>
      <c r="AA146" s="810">
        <f t="shared" ca="1" si="117"/>
        <v>114</v>
      </c>
      <c r="AB146" s="804"/>
      <c r="AC146" s="811">
        <f t="shared" ca="1" si="118"/>
        <v>43092</v>
      </c>
      <c r="AD146" s="798"/>
      <c r="AE146" s="794" t="str">
        <f t="shared" ca="1" si="119"/>
        <v>-</v>
      </c>
      <c r="AF146" s="798" t="str">
        <f t="shared" si="120"/>
        <v>-</v>
      </c>
      <c r="AG146" s="812" t="str">
        <f t="shared" si="121"/>
        <v>---------</v>
      </c>
      <c r="AH146" s="807">
        <v>43052</v>
      </c>
      <c r="AI146" s="807">
        <f t="shared" si="122"/>
        <v>43210</v>
      </c>
      <c r="AJ146" s="807">
        <f t="shared" si="123"/>
        <v>43240</v>
      </c>
      <c r="AK146" s="813"/>
      <c r="AL146" s="807">
        <f t="shared" si="124"/>
        <v>43279</v>
      </c>
      <c r="AM146" s="807">
        <f t="shared" si="125"/>
        <v>43300</v>
      </c>
      <c r="AN146" s="814">
        <f t="shared" ca="1" si="126"/>
        <v>-166</v>
      </c>
      <c r="AO146" s="815">
        <v>1</v>
      </c>
      <c r="AP146" s="816" t="str">
        <f t="shared" ca="1" si="127"/>
        <v>-</v>
      </c>
      <c r="AQ146" s="817"/>
      <c r="AR146" s="794" t="str">
        <f t="shared" si="128"/>
        <v>-</v>
      </c>
      <c r="AS146" s="818"/>
      <c r="AT146" s="794" t="str">
        <f t="shared" si="129"/>
        <v>-</v>
      </c>
      <c r="AU146" s="819"/>
      <c r="AV146" s="820"/>
      <c r="AW146" s="821"/>
      <c r="AX146" s="821"/>
      <c r="AY146" s="969" t="str">
        <f t="shared" si="130"/>
        <v>-</v>
      </c>
      <c r="AZ146" s="966" t="str">
        <f t="shared" si="131"/>
        <v>-</v>
      </c>
      <c r="BA146" s="971" t="str">
        <f t="shared" si="132"/>
        <v>-</v>
      </c>
      <c r="BB146" s="975"/>
      <c r="BC146" s="821"/>
      <c r="BD146" s="821"/>
      <c r="BE146" s="963" t="str">
        <f t="shared" si="133"/>
        <v>-</v>
      </c>
      <c r="BF146" s="984"/>
      <c r="BG146" s="988"/>
      <c r="BH146" s="982"/>
      <c r="BI146" s="991"/>
      <c r="BJ146" s="991"/>
      <c r="BK146" s="993" t="str">
        <f t="shared" si="134"/>
        <v>-</v>
      </c>
      <c r="BL146" s="820">
        <v>42980</v>
      </c>
      <c r="BM146" s="821">
        <v>5</v>
      </c>
      <c r="BN146" s="822">
        <f t="shared" ca="1" si="135"/>
        <v>154</v>
      </c>
      <c r="BO146" s="823">
        <f t="shared" si="136"/>
        <v>37</v>
      </c>
      <c r="BP146" s="824">
        <v>43001</v>
      </c>
      <c r="BQ146" s="821">
        <v>2</v>
      </c>
      <c r="BR146" s="822">
        <f t="shared" ca="1" si="137"/>
        <v>133</v>
      </c>
      <c r="BS146" s="823">
        <f t="shared" si="138"/>
        <v>14.533333333333333</v>
      </c>
      <c r="BT146" s="825" t="str">
        <f t="shared" ca="1" si="139"/>
        <v>-</v>
      </c>
      <c r="BU146" s="826"/>
      <c r="BV146" s="827"/>
      <c r="BW146" s="828" t="str">
        <f t="shared" si="140"/>
        <v>Ж-Е НЕ ВАКЦ.</v>
      </c>
      <c r="BX146" s="829" t="str">
        <f t="shared" si="141"/>
        <v>-</v>
      </c>
      <c r="BY146" s="830" t="str">
        <f t="shared" ca="1" si="142"/>
        <v>-</v>
      </c>
      <c r="BZ146" s="831">
        <v>42887</v>
      </c>
      <c r="CA146" s="832">
        <v>5</v>
      </c>
      <c r="CB146" s="833">
        <f t="shared" ca="1" si="143"/>
        <v>247</v>
      </c>
      <c r="CC146" s="834" t="str">
        <f t="shared" ca="1" si="144"/>
        <v>-</v>
      </c>
      <c r="CD146" s="835">
        <f t="shared" si="145"/>
        <v>42908</v>
      </c>
      <c r="CE146" s="831">
        <v>42908</v>
      </c>
      <c r="CF146" s="832">
        <v>5</v>
      </c>
      <c r="CG146" s="833">
        <f t="shared" ca="1" si="146"/>
        <v>226</v>
      </c>
      <c r="CH146" s="836">
        <f t="shared" si="147"/>
        <v>0</v>
      </c>
      <c r="CI146" s="837" t="str">
        <f t="shared" si="148"/>
        <v>УСПЕШНО</v>
      </c>
      <c r="CJ146" s="838" t="str">
        <f t="shared" ca="1" si="149"/>
        <v>-</v>
      </c>
      <c r="CK146" s="831"/>
      <c r="CL146" s="832"/>
      <c r="CM146" s="833" t="str">
        <f t="shared" si="150"/>
        <v>-</v>
      </c>
      <c r="CN146" s="834" t="str">
        <f t="shared" si="151"/>
        <v>-</v>
      </c>
      <c r="CO146" s="830" t="str">
        <f t="shared" ca="1" si="152"/>
        <v>-</v>
      </c>
      <c r="CP146" s="831">
        <v>42925</v>
      </c>
      <c r="CQ146" s="832">
        <v>2</v>
      </c>
      <c r="CR146" s="833">
        <f t="shared" si="153"/>
        <v>-95</v>
      </c>
      <c r="CS146" s="833">
        <f t="shared" ca="1" si="154"/>
        <v>209</v>
      </c>
      <c r="CT146" s="834" t="str">
        <f t="shared" ca="1" si="155"/>
        <v>-</v>
      </c>
      <c r="CU146" s="835">
        <f t="shared" si="156"/>
        <v>42946</v>
      </c>
      <c r="CV146" s="831">
        <v>42946</v>
      </c>
      <c r="CW146" s="832">
        <v>2</v>
      </c>
      <c r="CX146" s="833">
        <f t="shared" si="157"/>
        <v>0</v>
      </c>
      <c r="CY146" s="840" t="str">
        <f t="shared" si="158"/>
        <v>УСПЕШНО</v>
      </c>
      <c r="CZ146" s="833">
        <f t="shared" si="159"/>
        <v>-74</v>
      </c>
      <c r="DA146" s="838" t="str">
        <f t="shared" ca="1" si="160"/>
        <v>-</v>
      </c>
      <c r="DB146" s="841"/>
      <c r="DC146" s="832"/>
    </row>
    <row r="147" spans="1:107" s="842" customFormat="1" ht="15.6" customHeight="1" x14ac:dyDescent="0.25">
      <c r="A147" s="790">
        <v>147</v>
      </c>
      <c r="B147" s="791">
        <f t="shared" ca="1" si="109"/>
        <v>43134</v>
      </c>
      <c r="C147" s="29" t="s">
        <v>614</v>
      </c>
      <c r="D147" s="327" t="s">
        <v>3204</v>
      </c>
      <c r="E147" s="794" t="s">
        <v>1049</v>
      </c>
      <c r="F147" s="795" t="s">
        <v>960</v>
      </c>
      <c r="G147" s="796">
        <f>SUMIFS(МОЛОКО!L8:L6958,МОЛОКО!F8:F6958,"2326",МОЛОКО!L8:L6958,"&gt;0")</f>
        <v>40.599999999999994</v>
      </c>
      <c r="H147" s="797" t="s">
        <v>603</v>
      </c>
      <c r="I147" s="798">
        <v>41870</v>
      </c>
      <c r="J147" s="799">
        <f t="shared" ca="1" si="110"/>
        <v>3.463013698630137</v>
      </c>
      <c r="K147" s="799">
        <f t="shared" ca="1" si="111"/>
        <v>42.133333333333333</v>
      </c>
      <c r="L147" s="800">
        <f t="shared" ca="1" si="112"/>
        <v>1264</v>
      </c>
      <c r="M147" s="801">
        <v>42600</v>
      </c>
      <c r="N147" s="802">
        <v>43014</v>
      </c>
      <c r="O147" s="803">
        <f t="shared" ca="1" si="113"/>
        <v>120</v>
      </c>
      <c r="P147" s="804">
        <v>2</v>
      </c>
      <c r="Q147" s="805"/>
      <c r="R147" s="806"/>
      <c r="S147" s="807"/>
      <c r="T147" s="798"/>
      <c r="U147" s="798" t="str">
        <f t="shared" si="114"/>
        <v>-</v>
      </c>
      <c r="V147" s="804" t="str">
        <f t="shared" ca="1" si="115"/>
        <v>-</v>
      </c>
      <c r="W147" s="808">
        <v>0</v>
      </c>
      <c r="X147" s="794" t="str">
        <f t="shared" si="108"/>
        <v>-</v>
      </c>
      <c r="Y147" s="794">
        <v>0</v>
      </c>
      <c r="Z147" s="809" t="str">
        <f t="shared" ca="1" si="116"/>
        <v>-----</v>
      </c>
      <c r="AA147" s="810">
        <f t="shared" ca="1" si="117"/>
        <v>43134</v>
      </c>
      <c r="AB147" s="804"/>
      <c r="AC147" s="811" t="str">
        <f t="shared" ca="1" si="118"/>
        <v>-----</v>
      </c>
      <c r="AD147" s="798"/>
      <c r="AE147" s="794" t="str">
        <f t="shared" ca="1" si="119"/>
        <v>-</v>
      </c>
      <c r="AF147" s="798" t="str">
        <f t="shared" si="120"/>
        <v>-</v>
      </c>
      <c r="AG147" s="812" t="str">
        <f t="shared" si="121"/>
        <v>---------</v>
      </c>
      <c r="AH147" s="807"/>
      <c r="AI147" s="807" t="str">
        <f t="shared" si="122"/>
        <v>-</v>
      </c>
      <c r="AJ147" s="807" t="str">
        <f t="shared" si="123"/>
        <v>-</v>
      </c>
      <c r="AK147" s="813"/>
      <c r="AL147" s="807" t="str">
        <f t="shared" si="124"/>
        <v>-</v>
      </c>
      <c r="AM147" s="807" t="str">
        <f t="shared" si="125"/>
        <v>-</v>
      </c>
      <c r="AN147" s="814" t="str">
        <f t="shared" ca="1" si="126"/>
        <v>-</v>
      </c>
      <c r="AO147" s="815">
        <v>1</v>
      </c>
      <c r="AP147" s="816" t="str">
        <f t="shared" ca="1" si="127"/>
        <v>-</v>
      </c>
      <c r="AQ147" s="817"/>
      <c r="AR147" s="794" t="str">
        <f t="shared" si="128"/>
        <v>-</v>
      </c>
      <c r="AS147" s="818"/>
      <c r="AT147" s="794" t="str">
        <f t="shared" si="129"/>
        <v>-</v>
      </c>
      <c r="AU147" s="819"/>
      <c r="AV147" s="820"/>
      <c r="AW147" s="821"/>
      <c r="AX147" s="821"/>
      <c r="AY147" s="969" t="str">
        <f t="shared" si="130"/>
        <v>-</v>
      </c>
      <c r="AZ147" s="966" t="str">
        <f t="shared" si="131"/>
        <v>-</v>
      </c>
      <c r="BA147" s="971" t="str">
        <f t="shared" si="132"/>
        <v>-</v>
      </c>
      <c r="BB147" s="975"/>
      <c r="BC147" s="821"/>
      <c r="BD147" s="821"/>
      <c r="BE147" s="963" t="str">
        <f t="shared" si="133"/>
        <v>-</v>
      </c>
      <c r="BF147" s="984"/>
      <c r="BG147" s="988"/>
      <c r="BH147" s="982"/>
      <c r="BI147" s="991"/>
      <c r="BJ147" s="991"/>
      <c r="BK147" s="993" t="str">
        <f t="shared" si="134"/>
        <v>-</v>
      </c>
      <c r="BL147" s="820">
        <v>42982</v>
      </c>
      <c r="BM147" s="821">
        <v>5</v>
      </c>
      <c r="BN147" s="822">
        <f t="shared" ca="1" si="135"/>
        <v>152</v>
      </c>
      <c r="BO147" s="823">
        <f t="shared" si="136"/>
        <v>37.06666666666667</v>
      </c>
      <c r="BP147" s="824">
        <v>43001</v>
      </c>
      <c r="BQ147" s="821">
        <v>2</v>
      </c>
      <c r="BR147" s="822">
        <f t="shared" ca="1" si="137"/>
        <v>133</v>
      </c>
      <c r="BS147" s="823">
        <f t="shared" si="138"/>
        <v>13.366666666666667</v>
      </c>
      <c r="BT147" s="825" t="str">
        <f t="shared" ca="1" si="139"/>
        <v>-</v>
      </c>
      <c r="BU147" s="826"/>
      <c r="BV147" s="827"/>
      <c r="BW147" s="828" t="str">
        <f t="shared" si="140"/>
        <v>Ж-Е НЕ ВАКЦ.</v>
      </c>
      <c r="BX147" s="829" t="str">
        <f t="shared" si="141"/>
        <v>-</v>
      </c>
      <c r="BY147" s="830" t="str">
        <f t="shared" ca="1" si="142"/>
        <v>-</v>
      </c>
      <c r="BZ147" s="831">
        <v>42887</v>
      </c>
      <c r="CA147" s="832">
        <v>5</v>
      </c>
      <c r="CB147" s="833">
        <f t="shared" ca="1" si="143"/>
        <v>247</v>
      </c>
      <c r="CC147" s="834" t="str">
        <f t="shared" ca="1" si="144"/>
        <v>-</v>
      </c>
      <c r="CD147" s="835">
        <f t="shared" si="145"/>
        <v>42908</v>
      </c>
      <c r="CE147" s="831">
        <v>42908</v>
      </c>
      <c r="CF147" s="832">
        <v>5</v>
      </c>
      <c r="CG147" s="833">
        <f t="shared" ca="1" si="146"/>
        <v>226</v>
      </c>
      <c r="CH147" s="836">
        <f t="shared" si="147"/>
        <v>0</v>
      </c>
      <c r="CI147" s="837" t="str">
        <f t="shared" si="148"/>
        <v>УСПЕШНО</v>
      </c>
      <c r="CJ147" s="838" t="str">
        <f t="shared" ca="1" si="149"/>
        <v>-</v>
      </c>
      <c r="CK147" s="831"/>
      <c r="CL147" s="832"/>
      <c r="CM147" s="833" t="str">
        <f t="shared" si="150"/>
        <v>-</v>
      </c>
      <c r="CN147" s="834" t="str">
        <f t="shared" si="151"/>
        <v>-</v>
      </c>
      <c r="CO147" s="830" t="str">
        <f t="shared" ca="1" si="152"/>
        <v>-</v>
      </c>
      <c r="CP147" s="831">
        <v>42962</v>
      </c>
      <c r="CQ147" s="832">
        <v>2</v>
      </c>
      <c r="CR147" s="833">
        <f t="shared" si="153"/>
        <v>42962</v>
      </c>
      <c r="CS147" s="833">
        <f t="shared" ca="1" si="154"/>
        <v>172</v>
      </c>
      <c r="CT147" s="834" t="str">
        <f t="shared" ca="1" si="155"/>
        <v>-</v>
      </c>
      <c r="CU147" s="835">
        <f t="shared" si="156"/>
        <v>42983</v>
      </c>
      <c r="CV147" s="831">
        <v>42983</v>
      </c>
      <c r="CW147" s="832">
        <v>2</v>
      </c>
      <c r="CX147" s="833">
        <f t="shared" si="157"/>
        <v>0</v>
      </c>
      <c r="CY147" s="840" t="str">
        <f t="shared" si="158"/>
        <v>УСПЕШНО</v>
      </c>
      <c r="CZ147" s="833">
        <f t="shared" si="159"/>
        <v>42983</v>
      </c>
      <c r="DA147" s="838" t="str">
        <f t="shared" ca="1" si="160"/>
        <v>-</v>
      </c>
      <c r="DB147" s="841"/>
      <c r="DC147" s="832"/>
    </row>
    <row r="148" spans="1:107" s="842" customFormat="1" ht="15.6" customHeight="1" x14ac:dyDescent="0.25">
      <c r="A148" s="790">
        <v>148</v>
      </c>
      <c r="B148" s="791">
        <f t="shared" ca="1" si="109"/>
        <v>43134</v>
      </c>
      <c r="C148" s="29" t="s">
        <v>614</v>
      </c>
      <c r="D148" s="427" t="s">
        <v>3204</v>
      </c>
      <c r="E148" s="794" t="s">
        <v>1352</v>
      </c>
      <c r="F148" s="795" t="s">
        <v>1236</v>
      </c>
      <c r="G148" s="796">
        <f>SUMIFS(МОЛОКО!L8:L6958,МОЛОКО!F8:F6958,"2404",МОЛОКО!L8:L6958,"&gt;0")</f>
        <v>35.400000000000006</v>
      </c>
      <c r="H148" s="797" t="s">
        <v>603</v>
      </c>
      <c r="I148" s="798">
        <v>41958</v>
      </c>
      <c r="J148" s="799">
        <f t="shared" ca="1" si="110"/>
        <v>3.2219178082191782</v>
      </c>
      <c r="K148" s="799">
        <f t="shared" ca="1" si="111"/>
        <v>39.200000000000003</v>
      </c>
      <c r="L148" s="800">
        <f t="shared" ca="1" si="112"/>
        <v>1176</v>
      </c>
      <c r="M148" s="801">
        <v>42595</v>
      </c>
      <c r="N148" s="802">
        <v>43028</v>
      </c>
      <c r="O148" s="803">
        <f t="shared" ca="1" si="113"/>
        <v>106</v>
      </c>
      <c r="P148" s="804">
        <v>2</v>
      </c>
      <c r="Q148" s="805"/>
      <c r="R148" s="806"/>
      <c r="S148" s="807"/>
      <c r="T148" s="798"/>
      <c r="U148" s="798" t="str">
        <f t="shared" si="114"/>
        <v>-</v>
      </c>
      <c r="V148" s="804" t="str">
        <f t="shared" ca="1" si="115"/>
        <v>-</v>
      </c>
      <c r="W148" s="808">
        <v>0</v>
      </c>
      <c r="X148" s="794" t="str">
        <f t="shared" si="108"/>
        <v>-</v>
      </c>
      <c r="Y148" s="794">
        <v>0</v>
      </c>
      <c r="Z148" s="809" t="str">
        <f t="shared" ca="1" si="116"/>
        <v>-----</v>
      </c>
      <c r="AA148" s="810">
        <f t="shared" ca="1" si="117"/>
        <v>43134</v>
      </c>
      <c r="AB148" s="804"/>
      <c r="AC148" s="811" t="str">
        <f t="shared" ca="1" si="118"/>
        <v>-----</v>
      </c>
      <c r="AD148" s="798"/>
      <c r="AE148" s="794" t="str">
        <f t="shared" ca="1" si="119"/>
        <v>-</v>
      </c>
      <c r="AF148" s="798" t="str">
        <f t="shared" si="120"/>
        <v>-</v>
      </c>
      <c r="AG148" s="812" t="str">
        <f t="shared" si="121"/>
        <v>---------</v>
      </c>
      <c r="AH148" s="807"/>
      <c r="AI148" s="807" t="str">
        <f t="shared" si="122"/>
        <v>-</v>
      </c>
      <c r="AJ148" s="807" t="str">
        <f t="shared" si="123"/>
        <v>-</v>
      </c>
      <c r="AK148" s="813"/>
      <c r="AL148" s="807" t="str">
        <f t="shared" si="124"/>
        <v>-</v>
      </c>
      <c r="AM148" s="807" t="str">
        <f t="shared" si="125"/>
        <v>-</v>
      </c>
      <c r="AN148" s="814" t="str">
        <f t="shared" ca="1" si="126"/>
        <v>-</v>
      </c>
      <c r="AO148" s="815">
        <v>1</v>
      </c>
      <c r="AP148" s="816" t="str">
        <f t="shared" ca="1" si="127"/>
        <v>-</v>
      </c>
      <c r="AQ148" s="817"/>
      <c r="AR148" s="794" t="str">
        <f t="shared" si="128"/>
        <v>-</v>
      </c>
      <c r="AS148" s="818"/>
      <c r="AT148" s="794" t="str">
        <f t="shared" si="129"/>
        <v>-</v>
      </c>
      <c r="AU148" s="819"/>
      <c r="AV148" s="820"/>
      <c r="AW148" s="821"/>
      <c r="AX148" s="821"/>
      <c r="AY148" s="969" t="str">
        <f t="shared" si="130"/>
        <v>-</v>
      </c>
      <c r="AZ148" s="966" t="str">
        <f t="shared" si="131"/>
        <v>-</v>
      </c>
      <c r="BA148" s="971" t="str">
        <f t="shared" si="132"/>
        <v>-</v>
      </c>
      <c r="BB148" s="975"/>
      <c r="BC148" s="821"/>
      <c r="BD148" s="821"/>
      <c r="BE148" s="963" t="str">
        <f t="shared" si="133"/>
        <v>-</v>
      </c>
      <c r="BF148" s="984"/>
      <c r="BG148" s="988"/>
      <c r="BH148" s="982"/>
      <c r="BI148" s="991"/>
      <c r="BJ148" s="991"/>
      <c r="BK148" s="993" t="str">
        <f t="shared" si="134"/>
        <v>-</v>
      </c>
      <c r="BL148" s="820">
        <v>42978</v>
      </c>
      <c r="BM148" s="821">
        <v>5</v>
      </c>
      <c r="BN148" s="822">
        <f t="shared" ca="1" si="135"/>
        <v>156</v>
      </c>
      <c r="BO148" s="823">
        <f t="shared" si="136"/>
        <v>34</v>
      </c>
      <c r="BP148" s="824">
        <v>43001</v>
      </c>
      <c r="BQ148" s="821">
        <v>2</v>
      </c>
      <c r="BR148" s="822">
        <f t="shared" ca="1" si="137"/>
        <v>133</v>
      </c>
      <c r="BS148" s="823">
        <f t="shared" si="138"/>
        <v>13.533333333333333</v>
      </c>
      <c r="BT148" s="825" t="str">
        <f t="shared" ca="1" si="139"/>
        <v>-</v>
      </c>
      <c r="BU148" s="826"/>
      <c r="BV148" s="827"/>
      <c r="BW148" s="828" t="str">
        <f t="shared" si="140"/>
        <v>Ж-Е НЕ ВАКЦ.</v>
      </c>
      <c r="BX148" s="829" t="str">
        <f t="shared" si="141"/>
        <v>-</v>
      </c>
      <c r="BY148" s="830" t="str">
        <f t="shared" ca="1" si="142"/>
        <v>-</v>
      </c>
      <c r="BZ148" s="831">
        <v>42887</v>
      </c>
      <c r="CA148" s="832">
        <v>5</v>
      </c>
      <c r="CB148" s="833">
        <f t="shared" ca="1" si="143"/>
        <v>247</v>
      </c>
      <c r="CC148" s="834" t="str">
        <f t="shared" ca="1" si="144"/>
        <v>-</v>
      </c>
      <c r="CD148" s="835">
        <f t="shared" si="145"/>
        <v>42908</v>
      </c>
      <c r="CE148" s="831">
        <v>42908</v>
      </c>
      <c r="CF148" s="832">
        <v>5</v>
      </c>
      <c r="CG148" s="833">
        <f t="shared" ca="1" si="146"/>
        <v>226</v>
      </c>
      <c r="CH148" s="836">
        <f t="shared" si="147"/>
        <v>0</v>
      </c>
      <c r="CI148" s="837" t="str">
        <f t="shared" si="148"/>
        <v>УСПЕШНО</v>
      </c>
      <c r="CJ148" s="838" t="str">
        <f t="shared" ca="1" si="149"/>
        <v>-</v>
      </c>
      <c r="CK148" s="831"/>
      <c r="CL148" s="832"/>
      <c r="CM148" s="833" t="str">
        <f t="shared" si="150"/>
        <v>-</v>
      </c>
      <c r="CN148" s="834" t="str">
        <f t="shared" si="151"/>
        <v>-</v>
      </c>
      <c r="CO148" s="830" t="str">
        <f t="shared" ca="1" si="152"/>
        <v>-</v>
      </c>
      <c r="CP148" s="831">
        <v>42975</v>
      </c>
      <c r="CQ148" s="832">
        <v>2</v>
      </c>
      <c r="CR148" s="833">
        <f t="shared" si="153"/>
        <v>42975</v>
      </c>
      <c r="CS148" s="833">
        <f t="shared" ca="1" si="154"/>
        <v>159</v>
      </c>
      <c r="CT148" s="834" t="str">
        <f t="shared" ca="1" si="155"/>
        <v>-</v>
      </c>
      <c r="CU148" s="835">
        <f t="shared" si="156"/>
        <v>42996</v>
      </c>
      <c r="CV148" s="831">
        <v>42996</v>
      </c>
      <c r="CW148" s="832">
        <v>2</v>
      </c>
      <c r="CX148" s="833">
        <f t="shared" si="157"/>
        <v>0</v>
      </c>
      <c r="CY148" s="840" t="str">
        <f t="shared" si="158"/>
        <v>УСПЕШНО</v>
      </c>
      <c r="CZ148" s="833">
        <f t="shared" si="159"/>
        <v>42996</v>
      </c>
      <c r="DA148" s="838" t="str">
        <f t="shared" ca="1" si="160"/>
        <v>-</v>
      </c>
      <c r="DB148" s="841"/>
      <c r="DC148" s="832"/>
    </row>
    <row r="149" spans="1:107" s="842" customFormat="1" ht="15.6" customHeight="1" x14ac:dyDescent="0.25">
      <c r="A149" s="790">
        <v>149</v>
      </c>
      <c r="B149" s="791">
        <f t="shared" ca="1" si="109"/>
        <v>43134</v>
      </c>
      <c r="C149" s="29" t="s">
        <v>614</v>
      </c>
      <c r="D149" s="59" t="s">
        <v>3204</v>
      </c>
      <c r="E149" s="794" t="s">
        <v>1072</v>
      </c>
      <c r="F149" s="853" t="s">
        <v>973</v>
      </c>
      <c r="G149" s="796">
        <f>SUMIFS(МОЛОКО!L8:L6958,МОЛОКО!F8:F6958,"2474",МОЛОКО!L8:L6958,"&gt;0")</f>
        <v>30.099999999999998</v>
      </c>
      <c r="H149" s="797" t="s">
        <v>603</v>
      </c>
      <c r="I149" s="798">
        <v>42008</v>
      </c>
      <c r="J149" s="799">
        <f t="shared" ca="1" si="110"/>
        <v>3.0849315068493151</v>
      </c>
      <c r="K149" s="799">
        <f t="shared" ca="1" si="111"/>
        <v>37.533333333333331</v>
      </c>
      <c r="L149" s="800">
        <f t="shared" ca="1" si="112"/>
        <v>1126</v>
      </c>
      <c r="M149" s="801">
        <v>42661</v>
      </c>
      <c r="N149" s="802">
        <v>43013</v>
      </c>
      <c r="O149" s="803">
        <f t="shared" ca="1" si="113"/>
        <v>121</v>
      </c>
      <c r="P149" s="804">
        <v>2</v>
      </c>
      <c r="Q149" s="805"/>
      <c r="R149" s="806"/>
      <c r="S149" s="807"/>
      <c r="T149" s="798"/>
      <c r="U149" s="798" t="str">
        <f t="shared" si="114"/>
        <v>-</v>
      </c>
      <c r="V149" s="804" t="str">
        <f t="shared" ca="1" si="115"/>
        <v>-</v>
      </c>
      <c r="W149" s="808">
        <v>0</v>
      </c>
      <c r="X149" s="794" t="str">
        <f t="shared" si="108"/>
        <v>-</v>
      </c>
      <c r="Y149" s="794">
        <v>0</v>
      </c>
      <c r="Z149" s="809" t="str">
        <f t="shared" ca="1" si="116"/>
        <v>-----</v>
      </c>
      <c r="AA149" s="810">
        <f t="shared" ca="1" si="117"/>
        <v>43134</v>
      </c>
      <c r="AB149" s="804"/>
      <c r="AC149" s="811" t="str">
        <f t="shared" ca="1" si="118"/>
        <v>-----</v>
      </c>
      <c r="AD149" s="798"/>
      <c r="AE149" s="794" t="str">
        <f t="shared" ca="1" si="119"/>
        <v>яловая</v>
      </c>
      <c r="AF149" s="798" t="str">
        <f t="shared" si="120"/>
        <v>-</v>
      </c>
      <c r="AG149" s="812" t="str">
        <f t="shared" si="121"/>
        <v>---------</v>
      </c>
      <c r="AH149" s="807"/>
      <c r="AI149" s="807" t="str">
        <f t="shared" si="122"/>
        <v>-</v>
      </c>
      <c r="AJ149" s="807" t="str">
        <f t="shared" si="123"/>
        <v>-</v>
      </c>
      <c r="AK149" s="813"/>
      <c r="AL149" s="807" t="str">
        <f t="shared" si="124"/>
        <v>-</v>
      </c>
      <c r="AM149" s="807" t="str">
        <f t="shared" si="125"/>
        <v>-</v>
      </c>
      <c r="AN149" s="814" t="str">
        <f t="shared" ca="1" si="126"/>
        <v>-</v>
      </c>
      <c r="AO149" s="815">
        <v>1</v>
      </c>
      <c r="AP149" s="816" t="str">
        <f t="shared" ca="1" si="127"/>
        <v>-</v>
      </c>
      <c r="AQ149" s="817"/>
      <c r="AR149" s="794" t="str">
        <f t="shared" si="128"/>
        <v>-</v>
      </c>
      <c r="AS149" s="818"/>
      <c r="AT149" s="794" t="str">
        <f t="shared" si="129"/>
        <v>-</v>
      </c>
      <c r="AU149" s="819"/>
      <c r="AV149" s="820"/>
      <c r="AW149" s="821"/>
      <c r="AX149" s="821"/>
      <c r="AY149" s="969" t="str">
        <f t="shared" si="130"/>
        <v>-</v>
      </c>
      <c r="AZ149" s="966" t="str">
        <f t="shared" si="131"/>
        <v>-</v>
      </c>
      <c r="BA149" s="971" t="str">
        <f t="shared" si="132"/>
        <v>-</v>
      </c>
      <c r="BB149" s="975"/>
      <c r="BC149" s="821"/>
      <c r="BD149" s="821"/>
      <c r="BE149" s="963" t="str">
        <f t="shared" si="133"/>
        <v>-</v>
      </c>
      <c r="BF149" s="984"/>
      <c r="BG149" s="988"/>
      <c r="BH149" s="982"/>
      <c r="BI149" s="991"/>
      <c r="BJ149" s="991"/>
      <c r="BK149" s="993" t="str">
        <f t="shared" si="134"/>
        <v>-</v>
      </c>
      <c r="BL149" s="820">
        <v>42978</v>
      </c>
      <c r="BM149" s="821">
        <v>5</v>
      </c>
      <c r="BN149" s="822">
        <f t="shared" ca="1" si="135"/>
        <v>156</v>
      </c>
      <c r="BO149" s="823">
        <f t="shared" si="136"/>
        <v>32.333333333333336</v>
      </c>
      <c r="BP149" s="824">
        <v>43001</v>
      </c>
      <c r="BQ149" s="821">
        <v>2</v>
      </c>
      <c r="BR149" s="822">
        <f t="shared" ca="1" si="137"/>
        <v>133</v>
      </c>
      <c r="BS149" s="823">
        <f t="shared" si="138"/>
        <v>11.333333333333334</v>
      </c>
      <c r="BT149" s="825" t="str">
        <f t="shared" ca="1" si="139"/>
        <v>-</v>
      </c>
      <c r="BU149" s="826"/>
      <c r="BV149" s="827"/>
      <c r="BW149" s="828" t="str">
        <f t="shared" si="140"/>
        <v>Ж-Е НЕ ВАКЦ.</v>
      </c>
      <c r="BX149" s="829" t="str">
        <f t="shared" si="141"/>
        <v>-</v>
      </c>
      <c r="BY149" s="830" t="str">
        <f t="shared" ca="1" si="142"/>
        <v>-</v>
      </c>
      <c r="BZ149" s="831">
        <v>42887</v>
      </c>
      <c r="CA149" s="832">
        <v>5</v>
      </c>
      <c r="CB149" s="833">
        <f t="shared" ca="1" si="143"/>
        <v>247</v>
      </c>
      <c r="CC149" s="834" t="str">
        <f t="shared" ca="1" si="144"/>
        <v>-</v>
      </c>
      <c r="CD149" s="835">
        <f t="shared" si="145"/>
        <v>42908</v>
      </c>
      <c r="CE149" s="831">
        <v>42908</v>
      </c>
      <c r="CF149" s="832">
        <v>5</v>
      </c>
      <c r="CG149" s="833">
        <f t="shared" ca="1" si="146"/>
        <v>226</v>
      </c>
      <c r="CH149" s="836">
        <f t="shared" si="147"/>
        <v>0</v>
      </c>
      <c r="CI149" s="837" t="str">
        <f t="shared" si="148"/>
        <v>УСПЕШНО</v>
      </c>
      <c r="CJ149" s="838" t="str">
        <f t="shared" ca="1" si="149"/>
        <v>-</v>
      </c>
      <c r="CK149" s="831"/>
      <c r="CL149" s="832"/>
      <c r="CM149" s="833" t="str">
        <f t="shared" si="150"/>
        <v>-</v>
      </c>
      <c r="CN149" s="834" t="str">
        <f t="shared" si="151"/>
        <v>-</v>
      </c>
      <c r="CO149" s="830" t="str">
        <f t="shared" ca="1" si="152"/>
        <v>-</v>
      </c>
      <c r="CP149" s="831">
        <v>42958</v>
      </c>
      <c r="CQ149" s="832">
        <v>2</v>
      </c>
      <c r="CR149" s="833">
        <f t="shared" si="153"/>
        <v>42958</v>
      </c>
      <c r="CS149" s="833">
        <f t="shared" ca="1" si="154"/>
        <v>176</v>
      </c>
      <c r="CT149" s="834" t="str">
        <f t="shared" ca="1" si="155"/>
        <v>-</v>
      </c>
      <c r="CU149" s="835">
        <f t="shared" si="156"/>
        <v>42979</v>
      </c>
      <c r="CV149" s="831">
        <v>42980</v>
      </c>
      <c r="CW149" s="832">
        <v>2</v>
      </c>
      <c r="CX149" s="833">
        <f t="shared" si="157"/>
        <v>1</v>
      </c>
      <c r="CY149" s="840" t="str">
        <f t="shared" si="158"/>
        <v>-</v>
      </c>
      <c r="CZ149" s="833">
        <f t="shared" si="159"/>
        <v>42980</v>
      </c>
      <c r="DA149" s="838" t="str">
        <f t="shared" ca="1" si="160"/>
        <v>-</v>
      </c>
      <c r="DB149" s="841"/>
      <c r="DC149" s="832"/>
    </row>
    <row r="150" spans="1:107" s="842" customFormat="1" ht="15.6" customHeight="1" x14ac:dyDescent="0.25">
      <c r="A150" s="790">
        <v>150</v>
      </c>
      <c r="B150" s="791">
        <f t="shared" ca="1" si="109"/>
        <v>43134</v>
      </c>
      <c r="C150" s="29" t="s">
        <v>614</v>
      </c>
      <c r="D150" s="327" t="s">
        <v>3204</v>
      </c>
      <c r="E150" s="794" t="s">
        <v>1100</v>
      </c>
      <c r="F150" s="795" t="s">
        <v>1012</v>
      </c>
      <c r="G150" s="796">
        <f>SUMIFS(МОЛОКО!L8:L6958,МОЛОКО!F8:F6958,"2525",МОЛОКО!L8:L6958,"&gt;0")</f>
        <v>32.799999999999997</v>
      </c>
      <c r="H150" s="797" t="s">
        <v>603</v>
      </c>
      <c r="I150" s="798">
        <v>42040</v>
      </c>
      <c r="J150" s="799">
        <f t="shared" ca="1" si="110"/>
        <v>2.9972602739726026</v>
      </c>
      <c r="K150" s="799">
        <f t="shared" ca="1" si="111"/>
        <v>36.466666666666669</v>
      </c>
      <c r="L150" s="800">
        <f t="shared" ca="1" si="112"/>
        <v>1094</v>
      </c>
      <c r="M150" s="801">
        <v>42686</v>
      </c>
      <c r="N150" s="802">
        <v>43025</v>
      </c>
      <c r="O150" s="803">
        <f t="shared" ca="1" si="113"/>
        <v>109</v>
      </c>
      <c r="P150" s="804">
        <v>2</v>
      </c>
      <c r="Q150" s="805"/>
      <c r="R150" s="806"/>
      <c r="S150" s="807"/>
      <c r="T150" s="798"/>
      <c r="U150" s="798" t="str">
        <f t="shared" si="114"/>
        <v>-</v>
      </c>
      <c r="V150" s="804" t="str">
        <f t="shared" ca="1" si="115"/>
        <v>-</v>
      </c>
      <c r="W150" s="808">
        <v>0</v>
      </c>
      <c r="X150" s="794" t="str">
        <f t="shared" si="108"/>
        <v>-</v>
      </c>
      <c r="Y150" s="794">
        <v>0</v>
      </c>
      <c r="Z150" s="809" t="str">
        <f t="shared" ca="1" si="116"/>
        <v>-----</v>
      </c>
      <c r="AA150" s="810">
        <f t="shared" ca="1" si="117"/>
        <v>43134</v>
      </c>
      <c r="AB150" s="804"/>
      <c r="AC150" s="811" t="str">
        <f t="shared" ca="1" si="118"/>
        <v>-----</v>
      </c>
      <c r="AD150" s="798"/>
      <c r="AE150" s="794" t="str">
        <f t="shared" ca="1" si="119"/>
        <v>-</v>
      </c>
      <c r="AF150" s="798" t="str">
        <f t="shared" si="120"/>
        <v>-</v>
      </c>
      <c r="AG150" s="812" t="str">
        <f t="shared" si="121"/>
        <v>---------</v>
      </c>
      <c r="AH150" s="807"/>
      <c r="AI150" s="807" t="str">
        <f t="shared" si="122"/>
        <v>-</v>
      </c>
      <c r="AJ150" s="807" t="str">
        <f t="shared" si="123"/>
        <v>-</v>
      </c>
      <c r="AK150" s="813"/>
      <c r="AL150" s="807" t="str">
        <f t="shared" si="124"/>
        <v>-</v>
      </c>
      <c r="AM150" s="807" t="str">
        <f t="shared" si="125"/>
        <v>-</v>
      </c>
      <c r="AN150" s="814" t="str">
        <f t="shared" ca="1" si="126"/>
        <v>-</v>
      </c>
      <c r="AO150" s="815">
        <v>1</v>
      </c>
      <c r="AP150" s="816" t="str">
        <f t="shared" ca="1" si="127"/>
        <v>-</v>
      </c>
      <c r="AQ150" s="817"/>
      <c r="AR150" s="794" t="str">
        <f t="shared" si="128"/>
        <v>-</v>
      </c>
      <c r="AS150" s="818"/>
      <c r="AT150" s="794" t="str">
        <f t="shared" si="129"/>
        <v>-</v>
      </c>
      <c r="AU150" s="819"/>
      <c r="AV150" s="820"/>
      <c r="AW150" s="821"/>
      <c r="AX150" s="821"/>
      <c r="AY150" s="969" t="str">
        <f t="shared" si="130"/>
        <v>-</v>
      </c>
      <c r="AZ150" s="966" t="str">
        <f t="shared" si="131"/>
        <v>-</v>
      </c>
      <c r="BA150" s="971" t="str">
        <f t="shared" si="132"/>
        <v>-</v>
      </c>
      <c r="BB150" s="975"/>
      <c r="BC150" s="821"/>
      <c r="BD150" s="821"/>
      <c r="BE150" s="963" t="str">
        <f t="shared" si="133"/>
        <v>-</v>
      </c>
      <c r="BF150" s="984"/>
      <c r="BG150" s="988"/>
      <c r="BH150" s="982"/>
      <c r="BI150" s="991"/>
      <c r="BJ150" s="991"/>
      <c r="BK150" s="993" t="str">
        <f t="shared" si="134"/>
        <v>-</v>
      </c>
      <c r="BL150" s="820">
        <v>42978</v>
      </c>
      <c r="BM150" s="821">
        <v>5</v>
      </c>
      <c r="BN150" s="822">
        <f t="shared" ca="1" si="135"/>
        <v>156</v>
      </c>
      <c r="BO150" s="823">
        <f t="shared" si="136"/>
        <v>31.266666666666666</v>
      </c>
      <c r="BP150" s="824">
        <v>43001</v>
      </c>
      <c r="BQ150" s="821">
        <v>2</v>
      </c>
      <c r="BR150" s="822">
        <f t="shared" ca="1" si="137"/>
        <v>133</v>
      </c>
      <c r="BS150" s="823">
        <f t="shared" si="138"/>
        <v>10.5</v>
      </c>
      <c r="BT150" s="825" t="str">
        <f t="shared" ca="1" si="139"/>
        <v>-</v>
      </c>
      <c r="BU150" s="826"/>
      <c r="BV150" s="827"/>
      <c r="BW150" s="828" t="str">
        <f t="shared" si="140"/>
        <v>Ж-Е НЕ ВАКЦ.</v>
      </c>
      <c r="BX150" s="829" t="str">
        <f t="shared" si="141"/>
        <v>-</v>
      </c>
      <c r="BY150" s="830" t="str">
        <f t="shared" ca="1" si="142"/>
        <v>-</v>
      </c>
      <c r="BZ150" s="831">
        <v>42887</v>
      </c>
      <c r="CA150" s="832">
        <v>5</v>
      </c>
      <c r="CB150" s="833">
        <f t="shared" ca="1" si="143"/>
        <v>247</v>
      </c>
      <c r="CC150" s="834" t="str">
        <f t="shared" ca="1" si="144"/>
        <v>-</v>
      </c>
      <c r="CD150" s="835">
        <f t="shared" si="145"/>
        <v>42908</v>
      </c>
      <c r="CE150" s="831">
        <v>42908</v>
      </c>
      <c r="CF150" s="832">
        <v>5</v>
      </c>
      <c r="CG150" s="833">
        <f t="shared" ca="1" si="146"/>
        <v>226</v>
      </c>
      <c r="CH150" s="836">
        <f t="shared" si="147"/>
        <v>0</v>
      </c>
      <c r="CI150" s="837" t="str">
        <f t="shared" si="148"/>
        <v>УСПЕШНО</v>
      </c>
      <c r="CJ150" s="838" t="str">
        <f t="shared" ca="1" si="149"/>
        <v>-</v>
      </c>
      <c r="CK150" s="831"/>
      <c r="CL150" s="832"/>
      <c r="CM150" s="833" t="str">
        <f t="shared" si="150"/>
        <v>-</v>
      </c>
      <c r="CN150" s="834" t="str">
        <f t="shared" si="151"/>
        <v>-</v>
      </c>
      <c r="CO150" s="830" t="str">
        <f t="shared" ca="1" si="152"/>
        <v>-</v>
      </c>
      <c r="CP150" s="831">
        <v>42962</v>
      </c>
      <c r="CQ150" s="832">
        <v>2</v>
      </c>
      <c r="CR150" s="833">
        <f t="shared" si="153"/>
        <v>42962</v>
      </c>
      <c r="CS150" s="833">
        <f t="shared" ca="1" si="154"/>
        <v>172</v>
      </c>
      <c r="CT150" s="834" t="str">
        <f t="shared" ca="1" si="155"/>
        <v>-</v>
      </c>
      <c r="CU150" s="835">
        <f t="shared" si="156"/>
        <v>42983</v>
      </c>
      <c r="CV150" s="831">
        <v>42983</v>
      </c>
      <c r="CW150" s="832">
        <v>2</v>
      </c>
      <c r="CX150" s="833">
        <f t="shared" si="157"/>
        <v>0</v>
      </c>
      <c r="CY150" s="840" t="str">
        <f t="shared" si="158"/>
        <v>УСПЕШНО</v>
      </c>
      <c r="CZ150" s="833">
        <f t="shared" si="159"/>
        <v>42983</v>
      </c>
      <c r="DA150" s="838" t="str">
        <f t="shared" ca="1" si="160"/>
        <v>-</v>
      </c>
      <c r="DB150" s="841"/>
      <c r="DC150" s="832"/>
    </row>
    <row r="151" spans="1:107" s="842" customFormat="1" ht="15.6" customHeight="1" x14ac:dyDescent="0.25">
      <c r="A151" s="790">
        <v>151</v>
      </c>
      <c r="B151" s="791">
        <f t="shared" ca="1" si="109"/>
        <v>43134</v>
      </c>
      <c r="C151" s="792" t="s">
        <v>614</v>
      </c>
      <c r="D151" s="793" t="s">
        <v>3204</v>
      </c>
      <c r="E151" s="794" t="s">
        <v>1523</v>
      </c>
      <c r="F151" s="795" t="s">
        <v>1521</v>
      </c>
      <c r="G151" s="796">
        <f>SUMIFS(МОЛОКО!L8:L6958,МОЛОКО!F8:F6958,"2587",МОЛОКО!L8:L6958,"&gt;0")</f>
        <v>17</v>
      </c>
      <c r="H151" s="797" t="s">
        <v>603</v>
      </c>
      <c r="I151" s="798">
        <v>42101</v>
      </c>
      <c r="J151" s="799">
        <f t="shared" ca="1" si="110"/>
        <v>2.8301369863013699</v>
      </c>
      <c r="K151" s="799">
        <f t="shared" ca="1" si="111"/>
        <v>34.43333333333333</v>
      </c>
      <c r="L151" s="800">
        <f t="shared" ca="1" si="112"/>
        <v>1033</v>
      </c>
      <c r="M151" s="801">
        <v>42996</v>
      </c>
      <c r="N151" s="802">
        <v>42996</v>
      </c>
      <c r="O151" s="803">
        <f t="shared" ca="1" si="113"/>
        <v>138</v>
      </c>
      <c r="P151" s="804">
        <v>1</v>
      </c>
      <c r="Q151" s="805" t="s">
        <v>3075</v>
      </c>
      <c r="R151" s="806"/>
      <c r="S151" s="807"/>
      <c r="T151" s="798"/>
      <c r="U151" s="798" t="str">
        <f t="shared" si="114"/>
        <v>-</v>
      </c>
      <c r="V151" s="804" t="str">
        <f t="shared" ca="1" si="115"/>
        <v>-</v>
      </c>
      <c r="W151" s="808">
        <v>0</v>
      </c>
      <c r="X151" s="794" t="str">
        <f t="shared" si="108"/>
        <v>-</v>
      </c>
      <c r="Y151" s="794">
        <v>0</v>
      </c>
      <c r="Z151" s="809" t="str">
        <f t="shared" ca="1" si="116"/>
        <v>-----</v>
      </c>
      <c r="AA151" s="810">
        <f t="shared" ca="1" si="117"/>
        <v>43134</v>
      </c>
      <c r="AB151" s="804"/>
      <c r="AC151" s="811" t="str">
        <f t="shared" ca="1" si="118"/>
        <v>-----</v>
      </c>
      <c r="AD151" s="798"/>
      <c r="AE151" s="794" t="str">
        <f t="shared" ca="1" si="119"/>
        <v>яловая</v>
      </c>
      <c r="AF151" s="798" t="str">
        <f t="shared" si="120"/>
        <v>-</v>
      </c>
      <c r="AG151" s="812" t="str">
        <f t="shared" si="121"/>
        <v>---------</v>
      </c>
      <c r="AH151" s="807"/>
      <c r="AI151" s="807" t="str">
        <f t="shared" si="122"/>
        <v>-</v>
      </c>
      <c r="AJ151" s="807" t="str">
        <f t="shared" si="123"/>
        <v>-</v>
      </c>
      <c r="AK151" s="813"/>
      <c r="AL151" s="807" t="str">
        <f t="shared" si="124"/>
        <v>-</v>
      </c>
      <c r="AM151" s="807" t="str">
        <f t="shared" si="125"/>
        <v>-</v>
      </c>
      <c r="AN151" s="814" t="str">
        <f t="shared" ca="1" si="126"/>
        <v>-</v>
      </c>
      <c r="AO151" s="815">
        <v>1</v>
      </c>
      <c r="AP151" s="816" t="str">
        <f t="shared" ca="1" si="127"/>
        <v>-</v>
      </c>
      <c r="AQ151" s="817"/>
      <c r="AR151" s="794" t="str">
        <f t="shared" si="128"/>
        <v>-</v>
      </c>
      <c r="AS151" s="818"/>
      <c r="AT151" s="794" t="str">
        <f t="shared" si="129"/>
        <v>-</v>
      </c>
      <c r="AU151" s="819"/>
      <c r="AV151" s="820"/>
      <c r="AW151" s="821"/>
      <c r="AX151" s="821"/>
      <c r="AY151" s="969" t="str">
        <f t="shared" si="130"/>
        <v>-</v>
      </c>
      <c r="AZ151" s="966" t="str">
        <f t="shared" si="131"/>
        <v>-</v>
      </c>
      <c r="BA151" s="971" t="str">
        <f t="shared" si="132"/>
        <v>-</v>
      </c>
      <c r="BB151" s="975"/>
      <c r="BC151" s="821"/>
      <c r="BD151" s="821"/>
      <c r="BE151" s="963" t="str">
        <f t="shared" si="133"/>
        <v>-</v>
      </c>
      <c r="BF151" s="984"/>
      <c r="BG151" s="988"/>
      <c r="BH151" s="982"/>
      <c r="BI151" s="991"/>
      <c r="BJ151" s="991"/>
      <c r="BK151" s="993" t="str">
        <f t="shared" si="134"/>
        <v>-</v>
      </c>
      <c r="BL151" s="820">
        <v>42982</v>
      </c>
      <c r="BM151" s="821">
        <v>5</v>
      </c>
      <c r="BN151" s="822">
        <f t="shared" ca="1" si="135"/>
        <v>152</v>
      </c>
      <c r="BO151" s="823">
        <f t="shared" si="136"/>
        <v>29.366666666666667</v>
      </c>
      <c r="BP151" s="824">
        <v>43001</v>
      </c>
      <c r="BQ151" s="821">
        <v>2</v>
      </c>
      <c r="BR151" s="822">
        <f t="shared" ca="1" si="137"/>
        <v>133</v>
      </c>
      <c r="BS151" s="823">
        <f t="shared" si="138"/>
        <v>0.16666666666666666</v>
      </c>
      <c r="BT151" s="825" t="str">
        <f t="shared" ca="1" si="139"/>
        <v>-</v>
      </c>
      <c r="BU151" s="826"/>
      <c r="BV151" s="827"/>
      <c r="BW151" s="828" t="str">
        <f t="shared" si="140"/>
        <v>Ж-Е НЕ ВАКЦ.</v>
      </c>
      <c r="BX151" s="829" t="str">
        <f t="shared" si="141"/>
        <v>-</v>
      </c>
      <c r="BY151" s="830" t="str">
        <f t="shared" ca="1" si="142"/>
        <v>-</v>
      </c>
      <c r="BZ151" s="831">
        <v>42894</v>
      </c>
      <c r="CA151" s="832">
        <v>5</v>
      </c>
      <c r="CB151" s="833">
        <f t="shared" ca="1" si="143"/>
        <v>240</v>
      </c>
      <c r="CC151" s="834" t="str">
        <f t="shared" ca="1" si="144"/>
        <v>-</v>
      </c>
      <c r="CD151" s="835">
        <f t="shared" si="145"/>
        <v>42915</v>
      </c>
      <c r="CE151" s="831">
        <v>42915</v>
      </c>
      <c r="CF151" s="832">
        <v>5</v>
      </c>
      <c r="CG151" s="833">
        <f t="shared" ca="1" si="146"/>
        <v>219</v>
      </c>
      <c r="CH151" s="836">
        <f t="shared" si="147"/>
        <v>0</v>
      </c>
      <c r="CI151" s="837" t="str">
        <f t="shared" si="148"/>
        <v>УСПЕШНО</v>
      </c>
      <c r="CJ151" s="838" t="str">
        <f t="shared" ca="1" si="149"/>
        <v>-</v>
      </c>
      <c r="CK151" s="831"/>
      <c r="CL151" s="832"/>
      <c r="CM151" s="833" t="str">
        <f t="shared" si="150"/>
        <v>-</v>
      </c>
      <c r="CN151" s="834" t="str">
        <f t="shared" si="151"/>
        <v>-</v>
      </c>
      <c r="CO151" s="830" t="str">
        <f t="shared" ca="1" si="152"/>
        <v>-</v>
      </c>
      <c r="CP151" s="831">
        <v>42925</v>
      </c>
      <c r="CQ151" s="832">
        <v>2</v>
      </c>
      <c r="CR151" s="833">
        <f t="shared" si="153"/>
        <v>42925</v>
      </c>
      <c r="CS151" s="833">
        <f t="shared" ca="1" si="154"/>
        <v>209</v>
      </c>
      <c r="CT151" s="834" t="str">
        <f t="shared" ca="1" si="155"/>
        <v>-</v>
      </c>
      <c r="CU151" s="835">
        <f t="shared" si="156"/>
        <v>42946</v>
      </c>
      <c r="CV151" s="831">
        <v>42946</v>
      </c>
      <c r="CW151" s="832">
        <v>2</v>
      </c>
      <c r="CX151" s="833">
        <f t="shared" si="157"/>
        <v>0</v>
      </c>
      <c r="CY151" s="840" t="str">
        <f t="shared" si="158"/>
        <v>УСПЕШНО</v>
      </c>
      <c r="CZ151" s="833">
        <f t="shared" si="159"/>
        <v>42946</v>
      </c>
      <c r="DA151" s="838" t="str">
        <f t="shared" ca="1" si="160"/>
        <v>-</v>
      </c>
      <c r="DB151" s="841"/>
      <c r="DC151" s="832"/>
    </row>
    <row r="152" spans="1:107" s="842" customFormat="1" ht="15.6" customHeight="1" x14ac:dyDescent="0.25">
      <c r="A152" s="790">
        <v>152</v>
      </c>
      <c r="B152" s="791">
        <f t="shared" ca="1" si="109"/>
        <v>43134</v>
      </c>
      <c r="C152" s="792" t="s">
        <v>614</v>
      </c>
      <c r="D152" s="793" t="s">
        <v>3204</v>
      </c>
      <c r="E152" s="794" t="s">
        <v>1524</v>
      </c>
      <c r="F152" s="795" t="s">
        <v>1542</v>
      </c>
      <c r="G152" s="796">
        <f>SUMIFS(МОЛОКО!L8:L6958,МОЛОКО!F8:F6958,"2603",МОЛОКО!L8:L6958,"&gt;0")</f>
        <v>19.399999999999999</v>
      </c>
      <c r="H152" s="797" t="s">
        <v>603</v>
      </c>
      <c r="I152" s="798">
        <v>42114</v>
      </c>
      <c r="J152" s="799">
        <f t="shared" ca="1" si="110"/>
        <v>2.7945205479452055</v>
      </c>
      <c r="K152" s="799">
        <f t="shared" ca="1" si="111"/>
        <v>34</v>
      </c>
      <c r="L152" s="800">
        <f t="shared" ca="1" si="112"/>
        <v>1020</v>
      </c>
      <c r="M152" s="801">
        <v>42885</v>
      </c>
      <c r="N152" s="802">
        <v>42885</v>
      </c>
      <c r="O152" s="803">
        <f t="shared" ca="1" si="113"/>
        <v>249</v>
      </c>
      <c r="P152" s="804">
        <v>1</v>
      </c>
      <c r="Q152" s="805" t="s">
        <v>2366</v>
      </c>
      <c r="R152" s="806" t="s">
        <v>2966</v>
      </c>
      <c r="S152" s="807">
        <v>42943</v>
      </c>
      <c r="T152" s="798">
        <v>42943</v>
      </c>
      <c r="U152" s="798" t="str">
        <f t="shared" si="114"/>
        <v>-</v>
      </c>
      <c r="V152" s="804" t="str">
        <f t="shared" ca="1" si="115"/>
        <v>-</v>
      </c>
      <c r="W152" s="808">
        <v>1</v>
      </c>
      <c r="X152" s="794">
        <f t="shared" si="108"/>
        <v>58</v>
      </c>
      <c r="Y152" s="794">
        <v>1</v>
      </c>
      <c r="Z152" s="809" t="str">
        <f t="shared" ca="1" si="116"/>
        <v>-----</v>
      </c>
      <c r="AA152" s="810" t="str">
        <f t="shared" ca="1" si="117"/>
        <v>-----</v>
      </c>
      <c r="AB152" s="804">
        <v>1</v>
      </c>
      <c r="AC152" s="811" t="str">
        <f t="shared" ca="1" si="118"/>
        <v>-----</v>
      </c>
      <c r="AD152" s="798">
        <v>43030</v>
      </c>
      <c r="AE152" s="794" t="str">
        <f t="shared" ca="1" si="119"/>
        <v>-</v>
      </c>
      <c r="AF152" s="798" t="str">
        <f t="shared" si="120"/>
        <v>-</v>
      </c>
      <c r="AG152" s="812" t="str">
        <f t="shared" si="121"/>
        <v>---------</v>
      </c>
      <c r="AH152" s="807">
        <v>42975</v>
      </c>
      <c r="AI152" s="807">
        <f t="shared" si="122"/>
        <v>43133</v>
      </c>
      <c r="AJ152" s="807">
        <f t="shared" si="123"/>
        <v>43163</v>
      </c>
      <c r="AK152" s="813"/>
      <c r="AL152" s="807">
        <f t="shared" si="124"/>
        <v>43202</v>
      </c>
      <c r="AM152" s="807">
        <f t="shared" si="125"/>
        <v>43223</v>
      </c>
      <c r="AN152" s="814">
        <f t="shared" ca="1" si="126"/>
        <v>-89</v>
      </c>
      <c r="AO152" s="815">
        <v>1</v>
      </c>
      <c r="AP152" s="816" t="str">
        <f t="shared" ca="1" si="127"/>
        <v>-</v>
      </c>
      <c r="AQ152" s="817"/>
      <c r="AR152" s="794" t="str">
        <f t="shared" si="128"/>
        <v>-</v>
      </c>
      <c r="AS152" s="818"/>
      <c r="AT152" s="794" t="str">
        <f t="shared" si="129"/>
        <v>-</v>
      </c>
      <c r="AU152" s="819"/>
      <c r="AV152" s="820"/>
      <c r="AW152" s="821"/>
      <c r="AX152" s="821"/>
      <c r="AY152" s="969" t="str">
        <f t="shared" si="130"/>
        <v>-</v>
      </c>
      <c r="AZ152" s="966" t="str">
        <f t="shared" si="131"/>
        <v>-</v>
      </c>
      <c r="BA152" s="971" t="str">
        <f t="shared" si="132"/>
        <v>-</v>
      </c>
      <c r="BB152" s="975"/>
      <c r="BC152" s="821"/>
      <c r="BD152" s="821"/>
      <c r="BE152" s="963" t="str">
        <f t="shared" si="133"/>
        <v>-</v>
      </c>
      <c r="BF152" s="984"/>
      <c r="BG152" s="988"/>
      <c r="BH152" s="982"/>
      <c r="BI152" s="991"/>
      <c r="BJ152" s="991"/>
      <c r="BK152" s="993" t="str">
        <f t="shared" si="134"/>
        <v>-</v>
      </c>
      <c r="BL152" s="820">
        <v>42980</v>
      </c>
      <c r="BM152" s="821">
        <v>5</v>
      </c>
      <c r="BN152" s="822">
        <f t="shared" ca="1" si="135"/>
        <v>154</v>
      </c>
      <c r="BO152" s="823">
        <f t="shared" si="136"/>
        <v>28.866666666666667</v>
      </c>
      <c r="BP152" s="824">
        <v>43001</v>
      </c>
      <c r="BQ152" s="821">
        <v>2</v>
      </c>
      <c r="BR152" s="822">
        <f t="shared" ca="1" si="137"/>
        <v>133</v>
      </c>
      <c r="BS152" s="823">
        <f t="shared" si="138"/>
        <v>3.8666666666666667</v>
      </c>
      <c r="BT152" s="825" t="str">
        <f t="shared" ca="1" si="139"/>
        <v>-</v>
      </c>
      <c r="BU152" s="826"/>
      <c r="BV152" s="827"/>
      <c r="BW152" s="828" t="str">
        <f t="shared" si="140"/>
        <v>Ж-Е НЕ ВАКЦ.</v>
      </c>
      <c r="BX152" s="829" t="str">
        <f t="shared" si="141"/>
        <v>-</v>
      </c>
      <c r="BY152" s="830" t="str">
        <f t="shared" ca="1" si="142"/>
        <v>-</v>
      </c>
      <c r="BZ152" s="831">
        <v>42916</v>
      </c>
      <c r="CA152" s="832">
        <v>5</v>
      </c>
      <c r="CB152" s="833">
        <f t="shared" ca="1" si="143"/>
        <v>218</v>
      </c>
      <c r="CC152" s="834" t="str">
        <f t="shared" ca="1" si="144"/>
        <v>-</v>
      </c>
      <c r="CD152" s="835">
        <f t="shared" si="145"/>
        <v>42937</v>
      </c>
      <c r="CE152" s="831">
        <v>42937</v>
      </c>
      <c r="CF152" s="832">
        <v>5</v>
      </c>
      <c r="CG152" s="833">
        <f t="shared" ca="1" si="146"/>
        <v>197</v>
      </c>
      <c r="CH152" s="836">
        <f t="shared" si="147"/>
        <v>0</v>
      </c>
      <c r="CI152" s="837" t="str">
        <f t="shared" si="148"/>
        <v>УСПЕШНО</v>
      </c>
      <c r="CJ152" s="838" t="str">
        <f t="shared" ca="1" si="149"/>
        <v>-</v>
      </c>
      <c r="CK152" s="831"/>
      <c r="CL152" s="832"/>
      <c r="CM152" s="833" t="str">
        <f t="shared" si="150"/>
        <v>-</v>
      </c>
      <c r="CN152" s="834" t="str">
        <f t="shared" si="151"/>
        <v>-</v>
      </c>
      <c r="CO152" s="830" t="str">
        <f t="shared" ca="1" si="152"/>
        <v>-</v>
      </c>
      <c r="CP152" s="839"/>
      <c r="CQ152" s="832"/>
      <c r="CR152" s="833" t="str">
        <f t="shared" si="153"/>
        <v>-</v>
      </c>
      <c r="CS152" s="833" t="str">
        <f t="shared" si="154"/>
        <v>-</v>
      </c>
      <c r="CT152" s="834" t="str">
        <f t="shared" si="155"/>
        <v>-</v>
      </c>
      <c r="CU152" s="835" t="str">
        <f t="shared" si="156"/>
        <v>-</v>
      </c>
      <c r="CV152" s="839"/>
      <c r="CW152" s="832"/>
      <c r="CX152" s="833" t="str">
        <f t="shared" si="157"/>
        <v>-</v>
      </c>
      <c r="CY152" s="840" t="str">
        <f t="shared" si="158"/>
        <v>-</v>
      </c>
      <c r="CZ152" s="833" t="str">
        <f t="shared" si="159"/>
        <v>-</v>
      </c>
      <c r="DA152" s="838" t="str">
        <f t="shared" ca="1" si="160"/>
        <v>-</v>
      </c>
      <c r="DB152" s="841"/>
      <c r="DC152" s="832"/>
    </row>
    <row r="153" spans="1:107" s="842" customFormat="1" ht="15.6" customHeight="1" x14ac:dyDescent="0.25">
      <c r="A153" s="790">
        <v>153</v>
      </c>
      <c r="B153" s="791">
        <f t="shared" ca="1" si="109"/>
        <v>43134</v>
      </c>
      <c r="C153" s="792" t="s">
        <v>614</v>
      </c>
      <c r="D153" s="793" t="s">
        <v>3204</v>
      </c>
      <c r="E153" s="794" t="s">
        <v>1494</v>
      </c>
      <c r="F153" s="853" t="s">
        <v>1476</v>
      </c>
      <c r="G153" s="796">
        <f>SUMIFS(МОЛОКО!L8:L6958,МОЛОКО!F8:F6958,"2642",МОЛОКО!L8:L6958,"&gt;0")</f>
        <v>25.2</v>
      </c>
      <c r="H153" s="797" t="s">
        <v>603</v>
      </c>
      <c r="I153" s="798">
        <v>42156</v>
      </c>
      <c r="J153" s="799">
        <f t="shared" ca="1" si="110"/>
        <v>2.6794520547945204</v>
      </c>
      <c r="K153" s="799">
        <f t="shared" ca="1" si="111"/>
        <v>32.6</v>
      </c>
      <c r="L153" s="800">
        <f t="shared" ca="1" si="112"/>
        <v>978</v>
      </c>
      <c r="M153" s="801">
        <v>42807</v>
      </c>
      <c r="N153" s="802">
        <v>42807</v>
      </c>
      <c r="O153" s="803">
        <f t="shared" ca="1" si="113"/>
        <v>327</v>
      </c>
      <c r="P153" s="804">
        <v>1</v>
      </c>
      <c r="Q153" s="805" t="s">
        <v>2366</v>
      </c>
      <c r="R153" s="806" t="s">
        <v>2664</v>
      </c>
      <c r="S153" s="807">
        <v>42873</v>
      </c>
      <c r="T153" s="798">
        <v>42873</v>
      </c>
      <c r="U153" s="798" t="str">
        <f t="shared" si="114"/>
        <v>-</v>
      </c>
      <c r="V153" s="804" t="str">
        <f t="shared" ca="1" si="115"/>
        <v>-</v>
      </c>
      <c r="W153" s="808">
        <v>1</v>
      </c>
      <c r="X153" s="794">
        <f t="shared" si="108"/>
        <v>66</v>
      </c>
      <c r="Y153" s="794">
        <v>1</v>
      </c>
      <c r="Z153" s="809" t="str">
        <f t="shared" ca="1" si="116"/>
        <v>-----</v>
      </c>
      <c r="AA153" s="810" t="str">
        <f t="shared" ca="1" si="117"/>
        <v>-----</v>
      </c>
      <c r="AB153" s="804">
        <v>1</v>
      </c>
      <c r="AC153" s="811" t="str">
        <f t="shared" ca="1" si="118"/>
        <v>-----</v>
      </c>
      <c r="AD153" s="798">
        <v>42935</v>
      </c>
      <c r="AE153" s="794" t="str">
        <f t="shared" ca="1" si="119"/>
        <v>-</v>
      </c>
      <c r="AF153" s="798" t="str">
        <f t="shared" si="120"/>
        <v>-</v>
      </c>
      <c r="AG153" s="812" t="str">
        <f t="shared" si="121"/>
        <v>---------</v>
      </c>
      <c r="AH153" s="807">
        <v>42908</v>
      </c>
      <c r="AI153" s="807">
        <f t="shared" si="122"/>
        <v>43063</v>
      </c>
      <c r="AJ153" s="807">
        <f t="shared" si="123"/>
        <v>43093</v>
      </c>
      <c r="AK153" s="813"/>
      <c r="AL153" s="807">
        <f t="shared" si="124"/>
        <v>43132</v>
      </c>
      <c r="AM153" s="807">
        <f t="shared" si="125"/>
        <v>43153</v>
      </c>
      <c r="AN153" s="814">
        <f t="shared" ca="1" si="126"/>
        <v>-19</v>
      </c>
      <c r="AO153" s="815">
        <v>1</v>
      </c>
      <c r="AP153" s="816" t="str">
        <f t="shared" ca="1" si="127"/>
        <v>-</v>
      </c>
      <c r="AQ153" s="817"/>
      <c r="AR153" s="794" t="str">
        <f t="shared" si="128"/>
        <v>-</v>
      </c>
      <c r="AS153" s="818"/>
      <c r="AT153" s="794" t="str">
        <f t="shared" si="129"/>
        <v>-</v>
      </c>
      <c r="AU153" s="819"/>
      <c r="AV153" s="820"/>
      <c r="AW153" s="821"/>
      <c r="AX153" s="821"/>
      <c r="AY153" s="969" t="str">
        <f t="shared" si="130"/>
        <v>-</v>
      </c>
      <c r="AZ153" s="966" t="str">
        <f t="shared" si="131"/>
        <v>-</v>
      </c>
      <c r="BA153" s="971" t="str">
        <f t="shared" si="132"/>
        <v>-</v>
      </c>
      <c r="BB153" s="975"/>
      <c r="BC153" s="821"/>
      <c r="BD153" s="821"/>
      <c r="BE153" s="963" t="str">
        <f t="shared" si="133"/>
        <v>-</v>
      </c>
      <c r="BF153" s="984"/>
      <c r="BG153" s="988"/>
      <c r="BH153" s="982"/>
      <c r="BI153" s="991"/>
      <c r="BJ153" s="991"/>
      <c r="BK153" s="993" t="str">
        <f t="shared" si="134"/>
        <v>-</v>
      </c>
      <c r="BL153" s="820">
        <v>42981</v>
      </c>
      <c r="BM153" s="821">
        <v>5</v>
      </c>
      <c r="BN153" s="822">
        <f t="shared" ca="1" si="135"/>
        <v>153</v>
      </c>
      <c r="BO153" s="823">
        <f t="shared" si="136"/>
        <v>27.5</v>
      </c>
      <c r="BP153" s="824">
        <v>43001</v>
      </c>
      <c r="BQ153" s="821">
        <v>2</v>
      </c>
      <c r="BR153" s="822">
        <f t="shared" ca="1" si="137"/>
        <v>133</v>
      </c>
      <c r="BS153" s="823">
        <f t="shared" si="138"/>
        <v>6.4666666666666668</v>
      </c>
      <c r="BT153" s="825" t="str">
        <f t="shared" ca="1" si="139"/>
        <v>-</v>
      </c>
      <c r="BU153" s="826"/>
      <c r="BV153" s="827"/>
      <c r="BW153" s="828" t="str">
        <f t="shared" si="140"/>
        <v>Ж-Е НЕ ВАКЦ.</v>
      </c>
      <c r="BX153" s="829" t="str">
        <f t="shared" si="141"/>
        <v>-</v>
      </c>
      <c r="BY153" s="830" t="str">
        <f t="shared" ca="1" si="142"/>
        <v>-</v>
      </c>
      <c r="BZ153" s="831">
        <v>42887</v>
      </c>
      <c r="CA153" s="832">
        <v>5</v>
      </c>
      <c r="CB153" s="833">
        <f t="shared" ca="1" si="143"/>
        <v>247</v>
      </c>
      <c r="CC153" s="834" t="str">
        <f t="shared" ca="1" si="144"/>
        <v>-</v>
      </c>
      <c r="CD153" s="835">
        <f t="shared" si="145"/>
        <v>42908</v>
      </c>
      <c r="CE153" s="831">
        <v>42908</v>
      </c>
      <c r="CF153" s="832">
        <v>5</v>
      </c>
      <c r="CG153" s="833">
        <f t="shared" ca="1" si="146"/>
        <v>226</v>
      </c>
      <c r="CH153" s="836">
        <f t="shared" si="147"/>
        <v>0</v>
      </c>
      <c r="CI153" s="837" t="str">
        <f t="shared" si="148"/>
        <v>УСПЕШНО</v>
      </c>
      <c r="CJ153" s="838" t="str">
        <f t="shared" ca="1" si="149"/>
        <v>-</v>
      </c>
      <c r="CK153" s="831"/>
      <c r="CL153" s="832"/>
      <c r="CM153" s="833" t="str">
        <f t="shared" si="150"/>
        <v>-</v>
      </c>
      <c r="CN153" s="834" t="str">
        <f t="shared" si="151"/>
        <v>-</v>
      </c>
      <c r="CO153" s="830" t="str">
        <f t="shared" ca="1" si="152"/>
        <v>ТРЕБУЕТСЯ ВАКЦИНАЦИЯ</v>
      </c>
      <c r="CP153" s="839"/>
      <c r="CQ153" s="832"/>
      <c r="CR153" s="833" t="str">
        <f t="shared" si="153"/>
        <v>-</v>
      </c>
      <c r="CS153" s="833" t="str">
        <f t="shared" si="154"/>
        <v>-</v>
      </c>
      <c r="CT153" s="834" t="str">
        <f t="shared" si="155"/>
        <v>-</v>
      </c>
      <c r="CU153" s="835" t="str">
        <f t="shared" si="156"/>
        <v>-</v>
      </c>
      <c r="CV153" s="839"/>
      <c r="CW153" s="832"/>
      <c r="CX153" s="833" t="str">
        <f t="shared" si="157"/>
        <v>-</v>
      </c>
      <c r="CY153" s="840" t="str">
        <f t="shared" si="158"/>
        <v>-</v>
      </c>
      <c r="CZ153" s="833" t="str">
        <f t="shared" si="159"/>
        <v>-</v>
      </c>
      <c r="DA153" s="838" t="str">
        <f t="shared" ca="1" si="160"/>
        <v>-</v>
      </c>
      <c r="DB153" s="841"/>
      <c r="DC153" s="832"/>
    </row>
    <row r="154" spans="1:107" s="842" customFormat="1" ht="15.6" customHeight="1" x14ac:dyDescent="0.25">
      <c r="A154" s="790">
        <v>154</v>
      </c>
      <c r="B154" s="791">
        <f t="shared" ca="1" si="109"/>
        <v>43134</v>
      </c>
      <c r="C154" s="792" t="s">
        <v>614</v>
      </c>
      <c r="D154" s="793" t="s">
        <v>3204</v>
      </c>
      <c r="E154" s="794" t="s">
        <v>1288</v>
      </c>
      <c r="F154" s="795" t="s">
        <v>1899</v>
      </c>
      <c r="G154" s="796">
        <f>SUMIFS(МОЛОКО!L8:L6958,МОЛОКО!F8:F6958,"2663",МОЛОКО!L8:L6958,"&gt;0")</f>
        <v>25</v>
      </c>
      <c r="H154" s="797" t="s">
        <v>603</v>
      </c>
      <c r="I154" s="798">
        <v>42209</v>
      </c>
      <c r="J154" s="799">
        <f t="shared" ca="1" si="110"/>
        <v>2.5342465753424657</v>
      </c>
      <c r="K154" s="799">
        <f t="shared" ca="1" si="111"/>
        <v>30.833333333333332</v>
      </c>
      <c r="L154" s="800">
        <f t="shared" ca="1" si="112"/>
        <v>925</v>
      </c>
      <c r="M154" s="801">
        <v>42911</v>
      </c>
      <c r="N154" s="802">
        <v>42911</v>
      </c>
      <c r="O154" s="803">
        <f t="shared" ca="1" si="113"/>
        <v>223</v>
      </c>
      <c r="P154" s="804">
        <v>1</v>
      </c>
      <c r="Q154" s="805" t="s">
        <v>1451</v>
      </c>
      <c r="R154" s="806" t="s">
        <v>2966</v>
      </c>
      <c r="S154" s="807">
        <v>42971</v>
      </c>
      <c r="T154" s="798">
        <v>42971</v>
      </c>
      <c r="U154" s="798" t="str">
        <f t="shared" si="114"/>
        <v>-</v>
      </c>
      <c r="V154" s="804" t="str">
        <f t="shared" ca="1" si="115"/>
        <v>-</v>
      </c>
      <c r="W154" s="808">
        <v>1</v>
      </c>
      <c r="X154" s="794">
        <f t="shared" si="108"/>
        <v>60</v>
      </c>
      <c r="Y154" s="794">
        <v>1</v>
      </c>
      <c r="Z154" s="809" t="str">
        <f t="shared" ca="1" si="116"/>
        <v>-----</v>
      </c>
      <c r="AA154" s="810" t="str">
        <f t="shared" ca="1" si="117"/>
        <v>-----</v>
      </c>
      <c r="AB154" s="804">
        <v>1</v>
      </c>
      <c r="AC154" s="811" t="str">
        <f t="shared" ca="1" si="118"/>
        <v>-----</v>
      </c>
      <c r="AD154" s="798">
        <v>43047</v>
      </c>
      <c r="AE154" s="794" t="str">
        <f t="shared" ca="1" si="119"/>
        <v>-</v>
      </c>
      <c r="AF154" s="798" t="str">
        <f t="shared" si="120"/>
        <v>-</v>
      </c>
      <c r="AG154" s="812" t="str">
        <f t="shared" si="121"/>
        <v>---------</v>
      </c>
      <c r="AH154" s="807">
        <v>43003</v>
      </c>
      <c r="AI154" s="807">
        <f t="shared" si="122"/>
        <v>43161</v>
      </c>
      <c r="AJ154" s="807">
        <f t="shared" si="123"/>
        <v>43191</v>
      </c>
      <c r="AK154" s="813"/>
      <c r="AL154" s="807">
        <f t="shared" si="124"/>
        <v>43230</v>
      </c>
      <c r="AM154" s="807">
        <f t="shared" si="125"/>
        <v>43251</v>
      </c>
      <c r="AN154" s="814">
        <f t="shared" ca="1" si="126"/>
        <v>-117</v>
      </c>
      <c r="AO154" s="815">
        <v>1</v>
      </c>
      <c r="AP154" s="816" t="str">
        <f t="shared" ca="1" si="127"/>
        <v>-</v>
      </c>
      <c r="AQ154" s="817"/>
      <c r="AR154" s="794" t="str">
        <f t="shared" si="128"/>
        <v>-</v>
      </c>
      <c r="AS154" s="818"/>
      <c r="AT154" s="794" t="str">
        <f t="shared" si="129"/>
        <v>-</v>
      </c>
      <c r="AU154" s="819"/>
      <c r="AV154" s="820"/>
      <c r="AW154" s="821"/>
      <c r="AX154" s="821"/>
      <c r="AY154" s="969" t="str">
        <f t="shared" si="130"/>
        <v>-</v>
      </c>
      <c r="AZ154" s="966" t="str">
        <f t="shared" si="131"/>
        <v>-</v>
      </c>
      <c r="BA154" s="971" t="str">
        <f t="shared" si="132"/>
        <v>-</v>
      </c>
      <c r="BB154" s="975"/>
      <c r="BC154" s="821"/>
      <c r="BD154" s="821"/>
      <c r="BE154" s="963" t="str">
        <f t="shared" si="133"/>
        <v>-</v>
      </c>
      <c r="BF154" s="984"/>
      <c r="BG154" s="988"/>
      <c r="BH154" s="982"/>
      <c r="BI154" s="991"/>
      <c r="BJ154" s="991"/>
      <c r="BK154" s="993" t="str">
        <f t="shared" si="134"/>
        <v>-</v>
      </c>
      <c r="BL154" s="820">
        <v>42980</v>
      </c>
      <c r="BM154" s="821">
        <v>5</v>
      </c>
      <c r="BN154" s="822">
        <f t="shared" ca="1" si="135"/>
        <v>154</v>
      </c>
      <c r="BO154" s="823">
        <f t="shared" si="136"/>
        <v>25.7</v>
      </c>
      <c r="BP154" s="824">
        <v>43001</v>
      </c>
      <c r="BQ154" s="821">
        <v>2</v>
      </c>
      <c r="BR154" s="822">
        <f t="shared" ca="1" si="137"/>
        <v>133</v>
      </c>
      <c r="BS154" s="823">
        <f t="shared" si="138"/>
        <v>3</v>
      </c>
      <c r="BT154" s="825" t="str">
        <f t="shared" ca="1" si="139"/>
        <v>-</v>
      </c>
      <c r="BU154" s="826"/>
      <c r="BV154" s="827"/>
      <c r="BW154" s="828" t="str">
        <f t="shared" si="140"/>
        <v>Ж-Е НЕ ВАКЦ.</v>
      </c>
      <c r="BX154" s="829" t="str">
        <f t="shared" si="141"/>
        <v>-</v>
      </c>
      <c r="BY154" s="830" t="str">
        <f t="shared" ca="1" si="142"/>
        <v>-</v>
      </c>
      <c r="BZ154" s="831">
        <v>42940</v>
      </c>
      <c r="CA154" s="832">
        <v>5</v>
      </c>
      <c r="CB154" s="833">
        <f t="shared" ca="1" si="143"/>
        <v>194</v>
      </c>
      <c r="CC154" s="834" t="str">
        <f t="shared" ca="1" si="144"/>
        <v>-</v>
      </c>
      <c r="CD154" s="835">
        <f t="shared" si="145"/>
        <v>42961</v>
      </c>
      <c r="CE154" s="831">
        <v>42969</v>
      </c>
      <c r="CF154" s="832">
        <v>5</v>
      </c>
      <c r="CG154" s="833">
        <f t="shared" ca="1" si="146"/>
        <v>165</v>
      </c>
      <c r="CH154" s="836">
        <f t="shared" si="147"/>
        <v>-8</v>
      </c>
      <c r="CI154" s="837" t="str">
        <f t="shared" si="148"/>
        <v>-</v>
      </c>
      <c r="CJ154" s="838" t="str">
        <f t="shared" ca="1" si="149"/>
        <v>-</v>
      </c>
      <c r="CK154" s="831"/>
      <c r="CL154" s="832"/>
      <c r="CM154" s="833" t="str">
        <f t="shared" si="150"/>
        <v>-</v>
      </c>
      <c r="CN154" s="834" t="str">
        <f t="shared" si="151"/>
        <v>-</v>
      </c>
      <c r="CO154" s="830" t="str">
        <f t="shared" ca="1" si="152"/>
        <v>-</v>
      </c>
      <c r="CP154" s="839"/>
      <c r="CQ154" s="832"/>
      <c r="CR154" s="833" t="str">
        <f t="shared" si="153"/>
        <v>-</v>
      </c>
      <c r="CS154" s="833" t="str">
        <f t="shared" si="154"/>
        <v>-</v>
      </c>
      <c r="CT154" s="834" t="str">
        <f t="shared" si="155"/>
        <v>-</v>
      </c>
      <c r="CU154" s="835" t="str">
        <f t="shared" si="156"/>
        <v>-</v>
      </c>
      <c r="CV154" s="839"/>
      <c r="CW154" s="832"/>
      <c r="CX154" s="833" t="str">
        <f t="shared" si="157"/>
        <v>-</v>
      </c>
      <c r="CY154" s="840" t="str">
        <f t="shared" si="158"/>
        <v>-</v>
      </c>
      <c r="CZ154" s="833" t="str">
        <f t="shared" si="159"/>
        <v>-</v>
      </c>
      <c r="DA154" s="838" t="str">
        <f t="shared" ca="1" si="160"/>
        <v>-</v>
      </c>
      <c r="DB154" s="841"/>
      <c r="DC154" s="832"/>
    </row>
    <row r="155" spans="1:107" s="842" customFormat="1" ht="15.6" customHeight="1" x14ac:dyDescent="0.25">
      <c r="A155" s="790">
        <v>155</v>
      </c>
      <c r="B155" s="791">
        <f t="shared" ca="1" si="109"/>
        <v>43134</v>
      </c>
      <c r="C155" s="29" t="s">
        <v>614</v>
      </c>
      <c r="D155" s="327" t="s">
        <v>3204</v>
      </c>
      <c r="E155" s="794" t="s">
        <v>2799</v>
      </c>
      <c r="F155" s="853" t="s">
        <v>1548</v>
      </c>
      <c r="G155" s="796">
        <f>SUMIFS(МОЛОКО!L8:L6958,МОЛОКО!F8:F6958,"2669",МОЛОКО!L8:L6958,"&gt;0")</f>
        <v>23.900000000000002</v>
      </c>
      <c r="H155" s="797" t="s">
        <v>603</v>
      </c>
      <c r="I155" s="798">
        <v>42223</v>
      </c>
      <c r="J155" s="799">
        <f t="shared" ca="1" si="110"/>
        <v>2.495890410958904</v>
      </c>
      <c r="K155" s="799">
        <f t="shared" ca="1" si="111"/>
        <v>30.366666666666667</v>
      </c>
      <c r="L155" s="800">
        <f t="shared" ca="1" si="112"/>
        <v>911</v>
      </c>
      <c r="M155" s="801">
        <v>43030</v>
      </c>
      <c r="N155" s="802">
        <v>43030</v>
      </c>
      <c r="O155" s="803">
        <f t="shared" ca="1" si="113"/>
        <v>104</v>
      </c>
      <c r="P155" s="804">
        <v>1</v>
      </c>
      <c r="Q155" s="805"/>
      <c r="R155" s="806"/>
      <c r="S155" s="807"/>
      <c r="T155" s="798"/>
      <c r="U155" s="798" t="str">
        <f t="shared" si="114"/>
        <v>-</v>
      </c>
      <c r="V155" s="804" t="str">
        <f t="shared" ca="1" si="115"/>
        <v>-</v>
      </c>
      <c r="W155" s="808">
        <v>0</v>
      </c>
      <c r="X155" s="794" t="str">
        <f t="shared" si="108"/>
        <v>-</v>
      </c>
      <c r="Y155" s="794">
        <v>0</v>
      </c>
      <c r="Z155" s="809" t="str">
        <f t="shared" ca="1" si="116"/>
        <v>-----</v>
      </c>
      <c r="AA155" s="810">
        <f t="shared" ca="1" si="117"/>
        <v>43134</v>
      </c>
      <c r="AB155" s="804"/>
      <c r="AC155" s="811" t="str">
        <f t="shared" ca="1" si="118"/>
        <v>-----</v>
      </c>
      <c r="AD155" s="798"/>
      <c r="AE155" s="794" t="str">
        <f t="shared" ca="1" si="119"/>
        <v>-</v>
      </c>
      <c r="AF155" s="798" t="str">
        <f t="shared" si="120"/>
        <v>-</v>
      </c>
      <c r="AG155" s="812" t="str">
        <f t="shared" si="121"/>
        <v>---------</v>
      </c>
      <c r="AH155" s="807"/>
      <c r="AI155" s="807" t="str">
        <f t="shared" si="122"/>
        <v>-</v>
      </c>
      <c r="AJ155" s="807" t="str">
        <f t="shared" si="123"/>
        <v>-</v>
      </c>
      <c r="AK155" s="813"/>
      <c r="AL155" s="807" t="str">
        <f t="shared" si="124"/>
        <v>-</v>
      </c>
      <c r="AM155" s="807" t="str">
        <f t="shared" si="125"/>
        <v>-</v>
      </c>
      <c r="AN155" s="814" t="str">
        <f t="shared" ca="1" si="126"/>
        <v>-</v>
      </c>
      <c r="AO155" s="815">
        <v>1</v>
      </c>
      <c r="AP155" s="816" t="str">
        <f t="shared" ca="1" si="127"/>
        <v>-</v>
      </c>
      <c r="AQ155" s="817"/>
      <c r="AR155" s="794" t="str">
        <f t="shared" si="128"/>
        <v>-</v>
      </c>
      <c r="AS155" s="818"/>
      <c r="AT155" s="794" t="str">
        <f t="shared" si="129"/>
        <v>-</v>
      </c>
      <c r="AU155" s="819">
        <v>1</v>
      </c>
      <c r="AV155" s="820"/>
      <c r="AW155" s="821"/>
      <c r="AX155" s="821"/>
      <c r="AY155" s="969" t="str">
        <f t="shared" si="130"/>
        <v>-</v>
      </c>
      <c r="AZ155" s="966" t="str">
        <f t="shared" si="131"/>
        <v>-</v>
      </c>
      <c r="BA155" s="971" t="str">
        <f t="shared" si="132"/>
        <v>-</v>
      </c>
      <c r="BB155" s="975"/>
      <c r="BC155" s="821"/>
      <c r="BD155" s="821"/>
      <c r="BE155" s="963" t="str">
        <f t="shared" si="133"/>
        <v>-</v>
      </c>
      <c r="BF155" s="984"/>
      <c r="BG155" s="988"/>
      <c r="BH155" s="982"/>
      <c r="BI155" s="991"/>
      <c r="BJ155" s="991"/>
      <c r="BK155" s="993" t="str">
        <f t="shared" si="134"/>
        <v>-</v>
      </c>
      <c r="BL155" s="820">
        <v>42982</v>
      </c>
      <c r="BM155" s="821">
        <v>5</v>
      </c>
      <c r="BN155" s="822">
        <f t="shared" ca="1" si="135"/>
        <v>152</v>
      </c>
      <c r="BO155" s="823">
        <f t="shared" si="136"/>
        <v>25.3</v>
      </c>
      <c r="BP155" s="824"/>
      <c r="BQ155" s="821"/>
      <c r="BR155" s="822" t="str">
        <f t="shared" si="137"/>
        <v>-</v>
      </c>
      <c r="BS155" s="823" t="str">
        <f t="shared" si="138"/>
        <v>-</v>
      </c>
      <c r="BT155" s="825" t="str">
        <f t="shared" ca="1" si="139"/>
        <v>-</v>
      </c>
      <c r="BU155" s="826"/>
      <c r="BV155" s="827"/>
      <c r="BW155" s="828" t="str">
        <f t="shared" si="140"/>
        <v>Ж-Е НЕ ВАКЦ.</v>
      </c>
      <c r="BX155" s="829" t="str">
        <f t="shared" si="141"/>
        <v>-</v>
      </c>
      <c r="BY155" s="830" t="str">
        <f t="shared" ca="1" si="142"/>
        <v>-</v>
      </c>
      <c r="BZ155" s="831">
        <v>42904</v>
      </c>
      <c r="CA155" s="832">
        <v>5</v>
      </c>
      <c r="CB155" s="833">
        <f t="shared" ca="1" si="143"/>
        <v>230</v>
      </c>
      <c r="CC155" s="834" t="str">
        <f t="shared" ca="1" si="144"/>
        <v>-</v>
      </c>
      <c r="CD155" s="835">
        <f t="shared" si="145"/>
        <v>42925</v>
      </c>
      <c r="CE155" s="831">
        <v>42925</v>
      </c>
      <c r="CF155" s="832">
        <v>5</v>
      </c>
      <c r="CG155" s="833">
        <f t="shared" ca="1" si="146"/>
        <v>209</v>
      </c>
      <c r="CH155" s="836">
        <f t="shared" si="147"/>
        <v>0</v>
      </c>
      <c r="CI155" s="837" t="str">
        <f t="shared" si="148"/>
        <v>УСПЕШНО</v>
      </c>
      <c r="CJ155" s="838" t="str">
        <f t="shared" ca="1" si="149"/>
        <v>-</v>
      </c>
      <c r="CK155" s="831"/>
      <c r="CL155" s="832"/>
      <c r="CM155" s="833" t="str">
        <f t="shared" si="150"/>
        <v>-</v>
      </c>
      <c r="CN155" s="834" t="str">
        <f t="shared" si="151"/>
        <v>-</v>
      </c>
      <c r="CO155" s="830" t="str">
        <f t="shared" ca="1" si="152"/>
        <v>-</v>
      </c>
      <c r="CP155" s="831">
        <v>42975</v>
      </c>
      <c r="CQ155" s="832">
        <v>2</v>
      </c>
      <c r="CR155" s="833">
        <f t="shared" si="153"/>
        <v>42975</v>
      </c>
      <c r="CS155" s="833">
        <f t="shared" ca="1" si="154"/>
        <v>159</v>
      </c>
      <c r="CT155" s="834" t="str">
        <f t="shared" ca="1" si="155"/>
        <v>-</v>
      </c>
      <c r="CU155" s="835">
        <f t="shared" si="156"/>
        <v>42996</v>
      </c>
      <c r="CV155" s="831">
        <v>42996</v>
      </c>
      <c r="CW155" s="832">
        <v>2</v>
      </c>
      <c r="CX155" s="833">
        <f t="shared" si="157"/>
        <v>0</v>
      </c>
      <c r="CY155" s="840" t="str">
        <f t="shared" si="158"/>
        <v>УСПЕШНО</v>
      </c>
      <c r="CZ155" s="833">
        <f t="shared" si="159"/>
        <v>42996</v>
      </c>
      <c r="DA155" s="838" t="str">
        <f t="shared" ca="1" si="160"/>
        <v>-</v>
      </c>
      <c r="DB155" s="841"/>
      <c r="DC155" s="832"/>
    </row>
    <row r="156" spans="1:107" s="842" customFormat="1" ht="15.75" customHeight="1" x14ac:dyDescent="0.25">
      <c r="A156" s="790">
        <v>156</v>
      </c>
      <c r="B156" s="791">
        <f t="shared" ca="1" si="109"/>
        <v>43134</v>
      </c>
      <c r="C156" s="792" t="s">
        <v>614</v>
      </c>
      <c r="D156" s="793" t="s">
        <v>3204</v>
      </c>
      <c r="E156" s="794" t="s">
        <v>1862</v>
      </c>
      <c r="F156" s="795" t="s">
        <v>1856</v>
      </c>
      <c r="G156" s="796">
        <f>SUMIFS(МОЛОКО!L8:L6958,МОЛОКО!F8:F6958,"2694",МОЛОКО!L8:L6958,"&gt;0")</f>
        <v>22</v>
      </c>
      <c r="H156" s="797" t="s">
        <v>603</v>
      </c>
      <c r="I156" s="798">
        <v>42238</v>
      </c>
      <c r="J156" s="799">
        <f t="shared" ca="1" si="110"/>
        <v>2.4547945205479453</v>
      </c>
      <c r="K156" s="799">
        <f t="shared" ca="1" si="111"/>
        <v>29.866666666666667</v>
      </c>
      <c r="L156" s="800">
        <f t="shared" ca="1" si="112"/>
        <v>896</v>
      </c>
      <c r="M156" s="801">
        <v>42917</v>
      </c>
      <c r="N156" s="802">
        <v>42917</v>
      </c>
      <c r="O156" s="803">
        <f t="shared" ca="1" si="113"/>
        <v>217</v>
      </c>
      <c r="P156" s="804">
        <v>1</v>
      </c>
      <c r="Q156" s="805" t="s">
        <v>2366</v>
      </c>
      <c r="R156" s="806" t="s">
        <v>2962</v>
      </c>
      <c r="S156" s="807">
        <v>42978</v>
      </c>
      <c r="T156" s="798">
        <v>43020</v>
      </c>
      <c r="U156" s="798">
        <f t="shared" si="114"/>
        <v>43038</v>
      </c>
      <c r="V156" s="804">
        <f t="shared" ca="1" si="115"/>
        <v>96</v>
      </c>
      <c r="W156" s="808">
        <v>2</v>
      </c>
      <c r="X156" s="794">
        <f t="shared" si="108"/>
        <v>103</v>
      </c>
      <c r="Y156" s="794">
        <v>2</v>
      </c>
      <c r="Z156" s="809" t="str">
        <f t="shared" ca="1" si="116"/>
        <v>-----</v>
      </c>
      <c r="AA156" s="810">
        <f t="shared" ca="1" si="117"/>
        <v>114</v>
      </c>
      <c r="AB156" s="804"/>
      <c r="AC156" s="811" t="str">
        <f t="shared" ca="1" si="118"/>
        <v>-----</v>
      </c>
      <c r="AD156" s="798"/>
      <c r="AE156" s="794" t="str">
        <f t="shared" ca="1" si="119"/>
        <v>-</v>
      </c>
      <c r="AF156" s="798">
        <f t="shared" si="120"/>
        <v>43055</v>
      </c>
      <c r="AG156" s="812">
        <f t="shared" ca="1" si="121"/>
        <v>79</v>
      </c>
      <c r="AH156" s="807">
        <v>43052</v>
      </c>
      <c r="AI156" s="807" t="str">
        <f t="shared" si="122"/>
        <v>-</v>
      </c>
      <c r="AJ156" s="807" t="str">
        <f t="shared" si="123"/>
        <v>-</v>
      </c>
      <c r="AK156" s="813"/>
      <c r="AL156" s="807" t="str">
        <f t="shared" si="124"/>
        <v>-</v>
      </c>
      <c r="AM156" s="807" t="str">
        <f t="shared" si="125"/>
        <v>-</v>
      </c>
      <c r="AN156" s="814" t="str">
        <f t="shared" ca="1" si="126"/>
        <v>-</v>
      </c>
      <c r="AO156" s="815">
        <v>1</v>
      </c>
      <c r="AP156" s="816" t="str">
        <f t="shared" ca="1" si="127"/>
        <v>-</v>
      </c>
      <c r="AQ156" s="817"/>
      <c r="AR156" s="794" t="str">
        <f t="shared" si="128"/>
        <v>-</v>
      </c>
      <c r="AS156" s="818"/>
      <c r="AT156" s="794" t="str">
        <f t="shared" si="129"/>
        <v>-</v>
      </c>
      <c r="AU156" s="819"/>
      <c r="AV156" s="820"/>
      <c r="AW156" s="821"/>
      <c r="AX156" s="821"/>
      <c r="AY156" s="969" t="str">
        <f t="shared" si="130"/>
        <v>-</v>
      </c>
      <c r="AZ156" s="966" t="str">
        <f t="shared" si="131"/>
        <v>-</v>
      </c>
      <c r="BA156" s="971" t="str">
        <f t="shared" si="132"/>
        <v>-</v>
      </c>
      <c r="BB156" s="975"/>
      <c r="BC156" s="821"/>
      <c r="BD156" s="821"/>
      <c r="BE156" s="963" t="str">
        <f t="shared" si="133"/>
        <v>-</v>
      </c>
      <c r="BF156" s="984"/>
      <c r="BG156" s="988"/>
      <c r="BH156" s="982"/>
      <c r="BI156" s="991"/>
      <c r="BJ156" s="991"/>
      <c r="BK156" s="993" t="str">
        <f t="shared" si="134"/>
        <v>-</v>
      </c>
      <c r="BL156" s="820">
        <v>42980</v>
      </c>
      <c r="BM156" s="821">
        <v>5</v>
      </c>
      <c r="BN156" s="822">
        <f t="shared" ca="1" si="135"/>
        <v>154</v>
      </c>
      <c r="BO156" s="823">
        <f t="shared" si="136"/>
        <v>24.733333333333334</v>
      </c>
      <c r="BP156" s="824">
        <v>43001</v>
      </c>
      <c r="BQ156" s="821">
        <v>2</v>
      </c>
      <c r="BR156" s="822">
        <f t="shared" ca="1" si="137"/>
        <v>133</v>
      </c>
      <c r="BS156" s="823">
        <f t="shared" si="138"/>
        <v>2.8</v>
      </c>
      <c r="BT156" s="825" t="str">
        <f t="shared" ca="1" si="139"/>
        <v>-</v>
      </c>
      <c r="BU156" s="826"/>
      <c r="BV156" s="827"/>
      <c r="BW156" s="828" t="str">
        <f t="shared" si="140"/>
        <v>Ж-Е НЕ ВАКЦ.</v>
      </c>
      <c r="BX156" s="829" t="str">
        <f t="shared" si="141"/>
        <v>-</v>
      </c>
      <c r="BY156" s="830" t="str">
        <f t="shared" ca="1" si="142"/>
        <v>-</v>
      </c>
      <c r="BZ156" s="831">
        <v>42894</v>
      </c>
      <c r="CA156" s="832">
        <v>5</v>
      </c>
      <c r="CB156" s="833">
        <f t="shared" ca="1" si="143"/>
        <v>240</v>
      </c>
      <c r="CC156" s="834" t="str">
        <f t="shared" ca="1" si="144"/>
        <v>-</v>
      </c>
      <c r="CD156" s="835">
        <f t="shared" si="145"/>
        <v>42915</v>
      </c>
      <c r="CE156" s="831">
        <v>42915</v>
      </c>
      <c r="CF156" s="832">
        <v>5</v>
      </c>
      <c r="CG156" s="833">
        <f t="shared" ca="1" si="146"/>
        <v>219</v>
      </c>
      <c r="CH156" s="836">
        <f t="shared" si="147"/>
        <v>0</v>
      </c>
      <c r="CI156" s="837" t="str">
        <f t="shared" si="148"/>
        <v>УСПЕШНО</v>
      </c>
      <c r="CJ156" s="838" t="str">
        <f t="shared" ca="1" si="149"/>
        <v>-</v>
      </c>
      <c r="CK156" s="831"/>
      <c r="CL156" s="832"/>
      <c r="CM156" s="833" t="str">
        <f t="shared" si="150"/>
        <v>-</v>
      </c>
      <c r="CN156" s="834" t="str">
        <f t="shared" si="151"/>
        <v>-</v>
      </c>
      <c r="CO156" s="830" t="str">
        <f t="shared" ca="1" si="152"/>
        <v>-</v>
      </c>
      <c r="CP156" s="839"/>
      <c r="CQ156" s="832"/>
      <c r="CR156" s="833" t="str">
        <f t="shared" si="153"/>
        <v>-</v>
      </c>
      <c r="CS156" s="833" t="str">
        <f t="shared" si="154"/>
        <v>-</v>
      </c>
      <c r="CT156" s="834" t="str">
        <f t="shared" si="155"/>
        <v>-</v>
      </c>
      <c r="CU156" s="835" t="str">
        <f t="shared" si="156"/>
        <v>-</v>
      </c>
      <c r="CV156" s="839"/>
      <c r="CW156" s="832"/>
      <c r="CX156" s="833" t="str">
        <f t="shared" si="157"/>
        <v>-</v>
      </c>
      <c r="CY156" s="840" t="str">
        <f t="shared" si="158"/>
        <v>-</v>
      </c>
      <c r="CZ156" s="833" t="str">
        <f t="shared" si="159"/>
        <v>-</v>
      </c>
      <c r="DA156" s="838" t="str">
        <f t="shared" ca="1" si="160"/>
        <v>-</v>
      </c>
      <c r="DB156" s="841"/>
      <c r="DC156" s="832"/>
    </row>
    <row r="157" spans="1:107" s="842" customFormat="1" ht="15.6" customHeight="1" x14ac:dyDescent="0.25">
      <c r="A157" s="790">
        <v>157</v>
      </c>
      <c r="B157" s="791">
        <f t="shared" ca="1" si="109"/>
        <v>43134</v>
      </c>
      <c r="C157" s="792" t="s">
        <v>614</v>
      </c>
      <c r="D157" s="793" t="s">
        <v>3204</v>
      </c>
      <c r="E157" s="794" t="s">
        <v>1860</v>
      </c>
      <c r="F157" s="795" t="s">
        <v>1859</v>
      </c>
      <c r="G157" s="796">
        <f>SUMIFS(МОЛОКО!L8:L6958,МОЛОКО!F8:F6958,"2709",МОЛОКО!L8:L6958,"&gt;0")</f>
        <v>24.6</v>
      </c>
      <c r="H157" s="797" t="s">
        <v>603</v>
      </c>
      <c r="I157" s="798">
        <v>42274</v>
      </c>
      <c r="J157" s="799">
        <f t="shared" ca="1" si="110"/>
        <v>2.3561643835616439</v>
      </c>
      <c r="K157" s="799">
        <f t="shared" ca="1" si="111"/>
        <v>28.666666666666668</v>
      </c>
      <c r="L157" s="800">
        <f t="shared" ca="1" si="112"/>
        <v>860</v>
      </c>
      <c r="M157" s="801">
        <v>42931</v>
      </c>
      <c r="N157" s="802">
        <v>42931</v>
      </c>
      <c r="O157" s="803">
        <f t="shared" ca="1" si="113"/>
        <v>203</v>
      </c>
      <c r="P157" s="804">
        <v>1</v>
      </c>
      <c r="Q157" s="68" t="s">
        <v>2366</v>
      </c>
      <c r="R157" s="118" t="s">
        <v>2435</v>
      </c>
      <c r="S157" s="807">
        <v>42992</v>
      </c>
      <c r="T157" s="798">
        <v>43035</v>
      </c>
      <c r="U157" s="798">
        <f t="shared" si="114"/>
        <v>43053</v>
      </c>
      <c r="V157" s="804">
        <f t="shared" ca="1" si="115"/>
        <v>81</v>
      </c>
      <c r="W157" s="808">
        <v>2</v>
      </c>
      <c r="X157" s="794">
        <f t="shared" si="108"/>
        <v>104</v>
      </c>
      <c r="Y157" s="794">
        <v>3</v>
      </c>
      <c r="Z157" s="809" t="str">
        <f t="shared" ca="1" si="116"/>
        <v>-----</v>
      </c>
      <c r="AA157" s="810">
        <f t="shared" ca="1" si="117"/>
        <v>99</v>
      </c>
      <c r="AB157" s="804"/>
      <c r="AC157" s="811" t="str">
        <f t="shared" ca="1" si="118"/>
        <v>-----</v>
      </c>
      <c r="AD157" s="798"/>
      <c r="AE157" s="794" t="str">
        <f t="shared" ca="1" si="119"/>
        <v>-</v>
      </c>
      <c r="AF157" s="798">
        <f t="shared" si="120"/>
        <v>43070</v>
      </c>
      <c r="AG157" s="812">
        <f t="shared" ca="1" si="121"/>
        <v>64</v>
      </c>
      <c r="AH157" s="807">
        <v>43028</v>
      </c>
      <c r="AI157" s="807" t="str">
        <f t="shared" si="122"/>
        <v>-</v>
      </c>
      <c r="AJ157" s="807" t="str">
        <f t="shared" si="123"/>
        <v>-</v>
      </c>
      <c r="AK157" s="813"/>
      <c r="AL157" s="807" t="str">
        <f t="shared" si="124"/>
        <v>-</v>
      </c>
      <c r="AM157" s="807" t="str">
        <f t="shared" si="125"/>
        <v>-</v>
      </c>
      <c r="AN157" s="814" t="str">
        <f t="shared" ca="1" si="126"/>
        <v>-</v>
      </c>
      <c r="AO157" s="815">
        <v>1</v>
      </c>
      <c r="AP157" s="816" t="str">
        <f t="shared" ca="1" si="127"/>
        <v>-</v>
      </c>
      <c r="AQ157" s="817"/>
      <c r="AR157" s="794" t="str">
        <f t="shared" si="128"/>
        <v>-</v>
      </c>
      <c r="AS157" s="818"/>
      <c r="AT157" s="794" t="str">
        <f t="shared" si="129"/>
        <v>-</v>
      </c>
      <c r="AU157" s="819"/>
      <c r="AV157" s="820"/>
      <c r="AW157" s="821"/>
      <c r="AX157" s="821"/>
      <c r="AY157" s="969" t="str">
        <f t="shared" si="130"/>
        <v>-</v>
      </c>
      <c r="AZ157" s="966" t="str">
        <f t="shared" si="131"/>
        <v>-</v>
      </c>
      <c r="BA157" s="971" t="str">
        <f t="shared" si="132"/>
        <v>-</v>
      </c>
      <c r="BB157" s="975"/>
      <c r="BC157" s="821"/>
      <c r="BD157" s="821"/>
      <c r="BE157" s="963" t="str">
        <f t="shared" si="133"/>
        <v>-</v>
      </c>
      <c r="BF157" s="984"/>
      <c r="BG157" s="988"/>
      <c r="BH157" s="982"/>
      <c r="BI157" s="991"/>
      <c r="BJ157" s="991"/>
      <c r="BK157" s="993" t="str">
        <f t="shared" si="134"/>
        <v>-</v>
      </c>
      <c r="BL157" s="820">
        <v>42980</v>
      </c>
      <c r="BM157" s="821">
        <v>5</v>
      </c>
      <c r="BN157" s="822">
        <f t="shared" ca="1" si="135"/>
        <v>154</v>
      </c>
      <c r="BO157" s="823">
        <f t="shared" si="136"/>
        <v>23.533333333333335</v>
      </c>
      <c r="BP157" s="824">
        <v>43001</v>
      </c>
      <c r="BQ157" s="821">
        <v>2</v>
      </c>
      <c r="BR157" s="822">
        <f t="shared" ca="1" si="137"/>
        <v>133</v>
      </c>
      <c r="BS157" s="823">
        <f t="shared" si="138"/>
        <v>2.3333333333333335</v>
      </c>
      <c r="BT157" s="825" t="str">
        <f t="shared" ca="1" si="139"/>
        <v>-</v>
      </c>
      <c r="BU157" s="826"/>
      <c r="BV157" s="827"/>
      <c r="BW157" s="828" t="str">
        <f t="shared" si="140"/>
        <v>Ж-Е НЕ ВАКЦ.</v>
      </c>
      <c r="BX157" s="829" t="str">
        <f t="shared" si="141"/>
        <v>-</v>
      </c>
      <c r="BY157" s="830" t="str">
        <f t="shared" ca="1" si="142"/>
        <v>-</v>
      </c>
      <c r="BZ157" s="831">
        <v>42964</v>
      </c>
      <c r="CA157" s="832">
        <v>5</v>
      </c>
      <c r="CB157" s="833">
        <f t="shared" ca="1" si="143"/>
        <v>170</v>
      </c>
      <c r="CC157" s="834" t="str">
        <f t="shared" ca="1" si="144"/>
        <v>-</v>
      </c>
      <c r="CD157" s="835">
        <f t="shared" si="145"/>
        <v>42985</v>
      </c>
      <c r="CE157" s="831">
        <v>42985</v>
      </c>
      <c r="CF157" s="832">
        <v>5</v>
      </c>
      <c r="CG157" s="833">
        <f t="shared" ca="1" si="146"/>
        <v>149</v>
      </c>
      <c r="CH157" s="836">
        <f t="shared" si="147"/>
        <v>0</v>
      </c>
      <c r="CI157" s="837" t="str">
        <f t="shared" si="148"/>
        <v>УСПЕШНО</v>
      </c>
      <c r="CJ157" s="838" t="str">
        <f t="shared" ca="1" si="149"/>
        <v>-</v>
      </c>
      <c r="CK157" s="831"/>
      <c r="CL157" s="832"/>
      <c r="CM157" s="833" t="str">
        <f t="shared" si="150"/>
        <v>-</v>
      </c>
      <c r="CN157" s="834" t="str">
        <f t="shared" si="151"/>
        <v>-</v>
      </c>
      <c r="CO157" s="830" t="str">
        <f t="shared" ca="1" si="152"/>
        <v>-</v>
      </c>
      <c r="CP157" s="831">
        <v>42882</v>
      </c>
      <c r="CQ157" s="832">
        <v>2</v>
      </c>
      <c r="CR157" s="833">
        <f t="shared" si="153"/>
        <v>-153</v>
      </c>
      <c r="CS157" s="833">
        <f t="shared" ca="1" si="154"/>
        <v>252</v>
      </c>
      <c r="CT157" s="834" t="str">
        <f t="shared" ca="1" si="155"/>
        <v>-</v>
      </c>
      <c r="CU157" s="835">
        <f t="shared" si="156"/>
        <v>42903</v>
      </c>
      <c r="CV157" s="831">
        <v>42903</v>
      </c>
      <c r="CW157" s="832">
        <v>2</v>
      </c>
      <c r="CX157" s="833">
        <f t="shared" si="157"/>
        <v>0</v>
      </c>
      <c r="CY157" s="840" t="str">
        <f t="shared" si="158"/>
        <v>УСПЕШНО</v>
      </c>
      <c r="CZ157" s="833">
        <f t="shared" si="159"/>
        <v>-132</v>
      </c>
      <c r="DA157" s="838" t="str">
        <f t="shared" ca="1" si="160"/>
        <v>-</v>
      </c>
      <c r="DB157" s="841"/>
      <c r="DC157" s="832"/>
    </row>
    <row r="158" spans="1:107" s="842" customFormat="1" ht="15.6" customHeight="1" x14ac:dyDescent="0.25">
      <c r="A158" s="790">
        <v>158</v>
      </c>
      <c r="B158" s="791">
        <f t="shared" ca="1" si="109"/>
        <v>43134</v>
      </c>
      <c r="C158" s="271" t="s">
        <v>614</v>
      </c>
      <c r="D158" s="59" t="s">
        <v>3204</v>
      </c>
      <c r="E158" s="794" t="s">
        <v>235</v>
      </c>
      <c r="F158" s="795" t="s">
        <v>2081</v>
      </c>
      <c r="G158" s="796">
        <f>SUMIFS(МОЛОКО!L8:L6958,МОЛОКО!F8:F6958,"2711",МОЛОКО!L8:L6958,"&gt;0")</f>
        <v>18</v>
      </c>
      <c r="H158" s="797" t="s">
        <v>603</v>
      </c>
      <c r="I158" s="798">
        <v>42275</v>
      </c>
      <c r="J158" s="799">
        <f t="shared" ca="1" si="110"/>
        <v>2.3534246575342466</v>
      </c>
      <c r="K158" s="799">
        <f t="shared" ca="1" si="111"/>
        <v>28.633333333333333</v>
      </c>
      <c r="L158" s="800">
        <f t="shared" ca="1" si="112"/>
        <v>859</v>
      </c>
      <c r="M158" s="801">
        <v>42992</v>
      </c>
      <c r="N158" s="802">
        <v>42992</v>
      </c>
      <c r="O158" s="803">
        <f t="shared" ca="1" si="113"/>
        <v>142</v>
      </c>
      <c r="P158" s="804">
        <v>1</v>
      </c>
      <c r="Q158" s="68" t="s">
        <v>2366</v>
      </c>
      <c r="R158" s="118" t="s">
        <v>2962</v>
      </c>
      <c r="S158" s="807">
        <v>43055</v>
      </c>
      <c r="T158" s="798">
        <v>43055</v>
      </c>
      <c r="U158" s="798">
        <f t="shared" si="114"/>
        <v>43073</v>
      </c>
      <c r="V158" s="804">
        <f t="shared" ca="1" si="115"/>
        <v>61</v>
      </c>
      <c r="W158" s="808">
        <v>1</v>
      </c>
      <c r="X158" s="794">
        <f t="shared" si="108"/>
        <v>63</v>
      </c>
      <c r="Y158" s="794">
        <v>3</v>
      </c>
      <c r="Z158" s="809" t="str">
        <f t="shared" ca="1" si="116"/>
        <v>-----</v>
      </c>
      <c r="AA158" s="810">
        <f t="shared" ca="1" si="117"/>
        <v>79</v>
      </c>
      <c r="AB158" s="804"/>
      <c r="AC158" s="811" t="str">
        <f t="shared" ca="1" si="118"/>
        <v>-----</v>
      </c>
      <c r="AD158" s="798"/>
      <c r="AE158" s="794" t="str">
        <f t="shared" ca="1" si="119"/>
        <v>-</v>
      </c>
      <c r="AF158" s="798">
        <f t="shared" si="120"/>
        <v>43090</v>
      </c>
      <c r="AG158" s="812">
        <f t="shared" ca="1" si="121"/>
        <v>44</v>
      </c>
      <c r="AH158" s="807"/>
      <c r="AI158" s="807" t="str">
        <f t="shared" si="122"/>
        <v>-</v>
      </c>
      <c r="AJ158" s="807" t="str">
        <f t="shared" si="123"/>
        <v>-</v>
      </c>
      <c r="AK158" s="813"/>
      <c r="AL158" s="807" t="str">
        <f t="shared" si="124"/>
        <v>-</v>
      </c>
      <c r="AM158" s="807" t="str">
        <f t="shared" si="125"/>
        <v>-</v>
      </c>
      <c r="AN158" s="814" t="str">
        <f t="shared" ca="1" si="126"/>
        <v>-</v>
      </c>
      <c r="AO158" s="815">
        <v>1</v>
      </c>
      <c r="AP158" s="816" t="str">
        <f t="shared" ca="1" si="127"/>
        <v>-</v>
      </c>
      <c r="AQ158" s="817"/>
      <c r="AR158" s="794" t="str">
        <f t="shared" si="128"/>
        <v>-</v>
      </c>
      <c r="AS158" s="818"/>
      <c r="AT158" s="794" t="str">
        <f t="shared" si="129"/>
        <v>-</v>
      </c>
      <c r="AU158" s="819"/>
      <c r="AV158" s="820"/>
      <c r="AW158" s="821"/>
      <c r="AX158" s="821"/>
      <c r="AY158" s="969" t="str">
        <f t="shared" si="130"/>
        <v>-</v>
      </c>
      <c r="AZ158" s="966" t="str">
        <f t="shared" si="131"/>
        <v>-</v>
      </c>
      <c r="BA158" s="971" t="str">
        <f t="shared" si="132"/>
        <v>-</v>
      </c>
      <c r="BB158" s="975"/>
      <c r="BC158" s="821"/>
      <c r="BD158" s="821"/>
      <c r="BE158" s="963" t="str">
        <f t="shared" si="133"/>
        <v>-</v>
      </c>
      <c r="BF158" s="984"/>
      <c r="BG158" s="988"/>
      <c r="BH158" s="982"/>
      <c r="BI158" s="991"/>
      <c r="BJ158" s="991"/>
      <c r="BK158" s="993" t="str">
        <f t="shared" si="134"/>
        <v>-</v>
      </c>
      <c r="BL158" s="820">
        <v>42978</v>
      </c>
      <c r="BM158" s="821">
        <v>5</v>
      </c>
      <c r="BN158" s="822">
        <f t="shared" ca="1" si="135"/>
        <v>156</v>
      </c>
      <c r="BO158" s="823">
        <f t="shared" si="136"/>
        <v>23.433333333333334</v>
      </c>
      <c r="BP158" s="824">
        <v>43001</v>
      </c>
      <c r="BQ158" s="821">
        <v>2</v>
      </c>
      <c r="BR158" s="822">
        <f t="shared" ca="1" si="137"/>
        <v>133</v>
      </c>
      <c r="BS158" s="823">
        <f t="shared" si="138"/>
        <v>0.3</v>
      </c>
      <c r="BT158" s="825" t="str">
        <f t="shared" ca="1" si="139"/>
        <v>-</v>
      </c>
      <c r="BU158" s="826"/>
      <c r="BV158" s="827"/>
      <c r="BW158" s="828" t="str">
        <f t="shared" si="140"/>
        <v>Ж-Е НЕ ВАКЦ.</v>
      </c>
      <c r="BX158" s="829" t="str">
        <f t="shared" si="141"/>
        <v>-</v>
      </c>
      <c r="BY158" s="830" t="str">
        <f t="shared" ca="1" si="142"/>
        <v>-</v>
      </c>
      <c r="BZ158" s="831">
        <v>42894</v>
      </c>
      <c r="CA158" s="832">
        <v>5</v>
      </c>
      <c r="CB158" s="833">
        <f t="shared" ca="1" si="143"/>
        <v>240</v>
      </c>
      <c r="CC158" s="834" t="str">
        <f t="shared" ca="1" si="144"/>
        <v>-</v>
      </c>
      <c r="CD158" s="835">
        <f t="shared" si="145"/>
        <v>42915</v>
      </c>
      <c r="CE158" s="831">
        <v>42915</v>
      </c>
      <c r="CF158" s="832">
        <v>5</v>
      </c>
      <c r="CG158" s="833">
        <f t="shared" ca="1" si="146"/>
        <v>219</v>
      </c>
      <c r="CH158" s="836">
        <f t="shared" si="147"/>
        <v>0</v>
      </c>
      <c r="CI158" s="837" t="str">
        <f t="shared" si="148"/>
        <v>УСПЕШНО</v>
      </c>
      <c r="CJ158" s="838" t="str">
        <f t="shared" ca="1" si="149"/>
        <v>-</v>
      </c>
      <c r="CK158" s="831"/>
      <c r="CL158" s="832"/>
      <c r="CM158" s="833" t="str">
        <f t="shared" si="150"/>
        <v>-</v>
      </c>
      <c r="CN158" s="834" t="str">
        <f t="shared" si="151"/>
        <v>-</v>
      </c>
      <c r="CO158" s="830" t="str">
        <f t="shared" ca="1" si="152"/>
        <v>-</v>
      </c>
      <c r="CP158" s="831">
        <v>42958</v>
      </c>
      <c r="CQ158" s="832">
        <v>2</v>
      </c>
      <c r="CR158" s="833">
        <f t="shared" si="153"/>
        <v>-97</v>
      </c>
      <c r="CS158" s="833">
        <f t="shared" ca="1" si="154"/>
        <v>176</v>
      </c>
      <c r="CT158" s="834" t="str">
        <f t="shared" ca="1" si="155"/>
        <v>-</v>
      </c>
      <c r="CU158" s="835">
        <f t="shared" si="156"/>
        <v>42979</v>
      </c>
      <c r="CV158" s="831">
        <v>42980</v>
      </c>
      <c r="CW158" s="832">
        <v>2</v>
      </c>
      <c r="CX158" s="833">
        <f t="shared" si="157"/>
        <v>1</v>
      </c>
      <c r="CY158" s="840" t="str">
        <f t="shared" si="158"/>
        <v>-</v>
      </c>
      <c r="CZ158" s="833">
        <f t="shared" si="159"/>
        <v>-75</v>
      </c>
      <c r="DA158" s="838" t="str">
        <f t="shared" ca="1" si="160"/>
        <v>-</v>
      </c>
      <c r="DB158" s="841"/>
      <c r="DC158" s="832"/>
    </row>
    <row r="159" spans="1:107" s="842" customFormat="1" ht="15.6" customHeight="1" x14ac:dyDescent="0.25">
      <c r="A159" s="790">
        <v>159</v>
      </c>
      <c r="B159" s="791">
        <f t="shared" ca="1" si="109"/>
        <v>43134</v>
      </c>
      <c r="C159" s="29" t="s">
        <v>614</v>
      </c>
      <c r="D159" s="59" t="s">
        <v>3204</v>
      </c>
      <c r="E159" s="794" t="s">
        <v>1487</v>
      </c>
      <c r="F159" s="795" t="s">
        <v>1906</v>
      </c>
      <c r="G159" s="796">
        <f>SUMIFS(МОЛОКО!L8:L6958,МОЛОКО!F8:F6958,"2714",МОЛОКО!L8:L6958,"&gt;0")</f>
        <v>17.200000000000003</v>
      </c>
      <c r="H159" s="797" t="s">
        <v>603</v>
      </c>
      <c r="I159" s="798">
        <v>42283</v>
      </c>
      <c r="J159" s="799">
        <f t="shared" ca="1" si="110"/>
        <v>2.3315068493150686</v>
      </c>
      <c r="K159" s="799">
        <f t="shared" ca="1" si="111"/>
        <v>28.366666666666667</v>
      </c>
      <c r="L159" s="800">
        <f t="shared" ca="1" si="112"/>
        <v>851</v>
      </c>
      <c r="M159" s="801">
        <v>43002</v>
      </c>
      <c r="N159" s="802">
        <v>43002</v>
      </c>
      <c r="O159" s="803">
        <f t="shared" ca="1" si="113"/>
        <v>132</v>
      </c>
      <c r="P159" s="804">
        <v>1</v>
      </c>
      <c r="Q159" s="805"/>
      <c r="R159" s="806"/>
      <c r="S159" s="807"/>
      <c r="T159" s="798"/>
      <c r="U159" s="798" t="str">
        <f t="shared" si="114"/>
        <v>-</v>
      </c>
      <c r="V159" s="804" t="str">
        <f t="shared" ca="1" si="115"/>
        <v>-</v>
      </c>
      <c r="W159" s="808">
        <v>0</v>
      </c>
      <c r="X159" s="794" t="str">
        <f t="shared" si="108"/>
        <v>-</v>
      </c>
      <c r="Y159" s="794">
        <v>0</v>
      </c>
      <c r="Z159" s="809" t="str">
        <f t="shared" ca="1" si="116"/>
        <v>-----</v>
      </c>
      <c r="AA159" s="810">
        <f t="shared" ca="1" si="117"/>
        <v>43134</v>
      </c>
      <c r="AB159" s="804"/>
      <c r="AC159" s="811" t="str">
        <f t="shared" ca="1" si="118"/>
        <v>-----</v>
      </c>
      <c r="AD159" s="798"/>
      <c r="AE159" s="794" t="str">
        <f t="shared" ca="1" si="119"/>
        <v>яловая</v>
      </c>
      <c r="AF159" s="798" t="str">
        <f t="shared" si="120"/>
        <v>-</v>
      </c>
      <c r="AG159" s="812" t="str">
        <f t="shared" si="121"/>
        <v>---------</v>
      </c>
      <c r="AH159" s="807"/>
      <c r="AI159" s="807" t="str">
        <f t="shared" si="122"/>
        <v>-</v>
      </c>
      <c r="AJ159" s="807" t="str">
        <f t="shared" si="123"/>
        <v>-</v>
      </c>
      <c r="AK159" s="813"/>
      <c r="AL159" s="807" t="str">
        <f t="shared" si="124"/>
        <v>-</v>
      </c>
      <c r="AM159" s="807" t="str">
        <f t="shared" si="125"/>
        <v>-</v>
      </c>
      <c r="AN159" s="814" t="str">
        <f t="shared" ca="1" si="126"/>
        <v>-</v>
      </c>
      <c r="AO159" s="815">
        <v>1</v>
      </c>
      <c r="AP159" s="816" t="str">
        <f t="shared" ca="1" si="127"/>
        <v>-</v>
      </c>
      <c r="AQ159" s="817"/>
      <c r="AR159" s="794" t="str">
        <f t="shared" si="128"/>
        <v>-</v>
      </c>
      <c r="AS159" s="818"/>
      <c r="AT159" s="794" t="str">
        <f t="shared" si="129"/>
        <v>-</v>
      </c>
      <c r="AU159" s="819"/>
      <c r="AV159" s="820"/>
      <c r="AW159" s="821"/>
      <c r="AX159" s="821"/>
      <c r="AY159" s="969" t="str">
        <f t="shared" si="130"/>
        <v>-</v>
      </c>
      <c r="AZ159" s="966" t="str">
        <f t="shared" si="131"/>
        <v>-</v>
      </c>
      <c r="BA159" s="971" t="str">
        <f t="shared" si="132"/>
        <v>-</v>
      </c>
      <c r="BB159" s="975"/>
      <c r="BC159" s="821"/>
      <c r="BD159" s="821"/>
      <c r="BE159" s="963" t="str">
        <f t="shared" si="133"/>
        <v>-</v>
      </c>
      <c r="BF159" s="984"/>
      <c r="BG159" s="988"/>
      <c r="BH159" s="982"/>
      <c r="BI159" s="991"/>
      <c r="BJ159" s="991"/>
      <c r="BK159" s="993" t="str">
        <f t="shared" si="134"/>
        <v>-</v>
      </c>
      <c r="BL159" s="820">
        <v>42978</v>
      </c>
      <c r="BM159" s="821">
        <v>5</v>
      </c>
      <c r="BN159" s="822">
        <f t="shared" ca="1" si="135"/>
        <v>156</v>
      </c>
      <c r="BO159" s="823">
        <f t="shared" si="136"/>
        <v>23.166666666666668</v>
      </c>
      <c r="BP159" s="824"/>
      <c r="BQ159" s="821"/>
      <c r="BR159" s="822" t="str">
        <f t="shared" si="137"/>
        <v>-</v>
      </c>
      <c r="BS159" s="823" t="str">
        <f t="shared" si="138"/>
        <v>-</v>
      </c>
      <c r="BT159" s="825" t="str">
        <f t="shared" ca="1" si="139"/>
        <v>-</v>
      </c>
      <c r="BU159" s="826"/>
      <c r="BV159" s="827"/>
      <c r="BW159" s="828" t="str">
        <f t="shared" si="140"/>
        <v>Ж-Е НЕ ВАКЦ.</v>
      </c>
      <c r="BX159" s="829" t="str">
        <f t="shared" si="141"/>
        <v>-</v>
      </c>
      <c r="BY159" s="830" t="str">
        <f t="shared" ca="1" si="142"/>
        <v>-</v>
      </c>
      <c r="BZ159" s="831">
        <v>42894</v>
      </c>
      <c r="CA159" s="832">
        <v>5</v>
      </c>
      <c r="CB159" s="833">
        <f t="shared" ca="1" si="143"/>
        <v>240</v>
      </c>
      <c r="CC159" s="834" t="str">
        <f t="shared" ca="1" si="144"/>
        <v>-</v>
      </c>
      <c r="CD159" s="835">
        <f t="shared" si="145"/>
        <v>42915</v>
      </c>
      <c r="CE159" s="831">
        <v>42915</v>
      </c>
      <c r="CF159" s="832">
        <v>5</v>
      </c>
      <c r="CG159" s="833">
        <f t="shared" ca="1" si="146"/>
        <v>219</v>
      </c>
      <c r="CH159" s="836">
        <f t="shared" si="147"/>
        <v>0</v>
      </c>
      <c r="CI159" s="837" t="str">
        <f t="shared" si="148"/>
        <v>УСПЕШНО</v>
      </c>
      <c r="CJ159" s="838" t="str">
        <f t="shared" ca="1" si="149"/>
        <v>-</v>
      </c>
      <c r="CK159" s="831"/>
      <c r="CL159" s="832"/>
      <c r="CM159" s="833" t="str">
        <f t="shared" si="150"/>
        <v>-</v>
      </c>
      <c r="CN159" s="834" t="str">
        <f t="shared" si="151"/>
        <v>-</v>
      </c>
      <c r="CO159" s="830" t="str">
        <f t="shared" ca="1" si="152"/>
        <v>-</v>
      </c>
      <c r="CP159" s="831">
        <v>42958</v>
      </c>
      <c r="CQ159" s="832">
        <v>2</v>
      </c>
      <c r="CR159" s="833">
        <f t="shared" si="153"/>
        <v>42958</v>
      </c>
      <c r="CS159" s="833">
        <f t="shared" ca="1" si="154"/>
        <v>176</v>
      </c>
      <c r="CT159" s="834" t="str">
        <f t="shared" ca="1" si="155"/>
        <v>-</v>
      </c>
      <c r="CU159" s="835">
        <f t="shared" si="156"/>
        <v>42979</v>
      </c>
      <c r="CV159" s="831">
        <v>42980</v>
      </c>
      <c r="CW159" s="832">
        <v>2</v>
      </c>
      <c r="CX159" s="833">
        <f t="shared" si="157"/>
        <v>1</v>
      </c>
      <c r="CY159" s="840" t="str">
        <f t="shared" si="158"/>
        <v>-</v>
      </c>
      <c r="CZ159" s="833">
        <f t="shared" si="159"/>
        <v>42980</v>
      </c>
      <c r="DA159" s="838" t="str">
        <f t="shared" ca="1" si="160"/>
        <v>-</v>
      </c>
      <c r="DB159" s="841"/>
      <c r="DC159" s="832"/>
    </row>
    <row r="160" spans="1:107" s="842" customFormat="1" ht="15.6" customHeight="1" x14ac:dyDescent="0.25">
      <c r="A160" s="790">
        <v>160</v>
      </c>
      <c r="B160" s="791">
        <f t="shared" ca="1" si="109"/>
        <v>43134</v>
      </c>
      <c r="C160" s="792" t="s">
        <v>614</v>
      </c>
      <c r="D160" s="793" t="s">
        <v>3204</v>
      </c>
      <c r="E160" s="794" t="s">
        <v>1276</v>
      </c>
      <c r="F160" s="795" t="s">
        <v>2085</v>
      </c>
      <c r="G160" s="796">
        <f>SUMIFS(МОЛОКО!L8:L6958,МОЛОКО!F8:F6958,"2734",МОЛОКО!L8:L6958,"&gt;0")</f>
        <v>21.7</v>
      </c>
      <c r="H160" s="797" t="s">
        <v>603</v>
      </c>
      <c r="I160" s="798">
        <v>42307</v>
      </c>
      <c r="J160" s="799">
        <f t="shared" ca="1" si="110"/>
        <v>2.2657534246575342</v>
      </c>
      <c r="K160" s="799">
        <f t="shared" ca="1" si="111"/>
        <v>27.566666666666666</v>
      </c>
      <c r="L160" s="800">
        <f t="shared" ca="1" si="112"/>
        <v>827</v>
      </c>
      <c r="M160" s="801">
        <v>42986</v>
      </c>
      <c r="N160" s="802">
        <v>42986</v>
      </c>
      <c r="O160" s="803">
        <f t="shared" ca="1" si="113"/>
        <v>148</v>
      </c>
      <c r="P160" s="804">
        <v>1</v>
      </c>
      <c r="Q160" s="68" t="s">
        <v>1451</v>
      </c>
      <c r="R160" s="118" t="s">
        <v>2966</v>
      </c>
      <c r="S160" s="807">
        <v>43048</v>
      </c>
      <c r="T160" s="798">
        <v>43048</v>
      </c>
      <c r="U160" s="798">
        <f t="shared" si="114"/>
        <v>43066</v>
      </c>
      <c r="V160" s="804">
        <f t="shared" ca="1" si="115"/>
        <v>68</v>
      </c>
      <c r="W160" s="808">
        <v>1</v>
      </c>
      <c r="X160" s="794">
        <f t="shared" si="108"/>
        <v>62</v>
      </c>
      <c r="Y160" s="794">
        <v>3</v>
      </c>
      <c r="Z160" s="809" t="str">
        <f t="shared" ca="1" si="116"/>
        <v>-----</v>
      </c>
      <c r="AA160" s="810">
        <f t="shared" ca="1" si="117"/>
        <v>86</v>
      </c>
      <c r="AB160" s="804"/>
      <c r="AC160" s="811" t="str">
        <f t="shared" ca="1" si="118"/>
        <v>-----</v>
      </c>
      <c r="AD160" s="798"/>
      <c r="AE160" s="794" t="str">
        <f t="shared" ca="1" si="119"/>
        <v>-</v>
      </c>
      <c r="AF160" s="798">
        <f t="shared" si="120"/>
        <v>43083</v>
      </c>
      <c r="AG160" s="812">
        <f t="shared" ca="1" si="121"/>
        <v>51</v>
      </c>
      <c r="AH160" s="807"/>
      <c r="AI160" s="807" t="str">
        <f t="shared" si="122"/>
        <v>-</v>
      </c>
      <c r="AJ160" s="807" t="str">
        <f t="shared" si="123"/>
        <v>-</v>
      </c>
      <c r="AK160" s="813"/>
      <c r="AL160" s="807" t="str">
        <f t="shared" si="124"/>
        <v>-</v>
      </c>
      <c r="AM160" s="807" t="str">
        <f t="shared" si="125"/>
        <v>-</v>
      </c>
      <c r="AN160" s="814" t="str">
        <f t="shared" ca="1" si="126"/>
        <v>-</v>
      </c>
      <c r="AO160" s="815">
        <v>1</v>
      </c>
      <c r="AP160" s="816" t="str">
        <f t="shared" ca="1" si="127"/>
        <v>-</v>
      </c>
      <c r="AQ160" s="817"/>
      <c r="AR160" s="794" t="str">
        <f t="shared" si="128"/>
        <v>-</v>
      </c>
      <c r="AS160" s="818"/>
      <c r="AT160" s="794" t="str">
        <f t="shared" si="129"/>
        <v>-</v>
      </c>
      <c r="AU160" s="819">
        <v>1</v>
      </c>
      <c r="AV160" s="820"/>
      <c r="AW160" s="821"/>
      <c r="AX160" s="821"/>
      <c r="AY160" s="969" t="str">
        <f t="shared" si="130"/>
        <v>-</v>
      </c>
      <c r="AZ160" s="966" t="str">
        <f t="shared" si="131"/>
        <v>-</v>
      </c>
      <c r="BA160" s="971" t="str">
        <f t="shared" si="132"/>
        <v>-</v>
      </c>
      <c r="BB160" s="975"/>
      <c r="BC160" s="821"/>
      <c r="BD160" s="821"/>
      <c r="BE160" s="963" t="str">
        <f t="shared" si="133"/>
        <v>-</v>
      </c>
      <c r="BF160" s="984"/>
      <c r="BG160" s="988"/>
      <c r="BH160" s="982"/>
      <c r="BI160" s="991"/>
      <c r="BJ160" s="991"/>
      <c r="BK160" s="993" t="str">
        <f t="shared" si="134"/>
        <v>-</v>
      </c>
      <c r="BL160" s="820">
        <v>42982</v>
      </c>
      <c r="BM160" s="821">
        <v>5</v>
      </c>
      <c r="BN160" s="822">
        <f t="shared" ca="1" si="135"/>
        <v>152</v>
      </c>
      <c r="BO160" s="823">
        <f t="shared" si="136"/>
        <v>22.5</v>
      </c>
      <c r="BP160" s="824">
        <v>43001</v>
      </c>
      <c r="BQ160" s="821">
        <v>2</v>
      </c>
      <c r="BR160" s="822">
        <f t="shared" ca="1" si="137"/>
        <v>133</v>
      </c>
      <c r="BS160" s="823">
        <f t="shared" si="138"/>
        <v>0.5</v>
      </c>
      <c r="BT160" s="825" t="str">
        <f t="shared" ca="1" si="139"/>
        <v>-</v>
      </c>
      <c r="BU160" s="826"/>
      <c r="BV160" s="827"/>
      <c r="BW160" s="828" t="str">
        <f t="shared" si="140"/>
        <v>Ж-Е НЕ ВАКЦ.</v>
      </c>
      <c r="BX160" s="829" t="str">
        <f t="shared" si="141"/>
        <v>-</v>
      </c>
      <c r="BY160" s="830" t="str">
        <f t="shared" ca="1" si="142"/>
        <v>-</v>
      </c>
      <c r="BZ160" s="831">
        <v>42894</v>
      </c>
      <c r="CA160" s="832">
        <v>5</v>
      </c>
      <c r="CB160" s="833">
        <f t="shared" ca="1" si="143"/>
        <v>240</v>
      </c>
      <c r="CC160" s="834" t="str">
        <f t="shared" ca="1" si="144"/>
        <v>-</v>
      </c>
      <c r="CD160" s="835">
        <f t="shared" si="145"/>
        <v>42915</v>
      </c>
      <c r="CE160" s="831">
        <v>42915</v>
      </c>
      <c r="CF160" s="832">
        <v>5</v>
      </c>
      <c r="CG160" s="833">
        <f t="shared" ca="1" si="146"/>
        <v>219</v>
      </c>
      <c r="CH160" s="836">
        <f t="shared" si="147"/>
        <v>0</v>
      </c>
      <c r="CI160" s="837" t="str">
        <f t="shared" si="148"/>
        <v>УСПЕШНО</v>
      </c>
      <c r="CJ160" s="838" t="str">
        <f t="shared" ca="1" si="149"/>
        <v>-</v>
      </c>
      <c r="CK160" s="831"/>
      <c r="CL160" s="832"/>
      <c r="CM160" s="833" t="str">
        <f t="shared" si="150"/>
        <v>-</v>
      </c>
      <c r="CN160" s="834" t="str">
        <f t="shared" si="151"/>
        <v>-</v>
      </c>
      <c r="CO160" s="830" t="str">
        <f t="shared" ca="1" si="152"/>
        <v>-</v>
      </c>
      <c r="CP160" s="831">
        <v>42925</v>
      </c>
      <c r="CQ160" s="832">
        <v>2</v>
      </c>
      <c r="CR160" s="833">
        <f t="shared" si="153"/>
        <v>-123</v>
      </c>
      <c r="CS160" s="833">
        <f t="shared" ca="1" si="154"/>
        <v>209</v>
      </c>
      <c r="CT160" s="834" t="str">
        <f t="shared" ca="1" si="155"/>
        <v>-</v>
      </c>
      <c r="CU160" s="835">
        <f t="shared" si="156"/>
        <v>42946</v>
      </c>
      <c r="CV160" s="831">
        <v>42946</v>
      </c>
      <c r="CW160" s="832">
        <v>2</v>
      </c>
      <c r="CX160" s="833">
        <f t="shared" si="157"/>
        <v>0</v>
      </c>
      <c r="CY160" s="840" t="str">
        <f t="shared" si="158"/>
        <v>УСПЕШНО</v>
      </c>
      <c r="CZ160" s="833">
        <f t="shared" si="159"/>
        <v>-102</v>
      </c>
      <c r="DA160" s="838" t="str">
        <f t="shared" ca="1" si="160"/>
        <v>-</v>
      </c>
      <c r="DB160" s="841"/>
      <c r="DC160" s="832"/>
    </row>
    <row r="161" spans="1:107" s="842" customFormat="1" ht="15.6" customHeight="1" x14ac:dyDescent="0.25">
      <c r="A161" s="790">
        <v>161</v>
      </c>
      <c r="B161" s="791">
        <f t="shared" ca="1" si="109"/>
        <v>43134</v>
      </c>
      <c r="C161" s="271" t="s">
        <v>614</v>
      </c>
      <c r="D161" s="327" t="s">
        <v>3204</v>
      </c>
      <c r="E161" s="794" t="s">
        <v>673</v>
      </c>
      <c r="F161" s="795" t="s">
        <v>2112</v>
      </c>
      <c r="G161" s="796">
        <f>SUMIFS(МОЛОКО!L8:L6958,МОЛОКО!F8:F6958,"2785",МОЛОКО!L8:L6958,"&gt;0")</f>
        <v>24.7</v>
      </c>
      <c r="H161" s="797" t="s">
        <v>603</v>
      </c>
      <c r="I161" s="798">
        <v>42363</v>
      </c>
      <c r="J161" s="799">
        <f t="shared" ca="1" si="110"/>
        <v>2.1123287671232878</v>
      </c>
      <c r="K161" s="799">
        <f t="shared" ca="1" si="111"/>
        <v>25.7</v>
      </c>
      <c r="L161" s="800">
        <f t="shared" ca="1" si="112"/>
        <v>771</v>
      </c>
      <c r="M161" s="801">
        <v>43019</v>
      </c>
      <c r="N161" s="802">
        <v>43019</v>
      </c>
      <c r="O161" s="803">
        <f t="shared" ca="1" si="113"/>
        <v>115</v>
      </c>
      <c r="P161" s="804">
        <v>1</v>
      </c>
      <c r="Q161" s="805"/>
      <c r="R161" s="806"/>
      <c r="S161" s="807">
        <v>43048</v>
      </c>
      <c r="T161" s="798">
        <v>43048</v>
      </c>
      <c r="U161" s="798">
        <f t="shared" si="114"/>
        <v>43066</v>
      </c>
      <c r="V161" s="804">
        <f t="shared" ca="1" si="115"/>
        <v>68</v>
      </c>
      <c r="W161" s="808">
        <v>0</v>
      </c>
      <c r="X161" s="794">
        <f t="shared" si="108"/>
        <v>29</v>
      </c>
      <c r="Y161" s="794">
        <v>5</v>
      </c>
      <c r="Z161" s="809" t="str">
        <f t="shared" ca="1" si="116"/>
        <v>-----</v>
      </c>
      <c r="AA161" s="810">
        <f t="shared" ca="1" si="117"/>
        <v>86</v>
      </c>
      <c r="AB161" s="804"/>
      <c r="AC161" s="811" t="str">
        <f t="shared" ca="1" si="118"/>
        <v>-----</v>
      </c>
      <c r="AD161" s="798"/>
      <c r="AE161" s="794" t="str">
        <f t="shared" ca="1" si="119"/>
        <v>-</v>
      </c>
      <c r="AF161" s="798" t="str">
        <f t="shared" si="120"/>
        <v>-</v>
      </c>
      <c r="AG161" s="812" t="str">
        <f t="shared" si="121"/>
        <v>---------</v>
      </c>
      <c r="AH161" s="807">
        <v>42810</v>
      </c>
      <c r="AI161" s="807" t="str">
        <f t="shared" si="122"/>
        <v>-</v>
      </c>
      <c r="AJ161" s="807" t="str">
        <f t="shared" si="123"/>
        <v>-</v>
      </c>
      <c r="AK161" s="813"/>
      <c r="AL161" s="807" t="str">
        <f t="shared" si="124"/>
        <v>-</v>
      </c>
      <c r="AM161" s="807" t="str">
        <f t="shared" si="125"/>
        <v>-</v>
      </c>
      <c r="AN161" s="814" t="str">
        <f t="shared" ca="1" si="126"/>
        <v>-</v>
      </c>
      <c r="AO161" s="815">
        <v>1</v>
      </c>
      <c r="AP161" s="816" t="str">
        <f t="shared" ca="1" si="127"/>
        <v>-</v>
      </c>
      <c r="AQ161" s="817"/>
      <c r="AR161" s="794" t="str">
        <f t="shared" si="128"/>
        <v>-</v>
      </c>
      <c r="AS161" s="818"/>
      <c r="AT161" s="794" t="str">
        <f t="shared" si="129"/>
        <v>-</v>
      </c>
      <c r="AU161" s="819"/>
      <c r="AV161" s="820"/>
      <c r="AW161" s="821"/>
      <c r="AX161" s="821"/>
      <c r="AY161" s="969" t="str">
        <f t="shared" si="130"/>
        <v>-</v>
      </c>
      <c r="AZ161" s="966" t="str">
        <f t="shared" si="131"/>
        <v>-</v>
      </c>
      <c r="BA161" s="971" t="str">
        <f t="shared" si="132"/>
        <v>-</v>
      </c>
      <c r="BB161" s="975"/>
      <c r="BC161" s="821"/>
      <c r="BD161" s="821"/>
      <c r="BE161" s="963" t="str">
        <f t="shared" si="133"/>
        <v>-</v>
      </c>
      <c r="BF161" s="984"/>
      <c r="BG161" s="988"/>
      <c r="BH161" s="982"/>
      <c r="BI161" s="991"/>
      <c r="BJ161" s="991"/>
      <c r="BK161" s="993" t="str">
        <f t="shared" si="134"/>
        <v>-</v>
      </c>
      <c r="BL161" s="820">
        <v>42978</v>
      </c>
      <c r="BM161" s="821">
        <v>5</v>
      </c>
      <c r="BN161" s="822">
        <f t="shared" ca="1" si="135"/>
        <v>156</v>
      </c>
      <c r="BO161" s="823">
        <f t="shared" si="136"/>
        <v>20.5</v>
      </c>
      <c r="BP161" s="824"/>
      <c r="BQ161" s="821"/>
      <c r="BR161" s="822" t="str">
        <f t="shared" si="137"/>
        <v>-</v>
      </c>
      <c r="BS161" s="823" t="str">
        <f t="shared" si="138"/>
        <v>-</v>
      </c>
      <c r="BT161" s="825" t="str">
        <f t="shared" ca="1" si="139"/>
        <v>-</v>
      </c>
      <c r="BU161" s="826"/>
      <c r="BV161" s="827"/>
      <c r="BW161" s="828" t="str">
        <f t="shared" si="140"/>
        <v>Ж-Е НЕ ВАКЦ.</v>
      </c>
      <c r="BX161" s="829" t="str">
        <f t="shared" si="141"/>
        <v>-</v>
      </c>
      <c r="BY161" s="830" t="str">
        <f t="shared" ca="1" si="142"/>
        <v>-</v>
      </c>
      <c r="BZ161" s="831">
        <v>43046</v>
      </c>
      <c r="CA161" s="832">
        <v>5</v>
      </c>
      <c r="CB161" s="833">
        <f t="shared" ca="1" si="143"/>
        <v>88</v>
      </c>
      <c r="CC161" s="834" t="str">
        <f t="shared" ca="1" si="144"/>
        <v>ТРЕБУЕТСЯ БУСТЕРНАЯ ДОЗА</v>
      </c>
      <c r="CD161" s="835">
        <f t="shared" si="145"/>
        <v>43067</v>
      </c>
      <c r="CE161" s="839"/>
      <c r="CF161" s="832"/>
      <c r="CG161" s="833" t="str">
        <f t="shared" si="146"/>
        <v>-</v>
      </c>
      <c r="CH161" s="836" t="str">
        <f t="shared" si="147"/>
        <v>-</v>
      </c>
      <c r="CI161" s="837" t="str">
        <f t="shared" si="148"/>
        <v>-</v>
      </c>
      <c r="CJ161" s="838" t="str">
        <f t="shared" si="149"/>
        <v>-</v>
      </c>
      <c r="CK161" s="831"/>
      <c r="CL161" s="832"/>
      <c r="CM161" s="833" t="str">
        <f t="shared" si="150"/>
        <v>-</v>
      </c>
      <c r="CN161" s="834" t="str">
        <f t="shared" si="151"/>
        <v>-</v>
      </c>
      <c r="CO161" s="830" t="str">
        <f t="shared" ca="1" si="152"/>
        <v>-</v>
      </c>
      <c r="CP161" s="831">
        <v>42958</v>
      </c>
      <c r="CQ161" s="832">
        <v>2</v>
      </c>
      <c r="CR161" s="833">
        <f t="shared" si="153"/>
        <v>-90</v>
      </c>
      <c r="CS161" s="833">
        <f t="shared" ca="1" si="154"/>
        <v>176</v>
      </c>
      <c r="CT161" s="834" t="str">
        <f t="shared" ca="1" si="155"/>
        <v>-</v>
      </c>
      <c r="CU161" s="835">
        <f t="shared" si="156"/>
        <v>42979</v>
      </c>
      <c r="CV161" s="831">
        <v>42980</v>
      </c>
      <c r="CW161" s="832">
        <v>2</v>
      </c>
      <c r="CX161" s="833">
        <f t="shared" si="157"/>
        <v>1</v>
      </c>
      <c r="CY161" s="840" t="str">
        <f t="shared" si="158"/>
        <v>-</v>
      </c>
      <c r="CZ161" s="833">
        <f t="shared" si="159"/>
        <v>-68</v>
      </c>
      <c r="DA161" s="838" t="str">
        <f t="shared" ca="1" si="160"/>
        <v>-</v>
      </c>
      <c r="DB161" s="841"/>
      <c r="DC161" s="832"/>
    </row>
    <row r="162" spans="1:107" s="842" customFormat="1" ht="15.6" customHeight="1" x14ac:dyDescent="0.25">
      <c r="A162" s="790">
        <v>162</v>
      </c>
      <c r="B162" s="791">
        <f t="shared" ca="1" si="109"/>
        <v>43134</v>
      </c>
      <c r="C162" s="792" t="s">
        <v>614</v>
      </c>
      <c r="D162" s="793" t="s">
        <v>3204</v>
      </c>
      <c r="E162" s="794" t="s">
        <v>731</v>
      </c>
      <c r="F162" s="795" t="s">
        <v>732</v>
      </c>
      <c r="G162" s="796">
        <f>SUMIFS(МОЛОКО!L8:L6958,МОЛОКО!F8:F6958,"7139",МОЛОКО!L8:L6958,"&gt;0")</f>
        <v>25.2</v>
      </c>
      <c r="H162" s="797" t="s">
        <v>721</v>
      </c>
      <c r="I162" s="798">
        <v>41061</v>
      </c>
      <c r="J162" s="799">
        <f t="shared" ca="1" si="110"/>
        <v>5.6794520547945204</v>
      </c>
      <c r="K162" s="799">
        <f t="shared" ca="1" si="111"/>
        <v>69.099999999999994</v>
      </c>
      <c r="L162" s="800">
        <f t="shared" ca="1" si="112"/>
        <v>2073</v>
      </c>
      <c r="M162" s="801">
        <v>41878</v>
      </c>
      <c r="N162" s="802">
        <v>42920</v>
      </c>
      <c r="O162" s="803">
        <f t="shared" ca="1" si="113"/>
        <v>214</v>
      </c>
      <c r="P162" s="804">
        <v>3</v>
      </c>
      <c r="Q162" s="805" t="s">
        <v>1451</v>
      </c>
      <c r="R162" s="118" t="s">
        <v>2966</v>
      </c>
      <c r="S162" s="807">
        <v>42977</v>
      </c>
      <c r="T162" s="798">
        <v>43028</v>
      </c>
      <c r="U162" s="798">
        <f t="shared" si="114"/>
        <v>43046</v>
      </c>
      <c r="V162" s="804">
        <f t="shared" ca="1" si="115"/>
        <v>88</v>
      </c>
      <c r="W162" s="808">
        <v>2</v>
      </c>
      <c r="X162" s="794">
        <f t="shared" si="108"/>
        <v>108</v>
      </c>
      <c r="Y162" s="794">
        <v>3</v>
      </c>
      <c r="Z162" s="809" t="str">
        <f t="shared" ca="1" si="116"/>
        <v>-----</v>
      </c>
      <c r="AA162" s="810">
        <f t="shared" ca="1" si="117"/>
        <v>106</v>
      </c>
      <c r="AB162" s="804"/>
      <c r="AC162" s="811" t="str">
        <f t="shared" ca="1" si="118"/>
        <v>-----</v>
      </c>
      <c r="AD162" s="798"/>
      <c r="AE162" s="794" t="str">
        <f t="shared" ca="1" si="119"/>
        <v>-</v>
      </c>
      <c r="AF162" s="798">
        <f t="shared" si="120"/>
        <v>43063</v>
      </c>
      <c r="AG162" s="812">
        <f t="shared" ca="1" si="121"/>
        <v>71</v>
      </c>
      <c r="AH162" s="807">
        <v>43014</v>
      </c>
      <c r="AI162" s="807" t="str">
        <f t="shared" si="122"/>
        <v>-</v>
      </c>
      <c r="AJ162" s="807" t="str">
        <f t="shared" si="123"/>
        <v>-</v>
      </c>
      <c r="AK162" s="813"/>
      <c r="AL162" s="807" t="str">
        <f t="shared" si="124"/>
        <v>-</v>
      </c>
      <c r="AM162" s="807" t="str">
        <f t="shared" si="125"/>
        <v>-</v>
      </c>
      <c r="AN162" s="814" t="str">
        <f t="shared" ca="1" si="126"/>
        <v>-</v>
      </c>
      <c r="AO162" s="815">
        <v>1</v>
      </c>
      <c r="AP162" s="816" t="str">
        <f t="shared" ca="1" si="127"/>
        <v>-</v>
      </c>
      <c r="AQ162" s="817"/>
      <c r="AR162" s="794" t="str">
        <f t="shared" si="128"/>
        <v>-</v>
      </c>
      <c r="AS162" s="818"/>
      <c r="AT162" s="794" t="str">
        <f t="shared" si="129"/>
        <v>-</v>
      </c>
      <c r="AU162" s="819"/>
      <c r="AV162" s="820"/>
      <c r="AW162" s="821"/>
      <c r="AX162" s="821"/>
      <c r="AY162" s="969" t="str">
        <f t="shared" si="130"/>
        <v>-</v>
      </c>
      <c r="AZ162" s="966" t="str">
        <f t="shared" si="131"/>
        <v>-</v>
      </c>
      <c r="BA162" s="971" t="str">
        <f t="shared" si="132"/>
        <v>-</v>
      </c>
      <c r="BB162" s="975"/>
      <c r="BC162" s="821"/>
      <c r="BD162" s="821"/>
      <c r="BE162" s="963" t="str">
        <f t="shared" si="133"/>
        <v>-</v>
      </c>
      <c r="BF162" s="984"/>
      <c r="BG162" s="988"/>
      <c r="BH162" s="982"/>
      <c r="BI162" s="991"/>
      <c r="BJ162" s="991"/>
      <c r="BK162" s="993" t="str">
        <f t="shared" si="134"/>
        <v>-</v>
      </c>
      <c r="BL162" s="820">
        <v>42980</v>
      </c>
      <c r="BM162" s="821">
        <v>5</v>
      </c>
      <c r="BN162" s="822">
        <f t="shared" ca="1" si="135"/>
        <v>154</v>
      </c>
      <c r="BO162" s="823">
        <f t="shared" si="136"/>
        <v>63.966666666666669</v>
      </c>
      <c r="BP162" s="824"/>
      <c r="BQ162" s="821"/>
      <c r="BR162" s="822" t="str">
        <f t="shared" si="137"/>
        <v>-</v>
      </c>
      <c r="BS162" s="823" t="str">
        <f t="shared" si="138"/>
        <v>-</v>
      </c>
      <c r="BT162" s="825" t="str">
        <f t="shared" ca="1" si="139"/>
        <v>-</v>
      </c>
      <c r="BU162" s="826"/>
      <c r="BV162" s="827"/>
      <c r="BW162" s="828" t="str">
        <f t="shared" si="140"/>
        <v>Ж-Е НЕ ВАКЦ.</v>
      </c>
      <c r="BX162" s="829" t="str">
        <f t="shared" si="141"/>
        <v>-</v>
      </c>
      <c r="BY162" s="830" t="str">
        <f t="shared" ca="1" si="142"/>
        <v>-</v>
      </c>
      <c r="BZ162" s="831">
        <v>42964</v>
      </c>
      <c r="CA162" s="832">
        <v>5</v>
      </c>
      <c r="CB162" s="833">
        <f t="shared" ca="1" si="143"/>
        <v>170</v>
      </c>
      <c r="CC162" s="834" t="str">
        <f t="shared" ca="1" si="144"/>
        <v>-</v>
      </c>
      <c r="CD162" s="835">
        <f t="shared" si="145"/>
        <v>42985</v>
      </c>
      <c r="CE162" s="831">
        <v>42985</v>
      </c>
      <c r="CF162" s="832">
        <v>5</v>
      </c>
      <c r="CG162" s="833">
        <f t="shared" ca="1" si="146"/>
        <v>149</v>
      </c>
      <c r="CH162" s="836">
        <f t="shared" si="147"/>
        <v>0</v>
      </c>
      <c r="CI162" s="837" t="str">
        <f t="shared" si="148"/>
        <v>УСПЕШНО</v>
      </c>
      <c r="CJ162" s="838" t="str">
        <f t="shared" ca="1" si="149"/>
        <v>-</v>
      </c>
      <c r="CK162" s="831"/>
      <c r="CL162" s="832"/>
      <c r="CM162" s="833" t="str">
        <f t="shared" si="150"/>
        <v>-</v>
      </c>
      <c r="CN162" s="834" t="str">
        <f t="shared" si="151"/>
        <v>-</v>
      </c>
      <c r="CO162" s="830" t="str">
        <f t="shared" ca="1" si="152"/>
        <v>-</v>
      </c>
      <c r="CP162" s="831">
        <v>42882</v>
      </c>
      <c r="CQ162" s="832">
        <v>2</v>
      </c>
      <c r="CR162" s="833">
        <f t="shared" si="153"/>
        <v>-146</v>
      </c>
      <c r="CS162" s="833">
        <f t="shared" ca="1" si="154"/>
        <v>252</v>
      </c>
      <c r="CT162" s="834" t="str">
        <f t="shared" ca="1" si="155"/>
        <v>-</v>
      </c>
      <c r="CU162" s="835">
        <f t="shared" si="156"/>
        <v>42903</v>
      </c>
      <c r="CV162" s="831">
        <v>42903</v>
      </c>
      <c r="CW162" s="832">
        <v>2</v>
      </c>
      <c r="CX162" s="833">
        <f t="shared" si="157"/>
        <v>0</v>
      </c>
      <c r="CY162" s="840" t="str">
        <f t="shared" si="158"/>
        <v>УСПЕШНО</v>
      </c>
      <c r="CZ162" s="833">
        <f t="shared" si="159"/>
        <v>-125</v>
      </c>
      <c r="DA162" s="838" t="str">
        <f t="shared" ca="1" si="160"/>
        <v>-</v>
      </c>
      <c r="DB162" s="841"/>
      <c r="DC162" s="832"/>
    </row>
    <row r="163" spans="1:107" s="842" customFormat="1" ht="15.6" customHeight="1" x14ac:dyDescent="0.25">
      <c r="A163" s="790">
        <v>163</v>
      </c>
      <c r="B163" s="791">
        <f t="shared" ca="1" si="109"/>
        <v>43134</v>
      </c>
      <c r="C163" s="792" t="s">
        <v>614</v>
      </c>
      <c r="D163" s="793" t="s">
        <v>3204</v>
      </c>
      <c r="E163" s="794" t="s">
        <v>348</v>
      </c>
      <c r="F163" s="795" t="s">
        <v>774</v>
      </c>
      <c r="G163" s="796">
        <f>SUMIFS(МОЛОКО!L8:L6958,МОЛОКО!F8:F6958,"7185",МОЛОКО!L8:L6958,"&gt;0")</f>
        <v>35.200000000000003</v>
      </c>
      <c r="H163" s="797" t="s">
        <v>721</v>
      </c>
      <c r="I163" s="798">
        <v>41092</v>
      </c>
      <c r="J163" s="799">
        <f t="shared" ca="1" si="110"/>
        <v>5.5945205479452058</v>
      </c>
      <c r="K163" s="799">
        <f t="shared" ca="1" si="111"/>
        <v>68.066666666666663</v>
      </c>
      <c r="L163" s="800">
        <f t="shared" ca="1" si="112"/>
        <v>2042</v>
      </c>
      <c r="M163" s="801">
        <v>41884</v>
      </c>
      <c r="N163" s="802">
        <v>42951</v>
      </c>
      <c r="O163" s="803">
        <f t="shared" ca="1" si="113"/>
        <v>183</v>
      </c>
      <c r="P163" s="804">
        <v>3</v>
      </c>
      <c r="Q163" s="805" t="s">
        <v>2366</v>
      </c>
      <c r="R163" s="806" t="s">
        <v>3020</v>
      </c>
      <c r="S163" s="807">
        <v>43014</v>
      </c>
      <c r="T163" s="798">
        <v>43014</v>
      </c>
      <c r="U163" s="798" t="str">
        <f t="shared" si="114"/>
        <v>-</v>
      </c>
      <c r="V163" s="804" t="str">
        <f t="shared" ca="1" si="115"/>
        <v>-</v>
      </c>
      <c r="W163" s="808">
        <v>1</v>
      </c>
      <c r="X163" s="794">
        <f t="shared" si="108"/>
        <v>63</v>
      </c>
      <c r="Y163" s="794">
        <v>1</v>
      </c>
      <c r="Z163" s="809" t="str">
        <f t="shared" ca="1" si="116"/>
        <v>ПОДЛЕЖИТ ПЕРЕПРОВЕРКЕ</v>
      </c>
      <c r="AA163" s="810">
        <f t="shared" ca="1" si="117"/>
        <v>120</v>
      </c>
      <c r="AB163" s="804"/>
      <c r="AC163" s="811">
        <f t="shared" ca="1" si="118"/>
        <v>43086</v>
      </c>
      <c r="AD163" s="798"/>
      <c r="AE163" s="794" t="str">
        <f t="shared" ca="1" si="119"/>
        <v>-</v>
      </c>
      <c r="AF163" s="798" t="str">
        <f t="shared" si="120"/>
        <v>-</v>
      </c>
      <c r="AG163" s="812" t="str">
        <f t="shared" si="121"/>
        <v>---------</v>
      </c>
      <c r="AH163" s="807">
        <v>43052</v>
      </c>
      <c r="AI163" s="807">
        <f t="shared" si="122"/>
        <v>43204</v>
      </c>
      <c r="AJ163" s="807">
        <f t="shared" si="123"/>
        <v>43234</v>
      </c>
      <c r="AK163" s="813"/>
      <c r="AL163" s="807">
        <f t="shared" si="124"/>
        <v>43273</v>
      </c>
      <c r="AM163" s="807">
        <f t="shared" si="125"/>
        <v>43294</v>
      </c>
      <c r="AN163" s="814">
        <f t="shared" ca="1" si="126"/>
        <v>-160</v>
      </c>
      <c r="AO163" s="815">
        <v>1</v>
      </c>
      <c r="AP163" s="816" t="str">
        <f t="shared" ca="1" si="127"/>
        <v>-</v>
      </c>
      <c r="AQ163" s="817"/>
      <c r="AR163" s="794" t="str">
        <f t="shared" si="128"/>
        <v>-</v>
      </c>
      <c r="AS163" s="818"/>
      <c r="AT163" s="794" t="str">
        <f t="shared" si="129"/>
        <v>-</v>
      </c>
      <c r="AU163" s="819"/>
      <c r="AV163" s="820"/>
      <c r="AW163" s="821"/>
      <c r="AX163" s="821"/>
      <c r="AY163" s="969" t="str">
        <f t="shared" si="130"/>
        <v>-</v>
      </c>
      <c r="AZ163" s="966" t="str">
        <f t="shared" si="131"/>
        <v>-</v>
      </c>
      <c r="BA163" s="971" t="str">
        <f t="shared" si="132"/>
        <v>-</v>
      </c>
      <c r="BB163" s="975"/>
      <c r="BC163" s="821"/>
      <c r="BD163" s="821"/>
      <c r="BE163" s="963" t="str">
        <f t="shared" si="133"/>
        <v>-</v>
      </c>
      <c r="BF163" s="984"/>
      <c r="BG163" s="988"/>
      <c r="BH163" s="982"/>
      <c r="BI163" s="991"/>
      <c r="BJ163" s="991"/>
      <c r="BK163" s="993" t="str">
        <f t="shared" si="134"/>
        <v>-</v>
      </c>
      <c r="BL163" s="820">
        <v>42980</v>
      </c>
      <c r="BM163" s="821">
        <v>5</v>
      </c>
      <c r="BN163" s="822">
        <f t="shared" ca="1" si="135"/>
        <v>154</v>
      </c>
      <c r="BO163" s="823">
        <f t="shared" si="136"/>
        <v>62.93333333333333</v>
      </c>
      <c r="BP163" s="824"/>
      <c r="BQ163" s="821"/>
      <c r="BR163" s="822" t="str">
        <f t="shared" si="137"/>
        <v>-</v>
      </c>
      <c r="BS163" s="823" t="str">
        <f t="shared" si="138"/>
        <v>-</v>
      </c>
      <c r="BT163" s="825" t="str">
        <f t="shared" ca="1" si="139"/>
        <v>-</v>
      </c>
      <c r="BU163" s="826"/>
      <c r="BV163" s="827"/>
      <c r="BW163" s="828" t="str">
        <f t="shared" si="140"/>
        <v>Ж-Е НЕ ВАКЦ.</v>
      </c>
      <c r="BX163" s="829" t="str">
        <f t="shared" si="141"/>
        <v>-</v>
      </c>
      <c r="BY163" s="830" t="str">
        <f t="shared" ca="1" si="142"/>
        <v>-</v>
      </c>
      <c r="BZ163" s="831">
        <v>42988</v>
      </c>
      <c r="CA163" s="832">
        <v>5</v>
      </c>
      <c r="CB163" s="833">
        <f t="shared" ca="1" si="143"/>
        <v>146</v>
      </c>
      <c r="CC163" s="834" t="str">
        <f t="shared" ca="1" si="144"/>
        <v>-</v>
      </c>
      <c r="CD163" s="835">
        <f t="shared" si="145"/>
        <v>43009</v>
      </c>
      <c r="CE163" s="831">
        <v>43009</v>
      </c>
      <c r="CF163" s="832">
        <v>5</v>
      </c>
      <c r="CG163" s="833">
        <f t="shared" ca="1" si="146"/>
        <v>125</v>
      </c>
      <c r="CH163" s="836">
        <f t="shared" si="147"/>
        <v>0</v>
      </c>
      <c r="CI163" s="837" t="str">
        <f t="shared" si="148"/>
        <v>УСПЕШНО</v>
      </c>
      <c r="CJ163" s="838" t="str">
        <f t="shared" ca="1" si="149"/>
        <v>-</v>
      </c>
      <c r="CK163" s="831"/>
      <c r="CL163" s="832"/>
      <c r="CM163" s="833" t="str">
        <f t="shared" si="150"/>
        <v>-</v>
      </c>
      <c r="CN163" s="834" t="str">
        <f t="shared" si="151"/>
        <v>-</v>
      </c>
      <c r="CO163" s="830" t="str">
        <f t="shared" ca="1" si="152"/>
        <v>-</v>
      </c>
      <c r="CP163" s="831">
        <v>42882</v>
      </c>
      <c r="CQ163" s="832">
        <v>2</v>
      </c>
      <c r="CR163" s="833">
        <f t="shared" si="153"/>
        <v>-132</v>
      </c>
      <c r="CS163" s="833">
        <f t="shared" ca="1" si="154"/>
        <v>252</v>
      </c>
      <c r="CT163" s="834" t="str">
        <f t="shared" ca="1" si="155"/>
        <v>-</v>
      </c>
      <c r="CU163" s="835">
        <f t="shared" si="156"/>
        <v>42903</v>
      </c>
      <c r="CV163" s="831">
        <v>42903</v>
      </c>
      <c r="CW163" s="832">
        <v>2</v>
      </c>
      <c r="CX163" s="833">
        <f t="shared" si="157"/>
        <v>0</v>
      </c>
      <c r="CY163" s="840" t="str">
        <f t="shared" si="158"/>
        <v>УСПЕШНО</v>
      </c>
      <c r="CZ163" s="833">
        <f t="shared" si="159"/>
        <v>-111</v>
      </c>
      <c r="DA163" s="838" t="str">
        <f t="shared" ca="1" si="160"/>
        <v>-</v>
      </c>
      <c r="DB163" s="841"/>
      <c r="DC163" s="832"/>
    </row>
    <row r="164" spans="1:107" s="842" customFormat="1" ht="15.6" customHeight="1" x14ac:dyDescent="0.25">
      <c r="A164" s="790">
        <v>164</v>
      </c>
      <c r="B164" s="791">
        <f t="shared" ca="1" si="109"/>
        <v>43134</v>
      </c>
      <c r="C164" s="792" t="s">
        <v>614</v>
      </c>
      <c r="D164" s="793" t="s">
        <v>3204</v>
      </c>
      <c r="E164" s="794" t="s">
        <v>37</v>
      </c>
      <c r="F164" s="795" t="s">
        <v>779</v>
      </c>
      <c r="G164" s="796">
        <f>SUMIFS(МОЛОКО!L8:L6958,МОЛОКО!F8:F6958,"7322",МОЛОКО!L8:L6958,"&gt;0")</f>
        <v>22.1</v>
      </c>
      <c r="H164" s="797" t="s">
        <v>721</v>
      </c>
      <c r="I164" s="798">
        <v>41167</v>
      </c>
      <c r="J164" s="799">
        <f t="shared" ca="1" si="110"/>
        <v>5.3890410958904109</v>
      </c>
      <c r="K164" s="799">
        <f t="shared" ca="1" si="111"/>
        <v>65.566666666666663</v>
      </c>
      <c r="L164" s="800">
        <f t="shared" ca="1" si="112"/>
        <v>1967</v>
      </c>
      <c r="M164" s="801">
        <v>41877</v>
      </c>
      <c r="N164" s="802">
        <v>42926</v>
      </c>
      <c r="O164" s="803">
        <f t="shared" ca="1" si="113"/>
        <v>208</v>
      </c>
      <c r="P164" s="804">
        <v>3</v>
      </c>
      <c r="Q164" s="805" t="s">
        <v>2366</v>
      </c>
      <c r="R164" s="806" t="s">
        <v>2966</v>
      </c>
      <c r="S164" s="807">
        <v>42985</v>
      </c>
      <c r="T164" s="798">
        <v>43012</v>
      </c>
      <c r="U164" s="798" t="str">
        <f t="shared" si="114"/>
        <v>-</v>
      </c>
      <c r="V164" s="804" t="str">
        <f t="shared" ca="1" si="115"/>
        <v>-</v>
      </c>
      <c r="W164" s="808">
        <v>2</v>
      </c>
      <c r="X164" s="794">
        <f t="shared" si="108"/>
        <v>86</v>
      </c>
      <c r="Y164" s="794">
        <v>1</v>
      </c>
      <c r="Z164" s="809" t="str">
        <f t="shared" ca="1" si="116"/>
        <v>ПОДЛЕЖИТ ПЕРЕПРОВЕРКЕ</v>
      </c>
      <c r="AA164" s="810">
        <f t="shared" ca="1" si="117"/>
        <v>122</v>
      </c>
      <c r="AB164" s="804"/>
      <c r="AC164" s="811">
        <f t="shared" ca="1" si="118"/>
        <v>43084</v>
      </c>
      <c r="AD164" s="798"/>
      <c r="AE164" s="794" t="str">
        <f t="shared" ca="1" si="119"/>
        <v>-</v>
      </c>
      <c r="AF164" s="798" t="str">
        <f t="shared" si="120"/>
        <v>-</v>
      </c>
      <c r="AG164" s="812" t="str">
        <f t="shared" si="121"/>
        <v>---------</v>
      </c>
      <c r="AH164" s="807">
        <v>43045</v>
      </c>
      <c r="AI164" s="807">
        <f t="shared" si="122"/>
        <v>43202</v>
      </c>
      <c r="AJ164" s="807">
        <f t="shared" si="123"/>
        <v>43232</v>
      </c>
      <c r="AK164" s="813"/>
      <c r="AL164" s="807">
        <f t="shared" si="124"/>
        <v>43271</v>
      </c>
      <c r="AM164" s="807">
        <f t="shared" si="125"/>
        <v>43292</v>
      </c>
      <c r="AN164" s="814">
        <f t="shared" ca="1" si="126"/>
        <v>-158</v>
      </c>
      <c r="AO164" s="815">
        <v>1</v>
      </c>
      <c r="AP164" s="816" t="str">
        <f t="shared" ca="1" si="127"/>
        <v>-</v>
      </c>
      <c r="AQ164" s="817"/>
      <c r="AR164" s="794" t="str">
        <f t="shared" si="128"/>
        <v>-</v>
      </c>
      <c r="AS164" s="818"/>
      <c r="AT164" s="794" t="str">
        <f t="shared" si="129"/>
        <v>-</v>
      </c>
      <c r="AU164" s="819"/>
      <c r="AV164" s="820"/>
      <c r="AW164" s="821"/>
      <c r="AX164" s="821"/>
      <c r="AY164" s="969" t="str">
        <f t="shared" si="130"/>
        <v>-</v>
      </c>
      <c r="AZ164" s="966" t="str">
        <f t="shared" si="131"/>
        <v>-</v>
      </c>
      <c r="BA164" s="971" t="str">
        <f t="shared" si="132"/>
        <v>-</v>
      </c>
      <c r="BB164" s="975"/>
      <c r="BC164" s="821"/>
      <c r="BD164" s="821"/>
      <c r="BE164" s="963" t="str">
        <f t="shared" si="133"/>
        <v>-</v>
      </c>
      <c r="BF164" s="984"/>
      <c r="BG164" s="988"/>
      <c r="BH164" s="982"/>
      <c r="BI164" s="991"/>
      <c r="BJ164" s="991"/>
      <c r="BK164" s="993" t="str">
        <f t="shared" si="134"/>
        <v>-</v>
      </c>
      <c r="BL164" s="820">
        <v>42980</v>
      </c>
      <c r="BM164" s="821">
        <v>5</v>
      </c>
      <c r="BN164" s="822">
        <f t="shared" ca="1" si="135"/>
        <v>154</v>
      </c>
      <c r="BO164" s="823">
        <f t="shared" si="136"/>
        <v>60.43333333333333</v>
      </c>
      <c r="BP164" s="824"/>
      <c r="BQ164" s="821"/>
      <c r="BR164" s="822" t="str">
        <f t="shared" si="137"/>
        <v>-</v>
      </c>
      <c r="BS164" s="823" t="str">
        <f t="shared" si="138"/>
        <v>-</v>
      </c>
      <c r="BT164" s="825" t="str">
        <f t="shared" ca="1" si="139"/>
        <v>-</v>
      </c>
      <c r="BU164" s="826"/>
      <c r="BV164" s="827"/>
      <c r="BW164" s="828" t="str">
        <f t="shared" si="140"/>
        <v>Ж-Е НЕ ВАКЦ.</v>
      </c>
      <c r="BX164" s="829" t="str">
        <f t="shared" si="141"/>
        <v>-</v>
      </c>
      <c r="BY164" s="830" t="str">
        <f t="shared" ca="1" si="142"/>
        <v>-</v>
      </c>
      <c r="BZ164" s="831">
        <v>42964</v>
      </c>
      <c r="CA164" s="832">
        <v>5</v>
      </c>
      <c r="CB164" s="833">
        <f t="shared" ca="1" si="143"/>
        <v>170</v>
      </c>
      <c r="CC164" s="834" t="str">
        <f t="shared" ca="1" si="144"/>
        <v>-</v>
      </c>
      <c r="CD164" s="835">
        <f t="shared" si="145"/>
        <v>42985</v>
      </c>
      <c r="CE164" s="831">
        <v>42985</v>
      </c>
      <c r="CF164" s="832">
        <v>5</v>
      </c>
      <c r="CG164" s="833">
        <f t="shared" ca="1" si="146"/>
        <v>149</v>
      </c>
      <c r="CH164" s="836">
        <f t="shared" si="147"/>
        <v>0</v>
      </c>
      <c r="CI164" s="837" t="str">
        <f t="shared" si="148"/>
        <v>УСПЕШНО</v>
      </c>
      <c r="CJ164" s="838" t="str">
        <f t="shared" ca="1" si="149"/>
        <v>-</v>
      </c>
      <c r="CK164" s="831"/>
      <c r="CL164" s="832"/>
      <c r="CM164" s="833" t="str">
        <f t="shared" si="150"/>
        <v>-</v>
      </c>
      <c r="CN164" s="834" t="str">
        <f t="shared" si="151"/>
        <v>-</v>
      </c>
      <c r="CO164" s="830" t="str">
        <f t="shared" ca="1" si="152"/>
        <v>-</v>
      </c>
      <c r="CP164" s="831">
        <v>42882</v>
      </c>
      <c r="CQ164" s="832">
        <v>2</v>
      </c>
      <c r="CR164" s="833">
        <f t="shared" si="153"/>
        <v>-130</v>
      </c>
      <c r="CS164" s="833">
        <f t="shared" ca="1" si="154"/>
        <v>252</v>
      </c>
      <c r="CT164" s="834" t="str">
        <f t="shared" ca="1" si="155"/>
        <v>-</v>
      </c>
      <c r="CU164" s="835">
        <f t="shared" si="156"/>
        <v>42903</v>
      </c>
      <c r="CV164" s="831">
        <v>42903</v>
      </c>
      <c r="CW164" s="832">
        <v>2</v>
      </c>
      <c r="CX164" s="833">
        <f t="shared" si="157"/>
        <v>0</v>
      </c>
      <c r="CY164" s="840" t="str">
        <f t="shared" si="158"/>
        <v>УСПЕШНО</v>
      </c>
      <c r="CZ164" s="833">
        <f t="shared" si="159"/>
        <v>-109</v>
      </c>
      <c r="DA164" s="838" t="str">
        <f t="shared" ca="1" si="160"/>
        <v>-</v>
      </c>
      <c r="DB164" s="841"/>
      <c r="DC164" s="832"/>
    </row>
    <row r="165" spans="1:107" s="842" customFormat="1" ht="15.6" customHeight="1" x14ac:dyDescent="0.25">
      <c r="A165" s="790">
        <v>165</v>
      </c>
      <c r="B165" s="791">
        <f t="shared" ca="1" si="109"/>
        <v>43134</v>
      </c>
      <c r="C165" s="792" t="s">
        <v>614</v>
      </c>
      <c r="D165" s="793" t="s">
        <v>3204</v>
      </c>
      <c r="E165" s="794" t="s">
        <v>764</v>
      </c>
      <c r="F165" s="795" t="s">
        <v>1412</v>
      </c>
      <c r="G165" s="796">
        <f>SUMIFS(МОЛОКО!L8:L6958,МОЛОКО!F8:F6958,"13238",МОЛОКО!L8:L6958,"&gt;0")</f>
        <v>23.6</v>
      </c>
      <c r="H165" s="797" t="s">
        <v>87</v>
      </c>
      <c r="I165" s="798">
        <v>41480</v>
      </c>
      <c r="J165" s="799">
        <f t="shared" ca="1" si="110"/>
        <v>4.5315068493150683</v>
      </c>
      <c r="K165" s="799">
        <f t="shared" ca="1" si="111"/>
        <v>55.133333333333333</v>
      </c>
      <c r="L165" s="800">
        <f t="shared" ca="1" si="112"/>
        <v>1654</v>
      </c>
      <c r="M165" s="801">
        <v>42483</v>
      </c>
      <c r="N165" s="802">
        <v>42834</v>
      </c>
      <c r="O165" s="803">
        <f t="shared" ca="1" si="113"/>
        <v>300</v>
      </c>
      <c r="P165" s="804">
        <v>2</v>
      </c>
      <c r="Q165" s="805" t="s">
        <v>2366</v>
      </c>
      <c r="R165" s="806" t="s">
        <v>2269</v>
      </c>
      <c r="S165" s="807">
        <v>42894</v>
      </c>
      <c r="T165" s="798">
        <v>42913</v>
      </c>
      <c r="U165" s="798" t="str">
        <f t="shared" si="114"/>
        <v>-</v>
      </c>
      <c r="V165" s="804" t="str">
        <f t="shared" ca="1" si="115"/>
        <v>-</v>
      </c>
      <c r="W165" s="808">
        <v>2</v>
      </c>
      <c r="X165" s="794">
        <f t="shared" si="108"/>
        <v>79</v>
      </c>
      <c r="Y165" s="794">
        <v>1</v>
      </c>
      <c r="Z165" s="809" t="str">
        <f t="shared" ca="1" si="116"/>
        <v>-----</v>
      </c>
      <c r="AA165" s="810" t="str">
        <f t="shared" ca="1" si="117"/>
        <v>-----</v>
      </c>
      <c r="AB165" s="804">
        <v>1</v>
      </c>
      <c r="AC165" s="811" t="str">
        <f t="shared" ca="1" si="118"/>
        <v>-----</v>
      </c>
      <c r="AD165" s="798">
        <v>42995</v>
      </c>
      <c r="AE165" s="794" t="str">
        <f t="shared" ca="1" si="119"/>
        <v>-</v>
      </c>
      <c r="AF165" s="798" t="str">
        <f t="shared" si="120"/>
        <v>-</v>
      </c>
      <c r="AG165" s="812" t="str">
        <f t="shared" si="121"/>
        <v>---------</v>
      </c>
      <c r="AH165" s="807">
        <v>42947</v>
      </c>
      <c r="AI165" s="807">
        <f t="shared" si="122"/>
        <v>43103</v>
      </c>
      <c r="AJ165" s="807">
        <f t="shared" si="123"/>
        <v>43133</v>
      </c>
      <c r="AK165" s="813"/>
      <c r="AL165" s="807">
        <f t="shared" si="124"/>
        <v>43172</v>
      </c>
      <c r="AM165" s="807">
        <f t="shared" si="125"/>
        <v>43193</v>
      </c>
      <c r="AN165" s="814">
        <f t="shared" ca="1" si="126"/>
        <v>-59</v>
      </c>
      <c r="AO165" s="815">
        <v>1</v>
      </c>
      <c r="AP165" s="816" t="str">
        <f t="shared" ca="1" si="127"/>
        <v>-</v>
      </c>
      <c r="AQ165" s="817"/>
      <c r="AR165" s="794" t="str">
        <f t="shared" si="128"/>
        <v>-</v>
      </c>
      <c r="AS165" s="818"/>
      <c r="AT165" s="794" t="str">
        <f t="shared" si="129"/>
        <v>-</v>
      </c>
      <c r="AU165" s="819"/>
      <c r="AV165" s="820"/>
      <c r="AW165" s="821"/>
      <c r="AX165" s="821"/>
      <c r="AY165" s="969" t="str">
        <f t="shared" si="130"/>
        <v>-</v>
      </c>
      <c r="AZ165" s="966" t="str">
        <f t="shared" si="131"/>
        <v>-</v>
      </c>
      <c r="BA165" s="971" t="str">
        <f t="shared" si="132"/>
        <v>-</v>
      </c>
      <c r="BB165" s="975"/>
      <c r="BC165" s="821"/>
      <c r="BD165" s="821"/>
      <c r="BE165" s="963" t="str">
        <f t="shared" si="133"/>
        <v>-</v>
      </c>
      <c r="BF165" s="984"/>
      <c r="BG165" s="988"/>
      <c r="BH165" s="982"/>
      <c r="BI165" s="991"/>
      <c r="BJ165" s="991"/>
      <c r="BK165" s="993" t="str">
        <f t="shared" si="134"/>
        <v>-</v>
      </c>
      <c r="BL165" s="820">
        <v>42980</v>
      </c>
      <c r="BM165" s="821">
        <v>5</v>
      </c>
      <c r="BN165" s="822">
        <f t="shared" ca="1" si="135"/>
        <v>154</v>
      </c>
      <c r="BO165" s="823">
        <f t="shared" si="136"/>
        <v>50</v>
      </c>
      <c r="BP165" s="824"/>
      <c r="BQ165" s="821"/>
      <c r="BR165" s="822" t="str">
        <f t="shared" si="137"/>
        <v>-</v>
      </c>
      <c r="BS165" s="823" t="str">
        <f t="shared" si="138"/>
        <v>-</v>
      </c>
      <c r="BT165" s="825" t="str">
        <f t="shared" ca="1" si="139"/>
        <v>-</v>
      </c>
      <c r="BU165" s="826"/>
      <c r="BV165" s="827"/>
      <c r="BW165" s="828" t="str">
        <f t="shared" si="140"/>
        <v>Ж-Е НЕ ВАКЦ.</v>
      </c>
      <c r="BX165" s="829" t="str">
        <f t="shared" si="141"/>
        <v>-</v>
      </c>
      <c r="BY165" s="830" t="str">
        <f t="shared" ca="1" si="142"/>
        <v>-</v>
      </c>
      <c r="BZ165" s="831">
        <v>42887</v>
      </c>
      <c r="CA165" s="832">
        <v>5</v>
      </c>
      <c r="CB165" s="833">
        <f t="shared" ca="1" si="143"/>
        <v>247</v>
      </c>
      <c r="CC165" s="834" t="str">
        <f t="shared" ca="1" si="144"/>
        <v>-</v>
      </c>
      <c r="CD165" s="835">
        <f t="shared" si="145"/>
        <v>42908</v>
      </c>
      <c r="CE165" s="831">
        <v>42908</v>
      </c>
      <c r="CF165" s="832">
        <v>5</v>
      </c>
      <c r="CG165" s="833">
        <f t="shared" ca="1" si="146"/>
        <v>226</v>
      </c>
      <c r="CH165" s="836">
        <f t="shared" si="147"/>
        <v>0</v>
      </c>
      <c r="CI165" s="837" t="str">
        <f t="shared" si="148"/>
        <v>УСПЕШНО</v>
      </c>
      <c r="CJ165" s="838" t="str">
        <f t="shared" ca="1" si="149"/>
        <v>-</v>
      </c>
      <c r="CK165" s="831"/>
      <c r="CL165" s="832"/>
      <c r="CM165" s="833" t="str">
        <f t="shared" si="150"/>
        <v>-</v>
      </c>
      <c r="CN165" s="834" t="str">
        <f t="shared" si="151"/>
        <v>-</v>
      </c>
      <c r="CO165" s="830" t="str">
        <f t="shared" ca="1" si="152"/>
        <v>ТРЕБУЕТСЯ ВАКЦИНАЦИЯ</v>
      </c>
      <c r="CP165" s="839"/>
      <c r="CQ165" s="832"/>
      <c r="CR165" s="833" t="str">
        <f t="shared" si="153"/>
        <v>-</v>
      </c>
      <c r="CS165" s="833" t="str">
        <f t="shared" si="154"/>
        <v>-</v>
      </c>
      <c r="CT165" s="834" t="str">
        <f t="shared" si="155"/>
        <v>-</v>
      </c>
      <c r="CU165" s="835" t="str">
        <f t="shared" si="156"/>
        <v>-</v>
      </c>
      <c r="CV165" s="839"/>
      <c r="CW165" s="832"/>
      <c r="CX165" s="833" t="str">
        <f t="shared" si="157"/>
        <v>-</v>
      </c>
      <c r="CY165" s="840" t="str">
        <f t="shared" si="158"/>
        <v>-</v>
      </c>
      <c r="CZ165" s="833" t="str">
        <f t="shared" si="159"/>
        <v>-</v>
      </c>
      <c r="DA165" s="838" t="str">
        <f t="shared" ca="1" si="160"/>
        <v>-</v>
      </c>
      <c r="DB165" s="841"/>
      <c r="DC165" s="832"/>
    </row>
    <row r="166" spans="1:107" s="842" customFormat="1" ht="15.6" customHeight="1" x14ac:dyDescent="0.25">
      <c r="A166" s="790">
        <v>166</v>
      </c>
      <c r="B166" s="791">
        <f t="shared" ca="1" si="109"/>
        <v>43134</v>
      </c>
      <c r="C166" s="792" t="s">
        <v>614</v>
      </c>
      <c r="D166" s="793" t="s">
        <v>3204</v>
      </c>
      <c r="E166" s="794" t="s">
        <v>663</v>
      </c>
      <c r="F166" s="795" t="s">
        <v>664</v>
      </c>
      <c r="G166" s="796">
        <f>SUMIFS(МОЛОКО!L8:L6958,МОЛОКО!F8:F6958,"13310",МОЛОКО!L8:L6958,"&gt;0")</f>
        <v>23</v>
      </c>
      <c r="H166" s="797" t="s">
        <v>87</v>
      </c>
      <c r="I166" s="798">
        <v>41557</v>
      </c>
      <c r="J166" s="799">
        <f t="shared" ca="1" si="110"/>
        <v>4.3205479452054796</v>
      </c>
      <c r="K166" s="799">
        <f t="shared" ca="1" si="111"/>
        <v>52.56666666666667</v>
      </c>
      <c r="L166" s="800">
        <f t="shared" ca="1" si="112"/>
        <v>1577</v>
      </c>
      <c r="M166" s="801">
        <v>42423</v>
      </c>
      <c r="N166" s="802">
        <v>42795</v>
      </c>
      <c r="O166" s="803">
        <f t="shared" ca="1" si="113"/>
        <v>339</v>
      </c>
      <c r="P166" s="804">
        <v>2</v>
      </c>
      <c r="Q166" s="805" t="s">
        <v>2366</v>
      </c>
      <c r="R166" s="806" t="s">
        <v>2962</v>
      </c>
      <c r="S166" s="807">
        <v>42859</v>
      </c>
      <c r="T166" s="798">
        <v>42989</v>
      </c>
      <c r="U166" s="798" t="str">
        <f t="shared" si="114"/>
        <v>-</v>
      </c>
      <c r="V166" s="804" t="str">
        <f t="shared" ca="1" si="115"/>
        <v>-</v>
      </c>
      <c r="W166" s="808">
        <v>3</v>
      </c>
      <c r="X166" s="794">
        <f t="shared" si="108"/>
        <v>194</v>
      </c>
      <c r="Y166" s="794">
        <v>1</v>
      </c>
      <c r="Z166" s="809" t="str">
        <f t="shared" ca="1" si="116"/>
        <v>ПОДЛЕЖИТ ПЕРЕПРОВЕРКЕ</v>
      </c>
      <c r="AA166" s="810">
        <f t="shared" ca="1" si="117"/>
        <v>145</v>
      </c>
      <c r="AB166" s="804"/>
      <c r="AC166" s="811">
        <f t="shared" ca="1" si="118"/>
        <v>43061</v>
      </c>
      <c r="AD166" s="798"/>
      <c r="AE166" s="794" t="str">
        <f t="shared" ca="1" si="119"/>
        <v>-</v>
      </c>
      <c r="AF166" s="798" t="str">
        <f t="shared" si="120"/>
        <v>-</v>
      </c>
      <c r="AG166" s="812" t="str">
        <f t="shared" si="121"/>
        <v>---------</v>
      </c>
      <c r="AH166" s="807">
        <v>43020</v>
      </c>
      <c r="AI166" s="807">
        <f t="shared" si="122"/>
        <v>43179</v>
      </c>
      <c r="AJ166" s="807">
        <f t="shared" si="123"/>
        <v>43209</v>
      </c>
      <c r="AK166" s="813"/>
      <c r="AL166" s="807">
        <f t="shared" si="124"/>
        <v>43248</v>
      </c>
      <c r="AM166" s="807">
        <f t="shared" si="125"/>
        <v>43269</v>
      </c>
      <c r="AN166" s="814">
        <f t="shared" ca="1" si="126"/>
        <v>-135</v>
      </c>
      <c r="AO166" s="815">
        <v>1</v>
      </c>
      <c r="AP166" s="816" t="str">
        <f t="shared" ca="1" si="127"/>
        <v>-</v>
      </c>
      <c r="AQ166" s="817"/>
      <c r="AR166" s="794" t="str">
        <f t="shared" si="128"/>
        <v>-</v>
      </c>
      <c r="AS166" s="818" t="s">
        <v>3023</v>
      </c>
      <c r="AT166" s="794" t="str">
        <f t="shared" si="129"/>
        <v>-</v>
      </c>
      <c r="AU166" s="819"/>
      <c r="AV166" s="820"/>
      <c r="AW166" s="821"/>
      <c r="AX166" s="821"/>
      <c r="AY166" s="969" t="str">
        <f t="shared" si="130"/>
        <v>-</v>
      </c>
      <c r="AZ166" s="966" t="str">
        <f t="shared" si="131"/>
        <v>-</v>
      </c>
      <c r="BA166" s="971" t="str">
        <f t="shared" si="132"/>
        <v>-</v>
      </c>
      <c r="BB166" s="975"/>
      <c r="BC166" s="821"/>
      <c r="BD166" s="821"/>
      <c r="BE166" s="963" t="str">
        <f t="shared" si="133"/>
        <v>-</v>
      </c>
      <c r="BF166" s="984"/>
      <c r="BG166" s="988"/>
      <c r="BH166" s="982"/>
      <c r="BI166" s="991"/>
      <c r="BJ166" s="991"/>
      <c r="BK166" s="993" t="str">
        <f t="shared" si="134"/>
        <v>-</v>
      </c>
      <c r="BL166" s="820">
        <v>42980</v>
      </c>
      <c r="BM166" s="821">
        <v>5</v>
      </c>
      <c r="BN166" s="822">
        <f t="shared" ca="1" si="135"/>
        <v>154</v>
      </c>
      <c r="BO166" s="823">
        <f t="shared" si="136"/>
        <v>47.43333333333333</v>
      </c>
      <c r="BP166" s="824">
        <v>43001</v>
      </c>
      <c r="BQ166" s="821">
        <v>2</v>
      </c>
      <c r="BR166" s="822">
        <f t="shared" ca="1" si="137"/>
        <v>133</v>
      </c>
      <c r="BS166" s="823">
        <f t="shared" si="138"/>
        <v>19.266666666666666</v>
      </c>
      <c r="BT166" s="825" t="str">
        <f t="shared" ca="1" si="139"/>
        <v>-</v>
      </c>
      <c r="BU166" s="826"/>
      <c r="BV166" s="827"/>
      <c r="BW166" s="828" t="str">
        <f t="shared" si="140"/>
        <v>Ж-Е НЕ ВАКЦ.</v>
      </c>
      <c r="BX166" s="829" t="str">
        <f t="shared" si="141"/>
        <v>-</v>
      </c>
      <c r="BY166" s="830" t="str">
        <f t="shared" ca="1" si="142"/>
        <v>-</v>
      </c>
      <c r="BZ166" s="831">
        <v>42887</v>
      </c>
      <c r="CA166" s="832">
        <v>5</v>
      </c>
      <c r="CB166" s="833">
        <f t="shared" ca="1" si="143"/>
        <v>247</v>
      </c>
      <c r="CC166" s="834" t="str">
        <f t="shared" ca="1" si="144"/>
        <v>-</v>
      </c>
      <c r="CD166" s="835">
        <f t="shared" si="145"/>
        <v>42908</v>
      </c>
      <c r="CE166" s="831">
        <v>42908</v>
      </c>
      <c r="CF166" s="832">
        <v>5</v>
      </c>
      <c r="CG166" s="833">
        <f t="shared" ca="1" si="146"/>
        <v>226</v>
      </c>
      <c r="CH166" s="836">
        <f t="shared" si="147"/>
        <v>0</v>
      </c>
      <c r="CI166" s="837" t="str">
        <f t="shared" si="148"/>
        <v>УСПЕШНО</v>
      </c>
      <c r="CJ166" s="838" t="str">
        <f t="shared" ca="1" si="149"/>
        <v>-</v>
      </c>
      <c r="CK166" s="831"/>
      <c r="CL166" s="832"/>
      <c r="CM166" s="833" t="str">
        <f t="shared" si="150"/>
        <v>-</v>
      </c>
      <c r="CN166" s="834" t="str">
        <f t="shared" si="151"/>
        <v>-</v>
      </c>
      <c r="CO166" s="830" t="str">
        <f t="shared" ca="1" si="152"/>
        <v>-</v>
      </c>
      <c r="CP166" s="839"/>
      <c r="CQ166" s="832"/>
      <c r="CR166" s="833" t="str">
        <f t="shared" si="153"/>
        <v>-</v>
      </c>
      <c r="CS166" s="833" t="str">
        <f t="shared" si="154"/>
        <v>-</v>
      </c>
      <c r="CT166" s="834" t="str">
        <f t="shared" si="155"/>
        <v>-</v>
      </c>
      <c r="CU166" s="835" t="str">
        <f t="shared" si="156"/>
        <v>-</v>
      </c>
      <c r="CV166" s="839"/>
      <c r="CW166" s="832"/>
      <c r="CX166" s="833" t="str">
        <f t="shared" si="157"/>
        <v>-</v>
      </c>
      <c r="CY166" s="840" t="str">
        <f t="shared" si="158"/>
        <v>-</v>
      </c>
      <c r="CZ166" s="833" t="str">
        <f t="shared" si="159"/>
        <v>-</v>
      </c>
      <c r="DA166" s="838" t="str">
        <f t="shared" ca="1" si="160"/>
        <v>-</v>
      </c>
      <c r="DB166" s="841"/>
      <c r="DC166" s="832"/>
    </row>
    <row r="167" spans="1:107" s="842" customFormat="1" ht="15.6" customHeight="1" x14ac:dyDescent="0.25">
      <c r="A167" s="790">
        <v>167</v>
      </c>
      <c r="B167" s="791">
        <f t="shared" ca="1" si="109"/>
        <v>43134</v>
      </c>
      <c r="C167" s="792" t="s">
        <v>614</v>
      </c>
      <c r="D167" s="793" t="s">
        <v>3204</v>
      </c>
      <c r="E167" s="794" t="s">
        <v>1634</v>
      </c>
      <c r="F167" s="795" t="s">
        <v>672</v>
      </c>
      <c r="G167" s="796">
        <f>SUMIFS(МОЛОКО!L8:L6958,МОЛОКО!F8:F6958,"13328",МОЛОКО!L8:L6958,"&gt;0")</f>
        <v>28.2</v>
      </c>
      <c r="H167" s="797" t="s">
        <v>620</v>
      </c>
      <c r="I167" s="798">
        <v>41577</v>
      </c>
      <c r="J167" s="799">
        <f t="shared" ca="1" si="110"/>
        <v>4.2657534246575342</v>
      </c>
      <c r="K167" s="799">
        <f t="shared" ca="1" si="111"/>
        <v>51.9</v>
      </c>
      <c r="L167" s="800">
        <f t="shared" ca="1" si="112"/>
        <v>1557</v>
      </c>
      <c r="M167" s="801">
        <v>42422</v>
      </c>
      <c r="N167" s="802">
        <v>42954</v>
      </c>
      <c r="O167" s="803">
        <f t="shared" ca="1" si="113"/>
        <v>180</v>
      </c>
      <c r="P167" s="804">
        <v>3</v>
      </c>
      <c r="Q167" s="805" t="s">
        <v>1451</v>
      </c>
      <c r="R167" s="806" t="s">
        <v>3020</v>
      </c>
      <c r="S167" s="807">
        <v>43020</v>
      </c>
      <c r="T167" s="798">
        <v>43020</v>
      </c>
      <c r="U167" s="798">
        <f t="shared" si="114"/>
        <v>43038</v>
      </c>
      <c r="V167" s="804">
        <f t="shared" ca="1" si="115"/>
        <v>96</v>
      </c>
      <c r="W167" s="808">
        <v>1</v>
      </c>
      <c r="X167" s="794">
        <f t="shared" si="108"/>
        <v>66</v>
      </c>
      <c r="Y167" s="794">
        <v>2</v>
      </c>
      <c r="Z167" s="809" t="str">
        <f t="shared" ca="1" si="116"/>
        <v>-----</v>
      </c>
      <c r="AA167" s="810">
        <f t="shared" ca="1" si="117"/>
        <v>114</v>
      </c>
      <c r="AB167" s="804">
        <v>1</v>
      </c>
      <c r="AC167" s="811" t="str">
        <f t="shared" ca="1" si="118"/>
        <v>-----</v>
      </c>
      <c r="AD167" s="798">
        <v>43043</v>
      </c>
      <c r="AE167" s="794" t="str">
        <f t="shared" ca="1" si="119"/>
        <v>-</v>
      </c>
      <c r="AF167" s="798">
        <f t="shared" si="120"/>
        <v>43055</v>
      </c>
      <c r="AG167" s="812">
        <f t="shared" ca="1" si="121"/>
        <v>79</v>
      </c>
      <c r="AH167" s="807">
        <v>43052</v>
      </c>
      <c r="AI167" s="807" t="str">
        <f t="shared" si="122"/>
        <v>-</v>
      </c>
      <c r="AJ167" s="807" t="str">
        <f t="shared" si="123"/>
        <v>-</v>
      </c>
      <c r="AK167" s="813"/>
      <c r="AL167" s="807" t="str">
        <f t="shared" si="124"/>
        <v>-</v>
      </c>
      <c r="AM167" s="807" t="str">
        <f t="shared" si="125"/>
        <v>-</v>
      </c>
      <c r="AN167" s="814" t="str">
        <f t="shared" ca="1" si="126"/>
        <v>-</v>
      </c>
      <c r="AO167" s="815">
        <v>1</v>
      </c>
      <c r="AP167" s="816" t="str">
        <f t="shared" ca="1" si="127"/>
        <v>-</v>
      </c>
      <c r="AQ167" s="817"/>
      <c r="AR167" s="794" t="str">
        <f t="shared" si="128"/>
        <v>-</v>
      </c>
      <c r="AS167" s="818"/>
      <c r="AT167" s="794" t="str">
        <f t="shared" si="129"/>
        <v>-</v>
      </c>
      <c r="AU167" s="819"/>
      <c r="AV167" s="820"/>
      <c r="AW167" s="821"/>
      <c r="AX167" s="821"/>
      <c r="AY167" s="969" t="str">
        <f t="shared" si="130"/>
        <v>-</v>
      </c>
      <c r="AZ167" s="966" t="str">
        <f t="shared" si="131"/>
        <v>-</v>
      </c>
      <c r="BA167" s="971" t="str">
        <f t="shared" si="132"/>
        <v>-</v>
      </c>
      <c r="BB167" s="975"/>
      <c r="BC167" s="821"/>
      <c r="BD167" s="821"/>
      <c r="BE167" s="963" t="str">
        <f t="shared" si="133"/>
        <v>-</v>
      </c>
      <c r="BF167" s="984"/>
      <c r="BG167" s="988"/>
      <c r="BH167" s="982"/>
      <c r="BI167" s="991"/>
      <c r="BJ167" s="991"/>
      <c r="BK167" s="993" t="str">
        <f t="shared" si="134"/>
        <v>-</v>
      </c>
      <c r="BL167" s="820">
        <v>42980</v>
      </c>
      <c r="BM167" s="821">
        <v>5</v>
      </c>
      <c r="BN167" s="822">
        <f t="shared" ca="1" si="135"/>
        <v>154</v>
      </c>
      <c r="BO167" s="823">
        <f t="shared" si="136"/>
        <v>46.766666666666666</v>
      </c>
      <c r="BP167" s="824"/>
      <c r="BQ167" s="821"/>
      <c r="BR167" s="822" t="str">
        <f t="shared" si="137"/>
        <v>-</v>
      </c>
      <c r="BS167" s="823" t="str">
        <f t="shared" si="138"/>
        <v>-</v>
      </c>
      <c r="BT167" s="825" t="str">
        <f t="shared" ca="1" si="139"/>
        <v>-</v>
      </c>
      <c r="BU167" s="826"/>
      <c r="BV167" s="827"/>
      <c r="BW167" s="828" t="str">
        <f t="shared" si="140"/>
        <v>Ж-Е НЕ ВАКЦ.</v>
      </c>
      <c r="BX167" s="829" t="str">
        <f t="shared" si="141"/>
        <v>-</v>
      </c>
      <c r="BY167" s="830" t="str">
        <f t="shared" ca="1" si="142"/>
        <v>-</v>
      </c>
      <c r="BZ167" s="831">
        <v>42988</v>
      </c>
      <c r="CA167" s="832">
        <v>5</v>
      </c>
      <c r="CB167" s="833">
        <f t="shared" ca="1" si="143"/>
        <v>146</v>
      </c>
      <c r="CC167" s="834" t="str">
        <f t="shared" ca="1" si="144"/>
        <v>-</v>
      </c>
      <c r="CD167" s="835">
        <f t="shared" si="145"/>
        <v>43009</v>
      </c>
      <c r="CE167" s="831">
        <v>43009</v>
      </c>
      <c r="CF167" s="832">
        <v>5</v>
      </c>
      <c r="CG167" s="833">
        <f t="shared" ca="1" si="146"/>
        <v>125</v>
      </c>
      <c r="CH167" s="836">
        <f t="shared" si="147"/>
        <v>0</v>
      </c>
      <c r="CI167" s="837" t="str">
        <f t="shared" si="148"/>
        <v>УСПЕШНО</v>
      </c>
      <c r="CJ167" s="838" t="str">
        <f t="shared" ca="1" si="149"/>
        <v>-</v>
      </c>
      <c r="CK167" s="831"/>
      <c r="CL167" s="832"/>
      <c r="CM167" s="833" t="str">
        <f t="shared" si="150"/>
        <v>-</v>
      </c>
      <c r="CN167" s="834" t="str">
        <f t="shared" si="151"/>
        <v>-</v>
      </c>
      <c r="CO167" s="830" t="str">
        <f t="shared" ca="1" si="152"/>
        <v>-</v>
      </c>
      <c r="CP167" s="831">
        <v>42882</v>
      </c>
      <c r="CQ167" s="832">
        <v>2</v>
      </c>
      <c r="CR167" s="833">
        <f t="shared" si="153"/>
        <v>-138</v>
      </c>
      <c r="CS167" s="833">
        <f t="shared" ca="1" si="154"/>
        <v>252</v>
      </c>
      <c r="CT167" s="834" t="str">
        <f t="shared" ca="1" si="155"/>
        <v>-</v>
      </c>
      <c r="CU167" s="835">
        <f t="shared" si="156"/>
        <v>42903</v>
      </c>
      <c r="CV167" s="831">
        <v>42903</v>
      </c>
      <c r="CW167" s="832">
        <v>2</v>
      </c>
      <c r="CX167" s="833">
        <f t="shared" si="157"/>
        <v>0</v>
      </c>
      <c r="CY167" s="840" t="str">
        <f t="shared" si="158"/>
        <v>УСПЕШНО</v>
      </c>
      <c r="CZ167" s="833">
        <f t="shared" si="159"/>
        <v>-117</v>
      </c>
      <c r="DA167" s="838" t="str">
        <f t="shared" ca="1" si="160"/>
        <v>-</v>
      </c>
      <c r="DB167" s="841"/>
      <c r="DC167" s="832"/>
    </row>
    <row r="168" spans="1:107" s="842" customFormat="1" ht="15.95" customHeight="1" x14ac:dyDescent="0.25">
      <c r="A168" s="790">
        <v>168</v>
      </c>
      <c r="B168" s="791">
        <f t="shared" ca="1" si="109"/>
        <v>43134</v>
      </c>
      <c r="C168" s="792" t="s">
        <v>614</v>
      </c>
      <c r="D168" s="793" t="s">
        <v>3204</v>
      </c>
      <c r="E168" s="794" t="s">
        <v>369</v>
      </c>
      <c r="F168" s="795" t="s">
        <v>675</v>
      </c>
      <c r="G168" s="796">
        <f>SUMIFS(МОЛОКО!L8:L6958,МОЛОКО!F8:F6958,"13341",МОЛОКО!L8:L6958,"&gt;0")</f>
        <v>22.7</v>
      </c>
      <c r="H168" s="797" t="s">
        <v>620</v>
      </c>
      <c r="I168" s="798">
        <v>41594</v>
      </c>
      <c r="J168" s="799">
        <f t="shared" ca="1" si="110"/>
        <v>4.2191780821917808</v>
      </c>
      <c r="K168" s="799">
        <f t="shared" ca="1" si="111"/>
        <v>51.333333333333336</v>
      </c>
      <c r="L168" s="800">
        <f t="shared" ca="1" si="112"/>
        <v>1540</v>
      </c>
      <c r="M168" s="801">
        <v>42413</v>
      </c>
      <c r="N168" s="802">
        <v>42877</v>
      </c>
      <c r="O168" s="803">
        <f t="shared" ca="1" si="113"/>
        <v>257</v>
      </c>
      <c r="P168" s="804">
        <v>2</v>
      </c>
      <c r="Q168" s="805" t="s">
        <v>2366</v>
      </c>
      <c r="R168" s="806" t="s">
        <v>2670</v>
      </c>
      <c r="S168" s="807">
        <v>42936</v>
      </c>
      <c r="T168" s="798">
        <v>42936</v>
      </c>
      <c r="U168" s="798" t="str">
        <f t="shared" si="114"/>
        <v>-</v>
      </c>
      <c r="V168" s="804" t="str">
        <f t="shared" ca="1" si="115"/>
        <v>-</v>
      </c>
      <c r="W168" s="808">
        <v>1</v>
      </c>
      <c r="X168" s="794">
        <f t="shared" si="108"/>
        <v>59</v>
      </c>
      <c r="Y168" s="794">
        <v>1</v>
      </c>
      <c r="Z168" s="809" t="str">
        <f t="shared" ca="1" si="116"/>
        <v>-----</v>
      </c>
      <c r="AA168" s="810" t="str">
        <f t="shared" ca="1" si="117"/>
        <v>-----</v>
      </c>
      <c r="AB168" s="804">
        <v>1</v>
      </c>
      <c r="AC168" s="811" t="str">
        <f t="shared" ca="1" si="118"/>
        <v>-----</v>
      </c>
      <c r="AD168" s="798">
        <v>43043</v>
      </c>
      <c r="AE168" s="794" t="str">
        <f t="shared" ca="1" si="119"/>
        <v>-</v>
      </c>
      <c r="AF168" s="798" t="str">
        <f t="shared" si="120"/>
        <v>-</v>
      </c>
      <c r="AG168" s="812" t="str">
        <f t="shared" si="121"/>
        <v>---------</v>
      </c>
      <c r="AH168" s="807">
        <v>42968</v>
      </c>
      <c r="AI168" s="807">
        <f t="shared" si="122"/>
        <v>43126</v>
      </c>
      <c r="AJ168" s="807">
        <f t="shared" si="123"/>
        <v>43156</v>
      </c>
      <c r="AK168" s="813"/>
      <c r="AL168" s="807">
        <f t="shared" si="124"/>
        <v>43195</v>
      </c>
      <c r="AM168" s="807">
        <f t="shared" si="125"/>
        <v>43216</v>
      </c>
      <c r="AN168" s="814">
        <f t="shared" ca="1" si="126"/>
        <v>-82</v>
      </c>
      <c r="AO168" s="815">
        <v>1</v>
      </c>
      <c r="AP168" s="816" t="str">
        <f t="shared" ca="1" si="127"/>
        <v>-</v>
      </c>
      <c r="AQ168" s="817"/>
      <c r="AR168" s="794" t="str">
        <f t="shared" si="128"/>
        <v>-</v>
      </c>
      <c r="AS168" s="818"/>
      <c r="AT168" s="794" t="str">
        <f t="shared" si="129"/>
        <v>-</v>
      </c>
      <c r="AU168" s="819"/>
      <c r="AV168" s="820"/>
      <c r="AW168" s="821"/>
      <c r="AX168" s="821"/>
      <c r="AY168" s="969" t="str">
        <f t="shared" si="130"/>
        <v>-</v>
      </c>
      <c r="AZ168" s="966" t="str">
        <f t="shared" si="131"/>
        <v>-</v>
      </c>
      <c r="BA168" s="971" t="str">
        <f t="shared" si="132"/>
        <v>-</v>
      </c>
      <c r="BB168" s="975"/>
      <c r="BC168" s="821"/>
      <c r="BD168" s="821"/>
      <c r="BE168" s="963" t="str">
        <f t="shared" si="133"/>
        <v>-</v>
      </c>
      <c r="BF168" s="984"/>
      <c r="BG168" s="988"/>
      <c r="BH168" s="982"/>
      <c r="BI168" s="991"/>
      <c r="BJ168" s="991"/>
      <c r="BK168" s="993" t="str">
        <f t="shared" si="134"/>
        <v>-</v>
      </c>
      <c r="BL168" s="820">
        <v>42980</v>
      </c>
      <c r="BM168" s="821">
        <v>5</v>
      </c>
      <c r="BN168" s="822">
        <f t="shared" ca="1" si="135"/>
        <v>154</v>
      </c>
      <c r="BO168" s="823">
        <f t="shared" si="136"/>
        <v>46.2</v>
      </c>
      <c r="BP168" s="824">
        <v>43001</v>
      </c>
      <c r="BQ168" s="821">
        <v>2</v>
      </c>
      <c r="BR168" s="822">
        <f t="shared" ca="1" si="137"/>
        <v>133</v>
      </c>
      <c r="BS168" s="823">
        <f t="shared" si="138"/>
        <v>19.600000000000001</v>
      </c>
      <c r="BT168" s="825" t="str">
        <f t="shared" ca="1" si="139"/>
        <v>-</v>
      </c>
      <c r="BU168" s="826"/>
      <c r="BV168" s="827"/>
      <c r="BW168" s="828" t="str">
        <f t="shared" si="140"/>
        <v>Ж-Е НЕ ВАКЦ.</v>
      </c>
      <c r="BX168" s="829" t="str">
        <f t="shared" si="141"/>
        <v>-</v>
      </c>
      <c r="BY168" s="830" t="str">
        <f t="shared" ca="1" si="142"/>
        <v>-</v>
      </c>
      <c r="BZ168" s="831">
        <v>42904</v>
      </c>
      <c r="CA168" s="832">
        <v>5</v>
      </c>
      <c r="CB168" s="833">
        <f t="shared" ca="1" si="143"/>
        <v>230</v>
      </c>
      <c r="CC168" s="834" t="str">
        <f t="shared" ca="1" si="144"/>
        <v>-</v>
      </c>
      <c r="CD168" s="835">
        <f t="shared" si="145"/>
        <v>42925</v>
      </c>
      <c r="CE168" s="831">
        <v>42925</v>
      </c>
      <c r="CF168" s="832">
        <v>5</v>
      </c>
      <c r="CG168" s="833">
        <f t="shared" ca="1" si="146"/>
        <v>209</v>
      </c>
      <c r="CH168" s="836">
        <f t="shared" si="147"/>
        <v>0</v>
      </c>
      <c r="CI168" s="837" t="str">
        <f t="shared" si="148"/>
        <v>УСПЕШНО</v>
      </c>
      <c r="CJ168" s="838" t="str">
        <f t="shared" ca="1" si="149"/>
        <v>-</v>
      </c>
      <c r="CK168" s="831"/>
      <c r="CL168" s="832"/>
      <c r="CM168" s="833" t="str">
        <f t="shared" si="150"/>
        <v>-</v>
      </c>
      <c r="CN168" s="834" t="str">
        <f t="shared" si="151"/>
        <v>-</v>
      </c>
      <c r="CO168" s="830" t="str">
        <f t="shared" ca="1" si="152"/>
        <v>-</v>
      </c>
      <c r="CP168" s="839"/>
      <c r="CQ168" s="832"/>
      <c r="CR168" s="833" t="str">
        <f t="shared" si="153"/>
        <v>-</v>
      </c>
      <c r="CS168" s="833" t="str">
        <f t="shared" si="154"/>
        <v>-</v>
      </c>
      <c r="CT168" s="834" t="str">
        <f t="shared" si="155"/>
        <v>-</v>
      </c>
      <c r="CU168" s="835" t="str">
        <f t="shared" si="156"/>
        <v>-</v>
      </c>
      <c r="CV168" s="839"/>
      <c r="CW168" s="832"/>
      <c r="CX168" s="833" t="str">
        <f t="shared" si="157"/>
        <v>-</v>
      </c>
      <c r="CY168" s="840" t="str">
        <f t="shared" si="158"/>
        <v>-</v>
      </c>
      <c r="CZ168" s="833" t="str">
        <f t="shared" si="159"/>
        <v>-</v>
      </c>
      <c r="DA168" s="838" t="str">
        <f t="shared" ca="1" si="160"/>
        <v>-</v>
      </c>
      <c r="DB168" s="841"/>
      <c r="DC168" s="832"/>
    </row>
    <row r="169" spans="1:107" s="842" customFormat="1" ht="15.95" customHeight="1" x14ac:dyDescent="0.25">
      <c r="A169" s="790">
        <v>169</v>
      </c>
      <c r="B169" s="791">
        <f t="shared" ca="1" si="109"/>
        <v>43134</v>
      </c>
      <c r="C169" s="792" t="s">
        <v>614</v>
      </c>
      <c r="D169" s="793" t="s">
        <v>3204</v>
      </c>
      <c r="E169" s="794" t="s">
        <v>535</v>
      </c>
      <c r="F169" s="795" t="s">
        <v>534</v>
      </c>
      <c r="G169" s="796">
        <f>SUMIFS(МОЛОКО!L8:L6958,МОЛОКО!E8:E6958,"Почка",МОЛОКО!F8:F6958,"13350",МОЛОКО!L8:L6958,"&gt;0")</f>
        <v>25.6</v>
      </c>
      <c r="H169" s="797" t="s">
        <v>620</v>
      </c>
      <c r="I169" s="798">
        <v>41544</v>
      </c>
      <c r="J169" s="799">
        <f t="shared" ca="1" si="110"/>
        <v>4.3561643835616435</v>
      </c>
      <c r="K169" s="799">
        <f t="shared" ca="1" si="111"/>
        <v>53</v>
      </c>
      <c r="L169" s="800">
        <f t="shared" ca="1" si="112"/>
        <v>1590</v>
      </c>
      <c r="M169" s="801">
        <v>42409</v>
      </c>
      <c r="N169" s="802">
        <v>42853</v>
      </c>
      <c r="O169" s="803">
        <f t="shared" ca="1" si="113"/>
        <v>281</v>
      </c>
      <c r="P169" s="804">
        <v>2</v>
      </c>
      <c r="Q169" s="805" t="s">
        <v>2366</v>
      </c>
      <c r="R169" s="806" t="s">
        <v>2269</v>
      </c>
      <c r="S169" s="807">
        <v>42915</v>
      </c>
      <c r="T169" s="798">
        <v>42915</v>
      </c>
      <c r="U169" s="798" t="str">
        <f t="shared" si="114"/>
        <v>-</v>
      </c>
      <c r="V169" s="804" t="str">
        <f t="shared" ca="1" si="115"/>
        <v>-</v>
      </c>
      <c r="W169" s="808">
        <v>1</v>
      </c>
      <c r="X169" s="794">
        <f t="shared" si="108"/>
        <v>62</v>
      </c>
      <c r="Y169" s="794">
        <v>1</v>
      </c>
      <c r="Z169" s="809" t="str">
        <f t="shared" ca="1" si="116"/>
        <v>-----</v>
      </c>
      <c r="AA169" s="810" t="str">
        <f t="shared" ca="1" si="117"/>
        <v>-----</v>
      </c>
      <c r="AB169" s="804">
        <v>1</v>
      </c>
      <c r="AC169" s="811" t="str">
        <f t="shared" ca="1" si="118"/>
        <v>-----</v>
      </c>
      <c r="AD169" s="798">
        <v>42995</v>
      </c>
      <c r="AE169" s="794" t="str">
        <f t="shared" ca="1" si="119"/>
        <v>-</v>
      </c>
      <c r="AF169" s="798" t="str">
        <f t="shared" si="120"/>
        <v>-</v>
      </c>
      <c r="AG169" s="812" t="str">
        <f t="shared" si="121"/>
        <v>---------</v>
      </c>
      <c r="AH169" s="807">
        <v>42947</v>
      </c>
      <c r="AI169" s="807">
        <f t="shared" si="122"/>
        <v>43105</v>
      </c>
      <c r="AJ169" s="807">
        <f t="shared" si="123"/>
        <v>43135</v>
      </c>
      <c r="AK169" s="813"/>
      <c r="AL169" s="807">
        <f t="shared" si="124"/>
        <v>43174</v>
      </c>
      <c r="AM169" s="807">
        <f t="shared" si="125"/>
        <v>43195</v>
      </c>
      <c r="AN169" s="814">
        <f t="shared" ca="1" si="126"/>
        <v>-61</v>
      </c>
      <c r="AO169" s="815">
        <v>1</v>
      </c>
      <c r="AP169" s="816" t="str">
        <f t="shared" ca="1" si="127"/>
        <v>-</v>
      </c>
      <c r="AQ169" s="817"/>
      <c r="AR169" s="794" t="str">
        <f t="shared" si="128"/>
        <v>-</v>
      </c>
      <c r="AS169" s="818"/>
      <c r="AT169" s="794" t="str">
        <f t="shared" si="129"/>
        <v>-</v>
      </c>
      <c r="AU169" s="819"/>
      <c r="AV169" s="820"/>
      <c r="AW169" s="821"/>
      <c r="AX169" s="821"/>
      <c r="AY169" s="969" t="str">
        <f t="shared" si="130"/>
        <v>-</v>
      </c>
      <c r="AZ169" s="966" t="str">
        <f t="shared" si="131"/>
        <v>-</v>
      </c>
      <c r="BA169" s="971" t="str">
        <f t="shared" si="132"/>
        <v>-</v>
      </c>
      <c r="BB169" s="975"/>
      <c r="BC169" s="821"/>
      <c r="BD169" s="821"/>
      <c r="BE169" s="963" t="str">
        <f t="shared" si="133"/>
        <v>-</v>
      </c>
      <c r="BF169" s="984"/>
      <c r="BG169" s="988"/>
      <c r="BH169" s="982"/>
      <c r="BI169" s="991"/>
      <c r="BJ169" s="991"/>
      <c r="BK169" s="993" t="str">
        <f t="shared" si="134"/>
        <v>-</v>
      </c>
      <c r="BL169" s="820">
        <v>42980</v>
      </c>
      <c r="BM169" s="821">
        <v>5</v>
      </c>
      <c r="BN169" s="822">
        <f t="shared" ca="1" si="135"/>
        <v>154</v>
      </c>
      <c r="BO169" s="823">
        <f t="shared" si="136"/>
        <v>47.866666666666667</v>
      </c>
      <c r="BP169" s="824">
        <v>43001</v>
      </c>
      <c r="BQ169" s="821">
        <v>2</v>
      </c>
      <c r="BR169" s="822">
        <f t="shared" ca="1" si="137"/>
        <v>133</v>
      </c>
      <c r="BS169" s="823">
        <f t="shared" si="138"/>
        <v>19.733333333333334</v>
      </c>
      <c r="BT169" s="825" t="str">
        <f t="shared" ca="1" si="139"/>
        <v>-</v>
      </c>
      <c r="BU169" s="826"/>
      <c r="BV169" s="827"/>
      <c r="BW169" s="828" t="str">
        <f t="shared" si="140"/>
        <v>Ж-Е НЕ ВАКЦ.</v>
      </c>
      <c r="BX169" s="829" t="str">
        <f t="shared" si="141"/>
        <v>-</v>
      </c>
      <c r="BY169" s="830" t="str">
        <f t="shared" ca="1" si="142"/>
        <v>-</v>
      </c>
      <c r="BZ169" s="831">
        <v>42887</v>
      </c>
      <c r="CA169" s="832">
        <v>5</v>
      </c>
      <c r="CB169" s="833">
        <f t="shared" ca="1" si="143"/>
        <v>247</v>
      </c>
      <c r="CC169" s="834" t="str">
        <f t="shared" ca="1" si="144"/>
        <v>-</v>
      </c>
      <c r="CD169" s="835">
        <f t="shared" si="145"/>
        <v>42908</v>
      </c>
      <c r="CE169" s="831">
        <v>42908</v>
      </c>
      <c r="CF169" s="832">
        <v>5</v>
      </c>
      <c r="CG169" s="833">
        <f t="shared" ca="1" si="146"/>
        <v>226</v>
      </c>
      <c r="CH169" s="836">
        <f t="shared" si="147"/>
        <v>0</v>
      </c>
      <c r="CI169" s="837" t="str">
        <f t="shared" si="148"/>
        <v>УСПЕШНО</v>
      </c>
      <c r="CJ169" s="838" t="str">
        <f t="shared" ca="1" si="149"/>
        <v>-</v>
      </c>
      <c r="CK169" s="831"/>
      <c r="CL169" s="832"/>
      <c r="CM169" s="833" t="str">
        <f t="shared" si="150"/>
        <v>-</v>
      </c>
      <c r="CN169" s="834" t="str">
        <f t="shared" si="151"/>
        <v>-</v>
      </c>
      <c r="CO169" s="830" t="str">
        <f t="shared" ca="1" si="152"/>
        <v>ТРЕБУЕТСЯ ВАКЦИНАЦИЯ</v>
      </c>
      <c r="CP169" s="839"/>
      <c r="CQ169" s="832"/>
      <c r="CR169" s="833" t="str">
        <f t="shared" si="153"/>
        <v>-</v>
      </c>
      <c r="CS169" s="833" t="str">
        <f t="shared" si="154"/>
        <v>-</v>
      </c>
      <c r="CT169" s="834" t="str">
        <f t="shared" si="155"/>
        <v>-</v>
      </c>
      <c r="CU169" s="835" t="str">
        <f t="shared" si="156"/>
        <v>-</v>
      </c>
      <c r="CV169" s="839"/>
      <c r="CW169" s="832"/>
      <c r="CX169" s="833" t="str">
        <f t="shared" si="157"/>
        <v>-</v>
      </c>
      <c r="CY169" s="840" t="str">
        <f t="shared" si="158"/>
        <v>-</v>
      </c>
      <c r="CZ169" s="833" t="str">
        <f t="shared" si="159"/>
        <v>-</v>
      </c>
      <c r="DA169" s="838" t="str">
        <f t="shared" ca="1" si="160"/>
        <v>-</v>
      </c>
      <c r="DB169" s="841"/>
      <c r="DC169" s="832"/>
    </row>
    <row r="170" spans="1:107" s="842" customFormat="1" ht="15.95" customHeight="1" x14ac:dyDescent="0.25">
      <c r="A170" s="790">
        <v>170</v>
      </c>
      <c r="B170" s="791">
        <f t="shared" ca="1" si="109"/>
        <v>43134</v>
      </c>
      <c r="C170" s="792" t="s">
        <v>614</v>
      </c>
      <c r="D170" s="793" t="s">
        <v>3204</v>
      </c>
      <c r="E170" s="794" t="s">
        <v>806</v>
      </c>
      <c r="F170" s="795" t="s">
        <v>1394</v>
      </c>
      <c r="G170" s="796">
        <f>SUMIFS(МОЛОКО!L8:L6958,МОЛОКО!F8:F6958,"14052",МОЛОКО!L8:L6958,"&gt;0")</f>
        <v>24.6</v>
      </c>
      <c r="H170" s="797" t="s">
        <v>87</v>
      </c>
      <c r="I170" s="798">
        <v>41681</v>
      </c>
      <c r="J170" s="799">
        <f t="shared" ca="1" si="110"/>
        <v>3.9808219178082194</v>
      </c>
      <c r="K170" s="799">
        <f t="shared" ca="1" si="111"/>
        <v>48.43333333333333</v>
      </c>
      <c r="L170" s="800">
        <f t="shared" ca="1" si="112"/>
        <v>1453</v>
      </c>
      <c r="M170" s="801">
        <v>42471</v>
      </c>
      <c r="N170" s="802">
        <v>42892</v>
      </c>
      <c r="O170" s="803">
        <f t="shared" ca="1" si="113"/>
        <v>242</v>
      </c>
      <c r="P170" s="804">
        <v>2</v>
      </c>
      <c r="Q170" s="805" t="s">
        <v>2309</v>
      </c>
      <c r="R170" s="806" t="s">
        <v>3020</v>
      </c>
      <c r="S170" s="807">
        <v>42950</v>
      </c>
      <c r="T170" s="798">
        <v>42950</v>
      </c>
      <c r="U170" s="798" t="str">
        <f t="shared" si="114"/>
        <v>-</v>
      </c>
      <c r="V170" s="804" t="str">
        <f t="shared" ca="1" si="115"/>
        <v>-</v>
      </c>
      <c r="W170" s="808">
        <v>1</v>
      </c>
      <c r="X170" s="794">
        <f t="shared" si="108"/>
        <v>58</v>
      </c>
      <c r="Y170" s="794">
        <v>1</v>
      </c>
      <c r="Z170" s="809" t="str">
        <f t="shared" ca="1" si="116"/>
        <v>-----</v>
      </c>
      <c r="AA170" s="810" t="str">
        <f t="shared" ca="1" si="117"/>
        <v>-----</v>
      </c>
      <c r="AB170" s="804">
        <v>1</v>
      </c>
      <c r="AC170" s="811" t="str">
        <f t="shared" ca="1" si="118"/>
        <v>-----</v>
      </c>
      <c r="AD170" s="798">
        <v>43030</v>
      </c>
      <c r="AE170" s="794" t="str">
        <f t="shared" ca="1" si="119"/>
        <v>-</v>
      </c>
      <c r="AF170" s="798" t="str">
        <f t="shared" si="120"/>
        <v>-</v>
      </c>
      <c r="AG170" s="812" t="str">
        <f t="shared" si="121"/>
        <v>---------</v>
      </c>
      <c r="AH170" s="807">
        <v>42982</v>
      </c>
      <c r="AI170" s="807">
        <f t="shared" si="122"/>
        <v>43140</v>
      </c>
      <c r="AJ170" s="807">
        <f t="shared" si="123"/>
        <v>43170</v>
      </c>
      <c r="AK170" s="813"/>
      <c r="AL170" s="807">
        <f t="shared" si="124"/>
        <v>43209</v>
      </c>
      <c r="AM170" s="807">
        <f t="shared" si="125"/>
        <v>43230</v>
      </c>
      <c r="AN170" s="814">
        <f t="shared" ca="1" si="126"/>
        <v>-96</v>
      </c>
      <c r="AO170" s="815">
        <v>1</v>
      </c>
      <c r="AP170" s="816" t="str">
        <f t="shared" ca="1" si="127"/>
        <v>-</v>
      </c>
      <c r="AQ170" s="817"/>
      <c r="AR170" s="794" t="str">
        <f t="shared" si="128"/>
        <v>-</v>
      </c>
      <c r="AS170" s="818"/>
      <c r="AT170" s="794" t="str">
        <f t="shared" si="129"/>
        <v>-</v>
      </c>
      <c r="AU170" s="819"/>
      <c r="AV170" s="820"/>
      <c r="AW170" s="821"/>
      <c r="AX170" s="821"/>
      <c r="AY170" s="969" t="str">
        <f t="shared" si="130"/>
        <v>-</v>
      </c>
      <c r="AZ170" s="966" t="str">
        <f t="shared" si="131"/>
        <v>-</v>
      </c>
      <c r="BA170" s="971" t="str">
        <f t="shared" si="132"/>
        <v>-</v>
      </c>
      <c r="BB170" s="975"/>
      <c r="BC170" s="821"/>
      <c r="BD170" s="821"/>
      <c r="BE170" s="963" t="str">
        <f t="shared" si="133"/>
        <v>-</v>
      </c>
      <c r="BF170" s="984"/>
      <c r="BG170" s="988"/>
      <c r="BH170" s="982"/>
      <c r="BI170" s="991"/>
      <c r="BJ170" s="991"/>
      <c r="BK170" s="993" t="str">
        <f t="shared" si="134"/>
        <v>-</v>
      </c>
      <c r="BL170" s="820">
        <v>42980</v>
      </c>
      <c r="BM170" s="821">
        <v>5</v>
      </c>
      <c r="BN170" s="822">
        <f t="shared" ca="1" si="135"/>
        <v>154</v>
      </c>
      <c r="BO170" s="823">
        <f t="shared" si="136"/>
        <v>43.3</v>
      </c>
      <c r="BP170" s="824">
        <v>43001</v>
      </c>
      <c r="BQ170" s="821">
        <v>2</v>
      </c>
      <c r="BR170" s="822">
        <f t="shared" ca="1" si="137"/>
        <v>133</v>
      </c>
      <c r="BS170" s="823">
        <f t="shared" si="138"/>
        <v>17.666666666666668</v>
      </c>
      <c r="BT170" s="825" t="str">
        <f t="shared" ca="1" si="139"/>
        <v>-</v>
      </c>
      <c r="BU170" s="826"/>
      <c r="BV170" s="827"/>
      <c r="BW170" s="828" t="str">
        <f t="shared" si="140"/>
        <v>Ж-Е НЕ ВАКЦ.</v>
      </c>
      <c r="BX170" s="829" t="str">
        <f t="shared" si="141"/>
        <v>-</v>
      </c>
      <c r="BY170" s="830" t="str">
        <f t="shared" ca="1" si="142"/>
        <v>-</v>
      </c>
      <c r="BZ170" s="831">
        <v>42916</v>
      </c>
      <c r="CA170" s="832">
        <v>5</v>
      </c>
      <c r="CB170" s="833">
        <f t="shared" ca="1" si="143"/>
        <v>218</v>
      </c>
      <c r="CC170" s="834" t="str">
        <f t="shared" ca="1" si="144"/>
        <v>-</v>
      </c>
      <c r="CD170" s="835">
        <f t="shared" si="145"/>
        <v>42937</v>
      </c>
      <c r="CE170" s="831">
        <v>42937</v>
      </c>
      <c r="CF170" s="832">
        <v>5</v>
      </c>
      <c r="CG170" s="833">
        <f t="shared" ca="1" si="146"/>
        <v>197</v>
      </c>
      <c r="CH170" s="836">
        <f t="shared" si="147"/>
        <v>0</v>
      </c>
      <c r="CI170" s="837" t="str">
        <f t="shared" si="148"/>
        <v>УСПЕШНО</v>
      </c>
      <c r="CJ170" s="838" t="str">
        <f t="shared" ca="1" si="149"/>
        <v>-</v>
      </c>
      <c r="CK170" s="831"/>
      <c r="CL170" s="832"/>
      <c r="CM170" s="833" t="str">
        <f t="shared" si="150"/>
        <v>-</v>
      </c>
      <c r="CN170" s="834" t="str">
        <f t="shared" si="151"/>
        <v>-</v>
      </c>
      <c r="CO170" s="830" t="str">
        <f t="shared" ca="1" si="152"/>
        <v>-</v>
      </c>
      <c r="CP170" s="839"/>
      <c r="CQ170" s="832"/>
      <c r="CR170" s="833" t="str">
        <f t="shared" si="153"/>
        <v>-</v>
      </c>
      <c r="CS170" s="833" t="str">
        <f t="shared" si="154"/>
        <v>-</v>
      </c>
      <c r="CT170" s="834" t="str">
        <f t="shared" si="155"/>
        <v>-</v>
      </c>
      <c r="CU170" s="835" t="str">
        <f t="shared" si="156"/>
        <v>-</v>
      </c>
      <c r="CV170" s="839"/>
      <c r="CW170" s="832"/>
      <c r="CX170" s="833" t="str">
        <f t="shared" si="157"/>
        <v>-</v>
      </c>
      <c r="CY170" s="840" t="str">
        <f t="shared" si="158"/>
        <v>-</v>
      </c>
      <c r="CZ170" s="833" t="str">
        <f t="shared" si="159"/>
        <v>-</v>
      </c>
      <c r="DA170" s="838" t="str">
        <f t="shared" ca="1" si="160"/>
        <v>-</v>
      </c>
      <c r="DB170" s="841"/>
      <c r="DC170" s="832"/>
    </row>
    <row r="171" spans="1:107" s="842" customFormat="1" ht="15.95" customHeight="1" x14ac:dyDescent="0.25">
      <c r="A171" s="790">
        <v>171</v>
      </c>
      <c r="B171" s="791">
        <f t="shared" ca="1" si="109"/>
        <v>43134</v>
      </c>
      <c r="C171" s="29" t="s">
        <v>613</v>
      </c>
      <c r="D171" s="59" t="s">
        <v>3201</v>
      </c>
      <c r="E171" s="794" t="s">
        <v>859</v>
      </c>
      <c r="F171" s="998" t="s">
        <v>860</v>
      </c>
      <c r="G171" s="796">
        <f>SUMIFS(МОЛОКО!L8:L6958,МОЛОКО!F8:F6958,"35",МОЛОКО!L8:L6958,"&gt;0")</f>
        <v>16</v>
      </c>
      <c r="H171" s="797" t="s">
        <v>603</v>
      </c>
      <c r="I171" s="798">
        <v>39968</v>
      </c>
      <c r="J171" s="799">
        <f t="shared" ca="1" si="110"/>
        <v>8.6739726027397257</v>
      </c>
      <c r="K171" s="799">
        <f t="shared" ca="1" si="111"/>
        <v>105.53333333333333</v>
      </c>
      <c r="L171" s="800">
        <f t="shared" ca="1" si="112"/>
        <v>3166</v>
      </c>
      <c r="M171" s="801">
        <v>41155</v>
      </c>
      <c r="N171" s="802">
        <v>42905</v>
      </c>
      <c r="O171" s="803">
        <f t="shared" ca="1" si="113"/>
        <v>229</v>
      </c>
      <c r="P171" s="804">
        <v>5</v>
      </c>
      <c r="Q171" s="805" t="s">
        <v>2366</v>
      </c>
      <c r="R171" s="806" t="s">
        <v>3020</v>
      </c>
      <c r="S171" s="807">
        <v>42964</v>
      </c>
      <c r="T171" s="798">
        <v>42964</v>
      </c>
      <c r="U171" s="798" t="str">
        <f t="shared" si="114"/>
        <v>-</v>
      </c>
      <c r="V171" s="804" t="str">
        <f t="shared" ca="1" si="115"/>
        <v>-</v>
      </c>
      <c r="W171" s="808">
        <v>1</v>
      </c>
      <c r="X171" s="794">
        <f t="shared" si="108"/>
        <v>59</v>
      </c>
      <c r="Y171" s="794">
        <v>1</v>
      </c>
      <c r="Z171" s="809" t="str">
        <f t="shared" ca="1" si="116"/>
        <v>-----</v>
      </c>
      <c r="AA171" s="810" t="str">
        <f t="shared" ca="1" si="117"/>
        <v>-----</v>
      </c>
      <c r="AB171" s="804">
        <v>1</v>
      </c>
      <c r="AC171" s="811" t="str">
        <f t="shared" ca="1" si="118"/>
        <v>-----</v>
      </c>
      <c r="AD171" s="798">
        <v>43042</v>
      </c>
      <c r="AE171" s="794" t="str">
        <f t="shared" ca="1" si="119"/>
        <v>-</v>
      </c>
      <c r="AF171" s="798" t="str">
        <f t="shared" si="120"/>
        <v>-</v>
      </c>
      <c r="AG171" s="812" t="str">
        <f t="shared" si="121"/>
        <v>---------</v>
      </c>
      <c r="AH171" s="807">
        <v>43000</v>
      </c>
      <c r="AI171" s="807">
        <f t="shared" si="122"/>
        <v>43154</v>
      </c>
      <c r="AJ171" s="807">
        <f t="shared" si="123"/>
        <v>43184</v>
      </c>
      <c r="AK171" s="813"/>
      <c r="AL171" s="807">
        <f t="shared" si="124"/>
        <v>43223</v>
      </c>
      <c r="AM171" s="807">
        <f t="shared" si="125"/>
        <v>43244</v>
      </c>
      <c r="AN171" s="814">
        <f t="shared" ca="1" si="126"/>
        <v>-110</v>
      </c>
      <c r="AO171" s="815">
        <v>1</v>
      </c>
      <c r="AP171" s="816" t="str">
        <f t="shared" ca="1" si="127"/>
        <v>-</v>
      </c>
      <c r="AQ171" s="817"/>
      <c r="AR171" s="794" t="str">
        <f t="shared" si="128"/>
        <v>-</v>
      </c>
      <c r="AS171" s="818"/>
      <c r="AT171" s="794" t="str">
        <f t="shared" si="129"/>
        <v>-</v>
      </c>
      <c r="AU171" s="300" t="s">
        <v>2696</v>
      </c>
      <c r="AV171" s="820"/>
      <c r="AW171" s="821"/>
      <c r="AX171" s="821"/>
      <c r="AY171" s="969" t="str">
        <f t="shared" si="130"/>
        <v>-</v>
      </c>
      <c r="AZ171" s="966" t="str">
        <f t="shared" si="131"/>
        <v>-</v>
      </c>
      <c r="BA171" s="971" t="str">
        <f t="shared" si="132"/>
        <v>-</v>
      </c>
      <c r="BB171" s="975"/>
      <c r="BC171" s="821"/>
      <c r="BD171" s="821"/>
      <c r="BE171" s="963" t="str">
        <f t="shared" si="133"/>
        <v>-</v>
      </c>
      <c r="BF171" s="984"/>
      <c r="BG171" s="988"/>
      <c r="BH171" s="982"/>
      <c r="BI171" s="991"/>
      <c r="BJ171" s="991"/>
      <c r="BK171" s="993" t="str">
        <f t="shared" si="134"/>
        <v>-</v>
      </c>
      <c r="BL171" s="820">
        <v>42979</v>
      </c>
      <c r="BM171" s="821">
        <v>5</v>
      </c>
      <c r="BN171" s="822">
        <f t="shared" ca="1" si="135"/>
        <v>155</v>
      </c>
      <c r="BO171" s="823">
        <f t="shared" si="136"/>
        <v>100.36666666666666</v>
      </c>
      <c r="BP171" s="824"/>
      <c r="BQ171" s="821"/>
      <c r="BR171" s="822" t="str">
        <f t="shared" si="137"/>
        <v>-</v>
      </c>
      <c r="BS171" s="823" t="str">
        <f t="shared" si="138"/>
        <v>-</v>
      </c>
      <c r="BT171" s="825" t="str">
        <f t="shared" ca="1" si="139"/>
        <v>-</v>
      </c>
      <c r="BU171" s="826"/>
      <c r="BV171" s="827"/>
      <c r="BW171" s="828" t="str">
        <f t="shared" si="140"/>
        <v>Ж-Е НЕ ВАКЦ.</v>
      </c>
      <c r="BX171" s="829" t="str">
        <f t="shared" si="141"/>
        <v>-</v>
      </c>
      <c r="BY171" s="830" t="str">
        <f t="shared" ca="1" si="142"/>
        <v>-</v>
      </c>
      <c r="BZ171" s="831">
        <v>42940</v>
      </c>
      <c r="CA171" s="832">
        <v>5</v>
      </c>
      <c r="CB171" s="833">
        <f t="shared" ca="1" si="143"/>
        <v>194</v>
      </c>
      <c r="CC171" s="834" t="str">
        <f t="shared" ca="1" si="144"/>
        <v>-</v>
      </c>
      <c r="CD171" s="835">
        <f t="shared" si="145"/>
        <v>42961</v>
      </c>
      <c r="CE171" s="831">
        <v>42969</v>
      </c>
      <c r="CF171" s="832">
        <v>5</v>
      </c>
      <c r="CG171" s="833">
        <f t="shared" ca="1" si="146"/>
        <v>165</v>
      </c>
      <c r="CH171" s="836">
        <f t="shared" si="147"/>
        <v>-8</v>
      </c>
      <c r="CI171" s="837" t="str">
        <f t="shared" si="148"/>
        <v>-</v>
      </c>
      <c r="CJ171" s="838" t="str">
        <f t="shared" ca="1" si="149"/>
        <v>-</v>
      </c>
      <c r="CK171" s="831"/>
      <c r="CL171" s="832"/>
      <c r="CM171" s="833" t="str">
        <f t="shared" si="150"/>
        <v>-</v>
      </c>
      <c r="CN171" s="834" t="str">
        <f t="shared" si="151"/>
        <v>-</v>
      </c>
      <c r="CO171" s="830" t="str">
        <f t="shared" ca="1" si="152"/>
        <v>-</v>
      </c>
      <c r="CP171" s="839"/>
      <c r="CQ171" s="832"/>
      <c r="CR171" s="833" t="str">
        <f t="shared" si="153"/>
        <v>-</v>
      </c>
      <c r="CS171" s="833" t="str">
        <f t="shared" si="154"/>
        <v>-</v>
      </c>
      <c r="CT171" s="834" t="str">
        <f t="shared" si="155"/>
        <v>-</v>
      </c>
      <c r="CU171" s="835" t="str">
        <f t="shared" si="156"/>
        <v>-</v>
      </c>
      <c r="CV171" s="839"/>
      <c r="CW171" s="832"/>
      <c r="CX171" s="833" t="str">
        <f t="shared" si="157"/>
        <v>-</v>
      </c>
      <c r="CY171" s="840" t="str">
        <f t="shared" si="158"/>
        <v>-</v>
      </c>
      <c r="CZ171" s="833" t="str">
        <f t="shared" si="159"/>
        <v>-</v>
      </c>
      <c r="DA171" s="838" t="str">
        <f t="shared" ca="1" si="160"/>
        <v>-</v>
      </c>
      <c r="DB171" s="841"/>
      <c r="DC171" s="832"/>
    </row>
    <row r="172" spans="1:107" s="842" customFormat="1" ht="15.95" customHeight="1" x14ac:dyDescent="0.25">
      <c r="A172" s="790">
        <v>172</v>
      </c>
      <c r="B172" s="791">
        <f t="shared" ca="1" si="109"/>
        <v>43134</v>
      </c>
      <c r="C172" s="792" t="s">
        <v>613</v>
      </c>
      <c r="D172" s="793" t="s">
        <v>3201</v>
      </c>
      <c r="E172" s="794" t="s">
        <v>150</v>
      </c>
      <c r="F172" s="854" t="s">
        <v>151</v>
      </c>
      <c r="G172" s="796">
        <f>SUMIFS(МОЛОКО!L8:L6958,МОЛОКО!F8:F6958,"40",МОЛОКО!L8:L6958,"&gt;0")</f>
        <v>16.399999999999999</v>
      </c>
      <c r="H172" s="797" t="s">
        <v>603</v>
      </c>
      <c r="I172" s="798">
        <v>40287</v>
      </c>
      <c r="J172" s="799">
        <f t="shared" ca="1" si="110"/>
        <v>7.8</v>
      </c>
      <c r="K172" s="799">
        <f t="shared" ca="1" si="111"/>
        <v>94.9</v>
      </c>
      <c r="L172" s="800">
        <f t="shared" ca="1" si="112"/>
        <v>2847</v>
      </c>
      <c r="M172" s="801">
        <v>41248</v>
      </c>
      <c r="N172" s="802">
        <v>42730</v>
      </c>
      <c r="O172" s="803">
        <f t="shared" ca="1" si="113"/>
        <v>404</v>
      </c>
      <c r="P172" s="804">
        <v>5</v>
      </c>
      <c r="Q172" s="805"/>
      <c r="R172" s="806"/>
      <c r="S172" s="807"/>
      <c r="T172" s="798"/>
      <c r="U172" s="798" t="str">
        <f t="shared" si="114"/>
        <v>-</v>
      </c>
      <c r="V172" s="804" t="str">
        <f t="shared" ca="1" si="115"/>
        <v>-</v>
      </c>
      <c r="W172" s="808">
        <v>0</v>
      </c>
      <c r="X172" s="794" t="str">
        <f t="shared" si="108"/>
        <v>-</v>
      </c>
      <c r="Y172" s="794">
        <v>0</v>
      </c>
      <c r="Z172" s="809" t="str">
        <f t="shared" ca="1" si="116"/>
        <v>-----</v>
      </c>
      <c r="AA172" s="810">
        <f t="shared" ca="1" si="117"/>
        <v>43134</v>
      </c>
      <c r="AB172" s="804"/>
      <c r="AC172" s="811" t="str">
        <f t="shared" ca="1" si="118"/>
        <v>-----</v>
      </c>
      <c r="AD172" s="798"/>
      <c r="AE172" s="794" t="str">
        <f t="shared" ca="1" si="119"/>
        <v>яловая</v>
      </c>
      <c r="AF172" s="798" t="str">
        <f t="shared" si="120"/>
        <v>-</v>
      </c>
      <c r="AG172" s="812" t="str">
        <f t="shared" si="121"/>
        <v>---------</v>
      </c>
      <c r="AH172" s="807"/>
      <c r="AI172" s="807" t="str">
        <f t="shared" si="122"/>
        <v>-</v>
      </c>
      <c r="AJ172" s="807" t="str">
        <f t="shared" si="123"/>
        <v>-</v>
      </c>
      <c r="AK172" s="813"/>
      <c r="AL172" s="807" t="str">
        <f t="shared" si="124"/>
        <v>-</v>
      </c>
      <c r="AM172" s="807" t="str">
        <f t="shared" si="125"/>
        <v>-</v>
      </c>
      <c r="AN172" s="814" t="str">
        <f t="shared" ca="1" si="126"/>
        <v>-</v>
      </c>
      <c r="AO172" s="815">
        <v>1</v>
      </c>
      <c r="AP172" s="816" t="str">
        <f t="shared" ca="1" si="127"/>
        <v>БРАК</v>
      </c>
      <c r="AQ172" s="817" t="s">
        <v>1863</v>
      </c>
      <c r="AR172" s="794" t="str">
        <f t="shared" si="128"/>
        <v>-</v>
      </c>
      <c r="AS172" s="818"/>
      <c r="AT172" s="794" t="str">
        <f t="shared" si="129"/>
        <v>-</v>
      </c>
      <c r="AU172" s="819">
        <v>1</v>
      </c>
      <c r="AV172" s="820"/>
      <c r="AW172" s="821"/>
      <c r="AX172" s="821"/>
      <c r="AY172" s="969" t="str">
        <f t="shared" si="130"/>
        <v>-</v>
      </c>
      <c r="AZ172" s="966" t="str">
        <f t="shared" si="131"/>
        <v>-</v>
      </c>
      <c r="BA172" s="971" t="str">
        <f t="shared" si="132"/>
        <v>-</v>
      </c>
      <c r="BB172" s="975"/>
      <c r="BC172" s="821"/>
      <c r="BD172" s="821"/>
      <c r="BE172" s="963" t="str">
        <f t="shared" si="133"/>
        <v>-</v>
      </c>
      <c r="BF172" s="984"/>
      <c r="BG172" s="988"/>
      <c r="BH172" s="982"/>
      <c r="BI172" s="991"/>
      <c r="BJ172" s="991"/>
      <c r="BK172" s="993" t="str">
        <f t="shared" si="134"/>
        <v>-</v>
      </c>
      <c r="BL172" s="820">
        <v>42981</v>
      </c>
      <c r="BM172" s="821">
        <v>5</v>
      </c>
      <c r="BN172" s="822">
        <f t="shared" ca="1" si="135"/>
        <v>153</v>
      </c>
      <c r="BO172" s="823">
        <f t="shared" si="136"/>
        <v>89.8</v>
      </c>
      <c r="BP172" s="824"/>
      <c r="BQ172" s="821"/>
      <c r="BR172" s="822" t="str">
        <f t="shared" si="137"/>
        <v>-</v>
      </c>
      <c r="BS172" s="823" t="str">
        <f t="shared" si="138"/>
        <v>-</v>
      </c>
      <c r="BT172" s="825" t="str">
        <f t="shared" ca="1" si="139"/>
        <v>-</v>
      </c>
      <c r="BU172" s="826"/>
      <c r="BV172" s="827"/>
      <c r="BW172" s="828" t="str">
        <f t="shared" si="140"/>
        <v>Ж-Е НЕ ВАКЦ.</v>
      </c>
      <c r="BX172" s="829" t="str">
        <f t="shared" si="141"/>
        <v>-</v>
      </c>
      <c r="BY172" s="830" t="str">
        <f t="shared" ca="1" si="142"/>
        <v>-</v>
      </c>
      <c r="BZ172" s="831">
        <v>42887</v>
      </c>
      <c r="CA172" s="832">
        <v>5</v>
      </c>
      <c r="CB172" s="833">
        <f t="shared" ca="1" si="143"/>
        <v>247</v>
      </c>
      <c r="CC172" s="834" t="str">
        <f t="shared" ca="1" si="144"/>
        <v>-</v>
      </c>
      <c r="CD172" s="835">
        <f t="shared" si="145"/>
        <v>42908</v>
      </c>
      <c r="CE172" s="831">
        <v>42908</v>
      </c>
      <c r="CF172" s="832">
        <v>5</v>
      </c>
      <c r="CG172" s="833">
        <f t="shared" ca="1" si="146"/>
        <v>226</v>
      </c>
      <c r="CH172" s="836">
        <f t="shared" si="147"/>
        <v>0</v>
      </c>
      <c r="CI172" s="837" t="str">
        <f t="shared" si="148"/>
        <v>УСПЕШНО</v>
      </c>
      <c r="CJ172" s="838" t="str">
        <f t="shared" ca="1" si="149"/>
        <v>-</v>
      </c>
      <c r="CK172" s="831"/>
      <c r="CL172" s="832"/>
      <c r="CM172" s="833" t="str">
        <f t="shared" si="150"/>
        <v>-</v>
      </c>
      <c r="CN172" s="834" t="str">
        <f t="shared" si="151"/>
        <v>-</v>
      </c>
      <c r="CO172" s="830" t="str">
        <f t="shared" ca="1" si="152"/>
        <v>-</v>
      </c>
      <c r="CP172" s="839"/>
      <c r="CQ172" s="832"/>
      <c r="CR172" s="833" t="str">
        <f t="shared" si="153"/>
        <v>-</v>
      </c>
      <c r="CS172" s="833" t="str">
        <f t="shared" si="154"/>
        <v>-</v>
      </c>
      <c r="CT172" s="834" t="str">
        <f t="shared" si="155"/>
        <v>-</v>
      </c>
      <c r="CU172" s="835" t="str">
        <f t="shared" si="156"/>
        <v>-</v>
      </c>
      <c r="CV172" s="839"/>
      <c r="CW172" s="832"/>
      <c r="CX172" s="833" t="str">
        <f t="shared" si="157"/>
        <v>-</v>
      </c>
      <c r="CY172" s="840" t="str">
        <f t="shared" si="158"/>
        <v>-</v>
      </c>
      <c r="CZ172" s="833" t="str">
        <f t="shared" si="159"/>
        <v>-</v>
      </c>
      <c r="DA172" s="838" t="str">
        <f t="shared" ca="1" si="160"/>
        <v>-</v>
      </c>
      <c r="DB172" s="841"/>
      <c r="DC172" s="832"/>
    </row>
    <row r="173" spans="1:107" s="842" customFormat="1" ht="15.95" customHeight="1" x14ac:dyDescent="0.25">
      <c r="A173" s="790">
        <v>173</v>
      </c>
      <c r="B173" s="791">
        <f t="shared" ca="1" si="109"/>
        <v>43134</v>
      </c>
      <c r="C173" s="792" t="s">
        <v>613</v>
      </c>
      <c r="D173" s="793" t="s">
        <v>3201</v>
      </c>
      <c r="E173" s="794" t="s">
        <v>804</v>
      </c>
      <c r="F173" s="854" t="s">
        <v>805</v>
      </c>
      <c r="G173" s="796">
        <f>SUMIFS(МОЛОКО!L8:L6958,МОЛОКО!F8:F6958,"399",МОЛОКО!L8:L6958,"&gt;0")</f>
        <v>10</v>
      </c>
      <c r="H173" s="797" t="s">
        <v>603</v>
      </c>
      <c r="I173" s="798">
        <v>39775</v>
      </c>
      <c r="J173" s="799">
        <f t="shared" ca="1" si="110"/>
        <v>9.2027397260273975</v>
      </c>
      <c r="K173" s="799">
        <f t="shared" ca="1" si="111"/>
        <v>111.96666666666667</v>
      </c>
      <c r="L173" s="800">
        <f t="shared" ca="1" si="112"/>
        <v>3359</v>
      </c>
      <c r="M173" s="801">
        <v>40606</v>
      </c>
      <c r="N173" s="802">
        <v>42677</v>
      </c>
      <c r="O173" s="803">
        <f t="shared" ca="1" si="113"/>
        <v>457</v>
      </c>
      <c r="P173" s="804">
        <v>5</v>
      </c>
      <c r="Q173" s="805" t="s">
        <v>2366</v>
      </c>
      <c r="R173" s="806" t="s">
        <v>1810</v>
      </c>
      <c r="S173" s="807">
        <v>42741</v>
      </c>
      <c r="T173" s="798">
        <v>42914</v>
      </c>
      <c r="U173" s="798" t="str">
        <f t="shared" si="114"/>
        <v>-</v>
      </c>
      <c r="V173" s="804" t="str">
        <f t="shared" ca="1" si="115"/>
        <v>-</v>
      </c>
      <c r="W173" s="808">
        <v>5</v>
      </c>
      <c r="X173" s="794">
        <f t="shared" si="108"/>
        <v>237</v>
      </c>
      <c r="Y173" s="794">
        <v>1</v>
      </c>
      <c r="Z173" s="809" t="str">
        <f t="shared" ca="1" si="116"/>
        <v>-----</v>
      </c>
      <c r="AA173" s="810" t="str">
        <f t="shared" ca="1" si="117"/>
        <v>-----</v>
      </c>
      <c r="AB173" s="804">
        <v>1</v>
      </c>
      <c r="AC173" s="811" t="str">
        <f t="shared" ca="1" si="118"/>
        <v>-----</v>
      </c>
      <c r="AD173" s="798">
        <v>43043</v>
      </c>
      <c r="AE173" s="794" t="str">
        <f t="shared" ca="1" si="119"/>
        <v>-</v>
      </c>
      <c r="AF173" s="798" t="str">
        <f t="shared" si="120"/>
        <v>-</v>
      </c>
      <c r="AG173" s="812" t="str">
        <f t="shared" si="121"/>
        <v>---------</v>
      </c>
      <c r="AH173" s="807">
        <v>42947</v>
      </c>
      <c r="AI173" s="807">
        <f t="shared" si="122"/>
        <v>43104</v>
      </c>
      <c r="AJ173" s="807">
        <f t="shared" si="123"/>
        <v>43134</v>
      </c>
      <c r="AK173" s="813"/>
      <c r="AL173" s="807">
        <f t="shared" si="124"/>
        <v>43173</v>
      </c>
      <c r="AM173" s="807">
        <f t="shared" si="125"/>
        <v>43194</v>
      </c>
      <c r="AN173" s="814">
        <f t="shared" ca="1" si="126"/>
        <v>-60</v>
      </c>
      <c r="AO173" s="815">
        <v>1</v>
      </c>
      <c r="AP173" s="816" t="str">
        <f t="shared" ca="1" si="127"/>
        <v>-</v>
      </c>
      <c r="AQ173" s="817"/>
      <c r="AR173" s="794" t="str">
        <f t="shared" si="128"/>
        <v>-</v>
      </c>
      <c r="AS173" s="818"/>
      <c r="AT173" s="794" t="str">
        <f t="shared" si="129"/>
        <v>-</v>
      </c>
      <c r="AU173" s="819">
        <v>1</v>
      </c>
      <c r="AV173" s="820"/>
      <c r="AW173" s="821"/>
      <c r="AX173" s="821"/>
      <c r="AY173" s="969" t="str">
        <f t="shared" si="130"/>
        <v>-</v>
      </c>
      <c r="AZ173" s="966" t="str">
        <f t="shared" si="131"/>
        <v>-</v>
      </c>
      <c r="BA173" s="971" t="str">
        <f t="shared" si="132"/>
        <v>-</v>
      </c>
      <c r="BB173" s="975"/>
      <c r="BC173" s="821"/>
      <c r="BD173" s="821"/>
      <c r="BE173" s="963" t="str">
        <f t="shared" si="133"/>
        <v>-</v>
      </c>
      <c r="BF173" s="984"/>
      <c r="BG173" s="988"/>
      <c r="BH173" s="982"/>
      <c r="BI173" s="991"/>
      <c r="BJ173" s="991"/>
      <c r="BK173" s="993" t="str">
        <f t="shared" si="134"/>
        <v>-</v>
      </c>
      <c r="BL173" s="820">
        <v>42981</v>
      </c>
      <c r="BM173" s="821">
        <v>5</v>
      </c>
      <c r="BN173" s="822">
        <f t="shared" ca="1" si="135"/>
        <v>153</v>
      </c>
      <c r="BO173" s="823">
        <f t="shared" si="136"/>
        <v>106.86666666666666</v>
      </c>
      <c r="BP173" s="824"/>
      <c r="BQ173" s="821"/>
      <c r="BR173" s="822" t="str">
        <f t="shared" si="137"/>
        <v>-</v>
      </c>
      <c r="BS173" s="823" t="str">
        <f t="shared" si="138"/>
        <v>-</v>
      </c>
      <c r="BT173" s="825" t="str">
        <f t="shared" ca="1" si="139"/>
        <v>-</v>
      </c>
      <c r="BU173" s="826"/>
      <c r="BV173" s="827"/>
      <c r="BW173" s="828" t="str">
        <f t="shared" si="140"/>
        <v>Ж-Е НЕ ВАКЦ.</v>
      </c>
      <c r="BX173" s="829" t="str">
        <f t="shared" si="141"/>
        <v>-</v>
      </c>
      <c r="BY173" s="830" t="str">
        <f t="shared" ca="1" si="142"/>
        <v>-</v>
      </c>
      <c r="BZ173" s="831">
        <v>42887</v>
      </c>
      <c r="CA173" s="832">
        <v>5</v>
      </c>
      <c r="CB173" s="833">
        <f t="shared" ca="1" si="143"/>
        <v>247</v>
      </c>
      <c r="CC173" s="834" t="str">
        <f t="shared" ca="1" si="144"/>
        <v>-</v>
      </c>
      <c r="CD173" s="835">
        <f t="shared" si="145"/>
        <v>42908</v>
      </c>
      <c r="CE173" s="831">
        <v>42908</v>
      </c>
      <c r="CF173" s="832">
        <v>5</v>
      </c>
      <c r="CG173" s="833">
        <f t="shared" ca="1" si="146"/>
        <v>226</v>
      </c>
      <c r="CH173" s="836">
        <f t="shared" si="147"/>
        <v>0</v>
      </c>
      <c r="CI173" s="837" t="str">
        <f t="shared" si="148"/>
        <v>УСПЕШНО</v>
      </c>
      <c r="CJ173" s="838" t="str">
        <f t="shared" ca="1" si="149"/>
        <v>-</v>
      </c>
      <c r="CK173" s="831"/>
      <c r="CL173" s="832"/>
      <c r="CM173" s="833" t="str">
        <f t="shared" si="150"/>
        <v>-</v>
      </c>
      <c r="CN173" s="834" t="str">
        <f t="shared" si="151"/>
        <v>-</v>
      </c>
      <c r="CO173" s="830" t="str">
        <f t="shared" ca="1" si="152"/>
        <v>ТРЕБУЕТСЯ ВАКЦИНАЦИЯ</v>
      </c>
      <c r="CP173" s="839"/>
      <c r="CQ173" s="832"/>
      <c r="CR173" s="833" t="str">
        <f t="shared" si="153"/>
        <v>-</v>
      </c>
      <c r="CS173" s="833" t="str">
        <f t="shared" si="154"/>
        <v>-</v>
      </c>
      <c r="CT173" s="834" t="str">
        <f t="shared" si="155"/>
        <v>-</v>
      </c>
      <c r="CU173" s="835" t="str">
        <f t="shared" si="156"/>
        <v>-</v>
      </c>
      <c r="CV173" s="839"/>
      <c r="CW173" s="832"/>
      <c r="CX173" s="833" t="str">
        <f t="shared" si="157"/>
        <v>-</v>
      </c>
      <c r="CY173" s="840" t="str">
        <f t="shared" si="158"/>
        <v>-</v>
      </c>
      <c r="CZ173" s="833" t="str">
        <f t="shared" si="159"/>
        <v>-</v>
      </c>
      <c r="DA173" s="838" t="str">
        <f t="shared" ca="1" si="160"/>
        <v>-</v>
      </c>
      <c r="DB173" s="841"/>
      <c r="DC173" s="832"/>
    </row>
    <row r="174" spans="1:107" s="842" customFormat="1" ht="15.95" customHeight="1" x14ac:dyDescent="0.25">
      <c r="A174" s="790">
        <v>174</v>
      </c>
      <c r="B174" s="791">
        <f t="shared" ca="1" si="109"/>
        <v>43134</v>
      </c>
      <c r="C174" s="792" t="s">
        <v>613</v>
      </c>
      <c r="D174" s="793" t="s">
        <v>3201</v>
      </c>
      <c r="E174" s="794" t="s">
        <v>140</v>
      </c>
      <c r="F174" s="998" t="s">
        <v>141</v>
      </c>
      <c r="G174" s="796">
        <f>SUMIFS(МОЛОКО!L8:L6958,МОЛОКО!F8:F6958,"693",МОЛОКО!L8:L6958,"&gt;0")</f>
        <v>22</v>
      </c>
      <c r="H174" s="797" t="s">
        <v>603</v>
      </c>
      <c r="I174" s="798">
        <v>39932</v>
      </c>
      <c r="J174" s="799">
        <f t="shared" ca="1" si="110"/>
        <v>8.7726027397260271</v>
      </c>
      <c r="K174" s="799">
        <f t="shared" ca="1" si="111"/>
        <v>106.73333333333333</v>
      </c>
      <c r="L174" s="800">
        <f t="shared" ca="1" si="112"/>
        <v>3202</v>
      </c>
      <c r="M174" s="801">
        <v>40865</v>
      </c>
      <c r="N174" s="802">
        <v>42832</v>
      </c>
      <c r="O174" s="803">
        <f t="shared" ca="1" si="113"/>
        <v>302</v>
      </c>
      <c r="P174" s="804">
        <v>5</v>
      </c>
      <c r="Q174" s="805" t="s">
        <v>2366</v>
      </c>
      <c r="R174" s="806" t="s">
        <v>3020</v>
      </c>
      <c r="S174" s="807">
        <v>42894</v>
      </c>
      <c r="T174" s="798">
        <v>43000</v>
      </c>
      <c r="U174" s="798" t="str">
        <f t="shared" si="114"/>
        <v>-</v>
      </c>
      <c r="V174" s="804" t="str">
        <f t="shared" ca="1" si="115"/>
        <v>-</v>
      </c>
      <c r="W174" s="808">
        <v>4</v>
      </c>
      <c r="X174" s="794">
        <f t="shared" si="108"/>
        <v>168</v>
      </c>
      <c r="Y174" s="794">
        <v>1</v>
      </c>
      <c r="Z174" s="809" t="str">
        <f t="shared" ca="1" si="116"/>
        <v>ПОДЛЕЖИТ ПЕРЕПРОВЕРКЕ</v>
      </c>
      <c r="AA174" s="810">
        <f t="shared" ca="1" si="117"/>
        <v>134</v>
      </c>
      <c r="AB174" s="804"/>
      <c r="AC174" s="811">
        <f t="shared" ca="1" si="118"/>
        <v>43072</v>
      </c>
      <c r="AD174" s="798"/>
      <c r="AE174" s="794" t="str">
        <f t="shared" ca="1" si="119"/>
        <v>-</v>
      </c>
      <c r="AF174" s="798" t="str">
        <f t="shared" si="120"/>
        <v>-</v>
      </c>
      <c r="AG174" s="812" t="str">
        <f t="shared" si="121"/>
        <v>---------</v>
      </c>
      <c r="AH174" s="807">
        <v>43031</v>
      </c>
      <c r="AI174" s="807">
        <f t="shared" si="122"/>
        <v>43190</v>
      </c>
      <c r="AJ174" s="807">
        <f t="shared" si="123"/>
        <v>43220</v>
      </c>
      <c r="AK174" s="813"/>
      <c r="AL174" s="807">
        <f t="shared" si="124"/>
        <v>43259</v>
      </c>
      <c r="AM174" s="807">
        <f t="shared" si="125"/>
        <v>43280</v>
      </c>
      <c r="AN174" s="814">
        <f t="shared" ca="1" si="126"/>
        <v>-146</v>
      </c>
      <c r="AO174" s="815">
        <v>1</v>
      </c>
      <c r="AP174" s="816" t="str">
        <f t="shared" ca="1" si="127"/>
        <v>-</v>
      </c>
      <c r="AQ174" s="817"/>
      <c r="AR174" s="794" t="str">
        <f t="shared" si="128"/>
        <v>-</v>
      </c>
      <c r="AS174" s="818"/>
      <c r="AT174" s="794" t="str">
        <f t="shared" si="129"/>
        <v>-</v>
      </c>
      <c r="AU174" s="300" t="s">
        <v>2696</v>
      </c>
      <c r="AV174" s="820"/>
      <c r="AW174" s="821"/>
      <c r="AX174" s="821"/>
      <c r="AY174" s="969" t="str">
        <f t="shared" si="130"/>
        <v>-</v>
      </c>
      <c r="AZ174" s="966" t="str">
        <f t="shared" si="131"/>
        <v>-</v>
      </c>
      <c r="BA174" s="971" t="str">
        <f t="shared" si="132"/>
        <v>-</v>
      </c>
      <c r="BB174" s="975"/>
      <c r="BC174" s="821"/>
      <c r="BD174" s="821"/>
      <c r="BE174" s="963" t="str">
        <f t="shared" si="133"/>
        <v>-</v>
      </c>
      <c r="BF174" s="984"/>
      <c r="BG174" s="988"/>
      <c r="BH174" s="982"/>
      <c r="BI174" s="991"/>
      <c r="BJ174" s="991"/>
      <c r="BK174" s="993" t="str">
        <f t="shared" si="134"/>
        <v>-</v>
      </c>
      <c r="BL174" s="820">
        <v>42979</v>
      </c>
      <c r="BM174" s="821">
        <v>5</v>
      </c>
      <c r="BN174" s="822">
        <f t="shared" ca="1" si="135"/>
        <v>155</v>
      </c>
      <c r="BO174" s="823">
        <f t="shared" si="136"/>
        <v>101.56666666666666</v>
      </c>
      <c r="BP174" s="824"/>
      <c r="BQ174" s="821"/>
      <c r="BR174" s="822" t="str">
        <f t="shared" si="137"/>
        <v>-</v>
      </c>
      <c r="BS174" s="823" t="str">
        <f t="shared" si="138"/>
        <v>-</v>
      </c>
      <c r="BT174" s="825" t="str">
        <f t="shared" ca="1" si="139"/>
        <v>-</v>
      </c>
      <c r="BU174" s="826"/>
      <c r="BV174" s="827"/>
      <c r="BW174" s="828" t="str">
        <f t="shared" si="140"/>
        <v>Ж-Е НЕ ВАКЦ.</v>
      </c>
      <c r="BX174" s="829" t="str">
        <f t="shared" si="141"/>
        <v>-</v>
      </c>
      <c r="BY174" s="830" t="str">
        <f t="shared" ca="1" si="142"/>
        <v>-</v>
      </c>
      <c r="BZ174" s="831">
        <v>42887</v>
      </c>
      <c r="CA174" s="832">
        <v>5</v>
      </c>
      <c r="CB174" s="833">
        <f t="shared" ca="1" si="143"/>
        <v>247</v>
      </c>
      <c r="CC174" s="834" t="str">
        <f t="shared" ca="1" si="144"/>
        <v>-</v>
      </c>
      <c r="CD174" s="835">
        <f t="shared" si="145"/>
        <v>42908</v>
      </c>
      <c r="CE174" s="831">
        <v>42908</v>
      </c>
      <c r="CF174" s="832">
        <v>5</v>
      </c>
      <c r="CG174" s="833">
        <f t="shared" ca="1" si="146"/>
        <v>226</v>
      </c>
      <c r="CH174" s="836">
        <f t="shared" si="147"/>
        <v>0</v>
      </c>
      <c r="CI174" s="837" t="str">
        <f t="shared" si="148"/>
        <v>УСПЕШНО</v>
      </c>
      <c r="CJ174" s="838" t="str">
        <f t="shared" ca="1" si="149"/>
        <v>-</v>
      </c>
      <c r="CK174" s="831"/>
      <c r="CL174" s="832"/>
      <c r="CM174" s="833" t="str">
        <f t="shared" si="150"/>
        <v>-</v>
      </c>
      <c r="CN174" s="834" t="str">
        <f t="shared" si="151"/>
        <v>-</v>
      </c>
      <c r="CO174" s="830" t="str">
        <f t="shared" ca="1" si="152"/>
        <v>-</v>
      </c>
      <c r="CP174" s="839"/>
      <c r="CQ174" s="832"/>
      <c r="CR174" s="833" t="str">
        <f t="shared" si="153"/>
        <v>-</v>
      </c>
      <c r="CS174" s="833" t="str">
        <f t="shared" si="154"/>
        <v>-</v>
      </c>
      <c r="CT174" s="834" t="str">
        <f t="shared" si="155"/>
        <v>-</v>
      </c>
      <c r="CU174" s="835" t="str">
        <f t="shared" si="156"/>
        <v>-</v>
      </c>
      <c r="CV174" s="839"/>
      <c r="CW174" s="832"/>
      <c r="CX174" s="833" t="str">
        <f t="shared" si="157"/>
        <v>-</v>
      </c>
      <c r="CY174" s="840" t="str">
        <f t="shared" si="158"/>
        <v>-</v>
      </c>
      <c r="CZ174" s="833" t="str">
        <f t="shared" si="159"/>
        <v>-</v>
      </c>
      <c r="DA174" s="838" t="str">
        <f t="shared" ca="1" si="160"/>
        <v>-</v>
      </c>
      <c r="DB174" s="841"/>
      <c r="DC174" s="832"/>
    </row>
    <row r="175" spans="1:107" s="842" customFormat="1" ht="15.95" customHeight="1" x14ac:dyDescent="0.25">
      <c r="A175" s="790">
        <v>175</v>
      </c>
      <c r="B175" s="791">
        <f t="shared" ca="1" si="109"/>
        <v>43134</v>
      </c>
      <c r="C175" s="792" t="s">
        <v>613</v>
      </c>
      <c r="D175" s="793" t="s">
        <v>3201</v>
      </c>
      <c r="E175" s="794" t="s">
        <v>331</v>
      </c>
      <c r="F175" s="854" t="s">
        <v>332</v>
      </c>
      <c r="G175" s="796">
        <f>SUMIFS(МОЛОКО!L8:L6958,МОЛОКО!F8:F6958,"993",МОЛОКО!L8:L6958,"&gt;0")</f>
        <v>14</v>
      </c>
      <c r="H175" s="797" t="s">
        <v>603</v>
      </c>
      <c r="I175" s="798">
        <v>40318</v>
      </c>
      <c r="J175" s="799">
        <f t="shared" ca="1" si="110"/>
        <v>7.7150684931506852</v>
      </c>
      <c r="K175" s="799">
        <f t="shared" ca="1" si="111"/>
        <v>93.86666666666666</v>
      </c>
      <c r="L175" s="800">
        <f t="shared" ca="1" si="112"/>
        <v>2816</v>
      </c>
      <c r="M175" s="801">
        <v>41235</v>
      </c>
      <c r="N175" s="802">
        <v>42836</v>
      </c>
      <c r="O175" s="803">
        <f t="shared" ca="1" si="113"/>
        <v>298</v>
      </c>
      <c r="P175" s="804">
        <v>5</v>
      </c>
      <c r="Q175" s="805" t="s">
        <v>2366</v>
      </c>
      <c r="R175" s="806" t="s">
        <v>2966</v>
      </c>
      <c r="S175" s="807">
        <v>42894</v>
      </c>
      <c r="T175" s="798">
        <v>43013</v>
      </c>
      <c r="U175" s="798" t="str">
        <f t="shared" si="114"/>
        <v>-</v>
      </c>
      <c r="V175" s="804" t="str">
        <f t="shared" ca="1" si="115"/>
        <v>-</v>
      </c>
      <c r="W175" s="808">
        <v>5</v>
      </c>
      <c r="X175" s="794">
        <f t="shared" si="108"/>
        <v>177</v>
      </c>
      <c r="Y175" s="794">
        <v>0</v>
      </c>
      <c r="Z175" s="809" t="str">
        <f t="shared" ca="1" si="116"/>
        <v>-----</v>
      </c>
      <c r="AA175" s="810">
        <f t="shared" ca="1" si="117"/>
        <v>121</v>
      </c>
      <c r="AB175" s="804"/>
      <c r="AC175" s="811" t="str">
        <f t="shared" ca="1" si="118"/>
        <v>-----</v>
      </c>
      <c r="AD175" s="798"/>
      <c r="AE175" s="794" t="str">
        <f t="shared" ca="1" si="119"/>
        <v>яловая</v>
      </c>
      <c r="AF175" s="798" t="str">
        <f t="shared" si="120"/>
        <v>-</v>
      </c>
      <c r="AG175" s="812" t="str">
        <f t="shared" si="121"/>
        <v>---------</v>
      </c>
      <c r="AH175" s="807">
        <v>43052</v>
      </c>
      <c r="AI175" s="807" t="str">
        <f t="shared" si="122"/>
        <v>-</v>
      </c>
      <c r="AJ175" s="807" t="str">
        <f t="shared" si="123"/>
        <v>-</v>
      </c>
      <c r="AK175" s="813"/>
      <c r="AL175" s="807" t="str">
        <f t="shared" si="124"/>
        <v>-</v>
      </c>
      <c r="AM175" s="807" t="str">
        <f t="shared" si="125"/>
        <v>-</v>
      </c>
      <c r="AN175" s="814" t="str">
        <f t="shared" ca="1" si="126"/>
        <v>-</v>
      </c>
      <c r="AO175" s="815">
        <v>1</v>
      </c>
      <c r="AP175" s="816" t="str">
        <f t="shared" ca="1" si="127"/>
        <v>-</v>
      </c>
      <c r="AQ175" s="817"/>
      <c r="AR175" s="794" t="str">
        <f t="shared" si="128"/>
        <v>-</v>
      </c>
      <c r="AS175" s="818"/>
      <c r="AT175" s="794" t="str">
        <f t="shared" si="129"/>
        <v>-</v>
      </c>
      <c r="AU175" s="819">
        <v>1</v>
      </c>
      <c r="AV175" s="820"/>
      <c r="AW175" s="821"/>
      <c r="AX175" s="821"/>
      <c r="AY175" s="969" t="str">
        <f t="shared" si="130"/>
        <v>-</v>
      </c>
      <c r="AZ175" s="966" t="str">
        <f t="shared" si="131"/>
        <v>-</v>
      </c>
      <c r="BA175" s="971" t="str">
        <f t="shared" si="132"/>
        <v>-</v>
      </c>
      <c r="BB175" s="975"/>
      <c r="BC175" s="821"/>
      <c r="BD175" s="821"/>
      <c r="BE175" s="963" t="str">
        <f t="shared" si="133"/>
        <v>-</v>
      </c>
      <c r="BF175" s="984"/>
      <c r="BG175" s="988"/>
      <c r="BH175" s="982"/>
      <c r="BI175" s="991"/>
      <c r="BJ175" s="991"/>
      <c r="BK175" s="993" t="str">
        <f t="shared" si="134"/>
        <v>-</v>
      </c>
      <c r="BL175" s="820">
        <v>42981</v>
      </c>
      <c r="BM175" s="821">
        <v>5</v>
      </c>
      <c r="BN175" s="822">
        <f t="shared" ca="1" si="135"/>
        <v>153</v>
      </c>
      <c r="BO175" s="823">
        <f t="shared" si="136"/>
        <v>88.766666666666666</v>
      </c>
      <c r="BP175" s="824"/>
      <c r="BQ175" s="821"/>
      <c r="BR175" s="822" t="str">
        <f t="shared" si="137"/>
        <v>-</v>
      </c>
      <c r="BS175" s="823" t="str">
        <f t="shared" si="138"/>
        <v>-</v>
      </c>
      <c r="BT175" s="825" t="str">
        <f t="shared" ca="1" si="139"/>
        <v>-</v>
      </c>
      <c r="BU175" s="826"/>
      <c r="BV175" s="827"/>
      <c r="BW175" s="828" t="str">
        <f t="shared" si="140"/>
        <v>Ж-Е НЕ ВАКЦ.</v>
      </c>
      <c r="BX175" s="829" t="str">
        <f t="shared" si="141"/>
        <v>-</v>
      </c>
      <c r="BY175" s="830" t="str">
        <f t="shared" ca="1" si="142"/>
        <v>-</v>
      </c>
      <c r="BZ175" s="831">
        <v>42887</v>
      </c>
      <c r="CA175" s="832">
        <v>5</v>
      </c>
      <c r="CB175" s="833">
        <f t="shared" ca="1" si="143"/>
        <v>247</v>
      </c>
      <c r="CC175" s="834" t="str">
        <f t="shared" ca="1" si="144"/>
        <v>-</v>
      </c>
      <c r="CD175" s="835">
        <f t="shared" si="145"/>
        <v>42908</v>
      </c>
      <c r="CE175" s="831">
        <v>42908</v>
      </c>
      <c r="CF175" s="832">
        <v>5</v>
      </c>
      <c r="CG175" s="833">
        <f t="shared" ca="1" si="146"/>
        <v>226</v>
      </c>
      <c r="CH175" s="836">
        <f t="shared" si="147"/>
        <v>0</v>
      </c>
      <c r="CI175" s="837" t="str">
        <f t="shared" si="148"/>
        <v>УСПЕШНО</v>
      </c>
      <c r="CJ175" s="838" t="str">
        <f t="shared" ca="1" si="149"/>
        <v>-</v>
      </c>
      <c r="CK175" s="831"/>
      <c r="CL175" s="832"/>
      <c r="CM175" s="833" t="str">
        <f t="shared" si="150"/>
        <v>-</v>
      </c>
      <c r="CN175" s="834" t="str">
        <f t="shared" si="151"/>
        <v>-</v>
      </c>
      <c r="CO175" s="830" t="str">
        <f t="shared" ca="1" si="152"/>
        <v>-</v>
      </c>
      <c r="CP175" s="839"/>
      <c r="CQ175" s="832"/>
      <c r="CR175" s="833" t="str">
        <f t="shared" si="153"/>
        <v>-</v>
      </c>
      <c r="CS175" s="833" t="str">
        <f t="shared" si="154"/>
        <v>-</v>
      </c>
      <c r="CT175" s="834" t="str">
        <f t="shared" si="155"/>
        <v>-</v>
      </c>
      <c r="CU175" s="835" t="str">
        <f t="shared" si="156"/>
        <v>-</v>
      </c>
      <c r="CV175" s="839"/>
      <c r="CW175" s="832"/>
      <c r="CX175" s="833" t="str">
        <f t="shared" si="157"/>
        <v>-</v>
      </c>
      <c r="CY175" s="840" t="str">
        <f t="shared" si="158"/>
        <v>-</v>
      </c>
      <c r="CZ175" s="833" t="str">
        <f t="shared" si="159"/>
        <v>-</v>
      </c>
      <c r="DA175" s="838" t="str">
        <f t="shared" ca="1" si="160"/>
        <v>-</v>
      </c>
      <c r="DB175" s="841"/>
      <c r="DC175" s="832"/>
    </row>
    <row r="176" spans="1:107" s="842" customFormat="1" ht="15.95" customHeight="1" x14ac:dyDescent="0.25">
      <c r="A176" s="790">
        <v>176</v>
      </c>
      <c r="B176" s="791">
        <f t="shared" ca="1" si="109"/>
        <v>43134</v>
      </c>
      <c r="C176" s="792" t="s">
        <v>613</v>
      </c>
      <c r="D176" s="793" t="s">
        <v>3201</v>
      </c>
      <c r="E176" s="794" t="s">
        <v>75</v>
      </c>
      <c r="F176" s="854" t="s">
        <v>76</v>
      </c>
      <c r="G176" s="796">
        <f>SUMIFS(МОЛОКО!L8:L6958,МОЛОКО!F8:F6958,"1090",МОЛОКО!L8:L6958,"&gt;0")</f>
        <v>15</v>
      </c>
      <c r="H176" s="797" t="s">
        <v>603</v>
      </c>
      <c r="I176" s="798">
        <v>40462</v>
      </c>
      <c r="J176" s="799">
        <f t="shared" ca="1" si="110"/>
        <v>7.3205479452054796</v>
      </c>
      <c r="K176" s="799">
        <f t="shared" ca="1" si="111"/>
        <v>89.066666666666663</v>
      </c>
      <c r="L176" s="800">
        <f t="shared" ca="1" si="112"/>
        <v>2672</v>
      </c>
      <c r="M176" s="801">
        <v>41358</v>
      </c>
      <c r="N176" s="802">
        <v>42828</v>
      </c>
      <c r="O176" s="803">
        <f t="shared" ca="1" si="113"/>
        <v>306</v>
      </c>
      <c r="P176" s="804">
        <v>3</v>
      </c>
      <c r="Q176" s="805" t="s">
        <v>1451</v>
      </c>
      <c r="R176" s="806" t="s">
        <v>2335</v>
      </c>
      <c r="S176" s="807">
        <v>42887</v>
      </c>
      <c r="T176" s="798">
        <v>42887</v>
      </c>
      <c r="U176" s="798" t="str">
        <f t="shared" si="114"/>
        <v>-</v>
      </c>
      <c r="V176" s="804" t="str">
        <f t="shared" ca="1" si="115"/>
        <v>-</v>
      </c>
      <c r="W176" s="808">
        <v>1</v>
      </c>
      <c r="X176" s="794">
        <f t="shared" si="108"/>
        <v>59</v>
      </c>
      <c r="Y176" s="794">
        <v>1</v>
      </c>
      <c r="Z176" s="809" t="str">
        <f t="shared" ca="1" si="116"/>
        <v>-----</v>
      </c>
      <c r="AA176" s="810" t="str">
        <f t="shared" ca="1" si="117"/>
        <v>-----</v>
      </c>
      <c r="AB176" s="804">
        <v>1</v>
      </c>
      <c r="AC176" s="811" t="str">
        <f t="shared" ca="1" si="118"/>
        <v>-----</v>
      </c>
      <c r="AD176" s="798">
        <v>42955</v>
      </c>
      <c r="AE176" s="794" t="str">
        <f t="shared" ca="1" si="119"/>
        <v>-</v>
      </c>
      <c r="AF176" s="798" t="str">
        <f t="shared" si="120"/>
        <v>-</v>
      </c>
      <c r="AG176" s="812" t="str">
        <f t="shared" si="121"/>
        <v>---------</v>
      </c>
      <c r="AH176" s="807">
        <v>42919</v>
      </c>
      <c r="AI176" s="807">
        <f t="shared" si="122"/>
        <v>43077</v>
      </c>
      <c r="AJ176" s="807">
        <f t="shared" si="123"/>
        <v>43107</v>
      </c>
      <c r="AK176" s="813"/>
      <c r="AL176" s="807">
        <f t="shared" si="124"/>
        <v>43146</v>
      </c>
      <c r="AM176" s="807">
        <f t="shared" si="125"/>
        <v>43167</v>
      </c>
      <c r="AN176" s="814">
        <f t="shared" ca="1" si="126"/>
        <v>-33</v>
      </c>
      <c r="AO176" s="815">
        <v>1</v>
      </c>
      <c r="AP176" s="816" t="str">
        <f t="shared" ca="1" si="127"/>
        <v>-</v>
      </c>
      <c r="AQ176" s="817"/>
      <c r="AR176" s="794" t="str">
        <f t="shared" si="128"/>
        <v>-</v>
      </c>
      <c r="AS176" s="818"/>
      <c r="AT176" s="794" t="str">
        <f t="shared" si="129"/>
        <v>-</v>
      </c>
      <c r="AU176" s="819">
        <v>1</v>
      </c>
      <c r="AV176" s="820"/>
      <c r="AW176" s="821"/>
      <c r="AX176" s="821"/>
      <c r="AY176" s="969" t="str">
        <f t="shared" si="130"/>
        <v>-</v>
      </c>
      <c r="AZ176" s="966" t="str">
        <f t="shared" si="131"/>
        <v>-</v>
      </c>
      <c r="BA176" s="971" t="str">
        <f t="shared" si="132"/>
        <v>-</v>
      </c>
      <c r="BB176" s="975"/>
      <c r="BC176" s="821"/>
      <c r="BD176" s="821"/>
      <c r="BE176" s="963" t="str">
        <f t="shared" si="133"/>
        <v>-</v>
      </c>
      <c r="BF176" s="984"/>
      <c r="BG176" s="988"/>
      <c r="BH176" s="982"/>
      <c r="BI176" s="991"/>
      <c r="BJ176" s="991"/>
      <c r="BK176" s="993" t="str">
        <f t="shared" si="134"/>
        <v>-</v>
      </c>
      <c r="BL176" s="820">
        <v>42979</v>
      </c>
      <c r="BM176" s="821">
        <v>5</v>
      </c>
      <c r="BN176" s="822">
        <f t="shared" ca="1" si="135"/>
        <v>155</v>
      </c>
      <c r="BO176" s="823">
        <f t="shared" si="136"/>
        <v>83.9</v>
      </c>
      <c r="BP176" s="824"/>
      <c r="BQ176" s="821"/>
      <c r="BR176" s="822" t="str">
        <f t="shared" si="137"/>
        <v>-</v>
      </c>
      <c r="BS176" s="823" t="str">
        <f t="shared" si="138"/>
        <v>-</v>
      </c>
      <c r="BT176" s="825" t="str">
        <f t="shared" ca="1" si="139"/>
        <v>-</v>
      </c>
      <c r="BU176" s="826"/>
      <c r="BV176" s="827"/>
      <c r="BW176" s="828" t="str">
        <f t="shared" si="140"/>
        <v>Ж-Е НЕ ВАКЦ.</v>
      </c>
      <c r="BX176" s="829" t="str">
        <f t="shared" si="141"/>
        <v>-</v>
      </c>
      <c r="BY176" s="830" t="str">
        <f t="shared" ca="1" si="142"/>
        <v>-</v>
      </c>
      <c r="BZ176" s="831">
        <v>42887</v>
      </c>
      <c r="CA176" s="832">
        <v>5</v>
      </c>
      <c r="CB176" s="833">
        <f t="shared" ca="1" si="143"/>
        <v>247</v>
      </c>
      <c r="CC176" s="834" t="str">
        <f t="shared" ca="1" si="144"/>
        <v>-</v>
      </c>
      <c r="CD176" s="835">
        <f t="shared" si="145"/>
        <v>42908</v>
      </c>
      <c r="CE176" s="831">
        <v>42908</v>
      </c>
      <c r="CF176" s="832">
        <v>5</v>
      </c>
      <c r="CG176" s="833">
        <f t="shared" ca="1" si="146"/>
        <v>226</v>
      </c>
      <c r="CH176" s="836">
        <f t="shared" si="147"/>
        <v>0</v>
      </c>
      <c r="CI176" s="837" t="str">
        <f t="shared" si="148"/>
        <v>УСПЕШНО</v>
      </c>
      <c r="CJ176" s="838" t="str">
        <f t="shared" ca="1" si="149"/>
        <v>-</v>
      </c>
      <c r="CK176" s="831"/>
      <c r="CL176" s="832"/>
      <c r="CM176" s="833" t="str">
        <f t="shared" si="150"/>
        <v>-</v>
      </c>
      <c r="CN176" s="834" t="str">
        <f t="shared" si="151"/>
        <v>-</v>
      </c>
      <c r="CO176" s="830" t="str">
        <f t="shared" ca="1" si="152"/>
        <v>ТРЕБУЕТСЯ ВАКЦИНАЦИЯ</v>
      </c>
      <c r="CP176" s="839"/>
      <c r="CQ176" s="832"/>
      <c r="CR176" s="833" t="str">
        <f t="shared" si="153"/>
        <v>-</v>
      </c>
      <c r="CS176" s="833" t="str">
        <f t="shared" si="154"/>
        <v>-</v>
      </c>
      <c r="CT176" s="834" t="str">
        <f t="shared" si="155"/>
        <v>-</v>
      </c>
      <c r="CU176" s="835" t="str">
        <f t="shared" si="156"/>
        <v>-</v>
      </c>
      <c r="CV176" s="839"/>
      <c r="CW176" s="832"/>
      <c r="CX176" s="833" t="str">
        <f t="shared" si="157"/>
        <v>-</v>
      </c>
      <c r="CY176" s="840" t="str">
        <f t="shared" si="158"/>
        <v>-</v>
      </c>
      <c r="CZ176" s="833" t="str">
        <f t="shared" si="159"/>
        <v>-</v>
      </c>
      <c r="DA176" s="838" t="str">
        <f t="shared" ca="1" si="160"/>
        <v>-</v>
      </c>
      <c r="DB176" s="841"/>
      <c r="DC176" s="832"/>
    </row>
    <row r="177" spans="1:107" s="842" customFormat="1" ht="15.95" customHeight="1" x14ac:dyDescent="0.25">
      <c r="A177" s="790">
        <v>177</v>
      </c>
      <c r="B177" s="791">
        <f t="shared" ca="1" si="109"/>
        <v>43134</v>
      </c>
      <c r="C177" s="29" t="s">
        <v>613</v>
      </c>
      <c r="D177" s="59" t="s">
        <v>3201</v>
      </c>
      <c r="E177" s="794" t="s">
        <v>764</v>
      </c>
      <c r="F177" s="854" t="s">
        <v>765</v>
      </c>
      <c r="G177" s="796">
        <f>SUMIFS(МОЛОКО!L8:L6958,МОЛОКО!F8:F6958,"1155",МОЛОКО!L8:L6958,"&gt;0")</f>
        <v>22</v>
      </c>
      <c r="H177" s="797" t="s">
        <v>603</v>
      </c>
      <c r="I177" s="798">
        <v>40546</v>
      </c>
      <c r="J177" s="799">
        <f t="shared" ca="1" si="110"/>
        <v>7.0904109589041093</v>
      </c>
      <c r="K177" s="799">
        <f t="shared" ca="1" si="111"/>
        <v>86.266666666666666</v>
      </c>
      <c r="L177" s="800">
        <f t="shared" ca="1" si="112"/>
        <v>2588</v>
      </c>
      <c r="M177" s="801">
        <v>41752</v>
      </c>
      <c r="N177" s="802">
        <v>42907</v>
      </c>
      <c r="O177" s="803">
        <f t="shared" ca="1" si="113"/>
        <v>227</v>
      </c>
      <c r="P177" s="804">
        <v>4</v>
      </c>
      <c r="Q177" s="805" t="s">
        <v>1451</v>
      </c>
      <c r="R177" s="806" t="s">
        <v>3020</v>
      </c>
      <c r="S177" s="807">
        <v>42971</v>
      </c>
      <c r="T177" s="798">
        <v>42971</v>
      </c>
      <c r="U177" s="798" t="str">
        <f t="shared" si="114"/>
        <v>-</v>
      </c>
      <c r="V177" s="804" t="str">
        <f t="shared" ca="1" si="115"/>
        <v>-</v>
      </c>
      <c r="W177" s="808">
        <v>1</v>
      </c>
      <c r="X177" s="794">
        <f t="shared" si="108"/>
        <v>64</v>
      </c>
      <c r="Y177" s="794">
        <v>1</v>
      </c>
      <c r="Z177" s="809" t="str">
        <f t="shared" ca="1" si="116"/>
        <v>-----</v>
      </c>
      <c r="AA177" s="810" t="str">
        <f t="shared" ca="1" si="117"/>
        <v>-----</v>
      </c>
      <c r="AB177" s="804">
        <v>1</v>
      </c>
      <c r="AC177" s="811" t="str">
        <f t="shared" ca="1" si="118"/>
        <v>-----</v>
      </c>
      <c r="AD177" s="798">
        <v>43047</v>
      </c>
      <c r="AE177" s="794" t="str">
        <f t="shared" ca="1" si="119"/>
        <v>-</v>
      </c>
      <c r="AF177" s="798" t="str">
        <f t="shared" si="120"/>
        <v>-</v>
      </c>
      <c r="AG177" s="812" t="str">
        <f t="shared" si="121"/>
        <v>---------</v>
      </c>
      <c r="AH177" s="807">
        <v>43007</v>
      </c>
      <c r="AI177" s="807">
        <f t="shared" si="122"/>
        <v>43161</v>
      </c>
      <c r="AJ177" s="807">
        <f t="shared" si="123"/>
        <v>43191</v>
      </c>
      <c r="AK177" s="813"/>
      <c r="AL177" s="807">
        <f t="shared" si="124"/>
        <v>43230</v>
      </c>
      <c r="AM177" s="807">
        <f t="shared" si="125"/>
        <v>43251</v>
      </c>
      <c r="AN177" s="814">
        <f t="shared" ca="1" si="126"/>
        <v>-117</v>
      </c>
      <c r="AO177" s="815">
        <v>1</v>
      </c>
      <c r="AP177" s="816" t="str">
        <f t="shared" ca="1" si="127"/>
        <v>-</v>
      </c>
      <c r="AQ177" s="817"/>
      <c r="AR177" s="794" t="str">
        <f t="shared" si="128"/>
        <v>-</v>
      </c>
      <c r="AS177" s="818"/>
      <c r="AT177" s="794" t="str">
        <f t="shared" si="129"/>
        <v>-</v>
      </c>
      <c r="AU177" s="819">
        <v>1</v>
      </c>
      <c r="AV177" s="820"/>
      <c r="AW177" s="821"/>
      <c r="AX177" s="821"/>
      <c r="AY177" s="969" t="str">
        <f t="shared" si="130"/>
        <v>-</v>
      </c>
      <c r="AZ177" s="966" t="str">
        <f t="shared" si="131"/>
        <v>-</v>
      </c>
      <c r="BA177" s="971" t="str">
        <f t="shared" si="132"/>
        <v>-</v>
      </c>
      <c r="BB177" s="975"/>
      <c r="BC177" s="821"/>
      <c r="BD177" s="821"/>
      <c r="BE177" s="963" t="str">
        <f t="shared" si="133"/>
        <v>-</v>
      </c>
      <c r="BF177" s="984"/>
      <c r="BG177" s="988"/>
      <c r="BH177" s="982"/>
      <c r="BI177" s="991"/>
      <c r="BJ177" s="991"/>
      <c r="BK177" s="993" t="str">
        <f t="shared" si="134"/>
        <v>-</v>
      </c>
      <c r="BL177" s="820">
        <v>42979</v>
      </c>
      <c r="BM177" s="821">
        <v>5</v>
      </c>
      <c r="BN177" s="822">
        <f t="shared" ca="1" si="135"/>
        <v>155</v>
      </c>
      <c r="BO177" s="823">
        <f t="shared" si="136"/>
        <v>81.099999999999994</v>
      </c>
      <c r="BP177" s="824"/>
      <c r="BQ177" s="821"/>
      <c r="BR177" s="822" t="str">
        <f t="shared" si="137"/>
        <v>-</v>
      </c>
      <c r="BS177" s="823" t="str">
        <f t="shared" si="138"/>
        <v>-</v>
      </c>
      <c r="BT177" s="825" t="str">
        <f t="shared" ca="1" si="139"/>
        <v>-</v>
      </c>
      <c r="BU177" s="826"/>
      <c r="BV177" s="827"/>
      <c r="BW177" s="828" t="str">
        <f t="shared" si="140"/>
        <v>Ж-Е НЕ ВАКЦ.</v>
      </c>
      <c r="BX177" s="829" t="str">
        <f t="shared" si="141"/>
        <v>-</v>
      </c>
      <c r="BY177" s="830" t="str">
        <f t="shared" ca="1" si="142"/>
        <v>-</v>
      </c>
      <c r="BZ177" s="831">
        <v>42940</v>
      </c>
      <c r="CA177" s="832">
        <v>5</v>
      </c>
      <c r="CB177" s="833">
        <f t="shared" ca="1" si="143"/>
        <v>194</v>
      </c>
      <c r="CC177" s="834" t="str">
        <f t="shared" ca="1" si="144"/>
        <v>-</v>
      </c>
      <c r="CD177" s="835">
        <f t="shared" si="145"/>
        <v>42961</v>
      </c>
      <c r="CE177" s="831">
        <v>42969</v>
      </c>
      <c r="CF177" s="832">
        <v>5</v>
      </c>
      <c r="CG177" s="833">
        <f t="shared" ca="1" si="146"/>
        <v>165</v>
      </c>
      <c r="CH177" s="836">
        <f t="shared" si="147"/>
        <v>-8</v>
      </c>
      <c r="CI177" s="837" t="str">
        <f t="shared" si="148"/>
        <v>-</v>
      </c>
      <c r="CJ177" s="838" t="str">
        <f t="shared" ca="1" si="149"/>
        <v>-</v>
      </c>
      <c r="CK177" s="831"/>
      <c r="CL177" s="832"/>
      <c r="CM177" s="833" t="str">
        <f t="shared" si="150"/>
        <v>-</v>
      </c>
      <c r="CN177" s="834" t="str">
        <f t="shared" si="151"/>
        <v>-</v>
      </c>
      <c r="CO177" s="830" t="str">
        <f t="shared" ca="1" si="152"/>
        <v>-</v>
      </c>
      <c r="CP177" s="839"/>
      <c r="CQ177" s="832"/>
      <c r="CR177" s="833" t="str">
        <f t="shared" si="153"/>
        <v>-</v>
      </c>
      <c r="CS177" s="833" t="str">
        <f t="shared" si="154"/>
        <v>-</v>
      </c>
      <c r="CT177" s="834" t="str">
        <f t="shared" si="155"/>
        <v>-</v>
      </c>
      <c r="CU177" s="835" t="str">
        <f t="shared" si="156"/>
        <v>-</v>
      </c>
      <c r="CV177" s="839"/>
      <c r="CW177" s="832"/>
      <c r="CX177" s="833" t="str">
        <f t="shared" si="157"/>
        <v>-</v>
      </c>
      <c r="CY177" s="840" t="str">
        <f t="shared" si="158"/>
        <v>-</v>
      </c>
      <c r="CZ177" s="833" t="str">
        <f t="shared" si="159"/>
        <v>-</v>
      </c>
      <c r="DA177" s="838" t="str">
        <f t="shared" ca="1" si="160"/>
        <v>-</v>
      </c>
      <c r="DB177" s="841"/>
      <c r="DC177" s="832"/>
    </row>
    <row r="178" spans="1:107" s="842" customFormat="1" ht="15.95" customHeight="1" x14ac:dyDescent="0.25">
      <c r="A178" s="790">
        <v>178</v>
      </c>
      <c r="B178" s="791">
        <f t="shared" ca="1" si="109"/>
        <v>43134</v>
      </c>
      <c r="C178" s="792" t="s">
        <v>613</v>
      </c>
      <c r="D178" s="793" t="s">
        <v>3201</v>
      </c>
      <c r="E178" s="794" t="s">
        <v>314</v>
      </c>
      <c r="F178" s="854" t="s">
        <v>315</v>
      </c>
      <c r="G178" s="796">
        <f>SUMIFS(МОЛОКО!L8:L6958,МОЛОКО!F8:F6958,"1353",МОЛОКО!L8:L6958,"&gt;0")</f>
        <v>19.399999999999999</v>
      </c>
      <c r="H178" s="797" t="s">
        <v>603</v>
      </c>
      <c r="I178" s="798">
        <v>40757</v>
      </c>
      <c r="J178" s="799">
        <f t="shared" ca="1" si="110"/>
        <v>6.5123287671232877</v>
      </c>
      <c r="K178" s="799">
        <f t="shared" ca="1" si="111"/>
        <v>79.233333333333334</v>
      </c>
      <c r="L178" s="800">
        <f t="shared" ca="1" si="112"/>
        <v>2377</v>
      </c>
      <c r="M178" s="801">
        <v>41559</v>
      </c>
      <c r="N178" s="802">
        <v>42755</v>
      </c>
      <c r="O178" s="803">
        <f t="shared" ca="1" si="113"/>
        <v>379</v>
      </c>
      <c r="P178" s="804">
        <v>3</v>
      </c>
      <c r="Q178" s="805" t="s">
        <v>1451</v>
      </c>
      <c r="R178" s="806" t="s">
        <v>2966</v>
      </c>
      <c r="S178" s="807">
        <v>42817</v>
      </c>
      <c r="T178" s="798">
        <v>42950</v>
      </c>
      <c r="U178" s="798" t="str">
        <f t="shared" si="114"/>
        <v>-</v>
      </c>
      <c r="V178" s="804" t="str">
        <f t="shared" ca="1" si="115"/>
        <v>-</v>
      </c>
      <c r="W178" s="808">
        <v>4</v>
      </c>
      <c r="X178" s="794">
        <f t="shared" si="108"/>
        <v>195</v>
      </c>
      <c r="Y178" s="794">
        <v>0</v>
      </c>
      <c r="Z178" s="809" t="str">
        <f t="shared" ca="1" si="116"/>
        <v>-----</v>
      </c>
      <c r="AA178" s="810">
        <f t="shared" ca="1" si="117"/>
        <v>184</v>
      </c>
      <c r="AB178" s="804"/>
      <c r="AC178" s="811" t="str">
        <f t="shared" ca="1" si="118"/>
        <v>-----</v>
      </c>
      <c r="AD178" s="798"/>
      <c r="AE178" s="794" t="str">
        <f t="shared" ca="1" si="119"/>
        <v>яловая</v>
      </c>
      <c r="AF178" s="798" t="str">
        <f t="shared" si="120"/>
        <v>-</v>
      </c>
      <c r="AG178" s="812" t="str">
        <f t="shared" si="121"/>
        <v>---------</v>
      </c>
      <c r="AH178" s="807">
        <v>42986</v>
      </c>
      <c r="AI178" s="807" t="str">
        <f t="shared" si="122"/>
        <v>-</v>
      </c>
      <c r="AJ178" s="807" t="str">
        <f t="shared" si="123"/>
        <v>-</v>
      </c>
      <c r="AK178" s="813"/>
      <c r="AL178" s="807" t="str">
        <f t="shared" si="124"/>
        <v>-</v>
      </c>
      <c r="AM178" s="807" t="str">
        <f t="shared" si="125"/>
        <v>-</v>
      </c>
      <c r="AN178" s="814" t="str">
        <f t="shared" ca="1" si="126"/>
        <v>-</v>
      </c>
      <c r="AO178" s="815">
        <v>1</v>
      </c>
      <c r="AP178" s="816" t="str">
        <f t="shared" ca="1" si="127"/>
        <v>БРАК</v>
      </c>
      <c r="AQ178" s="817" t="s">
        <v>3128</v>
      </c>
      <c r="AR178" s="794" t="str">
        <f t="shared" si="128"/>
        <v>-</v>
      </c>
      <c r="AS178" s="818"/>
      <c r="AT178" s="794" t="str">
        <f t="shared" si="129"/>
        <v>-</v>
      </c>
      <c r="AU178" s="819">
        <v>1</v>
      </c>
      <c r="AV178" s="820"/>
      <c r="AW178" s="821"/>
      <c r="AX178" s="821"/>
      <c r="AY178" s="969" t="str">
        <f t="shared" si="130"/>
        <v>-</v>
      </c>
      <c r="AZ178" s="966" t="str">
        <f t="shared" si="131"/>
        <v>-</v>
      </c>
      <c r="BA178" s="971" t="str">
        <f t="shared" si="132"/>
        <v>-</v>
      </c>
      <c r="BB178" s="975"/>
      <c r="BC178" s="821"/>
      <c r="BD178" s="821"/>
      <c r="BE178" s="963" t="str">
        <f t="shared" si="133"/>
        <v>-</v>
      </c>
      <c r="BF178" s="984"/>
      <c r="BG178" s="988"/>
      <c r="BH178" s="982"/>
      <c r="BI178" s="991"/>
      <c r="BJ178" s="991"/>
      <c r="BK178" s="993" t="str">
        <f t="shared" si="134"/>
        <v>-</v>
      </c>
      <c r="BL178" s="820">
        <v>42981</v>
      </c>
      <c r="BM178" s="821">
        <v>5</v>
      </c>
      <c r="BN178" s="822">
        <f t="shared" ca="1" si="135"/>
        <v>153</v>
      </c>
      <c r="BO178" s="823">
        <f t="shared" si="136"/>
        <v>74.13333333333334</v>
      </c>
      <c r="BP178" s="824"/>
      <c r="BQ178" s="821"/>
      <c r="BR178" s="822" t="str">
        <f t="shared" si="137"/>
        <v>-</v>
      </c>
      <c r="BS178" s="823" t="str">
        <f t="shared" si="138"/>
        <v>-</v>
      </c>
      <c r="BT178" s="825" t="str">
        <f t="shared" ca="1" si="139"/>
        <v>-</v>
      </c>
      <c r="BU178" s="826"/>
      <c r="BV178" s="827"/>
      <c r="BW178" s="828" t="str">
        <f t="shared" si="140"/>
        <v>Ж-Е НЕ ВАКЦ.</v>
      </c>
      <c r="BX178" s="829" t="str">
        <f t="shared" si="141"/>
        <v>-</v>
      </c>
      <c r="BY178" s="830" t="str">
        <f t="shared" ca="1" si="142"/>
        <v>-</v>
      </c>
      <c r="BZ178" s="831">
        <v>42887</v>
      </c>
      <c r="CA178" s="832">
        <v>5</v>
      </c>
      <c r="CB178" s="833">
        <f t="shared" ca="1" si="143"/>
        <v>247</v>
      </c>
      <c r="CC178" s="834" t="str">
        <f t="shared" ca="1" si="144"/>
        <v>-</v>
      </c>
      <c r="CD178" s="835">
        <f t="shared" si="145"/>
        <v>42908</v>
      </c>
      <c r="CE178" s="831">
        <v>42908</v>
      </c>
      <c r="CF178" s="832">
        <v>5</v>
      </c>
      <c r="CG178" s="833">
        <f t="shared" ca="1" si="146"/>
        <v>226</v>
      </c>
      <c r="CH178" s="836">
        <f t="shared" si="147"/>
        <v>0</v>
      </c>
      <c r="CI178" s="837" t="str">
        <f t="shared" si="148"/>
        <v>УСПЕШНО</v>
      </c>
      <c r="CJ178" s="838" t="str">
        <f t="shared" ca="1" si="149"/>
        <v>-</v>
      </c>
      <c r="CK178" s="831"/>
      <c r="CL178" s="832"/>
      <c r="CM178" s="833" t="str">
        <f t="shared" si="150"/>
        <v>-</v>
      </c>
      <c r="CN178" s="834" t="str">
        <f t="shared" si="151"/>
        <v>-</v>
      </c>
      <c r="CO178" s="830" t="str">
        <f t="shared" ca="1" si="152"/>
        <v>-</v>
      </c>
      <c r="CP178" s="839"/>
      <c r="CQ178" s="832"/>
      <c r="CR178" s="833" t="str">
        <f t="shared" si="153"/>
        <v>-</v>
      </c>
      <c r="CS178" s="833" t="str">
        <f t="shared" si="154"/>
        <v>-</v>
      </c>
      <c r="CT178" s="834" t="str">
        <f t="shared" si="155"/>
        <v>-</v>
      </c>
      <c r="CU178" s="835" t="str">
        <f t="shared" si="156"/>
        <v>-</v>
      </c>
      <c r="CV178" s="839"/>
      <c r="CW178" s="832"/>
      <c r="CX178" s="833" t="str">
        <f t="shared" si="157"/>
        <v>-</v>
      </c>
      <c r="CY178" s="840" t="str">
        <f t="shared" si="158"/>
        <v>-</v>
      </c>
      <c r="CZ178" s="833" t="str">
        <f t="shared" si="159"/>
        <v>-</v>
      </c>
      <c r="DA178" s="838" t="str">
        <f t="shared" ca="1" si="160"/>
        <v>-</v>
      </c>
      <c r="DB178" s="841"/>
      <c r="DC178" s="832"/>
    </row>
    <row r="179" spans="1:107" s="842" customFormat="1" ht="15.95" customHeight="1" x14ac:dyDescent="0.25">
      <c r="A179" s="790">
        <v>179</v>
      </c>
      <c r="B179" s="791">
        <f t="shared" ca="1" si="109"/>
        <v>43134</v>
      </c>
      <c r="C179" s="792" t="s">
        <v>613</v>
      </c>
      <c r="D179" s="793" t="s">
        <v>3201</v>
      </c>
      <c r="E179" s="794" t="s">
        <v>81</v>
      </c>
      <c r="F179" s="854" t="s">
        <v>82</v>
      </c>
      <c r="G179" s="796">
        <f>SUMIFS(МОЛОКО!L8:L6958,МОЛОКО!F8:F6958,"1360",МОЛОКО!L8:L6958,"&gt;0")</f>
        <v>13.6</v>
      </c>
      <c r="H179" s="797" t="s">
        <v>603</v>
      </c>
      <c r="I179" s="798">
        <v>40766</v>
      </c>
      <c r="J179" s="799">
        <f t="shared" ca="1" si="110"/>
        <v>6.4876712328767123</v>
      </c>
      <c r="K179" s="799">
        <f t="shared" ca="1" si="111"/>
        <v>78.933333333333337</v>
      </c>
      <c r="L179" s="800">
        <f t="shared" ca="1" si="112"/>
        <v>2368</v>
      </c>
      <c r="M179" s="801">
        <v>41437</v>
      </c>
      <c r="N179" s="802">
        <v>42691</v>
      </c>
      <c r="O179" s="803">
        <f t="shared" ca="1" si="113"/>
        <v>443</v>
      </c>
      <c r="P179" s="804">
        <v>4</v>
      </c>
      <c r="Q179" s="805" t="s">
        <v>1451</v>
      </c>
      <c r="R179" s="806" t="s">
        <v>2663</v>
      </c>
      <c r="S179" s="807">
        <v>42744</v>
      </c>
      <c r="T179" s="798">
        <v>42856</v>
      </c>
      <c r="U179" s="798" t="str">
        <f t="shared" si="114"/>
        <v>-</v>
      </c>
      <c r="V179" s="804" t="str">
        <f t="shared" ca="1" si="115"/>
        <v>-</v>
      </c>
      <c r="W179" s="808">
        <v>4</v>
      </c>
      <c r="X179" s="794">
        <f t="shared" si="108"/>
        <v>165</v>
      </c>
      <c r="Y179" s="794">
        <v>1</v>
      </c>
      <c r="Z179" s="809" t="str">
        <f t="shared" ca="1" si="116"/>
        <v>ПОДЛЕЖИТ ПЕРЕПРОВЕРКЕ</v>
      </c>
      <c r="AA179" s="810">
        <f t="shared" ca="1" si="117"/>
        <v>278</v>
      </c>
      <c r="AB179" s="804"/>
      <c r="AC179" s="811">
        <f t="shared" ca="1" si="118"/>
        <v>42928</v>
      </c>
      <c r="AD179" s="798"/>
      <c r="AE179" s="794" t="str">
        <f t="shared" ca="1" si="119"/>
        <v>-</v>
      </c>
      <c r="AF179" s="798" t="str">
        <f t="shared" si="120"/>
        <v>-</v>
      </c>
      <c r="AG179" s="812" t="str">
        <f t="shared" si="121"/>
        <v>---------</v>
      </c>
      <c r="AH179" s="807">
        <v>42892</v>
      </c>
      <c r="AI179" s="807">
        <f t="shared" si="122"/>
        <v>43046</v>
      </c>
      <c r="AJ179" s="807">
        <f t="shared" si="123"/>
        <v>43076</v>
      </c>
      <c r="AK179" s="813"/>
      <c r="AL179" s="807">
        <f t="shared" si="124"/>
        <v>43115</v>
      </c>
      <c r="AM179" s="807">
        <f t="shared" si="125"/>
        <v>43136</v>
      </c>
      <c r="AN179" s="814">
        <f t="shared" ca="1" si="126"/>
        <v>-2</v>
      </c>
      <c r="AO179" s="815">
        <v>1</v>
      </c>
      <c r="AP179" s="816" t="str">
        <f t="shared" ca="1" si="127"/>
        <v>-</v>
      </c>
      <c r="AQ179" s="817"/>
      <c r="AR179" s="794" t="str">
        <f t="shared" si="128"/>
        <v>-</v>
      </c>
      <c r="AS179" s="818"/>
      <c r="AT179" s="794" t="str">
        <f t="shared" si="129"/>
        <v>-</v>
      </c>
      <c r="AU179" s="819">
        <v>1</v>
      </c>
      <c r="AV179" s="820"/>
      <c r="AW179" s="821"/>
      <c r="AX179" s="821"/>
      <c r="AY179" s="969" t="str">
        <f t="shared" si="130"/>
        <v>-</v>
      </c>
      <c r="AZ179" s="966" t="str">
        <f t="shared" si="131"/>
        <v>-</v>
      </c>
      <c r="BA179" s="971" t="str">
        <f t="shared" si="132"/>
        <v>-</v>
      </c>
      <c r="BB179" s="975"/>
      <c r="BC179" s="821"/>
      <c r="BD179" s="821"/>
      <c r="BE179" s="963" t="str">
        <f t="shared" si="133"/>
        <v>-</v>
      </c>
      <c r="BF179" s="984"/>
      <c r="BG179" s="988"/>
      <c r="BH179" s="982"/>
      <c r="BI179" s="991"/>
      <c r="BJ179" s="991"/>
      <c r="BK179" s="993" t="str">
        <f t="shared" si="134"/>
        <v>-</v>
      </c>
      <c r="BL179" s="820">
        <v>42981</v>
      </c>
      <c r="BM179" s="821">
        <v>5</v>
      </c>
      <c r="BN179" s="822">
        <f t="shared" ca="1" si="135"/>
        <v>153</v>
      </c>
      <c r="BO179" s="823">
        <f t="shared" si="136"/>
        <v>73.833333333333329</v>
      </c>
      <c r="BP179" s="824"/>
      <c r="BQ179" s="821"/>
      <c r="BR179" s="822" t="str">
        <f t="shared" si="137"/>
        <v>-</v>
      </c>
      <c r="BS179" s="823" t="str">
        <f t="shared" si="138"/>
        <v>-</v>
      </c>
      <c r="BT179" s="825" t="str">
        <f t="shared" ca="1" si="139"/>
        <v>-</v>
      </c>
      <c r="BU179" s="826"/>
      <c r="BV179" s="827"/>
      <c r="BW179" s="828" t="str">
        <f t="shared" si="140"/>
        <v>Ж-Е НЕ ВАКЦ.</v>
      </c>
      <c r="BX179" s="829" t="str">
        <f t="shared" si="141"/>
        <v>-</v>
      </c>
      <c r="BY179" s="830" t="str">
        <f t="shared" ca="1" si="142"/>
        <v>-</v>
      </c>
      <c r="BZ179" s="831">
        <v>42887</v>
      </c>
      <c r="CA179" s="832">
        <v>5</v>
      </c>
      <c r="CB179" s="833">
        <f t="shared" ca="1" si="143"/>
        <v>247</v>
      </c>
      <c r="CC179" s="834" t="str">
        <f t="shared" ca="1" si="144"/>
        <v>-</v>
      </c>
      <c r="CD179" s="835">
        <f t="shared" si="145"/>
        <v>42908</v>
      </c>
      <c r="CE179" s="831">
        <v>42908</v>
      </c>
      <c r="CF179" s="832">
        <v>5</v>
      </c>
      <c r="CG179" s="833">
        <f t="shared" ca="1" si="146"/>
        <v>226</v>
      </c>
      <c r="CH179" s="836">
        <f t="shared" si="147"/>
        <v>0</v>
      </c>
      <c r="CI179" s="837" t="str">
        <f t="shared" si="148"/>
        <v>УСПЕШНО</v>
      </c>
      <c r="CJ179" s="838" t="str">
        <f t="shared" ca="1" si="149"/>
        <v>-</v>
      </c>
      <c r="CK179" s="831"/>
      <c r="CL179" s="832"/>
      <c r="CM179" s="833" t="str">
        <f t="shared" si="150"/>
        <v>-</v>
      </c>
      <c r="CN179" s="834" t="str">
        <f t="shared" si="151"/>
        <v>-</v>
      </c>
      <c r="CO179" s="830" t="str">
        <f t="shared" ca="1" si="152"/>
        <v>ТРЕБУЕТСЯ ВАКЦИНАЦИЯ</v>
      </c>
      <c r="CP179" s="839"/>
      <c r="CQ179" s="832"/>
      <c r="CR179" s="833" t="str">
        <f t="shared" si="153"/>
        <v>-</v>
      </c>
      <c r="CS179" s="833" t="str">
        <f t="shared" si="154"/>
        <v>-</v>
      </c>
      <c r="CT179" s="834" t="str">
        <f t="shared" si="155"/>
        <v>-</v>
      </c>
      <c r="CU179" s="835" t="str">
        <f t="shared" si="156"/>
        <v>-</v>
      </c>
      <c r="CV179" s="839"/>
      <c r="CW179" s="832"/>
      <c r="CX179" s="833" t="str">
        <f t="shared" si="157"/>
        <v>-</v>
      </c>
      <c r="CY179" s="840" t="str">
        <f t="shared" si="158"/>
        <v>-</v>
      </c>
      <c r="CZ179" s="833" t="str">
        <f t="shared" si="159"/>
        <v>-</v>
      </c>
      <c r="DA179" s="838" t="str">
        <f t="shared" ca="1" si="160"/>
        <v>-</v>
      </c>
      <c r="DB179" s="841"/>
      <c r="DC179" s="832"/>
    </row>
    <row r="180" spans="1:107" s="842" customFormat="1" ht="15.95" customHeight="1" x14ac:dyDescent="0.25">
      <c r="A180" s="790">
        <v>180</v>
      </c>
      <c r="B180" s="791">
        <f t="shared" ca="1" si="109"/>
        <v>43134</v>
      </c>
      <c r="C180" s="29" t="s">
        <v>613</v>
      </c>
      <c r="D180" s="59" t="s">
        <v>3201</v>
      </c>
      <c r="E180" s="794" t="s">
        <v>369</v>
      </c>
      <c r="F180" s="854" t="s">
        <v>370</v>
      </c>
      <c r="G180" s="796">
        <f>SUMIFS(МОЛОКО!L8:L6958,МОЛОКО!F8:F6958,"1363",МОЛОКО!L8:L6958,"&gt;0")</f>
        <v>12.6</v>
      </c>
      <c r="H180" s="797" t="s">
        <v>603</v>
      </c>
      <c r="I180" s="798">
        <v>40767</v>
      </c>
      <c r="J180" s="799">
        <f t="shared" ca="1" si="110"/>
        <v>6.484931506849315</v>
      </c>
      <c r="K180" s="799">
        <f t="shared" ca="1" si="111"/>
        <v>78.900000000000006</v>
      </c>
      <c r="L180" s="800">
        <f t="shared" ca="1" si="112"/>
        <v>2367</v>
      </c>
      <c r="M180" s="801">
        <v>41568</v>
      </c>
      <c r="N180" s="802">
        <v>42788</v>
      </c>
      <c r="O180" s="803">
        <f t="shared" ca="1" si="113"/>
        <v>346</v>
      </c>
      <c r="P180" s="804">
        <v>4</v>
      </c>
      <c r="Q180" s="805" t="s">
        <v>2366</v>
      </c>
      <c r="R180" s="806" t="s">
        <v>1876</v>
      </c>
      <c r="S180" s="807">
        <v>42855</v>
      </c>
      <c r="T180" s="798">
        <v>42903</v>
      </c>
      <c r="U180" s="798" t="str">
        <f t="shared" si="114"/>
        <v>-</v>
      </c>
      <c r="V180" s="804" t="str">
        <f t="shared" ca="1" si="115"/>
        <v>-</v>
      </c>
      <c r="W180" s="808">
        <v>2</v>
      </c>
      <c r="X180" s="794">
        <f t="shared" si="108"/>
        <v>115</v>
      </c>
      <c r="Y180" s="794">
        <v>1</v>
      </c>
      <c r="Z180" s="809" t="str">
        <f t="shared" ca="1" si="116"/>
        <v>-----</v>
      </c>
      <c r="AA180" s="810" t="str">
        <f t="shared" ca="1" si="117"/>
        <v>-----</v>
      </c>
      <c r="AB180" s="804">
        <v>1</v>
      </c>
      <c r="AC180" s="811" t="str">
        <f t="shared" ca="1" si="118"/>
        <v>-----</v>
      </c>
      <c r="AD180" s="798"/>
      <c r="AE180" s="794" t="str">
        <f t="shared" ca="1" si="119"/>
        <v>-</v>
      </c>
      <c r="AF180" s="798" t="str">
        <f t="shared" si="120"/>
        <v>-</v>
      </c>
      <c r="AG180" s="812" t="str">
        <f t="shared" si="121"/>
        <v>---------</v>
      </c>
      <c r="AH180" s="807">
        <v>42977</v>
      </c>
      <c r="AI180" s="807">
        <f t="shared" si="122"/>
        <v>43093</v>
      </c>
      <c r="AJ180" s="807">
        <f t="shared" si="123"/>
        <v>43123</v>
      </c>
      <c r="AK180" s="813"/>
      <c r="AL180" s="807">
        <f t="shared" si="124"/>
        <v>43162</v>
      </c>
      <c r="AM180" s="807">
        <f t="shared" si="125"/>
        <v>43183</v>
      </c>
      <c r="AN180" s="814">
        <f t="shared" ca="1" si="126"/>
        <v>-49</v>
      </c>
      <c r="AO180" s="815">
        <v>1</v>
      </c>
      <c r="AP180" s="816" t="str">
        <f t="shared" ca="1" si="127"/>
        <v>-</v>
      </c>
      <c r="AQ180" s="817"/>
      <c r="AR180" s="794" t="str">
        <f t="shared" si="128"/>
        <v>-</v>
      </c>
      <c r="AS180" s="818"/>
      <c r="AT180" s="794" t="str">
        <f t="shared" si="129"/>
        <v>-</v>
      </c>
      <c r="AU180" s="819">
        <v>1</v>
      </c>
      <c r="AV180" s="820"/>
      <c r="AW180" s="821"/>
      <c r="AX180" s="821"/>
      <c r="AY180" s="969" t="str">
        <f t="shared" si="130"/>
        <v>-</v>
      </c>
      <c r="AZ180" s="966" t="str">
        <f t="shared" si="131"/>
        <v>-</v>
      </c>
      <c r="BA180" s="971" t="str">
        <f t="shared" si="132"/>
        <v>-</v>
      </c>
      <c r="BB180" s="975"/>
      <c r="BC180" s="821"/>
      <c r="BD180" s="821"/>
      <c r="BE180" s="963" t="str">
        <f t="shared" si="133"/>
        <v>-</v>
      </c>
      <c r="BF180" s="984"/>
      <c r="BG180" s="988"/>
      <c r="BH180" s="982"/>
      <c r="BI180" s="991"/>
      <c r="BJ180" s="991"/>
      <c r="BK180" s="993" t="str">
        <f t="shared" si="134"/>
        <v>-</v>
      </c>
      <c r="BL180" s="820">
        <v>42981</v>
      </c>
      <c r="BM180" s="821">
        <v>5</v>
      </c>
      <c r="BN180" s="822">
        <f t="shared" ca="1" si="135"/>
        <v>153</v>
      </c>
      <c r="BO180" s="823">
        <f t="shared" si="136"/>
        <v>73.8</v>
      </c>
      <c r="BP180" s="824"/>
      <c r="BQ180" s="821"/>
      <c r="BR180" s="822" t="str">
        <f t="shared" si="137"/>
        <v>-</v>
      </c>
      <c r="BS180" s="823" t="str">
        <f t="shared" si="138"/>
        <v>-</v>
      </c>
      <c r="BT180" s="825" t="str">
        <f t="shared" ca="1" si="139"/>
        <v>-</v>
      </c>
      <c r="BU180" s="826"/>
      <c r="BV180" s="827"/>
      <c r="BW180" s="828" t="str">
        <f t="shared" si="140"/>
        <v>Ж-Е НЕ ВАКЦ.</v>
      </c>
      <c r="BX180" s="829" t="str">
        <f t="shared" si="141"/>
        <v>-</v>
      </c>
      <c r="BY180" s="830" t="str">
        <f t="shared" ca="1" si="142"/>
        <v>-</v>
      </c>
      <c r="BZ180" s="831">
        <v>42887</v>
      </c>
      <c r="CA180" s="832">
        <v>5</v>
      </c>
      <c r="CB180" s="833">
        <f t="shared" ca="1" si="143"/>
        <v>247</v>
      </c>
      <c r="CC180" s="834" t="str">
        <f t="shared" ca="1" si="144"/>
        <v>-</v>
      </c>
      <c r="CD180" s="835">
        <f t="shared" si="145"/>
        <v>42908</v>
      </c>
      <c r="CE180" s="831">
        <v>42908</v>
      </c>
      <c r="CF180" s="832">
        <v>5</v>
      </c>
      <c r="CG180" s="833">
        <f t="shared" ca="1" si="146"/>
        <v>226</v>
      </c>
      <c r="CH180" s="836">
        <f t="shared" si="147"/>
        <v>0</v>
      </c>
      <c r="CI180" s="837" t="str">
        <f t="shared" si="148"/>
        <v>УСПЕШНО</v>
      </c>
      <c r="CJ180" s="838" t="str">
        <f t="shared" ca="1" si="149"/>
        <v>-</v>
      </c>
      <c r="CK180" s="831"/>
      <c r="CL180" s="832"/>
      <c r="CM180" s="833" t="str">
        <f t="shared" si="150"/>
        <v>-</v>
      </c>
      <c r="CN180" s="834" t="str">
        <f t="shared" si="151"/>
        <v>-</v>
      </c>
      <c r="CO180" s="830" t="str">
        <f t="shared" ca="1" si="152"/>
        <v>ТРЕБУЕТСЯ ВАКЦИНАЦИЯ</v>
      </c>
      <c r="CP180" s="839"/>
      <c r="CQ180" s="832"/>
      <c r="CR180" s="833" t="str">
        <f t="shared" si="153"/>
        <v>-</v>
      </c>
      <c r="CS180" s="833" t="str">
        <f t="shared" si="154"/>
        <v>-</v>
      </c>
      <c r="CT180" s="834" t="str">
        <f t="shared" si="155"/>
        <v>-</v>
      </c>
      <c r="CU180" s="835" t="str">
        <f t="shared" si="156"/>
        <v>-</v>
      </c>
      <c r="CV180" s="839"/>
      <c r="CW180" s="832"/>
      <c r="CX180" s="833" t="str">
        <f t="shared" si="157"/>
        <v>-</v>
      </c>
      <c r="CY180" s="840" t="str">
        <f t="shared" si="158"/>
        <v>-</v>
      </c>
      <c r="CZ180" s="833" t="str">
        <f t="shared" si="159"/>
        <v>-</v>
      </c>
      <c r="DA180" s="838" t="str">
        <f t="shared" ca="1" si="160"/>
        <v>-</v>
      </c>
      <c r="DB180" s="841"/>
      <c r="DC180" s="832"/>
    </row>
    <row r="181" spans="1:107" s="842" customFormat="1" ht="15.95" customHeight="1" x14ac:dyDescent="0.25">
      <c r="A181" s="790">
        <v>181</v>
      </c>
      <c r="B181" s="791">
        <f t="shared" ca="1" si="109"/>
        <v>43134</v>
      </c>
      <c r="C181" s="29" t="s">
        <v>613</v>
      </c>
      <c r="D181" s="59" t="s">
        <v>3201</v>
      </c>
      <c r="E181" s="794" t="s">
        <v>81</v>
      </c>
      <c r="F181" s="854" t="s">
        <v>869</v>
      </c>
      <c r="G181" s="796">
        <f>SUMIFS(МОЛОКО!L8:L6958,МОЛОКО!F8:F6958,"1366",МОЛОКО!L8:L6958,"&gt;0")</f>
        <v>20</v>
      </c>
      <c r="H181" s="797" t="s">
        <v>603</v>
      </c>
      <c r="I181" s="798">
        <v>40770</v>
      </c>
      <c r="J181" s="799">
        <f t="shared" ca="1" si="110"/>
        <v>6.4767123287671229</v>
      </c>
      <c r="K181" s="799">
        <f t="shared" ca="1" si="111"/>
        <v>78.8</v>
      </c>
      <c r="L181" s="800">
        <f t="shared" ca="1" si="112"/>
        <v>2364</v>
      </c>
      <c r="M181" s="801">
        <v>41569</v>
      </c>
      <c r="N181" s="802">
        <v>42904</v>
      </c>
      <c r="O181" s="803">
        <f t="shared" ca="1" si="113"/>
        <v>230</v>
      </c>
      <c r="P181" s="804">
        <v>4</v>
      </c>
      <c r="Q181" s="68" t="s">
        <v>2366</v>
      </c>
      <c r="R181" s="118" t="s">
        <v>2962</v>
      </c>
      <c r="S181" s="807">
        <v>42964</v>
      </c>
      <c r="T181" s="798">
        <v>43049</v>
      </c>
      <c r="U181" s="798">
        <f t="shared" si="114"/>
        <v>43067</v>
      </c>
      <c r="V181" s="804">
        <f t="shared" ca="1" si="115"/>
        <v>67</v>
      </c>
      <c r="W181" s="808">
        <v>3</v>
      </c>
      <c r="X181" s="794">
        <f t="shared" si="108"/>
        <v>145</v>
      </c>
      <c r="Y181" s="794">
        <v>3</v>
      </c>
      <c r="Z181" s="809" t="str">
        <f t="shared" ca="1" si="116"/>
        <v>-----</v>
      </c>
      <c r="AA181" s="810">
        <f t="shared" ca="1" si="117"/>
        <v>85</v>
      </c>
      <c r="AB181" s="804"/>
      <c r="AC181" s="811" t="str">
        <f t="shared" ca="1" si="118"/>
        <v>-----</v>
      </c>
      <c r="AD181" s="798"/>
      <c r="AE181" s="794" t="str">
        <f t="shared" ca="1" si="119"/>
        <v>-</v>
      </c>
      <c r="AF181" s="798">
        <f t="shared" si="120"/>
        <v>43084</v>
      </c>
      <c r="AG181" s="812">
        <f t="shared" ca="1" si="121"/>
        <v>50</v>
      </c>
      <c r="AH181" s="807">
        <v>43042</v>
      </c>
      <c r="AI181" s="807" t="str">
        <f t="shared" si="122"/>
        <v>-</v>
      </c>
      <c r="AJ181" s="807" t="str">
        <f t="shared" si="123"/>
        <v>-</v>
      </c>
      <c r="AK181" s="813"/>
      <c r="AL181" s="807" t="str">
        <f t="shared" si="124"/>
        <v>-</v>
      </c>
      <c r="AM181" s="807" t="str">
        <f t="shared" si="125"/>
        <v>-</v>
      </c>
      <c r="AN181" s="814" t="str">
        <f t="shared" ca="1" si="126"/>
        <v>-</v>
      </c>
      <c r="AO181" s="815">
        <v>1</v>
      </c>
      <c r="AP181" s="816" t="str">
        <f t="shared" ca="1" si="127"/>
        <v>-</v>
      </c>
      <c r="AQ181" s="817"/>
      <c r="AR181" s="794" t="str">
        <f t="shared" si="128"/>
        <v>-</v>
      </c>
      <c r="AS181" s="818"/>
      <c r="AT181" s="794" t="str">
        <f t="shared" si="129"/>
        <v>-</v>
      </c>
      <c r="AU181" s="819">
        <v>1</v>
      </c>
      <c r="AV181" s="820"/>
      <c r="AW181" s="821"/>
      <c r="AX181" s="821"/>
      <c r="AY181" s="969" t="str">
        <f t="shared" si="130"/>
        <v>-</v>
      </c>
      <c r="AZ181" s="966" t="str">
        <f t="shared" si="131"/>
        <v>-</v>
      </c>
      <c r="BA181" s="971" t="str">
        <f t="shared" si="132"/>
        <v>-</v>
      </c>
      <c r="BB181" s="975"/>
      <c r="BC181" s="821"/>
      <c r="BD181" s="821"/>
      <c r="BE181" s="963" t="str">
        <f t="shared" si="133"/>
        <v>-</v>
      </c>
      <c r="BF181" s="984"/>
      <c r="BG181" s="988"/>
      <c r="BH181" s="982"/>
      <c r="BI181" s="991"/>
      <c r="BJ181" s="991"/>
      <c r="BK181" s="993" t="str">
        <f t="shared" si="134"/>
        <v>-</v>
      </c>
      <c r="BL181" s="820">
        <v>42979</v>
      </c>
      <c r="BM181" s="821">
        <v>5</v>
      </c>
      <c r="BN181" s="822">
        <f t="shared" ca="1" si="135"/>
        <v>155</v>
      </c>
      <c r="BO181" s="823">
        <f t="shared" si="136"/>
        <v>73.63333333333334</v>
      </c>
      <c r="BP181" s="824"/>
      <c r="BQ181" s="821"/>
      <c r="BR181" s="822" t="str">
        <f t="shared" si="137"/>
        <v>-</v>
      </c>
      <c r="BS181" s="823" t="str">
        <f t="shared" si="138"/>
        <v>-</v>
      </c>
      <c r="BT181" s="825" t="str">
        <f t="shared" ca="1" si="139"/>
        <v>-</v>
      </c>
      <c r="BU181" s="826"/>
      <c r="BV181" s="827"/>
      <c r="BW181" s="828" t="str">
        <f t="shared" si="140"/>
        <v>Ж-Е НЕ ВАКЦ.</v>
      </c>
      <c r="BX181" s="829" t="str">
        <f t="shared" si="141"/>
        <v>-</v>
      </c>
      <c r="BY181" s="830" t="str">
        <f t="shared" ca="1" si="142"/>
        <v>-</v>
      </c>
      <c r="BZ181" s="831">
        <v>42940</v>
      </c>
      <c r="CA181" s="832">
        <v>5</v>
      </c>
      <c r="CB181" s="833">
        <f t="shared" ca="1" si="143"/>
        <v>194</v>
      </c>
      <c r="CC181" s="834" t="str">
        <f t="shared" ca="1" si="144"/>
        <v>-</v>
      </c>
      <c r="CD181" s="835">
        <f t="shared" si="145"/>
        <v>42961</v>
      </c>
      <c r="CE181" s="831">
        <v>42969</v>
      </c>
      <c r="CF181" s="832">
        <v>5</v>
      </c>
      <c r="CG181" s="833">
        <f t="shared" ca="1" si="146"/>
        <v>165</v>
      </c>
      <c r="CH181" s="836">
        <f t="shared" si="147"/>
        <v>-8</v>
      </c>
      <c r="CI181" s="837" t="str">
        <f t="shared" si="148"/>
        <v>-</v>
      </c>
      <c r="CJ181" s="838" t="str">
        <f t="shared" ca="1" si="149"/>
        <v>-</v>
      </c>
      <c r="CK181" s="831"/>
      <c r="CL181" s="832"/>
      <c r="CM181" s="833" t="str">
        <f t="shared" si="150"/>
        <v>-</v>
      </c>
      <c r="CN181" s="834" t="str">
        <f t="shared" si="151"/>
        <v>-</v>
      </c>
      <c r="CO181" s="830" t="str">
        <f t="shared" ca="1" si="152"/>
        <v>-</v>
      </c>
      <c r="CP181" s="839"/>
      <c r="CQ181" s="832"/>
      <c r="CR181" s="833" t="str">
        <f t="shared" si="153"/>
        <v>-</v>
      </c>
      <c r="CS181" s="833" t="str">
        <f t="shared" si="154"/>
        <v>-</v>
      </c>
      <c r="CT181" s="834" t="str">
        <f t="shared" si="155"/>
        <v>-</v>
      </c>
      <c r="CU181" s="835" t="str">
        <f t="shared" si="156"/>
        <v>-</v>
      </c>
      <c r="CV181" s="839"/>
      <c r="CW181" s="832"/>
      <c r="CX181" s="833" t="str">
        <f t="shared" si="157"/>
        <v>-</v>
      </c>
      <c r="CY181" s="840" t="str">
        <f t="shared" si="158"/>
        <v>-</v>
      </c>
      <c r="CZ181" s="833" t="str">
        <f t="shared" si="159"/>
        <v>-</v>
      </c>
      <c r="DA181" s="838" t="str">
        <f t="shared" ca="1" si="160"/>
        <v>-</v>
      </c>
      <c r="DB181" s="841"/>
      <c r="DC181" s="832"/>
    </row>
    <row r="182" spans="1:107" s="842" customFormat="1" ht="15.95" customHeight="1" x14ac:dyDescent="0.25">
      <c r="A182" s="790">
        <v>183</v>
      </c>
      <c r="B182" s="791">
        <f t="shared" ca="1" si="109"/>
        <v>43134</v>
      </c>
      <c r="C182" s="29" t="s">
        <v>613</v>
      </c>
      <c r="D182" s="59" t="s">
        <v>3201</v>
      </c>
      <c r="E182" s="794" t="s">
        <v>874</v>
      </c>
      <c r="F182" s="854" t="s">
        <v>875</v>
      </c>
      <c r="G182" s="796">
        <f>SUMIFS(МОЛОКО!L8:L6958,МОЛОКО!F8:F6958,"1506",МОЛОКО!L8:L6958,"&gt;0")</f>
        <v>19</v>
      </c>
      <c r="H182" s="797" t="s">
        <v>913</v>
      </c>
      <c r="I182" s="798">
        <v>41002</v>
      </c>
      <c r="J182" s="799">
        <f t="shared" ca="1" si="110"/>
        <v>5.8410958904109593</v>
      </c>
      <c r="K182" s="799">
        <f t="shared" ca="1" si="111"/>
        <v>71.066666666666663</v>
      </c>
      <c r="L182" s="800">
        <f t="shared" ca="1" si="112"/>
        <v>2132</v>
      </c>
      <c r="M182" s="801">
        <v>41836</v>
      </c>
      <c r="N182" s="802">
        <v>42897</v>
      </c>
      <c r="O182" s="803">
        <f t="shared" ca="1" si="113"/>
        <v>237</v>
      </c>
      <c r="P182" s="804">
        <v>4</v>
      </c>
      <c r="Q182" s="805" t="s">
        <v>1451</v>
      </c>
      <c r="R182" s="806" t="s">
        <v>2966</v>
      </c>
      <c r="S182" s="807">
        <v>42957</v>
      </c>
      <c r="T182" s="798">
        <v>42978</v>
      </c>
      <c r="U182" s="798" t="str">
        <f t="shared" si="114"/>
        <v>-</v>
      </c>
      <c r="V182" s="804" t="str">
        <f t="shared" ca="1" si="115"/>
        <v>-</v>
      </c>
      <c r="W182" s="808">
        <v>2</v>
      </c>
      <c r="X182" s="794">
        <f t="shared" ref="X182:X245" si="161">IF(AND(N182&gt;0,T182&gt;0),T182-N182,"-")</f>
        <v>81</v>
      </c>
      <c r="Y182" s="794">
        <v>1</v>
      </c>
      <c r="Z182" s="809" t="str">
        <f t="shared" ca="1" si="116"/>
        <v>-----</v>
      </c>
      <c r="AA182" s="810" t="str">
        <f t="shared" ca="1" si="117"/>
        <v>-----</v>
      </c>
      <c r="AB182" s="804">
        <v>1</v>
      </c>
      <c r="AC182" s="811" t="str">
        <f t="shared" ca="1" si="118"/>
        <v>-----</v>
      </c>
      <c r="AD182" s="798">
        <v>43047</v>
      </c>
      <c r="AE182" s="794" t="str">
        <f t="shared" ca="1" si="119"/>
        <v>-</v>
      </c>
      <c r="AF182" s="798" t="str">
        <f t="shared" si="120"/>
        <v>-</v>
      </c>
      <c r="AG182" s="812" t="str">
        <f t="shared" si="121"/>
        <v>---------</v>
      </c>
      <c r="AH182" s="807">
        <v>43014</v>
      </c>
      <c r="AI182" s="807">
        <f t="shared" si="122"/>
        <v>43168</v>
      </c>
      <c r="AJ182" s="807">
        <f t="shared" si="123"/>
        <v>43198</v>
      </c>
      <c r="AK182" s="813"/>
      <c r="AL182" s="807">
        <f t="shared" si="124"/>
        <v>43237</v>
      </c>
      <c r="AM182" s="807">
        <f t="shared" si="125"/>
        <v>43258</v>
      </c>
      <c r="AN182" s="814">
        <f t="shared" ca="1" si="126"/>
        <v>-124</v>
      </c>
      <c r="AO182" s="815">
        <v>1</v>
      </c>
      <c r="AP182" s="816" t="str">
        <f t="shared" ca="1" si="127"/>
        <v>-</v>
      </c>
      <c r="AQ182" s="817"/>
      <c r="AR182" s="794" t="str">
        <f t="shared" si="128"/>
        <v>-</v>
      </c>
      <c r="AS182" s="818"/>
      <c r="AT182" s="794" t="str">
        <f t="shared" si="129"/>
        <v>-</v>
      </c>
      <c r="AU182" s="819">
        <v>1</v>
      </c>
      <c r="AV182" s="820"/>
      <c r="AW182" s="821"/>
      <c r="AX182" s="821"/>
      <c r="AY182" s="969" t="str">
        <f t="shared" si="130"/>
        <v>-</v>
      </c>
      <c r="AZ182" s="966" t="str">
        <f t="shared" si="131"/>
        <v>-</v>
      </c>
      <c r="BA182" s="971" t="str">
        <f t="shared" si="132"/>
        <v>-</v>
      </c>
      <c r="BB182" s="975"/>
      <c r="BC182" s="821"/>
      <c r="BD182" s="821"/>
      <c r="BE182" s="963" t="str">
        <f t="shared" si="133"/>
        <v>-</v>
      </c>
      <c r="BF182" s="984"/>
      <c r="BG182" s="988"/>
      <c r="BH182" s="982"/>
      <c r="BI182" s="991"/>
      <c r="BJ182" s="991"/>
      <c r="BK182" s="993" t="str">
        <f t="shared" si="134"/>
        <v>-</v>
      </c>
      <c r="BL182" s="820">
        <v>42979</v>
      </c>
      <c r="BM182" s="821">
        <v>5</v>
      </c>
      <c r="BN182" s="822">
        <f t="shared" ca="1" si="135"/>
        <v>155</v>
      </c>
      <c r="BO182" s="823">
        <f t="shared" si="136"/>
        <v>65.900000000000006</v>
      </c>
      <c r="BP182" s="824"/>
      <c r="BQ182" s="821"/>
      <c r="BR182" s="822" t="str">
        <f t="shared" si="137"/>
        <v>-</v>
      </c>
      <c r="BS182" s="823" t="str">
        <f t="shared" si="138"/>
        <v>-</v>
      </c>
      <c r="BT182" s="825" t="str">
        <f t="shared" ca="1" si="139"/>
        <v>-</v>
      </c>
      <c r="BU182" s="826"/>
      <c r="BV182" s="827"/>
      <c r="BW182" s="828" t="str">
        <f t="shared" si="140"/>
        <v>Ж-Е НЕ ВАКЦ.</v>
      </c>
      <c r="BX182" s="829" t="str">
        <f t="shared" si="141"/>
        <v>-</v>
      </c>
      <c r="BY182" s="830" t="str">
        <f t="shared" ca="1" si="142"/>
        <v>-</v>
      </c>
      <c r="BZ182" s="831">
        <v>42916</v>
      </c>
      <c r="CA182" s="832">
        <v>5</v>
      </c>
      <c r="CB182" s="833">
        <f t="shared" ca="1" si="143"/>
        <v>218</v>
      </c>
      <c r="CC182" s="834" t="str">
        <f t="shared" ca="1" si="144"/>
        <v>-</v>
      </c>
      <c r="CD182" s="835">
        <f t="shared" si="145"/>
        <v>42937</v>
      </c>
      <c r="CE182" s="831">
        <v>42937</v>
      </c>
      <c r="CF182" s="832">
        <v>5</v>
      </c>
      <c r="CG182" s="833">
        <f t="shared" ca="1" si="146"/>
        <v>197</v>
      </c>
      <c r="CH182" s="836">
        <f t="shared" si="147"/>
        <v>0</v>
      </c>
      <c r="CI182" s="837" t="str">
        <f t="shared" si="148"/>
        <v>УСПЕШНО</v>
      </c>
      <c r="CJ182" s="838" t="str">
        <f t="shared" ca="1" si="149"/>
        <v>-</v>
      </c>
      <c r="CK182" s="831"/>
      <c r="CL182" s="832"/>
      <c r="CM182" s="833" t="str">
        <f t="shared" si="150"/>
        <v>-</v>
      </c>
      <c r="CN182" s="834" t="str">
        <f t="shared" si="151"/>
        <v>-</v>
      </c>
      <c r="CO182" s="830" t="str">
        <f t="shared" ca="1" si="152"/>
        <v>-</v>
      </c>
      <c r="CP182" s="839"/>
      <c r="CQ182" s="832"/>
      <c r="CR182" s="833" t="str">
        <f t="shared" si="153"/>
        <v>-</v>
      </c>
      <c r="CS182" s="833" t="str">
        <f t="shared" si="154"/>
        <v>-</v>
      </c>
      <c r="CT182" s="834" t="str">
        <f t="shared" si="155"/>
        <v>-</v>
      </c>
      <c r="CU182" s="835" t="str">
        <f t="shared" si="156"/>
        <v>-</v>
      </c>
      <c r="CV182" s="839"/>
      <c r="CW182" s="832"/>
      <c r="CX182" s="833" t="str">
        <f t="shared" si="157"/>
        <v>-</v>
      </c>
      <c r="CY182" s="840" t="str">
        <f t="shared" si="158"/>
        <v>-</v>
      </c>
      <c r="CZ182" s="833" t="str">
        <f t="shared" si="159"/>
        <v>-</v>
      </c>
      <c r="DA182" s="838" t="str">
        <f t="shared" ca="1" si="160"/>
        <v>-</v>
      </c>
      <c r="DB182" s="841"/>
      <c r="DC182" s="832"/>
    </row>
    <row r="183" spans="1:107" s="842" customFormat="1" ht="15.95" customHeight="1" x14ac:dyDescent="0.25">
      <c r="A183" s="790">
        <v>184</v>
      </c>
      <c r="B183" s="791">
        <f t="shared" ca="1" si="109"/>
        <v>43134</v>
      </c>
      <c r="C183" s="792" t="s">
        <v>613</v>
      </c>
      <c r="D183" s="793" t="s">
        <v>3201</v>
      </c>
      <c r="E183" s="794" t="s">
        <v>104</v>
      </c>
      <c r="F183" s="998" t="s">
        <v>825</v>
      </c>
      <c r="G183" s="796">
        <f>SUMIFS(МОЛОКО!L8:L6958,МОЛОКО!F8:F6958,"1553",МОЛОКО!L8:L6958,"&gt;0")</f>
        <v>12</v>
      </c>
      <c r="H183" s="797" t="s">
        <v>603</v>
      </c>
      <c r="I183" s="798">
        <v>41037</v>
      </c>
      <c r="J183" s="799">
        <f t="shared" ca="1" si="110"/>
        <v>5.7452054794520544</v>
      </c>
      <c r="K183" s="799">
        <f t="shared" ca="1" si="111"/>
        <v>69.900000000000006</v>
      </c>
      <c r="L183" s="800">
        <f t="shared" ca="1" si="112"/>
        <v>2097</v>
      </c>
      <c r="M183" s="801">
        <v>41807</v>
      </c>
      <c r="N183" s="802">
        <v>42640</v>
      </c>
      <c r="O183" s="803">
        <f t="shared" ca="1" si="113"/>
        <v>494</v>
      </c>
      <c r="P183" s="804">
        <v>3</v>
      </c>
      <c r="Q183" s="805" t="s">
        <v>1451</v>
      </c>
      <c r="R183" s="806" t="s">
        <v>1815</v>
      </c>
      <c r="S183" s="807">
        <v>42708</v>
      </c>
      <c r="T183" s="798">
        <v>42762</v>
      </c>
      <c r="U183" s="798" t="str">
        <f t="shared" si="114"/>
        <v>-</v>
      </c>
      <c r="V183" s="804" t="str">
        <f t="shared" ca="1" si="115"/>
        <v>-</v>
      </c>
      <c r="W183" s="808">
        <v>2</v>
      </c>
      <c r="X183" s="794">
        <f t="shared" si="161"/>
        <v>122</v>
      </c>
      <c r="Y183" s="794">
        <v>0</v>
      </c>
      <c r="Z183" s="809" t="str">
        <f t="shared" ca="1" si="116"/>
        <v>-----</v>
      </c>
      <c r="AA183" s="810">
        <f t="shared" ca="1" si="117"/>
        <v>372</v>
      </c>
      <c r="AB183" s="804"/>
      <c r="AC183" s="811" t="str">
        <f t="shared" ca="1" si="118"/>
        <v>-----</v>
      </c>
      <c r="AD183" s="798"/>
      <c r="AE183" s="794" t="str">
        <f t="shared" ca="1" si="119"/>
        <v>яловая</v>
      </c>
      <c r="AF183" s="798" t="str">
        <f t="shared" si="120"/>
        <v>-</v>
      </c>
      <c r="AG183" s="812" t="str">
        <f t="shared" si="121"/>
        <v>---------</v>
      </c>
      <c r="AH183" s="807">
        <v>42912</v>
      </c>
      <c r="AI183" s="807" t="str">
        <f t="shared" si="122"/>
        <v>-</v>
      </c>
      <c r="AJ183" s="807" t="str">
        <f t="shared" si="123"/>
        <v>-</v>
      </c>
      <c r="AK183" s="813"/>
      <c r="AL183" s="807" t="str">
        <f t="shared" si="124"/>
        <v>-</v>
      </c>
      <c r="AM183" s="807" t="str">
        <f t="shared" si="125"/>
        <v>-</v>
      </c>
      <c r="AN183" s="814" t="str">
        <f t="shared" ca="1" si="126"/>
        <v>-</v>
      </c>
      <c r="AO183" s="815">
        <v>1</v>
      </c>
      <c r="AP183" s="816" t="str">
        <f t="shared" ca="1" si="127"/>
        <v>БРАК</v>
      </c>
      <c r="AQ183" s="817" t="s">
        <v>1863</v>
      </c>
      <c r="AR183" s="794" t="str">
        <f t="shared" si="128"/>
        <v>-</v>
      </c>
      <c r="AS183" s="818"/>
      <c r="AT183" s="794" t="str">
        <f t="shared" si="129"/>
        <v>-</v>
      </c>
      <c r="AU183" s="300" t="s">
        <v>2696</v>
      </c>
      <c r="AV183" s="820"/>
      <c r="AW183" s="821"/>
      <c r="AX183" s="821"/>
      <c r="AY183" s="969" t="str">
        <f t="shared" si="130"/>
        <v>-</v>
      </c>
      <c r="AZ183" s="966" t="str">
        <f t="shared" si="131"/>
        <v>-</v>
      </c>
      <c r="BA183" s="971" t="str">
        <f t="shared" si="132"/>
        <v>-</v>
      </c>
      <c r="BB183" s="975"/>
      <c r="BC183" s="821"/>
      <c r="BD183" s="821"/>
      <c r="BE183" s="963" t="str">
        <f t="shared" si="133"/>
        <v>-</v>
      </c>
      <c r="BF183" s="984"/>
      <c r="BG183" s="988"/>
      <c r="BH183" s="982"/>
      <c r="BI183" s="991"/>
      <c r="BJ183" s="991"/>
      <c r="BK183" s="993" t="str">
        <f t="shared" si="134"/>
        <v>-</v>
      </c>
      <c r="BL183" s="820">
        <v>42981</v>
      </c>
      <c r="BM183" s="821">
        <v>5</v>
      </c>
      <c r="BN183" s="822">
        <f t="shared" ca="1" si="135"/>
        <v>153</v>
      </c>
      <c r="BO183" s="823">
        <f t="shared" si="136"/>
        <v>64.8</v>
      </c>
      <c r="BP183" s="824"/>
      <c r="BQ183" s="821"/>
      <c r="BR183" s="822" t="str">
        <f t="shared" si="137"/>
        <v>-</v>
      </c>
      <c r="BS183" s="823" t="str">
        <f t="shared" si="138"/>
        <v>-</v>
      </c>
      <c r="BT183" s="825" t="str">
        <f t="shared" ca="1" si="139"/>
        <v>-</v>
      </c>
      <c r="BU183" s="826"/>
      <c r="BV183" s="827"/>
      <c r="BW183" s="828" t="str">
        <f t="shared" si="140"/>
        <v>Ж-Е НЕ ВАКЦ.</v>
      </c>
      <c r="BX183" s="829" t="str">
        <f t="shared" si="141"/>
        <v>-</v>
      </c>
      <c r="BY183" s="830" t="str">
        <f t="shared" ca="1" si="142"/>
        <v>-</v>
      </c>
      <c r="BZ183" s="831">
        <v>42887</v>
      </c>
      <c r="CA183" s="832">
        <v>5</v>
      </c>
      <c r="CB183" s="833">
        <f t="shared" ca="1" si="143"/>
        <v>247</v>
      </c>
      <c r="CC183" s="834" t="str">
        <f t="shared" ca="1" si="144"/>
        <v>-</v>
      </c>
      <c r="CD183" s="835">
        <f t="shared" si="145"/>
        <v>42908</v>
      </c>
      <c r="CE183" s="831">
        <v>42908</v>
      </c>
      <c r="CF183" s="832">
        <v>5</v>
      </c>
      <c r="CG183" s="833">
        <f t="shared" ca="1" si="146"/>
        <v>226</v>
      </c>
      <c r="CH183" s="836">
        <f t="shared" si="147"/>
        <v>0</v>
      </c>
      <c r="CI183" s="837" t="str">
        <f t="shared" si="148"/>
        <v>УСПЕШНО</v>
      </c>
      <c r="CJ183" s="838" t="str">
        <f t="shared" ca="1" si="149"/>
        <v>-</v>
      </c>
      <c r="CK183" s="831"/>
      <c r="CL183" s="832"/>
      <c r="CM183" s="833" t="str">
        <f t="shared" si="150"/>
        <v>-</v>
      </c>
      <c r="CN183" s="834" t="str">
        <f t="shared" si="151"/>
        <v>-</v>
      </c>
      <c r="CO183" s="830" t="str">
        <f t="shared" ca="1" si="152"/>
        <v>-</v>
      </c>
      <c r="CP183" s="839"/>
      <c r="CQ183" s="832"/>
      <c r="CR183" s="833" t="str">
        <f t="shared" si="153"/>
        <v>-</v>
      </c>
      <c r="CS183" s="833" t="str">
        <f t="shared" si="154"/>
        <v>-</v>
      </c>
      <c r="CT183" s="834" t="str">
        <f t="shared" si="155"/>
        <v>-</v>
      </c>
      <c r="CU183" s="835" t="str">
        <f t="shared" si="156"/>
        <v>-</v>
      </c>
      <c r="CV183" s="839"/>
      <c r="CW183" s="832"/>
      <c r="CX183" s="833" t="str">
        <f t="shared" si="157"/>
        <v>-</v>
      </c>
      <c r="CY183" s="840" t="str">
        <f t="shared" si="158"/>
        <v>-</v>
      </c>
      <c r="CZ183" s="833" t="str">
        <f t="shared" si="159"/>
        <v>-</v>
      </c>
      <c r="DA183" s="838" t="str">
        <f t="shared" ca="1" si="160"/>
        <v>-</v>
      </c>
      <c r="DB183" s="841"/>
      <c r="DC183" s="832"/>
    </row>
    <row r="184" spans="1:107" s="842" customFormat="1" ht="15.95" customHeight="1" x14ac:dyDescent="0.25">
      <c r="A184" s="790">
        <v>185</v>
      </c>
      <c r="B184" s="791">
        <f t="shared" ca="1" si="109"/>
        <v>43134</v>
      </c>
      <c r="C184" s="792" t="s">
        <v>613</v>
      </c>
      <c r="D184" s="793" t="s">
        <v>3201</v>
      </c>
      <c r="E184" s="794" t="s">
        <v>697</v>
      </c>
      <c r="F184" s="998" t="s">
        <v>698</v>
      </c>
      <c r="G184" s="796">
        <f>SUMIFS(МОЛОКО!L8:L6958,МОЛОКО!F8:F6958,"1741",МОЛОКО!L8:L6958,"&gt;0")</f>
        <v>10</v>
      </c>
      <c r="H184" s="797" t="s">
        <v>603</v>
      </c>
      <c r="I184" s="798">
        <v>41249</v>
      </c>
      <c r="J184" s="799">
        <f t="shared" ca="1" si="110"/>
        <v>5.1643835616438354</v>
      </c>
      <c r="K184" s="799">
        <f t="shared" ca="1" si="111"/>
        <v>62.833333333333336</v>
      </c>
      <c r="L184" s="800">
        <f t="shared" ca="1" si="112"/>
        <v>1885</v>
      </c>
      <c r="M184" s="801">
        <v>41896</v>
      </c>
      <c r="N184" s="802">
        <v>42749</v>
      </c>
      <c r="O184" s="803">
        <f t="shared" ca="1" si="113"/>
        <v>385</v>
      </c>
      <c r="P184" s="804">
        <v>3</v>
      </c>
      <c r="Q184" s="805" t="s">
        <v>2366</v>
      </c>
      <c r="R184" s="806" t="s">
        <v>2966</v>
      </c>
      <c r="S184" s="807">
        <v>42810</v>
      </c>
      <c r="T184" s="798">
        <v>42945</v>
      </c>
      <c r="U184" s="798" t="str">
        <f t="shared" si="114"/>
        <v>-</v>
      </c>
      <c r="V184" s="804" t="str">
        <f t="shared" ca="1" si="115"/>
        <v>-</v>
      </c>
      <c r="W184" s="808">
        <v>4</v>
      </c>
      <c r="X184" s="794">
        <f t="shared" si="161"/>
        <v>196</v>
      </c>
      <c r="Y184" s="794">
        <v>1</v>
      </c>
      <c r="Z184" s="809" t="str">
        <f t="shared" ca="1" si="116"/>
        <v>-----</v>
      </c>
      <c r="AA184" s="810" t="str">
        <f t="shared" ca="1" si="117"/>
        <v>-----</v>
      </c>
      <c r="AB184" s="804">
        <v>1</v>
      </c>
      <c r="AC184" s="811" t="str">
        <f t="shared" ca="1" si="118"/>
        <v>-----</v>
      </c>
      <c r="AD184" s="798">
        <v>43030</v>
      </c>
      <c r="AE184" s="794" t="str">
        <f t="shared" ca="1" si="119"/>
        <v>-</v>
      </c>
      <c r="AF184" s="798" t="str">
        <f t="shared" si="120"/>
        <v>-</v>
      </c>
      <c r="AG184" s="812" t="str">
        <f t="shared" si="121"/>
        <v>---------</v>
      </c>
      <c r="AH184" s="807">
        <v>42975</v>
      </c>
      <c r="AI184" s="807">
        <f t="shared" si="122"/>
        <v>43135</v>
      </c>
      <c r="AJ184" s="807">
        <f t="shared" si="123"/>
        <v>43165</v>
      </c>
      <c r="AK184" s="813"/>
      <c r="AL184" s="807">
        <f t="shared" si="124"/>
        <v>43204</v>
      </c>
      <c r="AM184" s="807">
        <f t="shared" si="125"/>
        <v>43225</v>
      </c>
      <c r="AN184" s="814">
        <f t="shared" ca="1" si="126"/>
        <v>-91</v>
      </c>
      <c r="AO184" s="815">
        <v>1</v>
      </c>
      <c r="AP184" s="816" t="str">
        <f t="shared" ca="1" si="127"/>
        <v>-</v>
      </c>
      <c r="AQ184" s="817"/>
      <c r="AR184" s="794" t="str">
        <f t="shared" si="128"/>
        <v>-</v>
      </c>
      <c r="AS184" s="818"/>
      <c r="AT184" s="794" t="str">
        <f t="shared" si="129"/>
        <v>-</v>
      </c>
      <c r="AU184" s="300" t="s">
        <v>2696</v>
      </c>
      <c r="AV184" s="820"/>
      <c r="AW184" s="821"/>
      <c r="AX184" s="821"/>
      <c r="AY184" s="969" t="str">
        <f t="shared" si="130"/>
        <v>-</v>
      </c>
      <c r="AZ184" s="966" t="str">
        <f t="shared" si="131"/>
        <v>-</v>
      </c>
      <c r="BA184" s="971" t="str">
        <f t="shared" si="132"/>
        <v>-</v>
      </c>
      <c r="BB184" s="975"/>
      <c r="BC184" s="821"/>
      <c r="BD184" s="821"/>
      <c r="BE184" s="963" t="str">
        <f t="shared" si="133"/>
        <v>-</v>
      </c>
      <c r="BF184" s="984"/>
      <c r="BG184" s="988"/>
      <c r="BH184" s="982"/>
      <c r="BI184" s="991"/>
      <c r="BJ184" s="991"/>
      <c r="BK184" s="993" t="str">
        <f t="shared" si="134"/>
        <v>-</v>
      </c>
      <c r="BL184" s="820">
        <v>42981</v>
      </c>
      <c r="BM184" s="821">
        <v>5</v>
      </c>
      <c r="BN184" s="822">
        <f t="shared" ca="1" si="135"/>
        <v>153</v>
      </c>
      <c r="BO184" s="823">
        <f t="shared" si="136"/>
        <v>57.733333333333334</v>
      </c>
      <c r="BP184" s="824"/>
      <c r="BQ184" s="821"/>
      <c r="BR184" s="822" t="str">
        <f t="shared" si="137"/>
        <v>-</v>
      </c>
      <c r="BS184" s="823" t="str">
        <f t="shared" si="138"/>
        <v>-</v>
      </c>
      <c r="BT184" s="825" t="str">
        <f t="shared" ca="1" si="139"/>
        <v>-</v>
      </c>
      <c r="BU184" s="826"/>
      <c r="BV184" s="827"/>
      <c r="BW184" s="828" t="str">
        <f t="shared" si="140"/>
        <v>Ж-Е НЕ ВАКЦ.</v>
      </c>
      <c r="BX184" s="829" t="str">
        <f t="shared" si="141"/>
        <v>-</v>
      </c>
      <c r="BY184" s="830" t="str">
        <f t="shared" ca="1" si="142"/>
        <v>-</v>
      </c>
      <c r="BZ184" s="831">
        <v>42887</v>
      </c>
      <c r="CA184" s="832">
        <v>5</v>
      </c>
      <c r="CB184" s="833">
        <f t="shared" ca="1" si="143"/>
        <v>247</v>
      </c>
      <c r="CC184" s="834" t="str">
        <f t="shared" ca="1" si="144"/>
        <v>-</v>
      </c>
      <c r="CD184" s="835">
        <f t="shared" si="145"/>
        <v>42908</v>
      </c>
      <c r="CE184" s="831">
        <v>42908</v>
      </c>
      <c r="CF184" s="832">
        <v>5</v>
      </c>
      <c r="CG184" s="833">
        <f t="shared" ca="1" si="146"/>
        <v>226</v>
      </c>
      <c r="CH184" s="836">
        <f t="shared" si="147"/>
        <v>0</v>
      </c>
      <c r="CI184" s="837" t="str">
        <f t="shared" si="148"/>
        <v>УСПЕШНО</v>
      </c>
      <c r="CJ184" s="838" t="str">
        <f t="shared" ca="1" si="149"/>
        <v>-</v>
      </c>
      <c r="CK184" s="831"/>
      <c r="CL184" s="832"/>
      <c r="CM184" s="833" t="str">
        <f t="shared" si="150"/>
        <v>-</v>
      </c>
      <c r="CN184" s="834" t="str">
        <f t="shared" si="151"/>
        <v>-</v>
      </c>
      <c r="CO184" s="830" t="str">
        <f t="shared" ca="1" si="152"/>
        <v>-</v>
      </c>
      <c r="CP184" s="839"/>
      <c r="CQ184" s="832"/>
      <c r="CR184" s="833" t="str">
        <f t="shared" si="153"/>
        <v>-</v>
      </c>
      <c r="CS184" s="833" t="str">
        <f t="shared" si="154"/>
        <v>-</v>
      </c>
      <c r="CT184" s="834" t="str">
        <f t="shared" si="155"/>
        <v>-</v>
      </c>
      <c r="CU184" s="835" t="str">
        <f t="shared" si="156"/>
        <v>-</v>
      </c>
      <c r="CV184" s="839"/>
      <c r="CW184" s="832"/>
      <c r="CX184" s="833" t="str">
        <f t="shared" si="157"/>
        <v>-</v>
      </c>
      <c r="CY184" s="840" t="str">
        <f t="shared" si="158"/>
        <v>-</v>
      </c>
      <c r="CZ184" s="833" t="str">
        <f t="shared" si="159"/>
        <v>-</v>
      </c>
      <c r="DA184" s="838" t="str">
        <f t="shared" ca="1" si="160"/>
        <v>-</v>
      </c>
      <c r="DB184" s="841"/>
      <c r="DC184" s="832"/>
    </row>
    <row r="185" spans="1:107" s="842" customFormat="1" ht="15.95" customHeight="1" x14ac:dyDescent="0.25">
      <c r="A185" s="790">
        <v>186</v>
      </c>
      <c r="B185" s="791">
        <f t="shared" ca="1" si="109"/>
        <v>43134</v>
      </c>
      <c r="C185" s="792" t="s">
        <v>613</v>
      </c>
      <c r="D185" s="793" t="s">
        <v>3201</v>
      </c>
      <c r="E185" s="794" t="s">
        <v>838</v>
      </c>
      <c r="F185" s="998" t="s">
        <v>839</v>
      </c>
      <c r="G185" s="796">
        <f>SUMIFS(МОЛОКО!L8:L6958,МОЛОКО!F8:F6958,"1778",МОЛОКО!L8:L6958,"&gt;0")</f>
        <v>4</v>
      </c>
      <c r="H185" s="797" t="s">
        <v>603</v>
      </c>
      <c r="I185" s="798">
        <v>41296</v>
      </c>
      <c r="J185" s="799">
        <f t="shared" ca="1" si="110"/>
        <v>5.0356164383561648</v>
      </c>
      <c r="K185" s="799">
        <f t="shared" ca="1" si="111"/>
        <v>61.266666666666666</v>
      </c>
      <c r="L185" s="800">
        <f t="shared" ca="1" si="112"/>
        <v>1838</v>
      </c>
      <c r="M185" s="801">
        <v>42040</v>
      </c>
      <c r="N185" s="802">
        <v>42489</v>
      </c>
      <c r="O185" s="803">
        <f t="shared" ca="1" si="113"/>
        <v>645</v>
      </c>
      <c r="P185" s="804">
        <v>2</v>
      </c>
      <c r="Q185" s="805" t="s">
        <v>1451</v>
      </c>
      <c r="R185" s="806" t="s">
        <v>1875</v>
      </c>
      <c r="S185" s="807">
        <v>42653</v>
      </c>
      <c r="T185" s="798">
        <v>42653</v>
      </c>
      <c r="U185" s="798" t="str">
        <f t="shared" si="114"/>
        <v>-</v>
      </c>
      <c r="V185" s="804" t="str">
        <f t="shared" ca="1" si="115"/>
        <v>-</v>
      </c>
      <c r="W185" s="808">
        <v>1</v>
      </c>
      <c r="X185" s="794">
        <f t="shared" si="161"/>
        <v>164</v>
      </c>
      <c r="Y185" s="794">
        <v>0</v>
      </c>
      <c r="Z185" s="809" t="str">
        <f t="shared" ca="1" si="116"/>
        <v>-----</v>
      </c>
      <c r="AA185" s="810">
        <f t="shared" ca="1" si="117"/>
        <v>481</v>
      </c>
      <c r="AB185" s="804"/>
      <c r="AC185" s="811" t="str">
        <f t="shared" ca="1" si="118"/>
        <v>-----</v>
      </c>
      <c r="AD185" s="798"/>
      <c r="AE185" s="794" t="str">
        <f t="shared" ca="1" si="119"/>
        <v>яловая</v>
      </c>
      <c r="AF185" s="798" t="str">
        <f t="shared" si="120"/>
        <v>-</v>
      </c>
      <c r="AG185" s="812" t="str">
        <f t="shared" si="121"/>
        <v>---------</v>
      </c>
      <c r="AH185" s="807">
        <v>42697</v>
      </c>
      <c r="AI185" s="807" t="str">
        <f t="shared" si="122"/>
        <v>-</v>
      </c>
      <c r="AJ185" s="807" t="str">
        <f t="shared" si="123"/>
        <v>-</v>
      </c>
      <c r="AK185" s="813"/>
      <c r="AL185" s="807" t="str">
        <f t="shared" si="124"/>
        <v>-</v>
      </c>
      <c r="AM185" s="807" t="str">
        <f t="shared" si="125"/>
        <v>-</v>
      </c>
      <c r="AN185" s="814" t="str">
        <f t="shared" ca="1" si="126"/>
        <v>-</v>
      </c>
      <c r="AO185" s="815">
        <v>1</v>
      </c>
      <c r="AP185" s="816" t="str">
        <f t="shared" ca="1" si="127"/>
        <v>БРАК</v>
      </c>
      <c r="AQ185" s="817" t="s">
        <v>1863</v>
      </c>
      <c r="AR185" s="794" t="str">
        <f t="shared" si="128"/>
        <v>-</v>
      </c>
      <c r="AS185" s="818"/>
      <c r="AT185" s="794" t="str">
        <f t="shared" si="129"/>
        <v>-</v>
      </c>
      <c r="AU185" s="300" t="s">
        <v>2696</v>
      </c>
      <c r="AV185" s="820"/>
      <c r="AW185" s="821"/>
      <c r="AX185" s="821"/>
      <c r="AY185" s="969" t="str">
        <f t="shared" si="130"/>
        <v>-</v>
      </c>
      <c r="AZ185" s="966" t="str">
        <f t="shared" si="131"/>
        <v>-</v>
      </c>
      <c r="BA185" s="971" t="str">
        <f t="shared" si="132"/>
        <v>-</v>
      </c>
      <c r="BB185" s="975"/>
      <c r="BC185" s="821"/>
      <c r="BD185" s="821"/>
      <c r="BE185" s="963" t="str">
        <f t="shared" si="133"/>
        <v>-</v>
      </c>
      <c r="BF185" s="984"/>
      <c r="BG185" s="988"/>
      <c r="BH185" s="982"/>
      <c r="BI185" s="991"/>
      <c r="BJ185" s="991"/>
      <c r="BK185" s="993" t="str">
        <f t="shared" si="134"/>
        <v>-</v>
      </c>
      <c r="BL185" s="820">
        <v>42981</v>
      </c>
      <c r="BM185" s="821">
        <v>5</v>
      </c>
      <c r="BN185" s="822">
        <f t="shared" ca="1" si="135"/>
        <v>153</v>
      </c>
      <c r="BO185" s="823">
        <f t="shared" si="136"/>
        <v>56.166666666666664</v>
      </c>
      <c r="BP185" s="824"/>
      <c r="BQ185" s="821"/>
      <c r="BR185" s="822" t="str">
        <f t="shared" si="137"/>
        <v>-</v>
      </c>
      <c r="BS185" s="823" t="str">
        <f t="shared" si="138"/>
        <v>-</v>
      </c>
      <c r="BT185" s="825" t="str">
        <f t="shared" ca="1" si="139"/>
        <v>-</v>
      </c>
      <c r="BU185" s="826"/>
      <c r="BV185" s="827"/>
      <c r="BW185" s="828" t="str">
        <f t="shared" si="140"/>
        <v>Ж-Е НЕ ВАКЦ.</v>
      </c>
      <c r="BX185" s="829" t="str">
        <f t="shared" si="141"/>
        <v>-</v>
      </c>
      <c r="BY185" s="830" t="str">
        <f t="shared" ca="1" si="142"/>
        <v>-</v>
      </c>
      <c r="BZ185" s="831">
        <v>42887</v>
      </c>
      <c r="CA185" s="832">
        <v>5</v>
      </c>
      <c r="CB185" s="833">
        <f t="shared" ca="1" si="143"/>
        <v>247</v>
      </c>
      <c r="CC185" s="834" t="str">
        <f t="shared" ca="1" si="144"/>
        <v>-</v>
      </c>
      <c r="CD185" s="835">
        <f t="shared" si="145"/>
        <v>42908</v>
      </c>
      <c r="CE185" s="831">
        <v>42908</v>
      </c>
      <c r="CF185" s="832">
        <v>5</v>
      </c>
      <c r="CG185" s="833">
        <f t="shared" ca="1" si="146"/>
        <v>226</v>
      </c>
      <c r="CH185" s="836">
        <f t="shared" si="147"/>
        <v>0</v>
      </c>
      <c r="CI185" s="837" t="str">
        <f t="shared" si="148"/>
        <v>УСПЕШНО</v>
      </c>
      <c r="CJ185" s="838" t="str">
        <f t="shared" ca="1" si="149"/>
        <v>-</v>
      </c>
      <c r="CK185" s="831"/>
      <c r="CL185" s="832"/>
      <c r="CM185" s="833" t="str">
        <f t="shared" si="150"/>
        <v>-</v>
      </c>
      <c r="CN185" s="834" t="str">
        <f t="shared" si="151"/>
        <v>-</v>
      </c>
      <c r="CO185" s="830" t="str">
        <f t="shared" ca="1" si="152"/>
        <v>-</v>
      </c>
      <c r="CP185" s="839"/>
      <c r="CQ185" s="832"/>
      <c r="CR185" s="833" t="str">
        <f t="shared" si="153"/>
        <v>-</v>
      </c>
      <c r="CS185" s="833" t="str">
        <f t="shared" si="154"/>
        <v>-</v>
      </c>
      <c r="CT185" s="834" t="str">
        <f t="shared" si="155"/>
        <v>-</v>
      </c>
      <c r="CU185" s="835" t="str">
        <f t="shared" si="156"/>
        <v>-</v>
      </c>
      <c r="CV185" s="839"/>
      <c r="CW185" s="832"/>
      <c r="CX185" s="833" t="str">
        <f t="shared" si="157"/>
        <v>-</v>
      </c>
      <c r="CY185" s="840" t="str">
        <f t="shared" si="158"/>
        <v>-</v>
      </c>
      <c r="CZ185" s="833" t="str">
        <f t="shared" si="159"/>
        <v>-</v>
      </c>
      <c r="DA185" s="838" t="str">
        <f t="shared" ca="1" si="160"/>
        <v>-</v>
      </c>
      <c r="DB185" s="841"/>
      <c r="DC185" s="832"/>
    </row>
    <row r="186" spans="1:107" s="842" customFormat="1" ht="15.95" customHeight="1" x14ac:dyDescent="0.25">
      <c r="A186" s="790">
        <v>187</v>
      </c>
      <c r="B186" s="791">
        <f t="shared" ca="1" si="109"/>
        <v>43134</v>
      </c>
      <c r="C186" s="29" t="s">
        <v>613</v>
      </c>
      <c r="D186" s="59" t="s">
        <v>3201</v>
      </c>
      <c r="E186" s="794" t="s">
        <v>156</v>
      </c>
      <c r="F186" s="854" t="s">
        <v>486</v>
      </c>
      <c r="G186" s="796">
        <f>SUMIFS(МОЛОКО!L8:L6958,МОЛОКО!F8:F6958,"1833",МОЛОКО!L8:L6958,"&gt;0")</f>
        <v>19</v>
      </c>
      <c r="H186" s="797" t="s">
        <v>603</v>
      </c>
      <c r="I186" s="798">
        <v>41379</v>
      </c>
      <c r="J186" s="799">
        <f t="shared" ca="1" si="110"/>
        <v>4.8082191780821919</v>
      </c>
      <c r="K186" s="799">
        <f t="shared" ca="1" si="111"/>
        <v>58.5</v>
      </c>
      <c r="L186" s="800">
        <f t="shared" ca="1" si="112"/>
        <v>1755</v>
      </c>
      <c r="M186" s="801">
        <v>42175</v>
      </c>
      <c r="N186" s="802">
        <v>42917</v>
      </c>
      <c r="O186" s="803">
        <f t="shared" ca="1" si="113"/>
        <v>217</v>
      </c>
      <c r="P186" s="804">
        <v>3</v>
      </c>
      <c r="Q186" s="805" t="s">
        <v>2366</v>
      </c>
      <c r="R186" s="806" t="s">
        <v>2962</v>
      </c>
      <c r="S186" s="807">
        <v>42978</v>
      </c>
      <c r="T186" s="798">
        <v>43020</v>
      </c>
      <c r="U186" s="798" t="str">
        <f t="shared" si="114"/>
        <v>-</v>
      </c>
      <c r="V186" s="804" t="str">
        <f t="shared" ca="1" si="115"/>
        <v>-</v>
      </c>
      <c r="W186" s="808">
        <v>2</v>
      </c>
      <c r="X186" s="794">
        <f t="shared" si="161"/>
        <v>103</v>
      </c>
      <c r="Y186" s="794">
        <v>1</v>
      </c>
      <c r="Z186" s="809" t="str">
        <f t="shared" ca="1" si="116"/>
        <v>ПОДЛЕЖИТ ПЕРЕПРОВЕРКЕ</v>
      </c>
      <c r="AA186" s="810">
        <f t="shared" ca="1" si="117"/>
        <v>114</v>
      </c>
      <c r="AB186" s="804"/>
      <c r="AC186" s="811">
        <f t="shared" ca="1" si="118"/>
        <v>43092</v>
      </c>
      <c r="AD186" s="798"/>
      <c r="AE186" s="794" t="str">
        <f t="shared" ca="1" si="119"/>
        <v>-</v>
      </c>
      <c r="AF186" s="798" t="str">
        <f t="shared" si="120"/>
        <v>-</v>
      </c>
      <c r="AG186" s="812" t="str">
        <f t="shared" si="121"/>
        <v>---------</v>
      </c>
      <c r="AH186" s="807">
        <v>43052</v>
      </c>
      <c r="AI186" s="807">
        <f t="shared" si="122"/>
        <v>43210</v>
      </c>
      <c r="AJ186" s="807">
        <f t="shared" si="123"/>
        <v>43240</v>
      </c>
      <c r="AK186" s="813"/>
      <c r="AL186" s="807">
        <f t="shared" si="124"/>
        <v>43279</v>
      </c>
      <c r="AM186" s="807">
        <f t="shared" si="125"/>
        <v>43300</v>
      </c>
      <c r="AN186" s="814">
        <f t="shared" ca="1" si="126"/>
        <v>-166</v>
      </c>
      <c r="AO186" s="815">
        <v>1</v>
      </c>
      <c r="AP186" s="816" t="str">
        <f t="shared" ca="1" si="127"/>
        <v>-</v>
      </c>
      <c r="AQ186" s="817"/>
      <c r="AR186" s="794" t="str">
        <f t="shared" si="128"/>
        <v>-</v>
      </c>
      <c r="AS186" s="818"/>
      <c r="AT186" s="794" t="str">
        <f t="shared" si="129"/>
        <v>-</v>
      </c>
      <c r="AU186" s="819">
        <v>1</v>
      </c>
      <c r="AV186" s="820"/>
      <c r="AW186" s="821"/>
      <c r="AX186" s="821"/>
      <c r="AY186" s="969" t="str">
        <f t="shared" si="130"/>
        <v>-</v>
      </c>
      <c r="AZ186" s="966" t="str">
        <f t="shared" si="131"/>
        <v>-</v>
      </c>
      <c r="BA186" s="971" t="str">
        <f t="shared" si="132"/>
        <v>-</v>
      </c>
      <c r="BB186" s="975"/>
      <c r="BC186" s="821"/>
      <c r="BD186" s="821"/>
      <c r="BE186" s="963" t="str">
        <f t="shared" si="133"/>
        <v>-</v>
      </c>
      <c r="BF186" s="984"/>
      <c r="BG186" s="988"/>
      <c r="BH186" s="982"/>
      <c r="BI186" s="991"/>
      <c r="BJ186" s="991"/>
      <c r="BK186" s="993" t="str">
        <f t="shared" si="134"/>
        <v>-</v>
      </c>
      <c r="BL186" s="820">
        <v>42979</v>
      </c>
      <c r="BM186" s="821">
        <v>5</v>
      </c>
      <c r="BN186" s="822">
        <f t="shared" ca="1" si="135"/>
        <v>155</v>
      </c>
      <c r="BO186" s="823">
        <f t="shared" si="136"/>
        <v>53.333333333333336</v>
      </c>
      <c r="BP186" s="824"/>
      <c r="BQ186" s="821"/>
      <c r="BR186" s="822" t="str">
        <f t="shared" si="137"/>
        <v>-</v>
      </c>
      <c r="BS186" s="823" t="str">
        <f t="shared" si="138"/>
        <v>-</v>
      </c>
      <c r="BT186" s="825" t="str">
        <f t="shared" ca="1" si="139"/>
        <v>-</v>
      </c>
      <c r="BU186" s="826"/>
      <c r="BV186" s="827"/>
      <c r="BW186" s="828" t="str">
        <f t="shared" si="140"/>
        <v>Ж-Е НЕ ВАКЦ.</v>
      </c>
      <c r="BX186" s="829" t="str">
        <f t="shared" si="141"/>
        <v>-</v>
      </c>
      <c r="BY186" s="830" t="str">
        <f t="shared" ca="1" si="142"/>
        <v>-</v>
      </c>
      <c r="BZ186" s="831">
        <v>42964</v>
      </c>
      <c r="CA186" s="832">
        <v>5</v>
      </c>
      <c r="CB186" s="833">
        <f t="shared" ca="1" si="143"/>
        <v>170</v>
      </c>
      <c r="CC186" s="834" t="str">
        <f t="shared" ca="1" si="144"/>
        <v>-</v>
      </c>
      <c r="CD186" s="835">
        <f t="shared" si="145"/>
        <v>42985</v>
      </c>
      <c r="CE186" s="831">
        <v>42985</v>
      </c>
      <c r="CF186" s="832">
        <v>5</v>
      </c>
      <c r="CG186" s="833">
        <f t="shared" ca="1" si="146"/>
        <v>149</v>
      </c>
      <c r="CH186" s="836">
        <f t="shared" si="147"/>
        <v>0</v>
      </c>
      <c r="CI186" s="837" t="str">
        <f t="shared" si="148"/>
        <v>УСПЕШНО</v>
      </c>
      <c r="CJ186" s="838" t="str">
        <f t="shared" ca="1" si="149"/>
        <v>-</v>
      </c>
      <c r="CK186" s="831"/>
      <c r="CL186" s="832"/>
      <c r="CM186" s="833" t="str">
        <f t="shared" si="150"/>
        <v>-</v>
      </c>
      <c r="CN186" s="834" t="str">
        <f t="shared" si="151"/>
        <v>-</v>
      </c>
      <c r="CO186" s="830" t="str">
        <f t="shared" ca="1" si="152"/>
        <v>-</v>
      </c>
      <c r="CP186" s="839"/>
      <c r="CQ186" s="832"/>
      <c r="CR186" s="833" t="str">
        <f t="shared" si="153"/>
        <v>-</v>
      </c>
      <c r="CS186" s="833" t="str">
        <f t="shared" si="154"/>
        <v>-</v>
      </c>
      <c r="CT186" s="834" t="str">
        <f t="shared" si="155"/>
        <v>-</v>
      </c>
      <c r="CU186" s="835" t="str">
        <f t="shared" si="156"/>
        <v>-</v>
      </c>
      <c r="CV186" s="839"/>
      <c r="CW186" s="832"/>
      <c r="CX186" s="833" t="str">
        <f t="shared" si="157"/>
        <v>-</v>
      </c>
      <c r="CY186" s="840" t="str">
        <f t="shared" si="158"/>
        <v>-</v>
      </c>
      <c r="CZ186" s="833" t="str">
        <f t="shared" si="159"/>
        <v>-</v>
      </c>
      <c r="DA186" s="838" t="str">
        <f t="shared" ca="1" si="160"/>
        <v>-</v>
      </c>
      <c r="DB186" s="841"/>
      <c r="DC186" s="832"/>
    </row>
    <row r="187" spans="1:107" s="842" customFormat="1" ht="15.95" customHeight="1" x14ac:dyDescent="0.25">
      <c r="A187" s="790">
        <v>188</v>
      </c>
      <c r="B187" s="791">
        <f t="shared" ca="1" si="109"/>
        <v>43134</v>
      </c>
      <c r="C187" s="792" t="s">
        <v>613</v>
      </c>
      <c r="D187" s="793" t="s">
        <v>3201</v>
      </c>
      <c r="E187" s="794" t="s">
        <v>1436</v>
      </c>
      <c r="F187" s="854" t="s">
        <v>1243</v>
      </c>
      <c r="G187" s="796">
        <f>SUMIFS(МОЛОКО!L8:L6958,МОЛОКО!F8:F6958,"1953",МОЛОКО!L8:L6958,"&gt;0")</f>
        <v>17</v>
      </c>
      <c r="H187" s="797" t="s">
        <v>603</v>
      </c>
      <c r="I187" s="798">
        <v>41527</v>
      </c>
      <c r="J187" s="799">
        <f t="shared" ca="1" si="110"/>
        <v>4.4027397260273968</v>
      </c>
      <c r="K187" s="799">
        <f t="shared" ca="1" si="111"/>
        <v>53.56666666666667</v>
      </c>
      <c r="L187" s="800">
        <f t="shared" ca="1" si="112"/>
        <v>1607</v>
      </c>
      <c r="M187" s="801">
        <v>42483</v>
      </c>
      <c r="N187" s="802">
        <v>42818</v>
      </c>
      <c r="O187" s="803">
        <f t="shared" ca="1" si="113"/>
        <v>316</v>
      </c>
      <c r="P187" s="804">
        <v>2</v>
      </c>
      <c r="Q187" s="68" t="s">
        <v>2366</v>
      </c>
      <c r="R187" s="118" t="s">
        <v>2966</v>
      </c>
      <c r="S187" s="807">
        <v>42880</v>
      </c>
      <c r="T187" s="798">
        <v>43030</v>
      </c>
      <c r="U187" s="798">
        <f t="shared" si="114"/>
        <v>43048</v>
      </c>
      <c r="V187" s="804">
        <f t="shared" ca="1" si="115"/>
        <v>86</v>
      </c>
      <c r="W187" s="808">
        <v>5</v>
      </c>
      <c r="X187" s="794">
        <f t="shared" si="161"/>
        <v>212</v>
      </c>
      <c r="Y187" s="794">
        <v>3</v>
      </c>
      <c r="Z187" s="809" t="str">
        <f t="shared" ca="1" si="116"/>
        <v>-----</v>
      </c>
      <c r="AA187" s="810">
        <f t="shared" ca="1" si="117"/>
        <v>104</v>
      </c>
      <c r="AB187" s="804"/>
      <c r="AC187" s="811" t="str">
        <f t="shared" ca="1" si="118"/>
        <v>-----</v>
      </c>
      <c r="AD187" s="798"/>
      <c r="AE187" s="794" t="str">
        <f t="shared" ca="1" si="119"/>
        <v>-</v>
      </c>
      <c r="AF187" s="798">
        <f t="shared" si="120"/>
        <v>43065</v>
      </c>
      <c r="AG187" s="812">
        <f t="shared" ca="1" si="121"/>
        <v>69</v>
      </c>
      <c r="AH187" s="807">
        <v>42989</v>
      </c>
      <c r="AI187" s="807" t="str">
        <f t="shared" si="122"/>
        <v>-</v>
      </c>
      <c r="AJ187" s="807" t="str">
        <f t="shared" si="123"/>
        <v>-</v>
      </c>
      <c r="AK187" s="813"/>
      <c r="AL187" s="807" t="str">
        <f t="shared" si="124"/>
        <v>-</v>
      </c>
      <c r="AM187" s="807" t="str">
        <f t="shared" si="125"/>
        <v>-</v>
      </c>
      <c r="AN187" s="814" t="str">
        <f t="shared" ca="1" si="126"/>
        <v>-</v>
      </c>
      <c r="AO187" s="815">
        <v>1</v>
      </c>
      <c r="AP187" s="816" t="str">
        <f t="shared" ca="1" si="127"/>
        <v>-</v>
      </c>
      <c r="AQ187" s="817"/>
      <c r="AR187" s="794" t="str">
        <f t="shared" si="128"/>
        <v>-</v>
      </c>
      <c r="AS187" s="818"/>
      <c r="AT187" s="794" t="str">
        <f t="shared" si="129"/>
        <v>-</v>
      </c>
      <c r="AU187" s="819">
        <v>1</v>
      </c>
      <c r="AV187" s="820"/>
      <c r="AW187" s="821"/>
      <c r="AX187" s="821"/>
      <c r="AY187" s="969" t="str">
        <f t="shared" si="130"/>
        <v>-</v>
      </c>
      <c r="AZ187" s="966" t="str">
        <f t="shared" si="131"/>
        <v>-</v>
      </c>
      <c r="BA187" s="971" t="str">
        <f t="shared" si="132"/>
        <v>-</v>
      </c>
      <c r="BB187" s="975"/>
      <c r="BC187" s="821"/>
      <c r="BD187" s="821"/>
      <c r="BE187" s="963" t="str">
        <f t="shared" si="133"/>
        <v>-</v>
      </c>
      <c r="BF187" s="984"/>
      <c r="BG187" s="988"/>
      <c r="BH187" s="982"/>
      <c r="BI187" s="991"/>
      <c r="BJ187" s="991"/>
      <c r="BK187" s="993" t="str">
        <f t="shared" si="134"/>
        <v>-</v>
      </c>
      <c r="BL187" s="820">
        <v>42979</v>
      </c>
      <c r="BM187" s="821">
        <v>5</v>
      </c>
      <c r="BN187" s="822">
        <f t="shared" ca="1" si="135"/>
        <v>155</v>
      </c>
      <c r="BO187" s="823">
        <f t="shared" si="136"/>
        <v>48.4</v>
      </c>
      <c r="BP187" s="824">
        <v>43001</v>
      </c>
      <c r="BQ187" s="821">
        <v>2</v>
      </c>
      <c r="BR187" s="822">
        <f t="shared" ca="1" si="137"/>
        <v>133</v>
      </c>
      <c r="BS187" s="823">
        <f t="shared" si="138"/>
        <v>17.266666666666666</v>
      </c>
      <c r="BT187" s="825" t="str">
        <f t="shared" ca="1" si="139"/>
        <v>-</v>
      </c>
      <c r="BU187" s="826"/>
      <c r="BV187" s="827"/>
      <c r="BW187" s="828" t="str">
        <f t="shared" si="140"/>
        <v>Ж-Е НЕ ВАКЦ.</v>
      </c>
      <c r="BX187" s="829" t="str">
        <f t="shared" si="141"/>
        <v>-</v>
      </c>
      <c r="BY187" s="830" t="str">
        <f t="shared" ca="1" si="142"/>
        <v>-</v>
      </c>
      <c r="BZ187" s="831">
        <v>42887</v>
      </c>
      <c r="CA187" s="832">
        <v>5</v>
      </c>
      <c r="CB187" s="833">
        <f t="shared" ca="1" si="143"/>
        <v>247</v>
      </c>
      <c r="CC187" s="834" t="str">
        <f t="shared" ca="1" si="144"/>
        <v>-</v>
      </c>
      <c r="CD187" s="835">
        <f t="shared" si="145"/>
        <v>42908</v>
      </c>
      <c r="CE187" s="831">
        <v>42908</v>
      </c>
      <c r="CF187" s="832">
        <v>5</v>
      </c>
      <c r="CG187" s="833">
        <f t="shared" ca="1" si="146"/>
        <v>226</v>
      </c>
      <c r="CH187" s="836">
        <f t="shared" si="147"/>
        <v>0</v>
      </c>
      <c r="CI187" s="837" t="str">
        <f t="shared" si="148"/>
        <v>УСПЕШНО</v>
      </c>
      <c r="CJ187" s="838" t="str">
        <f t="shared" ca="1" si="149"/>
        <v>-</v>
      </c>
      <c r="CK187" s="831"/>
      <c r="CL187" s="832"/>
      <c r="CM187" s="833" t="str">
        <f t="shared" si="150"/>
        <v>-</v>
      </c>
      <c r="CN187" s="834" t="str">
        <f t="shared" si="151"/>
        <v>-</v>
      </c>
      <c r="CO187" s="830" t="str">
        <f t="shared" ca="1" si="152"/>
        <v>-</v>
      </c>
      <c r="CP187" s="839"/>
      <c r="CQ187" s="832"/>
      <c r="CR187" s="833" t="str">
        <f t="shared" si="153"/>
        <v>-</v>
      </c>
      <c r="CS187" s="833" t="str">
        <f t="shared" si="154"/>
        <v>-</v>
      </c>
      <c r="CT187" s="834" t="str">
        <f t="shared" si="155"/>
        <v>-</v>
      </c>
      <c r="CU187" s="835" t="str">
        <f t="shared" si="156"/>
        <v>-</v>
      </c>
      <c r="CV187" s="839"/>
      <c r="CW187" s="832"/>
      <c r="CX187" s="833" t="str">
        <f t="shared" si="157"/>
        <v>-</v>
      </c>
      <c r="CY187" s="840" t="str">
        <f t="shared" si="158"/>
        <v>-</v>
      </c>
      <c r="CZ187" s="833" t="str">
        <f t="shared" si="159"/>
        <v>-</v>
      </c>
      <c r="DA187" s="838" t="str">
        <f t="shared" ca="1" si="160"/>
        <v>-</v>
      </c>
      <c r="DB187" s="841"/>
      <c r="DC187" s="832"/>
    </row>
    <row r="188" spans="1:107" s="842" customFormat="1" ht="15.95" customHeight="1" x14ac:dyDescent="0.25">
      <c r="A188" s="790">
        <v>189</v>
      </c>
      <c r="B188" s="791">
        <f t="shared" ca="1" si="109"/>
        <v>43134</v>
      </c>
      <c r="C188" s="792" t="s">
        <v>613</v>
      </c>
      <c r="D188" s="793" t="s">
        <v>3201</v>
      </c>
      <c r="E188" s="794" t="s">
        <v>932</v>
      </c>
      <c r="F188" s="854" t="s">
        <v>933</v>
      </c>
      <c r="G188" s="796">
        <f>SUMIFS(МОЛОКО!L8:L6958,МОЛОКО!F8:F6958,"1984",МОЛОКО!L8:L6958,"&gt;0")</f>
        <v>17.600000000000001</v>
      </c>
      <c r="H188" s="797" t="s">
        <v>603</v>
      </c>
      <c r="I188" s="798">
        <v>41560</v>
      </c>
      <c r="J188" s="799">
        <f t="shared" ca="1" si="110"/>
        <v>4.3123287671232875</v>
      </c>
      <c r="K188" s="799">
        <f t="shared" ca="1" si="111"/>
        <v>52.466666666666669</v>
      </c>
      <c r="L188" s="800">
        <f t="shared" ca="1" si="112"/>
        <v>1574</v>
      </c>
      <c r="M188" s="846">
        <v>42437</v>
      </c>
      <c r="N188" s="802">
        <v>42842</v>
      </c>
      <c r="O188" s="803">
        <f t="shared" ca="1" si="113"/>
        <v>292</v>
      </c>
      <c r="P188" s="804">
        <v>2</v>
      </c>
      <c r="Q188" s="805" t="s">
        <v>1451</v>
      </c>
      <c r="R188" s="806" t="s">
        <v>2962</v>
      </c>
      <c r="S188" s="807">
        <v>42901</v>
      </c>
      <c r="T188" s="798">
        <v>42959</v>
      </c>
      <c r="U188" s="798" t="str">
        <f t="shared" si="114"/>
        <v>-</v>
      </c>
      <c r="V188" s="804" t="str">
        <f t="shared" ca="1" si="115"/>
        <v>-</v>
      </c>
      <c r="W188" s="808">
        <v>4</v>
      </c>
      <c r="X188" s="794">
        <f t="shared" si="161"/>
        <v>117</v>
      </c>
      <c r="Y188" s="794">
        <v>1</v>
      </c>
      <c r="Z188" s="809" t="str">
        <f t="shared" ca="1" si="116"/>
        <v>-----</v>
      </c>
      <c r="AA188" s="810" t="str">
        <f t="shared" ca="1" si="117"/>
        <v>-----</v>
      </c>
      <c r="AB188" s="804">
        <v>1</v>
      </c>
      <c r="AC188" s="811" t="str">
        <f t="shared" ca="1" si="118"/>
        <v>-----</v>
      </c>
      <c r="AD188" s="798">
        <v>43042</v>
      </c>
      <c r="AE188" s="794" t="str">
        <f t="shared" ca="1" si="119"/>
        <v>-</v>
      </c>
      <c r="AF188" s="798" t="str">
        <f t="shared" si="120"/>
        <v>-</v>
      </c>
      <c r="AG188" s="812" t="str">
        <f t="shared" si="121"/>
        <v>---------</v>
      </c>
      <c r="AH188" s="807">
        <v>42989</v>
      </c>
      <c r="AI188" s="807">
        <f t="shared" si="122"/>
        <v>43149</v>
      </c>
      <c r="AJ188" s="807">
        <f t="shared" si="123"/>
        <v>43179</v>
      </c>
      <c r="AK188" s="813"/>
      <c r="AL188" s="807">
        <f t="shared" si="124"/>
        <v>43218</v>
      </c>
      <c r="AM188" s="807">
        <f t="shared" si="125"/>
        <v>43239</v>
      </c>
      <c r="AN188" s="814">
        <f t="shared" ca="1" si="126"/>
        <v>-105</v>
      </c>
      <c r="AO188" s="815">
        <v>1</v>
      </c>
      <c r="AP188" s="816" t="str">
        <f t="shared" ca="1" si="127"/>
        <v>-</v>
      </c>
      <c r="AQ188" s="817"/>
      <c r="AR188" s="794" t="str">
        <f t="shared" si="128"/>
        <v>-</v>
      </c>
      <c r="AS188" s="818"/>
      <c r="AT188" s="794" t="str">
        <f t="shared" si="129"/>
        <v>-</v>
      </c>
      <c r="AU188" s="819">
        <v>1</v>
      </c>
      <c r="AV188" s="820"/>
      <c r="AW188" s="821"/>
      <c r="AX188" s="821"/>
      <c r="AY188" s="969" t="str">
        <f t="shared" si="130"/>
        <v>-</v>
      </c>
      <c r="AZ188" s="966" t="str">
        <f t="shared" si="131"/>
        <v>-</v>
      </c>
      <c r="BA188" s="971" t="str">
        <f t="shared" si="132"/>
        <v>-</v>
      </c>
      <c r="BB188" s="975"/>
      <c r="BC188" s="821"/>
      <c r="BD188" s="821"/>
      <c r="BE188" s="963" t="str">
        <f t="shared" si="133"/>
        <v>-</v>
      </c>
      <c r="BF188" s="984"/>
      <c r="BG188" s="988"/>
      <c r="BH188" s="982"/>
      <c r="BI188" s="991"/>
      <c r="BJ188" s="991"/>
      <c r="BK188" s="993" t="str">
        <f t="shared" si="134"/>
        <v>-</v>
      </c>
      <c r="BL188" s="820">
        <v>42979</v>
      </c>
      <c r="BM188" s="821">
        <v>5</v>
      </c>
      <c r="BN188" s="822">
        <f t="shared" ca="1" si="135"/>
        <v>155</v>
      </c>
      <c r="BO188" s="823">
        <f t="shared" si="136"/>
        <v>47.3</v>
      </c>
      <c r="BP188" s="824">
        <v>43001</v>
      </c>
      <c r="BQ188" s="821">
        <v>2</v>
      </c>
      <c r="BR188" s="822">
        <f t="shared" ca="1" si="137"/>
        <v>133</v>
      </c>
      <c r="BS188" s="823">
        <f t="shared" si="138"/>
        <v>18.8</v>
      </c>
      <c r="BT188" s="825" t="str">
        <f t="shared" ca="1" si="139"/>
        <v>-</v>
      </c>
      <c r="BU188" s="826"/>
      <c r="BV188" s="827"/>
      <c r="BW188" s="828" t="str">
        <f t="shared" si="140"/>
        <v>Ж-Е НЕ ВАКЦ.</v>
      </c>
      <c r="BX188" s="829" t="str">
        <f t="shared" si="141"/>
        <v>-</v>
      </c>
      <c r="BY188" s="830" t="str">
        <f t="shared" ca="1" si="142"/>
        <v>-</v>
      </c>
      <c r="BZ188" s="831">
        <v>42887</v>
      </c>
      <c r="CA188" s="832">
        <v>5</v>
      </c>
      <c r="CB188" s="833">
        <f t="shared" ca="1" si="143"/>
        <v>247</v>
      </c>
      <c r="CC188" s="834" t="str">
        <f t="shared" ca="1" si="144"/>
        <v>-</v>
      </c>
      <c r="CD188" s="835">
        <f t="shared" si="145"/>
        <v>42908</v>
      </c>
      <c r="CE188" s="831">
        <v>42908</v>
      </c>
      <c r="CF188" s="832">
        <v>5</v>
      </c>
      <c r="CG188" s="833">
        <f t="shared" ca="1" si="146"/>
        <v>226</v>
      </c>
      <c r="CH188" s="836">
        <f t="shared" si="147"/>
        <v>0</v>
      </c>
      <c r="CI188" s="837" t="str">
        <f t="shared" si="148"/>
        <v>УСПЕШНО</v>
      </c>
      <c r="CJ188" s="838" t="str">
        <f t="shared" ca="1" si="149"/>
        <v>-</v>
      </c>
      <c r="CK188" s="831"/>
      <c r="CL188" s="832"/>
      <c r="CM188" s="833" t="str">
        <f t="shared" si="150"/>
        <v>-</v>
      </c>
      <c r="CN188" s="834" t="str">
        <f t="shared" si="151"/>
        <v>-</v>
      </c>
      <c r="CO188" s="830" t="str">
        <f t="shared" ca="1" si="152"/>
        <v>-</v>
      </c>
      <c r="CP188" s="839"/>
      <c r="CQ188" s="832"/>
      <c r="CR188" s="833" t="str">
        <f t="shared" si="153"/>
        <v>-</v>
      </c>
      <c r="CS188" s="833" t="str">
        <f t="shared" si="154"/>
        <v>-</v>
      </c>
      <c r="CT188" s="834" t="str">
        <f t="shared" si="155"/>
        <v>-</v>
      </c>
      <c r="CU188" s="835" t="str">
        <f t="shared" si="156"/>
        <v>-</v>
      </c>
      <c r="CV188" s="839"/>
      <c r="CW188" s="832"/>
      <c r="CX188" s="833" t="str">
        <f t="shared" si="157"/>
        <v>-</v>
      </c>
      <c r="CY188" s="840" t="str">
        <f t="shared" si="158"/>
        <v>-</v>
      </c>
      <c r="CZ188" s="833" t="str">
        <f t="shared" si="159"/>
        <v>-</v>
      </c>
      <c r="DA188" s="838" t="str">
        <f t="shared" ca="1" si="160"/>
        <v>-</v>
      </c>
      <c r="DB188" s="841"/>
      <c r="DC188" s="832"/>
    </row>
    <row r="189" spans="1:107" s="842" customFormat="1" ht="15.95" customHeight="1" x14ac:dyDescent="0.25">
      <c r="A189" s="790">
        <v>190</v>
      </c>
      <c r="B189" s="791">
        <f t="shared" ca="1" si="109"/>
        <v>43134</v>
      </c>
      <c r="C189" s="29" t="s">
        <v>613</v>
      </c>
      <c r="D189" s="59" t="s">
        <v>3201</v>
      </c>
      <c r="E189" s="794" t="s">
        <v>558</v>
      </c>
      <c r="F189" s="854" t="s">
        <v>559</v>
      </c>
      <c r="G189" s="796">
        <f>SUMIFS(МОЛОКО!L8:L6958,МОЛОКО!F8:F6958,"2009",МОЛОКО!L8:L6958,"&gt;0")</f>
        <v>13</v>
      </c>
      <c r="H189" s="797" t="s">
        <v>603</v>
      </c>
      <c r="I189" s="798">
        <v>41579</v>
      </c>
      <c r="J189" s="799">
        <f t="shared" ca="1" si="110"/>
        <v>4.2602739726027394</v>
      </c>
      <c r="K189" s="799">
        <f t="shared" ca="1" si="111"/>
        <v>51.833333333333336</v>
      </c>
      <c r="L189" s="800">
        <f t="shared" ca="1" si="112"/>
        <v>1555</v>
      </c>
      <c r="M189" s="801">
        <v>42363</v>
      </c>
      <c r="N189" s="802">
        <v>42824</v>
      </c>
      <c r="O189" s="803">
        <f t="shared" ca="1" si="113"/>
        <v>310</v>
      </c>
      <c r="P189" s="804">
        <v>2</v>
      </c>
      <c r="Q189" s="68" t="s">
        <v>1451</v>
      </c>
      <c r="R189" s="118" t="s">
        <v>2962</v>
      </c>
      <c r="S189" s="807">
        <v>42887</v>
      </c>
      <c r="T189" s="855">
        <v>43035</v>
      </c>
      <c r="U189" s="798">
        <f t="shared" si="114"/>
        <v>43053</v>
      </c>
      <c r="V189" s="804">
        <f t="shared" ca="1" si="115"/>
        <v>81</v>
      </c>
      <c r="W189" s="808">
        <v>6</v>
      </c>
      <c r="X189" s="794">
        <f t="shared" si="161"/>
        <v>211</v>
      </c>
      <c r="Y189" s="794">
        <v>3</v>
      </c>
      <c r="Z189" s="809" t="str">
        <f t="shared" ca="1" si="116"/>
        <v>-----</v>
      </c>
      <c r="AA189" s="810">
        <f t="shared" ca="1" si="117"/>
        <v>99</v>
      </c>
      <c r="AB189" s="804"/>
      <c r="AC189" s="811" t="str">
        <f t="shared" ca="1" si="118"/>
        <v>-----</v>
      </c>
      <c r="AD189" s="798"/>
      <c r="AE189" s="794" t="str">
        <f t="shared" ca="1" si="119"/>
        <v>-</v>
      </c>
      <c r="AF189" s="798">
        <f t="shared" si="120"/>
        <v>43070</v>
      </c>
      <c r="AG189" s="812">
        <f t="shared" ca="1" si="121"/>
        <v>64</v>
      </c>
      <c r="AH189" s="807">
        <v>43020</v>
      </c>
      <c r="AI189" s="807" t="str">
        <f t="shared" si="122"/>
        <v>-</v>
      </c>
      <c r="AJ189" s="807" t="str">
        <f t="shared" si="123"/>
        <v>-</v>
      </c>
      <c r="AK189" s="813"/>
      <c r="AL189" s="807" t="str">
        <f t="shared" si="124"/>
        <v>-</v>
      </c>
      <c r="AM189" s="807" t="str">
        <f t="shared" si="125"/>
        <v>-</v>
      </c>
      <c r="AN189" s="814" t="str">
        <f t="shared" ca="1" si="126"/>
        <v>-</v>
      </c>
      <c r="AO189" s="815">
        <v>1</v>
      </c>
      <c r="AP189" s="816" t="str">
        <f t="shared" ca="1" si="127"/>
        <v>-</v>
      </c>
      <c r="AQ189" s="441" t="s">
        <v>3491</v>
      </c>
      <c r="AR189" s="794" t="str">
        <f t="shared" si="128"/>
        <v>-</v>
      </c>
      <c r="AS189" s="818"/>
      <c r="AT189" s="794" t="str">
        <f t="shared" si="129"/>
        <v>-</v>
      </c>
      <c r="AU189" s="819">
        <v>1</v>
      </c>
      <c r="AV189" s="820"/>
      <c r="AW189" s="821"/>
      <c r="AX189" s="821"/>
      <c r="AY189" s="969" t="str">
        <f t="shared" si="130"/>
        <v>-</v>
      </c>
      <c r="AZ189" s="966" t="str">
        <f t="shared" si="131"/>
        <v>-</v>
      </c>
      <c r="BA189" s="971" t="str">
        <f t="shared" si="132"/>
        <v>-</v>
      </c>
      <c r="BB189" s="975"/>
      <c r="BC189" s="821"/>
      <c r="BD189" s="821"/>
      <c r="BE189" s="963" t="str">
        <f t="shared" si="133"/>
        <v>-</v>
      </c>
      <c r="BF189" s="984"/>
      <c r="BG189" s="988"/>
      <c r="BH189" s="982"/>
      <c r="BI189" s="991"/>
      <c r="BJ189" s="991"/>
      <c r="BK189" s="993" t="str">
        <f t="shared" si="134"/>
        <v>-</v>
      </c>
      <c r="BL189" s="820">
        <v>42981</v>
      </c>
      <c r="BM189" s="821">
        <v>5</v>
      </c>
      <c r="BN189" s="822">
        <f t="shared" ca="1" si="135"/>
        <v>153</v>
      </c>
      <c r="BO189" s="823">
        <f t="shared" si="136"/>
        <v>46.733333333333334</v>
      </c>
      <c r="BP189" s="824">
        <v>43001</v>
      </c>
      <c r="BQ189" s="821">
        <v>2</v>
      </c>
      <c r="BR189" s="822">
        <f t="shared" ca="1" si="137"/>
        <v>133</v>
      </c>
      <c r="BS189" s="823">
        <f t="shared" si="138"/>
        <v>21.266666666666666</v>
      </c>
      <c r="BT189" s="825" t="str">
        <f t="shared" ca="1" si="139"/>
        <v>-</v>
      </c>
      <c r="BU189" s="826"/>
      <c r="BV189" s="827"/>
      <c r="BW189" s="828" t="str">
        <f t="shared" si="140"/>
        <v>Ж-Е НЕ ВАКЦ.</v>
      </c>
      <c r="BX189" s="829" t="str">
        <f t="shared" si="141"/>
        <v>-</v>
      </c>
      <c r="BY189" s="830" t="str">
        <f t="shared" ca="1" si="142"/>
        <v>-</v>
      </c>
      <c r="BZ189" s="831">
        <v>42887</v>
      </c>
      <c r="CA189" s="832">
        <v>5</v>
      </c>
      <c r="CB189" s="833">
        <f t="shared" ca="1" si="143"/>
        <v>247</v>
      </c>
      <c r="CC189" s="834" t="str">
        <f t="shared" ca="1" si="144"/>
        <v>-</v>
      </c>
      <c r="CD189" s="835">
        <f t="shared" si="145"/>
        <v>42908</v>
      </c>
      <c r="CE189" s="831">
        <v>42908</v>
      </c>
      <c r="CF189" s="832">
        <v>5</v>
      </c>
      <c r="CG189" s="833">
        <f t="shared" ca="1" si="146"/>
        <v>226</v>
      </c>
      <c r="CH189" s="836">
        <f t="shared" si="147"/>
        <v>0</v>
      </c>
      <c r="CI189" s="837" t="str">
        <f t="shared" si="148"/>
        <v>УСПЕШНО</v>
      </c>
      <c r="CJ189" s="838" t="str">
        <f t="shared" ca="1" si="149"/>
        <v>-</v>
      </c>
      <c r="CK189" s="831"/>
      <c r="CL189" s="832"/>
      <c r="CM189" s="833" t="str">
        <f t="shared" si="150"/>
        <v>-</v>
      </c>
      <c r="CN189" s="834" t="str">
        <f t="shared" si="151"/>
        <v>-</v>
      </c>
      <c r="CO189" s="830" t="str">
        <f t="shared" ca="1" si="152"/>
        <v>-</v>
      </c>
      <c r="CP189" s="839"/>
      <c r="CQ189" s="832"/>
      <c r="CR189" s="833" t="str">
        <f t="shared" si="153"/>
        <v>-</v>
      </c>
      <c r="CS189" s="833" t="str">
        <f t="shared" si="154"/>
        <v>-</v>
      </c>
      <c r="CT189" s="834" t="str">
        <f t="shared" si="155"/>
        <v>-</v>
      </c>
      <c r="CU189" s="835" t="str">
        <f t="shared" si="156"/>
        <v>-</v>
      </c>
      <c r="CV189" s="839"/>
      <c r="CW189" s="832"/>
      <c r="CX189" s="833" t="str">
        <f t="shared" si="157"/>
        <v>-</v>
      </c>
      <c r="CY189" s="840" t="str">
        <f t="shared" si="158"/>
        <v>-</v>
      </c>
      <c r="CZ189" s="833" t="str">
        <f t="shared" si="159"/>
        <v>-</v>
      </c>
      <c r="DA189" s="838" t="str">
        <f t="shared" ca="1" si="160"/>
        <v>-</v>
      </c>
      <c r="DB189" s="841"/>
      <c r="DC189" s="832"/>
    </row>
    <row r="190" spans="1:107" s="842" customFormat="1" ht="15.95" customHeight="1" x14ac:dyDescent="0.25">
      <c r="A190" s="790">
        <v>191</v>
      </c>
      <c r="B190" s="791">
        <f t="shared" ca="1" si="109"/>
        <v>43134</v>
      </c>
      <c r="C190" s="792" t="s">
        <v>613</v>
      </c>
      <c r="D190" s="793" t="s">
        <v>3201</v>
      </c>
      <c r="E190" s="794" t="s">
        <v>697</v>
      </c>
      <c r="F190" s="854" t="s">
        <v>1142</v>
      </c>
      <c r="G190" s="796">
        <f>SUMIFS(МОЛОКО!L8:L6958,МОЛОКО!F8:F6958,"2090",МОЛОКО!L8:L6958,"&gt;0")</f>
        <v>17</v>
      </c>
      <c r="H190" s="797" t="s">
        <v>603</v>
      </c>
      <c r="I190" s="798">
        <v>41642</v>
      </c>
      <c r="J190" s="799">
        <f t="shared" ca="1" si="110"/>
        <v>4.087671232876712</v>
      </c>
      <c r="K190" s="799">
        <f t="shared" ca="1" si="111"/>
        <v>49.733333333333334</v>
      </c>
      <c r="L190" s="800">
        <f t="shared" ca="1" si="112"/>
        <v>1492</v>
      </c>
      <c r="M190" s="801">
        <v>42576</v>
      </c>
      <c r="N190" s="802">
        <v>42576</v>
      </c>
      <c r="O190" s="803">
        <f t="shared" ca="1" si="113"/>
        <v>558</v>
      </c>
      <c r="P190" s="804">
        <v>1</v>
      </c>
      <c r="Q190" s="805" t="s">
        <v>1451</v>
      </c>
      <c r="R190" s="806" t="s">
        <v>2294</v>
      </c>
      <c r="S190" s="807">
        <v>42650</v>
      </c>
      <c r="T190" s="798">
        <v>42762</v>
      </c>
      <c r="U190" s="798" t="str">
        <f t="shared" si="114"/>
        <v>-</v>
      </c>
      <c r="V190" s="804" t="str">
        <f t="shared" ca="1" si="115"/>
        <v>-</v>
      </c>
      <c r="W190" s="808">
        <v>4</v>
      </c>
      <c r="X190" s="794">
        <f t="shared" si="161"/>
        <v>186</v>
      </c>
      <c r="Y190" s="794">
        <v>0</v>
      </c>
      <c r="Z190" s="809" t="str">
        <f t="shared" ca="1" si="116"/>
        <v>-----</v>
      </c>
      <c r="AA190" s="810">
        <f t="shared" ca="1" si="117"/>
        <v>372</v>
      </c>
      <c r="AB190" s="804"/>
      <c r="AC190" s="811" t="str">
        <f t="shared" ca="1" si="118"/>
        <v>-----</v>
      </c>
      <c r="AD190" s="798"/>
      <c r="AE190" s="794" t="str">
        <f t="shared" ca="1" si="119"/>
        <v>яловая</v>
      </c>
      <c r="AF190" s="798" t="str">
        <f t="shared" si="120"/>
        <v>-</v>
      </c>
      <c r="AG190" s="812" t="str">
        <f t="shared" si="121"/>
        <v>---------</v>
      </c>
      <c r="AH190" s="807">
        <v>42804</v>
      </c>
      <c r="AI190" s="807" t="str">
        <f t="shared" si="122"/>
        <v>-</v>
      </c>
      <c r="AJ190" s="807" t="str">
        <f t="shared" si="123"/>
        <v>-</v>
      </c>
      <c r="AK190" s="813"/>
      <c r="AL190" s="807" t="str">
        <f t="shared" si="124"/>
        <v>-</v>
      </c>
      <c r="AM190" s="807" t="str">
        <f t="shared" si="125"/>
        <v>-</v>
      </c>
      <c r="AN190" s="814" t="str">
        <f t="shared" ca="1" si="126"/>
        <v>-</v>
      </c>
      <c r="AO190" s="815">
        <v>1</v>
      </c>
      <c r="AP190" s="816" t="str">
        <f t="shared" ca="1" si="127"/>
        <v>БРАК</v>
      </c>
      <c r="AQ190" s="817" t="s">
        <v>1863</v>
      </c>
      <c r="AR190" s="794" t="str">
        <f t="shared" si="128"/>
        <v>-</v>
      </c>
      <c r="AS190" s="818"/>
      <c r="AT190" s="794" t="str">
        <f t="shared" si="129"/>
        <v>-</v>
      </c>
      <c r="AU190" s="819">
        <v>1</v>
      </c>
      <c r="AV190" s="820"/>
      <c r="AW190" s="821"/>
      <c r="AX190" s="821"/>
      <c r="AY190" s="969" t="str">
        <f t="shared" si="130"/>
        <v>-</v>
      </c>
      <c r="AZ190" s="966" t="str">
        <f t="shared" si="131"/>
        <v>-</v>
      </c>
      <c r="BA190" s="971" t="str">
        <f t="shared" si="132"/>
        <v>-</v>
      </c>
      <c r="BB190" s="975"/>
      <c r="BC190" s="821"/>
      <c r="BD190" s="821"/>
      <c r="BE190" s="963" t="str">
        <f t="shared" si="133"/>
        <v>-</v>
      </c>
      <c r="BF190" s="984"/>
      <c r="BG190" s="988"/>
      <c r="BH190" s="982"/>
      <c r="BI190" s="991"/>
      <c r="BJ190" s="991"/>
      <c r="BK190" s="993" t="str">
        <f t="shared" si="134"/>
        <v>-</v>
      </c>
      <c r="BL190" s="820">
        <v>42981</v>
      </c>
      <c r="BM190" s="821">
        <v>5</v>
      </c>
      <c r="BN190" s="822">
        <f t="shared" ca="1" si="135"/>
        <v>153</v>
      </c>
      <c r="BO190" s="823">
        <f t="shared" si="136"/>
        <v>44.633333333333333</v>
      </c>
      <c r="BP190" s="824">
        <v>43001</v>
      </c>
      <c r="BQ190" s="821">
        <v>2</v>
      </c>
      <c r="BR190" s="822">
        <f t="shared" ca="1" si="137"/>
        <v>133</v>
      </c>
      <c r="BS190" s="823">
        <f t="shared" si="138"/>
        <v>14.166666666666666</v>
      </c>
      <c r="BT190" s="825" t="str">
        <f t="shared" ca="1" si="139"/>
        <v>-</v>
      </c>
      <c r="BU190" s="826"/>
      <c r="BV190" s="827"/>
      <c r="BW190" s="828" t="str">
        <f t="shared" si="140"/>
        <v>Ж-Е НЕ ВАКЦ.</v>
      </c>
      <c r="BX190" s="829" t="str">
        <f t="shared" si="141"/>
        <v>-</v>
      </c>
      <c r="BY190" s="830" t="str">
        <f t="shared" ca="1" si="142"/>
        <v>-</v>
      </c>
      <c r="BZ190" s="831">
        <v>42887</v>
      </c>
      <c r="CA190" s="832">
        <v>5</v>
      </c>
      <c r="CB190" s="833">
        <f t="shared" ca="1" si="143"/>
        <v>247</v>
      </c>
      <c r="CC190" s="834" t="str">
        <f t="shared" ca="1" si="144"/>
        <v>-</v>
      </c>
      <c r="CD190" s="835">
        <f t="shared" si="145"/>
        <v>42908</v>
      </c>
      <c r="CE190" s="831">
        <v>42908</v>
      </c>
      <c r="CF190" s="832">
        <v>5</v>
      </c>
      <c r="CG190" s="833">
        <f t="shared" ca="1" si="146"/>
        <v>226</v>
      </c>
      <c r="CH190" s="836">
        <f t="shared" si="147"/>
        <v>0</v>
      </c>
      <c r="CI190" s="837" t="str">
        <f t="shared" si="148"/>
        <v>УСПЕШНО</v>
      </c>
      <c r="CJ190" s="838" t="str">
        <f t="shared" ca="1" si="149"/>
        <v>-</v>
      </c>
      <c r="CK190" s="831"/>
      <c r="CL190" s="832"/>
      <c r="CM190" s="833" t="str">
        <f t="shared" si="150"/>
        <v>-</v>
      </c>
      <c r="CN190" s="834" t="str">
        <f t="shared" si="151"/>
        <v>-</v>
      </c>
      <c r="CO190" s="830" t="str">
        <f t="shared" ca="1" si="152"/>
        <v>-</v>
      </c>
      <c r="CP190" s="839"/>
      <c r="CQ190" s="832"/>
      <c r="CR190" s="833" t="str">
        <f t="shared" si="153"/>
        <v>-</v>
      </c>
      <c r="CS190" s="833" t="str">
        <f t="shared" si="154"/>
        <v>-</v>
      </c>
      <c r="CT190" s="834" t="str">
        <f t="shared" si="155"/>
        <v>-</v>
      </c>
      <c r="CU190" s="835" t="str">
        <f t="shared" si="156"/>
        <v>-</v>
      </c>
      <c r="CV190" s="839"/>
      <c r="CW190" s="832"/>
      <c r="CX190" s="833" t="str">
        <f t="shared" si="157"/>
        <v>-</v>
      </c>
      <c r="CY190" s="840" t="str">
        <f t="shared" si="158"/>
        <v>-</v>
      </c>
      <c r="CZ190" s="833" t="str">
        <f t="shared" si="159"/>
        <v>-</v>
      </c>
      <c r="DA190" s="838" t="str">
        <f t="shared" ca="1" si="160"/>
        <v>-</v>
      </c>
      <c r="DB190" s="841"/>
      <c r="DC190" s="832"/>
    </row>
    <row r="191" spans="1:107" s="842" customFormat="1" ht="15.95" customHeight="1" x14ac:dyDescent="0.25">
      <c r="A191" s="790">
        <v>192</v>
      </c>
      <c r="B191" s="791">
        <f t="shared" ca="1" si="109"/>
        <v>43134</v>
      </c>
      <c r="C191" s="792" t="s">
        <v>613</v>
      </c>
      <c r="D191" s="793" t="s">
        <v>3201</v>
      </c>
      <c r="E191" s="794" t="s">
        <v>1371</v>
      </c>
      <c r="F191" s="998" t="s">
        <v>1257</v>
      </c>
      <c r="G191" s="796">
        <f>SUMIFS(МОЛОКО!L8:L6958,МОЛОКО!F8:F6958,"2099",МОЛОКО!L8:L6958,"&gt;0")</f>
        <v>16</v>
      </c>
      <c r="H191" s="797" t="s">
        <v>603</v>
      </c>
      <c r="I191" s="798">
        <v>41651</v>
      </c>
      <c r="J191" s="799">
        <f t="shared" ca="1" si="110"/>
        <v>4.0630136986301366</v>
      </c>
      <c r="K191" s="799">
        <f t="shared" ca="1" si="111"/>
        <v>49.43333333333333</v>
      </c>
      <c r="L191" s="800">
        <f t="shared" ca="1" si="112"/>
        <v>1483</v>
      </c>
      <c r="M191" s="801">
        <v>42468</v>
      </c>
      <c r="N191" s="802">
        <v>42802</v>
      </c>
      <c r="O191" s="803">
        <f t="shared" ca="1" si="113"/>
        <v>332</v>
      </c>
      <c r="P191" s="804">
        <v>2</v>
      </c>
      <c r="Q191" s="805" t="s">
        <v>2366</v>
      </c>
      <c r="R191" s="806" t="s">
        <v>3020</v>
      </c>
      <c r="S191" s="807">
        <v>42874</v>
      </c>
      <c r="T191" s="798">
        <v>42964</v>
      </c>
      <c r="U191" s="798" t="str">
        <f t="shared" si="114"/>
        <v>-</v>
      </c>
      <c r="V191" s="804" t="str">
        <f t="shared" ca="1" si="115"/>
        <v>-</v>
      </c>
      <c r="W191" s="808">
        <v>3</v>
      </c>
      <c r="X191" s="794">
        <f t="shared" si="161"/>
        <v>162</v>
      </c>
      <c r="Y191" s="794">
        <v>1</v>
      </c>
      <c r="Z191" s="809" t="str">
        <f t="shared" ca="1" si="116"/>
        <v>-----</v>
      </c>
      <c r="AA191" s="810" t="str">
        <f t="shared" ca="1" si="117"/>
        <v>-----</v>
      </c>
      <c r="AB191" s="804">
        <v>1</v>
      </c>
      <c r="AC191" s="811" t="str">
        <f t="shared" ca="1" si="118"/>
        <v>-----</v>
      </c>
      <c r="AD191" s="798">
        <v>43042</v>
      </c>
      <c r="AE191" s="794" t="str">
        <f t="shared" ca="1" si="119"/>
        <v>-</v>
      </c>
      <c r="AF191" s="798" t="str">
        <f t="shared" si="120"/>
        <v>-</v>
      </c>
      <c r="AG191" s="812" t="str">
        <f t="shared" si="121"/>
        <v>---------</v>
      </c>
      <c r="AH191" s="807">
        <v>42996</v>
      </c>
      <c r="AI191" s="807">
        <f t="shared" si="122"/>
        <v>43154</v>
      </c>
      <c r="AJ191" s="807">
        <f t="shared" si="123"/>
        <v>43184</v>
      </c>
      <c r="AK191" s="813"/>
      <c r="AL191" s="807">
        <f t="shared" si="124"/>
        <v>43223</v>
      </c>
      <c r="AM191" s="807">
        <f t="shared" si="125"/>
        <v>43244</v>
      </c>
      <c r="AN191" s="814">
        <f t="shared" ca="1" si="126"/>
        <v>-110</v>
      </c>
      <c r="AO191" s="815">
        <v>1</v>
      </c>
      <c r="AP191" s="816" t="str">
        <f t="shared" ca="1" si="127"/>
        <v>-</v>
      </c>
      <c r="AQ191" s="817"/>
      <c r="AR191" s="794" t="str">
        <f t="shared" si="128"/>
        <v>-</v>
      </c>
      <c r="AS191" s="818"/>
      <c r="AT191" s="794" t="str">
        <f t="shared" si="129"/>
        <v>-</v>
      </c>
      <c r="AU191" s="300" t="s">
        <v>2696</v>
      </c>
      <c r="AV191" s="820"/>
      <c r="AW191" s="821"/>
      <c r="AX191" s="821"/>
      <c r="AY191" s="969" t="str">
        <f t="shared" si="130"/>
        <v>-</v>
      </c>
      <c r="AZ191" s="966" t="str">
        <f t="shared" si="131"/>
        <v>-</v>
      </c>
      <c r="BA191" s="971" t="str">
        <f t="shared" si="132"/>
        <v>-</v>
      </c>
      <c r="BB191" s="975"/>
      <c r="BC191" s="821"/>
      <c r="BD191" s="821"/>
      <c r="BE191" s="963" t="str">
        <f t="shared" si="133"/>
        <v>-</v>
      </c>
      <c r="BF191" s="984"/>
      <c r="BG191" s="988"/>
      <c r="BH191" s="982"/>
      <c r="BI191" s="991"/>
      <c r="BJ191" s="991"/>
      <c r="BK191" s="993" t="str">
        <f t="shared" si="134"/>
        <v>-</v>
      </c>
      <c r="BL191" s="820">
        <v>42981</v>
      </c>
      <c r="BM191" s="821">
        <v>5</v>
      </c>
      <c r="BN191" s="822">
        <f t="shared" ca="1" si="135"/>
        <v>153</v>
      </c>
      <c r="BO191" s="823">
        <f t="shared" si="136"/>
        <v>44.333333333333336</v>
      </c>
      <c r="BP191" s="824">
        <v>43001</v>
      </c>
      <c r="BQ191" s="821">
        <v>2</v>
      </c>
      <c r="BR191" s="822">
        <f t="shared" ca="1" si="137"/>
        <v>133</v>
      </c>
      <c r="BS191" s="823">
        <f t="shared" si="138"/>
        <v>17.766666666666666</v>
      </c>
      <c r="BT191" s="825" t="str">
        <f t="shared" ca="1" si="139"/>
        <v>-</v>
      </c>
      <c r="BU191" s="826"/>
      <c r="BV191" s="827"/>
      <c r="BW191" s="828" t="str">
        <f t="shared" si="140"/>
        <v>Ж-Е НЕ ВАКЦ.</v>
      </c>
      <c r="BX191" s="829" t="str">
        <f t="shared" si="141"/>
        <v>-</v>
      </c>
      <c r="BY191" s="830" t="str">
        <f t="shared" ca="1" si="142"/>
        <v>-</v>
      </c>
      <c r="BZ191" s="831">
        <v>42887</v>
      </c>
      <c r="CA191" s="832">
        <v>5</v>
      </c>
      <c r="CB191" s="833">
        <f t="shared" ca="1" si="143"/>
        <v>247</v>
      </c>
      <c r="CC191" s="834" t="str">
        <f t="shared" ca="1" si="144"/>
        <v>-</v>
      </c>
      <c r="CD191" s="835">
        <f t="shared" si="145"/>
        <v>42908</v>
      </c>
      <c r="CE191" s="831">
        <v>42908</v>
      </c>
      <c r="CF191" s="832">
        <v>5</v>
      </c>
      <c r="CG191" s="833">
        <f t="shared" ca="1" si="146"/>
        <v>226</v>
      </c>
      <c r="CH191" s="836">
        <f t="shared" si="147"/>
        <v>0</v>
      </c>
      <c r="CI191" s="837" t="str">
        <f t="shared" si="148"/>
        <v>УСПЕШНО</v>
      </c>
      <c r="CJ191" s="838" t="str">
        <f t="shared" ca="1" si="149"/>
        <v>-</v>
      </c>
      <c r="CK191" s="831"/>
      <c r="CL191" s="832"/>
      <c r="CM191" s="833" t="str">
        <f t="shared" si="150"/>
        <v>-</v>
      </c>
      <c r="CN191" s="834" t="str">
        <f t="shared" si="151"/>
        <v>-</v>
      </c>
      <c r="CO191" s="830" t="str">
        <f t="shared" ca="1" si="152"/>
        <v>-</v>
      </c>
      <c r="CP191" s="839"/>
      <c r="CQ191" s="832"/>
      <c r="CR191" s="833" t="str">
        <f t="shared" si="153"/>
        <v>-</v>
      </c>
      <c r="CS191" s="833" t="str">
        <f t="shared" si="154"/>
        <v>-</v>
      </c>
      <c r="CT191" s="834" t="str">
        <f t="shared" si="155"/>
        <v>-</v>
      </c>
      <c r="CU191" s="835" t="str">
        <f t="shared" si="156"/>
        <v>-</v>
      </c>
      <c r="CV191" s="839"/>
      <c r="CW191" s="832"/>
      <c r="CX191" s="833" t="str">
        <f t="shared" si="157"/>
        <v>-</v>
      </c>
      <c r="CY191" s="840" t="str">
        <f t="shared" si="158"/>
        <v>-</v>
      </c>
      <c r="CZ191" s="833" t="str">
        <f t="shared" si="159"/>
        <v>-</v>
      </c>
      <c r="DA191" s="838" t="str">
        <f t="shared" ca="1" si="160"/>
        <v>-</v>
      </c>
      <c r="DB191" s="841"/>
      <c r="DC191" s="832"/>
    </row>
    <row r="192" spans="1:107" s="842" customFormat="1" ht="15.95" customHeight="1" x14ac:dyDescent="0.25">
      <c r="A192" s="790">
        <v>193</v>
      </c>
      <c r="B192" s="791">
        <f t="shared" ca="1" si="109"/>
        <v>43134</v>
      </c>
      <c r="C192" s="792" t="s">
        <v>613</v>
      </c>
      <c r="D192" s="793" t="s">
        <v>3201</v>
      </c>
      <c r="E192" s="794" t="s">
        <v>1373</v>
      </c>
      <c r="F192" s="854" t="s">
        <v>1260</v>
      </c>
      <c r="G192" s="796">
        <f>SUMIFS(МОЛОКО!L8:L6958,МОЛОКО!F8:F6958,"2123",МОЛОКО!L8:L6958,"&gt;0")</f>
        <v>19.3</v>
      </c>
      <c r="H192" s="797" t="s">
        <v>603</v>
      </c>
      <c r="I192" s="798">
        <v>41672</v>
      </c>
      <c r="J192" s="799">
        <f t="shared" ca="1" si="110"/>
        <v>4.0054794520547947</v>
      </c>
      <c r="K192" s="799">
        <f t="shared" ca="1" si="111"/>
        <v>48.733333333333334</v>
      </c>
      <c r="L192" s="800">
        <f t="shared" ca="1" si="112"/>
        <v>1462</v>
      </c>
      <c r="M192" s="801">
        <v>42467</v>
      </c>
      <c r="N192" s="802">
        <v>42825</v>
      </c>
      <c r="O192" s="803">
        <f t="shared" ca="1" si="113"/>
        <v>309</v>
      </c>
      <c r="P192" s="804">
        <v>2</v>
      </c>
      <c r="Q192" s="805" t="s">
        <v>1451</v>
      </c>
      <c r="R192" s="806" t="s">
        <v>2335</v>
      </c>
      <c r="S192" s="807">
        <v>42887</v>
      </c>
      <c r="T192" s="798">
        <v>42887</v>
      </c>
      <c r="U192" s="798" t="str">
        <f t="shared" si="114"/>
        <v>-</v>
      </c>
      <c r="V192" s="804" t="str">
        <f t="shared" ca="1" si="115"/>
        <v>-</v>
      </c>
      <c r="W192" s="808">
        <v>1</v>
      </c>
      <c r="X192" s="794">
        <f t="shared" si="161"/>
        <v>62</v>
      </c>
      <c r="Y192" s="794">
        <v>1</v>
      </c>
      <c r="Z192" s="809" t="str">
        <f t="shared" ca="1" si="116"/>
        <v>-----</v>
      </c>
      <c r="AA192" s="810" t="str">
        <f t="shared" ca="1" si="117"/>
        <v>-----</v>
      </c>
      <c r="AB192" s="804">
        <v>1</v>
      </c>
      <c r="AC192" s="811" t="str">
        <f t="shared" ca="1" si="118"/>
        <v>-----</v>
      </c>
      <c r="AD192" s="798">
        <v>42955</v>
      </c>
      <c r="AE192" s="794" t="str">
        <f t="shared" ca="1" si="119"/>
        <v>-</v>
      </c>
      <c r="AF192" s="798" t="str">
        <f t="shared" si="120"/>
        <v>-</v>
      </c>
      <c r="AG192" s="812" t="str">
        <f t="shared" si="121"/>
        <v>---------</v>
      </c>
      <c r="AH192" s="807">
        <v>42919</v>
      </c>
      <c r="AI192" s="807">
        <f t="shared" si="122"/>
        <v>43077</v>
      </c>
      <c r="AJ192" s="807">
        <f t="shared" si="123"/>
        <v>43107</v>
      </c>
      <c r="AK192" s="813"/>
      <c r="AL192" s="807">
        <f t="shared" si="124"/>
        <v>43146</v>
      </c>
      <c r="AM192" s="807">
        <f t="shared" si="125"/>
        <v>43167</v>
      </c>
      <c r="AN192" s="814">
        <f t="shared" ca="1" si="126"/>
        <v>-33</v>
      </c>
      <c r="AO192" s="815">
        <v>1</v>
      </c>
      <c r="AP192" s="816" t="str">
        <f t="shared" ca="1" si="127"/>
        <v>-</v>
      </c>
      <c r="AQ192" s="817"/>
      <c r="AR192" s="794" t="str">
        <f t="shared" si="128"/>
        <v>-</v>
      </c>
      <c r="AS192" s="818"/>
      <c r="AT192" s="794" t="str">
        <f t="shared" si="129"/>
        <v>-</v>
      </c>
      <c r="AU192" s="819">
        <v>1</v>
      </c>
      <c r="AV192" s="820"/>
      <c r="AW192" s="821"/>
      <c r="AX192" s="821"/>
      <c r="AY192" s="969" t="str">
        <f t="shared" si="130"/>
        <v>-</v>
      </c>
      <c r="AZ192" s="966" t="str">
        <f t="shared" si="131"/>
        <v>-</v>
      </c>
      <c r="BA192" s="971" t="str">
        <f t="shared" si="132"/>
        <v>-</v>
      </c>
      <c r="BB192" s="975"/>
      <c r="BC192" s="821"/>
      <c r="BD192" s="821"/>
      <c r="BE192" s="963" t="str">
        <f t="shared" si="133"/>
        <v>-</v>
      </c>
      <c r="BF192" s="984"/>
      <c r="BG192" s="988"/>
      <c r="BH192" s="982"/>
      <c r="BI192" s="991"/>
      <c r="BJ192" s="991"/>
      <c r="BK192" s="993" t="str">
        <f t="shared" si="134"/>
        <v>-</v>
      </c>
      <c r="BL192" s="820">
        <v>42981</v>
      </c>
      <c r="BM192" s="821">
        <v>5</v>
      </c>
      <c r="BN192" s="822">
        <f t="shared" ca="1" si="135"/>
        <v>153</v>
      </c>
      <c r="BO192" s="823">
        <f t="shared" si="136"/>
        <v>43.633333333333333</v>
      </c>
      <c r="BP192" s="824">
        <v>43001</v>
      </c>
      <c r="BQ192" s="821">
        <v>2</v>
      </c>
      <c r="BR192" s="822">
        <f t="shared" ca="1" si="137"/>
        <v>133</v>
      </c>
      <c r="BS192" s="823">
        <f t="shared" si="138"/>
        <v>17.8</v>
      </c>
      <c r="BT192" s="825" t="str">
        <f t="shared" ca="1" si="139"/>
        <v>-</v>
      </c>
      <c r="BU192" s="826"/>
      <c r="BV192" s="827"/>
      <c r="BW192" s="828" t="str">
        <f t="shared" si="140"/>
        <v>Ж-Е НЕ ВАКЦ.</v>
      </c>
      <c r="BX192" s="829" t="str">
        <f t="shared" si="141"/>
        <v>-</v>
      </c>
      <c r="BY192" s="830" t="str">
        <f t="shared" ca="1" si="142"/>
        <v>-</v>
      </c>
      <c r="BZ192" s="831">
        <v>42887</v>
      </c>
      <c r="CA192" s="832">
        <v>5</v>
      </c>
      <c r="CB192" s="833">
        <f t="shared" ca="1" si="143"/>
        <v>247</v>
      </c>
      <c r="CC192" s="834" t="str">
        <f t="shared" ca="1" si="144"/>
        <v>-</v>
      </c>
      <c r="CD192" s="835">
        <f t="shared" si="145"/>
        <v>42908</v>
      </c>
      <c r="CE192" s="831">
        <v>42908</v>
      </c>
      <c r="CF192" s="832">
        <v>5</v>
      </c>
      <c r="CG192" s="833">
        <f t="shared" ca="1" si="146"/>
        <v>226</v>
      </c>
      <c r="CH192" s="836">
        <f t="shared" si="147"/>
        <v>0</v>
      </c>
      <c r="CI192" s="837" t="str">
        <f t="shared" si="148"/>
        <v>УСПЕШНО</v>
      </c>
      <c r="CJ192" s="838" t="str">
        <f t="shared" ca="1" si="149"/>
        <v>-</v>
      </c>
      <c r="CK192" s="831"/>
      <c r="CL192" s="832"/>
      <c r="CM192" s="833" t="str">
        <f t="shared" si="150"/>
        <v>-</v>
      </c>
      <c r="CN192" s="834" t="str">
        <f t="shared" si="151"/>
        <v>-</v>
      </c>
      <c r="CO192" s="830" t="str">
        <f t="shared" ca="1" si="152"/>
        <v>ТРЕБУЕТСЯ ВАКЦИНАЦИЯ</v>
      </c>
      <c r="CP192" s="839"/>
      <c r="CQ192" s="832"/>
      <c r="CR192" s="833" t="str">
        <f t="shared" si="153"/>
        <v>-</v>
      </c>
      <c r="CS192" s="833" t="str">
        <f t="shared" si="154"/>
        <v>-</v>
      </c>
      <c r="CT192" s="834" t="str">
        <f t="shared" si="155"/>
        <v>-</v>
      </c>
      <c r="CU192" s="835" t="str">
        <f t="shared" si="156"/>
        <v>-</v>
      </c>
      <c r="CV192" s="839"/>
      <c r="CW192" s="832"/>
      <c r="CX192" s="833" t="str">
        <f t="shared" si="157"/>
        <v>-</v>
      </c>
      <c r="CY192" s="840" t="str">
        <f t="shared" si="158"/>
        <v>-</v>
      </c>
      <c r="CZ192" s="833" t="str">
        <f t="shared" si="159"/>
        <v>-</v>
      </c>
      <c r="DA192" s="838" t="str">
        <f t="shared" ca="1" si="160"/>
        <v>-</v>
      </c>
      <c r="DB192" s="841"/>
      <c r="DC192" s="832"/>
    </row>
    <row r="193" spans="1:107" s="842" customFormat="1" ht="15.95" customHeight="1" x14ac:dyDescent="0.25">
      <c r="A193" s="790">
        <v>194</v>
      </c>
      <c r="B193" s="791">
        <f t="shared" ca="1" si="109"/>
        <v>43134</v>
      </c>
      <c r="C193" s="792" t="s">
        <v>613</v>
      </c>
      <c r="D193" s="793" t="s">
        <v>3201</v>
      </c>
      <c r="E193" s="794" t="s">
        <v>1374</v>
      </c>
      <c r="F193" s="854" t="s">
        <v>1261</v>
      </c>
      <c r="G193" s="796">
        <f>SUMIFS(МОЛОКО!L8:L6958,МОЛОКО!F8:F6958,"2129",МОЛОКО!L8:L6958,"&gt;0")</f>
        <v>24.4</v>
      </c>
      <c r="H193" s="797" t="s">
        <v>603</v>
      </c>
      <c r="I193" s="798">
        <v>41678</v>
      </c>
      <c r="J193" s="799">
        <f t="shared" ca="1" si="110"/>
        <v>3.989041095890411</v>
      </c>
      <c r="K193" s="799">
        <f t="shared" ca="1" si="111"/>
        <v>48.533333333333331</v>
      </c>
      <c r="L193" s="800">
        <f t="shared" ca="1" si="112"/>
        <v>1456</v>
      </c>
      <c r="M193" s="801">
        <v>42473</v>
      </c>
      <c r="N193" s="802">
        <v>42829</v>
      </c>
      <c r="O193" s="803">
        <f t="shared" ca="1" si="113"/>
        <v>305</v>
      </c>
      <c r="P193" s="804">
        <v>2</v>
      </c>
      <c r="Q193" s="68" t="s">
        <v>2366</v>
      </c>
      <c r="R193" s="118" t="s">
        <v>3020</v>
      </c>
      <c r="S193" s="807">
        <v>42894</v>
      </c>
      <c r="T193" s="798">
        <v>43056</v>
      </c>
      <c r="U193" s="798">
        <f t="shared" si="114"/>
        <v>43074</v>
      </c>
      <c r="V193" s="804">
        <f t="shared" ca="1" si="115"/>
        <v>60</v>
      </c>
      <c r="W193" s="808">
        <v>3</v>
      </c>
      <c r="X193" s="794">
        <f t="shared" si="161"/>
        <v>227</v>
      </c>
      <c r="Y193" s="794">
        <v>3</v>
      </c>
      <c r="Z193" s="809" t="str">
        <f t="shared" ca="1" si="116"/>
        <v>-----</v>
      </c>
      <c r="AA193" s="810">
        <f t="shared" ca="1" si="117"/>
        <v>78</v>
      </c>
      <c r="AB193" s="804">
        <v>0</v>
      </c>
      <c r="AC193" s="811" t="str">
        <f t="shared" ca="1" si="118"/>
        <v>-----</v>
      </c>
      <c r="AD193" s="798">
        <v>43042</v>
      </c>
      <c r="AE193" s="794" t="str">
        <f t="shared" ca="1" si="119"/>
        <v>-</v>
      </c>
      <c r="AF193" s="798">
        <f t="shared" si="120"/>
        <v>43091</v>
      </c>
      <c r="AG193" s="812">
        <f t="shared" ca="1" si="121"/>
        <v>43</v>
      </c>
      <c r="AH193" s="807">
        <v>42989</v>
      </c>
      <c r="AI193" s="807" t="str">
        <f t="shared" si="122"/>
        <v>-</v>
      </c>
      <c r="AJ193" s="807" t="str">
        <f t="shared" si="123"/>
        <v>-</v>
      </c>
      <c r="AK193" s="813"/>
      <c r="AL193" s="807" t="str">
        <f t="shared" si="124"/>
        <v>-</v>
      </c>
      <c r="AM193" s="807" t="str">
        <f t="shared" si="125"/>
        <v>-</v>
      </c>
      <c r="AN193" s="814" t="str">
        <f t="shared" ca="1" si="126"/>
        <v>-</v>
      </c>
      <c r="AO193" s="815">
        <v>1</v>
      </c>
      <c r="AP193" s="816" t="str">
        <f t="shared" ca="1" si="127"/>
        <v>-</v>
      </c>
      <c r="AQ193" s="817"/>
      <c r="AR193" s="794" t="str">
        <f t="shared" si="128"/>
        <v>-</v>
      </c>
      <c r="AS193" s="818"/>
      <c r="AT193" s="794" t="str">
        <f t="shared" si="129"/>
        <v>-</v>
      </c>
      <c r="AU193" s="819">
        <v>1</v>
      </c>
      <c r="AV193" s="820"/>
      <c r="AW193" s="821"/>
      <c r="AX193" s="821"/>
      <c r="AY193" s="969" t="str">
        <f t="shared" si="130"/>
        <v>-</v>
      </c>
      <c r="AZ193" s="966" t="str">
        <f t="shared" si="131"/>
        <v>-</v>
      </c>
      <c r="BA193" s="971" t="str">
        <f t="shared" si="132"/>
        <v>-</v>
      </c>
      <c r="BB193" s="975"/>
      <c r="BC193" s="821"/>
      <c r="BD193" s="821"/>
      <c r="BE193" s="963" t="str">
        <f t="shared" si="133"/>
        <v>-</v>
      </c>
      <c r="BF193" s="984"/>
      <c r="BG193" s="988"/>
      <c r="BH193" s="982"/>
      <c r="BI193" s="991"/>
      <c r="BJ193" s="991"/>
      <c r="BK193" s="993" t="str">
        <f t="shared" si="134"/>
        <v>-</v>
      </c>
      <c r="BL193" s="820">
        <v>42981</v>
      </c>
      <c r="BM193" s="821">
        <v>5</v>
      </c>
      <c r="BN193" s="822">
        <f t="shared" ca="1" si="135"/>
        <v>153</v>
      </c>
      <c r="BO193" s="823">
        <f t="shared" si="136"/>
        <v>43.43333333333333</v>
      </c>
      <c r="BP193" s="824">
        <v>43001</v>
      </c>
      <c r="BQ193" s="821">
        <v>2</v>
      </c>
      <c r="BR193" s="822">
        <f t="shared" ca="1" si="137"/>
        <v>133</v>
      </c>
      <c r="BS193" s="823">
        <f t="shared" si="138"/>
        <v>17.600000000000001</v>
      </c>
      <c r="BT193" s="825" t="str">
        <f t="shared" ca="1" si="139"/>
        <v>-</v>
      </c>
      <c r="BU193" s="826"/>
      <c r="BV193" s="827"/>
      <c r="BW193" s="828" t="str">
        <f t="shared" si="140"/>
        <v>Ж-Е НЕ ВАКЦ.</v>
      </c>
      <c r="BX193" s="829" t="str">
        <f t="shared" si="141"/>
        <v>-</v>
      </c>
      <c r="BY193" s="830" t="str">
        <f t="shared" ca="1" si="142"/>
        <v>-</v>
      </c>
      <c r="BZ193" s="831">
        <v>42887</v>
      </c>
      <c r="CA193" s="832">
        <v>5</v>
      </c>
      <c r="CB193" s="833">
        <f t="shared" ca="1" si="143"/>
        <v>247</v>
      </c>
      <c r="CC193" s="834" t="str">
        <f t="shared" ca="1" si="144"/>
        <v>-</v>
      </c>
      <c r="CD193" s="835">
        <f t="shared" si="145"/>
        <v>42908</v>
      </c>
      <c r="CE193" s="831">
        <v>42908</v>
      </c>
      <c r="CF193" s="832">
        <v>5</v>
      </c>
      <c r="CG193" s="833">
        <f t="shared" ca="1" si="146"/>
        <v>226</v>
      </c>
      <c r="CH193" s="836">
        <f t="shared" si="147"/>
        <v>0</v>
      </c>
      <c r="CI193" s="837" t="str">
        <f t="shared" si="148"/>
        <v>УСПЕШНО</v>
      </c>
      <c r="CJ193" s="838" t="str">
        <f t="shared" ca="1" si="149"/>
        <v>-</v>
      </c>
      <c r="CK193" s="831"/>
      <c r="CL193" s="832"/>
      <c r="CM193" s="833" t="str">
        <f t="shared" si="150"/>
        <v>-</v>
      </c>
      <c r="CN193" s="834" t="str">
        <f t="shared" si="151"/>
        <v>-</v>
      </c>
      <c r="CO193" s="830" t="str">
        <f t="shared" ca="1" si="152"/>
        <v>-</v>
      </c>
      <c r="CP193" s="839"/>
      <c r="CQ193" s="832"/>
      <c r="CR193" s="833" t="str">
        <f t="shared" si="153"/>
        <v>-</v>
      </c>
      <c r="CS193" s="833" t="str">
        <f t="shared" si="154"/>
        <v>-</v>
      </c>
      <c r="CT193" s="834" t="str">
        <f t="shared" si="155"/>
        <v>-</v>
      </c>
      <c r="CU193" s="835" t="str">
        <f t="shared" si="156"/>
        <v>-</v>
      </c>
      <c r="CV193" s="839"/>
      <c r="CW193" s="832"/>
      <c r="CX193" s="833" t="str">
        <f t="shared" si="157"/>
        <v>-</v>
      </c>
      <c r="CY193" s="840" t="str">
        <f t="shared" si="158"/>
        <v>-</v>
      </c>
      <c r="CZ193" s="833" t="str">
        <f t="shared" si="159"/>
        <v>-</v>
      </c>
      <c r="DA193" s="838" t="str">
        <f t="shared" ca="1" si="160"/>
        <v>-</v>
      </c>
      <c r="DB193" s="841"/>
      <c r="DC193" s="832"/>
    </row>
    <row r="194" spans="1:107" s="842" customFormat="1" ht="15.95" customHeight="1" x14ac:dyDescent="0.25">
      <c r="A194" s="790">
        <v>195</v>
      </c>
      <c r="B194" s="791">
        <f t="shared" ca="1" si="109"/>
        <v>43134</v>
      </c>
      <c r="C194" s="792" t="s">
        <v>613</v>
      </c>
      <c r="D194" s="793" t="s">
        <v>3201</v>
      </c>
      <c r="E194" s="794" t="s">
        <v>1279</v>
      </c>
      <c r="F194" s="854" t="s">
        <v>1152</v>
      </c>
      <c r="G194" s="796">
        <f>SUMIFS(МОЛОКО!L8:L6958,МОЛОКО!F8:F6958,"2148",МОЛОКО!L8:L6958,"&gt;0")</f>
        <v>13</v>
      </c>
      <c r="H194" s="797" t="s">
        <v>603</v>
      </c>
      <c r="I194" s="798">
        <v>41698</v>
      </c>
      <c r="J194" s="799">
        <f t="shared" ca="1" si="110"/>
        <v>3.9342465753424656</v>
      </c>
      <c r="K194" s="799">
        <f t="shared" ca="1" si="111"/>
        <v>47.866666666666667</v>
      </c>
      <c r="L194" s="800">
        <f t="shared" ca="1" si="112"/>
        <v>1436</v>
      </c>
      <c r="M194" s="801">
        <v>42485</v>
      </c>
      <c r="N194" s="802">
        <v>42830</v>
      </c>
      <c r="O194" s="803">
        <f t="shared" ca="1" si="113"/>
        <v>304</v>
      </c>
      <c r="P194" s="804">
        <v>2</v>
      </c>
      <c r="Q194" s="805" t="s">
        <v>2366</v>
      </c>
      <c r="R194" s="806" t="s">
        <v>2670</v>
      </c>
      <c r="S194" s="807">
        <v>42894</v>
      </c>
      <c r="T194" s="798">
        <v>42894</v>
      </c>
      <c r="U194" s="798" t="str">
        <f t="shared" si="114"/>
        <v>-</v>
      </c>
      <c r="V194" s="804" t="str">
        <f t="shared" ca="1" si="115"/>
        <v>-</v>
      </c>
      <c r="W194" s="808">
        <v>1</v>
      </c>
      <c r="X194" s="794">
        <f t="shared" si="161"/>
        <v>64</v>
      </c>
      <c r="Y194" s="794">
        <v>1</v>
      </c>
      <c r="Z194" s="809" t="str">
        <f t="shared" ca="1" si="116"/>
        <v>-----</v>
      </c>
      <c r="AA194" s="810" t="str">
        <f t="shared" ca="1" si="117"/>
        <v>-----</v>
      </c>
      <c r="AB194" s="804">
        <v>1</v>
      </c>
      <c r="AC194" s="811" t="str">
        <f t="shared" ca="1" si="118"/>
        <v>-----</v>
      </c>
      <c r="AD194" s="798">
        <v>42955</v>
      </c>
      <c r="AE194" s="794" t="str">
        <f t="shared" ca="1" si="119"/>
        <v>-</v>
      </c>
      <c r="AF194" s="798" t="str">
        <f t="shared" si="120"/>
        <v>-</v>
      </c>
      <c r="AG194" s="812" t="str">
        <f t="shared" si="121"/>
        <v>---------</v>
      </c>
      <c r="AH194" s="807">
        <v>42925</v>
      </c>
      <c r="AI194" s="807">
        <f t="shared" si="122"/>
        <v>43084</v>
      </c>
      <c r="AJ194" s="807">
        <f t="shared" si="123"/>
        <v>43114</v>
      </c>
      <c r="AK194" s="813"/>
      <c r="AL194" s="807">
        <f t="shared" si="124"/>
        <v>43153</v>
      </c>
      <c r="AM194" s="807">
        <f t="shared" si="125"/>
        <v>43174</v>
      </c>
      <c r="AN194" s="814">
        <f t="shared" ca="1" si="126"/>
        <v>-40</v>
      </c>
      <c r="AO194" s="815">
        <v>1</v>
      </c>
      <c r="AP194" s="816" t="str">
        <f t="shared" ca="1" si="127"/>
        <v>-</v>
      </c>
      <c r="AQ194" s="817"/>
      <c r="AR194" s="794" t="str">
        <f t="shared" si="128"/>
        <v>-</v>
      </c>
      <c r="AS194" s="818"/>
      <c r="AT194" s="794" t="str">
        <f t="shared" si="129"/>
        <v>-</v>
      </c>
      <c r="AU194" s="819">
        <v>1</v>
      </c>
      <c r="AV194" s="820"/>
      <c r="AW194" s="821"/>
      <c r="AX194" s="821"/>
      <c r="AY194" s="969" t="str">
        <f t="shared" si="130"/>
        <v>-</v>
      </c>
      <c r="AZ194" s="966" t="str">
        <f t="shared" si="131"/>
        <v>-</v>
      </c>
      <c r="BA194" s="971" t="str">
        <f t="shared" si="132"/>
        <v>-</v>
      </c>
      <c r="BB194" s="975"/>
      <c r="BC194" s="821"/>
      <c r="BD194" s="821"/>
      <c r="BE194" s="963" t="str">
        <f t="shared" si="133"/>
        <v>-</v>
      </c>
      <c r="BF194" s="984"/>
      <c r="BG194" s="988"/>
      <c r="BH194" s="982"/>
      <c r="BI194" s="991"/>
      <c r="BJ194" s="991"/>
      <c r="BK194" s="993" t="str">
        <f t="shared" si="134"/>
        <v>-</v>
      </c>
      <c r="BL194" s="820">
        <v>42981</v>
      </c>
      <c r="BM194" s="821">
        <v>5</v>
      </c>
      <c r="BN194" s="822">
        <f t="shared" ca="1" si="135"/>
        <v>153</v>
      </c>
      <c r="BO194" s="823">
        <f t="shared" si="136"/>
        <v>42.766666666666666</v>
      </c>
      <c r="BP194" s="824">
        <v>43001</v>
      </c>
      <c r="BQ194" s="821">
        <v>2</v>
      </c>
      <c r="BR194" s="822">
        <f t="shared" ca="1" si="137"/>
        <v>133</v>
      </c>
      <c r="BS194" s="823">
        <f t="shared" si="138"/>
        <v>17.2</v>
      </c>
      <c r="BT194" s="825" t="str">
        <f t="shared" ca="1" si="139"/>
        <v>-</v>
      </c>
      <c r="BU194" s="826"/>
      <c r="BV194" s="827"/>
      <c r="BW194" s="828" t="str">
        <f t="shared" si="140"/>
        <v>Ж-Е НЕ ВАКЦ.</v>
      </c>
      <c r="BX194" s="829" t="str">
        <f t="shared" si="141"/>
        <v>-</v>
      </c>
      <c r="BY194" s="830" t="str">
        <f t="shared" ca="1" si="142"/>
        <v>-</v>
      </c>
      <c r="BZ194" s="831">
        <v>42887</v>
      </c>
      <c r="CA194" s="832">
        <v>5</v>
      </c>
      <c r="CB194" s="833">
        <f t="shared" ca="1" si="143"/>
        <v>247</v>
      </c>
      <c r="CC194" s="834" t="str">
        <f t="shared" ca="1" si="144"/>
        <v>-</v>
      </c>
      <c r="CD194" s="835">
        <f t="shared" si="145"/>
        <v>42908</v>
      </c>
      <c r="CE194" s="831">
        <v>42908</v>
      </c>
      <c r="CF194" s="832">
        <v>5</v>
      </c>
      <c r="CG194" s="833">
        <f t="shared" ca="1" si="146"/>
        <v>226</v>
      </c>
      <c r="CH194" s="836">
        <f t="shared" si="147"/>
        <v>0</v>
      </c>
      <c r="CI194" s="837" t="str">
        <f t="shared" si="148"/>
        <v>УСПЕШНО</v>
      </c>
      <c r="CJ194" s="838" t="str">
        <f t="shared" ca="1" si="149"/>
        <v>-</v>
      </c>
      <c r="CK194" s="831"/>
      <c r="CL194" s="832"/>
      <c r="CM194" s="833" t="str">
        <f t="shared" si="150"/>
        <v>-</v>
      </c>
      <c r="CN194" s="834" t="str">
        <f t="shared" si="151"/>
        <v>-</v>
      </c>
      <c r="CO194" s="830" t="str">
        <f t="shared" ca="1" si="152"/>
        <v>ТРЕБУЕТСЯ ВАКЦИНАЦИЯ</v>
      </c>
      <c r="CP194" s="839"/>
      <c r="CQ194" s="832"/>
      <c r="CR194" s="833" t="str">
        <f t="shared" si="153"/>
        <v>-</v>
      </c>
      <c r="CS194" s="833" t="str">
        <f t="shared" si="154"/>
        <v>-</v>
      </c>
      <c r="CT194" s="834" t="str">
        <f t="shared" si="155"/>
        <v>-</v>
      </c>
      <c r="CU194" s="835" t="str">
        <f t="shared" si="156"/>
        <v>-</v>
      </c>
      <c r="CV194" s="839"/>
      <c r="CW194" s="832"/>
      <c r="CX194" s="833" t="str">
        <f t="shared" si="157"/>
        <v>-</v>
      </c>
      <c r="CY194" s="840" t="str">
        <f t="shared" si="158"/>
        <v>-</v>
      </c>
      <c r="CZ194" s="833" t="str">
        <f t="shared" si="159"/>
        <v>-</v>
      </c>
      <c r="DA194" s="838" t="str">
        <f t="shared" ca="1" si="160"/>
        <v>-</v>
      </c>
      <c r="DB194" s="841"/>
      <c r="DC194" s="832"/>
    </row>
    <row r="195" spans="1:107" s="842" customFormat="1" ht="15.95" customHeight="1" x14ac:dyDescent="0.25">
      <c r="A195" s="790">
        <v>196</v>
      </c>
      <c r="B195" s="791">
        <f t="shared" ref="B195:B258" ca="1" si="162">TODAY()</f>
        <v>43134</v>
      </c>
      <c r="C195" s="792" t="s">
        <v>613</v>
      </c>
      <c r="D195" s="793" t="s">
        <v>3201</v>
      </c>
      <c r="E195" s="794" t="s">
        <v>1871</v>
      </c>
      <c r="F195" s="854" t="s">
        <v>1159</v>
      </c>
      <c r="G195" s="796">
        <f>SUMIFS(МОЛОКО!L8:L6958,МОЛОКО!F8:F6958,"2170",МОЛОКО!L8:L6958,"&gt;0")</f>
        <v>17</v>
      </c>
      <c r="H195" s="797" t="s">
        <v>603</v>
      </c>
      <c r="I195" s="798">
        <v>41732</v>
      </c>
      <c r="J195" s="799">
        <f t="shared" ref="J195:J258" ca="1" si="163">(B195-I195)/365</f>
        <v>3.8410958904109589</v>
      </c>
      <c r="K195" s="799">
        <f t="shared" ref="K195:K258" ca="1" si="164">(B195-I195)/30</f>
        <v>46.733333333333334</v>
      </c>
      <c r="L195" s="800">
        <f t="shared" ref="L195:L258" ca="1" si="165">B195-I195</f>
        <v>1402</v>
      </c>
      <c r="M195" s="801">
        <v>42621</v>
      </c>
      <c r="N195" s="802">
        <v>42621</v>
      </c>
      <c r="O195" s="803">
        <f t="shared" ref="O195:O258" ca="1" si="166">IF(AND(B195&gt;0,N195&gt;0),B195-N195,"-")</f>
        <v>513</v>
      </c>
      <c r="P195" s="804">
        <v>1</v>
      </c>
      <c r="Q195" s="805" t="s">
        <v>1451</v>
      </c>
      <c r="R195" s="806" t="s">
        <v>1815</v>
      </c>
      <c r="S195" s="807">
        <v>42767</v>
      </c>
      <c r="T195" s="798">
        <v>42814</v>
      </c>
      <c r="U195" s="798" t="str">
        <f t="shared" ref="U195:U258" si="167">IF(AND(Y195&gt;1,T195&gt;0),T195+18,"-")</f>
        <v>-</v>
      </c>
      <c r="V195" s="804" t="str">
        <f t="shared" ref="V195:V258" ca="1" si="168">IF(AND(U195&gt;0,B195&gt;0,Y195&gt;1),B195-U195,"-")</f>
        <v>-</v>
      </c>
      <c r="W195" s="808">
        <v>2</v>
      </c>
      <c r="X195" s="794">
        <f t="shared" si="161"/>
        <v>193</v>
      </c>
      <c r="Y195" s="794">
        <v>0</v>
      </c>
      <c r="Z195" s="809" t="str">
        <f t="shared" ref="Z195:Z258" ca="1" si="169">IF(AND(Y195=1,AA195&gt;71,OR(ISBLANK(AB195),AB195=2)),"ПОДЛЕЖИТ ПЕРЕПРОВЕРКЕ","-----")</f>
        <v>-----</v>
      </c>
      <c r="AA195" s="810">
        <f t="shared" ref="AA195:AA258" ca="1" si="170">IF(AND(O195&gt;-1,W195&gt;0,Y195=1,AB195=1),"-----",B195-T195)</f>
        <v>320</v>
      </c>
      <c r="AB195" s="804"/>
      <c r="AC195" s="811" t="str">
        <f t="shared" ref="AC195:AC258" ca="1" si="171">IF(AND(AB195&lt;1,Z195="ПОДЛЕЖИТ ПЕРЕПРОВЕРКЕ",Y195=1),T195+72,"-----")</f>
        <v>-----</v>
      </c>
      <c r="AD195" s="798"/>
      <c r="AE195" s="794" t="str">
        <f t="shared" ref="AE195:AE258" ca="1" si="172">IF(AND(O195&gt;120,Y195=0,N195&gt;0),"яловая","-")</f>
        <v>яловая</v>
      </c>
      <c r="AF195" s="798" t="str">
        <f t="shared" ref="AF195:AF258" si="173">IF(AND(T195&gt;0,OR(Y195=3,Y195=2)),T195+35,"-")</f>
        <v>-</v>
      </c>
      <c r="AG195" s="812" t="str">
        <f t="shared" ref="AG195:AG258" si="174">IF(AND(T195&gt;0,W195&gt;0,Q195&gt;0,OR(Y195=3,Y195=2)),B195-AF195,"---------")</f>
        <v>---------</v>
      </c>
      <c r="AH195" s="807">
        <v>42875</v>
      </c>
      <c r="AI195" s="807" t="str">
        <f t="shared" ref="AI195:AI258" si="175">IF(AND($T195&gt;0,$N195&gt;0,$Y195=1),$T195+280-90,"-")</f>
        <v>-</v>
      </c>
      <c r="AJ195" s="807" t="str">
        <f t="shared" ref="AJ195:AJ258" si="176">IF(AND(T195&gt;0,Y195=1,N195&gt;0),T195+280-60,"-")</f>
        <v>-</v>
      </c>
      <c r="AK195" s="813"/>
      <c r="AL195" s="807" t="str">
        <f t="shared" ref="AL195:AL258" si="177">IF(AND($T195&gt;0,$Y195=1),$T195+280-21,"-")</f>
        <v>-</v>
      </c>
      <c r="AM195" s="807" t="str">
        <f t="shared" ref="AM195:AM258" si="178">IF(AND(T195&gt;0,Y195=1),T195+280,"-")</f>
        <v>-</v>
      </c>
      <c r="AN195" s="814" t="str">
        <f t="shared" ref="AN195:AN258" ca="1" si="179">IF(AND(B195&gt;0,AM195&gt;0,AH195&gt;0,Y195=1),B195-AM195,"-")</f>
        <v>-</v>
      </c>
      <c r="AO195" s="815">
        <v>1</v>
      </c>
      <c r="AP195" s="816" t="str">
        <f t="shared" ref="AP195:AP258" ca="1" si="180">IF(AND(AE195="яловая",O195&gt;300),"БРАК","-")</f>
        <v>БРАК</v>
      </c>
      <c r="AQ195" s="817" t="s">
        <v>1863</v>
      </c>
      <c r="AR195" s="794" t="str">
        <f t="shared" ref="AR195:AR258" si="181">IF(AND(Y195=1,P195=0),"НЕТЕЛЬ","-")</f>
        <v>-</v>
      </c>
      <c r="AS195" s="818">
        <v>42875</v>
      </c>
      <c r="AT195" s="794" t="str">
        <f t="shared" ref="AT195:AT258" si="182">IF(AND(N195&gt;0,T195&gt;0,W195&gt;0,Y195=1,AH195&gt;0,AK195&gt;0),"DRY COW","-")</f>
        <v>-</v>
      </c>
      <c r="AU195" s="819">
        <v>1</v>
      </c>
      <c r="AV195" s="820"/>
      <c r="AW195" s="821"/>
      <c r="AX195" s="821"/>
      <c r="AY195" s="969" t="str">
        <f t="shared" ref="AY195:AY258" si="183">IF(AND(AV195&gt;0,AW195&gt;0,AX195&gt;0),B195-AV195,"-")</f>
        <v>-</v>
      </c>
      <c r="AZ195" s="966" t="str">
        <f t="shared" ref="AZ195:AZ258" si="184">IF(AND(AV195&gt;0,AW195&gt;0,AX195&gt;0,AY195&gt;10,BB195=0,BC195=0,BD195=0),"РЕВАКЦИНАЦИЯ","-")</f>
        <v>-</v>
      </c>
      <c r="BA195" s="971" t="str">
        <f t="shared" ref="BA195:BA258" si="185">IF(AND(AV195&gt;0,AW195&gt;0,AX195&gt;0),AV195+10,"-")</f>
        <v>-</v>
      </c>
      <c r="BB195" s="975"/>
      <c r="BC195" s="821"/>
      <c r="BD195" s="821"/>
      <c r="BE195" s="963" t="str">
        <f t="shared" ref="BE195:BE258" si="186">IF(AND(BB195&gt;0,BC195&gt;0,BD195&gt;0),B195-BB195,"-")</f>
        <v>-</v>
      </c>
      <c r="BF195" s="984"/>
      <c r="BG195" s="988"/>
      <c r="BH195" s="982"/>
      <c r="BI195" s="991"/>
      <c r="BJ195" s="991"/>
      <c r="BK195" s="993" t="str">
        <f t="shared" ref="BK195:BK258" si="187">IF(AND(BF195&gt;0,BG195&gt;0,BH195&gt;0,BI195&gt;0,BJ195&gt;0),B195-BF195,"-")</f>
        <v>-</v>
      </c>
      <c r="BL195" s="820">
        <v>42981</v>
      </c>
      <c r="BM195" s="821">
        <v>5</v>
      </c>
      <c r="BN195" s="822">
        <f t="shared" ref="BN195:BN258" ca="1" si="188">IF(AND(BL195&gt;0,BM195&gt;0),B195-BL195,"-")</f>
        <v>153</v>
      </c>
      <c r="BO195" s="823">
        <f t="shared" ref="BO195:BO258" si="189">IF(AND(BL195&gt;0,BM195&gt;0),(BL195-I195)/30,"-")</f>
        <v>41.633333333333333</v>
      </c>
      <c r="BP195" s="824">
        <v>43001</v>
      </c>
      <c r="BQ195" s="821">
        <v>2</v>
      </c>
      <c r="BR195" s="822">
        <f t="shared" ref="BR195:BR258" ca="1" si="190">IF(AND(BP195&gt;0,BQ195&gt;0),B195-BP195,"-")</f>
        <v>133</v>
      </c>
      <c r="BS195" s="823">
        <f t="shared" ref="BS195:BS258" si="191">IF(AND(BP195&gt;0,BQ195&gt;0),(BP195-M195)/30,"-")</f>
        <v>12.666666666666666</v>
      </c>
      <c r="BT195" s="825" t="str">
        <f t="shared" ref="BT195:BT258" ca="1" si="192">IF(AND(OR(E195="тёлочка",E195="бычок"),L195&gt;0,BV195&lt;2,L195&lt;60),"ПОДЛЕЖИТ ВАКЦИНАЦИИ","-")</f>
        <v>-</v>
      </c>
      <c r="BU195" s="826"/>
      <c r="BV195" s="827"/>
      <c r="BW195" s="828" t="str">
        <f t="shared" ref="BW195:BW258" si="193">IF(AND(BU195&gt;0,BV195=2),BU195-I195,"Ж-Е НЕ ВАКЦ.")</f>
        <v>Ж-Е НЕ ВАКЦ.</v>
      </c>
      <c r="BX195" s="829" t="str">
        <f t="shared" ref="BX195:BX258" si="194">IF(AND(BU195&gt;0,BV195=2),B195-BU195,"-")</f>
        <v>-</v>
      </c>
      <c r="BY195" s="830" t="str">
        <f t="shared" ref="BY195:BY258" ca="1" si="195">IF(AND(L195&gt;42,CA195&lt;5),"ПОДЛЕЖИТ ВАКЦИНАЦИИ","-")</f>
        <v>-</v>
      </c>
      <c r="BZ195" s="831">
        <v>42887</v>
      </c>
      <c r="CA195" s="832">
        <v>5</v>
      </c>
      <c r="CB195" s="833">
        <f t="shared" ref="CB195:CB258" ca="1" si="196">IF(AND(BZ195&gt;0,CA195=5),B195-BZ195,"-")</f>
        <v>247</v>
      </c>
      <c r="CC195" s="834" t="str">
        <f t="shared" ref="CC195:CC258" ca="1" si="197">IF(AND(CA195=5,CB195&gt;20,CF195&lt;5),"ТРЕБУЕТСЯ БУСТЕРНАЯ ДОЗА","-")</f>
        <v>-</v>
      </c>
      <c r="CD195" s="835">
        <f t="shared" ref="CD195:CD258" si="198">IF(AND(BZ195&gt;0,CA195=5),BZ195+21,"-")</f>
        <v>42908</v>
      </c>
      <c r="CE195" s="831">
        <v>42908</v>
      </c>
      <c r="CF195" s="832">
        <v>5</v>
      </c>
      <c r="CG195" s="833">
        <f t="shared" ref="CG195:CG258" ca="1" si="199">IF(AND(CE195&gt;0,CF195=5),B195-CE195,"-")</f>
        <v>226</v>
      </c>
      <c r="CH195" s="836">
        <f t="shared" ref="CH195:CH258" si="200">IF(AND(CD195&gt;0,CE195&gt;0,CF195=5),CD195-CE195,"-")</f>
        <v>0</v>
      </c>
      <c r="CI195" s="837" t="str">
        <f t="shared" ref="CI195:CI258" si="201">IF(AND(CF195=5,CH195=0),"УСПЕШНО","-")</f>
        <v>УСПЕШНО</v>
      </c>
      <c r="CJ195" s="838" t="str">
        <f t="shared" ref="CJ195:CJ258" ca="1" si="202">IF(AND(BZ195&gt;0,CA195=5,CE195&gt;0,CF195=5,CG195&gt;240,CL195&lt;5),"НЕОБХОДИМА РЕВАКЦИНАЦИЯ","-")</f>
        <v>-</v>
      </c>
      <c r="CK195" s="831"/>
      <c r="CL195" s="832"/>
      <c r="CM195" s="833" t="str">
        <f t="shared" ref="CM195:CM258" si="203">IF(AND(CK195&gt;0,CL195=5),N195-CK195,"-")</f>
        <v>-</v>
      </c>
      <c r="CN195" s="834" t="str">
        <f t="shared" ref="CN195:CN258" si="204">IF(AND(CK195&gt;0,CL195=5,CM195&gt;240),"НЕОБХОДИМА РЕВАКЦИНАЦИЯ","-")</f>
        <v>-</v>
      </c>
      <c r="CO195" s="830" t="str">
        <f t="shared" ref="CO195:CO258" ca="1" si="205">IF(AND(Y195=1,AN195&gt;-70,CQ195&lt;2),"ТРЕБУЕТСЯ ВАКЦИНАЦИЯ","-")</f>
        <v>-</v>
      </c>
      <c r="CP195" s="839"/>
      <c r="CQ195" s="832"/>
      <c r="CR195" s="833" t="str">
        <f t="shared" ref="CR195:CR258" si="206">IF(AND(CP195&gt;0,CQ195=2),CP195-T195,"-")</f>
        <v>-</v>
      </c>
      <c r="CS195" s="833" t="str">
        <f t="shared" ref="CS195:CS258" si="207">IF(AND(CP195&gt;0,CQ195=2),B195-CP195,"-")</f>
        <v>-</v>
      </c>
      <c r="CT195" s="834" t="str">
        <f t="shared" ref="CT195:CT258" si="208">IF(AND(CQ195=2,CS195&gt;20,CW195&lt;2),"ТРЕБУЕТСЯ БУСТЕРНАЯ ДОЗА","-")</f>
        <v>-</v>
      </c>
      <c r="CU195" s="835" t="str">
        <f t="shared" ref="CU195:CU258" si="209">IF(AND(CP195&gt;0,CQ195=2),CP195+21,"-")</f>
        <v>-</v>
      </c>
      <c r="CV195" s="839"/>
      <c r="CW195" s="832"/>
      <c r="CX195" s="833" t="str">
        <f t="shared" ref="CX195:CX258" si="210">IF(AND(CU195&gt;0,CV195&gt;0,CW195=2),CV195-CU195,"-")</f>
        <v>-</v>
      </c>
      <c r="CY195" s="840" t="str">
        <f t="shared" ref="CY195:CY258" si="211">IF(AND(CW195=2,CX195=0),"УСПЕШНО","-")</f>
        <v>-</v>
      </c>
      <c r="CZ195" s="833" t="str">
        <f t="shared" ref="CZ195:CZ258" si="212">IF(AND(CV195&gt;0,CW195=2),CV195-T195,"-")</f>
        <v>-</v>
      </c>
      <c r="DA195" s="838" t="str">
        <f t="shared" ref="DA195:DA258" ca="1" si="213">IF(AND(CP195&gt;0,CQ195=2,CV195&gt;0,CW195=2,Y195=1,AN195&gt;-50,DC195&lt;2),"ТРЕБУЕТСЯ РЕВАКЦИНАЦИЯ","-")</f>
        <v>-</v>
      </c>
      <c r="DB195" s="841"/>
      <c r="DC195" s="832"/>
    </row>
    <row r="196" spans="1:107" s="842" customFormat="1" ht="15.95" customHeight="1" x14ac:dyDescent="0.25">
      <c r="A196" s="790">
        <v>197</v>
      </c>
      <c r="B196" s="791">
        <f t="shared" ca="1" si="162"/>
        <v>43134</v>
      </c>
      <c r="C196" s="792" t="s">
        <v>613</v>
      </c>
      <c r="D196" s="793" t="s">
        <v>3201</v>
      </c>
      <c r="E196" s="794" t="s">
        <v>1288</v>
      </c>
      <c r="F196" s="854" t="s">
        <v>1164</v>
      </c>
      <c r="G196" s="796">
        <f>SUMIFS(МОЛОКО!L8:L6958,МОЛОКО!F8:F6958,"2182",МОЛОКО!L8:L6958,"&gt;0")</f>
        <v>17</v>
      </c>
      <c r="H196" s="797" t="s">
        <v>603</v>
      </c>
      <c r="I196" s="798">
        <v>41742</v>
      </c>
      <c r="J196" s="799">
        <f t="shared" ca="1" si="163"/>
        <v>3.8136986301369862</v>
      </c>
      <c r="K196" s="799">
        <f t="shared" ca="1" si="164"/>
        <v>46.4</v>
      </c>
      <c r="L196" s="800">
        <f t="shared" ca="1" si="165"/>
        <v>1392</v>
      </c>
      <c r="M196" s="801">
        <v>42518</v>
      </c>
      <c r="N196" s="802">
        <v>42518</v>
      </c>
      <c r="O196" s="803">
        <f t="shared" ca="1" si="166"/>
        <v>616</v>
      </c>
      <c r="P196" s="804">
        <v>1</v>
      </c>
      <c r="Q196" s="805" t="s">
        <v>1448</v>
      </c>
      <c r="R196" s="806">
        <v>9560</v>
      </c>
      <c r="S196" s="807">
        <v>42586</v>
      </c>
      <c r="T196" s="798">
        <v>42586</v>
      </c>
      <c r="U196" s="798" t="str">
        <f t="shared" si="167"/>
        <v>-</v>
      </c>
      <c r="V196" s="804" t="str">
        <f t="shared" ca="1" si="168"/>
        <v>-</v>
      </c>
      <c r="W196" s="808">
        <v>1</v>
      </c>
      <c r="X196" s="794">
        <f t="shared" si="161"/>
        <v>68</v>
      </c>
      <c r="Y196" s="794">
        <v>0</v>
      </c>
      <c r="Z196" s="809" t="str">
        <f t="shared" ca="1" si="169"/>
        <v>-----</v>
      </c>
      <c r="AA196" s="810">
        <f t="shared" ca="1" si="170"/>
        <v>548</v>
      </c>
      <c r="AB196" s="804"/>
      <c r="AC196" s="811" t="str">
        <f t="shared" ca="1" si="171"/>
        <v>-----</v>
      </c>
      <c r="AD196" s="798"/>
      <c r="AE196" s="794" t="str">
        <f t="shared" ca="1" si="172"/>
        <v>яловая</v>
      </c>
      <c r="AF196" s="798" t="str">
        <f t="shared" si="173"/>
        <v>-</v>
      </c>
      <c r="AG196" s="812" t="str">
        <f t="shared" si="174"/>
        <v>---------</v>
      </c>
      <c r="AH196" s="807">
        <v>42633</v>
      </c>
      <c r="AI196" s="807" t="str">
        <f t="shared" si="175"/>
        <v>-</v>
      </c>
      <c r="AJ196" s="807" t="str">
        <f t="shared" si="176"/>
        <v>-</v>
      </c>
      <c r="AK196" s="813"/>
      <c r="AL196" s="807" t="str">
        <f t="shared" si="177"/>
        <v>-</v>
      </c>
      <c r="AM196" s="807" t="str">
        <f t="shared" si="178"/>
        <v>-</v>
      </c>
      <c r="AN196" s="814" t="str">
        <f t="shared" ca="1" si="179"/>
        <v>-</v>
      </c>
      <c r="AO196" s="815">
        <v>1</v>
      </c>
      <c r="AP196" s="816" t="str">
        <f t="shared" ca="1" si="180"/>
        <v>БРАК</v>
      </c>
      <c r="AQ196" s="817" t="s">
        <v>1863</v>
      </c>
      <c r="AR196" s="794" t="str">
        <f t="shared" si="181"/>
        <v>-</v>
      </c>
      <c r="AS196" s="818"/>
      <c r="AT196" s="794" t="str">
        <f t="shared" si="182"/>
        <v>-</v>
      </c>
      <c r="AU196" s="819">
        <v>1</v>
      </c>
      <c r="AV196" s="820"/>
      <c r="AW196" s="821"/>
      <c r="AX196" s="821"/>
      <c r="AY196" s="969" t="str">
        <f t="shared" si="183"/>
        <v>-</v>
      </c>
      <c r="AZ196" s="966" t="str">
        <f t="shared" si="184"/>
        <v>-</v>
      </c>
      <c r="BA196" s="971" t="str">
        <f t="shared" si="185"/>
        <v>-</v>
      </c>
      <c r="BB196" s="975"/>
      <c r="BC196" s="821"/>
      <c r="BD196" s="821"/>
      <c r="BE196" s="963" t="str">
        <f t="shared" si="186"/>
        <v>-</v>
      </c>
      <c r="BF196" s="984"/>
      <c r="BG196" s="988"/>
      <c r="BH196" s="982"/>
      <c r="BI196" s="991"/>
      <c r="BJ196" s="991"/>
      <c r="BK196" s="993" t="str">
        <f t="shared" si="187"/>
        <v>-</v>
      </c>
      <c r="BL196" s="820">
        <v>42981</v>
      </c>
      <c r="BM196" s="821">
        <v>5</v>
      </c>
      <c r="BN196" s="822">
        <f t="shared" ca="1" si="188"/>
        <v>153</v>
      </c>
      <c r="BO196" s="823">
        <f t="shared" si="189"/>
        <v>41.3</v>
      </c>
      <c r="BP196" s="824">
        <v>43001</v>
      </c>
      <c r="BQ196" s="821">
        <v>2</v>
      </c>
      <c r="BR196" s="822">
        <f t="shared" ca="1" si="190"/>
        <v>133</v>
      </c>
      <c r="BS196" s="823">
        <f t="shared" si="191"/>
        <v>16.100000000000001</v>
      </c>
      <c r="BT196" s="825" t="str">
        <f t="shared" ca="1" si="192"/>
        <v>-</v>
      </c>
      <c r="BU196" s="826"/>
      <c r="BV196" s="827"/>
      <c r="BW196" s="828" t="str">
        <f t="shared" si="193"/>
        <v>Ж-Е НЕ ВАКЦ.</v>
      </c>
      <c r="BX196" s="829" t="str">
        <f t="shared" si="194"/>
        <v>-</v>
      </c>
      <c r="BY196" s="830" t="str">
        <f t="shared" ca="1" si="195"/>
        <v>-</v>
      </c>
      <c r="BZ196" s="831">
        <v>42887</v>
      </c>
      <c r="CA196" s="832">
        <v>5</v>
      </c>
      <c r="CB196" s="833">
        <f t="shared" ca="1" si="196"/>
        <v>247</v>
      </c>
      <c r="CC196" s="834" t="str">
        <f t="shared" ca="1" si="197"/>
        <v>-</v>
      </c>
      <c r="CD196" s="835">
        <f t="shared" si="198"/>
        <v>42908</v>
      </c>
      <c r="CE196" s="831">
        <v>42908</v>
      </c>
      <c r="CF196" s="832">
        <v>5</v>
      </c>
      <c r="CG196" s="833">
        <f t="shared" ca="1" si="199"/>
        <v>226</v>
      </c>
      <c r="CH196" s="836">
        <f t="shared" si="200"/>
        <v>0</v>
      </c>
      <c r="CI196" s="837" t="str">
        <f t="shared" si="201"/>
        <v>УСПЕШНО</v>
      </c>
      <c r="CJ196" s="838" t="str">
        <f t="shared" ca="1" si="202"/>
        <v>-</v>
      </c>
      <c r="CK196" s="831"/>
      <c r="CL196" s="832"/>
      <c r="CM196" s="833" t="str">
        <f t="shared" si="203"/>
        <v>-</v>
      </c>
      <c r="CN196" s="834" t="str">
        <f t="shared" si="204"/>
        <v>-</v>
      </c>
      <c r="CO196" s="830" t="str">
        <f t="shared" ca="1" si="205"/>
        <v>-</v>
      </c>
      <c r="CP196" s="839"/>
      <c r="CQ196" s="832"/>
      <c r="CR196" s="833" t="str">
        <f t="shared" si="206"/>
        <v>-</v>
      </c>
      <c r="CS196" s="833" t="str">
        <f t="shared" si="207"/>
        <v>-</v>
      </c>
      <c r="CT196" s="834" t="str">
        <f t="shared" si="208"/>
        <v>-</v>
      </c>
      <c r="CU196" s="835" t="str">
        <f t="shared" si="209"/>
        <v>-</v>
      </c>
      <c r="CV196" s="839"/>
      <c r="CW196" s="832"/>
      <c r="CX196" s="833" t="str">
        <f t="shared" si="210"/>
        <v>-</v>
      </c>
      <c r="CY196" s="840" t="str">
        <f t="shared" si="211"/>
        <v>-</v>
      </c>
      <c r="CZ196" s="833" t="str">
        <f t="shared" si="212"/>
        <v>-</v>
      </c>
      <c r="DA196" s="838" t="str">
        <f t="shared" ca="1" si="213"/>
        <v>-</v>
      </c>
      <c r="DB196" s="841"/>
      <c r="DC196" s="832"/>
    </row>
    <row r="197" spans="1:107" s="842" customFormat="1" ht="15.95" customHeight="1" x14ac:dyDescent="0.25">
      <c r="A197" s="790">
        <v>198</v>
      </c>
      <c r="B197" s="791">
        <f t="shared" ca="1" si="162"/>
        <v>43134</v>
      </c>
      <c r="C197" s="792" t="s">
        <v>613</v>
      </c>
      <c r="D197" s="793" t="s">
        <v>3201</v>
      </c>
      <c r="E197" s="794" t="s">
        <v>1289</v>
      </c>
      <c r="F197" s="854" t="s">
        <v>1165</v>
      </c>
      <c r="G197" s="796">
        <f>SUMIFS(МОЛОКО!L8:L6958,МОЛОКО!F8:F6958,"2184",МОЛОКО!L8:L6958,"&gt;0")</f>
        <v>13.4</v>
      </c>
      <c r="H197" s="797" t="s">
        <v>603</v>
      </c>
      <c r="I197" s="798">
        <v>41744</v>
      </c>
      <c r="J197" s="799">
        <f t="shared" ca="1" si="163"/>
        <v>3.8082191780821919</v>
      </c>
      <c r="K197" s="799">
        <f t="shared" ca="1" si="164"/>
        <v>46.333333333333336</v>
      </c>
      <c r="L197" s="800">
        <f t="shared" ca="1" si="165"/>
        <v>1390</v>
      </c>
      <c r="M197" s="801">
        <v>42489</v>
      </c>
      <c r="N197" s="802">
        <v>42846</v>
      </c>
      <c r="O197" s="803">
        <f t="shared" ca="1" si="166"/>
        <v>288</v>
      </c>
      <c r="P197" s="804">
        <v>2</v>
      </c>
      <c r="Q197" s="805" t="s">
        <v>2366</v>
      </c>
      <c r="R197" s="806" t="s">
        <v>3020</v>
      </c>
      <c r="S197" s="807">
        <v>42908</v>
      </c>
      <c r="T197" s="798">
        <v>42993</v>
      </c>
      <c r="U197" s="798" t="str">
        <f t="shared" si="167"/>
        <v>-</v>
      </c>
      <c r="V197" s="804" t="str">
        <f t="shared" ca="1" si="168"/>
        <v>-</v>
      </c>
      <c r="W197" s="808">
        <v>3</v>
      </c>
      <c r="X197" s="794">
        <f t="shared" si="161"/>
        <v>147</v>
      </c>
      <c r="Y197" s="794">
        <v>1</v>
      </c>
      <c r="Z197" s="809" t="str">
        <f t="shared" ca="1" si="169"/>
        <v>ПОДЛЕЖИТ ПЕРЕПРОВЕРКЕ</v>
      </c>
      <c r="AA197" s="810">
        <f t="shared" ca="1" si="170"/>
        <v>141</v>
      </c>
      <c r="AB197" s="804"/>
      <c r="AC197" s="811">
        <f t="shared" ca="1" si="171"/>
        <v>43065</v>
      </c>
      <c r="AD197" s="798"/>
      <c r="AE197" s="794" t="str">
        <f t="shared" ca="1" si="172"/>
        <v>-</v>
      </c>
      <c r="AF197" s="798" t="str">
        <f t="shared" si="173"/>
        <v>-</v>
      </c>
      <c r="AG197" s="812" t="str">
        <f t="shared" si="174"/>
        <v>---------</v>
      </c>
      <c r="AH197" s="807">
        <v>43024</v>
      </c>
      <c r="AI197" s="807">
        <f t="shared" si="175"/>
        <v>43183</v>
      </c>
      <c r="AJ197" s="807">
        <f t="shared" si="176"/>
        <v>43213</v>
      </c>
      <c r="AK197" s="813"/>
      <c r="AL197" s="807">
        <f t="shared" si="177"/>
        <v>43252</v>
      </c>
      <c r="AM197" s="807">
        <f t="shared" si="178"/>
        <v>43273</v>
      </c>
      <c r="AN197" s="814">
        <f t="shared" ca="1" si="179"/>
        <v>-139</v>
      </c>
      <c r="AO197" s="815">
        <v>1</v>
      </c>
      <c r="AP197" s="816" t="str">
        <f t="shared" ca="1" si="180"/>
        <v>-</v>
      </c>
      <c r="AQ197" s="817"/>
      <c r="AR197" s="794" t="str">
        <f t="shared" si="181"/>
        <v>-</v>
      </c>
      <c r="AS197" s="818"/>
      <c r="AT197" s="794" t="str">
        <f t="shared" si="182"/>
        <v>-</v>
      </c>
      <c r="AU197" s="819">
        <v>1</v>
      </c>
      <c r="AV197" s="820"/>
      <c r="AW197" s="821"/>
      <c r="AX197" s="821"/>
      <c r="AY197" s="969" t="str">
        <f t="shared" si="183"/>
        <v>-</v>
      </c>
      <c r="AZ197" s="966" t="str">
        <f t="shared" si="184"/>
        <v>-</v>
      </c>
      <c r="BA197" s="971" t="str">
        <f t="shared" si="185"/>
        <v>-</v>
      </c>
      <c r="BB197" s="975"/>
      <c r="BC197" s="821"/>
      <c r="BD197" s="821"/>
      <c r="BE197" s="963" t="str">
        <f t="shared" si="186"/>
        <v>-</v>
      </c>
      <c r="BF197" s="984"/>
      <c r="BG197" s="988"/>
      <c r="BH197" s="982"/>
      <c r="BI197" s="991"/>
      <c r="BJ197" s="991"/>
      <c r="BK197" s="993" t="str">
        <f t="shared" si="187"/>
        <v>-</v>
      </c>
      <c r="BL197" s="820">
        <v>42981</v>
      </c>
      <c r="BM197" s="821">
        <v>5</v>
      </c>
      <c r="BN197" s="822">
        <f t="shared" ca="1" si="188"/>
        <v>153</v>
      </c>
      <c r="BO197" s="823">
        <f t="shared" si="189"/>
        <v>41.233333333333334</v>
      </c>
      <c r="BP197" s="824">
        <v>43001</v>
      </c>
      <c r="BQ197" s="821">
        <v>2</v>
      </c>
      <c r="BR197" s="822">
        <f t="shared" ca="1" si="190"/>
        <v>133</v>
      </c>
      <c r="BS197" s="823">
        <f t="shared" si="191"/>
        <v>17.066666666666666</v>
      </c>
      <c r="BT197" s="825" t="str">
        <f t="shared" ca="1" si="192"/>
        <v>-</v>
      </c>
      <c r="BU197" s="826"/>
      <c r="BV197" s="827"/>
      <c r="BW197" s="828" t="str">
        <f t="shared" si="193"/>
        <v>Ж-Е НЕ ВАКЦ.</v>
      </c>
      <c r="BX197" s="829" t="str">
        <f t="shared" si="194"/>
        <v>-</v>
      </c>
      <c r="BY197" s="830" t="str">
        <f t="shared" ca="1" si="195"/>
        <v>-</v>
      </c>
      <c r="BZ197" s="831">
        <v>42887</v>
      </c>
      <c r="CA197" s="832">
        <v>5</v>
      </c>
      <c r="CB197" s="833">
        <f t="shared" ca="1" si="196"/>
        <v>247</v>
      </c>
      <c r="CC197" s="834" t="str">
        <f t="shared" ca="1" si="197"/>
        <v>-</v>
      </c>
      <c r="CD197" s="835">
        <f t="shared" si="198"/>
        <v>42908</v>
      </c>
      <c r="CE197" s="831">
        <v>42908</v>
      </c>
      <c r="CF197" s="832">
        <v>5</v>
      </c>
      <c r="CG197" s="833">
        <f t="shared" ca="1" si="199"/>
        <v>226</v>
      </c>
      <c r="CH197" s="836">
        <f t="shared" si="200"/>
        <v>0</v>
      </c>
      <c r="CI197" s="837" t="str">
        <f t="shared" si="201"/>
        <v>УСПЕШНО</v>
      </c>
      <c r="CJ197" s="838" t="str">
        <f t="shared" ca="1" si="202"/>
        <v>-</v>
      </c>
      <c r="CK197" s="831"/>
      <c r="CL197" s="832"/>
      <c r="CM197" s="833" t="str">
        <f t="shared" si="203"/>
        <v>-</v>
      </c>
      <c r="CN197" s="834" t="str">
        <f t="shared" si="204"/>
        <v>-</v>
      </c>
      <c r="CO197" s="830" t="str">
        <f t="shared" ca="1" si="205"/>
        <v>-</v>
      </c>
      <c r="CP197" s="839"/>
      <c r="CQ197" s="832"/>
      <c r="CR197" s="833" t="str">
        <f t="shared" si="206"/>
        <v>-</v>
      </c>
      <c r="CS197" s="833" t="str">
        <f t="shared" si="207"/>
        <v>-</v>
      </c>
      <c r="CT197" s="834" t="str">
        <f t="shared" si="208"/>
        <v>-</v>
      </c>
      <c r="CU197" s="835" t="str">
        <f t="shared" si="209"/>
        <v>-</v>
      </c>
      <c r="CV197" s="839"/>
      <c r="CW197" s="832"/>
      <c r="CX197" s="833" t="str">
        <f t="shared" si="210"/>
        <v>-</v>
      </c>
      <c r="CY197" s="840" t="str">
        <f t="shared" si="211"/>
        <v>-</v>
      </c>
      <c r="CZ197" s="833" t="str">
        <f t="shared" si="212"/>
        <v>-</v>
      </c>
      <c r="DA197" s="838" t="str">
        <f t="shared" ca="1" si="213"/>
        <v>-</v>
      </c>
      <c r="DB197" s="841"/>
      <c r="DC197" s="832"/>
    </row>
    <row r="198" spans="1:107" s="842" customFormat="1" ht="15.95" customHeight="1" x14ac:dyDescent="0.25">
      <c r="A198" s="790">
        <v>199</v>
      </c>
      <c r="B198" s="791">
        <f t="shared" ca="1" si="162"/>
        <v>43134</v>
      </c>
      <c r="C198" s="29" t="s">
        <v>613</v>
      </c>
      <c r="D198" s="59" t="s">
        <v>3201</v>
      </c>
      <c r="E198" s="794" t="s">
        <v>1306</v>
      </c>
      <c r="F198" s="854" t="s">
        <v>1187</v>
      </c>
      <c r="G198" s="796">
        <f>SUMIFS(МОЛОКО!L8:L6958,МОЛОКО!F8:F6958,"2236",МОЛОКО!L8:L6958,"&gt;0")</f>
        <v>21.2</v>
      </c>
      <c r="H198" s="797" t="s">
        <v>603</v>
      </c>
      <c r="I198" s="798">
        <v>41785</v>
      </c>
      <c r="J198" s="799">
        <f t="shared" ca="1" si="163"/>
        <v>3.6958904109589041</v>
      </c>
      <c r="K198" s="799">
        <f t="shared" ca="1" si="164"/>
        <v>44.966666666666669</v>
      </c>
      <c r="L198" s="800">
        <f t="shared" ca="1" si="165"/>
        <v>1349</v>
      </c>
      <c r="M198" s="801">
        <v>42517</v>
      </c>
      <c r="N198" s="802">
        <v>42915</v>
      </c>
      <c r="O198" s="803">
        <f t="shared" ca="1" si="166"/>
        <v>219</v>
      </c>
      <c r="P198" s="804">
        <v>2</v>
      </c>
      <c r="Q198" s="805" t="s">
        <v>2366</v>
      </c>
      <c r="R198" s="806" t="s">
        <v>2962</v>
      </c>
      <c r="S198" s="807">
        <v>42971</v>
      </c>
      <c r="T198" s="798">
        <v>42971</v>
      </c>
      <c r="U198" s="798" t="str">
        <f t="shared" si="167"/>
        <v>-</v>
      </c>
      <c r="V198" s="804" t="str">
        <f t="shared" ca="1" si="168"/>
        <v>-</v>
      </c>
      <c r="W198" s="808">
        <v>1</v>
      </c>
      <c r="X198" s="794">
        <f t="shared" si="161"/>
        <v>56</v>
      </c>
      <c r="Y198" s="794">
        <v>1</v>
      </c>
      <c r="Z198" s="809" t="str">
        <f t="shared" ca="1" si="169"/>
        <v>-----</v>
      </c>
      <c r="AA198" s="810" t="str">
        <f t="shared" ca="1" si="170"/>
        <v>-----</v>
      </c>
      <c r="AB198" s="804">
        <v>1</v>
      </c>
      <c r="AC198" s="811" t="str">
        <f t="shared" ca="1" si="171"/>
        <v>-----</v>
      </c>
      <c r="AD198" s="798">
        <v>43047</v>
      </c>
      <c r="AE198" s="794" t="str">
        <f t="shared" ca="1" si="172"/>
        <v>-</v>
      </c>
      <c r="AF198" s="798" t="str">
        <f t="shared" si="173"/>
        <v>-</v>
      </c>
      <c r="AG198" s="812" t="str">
        <f t="shared" si="174"/>
        <v>---------</v>
      </c>
      <c r="AH198" s="807">
        <v>43003</v>
      </c>
      <c r="AI198" s="807">
        <f t="shared" si="175"/>
        <v>43161</v>
      </c>
      <c r="AJ198" s="807">
        <f t="shared" si="176"/>
        <v>43191</v>
      </c>
      <c r="AK198" s="813"/>
      <c r="AL198" s="807">
        <f t="shared" si="177"/>
        <v>43230</v>
      </c>
      <c r="AM198" s="807">
        <f t="shared" si="178"/>
        <v>43251</v>
      </c>
      <c r="AN198" s="814">
        <f t="shared" ca="1" si="179"/>
        <v>-117</v>
      </c>
      <c r="AO198" s="815">
        <v>1</v>
      </c>
      <c r="AP198" s="816" t="str">
        <f t="shared" ca="1" si="180"/>
        <v>-</v>
      </c>
      <c r="AQ198" s="817"/>
      <c r="AR198" s="794" t="str">
        <f t="shared" si="181"/>
        <v>-</v>
      </c>
      <c r="AS198" s="818"/>
      <c r="AT198" s="794" t="str">
        <f t="shared" si="182"/>
        <v>-</v>
      </c>
      <c r="AU198" s="819">
        <v>1</v>
      </c>
      <c r="AV198" s="820"/>
      <c r="AW198" s="821"/>
      <c r="AX198" s="821"/>
      <c r="AY198" s="969" t="str">
        <f t="shared" si="183"/>
        <v>-</v>
      </c>
      <c r="AZ198" s="966" t="str">
        <f t="shared" si="184"/>
        <v>-</v>
      </c>
      <c r="BA198" s="971" t="str">
        <f t="shared" si="185"/>
        <v>-</v>
      </c>
      <c r="BB198" s="975"/>
      <c r="BC198" s="821"/>
      <c r="BD198" s="821"/>
      <c r="BE198" s="963" t="str">
        <f t="shared" si="186"/>
        <v>-</v>
      </c>
      <c r="BF198" s="984"/>
      <c r="BG198" s="988"/>
      <c r="BH198" s="982"/>
      <c r="BI198" s="991"/>
      <c r="BJ198" s="991"/>
      <c r="BK198" s="993" t="str">
        <f t="shared" si="187"/>
        <v>-</v>
      </c>
      <c r="BL198" s="820">
        <v>42979</v>
      </c>
      <c r="BM198" s="821">
        <v>5</v>
      </c>
      <c r="BN198" s="822">
        <f t="shared" ca="1" si="188"/>
        <v>155</v>
      </c>
      <c r="BO198" s="823">
        <f t="shared" si="189"/>
        <v>39.799999999999997</v>
      </c>
      <c r="BP198" s="824">
        <v>43001</v>
      </c>
      <c r="BQ198" s="821">
        <v>2</v>
      </c>
      <c r="BR198" s="822">
        <f t="shared" ca="1" si="190"/>
        <v>133</v>
      </c>
      <c r="BS198" s="823">
        <f t="shared" si="191"/>
        <v>16.133333333333333</v>
      </c>
      <c r="BT198" s="825" t="str">
        <f t="shared" ca="1" si="192"/>
        <v>-</v>
      </c>
      <c r="BU198" s="826"/>
      <c r="BV198" s="827"/>
      <c r="BW198" s="828" t="str">
        <f t="shared" si="193"/>
        <v>Ж-Е НЕ ВАКЦ.</v>
      </c>
      <c r="BX198" s="829" t="str">
        <f t="shared" si="194"/>
        <v>-</v>
      </c>
      <c r="BY198" s="830" t="str">
        <f t="shared" ca="1" si="195"/>
        <v>-</v>
      </c>
      <c r="BZ198" s="831">
        <v>42940</v>
      </c>
      <c r="CA198" s="832">
        <v>5</v>
      </c>
      <c r="CB198" s="833">
        <f t="shared" ca="1" si="196"/>
        <v>194</v>
      </c>
      <c r="CC198" s="834" t="str">
        <f t="shared" ca="1" si="197"/>
        <v>-</v>
      </c>
      <c r="CD198" s="835">
        <f t="shared" si="198"/>
        <v>42961</v>
      </c>
      <c r="CE198" s="831">
        <v>42969</v>
      </c>
      <c r="CF198" s="832">
        <v>5</v>
      </c>
      <c r="CG198" s="833">
        <f t="shared" ca="1" si="199"/>
        <v>165</v>
      </c>
      <c r="CH198" s="836">
        <f t="shared" si="200"/>
        <v>-8</v>
      </c>
      <c r="CI198" s="837" t="str">
        <f t="shared" si="201"/>
        <v>-</v>
      </c>
      <c r="CJ198" s="838" t="str">
        <f t="shared" ca="1" si="202"/>
        <v>-</v>
      </c>
      <c r="CK198" s="831"/>
      <c r="CL198" s="832"/>
      <c r="CM198" s="833" t="str">
        <f t="shared" si="203"/>
        <v>-</v>
      </c>
      <c r="CN198" s="834" t="str">
        <f t="shared" si="204"/>
        <v>-</v>
      </c>
      <c r="CO198" s="830" t="str">
        <f t="shared" ca="1" si="205"/>
        <v>-</v>
      </c>
      <c r="CP198" s="839"/>
      <c r="CQ198" s="832"/>
      <c r="CR198" s="833" t="str">
        <f t="shared" si="206"/>
        <v>-</v>
      </c>
      <c r="CS198" s="833" t="str">
        <f t="shared" si="207"/>
        <v>-</v>
      </c>
      <c r="CT198" s="834" t="str">
        <f t="shared" si="208"/>
        <v>-</v>
      </c>
      <c r="CU198" s="835" t="str">
        <f t="shared" si="209"/>
        <v>-</v>
      </c>
      <c r="CV198" s="839"/>
      <c r="CW198" s="832"/>
      <c r="CX198" s="833" t="str">
        <f t="shared" si="210"/>
        <v>-</v>
      </c>
      <c r="CY198" s="840" t="str">
        <f t="shared" si="211"/>
        <v>-</v>
      </c>
      <c r="CZ198" s="833" t="str">
        <f t="shared" si="212"/>
        <v>-</v>
      </c>
      <c r="DA198" s="838" t="str">
        <f t="shared" ca="1" si="213"/>
        <v>-</v>
      </c>
      <c r="DB198" s="841"/>
      <c r="DC198" s="832"/>
    </row>
    <row r="199" spans="1:107" s="842" customFormat="1" ht="15.95" customHeight="1" x14ac:dyDescent="0.25">
      <c r="A199" s="790">
        <v>200</v>
      </c>
      <c r="B199" s="791">
        <f t="shared" ca="1" si="162"/>
        <v>43134</v>
      </c>
      <c r="C199" s="792" t="s">
        <v>613</v>
      </c>
      <c r="D199" s="793" t="s">
        <v>3201</v>
      </c>
      <c r="E199" s="794" t="s">
        <v>1313</v>
      </c>
      <c r="F199" s="854" t="s">
        <v>1195</v>
      </c>
      <c r="G199" s="796">
        <f>SUMIFS(МОЛОКО!L8:L6958,МОЛОКО!F8:F6958,"2255",МОЛОКО!L8:L6958,"&gt;0")</f>
        <v>14</v>
      </c>
      <c r="H199" s="797" t="s">
        <v>603</v>
      </c>
      <c r="I199" s="798">
        <v>41799</v>
      </c>
      <c r="J199" s="799">
        <f t="shared" ca="1" si="163"/>
        <v>3.6575342465753424</v>
      </c>
      <c r="K199" s="799">
        <f t="shared" ca="1" si="164"/>
        <v>44.5</v>
      </c>
      <c r="L199" s="800">
        <f t="shared" ca="1" si="165"/>
        <v>1335</v>
      </c>
      <c r="M199" s="801">
        <v>42644</v>
      </c>
      <c r="N199" s="802">
        <v>42644</v>
      </c>
      <c r="O199" s="803">
        <f t="shared" ca="1" si="166"/>
        <v>490</v>
      </c>
      <c r="P199" s="804">
        <v>1</v>
      </c>
      <c r="Q199" s="805" t="s">
        <v>1451</v>
      </c>
      <c r="R199" s="806" t="s">
        <v>2966</v>
      </c>
      <c r="S199" s="807">
        <v>42716</v>
      </c>
      <c r="T199" s="798">
        <v>42988</v>
      </c>
      <c r="U199" s="798" t="str">
        <f t="shared" si="167"/>
        <v>-</v>
      </c>
      <c r="V199" s="804" t="str">
        <f t="shared" ca="1" si="168"/>
        <v>-</v>
      </c>
      <c r="W199" s="808">
        <v>4</v>
      </c>
      <c r="X199" s="794">
        <f t="shared" si="161"/>
        <v>344</v>
      </c>
      <c r="Y199" s="794">
        <v>1</v>
      </c>
      <c r="Z199" s="809" t="str">
        <f t="shared" ca="1" si="169"/>
        <v>ПОДЛЕЖИТ ПЕРЕПРОВЕРКЕ</v>
      </c>
      <c r="AA199" s="810">
        <f t="shared" ca="1" si="170"/>
        <v>146</v>
      </c>
      <c r="AB199" s="804"/>
      <c r="AC199" s="811">
        <f t="shared" ca="1" si="171"/>
        <v>43060</v>
      </c>
      <c r="AD199" s="798"/>
      <c r="AE199" s="794" t="str">
        <f t="shared" ca="1" si="172"/>
        <v>-</v>
      </c>
      <c r="AF199" s="798" t="str">
        <f t="shared" si="173"/>
        <v>-</v>
      </c>
      <c r="AG199" s="812" t="str">
        <f t="shared" si="174"/>
        <v>---------</v>
      </c>
      <c r="AH199" s="807">
        <v>43021</v>
      </c>
      <c r="AI199" s="807">
        <f t="shared" si="175"/>
        <v>43178</v>
      </c>
      <c r="AJ199" s="807">
        <f t="shared" si="176"/>
        <v>43208</v>
      </c>
      <c r="AK199" s="813"/>
      <c r="AL199" s="807">
        <f t="shared" si="177"/>
        <v>43247</v>
      </c>
      <c r="AM199" s="807">
        <f t="shared" si="178"/>
        <v>43268</v>
      </c>
      <c r="AN199" s="814">
        <f t="shared" ca="1" si="179"/>
        <v>-134</v>
      </c>
      <c r="AO199" s="815">
        <v>1</v>
      </c>
      <c r="AP199" s="816" t="str">
        <f t="shared" ca="1" si="180"/>
        <v>-</v>
      </c>
      <c r="AQ199" s="817"/>
      <c r="AR199" s="794" t="str">
        <f t="shared" si="181"/>
        <v>-</v>
      </c>
      <c r="AS199" s="818"/>
      <c r="AT199" s="794" t="str">
        <f t="shared" si="182"/>
        <v>-</v>
      </c>
      <c r="AU199" s="819">
        <v>1</v>
      </c>
      <c r="AV199" s="820"/>
      <c r="AW199" s="821"/>
      <c r="AX199" s="821"/>
      <c r="AY199" s="969" t="str">
        <f t="shared" si="183"/>
        <v>-</v>
      </c>
      <c r="AZ199" s="966" t="str">
        <f t="shared" si="184"/>
        <v>-</v>
      </c>
      <c r="BA199" s="971" t="str">
        <f t="shared" si="185"/>
        <v>-</v>
      </c>
      <c r="BB199" s="975"/>
      <c r="BC199" s="821"/>
      <c r="BD199" s="821"/>
      <c r="BE199" s="963" t="str">
        <f t="shared" si="186"/>
        <v>-</v>
      </c>
      <c r="BF199" s="984"/>
      <c r="BG199" s="988"/>
      <c r="BH199" s="982"/>
      <c r="BI199" s="991"/>
      <c r="BJ199" s="991"/>
      <c r="BK199" s="993" t="str">
        <f t="shared" si="187"/>
        <v>-</v>
      </c>
      <c r="BL199" s="820">
        <v>42981</v>
      </c>
      <c r="BM199" s="821">
        <v>5</v>
      </c>
      <c r="BN199" s="822">
        <f t="shared" ca="1" si="188"/>
        <v>153</v>
      </c>
      <c r="BO199" s="823">
        <f t="shared" si="189"/>
        <v>39.4</v>
      </c>
      <c r="BP199" s="824">
        <v>43001</v>
      </c>
      <c r="BQ199" s="821">
        <v>2</v>
      </c>
      <c r="BR199" s="822">
        <f t="shared" ca="1" si="190"/>
        <v>133</v>
      </c>
      <c r="BS199" s="823">
        <f t="shared" si="191"/>
        <v>11.9</v>
      </c>
      <c r="BT199" s="825" t="str">
        <f t="shared" ca="1" si="192"/>
        <v>-</v>
      </c>
      <c r="BU199" s="826"/>
      <c r="BV199" s="827"/>
      <c r="BW199" s="828" t="str">
        <f t="shared" si="193"/>
        <v>Ж-Е НЕ ВАКЦ.</v>
      </c>
      <c r="BX199" s="829" t="str">
        <f t="shared" si="194"/>
        <v>-</v>
      </c>
      <c r="BY199" s="830" t="str">
        <f t="shared" ca="1" si="195"/>
        <v>-</v>
      </c>
      <c r="BZ199" s="831">
        <v>42887</v>
      </c>
      <c r="CA199" s="832">
        <v>5</v>
      </c>
      <c r="CB199" s="833">
        <f t="shared" ca="1" si="196"/>
        <v>247</v>
      </c>
      <c r="CC199" s="834" t="str">
        <f t="shared" ca="1" si="197"/>
        <v>-</v>
      </c>
      <c r="CD199" s="835">
        <f t="shared" si="198"/>
        <v>42908</v>
      </c>
      <c r="CE199" s="831">
        <v>42908</v>
      </c>
      <c r="CF199" s="832">
        <v>5</v>
      </c>
      <c r="CG199" s="833">
        <f t="shared" ca="1" si="199"/>
        <v>226</v>
      </c>
      <c r="CH199" s="836">
        <f t="shared" si="200"/>
        <v>0</v>
      </c>
      <c r="CI199" s="837" t="str">
        <f t="shared" si="201"/>
        <v>УСПЕШНО</v>
      </c>
      <c r="CJ199" s="838" t="str">
        <f t="shared" ca="1" si="202"/>
        <v>-</v>
      </c>
      <c r="CK199" s="831"/>
      <c r="CL199" s="832"/>
      <c r="CM199" s="833" t="str">
        <f t="shared" si="203"/>
        <v>-</v>
      </c>
      <c r="CN199" s="834" t="str">
        <f t="shared" si="204"/>
        <v>-</v>
      </c>
      <c r="CO199" s="830" t="str">
        <f t="shared" ca="1" si="205"/>
        <v>-</v>
      </c>
      <c r="CP199" s="839"/>
      <c r="CQ199" s="832"/>
      <c r="CR199" s="833" t="str">
        <f t="shared" si="206"/>
        <v>-</v>
      </c>
      <c r="CS199" s="833" t="str">
        <f t="shared" si="207"/>
        <v>-</v>
      </c>
      <c r="CT199" s="834" t="str">
        <f t="shared" si="208"/>
        <v>-</v>
      </c>
      <c r="CU199" s="835" t="str">
        <f t="shared" si="209"/>
        <v>-</v>
      </c>
      <c r="CV199" s="839"/>
      <c r="CW199" s="832"/>
      <c r="CX199" s="833" t="str">
        <f t="shared" si="210"/>
        <v>-</v>
      </c>
      <c r="CY199" s="840" t="str">
        <f t="shared" si="211"/>
        <v>-</v>
      </c>
      <c r="CZ199" s="833" t="str">
        <f t="shared" si="212"/>
        <v>-</v>
      </c>
      <c r="DA199" s="838" t="str">
        <f t="shared" ca="1" si="213"/>
        <v>-</v>
      </c>
      <c r="DB199" s="841"/>
      <c r="DC199" s="832"/>
    </row>
    <row r="200" spans="1:107" s="842" customFormat="1" ht="15.95" customHeight="1" x14ac:dyDescent="0.25">
      <c r="A200" s="790">
        <v>201</v>
      </c>
      <c r="B200" s="791">
        <f t="shared" ca="1" si="162"/>
        <v>43134</v>
      </c>
      <c r="C200" s="29" t="s">
        <v>613</v>
      </c>
      <c r="D200" s="59" t="s">
        <v>3201</v>
      </c>
      <c r="E200" s="794" t="s">
        <v>1326</v>
      </c>
      <c r="F200" s="854" t="s">
        <v>1209</v>
      </c>
      <c r="G200" s="796">
        <f>SUMIFS(МОЛОКО!L8:L6958,МОЛОКО!F8:F6958,"2315",МОЛОКО!L8:L6958,"&gt;0")</f>
        <v>27</v>
      </c>
      <c r="H200" s="797" t="s">
        <v>603</v>
      </c>
      <c r="I200" s="798">
        <v>41865</v>
      </c>
      <c r="J200" s="799">
        <f t="shared" ca="1" si="163"/>
        <v>3.4767123287671233</v>
      </c>
      <c r="K200" s="799">
        <f t="shared" ca="1" si="164"/>
        <v>42.3</v>
      </c>
      <c r="L200" s="800">
        <f t="shared" ca="1" si="165"/>
        <v>1269</v>
      </c>
      <c r="M200" s="801">
        <v>42513</v>
      </c>
      <c r="N200" s="802">
        <v>42914</v>
      </c>
      <c r="O200" s="803">
        <f t="shared" ca="1" si="166"/>
        <v>220</v>
      </c>
      <c r="P200" s="804">
        <v>2</v>
      </c>
      <c r="Q200" s="68" t="s">
        <v>1451</v>
      </c>
      <c r="R200" s="806" t="s">
        <v>2966</v>
      </c>
      <c r="S200" s="807">
        <v>42971</v>
      </c>
      <c r="T200" s="798">
        <v>43056</v>
      </c>
      <c r="U200" s="798">
        <f t="shared" si="167"/>
        <v>43074</v>
      </c>
      <c r="V200" s="804">
        <f t="shared" ca="1" si="168"/>
        <v>60</v>
      </c>
      <c r="W200" s="808">
        <v>3</v>
      </c>
      <c r="X200" s="794">
        <f t="shared" si="161"/>
        <v>142</v>
      </c>
      <c r="Y200" s="794">
        <v>3</v>
      </c>
      <c r="Z200" s="809" t="str">
        <f t="shared" ca="1" si="169"/>
        <v>-----</v>
      </c>
      <c r="AA200" s="810">
        <f t="shared" ca="1" si="170"/>
        <v>78</v>
      </c>
      <c r="AB200" s="804"/>
      <c r="AC200" s="811" t="str">
        <f t="shared" ca="1" si="171"/>
        <v>-----</v>
      </c>
      <c r="AD200" s="798"/>
      <c r="AE200" s="794" t="str">
        <f t="shared" ca="1" si="172"/>
        <v>-</v>
      </c>
      <c r="AF200" s="798">
        <f t="shared" si="173"/>
        <v>43091</v>
      </c>
      <c r="AG200" s="812">
        <f t="shared" ca="1" si="174"/>
        <v>43</v>
      </c>
      <c r="AH200" s="807">
        <v>43052</v>
      </c>
      <c r="AI200" s="807" t="str">
        <f t="shared" si="175"/>
        <v>-</v>
      </c>
      <c r="AJ200" s="807" t="str">
        <f t="shared" si="176"/>
        <v>-</v>
      </c>
      <c r="AK200" s="813"/>
      <c r="AL200" s="807" t="str">
        <f t="shared" si="177"/>
        <v>-</v>
      </c>
      <c r="AM200" s="807" t="str">
        <f t="shared" si="178"/>
        <v>-</v>
      </c>
      <c r="AN200" s="814" t="str">
        <f t="shared" ca="1" si="179"/>
        <v>-</v>
      </c>
      <c r="AO200" s="815">
        <v>1</v>
      </c>
      <c r="AP200" s="816" t="str">
        <f t="shared" ca="1" si="180"/>
        <v>-</v>
      </c>
      <c r="AQ200" s="817"/>
      <c r="AR200" s="794" t="str">
        <f t="shared" si="181"/>
        <v>-</v>
      </c>
      <c r="AS200" s="818"/>
      <c r="AT200" s="794" t="str">
        <f t="shared" si="182"/>
        <v>-</v>
      </c>
      <c r="AU200" s="819">
        <v>1</v>
      </c>
      <c r="AV200" s="820"/>
      <c r="AW200" s="821"/>
      <c r="AX200" s="821"/>
      <c r="AY200" s="969" t="str">
        <f t="shared" si="183"/>
        <v>-</v>
      </c>
      <c r="AZ200" s="966" t="str">
        <f t="shared" si="184"/>
        <v>-</v>
      </c>
      <c r="BA200" s="971" t="str">
        <f t="shared" si="185"/>
        <v>-</v>
      </c>
      <c r="BB200" s="975"/>
      <c r="BC200" s="821"/>
      <c r="BD200" s="821"/>
      <c r="BE200" s="963" t="str">
        <f t="shared" si="186"/>
        <v>-</v>
      </c>
      <c r="BF200" s="984"/>
      <c r="BG200" s="988"/>
      <c r="BH200" s="982"/>
      <c r="BI200" s="991"/>
      <c r="BJ200" s="991"/>
      <c r="BK200" s="993" t="str">
        <f t="shared" si="187"/>
        <v>-</v>
      </c>
      <c r="BL200" s="820">
        <v>42979</v>
      </c>
      <c r="BM200" s="821">
        <v>5</v>
      </c>
      <c r="BN200" s="822">
        <f t="shared" ca="1" si="188"/>
        <v>155</v>
      </c>
      <c r="BO200" s="823">
        <f t="shared" si="189"/>
        <v>37.133333333333333</v>
      </c>
      <c r="BP200" s="824">
        <v>43001</v>
      </c>
      <c r="BQ200" s="821">
        <v>2</v>
      </c>
      <c r="BR200" s="822">
        <f t="shared" ca="1" si="190"/>
        <v>133</v>
      </c>
      <c r="BS200" s="823">
        <f t="shared" si="191"/>
        <v>16.266666666666666</v>
      </c>
      <c r="BT200" s="825" t="str">
        <f t="shared" ca="1" si="192"/>
        <v>-</v>
      </c>
      <c r="BU200" s="826"/>
      <c r="BV200" s="827"/>
      <c r="BW200" s="828" t="str">
        <f t="shared" si="193"/>
        <v>Ж-Е НЕ ВАКЦ.</v>
      </c>
      <c r="BX200" s="829" t="str">
        <f t="shared" si="194"/>
        <v>-</v>
      </c>
      <c r="BY200" s="830" t="str">
        <f t="shared" ca="1" si="195"/>
        <v>-</v>
      </c>
      <c r="BZ200" s="831">
        <v>42940</v>
      </c>
      <c r="CA200" s="832">
        <v>5</v>
      </c>
      <c r="CB200" s="833">
        <f t="shared" ca="1" si="196"/>
        <v>194</v>
      </c>
      <c r="CC200" s="834" t="str">
        <f t="shared" ca="1" si="197"/>
        <v>-</v>
      </c>
      <c r="CD200" s="835">
        <f t="shared" si="198"/>
        <v>42961</v>
      </c>
      <c r="CE200" s="831">
        <v>42969</v>
      </c>
      <c r="CF200" s="832">
        <v>5</v>
      </c>
      <c r="CG200" s="833">
        <f t="shared" ca="1" si="199"/>
        <v>165</v>
      </c>
      <c r="CH200" s="836">
        <f t="shared" si="200"/>
        <v>-8</v>
      </c>
      <c r="CI200" s="837" t="str">
        <f t="shared" si="201"/>
        <v>-</v>
      </c>
      <c r="CJ200" s="838" t="str">
        <f t="shared" ca="1" si="202"/>
        <v>-</v>
      </c>
      <c r="CK200" s="831"/>
      <c r="CL200" s="832"/>
      <c r="CM200" s="833" t="str">
        <f t="shared" si="203"/>
        <v>-</v>
      </c>
      <c r="CN200" s="834" t="str">
        <f t="shared" si="204"/>
        <v>-</v>
      </c>
      <c r="CO200" s="830" t="str">
        <f t="shared" ca="1" si="205"/>
        <v>-</v>
      </c>
      <c r="CP200" s="839"/>
      <c r="CQ200" s="832"/>
      <c r="CR200" s="833" t="str">
        <f t="shared" si="206"/>
        <v>-</v>
      </c>
      <c r="CS200" s="833" t="str">
        <f t="shared" si="207"/>
        <v>-</v>
      </c>
      <c r="CT200" s="834" t="str">
        <f t="shared" si="208"/>
        <v>-</v>
      </c>
      <c r="CU200" s="835" t="str">
        <f t="shared" si="209"/>
        <v>-</v>
      </c>
      <c r="CV200" s="839"/>
      <c r="CW200" s="832"/>
      <c r="CX200" s="833" t="str">
        <f t="shared" si="210"/>
        <v>-</v>
      </c>
      <c r="CY200" s="840" t="str">
        <f t="shared" si="211"/>
        <v>-</v>
      </c>
      <c r="CZ200" s="833" t="str">
        <f t="shared" si="212"/>
        <v>-</v>
      </c>
      <c r="DA200" s="838" t="str">
        <f t="shared" ca="1" si="213"/>
        <v>-</v>
      </c>
      <c r="DB200" s="841"/>
      <c r="DC200" s="832"/>
    </row>
    <row r="201" spans="1:107" s="842" customFormat="1" ht="15" customHeight="1" x14ac:dyDescent="0.25">
      <c r="A201" s="790">
        <v>202</v>
      </c>
      <c r="B201" s="791">
        <f t="shared" ca="1" si="162"/>
        <v>43134</v>
      </c>
      <c r="C201" s="792" t="s">
        <v>613</v>
      </c>
      <c r="D201" s="793" t="s">
        <v>3201</v>
      </c>
      <c r="E201" s="794" t="s">
        <v>1340</v>
      </c>
      <c r="F201" s="854" t="s">
        <v>1224</v>
      </c>
      <c r="G201" s="796">
        <f>SUMIFS(МОЛОКО!L8:L6958,МОЛОКО!F8:F6958,"2350",МОЛОКО!L8:L6958,"&gt;0")</f>
        <v>31.4</v>
      </c>
      <c r="H201" s="797" t="s">
        <v>603</v>
      </c>
      <c r="I201" s="798">
        <v>41892</v>
      </c>
      <c r="J201" s="799">
        <f t="shared" ca="1" si="163"/>
        <v>3.4027397260273973</v>
      </c>
      <c r="K201" s="799">
        <f t="shared" ca="1" si="164"/>
        <v>41.4</v>
      </c>
      <c r="L201" s="800">
        <f t="shared" ca="1" si="165"/>
        <v>1242</v>
      </c>
      <c r="M201" s="801">
        <v>42571</v>
      </c>
      <c r="N201" s="802">
        <v>42571</v>
      </c>
      <c r="O201" s="803">
        <f t="shared" ca="1" si="166"/>
        <v>563</v>
      </c>
      <c r="P201" s="804">
        <v>1</v>
      </c>
      <c r="Q201" s="805" t="s">
        <v>1451</v>
      </c>
      <c r="R201" s="806" t="s">
        <v>1820</v>
      </c>
      <c r="S201" s="807">
        <v>42653</v>
      </c>
      <c r="T201" s="798">
        <v>42897</v>
      </c>
      <c r="U201" s="798" t="str">
        <f t="shared" si="167"/>
        <v>-</v>
      </c>
      <c r="V201" s="804" t="str">
        <f t="shared" ca="1" si="168"/>
        <v>-</v>
      </c>
      <c r="W201" s="808">
        <v>3</v>
      </c>
      <c r="X201" s="794">
        <f t="shared" si="161"/>
        <v>326</v>
      </c>
      <c r="Y201" s="794">
        <v>1</v>
      </c>
      <c r="Z201" s="809" t="str">
        <f t="shared" ca="1" si="169"/>
        <v>-----</v>
      </c>
      <c r="AA201" s="810" t="str">
        <f t="shared" ca="1" si="170"/>
        <v>-----</v>
      </c>
      <c r="AB201" s="804">
        <v>1</v>
      </c>
      <c r="AC201" s="811" t="str">
        <f t="shared" ca="1" si="171"/>
        <v>-----</v>
      </c>
      <c r="AD201" s="798"/>
      <c r="AE201" s="794" t="str">
        <f t="shared" ca="1" si="172"/>
        <v>-</v>
      </c>
      <c r="AF201" s="798" t="str">
        <f t="shared" si="173"/>
        <v>-</v>
      </c>
      <c r="AG201" s="812" t="str">
        <f t="shared" si="174"/>
        <v>---------</v>
      </c>
      <c r="AH201" s="807">
        <v>42964</v>
      </c>
      <c r="AI201" s="807">
        <f t="shared" si="175"/>
        <v>43087</v>
      </c>
      <c r="AJ201" s="807">
        <f t="shared" si="176"/>
        <v>43117</v>
      </c>
      <c r="AK201" s="813"/>
      <c r="AL201" s="807">
        <f t="shared" si="177"/>
        <v>43156</v>
      </c>
      <c r="AM201" s="807">
        <f t="shared" si="178"/>
        <v>43177</v>
      </c>
      <c r="AN201" s="814">
        <f t="shared" ca="1" si="179"/>
        <v>-43</v>
      </c>
      <c r="AO201" s="815">
        <v>1</v>
      </c>
      <c r="AP201" s="816" t="str">
        <f t="shared" ca="1" si="180"/>
        <v>-</v>
      </c>
      <c r="AQ201" s="817"/>
      <c r="AR201" s="794" t="str">
        <f t="shared" si="181"/>
        <v>-</v>
      </c>
      <c r="AS201" s="818"/>
      <c r="AT201" s="794" t="str">
        <f t="shared" si="182"/>
        <v>-</v>
      </c>
      <c r="AU201" s="819">
        <v>1</v>
      </c>
      <c r="AV201" s="820"/>
      <c r="AW201" s="821"/>
      <c r="AX201" s="821"/>
      <c r="AY201" s="969" t="str">
        <f t="shared" si="183"/>
        <v>-</v>
      </c>
      <c r="AZ201" s="966" t="str">
        <f t="shared" si="184"/>
        <v>-</v>
      </c>
      <c r="BA201" s="971" t="str">
        <f t="shared" si="185"/>
        <v>-</v>
      </c>
      <c r="BB201" s="975"/>
      <c r="BC201" s="821"/>
      <c r="BD201" s="821"/>
      <c r="BE201" s="963" t="str">
        <f t="shared" si="186"/>
        <v>-</v>
      </c>
      <c r="BF201" s="984"/>
      <c r="BG201" s="988"/>
      <c r="BH201" s="982"/>
      <c r="BI201" s="991"/>
      <c r="BJ201" s="991"/>
      <c r="BK201" s="993" t="str">
        <f t="shared" si="187"/>
        <v>-</v>
      </c>
      <c r="BL201" s="820">
        <v>42981</v>
      </c>
      <c r="BM201" s="821">
        <v>5</v>
      </c>
      <c r="BN201" s="822">
        <f t="shared" ca="1" si="188"/>
        <v>153</v>
      </c>
      <c r="BO201" s="823">
        <f t="shared" si="189"/>
        <v>36.299999999999997</v>
      </c>
      <c r="BP201" s="824">
        <v>43001</v>
      </c>
      <c r="BQ201" s="821">
        <v>2</v>
      </c>
      <c r="BR201" s="822">
        <f t="shared" ca="1" si="190"/>
        <v>133</v>
      </c>
      <c r="BS201" s="823">
        <f t="shared" si="191"/>
        <v>14.333333333333334</v>
      </c>
      <c r="BT201" s="825" t="str">
        <f t="shared" ca="1" si="192"/>
        <v>-</v>
      </c>
      <c r="BU201" s="826"/>
      <c r="BV201" s="827"/>
      <c r="BW201" s="828" t="str">
        <f t="shared" si="193"/>
        <v>Ж-Е НЕ ВАКЦ.</v>
      </c>
      <c r="BX201" s="829" t="str">
        <f t="shared" si="194"/>
        <v>-</v>
      </c>
      <c r="BY201" s="830" t="str">
        <f t="shared" ca="1" si="195"/>
        <v>-</v>
      </c>
      <c r="BZ201" s="831">
        <v>42887</v>
      </c>
      <c r="CA201" s="832">
        <v>5</v>
      </c>
      <c r="CB201" s="833">
        <f t="shared" ca="1" si="196"/>
        <v>247</v>
      </c>
      <c r="CC201" s="834" t="str">
        <f t="shared" ca="1" si="197"/>
        <v>-</v>
      </c>
      <c r="CD201" s="835">
        <f t="shared" si="198"/>
        <v>42908</v>
      </c>
      <c r="CE201" s="831">
        <v>42908</v>
      </c>
      <c r="CF201" s="832">
        <v>5</v>
      </c>
      <c r="CG201" s="833">
        <f t="shared" ca="1" si="199"/>
        <v>226</v>
      </c>
      <c r="CH201" s="836">
        <f t="shared" si="200"/>
        <v>0</v>
      </c>
      <c r="CI201" s="837" t="str">
        <f t="shared" si="201"/>
        <v>УСПЕШНО</v>
      </c>
      <c r="CJ201" s="838" t="str">
        <f t="shared" ca="1" si="202"/>
        <v>-</v>
      </c>
      <c r="CK201" s="831"/>
      <c r="CL201" s="832"/>
      <c r="CM201" s="833" t="str">
        <f t="shared" si="203"/>
        <v>-</v>
      </c>
      <c r="CN201" s="834" t="str">
        <f t="shared" si="204"/>
        <v>-</v>
      </c>
      <c r="CO201" s="830" t="str">
        <f t="shared" ca="1" si="205"/>
        <v>ТРЕБУЕТСЯ ВАКЦИНАЦИЯ</v>
      </c>
      <c r="CP201" s="839"/>
      <c r="CQ201" s="832"/>
      <c r="CR201" s="833" t="str">
        <f t="shared" si="206"/>
        <v>-</v>
      </c>
      <c r="CS201" s="833" t="str">
        <f t="shared" si="207"/>
        <v>-</v>
      </c>
      <c r="CT201" s="834" t="str">
        <f t="shared" si="208"/>
        <v>-</v>
      </c>
      <c r="CU201" s="835" t="str">
        <f t="shared" si="209"/>
        <v>-</v>
      </c>
      <c r="CV201" s="839"/>
      <c r="CW201" s="832"/>
      <c r="CX201" s="833" t="str">
        <f t="shared" si="210"/>
        <v>-</v>
      </c>
      <c r="CY201" s="840" t="str">
        <f t="shared" si="211"/>
        <v>-</v>
      </c>
      <c r="CZ201" s="833" t="str">
        <f t="shared" si="212"/>
        <v>-</v>
      </c>
      <c r="DA201" s="838" t="str">
        <f t="shared" ca="1" si="213"/>
        <v>-</v>
      </c>
      <c r="DB201" s="841"/>
      <c r="DC201" s="832"/>
    </row>
    <row r="202" spans="1:107" s="842" customFormat="1" ht="15.95" customHeight="1" x14ac:dyDescent="0.25">
      <c r="A202" s="790">
        <v>203</v>
      </c>
      <c r="B202" s="791">
        <f t="shared" ca="1" si="162"/>
        <v>43134</v>
      </c>
      <c r="C202" s="792" t="s">
        <v>613</v>
      </c>
      <c r="D202" s="793" t="s">
        <v>3201</v>
      </c>
      <c r="E202" s="794" t="s">
        <v>1348</v>
      </c>
      <c r="F202" s="854" t="s">
        <v>1232</v>
      </c>
      <c r="G202" s="796">
        <f>SUMIFS(МОЛОКО!L8:L6958,МОЛОКО!F8:F6958,"2380",МОЛОКО!L8:L6958,"&gt;0")</f>
        <v>15</v>
      </c>
      <c r="H202" s="797" t="s">
        <v>603</v>
      </c>
      <c r="I202" s="798">
        <v>41932</v>
      </c>
      <c r="J202" s="799">
        <f t="shared" ca="1" si="163"/>
        <v>3.2931506849315069</v>
      </c>
      <c r="K202" s="799">
        <f t="shared" ca="1" si="164"/>
        <v>40.06666666666667</v>
      </c>
      <c r="L202" s="800">
        <f t="shared" ca="1" si="165"/>
        <v>1202</v>
      </c>
      <c r="M202" s="801">
        <v>42588</v>
      </c>
      <c r="N202" s="802">
        <v>42588</v>
      </c>
      <c r="O202" s="803">
        <f t="shared" ca="1" si="166"/>
        <v>546</v>
      </c>
      <c r="P202" s="804">
        <v>1</v>
      </c>
      <c r="Q202" s="805" t="s">
        <v>2677</v>
      </c>
      <c r="R202" s="806" t="s">
        <v>1874</v>
      </c>
      <c r="S202" s="807">
        <v>42671</v>
      </c>
      <c r="T202" s="798">
        <v>42854</v>
      </c>
      <c r="U202" s="798" t="str">
        <f t="shared" si="167"/>
        <v>-</v>
      </c>
      <c r="V202" s="804" t="str">
        <f t="shared" ca="1" si="168"/>
        <v>-</v>
      </c>
      <c r="W202" s="808">
        <v>4</v>
      </c>
      <c r="X202" s="794">
        <f t="shared" si="161"/>
        <v>266</v>
      </c>
      <c r="Y202" s="794">
        <v>0</v>
      </c>
      <c r="Z202" s="809" t="str">
        <f t="shared" ca="1" si="169"/>
        <v>-----</v>
      </c>
      <c r="AA202" s="810">
        <f t="shared" ca="1" si="170"/>
        <v>280</v>
      </c>
      <c r="AB202" s="804">
        <v>0</v>
      </c>
      <c r="AC202" s="811" t="str">
        <f t="shared" ca="1" si="171"/>
        <v>-----</v>
      </c>
      <c r="AD202" s="798">
        <v>42932</v>
      </c>
      <c r="AE202" s="794" t="str">
        <f t="shared" ca="1" si="172"/>
        <v>яловая</v>
      </c>
      <c r="AF202" s="798" t="str">
        <f t="shared" si="173"/>
        <v>-</v>
      </c>
      <c r="AG202" s="812" t="str">
        <f t="shared" si="174"/>
        <v>---------</v>
      </c>
      <c r="AH202" s="807">
        <v>42890</v>
      </c>
      <c r="AI202" s="807" t="str">
        <f t="shared" si="175"/>
        <v>-</v>
      </c>
      <c r="AJ202" s="807" t="str">
        <f t="shared" si="176"/>
        <v>-</v>
      </c>
      <c r="AK202" s="813"/>
      <c r="AL202" s="807" t="str">
        <f t="shared" si="177"/>
        <v>-</v>
      </c>
      <c r="AM202" s="807" t="str">
        <f t="shared" si="178"/>
        <v>-</v>
      </c>
      <c r="AN202" s="814" t="str">
        <f t="shared" ca="1" si="179"/>
        <v>-</v>
      </c>
      <c r="AO202" s="815">
        <v>1</v>
      </c>
      <c r="AP202" s="816" t="str">
        <f t="shared" ca="1" si="180"/>
        <v>БРАК</v>
      </c>
      <c r="AQ202" s="817" t="s">
        <v>2947</v>
      </c>
      <c r="AR202" s="794" t="str">
        <f t="shared" si="181"/>
        <v>-</v>
      </c>
      <c r="AS202" s="818"/>
      <c r="AT202" s="794" t="str">
        <f t="shared" si="182"/>
        <v>-</v>
      </c>
      <c r="AU202" s="819">
        <v>1</v>
      </c>
      <c r="AV202" s="820"/>
      <c r="AW202" s="821"/>
      <c r="AX202" s="821"/>
      <c r="AY202" s="969" t="str">
        <f t="shared" si="183"/>
        <v>-</v>
      </c>
      <c r="AZ202" s="966" t="str">
        <f t="shared" si="184"/>
        <v>-</v>
      </c>
      <c r="BA202" s="971" t="str">
        <f t="shared" si="185"/>
        <v>-</v>
      </c>
      <c r="BB202" s="975"/>
      <c r="BC202" s="821"/>
      <c r="BD202" s="821"/>
      <c r="BE202" s="963" t="str">
        <f t="shared" si="186"/>
        <v>-</v>
      </c>
      <c r="BF202" s="984"/>
      <c r="BG202" s="988"/>
      <c r="BH202" s="982"/>
      <c r="BI202" s="991"/>
      <c r="BJ202" s="991"/>
      <c r="BK202" s="993" t="str">
        <f t="shared" si="187"/>
        <v>-</v>
      </c>
      <c r="BL202" s="820">
        <v>42981</v>
      </c>
      <c r="BM202" s="821">
        <v>5</v>
      </c>
      <c r="BN202" s="822">
        <f t="shared" ca="1" si="188"/>
        <v>153</v>
      </c>
      <c r="BO202" s="823">
        <f t="shared" si="189"/>
        <v>34.966666666666669</v>
      </c>
      <c r="BP202" s="824">
        <v>43001</v>
      </c>
      <c r="BQ202" s="821">
        <v>2</v>
      </c>
      <c r="BR202" s="822">
        <f t="shared" ca="1" si="190"/>
        <v>133</v>
      </c>
      <c r="BS202" s="823">
        <f t="shared" si="191"/>
        <v>13.766666666666667</v>
      </c>
      <c r="BT202" s="825" t="str">
        <f t="shared" ca="1" si="192"/>
        <v>-</v>
      </c>
      <c r="BU202" s="826"/>
      <c r="BV202" s="827"/>
      <c r="BW202" s="828" t="str">
        <f t="shared" si="193"/>
        <v>Ж-Е НЕ ВАКЦ.</v>
      </c>
      <c r="BX202" s="829" t="str">
        <f t="shared" si="194"/>
        <v>-</v>
      </c>
      <c r="BY202" s="830" t="str">
        <f t="shared" ca="1" si="195"/>
        <v>-</v>
      </c>
      <c r="BZ202" s="831">
        <v>42887</v>
      </c>
      <c r="CA202" s="832">
        <v>5</v>
      </c>
      <c r="CB202" s="833">
        <f t="shared" ca="1" si="196"/>
        <v>247</v>
      </c>
      <c r="CC202" s="834" t="str">
        <f t="shared" ca="1" si="197"/>
        <v>-</v>
      </c>
      <c r="CD202" s="835">
        <f t="shared" si="198"/>
        <v>42908</v>
      </c>
      <c r="CE202" s="831">
        <v>42908</v>
      </c>
      <c r="CF202" s="832">
        <v>5</v>
      </c>
      <c r="CG202" s="833">
        <f t="shared" ca="1" si="199"/>
        <v>226</v>
      </c>
      <c r="CH202" s="836">
        <f t="shared" si="200"/>
        <v>0</v>
      </c>
      <c r="CI202" s="837" t="str">
        <f t="shared" si="201"/>
        <v>УСПЕШНО</v>
      </c>
      <c r="CJ202" s="838" t="str">
        <f t="shared" ca="1" si="202"/>
        <v>-</v>
      </c>
      <c r="CK202" s="831"/>
      <c r="CL202" s="832"/>
      <c r="CM202" s="833" t="str">
        <f t="shared" si="203"/>
        <v>-</v>
      </c>
      <c r="CN202" s="834" t="str">
        <f t="shared" si="204"/>
        <v>-</v>
      </c>
      <c r="CO202" s="830" t="str">
        <f t="shared" ca="1" si="205"/>
        <v>-</v>
      </c>
      <c r="CP202" s="839"/>
      <c r="CQ202" s="832"/>
      <c r="CR202" s="833" t="str">
        <f t="shared" si="206"/>
        <v>-</v>
      </c>
      <c r="CS202" s="833" t="str">
        <f t="shared" si="207"/>
        <v>-</v>
      </c>
      <c r="CT202" s="834" t="str">
        <f t="shared" si="208"/>
        <v>-</v>
      </c>
      <c r="CU202" s="835" t="str">
        <f t="shared" si="209"/>
        <v>-</v>
      </c>
      <c r="CV202" s="839"/>
      <c r="CW202" s="832"/>
      <c r="CX202" s="833" t="str">
        <f t="shared" si="210"/>
        <v>-</v>
      </c>
      <c r="CY202" s="840" t="str">
        <f t="shared" si="211"/>
        <v>-</v>
      </c>
      <c r="CZ202" s="833" t="str">
        <f t="shared" si="212"/>
        <v>-</v>
      </c>
      <c r="DA202" s="838" t="str">
        <f t="shared" ca="1" si="213"/>
        <v>-</v>
      </c>
      <c r="DB202" s="841"/>
      <c r="DC202" s="832"/>
    </row>
    <row r="203" spans="1:107" s="842" customFormat="1" ht="15.95" customHeight="1" x14ac:dyDescent="0.25">
      <c r="A203" s="790">
        <v>204</v>
      </c>
      <c r="B203" s="791">
        <f t="shared" ca="1" si="162"/>
        <v>43134</v>
      </c>
      <c r="C203" s="792" t="s">
        <v>613</v>
      </c>
      <c r="D203" s="793" t="s">
        <v>3201</v>
      </c>
      <c r="E203" s="794" t="s">
        <v>1052</v>
      </c>
      <c r="F203" s="854" t="s">
        <v>963</v>
      </c>
      <c r="G203" s="796">
        <f>SUMIFS(МОЛОКО!L8:L6958,МОЛОКО!F8:F6958,"2394",МОЛОКО!L8:L6958,"&gt;0")</f>
        <v>18.600000000000001</v>
      </c>
      <c r="H203" s="797" t="s">
        <v>603</v>
      </c>
      <c r="I203" s="798">
        <v>41946</v>
      </c>
      <c r="J203" s="799">
        <f t="shared" ca="1" si="163"/>
        <v>3.2547945205479452</v>
      </c>
      <c r="K203" s="799">
        <f t="shared" ca="1" si="164"/>
        <v>39.6</v>
      </c>
      <c r="L203" s="800">
        <f t="shared" ca="1" si="165"/>
        <v>1188</v>
      </c>
      <c r="M203" s="801">
        <v>42729</v>
      </c>
      <c r="N203" s="802">
        <v>42729</v>
      </c>
      <c r="O203" s="803">
        <f t="shared" ca="1" si="166"/>
        <v>405</v>
      </c>
      <c r="P203" s="804">
        <v>1</v>
      </c>
      <c r="Q203" s="805" t="s">
        <v>2366</v>
      </c>
      <c r="R203" s="118" t="s">
        <v>2966</v>
      </c>
      <c r="S203" s="807">
        <v>42789</v>
      </c>
      <c r="T203" s="855">
        <v>43042</v>
      </c>
      <c r="U203" s="798">
        <f t="shared" si="167"/>
        <v>43060</v>
      </c>
      <c r="V203" s="804">
        <f t="shared" ca="1" si="168"/>
        <v>74</v>
      </c>
      <c r="W203" s="808">
        <v>4</v>
      </c>
      <c r="X203" s="794">
        <f t="shared" si="161"/>
        <v>313</v>
      </c>
      <c r="Y203" s="794">
        <v>3</v>
      </c>
      <c r="Z203" s="809" t="str">
        <f t="shared" ca="1" si="169"/>
        <v>-----</v>
      </c>
      <c r="AA203" s="810">
        <f t="shared" ca="1" si="170"/>
        <v>92</v>
      </c>
      <c r="AB203" s="804">
        <v>0</v>
      </c>
      <c r="AC203" s="811" t="str">
        <f t="shared" ca="1" si="171"/>
        <v>-----</v>
      </c>
      <c r="AD203" s="798">
        <v>43003</v>
      </c>
      <c r="AE203" s="794" t="str">
        <f t="shared" ca="1" si="172"/>
        <v>-</v>
      </c>
      <c r="AF203" s="798">
        <f t="shared" si="173"/>
        <v>43077</v>
      </c>
      <c r="AG203" s="812">
        <f t="shared" ca="1" si="174"/>
        <v>57</v>
      </c>
      <c r="AH203" s="807">
        <v>43035</v>
      </c>
      <c r="AI203" s="807" t="str">
        <f t="shared" si="175"/>
        <v>-</v>
      </c>
      <c r="AJ203" s="807" t="str">
        <f t="shared" si="176"/>
        <v>-</v>
      </c>
      <c r="AK203" s="813"/>
      <c r="AL203" s="807" t="str">
        <f t="shared" si="177"/>
        <v>-</v>
      </c>
      <c r="AM203" s="807" t="str">
        <f t="shared" si="178"/>
        <v>-</v>
      </c>
      <c r="AN203" s="814" t="str">
        <f t="shared" ca="1" si="179"/>
        <v>-</v>
      </c>
      <c r="AO203" s="815">
        <v>1</v>
      </c>
      <c r="AP203" s="816" t="str">
        <f t="shared" ca="1" si="180"/>
        <v>-</v>
      </c>
      <c r="AQ203" s="817"/>
      <c r="AR203" s="794" t="str">
        <f t="shared" si="181"/>
        <v>-</v>
      </c>
      <c r="AS203" s="818"/>
      <c r="AT203" s="794" t="str">
        <f t="shared" si="182"/>
        <v>-</v>
      </c>
      <c r="AU203" s="819">
        <v>1</v>
      </c>
      <c r="AV203" s="820"/>
      <c r="AW203" s="821"/>
      <c r="AX203" s="821"/>
      <c r="AY203" s="969" t="str">
        <f t="shared" si="183"/>
        <v>-</v>
      </c>
      <c r="AZ203" s="966" t="str">
        <f t="shared" si="184"/>
        <v>-</v>
      </c>
      <c r="BA203" s="971" t="str">
        <f t="shared" si="185"/>
        <v>-</v>
      </c>
      <c r="BB203" s="975"/>
      <c r="BC203" s="821"/>
      <c r="BD203" s="821"/>
      <c r="BE203" s="963" t="str">
        <f t="shared" si="186"/>
        <v>-</v>
      </c>
      <c r="BF203" s="984"/>
      <c r="BG203" s="988"/>
      <c r="BH203" s="982"/>
      <c r="BI203" s="991"/>
      <c r="BJ203" s="991"/>
      <c r="BK203" s="993" t="str">
        <f t="shared" si="187"/>
        <v>-</v>
      </c>
      <c r="BL203" s="820">
        <v>42981</v>
      </c>
      <c r="BM203" s="821">
        <v>5</v>
      </c>
      <c r="BN203" s="822">
        <f t="shared" ca="1" si="188"/>
        <v>153</v>
      </c>
      <c r="BO203" s="823">
        <f t="shared" si="189"/>
        <v>34.5</v>
      </c>
      <c r="BP203" s="824">
        <v>43001</v>
      </c>
      <c r="BQ203" s="821">
        <v>2</v>
      </c>
      <c r="BR203" s="822">
        <f t="shared" ca="1" si="190"/>
        <v>133</v>
      </c>
      <c r="BS203" s="823">
        <f t="shared" si="191"/>
        <v>9.0666666666666664</v>
      </c>
      <c r="BT203" s="825" t="str">
        <f t="shared" ca="1" si="192"/>
        <v>-</v>
      </c>
      <c r="BU203" s="826"/>
      <c r="BV203" s="827"/>
      <c r="BW203" s="828" t="str">
        <f t="shared" si="193"/>
        <v>Ж-Е НЕ ВАКЦ.</v>
      </c>
      <c r="BX203" s="829" t="str">
        <f t="shared" si="194"/>
        <v>-</v>
      </c>
      <c r="BY203" s="830" t="str">
        <f t="shared" ca="1" si="195"/>
        <v>-</v>
      </c>
      <c r="BZ203" s="831">
        <v>42887</v>
      </c>
      <c r="CA203" s="832">
        <v>5</v>
      </c>
      <c r="CB203" s="833">
        <f t="shared" ca="1" si="196"/>
        <v>247</v>
      </c>
      <c r="CC203" s="834" t="str">
        <f t="shared" ca="1" si="197"/>
        <v>-</v>
      </c>
      <c r="CD203" s="835">
        <f t="shared" si="198"/>
        <v>42908</v>
      </c>
      <c r="CE203" s="831">
        <v>42908</v>
      </c>
      <c r="CF203" s="832">
        <v>5</v>
      </c>
      <c r="CG203" s="833">
        <f t="shared" ca="1" si="199"/>
        <v>226</v>
      </c>
      <c r="CH203" s="836">
        <f t="shared" si="200"/>
        <v>0</v>
      </c>
      <c r="CI203" s="837" t="str">
        <f t="shared" si="201"/>
        <v>УСПЕШНО</v>
      </c>
      <c r="CJ203" s="838" t="str">
        <f t="shared" ca="1" si="202"/>
        <v>-</v>
      </c>
      <c r="CK203" s="831"/>
      <c r="CL203" s="832"/>
      <c r="CM203" s="833" t="str">
        <f t="shared" si="203"/>
        <v>-</v>
      </c>
      <c r="CN203" s="834" t="str">
        <f t="shared" si="204"/>
        <v>-</v>
      </c>
      <c r="CO203" s="830" t="str">
        <f t="shared" ca="1" si="205"/>
        <v>-</v>
      </c>
      <c r="CP203" s="839"/>
      <c r="CQ203" s="832"/>
      <c r="CR203" s="833" t="str">
        <f t="shared" si="206"/>
        <v>-</v>
      </c>
      <c r="CS203" s="833" t="str">
        <f t="shared" si="207"/>
        <v>-</v>
      </c>
      <c r="CT203" s="834" t="str">
        <f t="shared" si="208"/>
        <v>-</v>
      </c>
      <c r="CU203" s="835" t="str">
        <f t="shared" si="209"/>
        <v>-</v>
      </c>
      <c r="CV203" s="839"/>
      <c r="CW203" s="832"/>
      <c r="CX203" s="833" t="str">
        <f t="shared" si="210"/>
        <v>-</v>
      </c>
      <c r="CY203" s="840" t="str">
        <f t="shared" si="211"/>
        <v>-</v>
      </c>
      <c r="CZ203" s="833" t="str">
        <f t="shared" si="212"/>
        <v>-</v>
      </c>
      <c r="DA203" s="838" t="str">
        <f t="shared" ca="1" si="213"/>
        <v>-</v>
      </c>
      <c r="DB203" s="841"/>
      <c r="DC203" s="832"/>
    </row>
    <row r="204" spans="1:107" s="842" customFormat="1" ht="15.95" customHeight="1" x14ac:dyDescent="0.25">
      <c r="A204" s="790">
        <v>205</v>
      </c>
      <c r="B204" s="791">
        <f t="shared" ca="1" si="162"/>
        <v>43134</v>
      </c>
      <c r="C204" s="792" t="s">
        <v>613</v>
      </c>
      <c r="D204" s="793" t="s">
        <v>3201</v>
      </c>
      <c r="E204" s="794" t="s">
        <v>1085</v>
      </c>
      <c r="F204" s="854" t="s">
        <v>990</v>
      </c>
      <c r="G204" s="796">
        <f>SUMIFS(МОЛОКО!L8:L6958,МОЛОКО!F8:F6958,"2427",МОЛОКО!L8:L6958,"&gt;0")</f>
        <v>10</v>
      </c>
      <c r="H204" s="797" t="s">
        <v>603</v>
      </c>
      <c r="I204" s="798">
        <v>41976</v>
      </c>
      <c r="J204" s="799">
        <f t="shared" ca="1" si="163"/>
        <v>3.1726027397260275</v>
      </c>
      <c r="K204" s="799">
        <f t="shared" ca="1" si="164"/>
        <v>38.6</v>
      </c>
      <c r="L204" s="800">
        <f t="shared" ca="1" si="165"/>
        <v>1158</v>
      </c>
      <c r="M204" s="801">
        <v>42759</v>
      </c>
      <c r="N204" s="802">
        <v>42759</v>
      </c>
      <c r="O204" s="803">
        <f t="shared" ca="1" si="166"/>
        <v>375</v>
      </c>
      <c r="P204" s="804">
        <v>1</v>
      </c>
      <c r="Q204" s="805" t="s">
        <v>1451</v>
      </c>
      <c r="R204" s="806" t="s">
        <v>2335</v>
      </c>
      <c r="S204" s="807">
        <v>42817</v>
      </c>
      <c r="T204" s="798">
        <v>42863</v>
      </c>
      <c r="U204" s="798" t="str">
        <f t="shared" si="167"/>
        <v>-</v>
      </c>
      <c r="V204" s="804" t="str">
        <f t="shared" ca="1" si="168"/>
        <v>-</v>
      </c>
      <c r="W204" s="808">
        <v>2</v>
      </c>
      <c r="X204" s="794">
        <f t="shared" si="161"/>
        <v>104</v>
      </c>
      <c r="Y204" s="794">
        <v>1</v>
      </c>
      <c r="Z204" s="809" t="str">
        <f t="shared" ca="1" si="169"/>
        <v>-----</v>
      </c>
      <c r="AA204" s="810" t="str">
        <f t="shared" ca="1" si="170"/>
        <v>-----</v>
      </c>
      <c r="AB204" s="804">
        <v>1</v>
      </c>
      <c r="AC204" s="811" t="str">
        <f t="shared" ca="1" si="171"/>
        <v>-----</v>
      </c>
      <c r="AD204" s="798">
        <v>42930</v>
      </c>
      <c r="AE204" s="794" t="str">
        <f t="shared" ca="1" si="172"/>
        <v>-</v>
      </c>
      <c r="AF204" s="798" t="str">
        <f t="shared" si="173"/>
        <v>-</v>
      </c>
      <c r="AG204" s="812" t="str">
        <f t="shared" si="174"/>
        <v>---------</v>
      </c>
      <c r="AH204" s="807">
        <v>42897</v>
      </c>
      <c r="AI204" s="807">
        <f t="shared" si="175"/>
        <v>43053</v>
      </c>
      <c r="AJ204" s="807">
        <f t="shared" si="176"/>
        <v>43083</v>
      </c>
      <c r="AK204" s="813"/>
      <c r="AL204" s="807">
        <f t="shared" si="177"/>
        <v>43122</v>
      </c>
      <c r="AM204" s="807">
        <f t="shared" si="178"/>
        <v>43143</v>
      </c>
      <c r="AN204" s="814">
        <f t="shared" ca="1" si="179"/>
        <v>-9</v>
      </c>
      <c r="AO204" s="815">
        <v>1</v>
      </c>
      <c r="AP204" s="816" t="str">
        <f t="shared" ca="1" si="180"/>
        <v>-</v>
      </c>
      <c r="AQ204" s="817"/>
      <c r="AR204" s="794" t="str">
        <f t="shared" si="181"/>
        <v>-</v>
      </c>
      <c r="AS204" s="818"/>
      <c r="AT204" s="794" t="str">
        <f t="shared" si="182"/>
        <v>-</v>
      </c>
      <c r="AU204" s="819">
        <v>1</v>
      </c>
      <c r="AV204" s="820"/>
      <c r="AW204" s="821"/>
      <c r="AX204" s="821"/>
      <c r="AY204" s="969" t="str">
        <f t="shared" si="183"/>
        <v>-</v>
      </c>
      <c r="AZ204" s="966" t="str">
        <f t="shared" si="184"/>
        <v>-</v>
      </c>
      <c r="BA204" s="971" t="str">
        <f t="shared" si="185"/>
        <v>-</v>
      </c>
      <c r="BB204" s="975"/>
      <c r="BC204" s="821"/>
      <c r="BD204" s="821"/>
      <c r="BE204" s="963" t="str">
        <f t="shared" si="186"/>
        <v>-</v>
      </c>
      <c r="BF204" s="984"/>
      <c r="BG204" s="988"/>
      <c r="BH204" s="982"/>
      <c r="BI204" s="991"/>
      <c r="BJ204" s="991"/>
      <c r="BK204" s="993" t="str">
        <f t="shared" si="187"/>
        <v>-</v>
      </c>
      <c r="BL204" s="820">
        <v>42981</v>
      </c>
      <c r="BM204" s="821">
        <v>5</v>
      </c>
      <c r="BN204" s="822">
        <f t="shared" ca="1" si="188"/>
        <v>153</v>
      </c>
      <c r="BO204" s="823">
        <f t="shared" si="189"/>
        <v>33.5</v>
      </c>
      <c r="BP204" s="824">
        <v>43001</v>
      </c>
      <c r="BQ204" s="821">
        <v>2</v>
      </c>
      <c r="BR204" s="822">
        <f t="shared" ca="1" si="190"/>
        <v>133</v>
      </c>
      <c r="BS204" s="823">
        <f t="shared" si="191"/>
        <v>8.0666666666666664</v>
      </c>
      <c r="BT204" s="825" t="str">
        <f t="shared" ca="1" si="192"/>
        <v>-</v>
      </c>
      <c r="BU204" s="826"/>
      <c r="BV204" s="827"/>
      <c r="BW204" s="828" t="str">
        <f t="shared" si="193"/>
        <v>Ж-Е НЕ ВАКЦ.</v>
      </c>
      <c r="BX204" s="829" t="str">
        <f t="shared" si="194"/>
        <v>-</v>
      </c>
      <c r="BY204" s="830" t="str">
        <f t="shared" ca="1" si="195"/>
        <v>-</v>
      </c>
      <c r="BZ204" s="831">
        <v>42887</v>
      </c>
      <c r="CA204" s="832">
        <v>5</v>
      </c>
      <c r="CB204" s="833">
        <f t="shared" ca="1" si="196"/>
        <v>247</v>
      </c>
      <c r="CC204" s="834" t="str">
        <f t="shared" ca="1" si="197"/>
        <v>-</v>
      </c>
      <c r="CD204" s="835">
        <f t="shared" si="198"/>
        <v>42908</v>
      </c>
      <c r="CE204" s="831">
        <v>42908</v>
      </c>
      <c r="CF204" s="832">
        <v>5</v>
      </c>
      <c r="CG204" s="833">
        <f t="shared" ca="1" si="199"/>
        <v>226</v>
      </c>
      <c r="CH204" s="836">
        <f t="shared" si="200"/>
        <v>0</v>
      </c>
      <c r="CI204" s="837" t="str">
        <f t="shared" si="201"/>
        <v>УСПЕШНО</v>
      </c>
      <c r="CJ204" s="838" t="str">
        <f t="shared" ca="1" si="202"/>
        <v>-</v>
      </c>
      <c r="CK204" s="831"/>
      <c r="CL204" s="832"/>
      <c r="CM204" s="833" t="str">
        <f t="shared" si="203"/>
        <v>-</v>
      </c>
      <c r="CN204" s="834" t="str">
        <f t="shared" si="204"/>
        <v>-</v>
      </c>
      <c r="CO204" s="830" t="str">
        <f t="shared" ca="1" si="205"/>
        <v>ТРЕБУЕТСЯ ВАКЦИНАЦИЯ</v>
      </c>
      <c r="CP204" s="839"/>
      <c r="CQ204" s="832"/>
      <c r="CR204" s="833" t="str">
        <f t="shared" si="206"/>
        <v>-</v>
      </c>
      <c r="CS204" s="833" t="str">
        <f t="shared" si="207"/>
        <v>-</v>
      </c>
      <c r="CT204" s="834" t="str">
        <f t="shared" si="208"/>
        <v>-</v>
      </c>
      <c r="CU204" s="835" t="str">
        <f t="shared" si="209"/>
        <v>-</v>
      </c>
      <c r="CV204" s="839"/>
      <c r="CW204" s="832"/>
      <c r="CX204" s="833" t="str">
        <f t="shared" si="210"/>
        <v>-</v>
      </c>
      <c r="CY204" s="840" t="str">
        <f t="shared" si="211"/>
        <v>-</v>
      </c>
      <c r="CZ204" s="833" t="str">
        <f t="shared" si="212"/>
        <v>-</v>
      </c>
      <c r="DA204" s="838" t="str">
        <f t="shared" ca="1" si="213"/>
        <v>-</v>
      </c>
      <c r="DB204" s="841"/>
      <c r="DC204" s="832"/>
    </row>
    <row r="205" spans="1:107" s="842" customFormat="1" ht="15.95" customHeight="1" x14ac:dyDescent="0.25">
      <c r="A205" s="790">
        <v>206</v>
      </c>
      <c r="B205" s="791">
        <f t="shared" ca="1" si="162"/>
        <v>43134</v>
      </c>
      <c r="C205" s="792" t="s">
        <v>613</v>
      </c>
      <c r="D205" s="59" t="s">
        <v>3201</v>
      </c>
      <c r="E205" s="794" t="s">
        <v>1088</v>
      </c>
      <c r="F205" s="854" t="s">
        <v>1003</v>
      </c>
      <c r="G205" s="796">
        <f>SUMIFS(МОЛОКО!L8:L6958,МОЛОКО!F8:F6958,"2441",МОЛОКО!L8:L6958,"&gt;0")</f>
        <v>19</v>
      </c>
      <c r="H205" s="797" t="s">
        <v>603</v>
      </c>
      <c r="I205" s="798">
        <v>41985</v>
      </c>
      <c r="J205" s="799">
        <f t="shared" ca="1" si="163"/>
        <v>3.1479452054794521</v>
      </c>
      <c r="K205" s="799">
        <f t="shared" ca="1" si="164"/>
        <v>38.299999999999997</v>
      </c>
      <c r="L205" s="800">
        <f t="shared" ca="1" si="165"/>
        <v>1149</v>
      </c>
      <c r="M205" s="801">
        <v>42796</v>
      </c>
      <c r="N205" s="802">
        <v>42796</v>
      </c>
      <c r="O205" s="803">
        <f t="shared" ca="1" si="166"/>
        <v>338</v>
      </c>
      <c r="P205" s="804">
        <v>1</v>
      </c>
      <c r="Q205" s="805" t="s">
        <v>2366</v>
      </c>
      <c r="R205" s="806" t="s">
        <v>2335</v>
      </c>
      <c r="S205" s="807">
        <v>42859</v>
      </c>
      <c r="T205" s="798">
        <v>42859</v>
      </c>
      <c r="U205" s="798" t="str">
        <f t="shared" si="167"/>
        <v>-</v>
      </c>
      <c r="V205" s="804" t="str">
        <f t="shared" ca="1" si="168"/>
        <v>-</v>
      </c>
      <c r="W205" s="808">
        <v>1</v>
      </c>
      <c r="X205" s="794">
        <f t="shared" si="161"/>
        <v>63</v>
      </c>
      <c r="Y205" s="794">
        <v>1</v>
      </c>
      <c r="Z205" s="809" t="str">
        <f t="shared" ca="1" si="169"/>
        <v>-----</v>
      </c>
      <c r="AA205" s="810" t="str">
        <f t="shared" ca="1" si="170"/>
        <v>-----</v>
      </c>
      <c r="AB205" s="804">
        <v>1</v>
      </c>
      <c r="AC205" s="811" t="str">
        <f t="shared" ca="1" si="171"/>
        <v>-----</v>
      </c>
      <c r="AD205" s="798">
        <v>42932</v>
      </c>
      <c r="AE205" s="794" t="str">
        <f t="shared" ca="1" si="172"/>
        <v>-</v>
      </c>
      <c r="AF205" s="798" t="str">
        <f t="shared" si="173"/>
        <v>-</v>
      </c>
      <c r="AG205" s="812" t="str">
        <f t="shared" si="174"/>
        <v>---------</v>
      </c>
      <c r="AH205" s="807">
        <v>42893</v>
      </c>
      <c r="AI205" s="807">
        <f t="shared" si="175"/>
        <v>43049</v>
      </c>
      <c r="AJ205" s="807">
        <f t="shared" si="176"/>
        <v>43079</v>
      </c>
      <c r="AK205" s="813"/>
      <c r="AL205" s="807">
        <f t="shared" si="177"/>
        <v>43118</v>
      </c>
      <c r="AM205" s="807">
        <f t="shared" si="178"/>
        <v>43139</v>
      </c>
      <c r="AN205" s="814">
        <f t="shared" ca="1" si="179"/>
        <v>-5</v>
      </c>
      <c r="AO205" s="815">
        <v>1</v>
      </c>
      <c r="AP205" s="816" t="str">
        <f t="shared" ca="1" si="180"/>
        <v>-</v>
      </c>
      <c r="AQ205" s="817"/>
      <c r="AR205" s="794" t="str">
        <f t="shared" si="181"/>
        <v>-</v>
      </c>
      <c r="AS205" s="818"/>
      <c r="AT205" s="794" t="str">
        <f t="shared" si="182"/>
        <v>-</v>
      </c>
      <c r="AU205" s="819">
        <v>1</v>
      </c>
      <c r="AV205" s="820"/>
      <c r="AW205" s="821"/>
      <c r="AX205" s="821"/>
      <c r="AY205" s="969" t="str">
        <f t="shared" si="183"/>
        <v>-</v>
      </c>
      <c r="AZ205" s="966" t="str">
        <f t="shared" si="184"/>
        <v>-</v>
      </c>
      <c r="BA205" s="971" t="str">
        <f t="shared" si="185"/>
        <v>-</v>
      </c>
      <c r="BB205" s="975"/>
      <c r="BC205" s="821"/>
      <c r="BD205" s="821"/>
      <c r="BE205" s="963" t="str">
        <f t="shared" si="186"/>
        <v>-</v>
      </c>
      <c r="BF205" s="984"/>
      <c r="BG205" s="988"/>
      <c r="BH205" s="982"/>
      <c r="BI205" s="991"/>
      <c r="BJ205" s="991"/>
      <c r="BK205" s="993" t="str">
        <f t="shared" si="187"/>
        <v>-</v>
      </c>
      <c r="BL205" s="820">
        <v>42981</v>
      </c>
      <c r="BM205" s="821">
        <v>5</v>
      </c>
      <c r="BN205" s="822">
        <f t="shared" ca="1" si="188"/>
        <v>153</v>
      </c>
      <c r="BO205" s="823">
        <f t="shared" si="189"/>
        <v>33.200000000000003</v>
      </c>
      <c r="BP205" s="824">
        <v>43001</v>
      </c>
      <c r="BQ205" s="821">
        <v>2</v>
      </c>
      <c r="BR205" s="822">
        <f t="shared" ca="1" si="190"/>
        <v>133</v>
      </c>
      <c r="BS205" s="823">
        <f t="shared" si="191"/>
        <v>6.833333333333333</v>
      </c>
      <c r="BT205" s="825" t="str">
        <f t="shared" ca="1" si="192"/>
        <v>-</v>
      </c>
      <c r="BU205" s="826"/>
      <c r="BV205" s="827"/>
      <c r="BW205" s="828" t="str">
        <f t="shared" si="193"/>
        <v>Ж-Е НЕ ВАКЦ.</v>
      </c>
      <c r="BX205" s="829" t="str">
        <f t="shared" si="194"/>
        <v>-</v>
      </c>
      <c r="BY205" s="830" t="str">
        <f t="shared" ca="1" si="195"/>
        <v>-</v>
      </c>
      <c r="BZ205" s="831">
        <v>42887</v>
      </c>
      <c r="CA205" s="832">
        <v>5</v>
      </c>
      <c r="CB205" s="833">
        <f t="shared" ca="1" si="196"/>
        <v>247</v>
      </c>
      <c r="CC205" s="834" t="str">
        <f t="shared" ca="1" si="197"/>
        <v>-</v>
      </c>
      <c r="CD205" s="835">
        <f t="shared" si="198"/>
        <v>42908</v>
      </c>
      <c r="CE205" s="831">
        <v>42908</v>
      </c>
      <c r="CF205" s="832">
        <v>5</v>
      </c>
      <c r="CG205" s="833">
        <f t="shared" ca="1" si="199"/>
        <v>226</v>
      </c>
      <c r="CH205" s="836">
        <f t="shared" si="200"/>
        <v>0</v>
      </c>
      <c r="CI205" s="837" t="str">
        <f t="shared" si="201"/>
        <v>УСПЕШНО</v>
      </c>
      <c r="CJ205" s="838" t="str">
        <f t="shared" ca="1" si="202"/>
        <v>-</v>
      </c>
      <c r="CK205" s="831"/>
      <c r="CL205" s="832"/>
      <c r="CM205" s="833" t="str">
        <f t="shared" si="203"/>
        <v>-</v>
      </c>
      <c r="CN205" s="834" t="str">
        <f t="shared" si="204"/>
        <v>-</v>
      </c>
      <c r="CO205" s="830" t="str">
        <f t="shared" ca="1" si="205"/>
        <v>ТРЕБУЕТСЯ ВАКЦИНАЦИЯ</v>
      </c>
      <c r="CP205" s="839"/>
      <c r="CQ205" s="832"/>
      <c r="CR205" s="833" t="str">
        <f t="shared" si="206"/>
        <v>-</v>
      </c>
      <c r="CS205" s="833" t="str">
        <f t="shared" si="207"/>
        <v>-</v>
      </c>
      <c r="CT205" s="834" t="str">
        <f t="shared" si="208"/>
        <v>-</v>
      </c>
      <c r="CU205" s="835" t="str">
        <f t="shared" si="209"/>
        <v>-</v>
      </c>
      <c r="CV205" s="839"/>
      <c r="CW205" s="832"/>
      <c r="CX205" s="833" t="str">
        <f t="shared" si="210"/>
        <v>-</v>
      </c>
      <c r="CY205" s="840" t="str">
        <f t="shared" si="211"/>
        <v>-</v>
      </c>
      <c r="CZ205" s="833" t="str">
        <f t="shared" si="212"/>
        <v>-</v>
      </c>
      <c r="DA205" s="838" t="str">
        <f t="shared" ca="1" si="213"/>
        <v>-</v>
      </c>
      <c r="DB205" s="841"/>
      <c r="DC205" s="832"/>
    </row>
    <row r="206" spans="1:107" s="842" customFormat="1" ht="15.95" customHeight="1" x14ac:dyDescent="0.25">
      <c r="A206" s="790">
        <v>207</v>
      </c>
      <c r="B206" s="791">
        <f t="shared" ca="1" si="162"/>
        <v>43134</v>
      </c>
      <c r="C206" s="29" t="s">
        <v>613</v>
      </c>
      <c r="D206" s="59" t="s">
        <v>3201</v>
      </c>
      <c r="E206" s="794" t="s">
        <v>1082</v>
      </c>
      <c r="F206" s="854" t="s">
        <v>992</v>
      </c>
      <c r="G206" s="796">
        <f>SUMIFS(МОЛОКО!L8:L6958,МОЛОКО!F8:F6958,"2464",МОЛОКО!L8:L6958,"&gt;0")</f>
        <v>19</v>
      </c>
      <c r="H206" s="797" t="s">
        <v>603</v>
      </c>
      <c r="I206" s="798">
        <v>41999</v>
      </c>
      <c r="J206" s="799">
        <f t="shared" ca="1" si="163"/>
        <v>3.1095890410958904</v>
      </c>
      <c r="K206" s="799">
        <f t="shared" ca="1" si="164"/>
        <v>37.833333333333336</v>
      </c>
      <c r="L206" s="800">
        <f t="shared" ca="1" si="165"/>
        <v>1135</v>
      </c>
      <c r="M206" s="801">
        <v>42823</v>
      </c>
      <c r="N206" s="802">
        <v>42823</v>
      </c>
      <c r="O206" s="803">
        <f t="shared" ca="1" si="166"/>
        <v>311</v>
      </c>
      <c r="P206" s="804">
        <v>1</v>
      </c>
      <c r="Q206" s="805" t="s">
        <v>2366</v>
      </c>
      <c r="R206" s="806" t="s">
        <v>3020</v>
      </c>
      <c r="S206" s="807">
        <v>42880</v>
      </c>
      <c r="T206" s="798">
        <v>42972</v>
      </c>
      <c r="U206" s="798" t="str">
        <f t="shared" si="167"/>
        <v>-</v>
      </c>
      <c r="V206" s="804" t="str">
        <f t="shared" ca="1" si="168"/>
        <v>-</v>
      </c>
      <c r="W206" s="808">
        <v>3</v>
      </c>
      <c r="X206" s="794">
        <f t="shared" si="161"/>
        <v>149</v>
      </c>
      <c r="Y206" s="794">
        <v>1</v>
      </c>
      <c r="Z206" s="809" t="str">
        <f t="shared" ca="1" si="169"/>
        <v>-----</v>
      </c>
      <c r="AA206" s="810" t="str">
        <f t="shared" ca="1" si="170"/>
        <v>-----</v>
      </c>
      <c r="AB206" s="804">
        <v>1</v>
      </c>
      <c r="AC206" s="811" t="str">
        <f t="shared" ca="1" si="171"/>
        <v>-----</v>
      </c>
      <c r="AD206" s="798">
        <v>43047</v>
      </c>
      <c r="AE206" s="794" t="str">
        <f t="shared" ca="1" si="172"/>
        <v>-</v>
      </c>
      <c r="AF206" s="798" t="str">
        <f t="shared" si="173"/>
        <v>-</v>
      </c>
      <c r="AG206" s="812" t="str">
        <f t="shared" si="174"/>
        <v>---------</v>
      </c>
      <c r="AH206" s="807">
        <v>43003</v>
      </c>
      <c r="AI206" s="807">
        <f t="shared" si="175"/>
        <v>43162</v>
      </c>
      <c r="AJ206" s="807">
        <f t="shared" si="176"/>
        <v>43192</v>
      </c>
      <c r="AK206" s="813"/>
      <c r="AL206" s="807">
        <f t="shared" si="177"/>
        <v>43231</v>
      </c>
      <c r="AM206" s="807">
        <f t="shared" si="178"/>
        <v>43252</v>
      </c>
      <c r="AN206" s="814">
        <f t="shared" ca="1" si="179"/>
        <v>-118</v>
      </c>
      <c r="AO206" s="815">
        <v>1</v>
      </c>
      <c r="AP206" s="816" t="str">
        <f t="shared" ca="1" si="180"/>
        <v>-</v>
      </c>
      <c r="AQ206" s="817"/>
      <c r="AR206" s="794" t="str">
        <f t="shared" si="181"/>
        <v>-</v>
      </c>
      <c r="AS206" s="818"/>
      <c r="AT206" s="794" t="str">
        <f t="shared" si="182"/>
        <v>-</v>
      </c>
      <c r="AU206" s="819">
        <v>1</v>
      </c>
      <c r="AV206" s="820"/>
      <c r="AW206" s="821"/>
      <c r="AX206" s="821"/>
      <c r="AY206" s="969" t="str">
        <f t="shared" si="183"/>
        <v>-</v>
      </c>
      <c r="AZ206" s="966" t="str">
        <f t="shared" si="184"/>
        <v>-</v>
      </c>
      <c r="BA206" s="971" t="str">
        <f t="shared" si="185"/>
        <v>-</v>
      </c>
      <c r="BB206" s="975"/>
      <c r="BC206" s="821"/>
      <c r="BD206" s="821"/>
      <c r="BE206" s="963" t="str">
        <f t="shared" si="186"/>
        <v>-</v>
      </c>
      <c r="BF206" s="984"/>
      <c r="BG206" s="988"/>
      <c r="BH206" s="982"/>
      <c r="BI206" s="991"/>
      <c r="BJ206" s="991"/>
      <c r="BK206" s="993" t="str">
        <f t="shared" si="187"/>
        <v>-</v>
      </c>
      <c r="BL206" s="820">
        <v>42981</v>
      </c>
      <c r="BM206" s="821">
        <v>5</v>
      </c>
      <c r="BN206" s="822">
        <f t="shared" ca="1" si="188"/>
        <v>153</v>
      </c>
      <c r="BO206" s="823">
        <f t="shared" si="189"/>
        <v>32.733333333333334</v>
      </c>
      <c r="BP206" s="824">
        <v>43001</v>
      </c>
      <c r="BQ206" s="821">
        <v>2</v>
      </c>
      <c r="BR206" s="822">
        <f t="shared" ca="1" si="190"/>
        <v>133</v>
      </c>
      <c r="BS206" s="823">
        <f t="shared" si="191"/>
        <v>5.9333333333333336</v>
      </c>
      <c r="BT206" s="825" t="str">
        <f t="shared" ca="1" si="192"/>
        <v>-</v>
      </c>
      <c r="BU206" s="826"/>
      <c r="BV206" s="827"/>
      <c r="BW206" s="828" t="str">
        <f t="shared" si="193"/>
        <v>Ж-Е НЕ ВАКЦ.</v>
      </c>
      <c r="BX206" s="829" t="str">
        <f t="shared" si="194"/>
        <v>-</v>
      </c>
      <c r="BY206" s="830" t="str">
        <f t="shared" ca="1" si="195"/>
        <v>-</v>
      </c>
      <c r="BZ206" s="831">
        <v>42887</v>
      </c>
      <c r="CA206" s="832">
        <v>5</v>
      </c>
      <c r="CB206" s="833">
        <f t="shared" ca="1" si="196"/>
        <v>247</v>
      </c>
      <c r="CC206" s="834" t="str">
        <f t="shared" ca="1" si="197"/>
        <v>-</v>
      </c>
      <c r="CD206" s="835">
        <f t="shared" si="198"/>
        <v>42908</v>
      </c>
      <c r="CE206" s="831">
        <v>42908</v>
      </c>
      <c r="CF206" s="832">
        <v>5</v>
      </c>
      <c r="CG206" s="833">
        <f t="shared" ca="1" si="199"/>
        <v>226</v>
      </c>
      <c r="CH206" s="836">
        <f t="shared" si="200"/>
        <v>0</v>
      </c>
      <c r="CI206" s="837" t="str">
        <f t="shared" si="201"/>
        <v>УСПЕШНО</v>
      </c>
      <c r="CJ206" s="838" t="str">
        <f t="shared" ca="1" si="202"/>
        <v>-</v>
      </c>
      <c r="CK206" s="831"/>
      <c r="CL206" s="832"/>
      <c r="CM206" s="833" t="str">
        <f t="shared" si="203"/>
        <v>-</v>
      </c>
      <c r="CN206" s="834" t="str">
        <f t="shared" si="204"/>
        <v>-</v>
      </c>
      <c r="CO206" s="830" t="str">
        <f t="shared" ca="1" si="205"/>
        <v>-</v>
      </c>
      <c r="CP206" s="839"/>
      <c r="CQ206" s="832"/>
      <c r="CR206" s="833" t="str">
        <f t="shared" si="206"/>
        <v>-</v>
      </c>
      <c r="CS206" s="833" t="str">
        <f t="shared" si="207"/>
        <v>-</v>
      </c>
      <c r="CT206" s="834" t="str">
        <f t="shared" si="208"/>
        <v>-</v>
      </c>
      <c r="CU206" s="835" t="str">
        <f t="shared" si="209"/>
        <v>-</v>
      </c>
      <c r="CV206" s="839"/>
      <c r="CW206" s="832"/>
      <c r="CX206" s="833" t="str">
        <f t="shared" si="210"/>
        <v>-</v>
      </c>
      <c r="CY206" s="840" t="str">
        <f t="shared" si="211"/>
        <v>-</v>
      </c>
      <c r="CZ206" s="833" t="str">
        <f t="shared" si="212"/>
        <v>-</v>
      </c>
      <c r="DA206" s="838" t="str">
        <f t="shared" ca="1" si="213"/>
        <v>-</v>
      </c>
      <c r="DB206" s="841"/>
      <c r="DC206" s="832"/>
    </row>
    <row r="207" spans="1:107" s="842" customFormat="1" ht="15.95" customHeight="1" x14ac:dyDescent="0.25">
      <c r="A207" s="790">
        <v>208</v>
      </c>
      <c r="B207" s="791">
        <f t="shared" ca="1" si="162"/>
        <v>43134</v>
      </c>
      <c r="C207" s="792" t="s">
        <v>613</v>
      </c>
      <c r="D207" s="793" t="s">
        <v>3201</v>
      </c>
      <c r="E207" s="794" t="s">
        <v>1125</v>
      </c>
      <c r="F207" s="854" t="s">
        <v>1043</v>
      </c>
      <c r="G207" s="796">
        <f>SUMIFS(МОЛОКО!L8:L6958,МОЛОКО!F8:F6958,"2602",МОЛОКО!L8:L6958,"&gt;0")</f>
        <v>13.6</v>
      </c>
      <c r="H207" s="797" t="s">
        <v>603</v>
      </c>
      <c r="I207" s="798">
        <v>42114</v>
      </c>
      <c r="J207" s="799">
        <f t="shared" ca="1" si="163"/>
        <v>2.7945205479452055</v>
      </c>
      <c r="K207" s="799">
        <f t="shared" ca="1" si="164"/>
        <v>34</v>
      </c>
      <c r="L207" s="800">
        <f t="shared" ca="1" si="165"/>
        <v>1020</v>
      </c>
      <c r="M207" s="801">
        <v>42740</v>
      </c>
      <c r="N207" s="802">
        <v>42740</v>
      </c>
      <c r="O207" s="803">
        <f t="shared" ca="1" si="166"/>
        <v>394</v>
      </c>
      <c r="P207" s="804">
        <v>1</v>
      </c>
      <c r="Q207" s="805" t="s">
        <v>1451</v>
      </c>
      <c r="R207" s="806" t="s">
        <v>1810</v>
      </c>
      <c r="S207" s="807">
        <v>42810</v>
      </c>
      <c r="T207" s="798">
        <v>42919</v>
      </c>
      <c r="U207" s="798" t="str">
        <f t="shared" si="167"/>
        <v>-</v>
      </c>
      <c r="V207" s="804" t="str">
        <f t="shared" ca="1" si="168"/>
        <v>-</v>
      </c>
      <c r="W207" s="808">
        <v>3</v>
      </c>
      <c r="X207" s="794">
        <f t="shared" si="161"/>
        <v>179</v>
      </c>
      <c r="Y207" s="794">
        <v>1</v>
      </c>
      <c r="Z207" s="809" t="str">
        <f t="shared" ca="1" si="169"/>
        <v>-----</v>
      </c>
      <c r="AA207" s="810" t="str">
        <f t="shared" ca="1" si="170"/>
        <v>-----</v>
      </c>
      <c r="AB207" s="804">
        <v>1</v>
      </c>
      <c r="AC207" s="811" t="str">
        <f t="shared" ca="1" si="171"/>
        <v>-----</v>
      </c>
      <c r="AD207" s="798">
        <v>43043</v>
      </c>
      <c r="AE207" s="794" t="str">
        <f t="shared" ca="1" si="172"/>
        <v>-</v>
      </c>
      <c r="AF207" s="798" t="str">
        <f t="shared" si="173"/>
        <v>-</v>
      </c>
      <c r="AG207" s="812" t="str">
        <f t="shared" si="174"/>
        <v>---------</v>
      </c>
      <c r="AH207" s="807">
        <v>42951</v>
      </c>
      <c r="AI207" s="807">
        <f t="shared" si="175"/>
        <v>43109</v>
      </c>
      <c r="AJ207" s="807">
        <f t="shared" si="176"/>
        <v>43139</v>
      </c>
      <c r="AK207" s="813"/>
      <c r="AL207" s="807">
        <f t="shared" si="177"/>
        <v>43178</v>
      </c>
      <c r="AM207" s="807">
        <f t="shared" si="178"/>
        <v>43199</v>
      </c>
      <c r="AN207" s="814">
        <f t="shared" ca="1" si="179"/>
        <v>-65</v>
      </c>
      <c r="AO207" s="815">
        <v>1</v>
      </c>
      <c r="AP207" s="816" t="str">
        <f t="shared" ca="1" si="180"/>
        <v>-</v>
      </c>
      <c r="AQ207" s="817"/>
      <c r="AR207" s="794" t="str">
        <f t="shared" si="181"/>
        <v>-</v>
      </c>
      <c r="AS207" s="818"/>
      <c r="AT207" s="794" t="str">
        <f t="shared" si="182"/>
        <v>-</v>
      </c>
      <c r="AU207" s="819">
        <v>1</v>
      </c>
      <c r="AV207" s="820"/>
      <c r="AW207" s="821"/>
      <c r="AX207" s="821"/>
      <c r="AY207" s="969" t="str">
        <f t="shared" si="183"/>
        <v>-</v>
      </c>
      <c r="AZ207" s="966" t="str">
        <f t="shared" si="184"/>
        <v>-</v>
      </c>
      <c r="BA207" s="971" t="str">
        <f t="shared" si="185"/>
        <v>-</v>
      </c>
      <c r="BB207" s="975"/>
      <c r="BC207" s="821"/>
      <c r="BD207" s="821"/>
      <c r="BE207" s="963" t="str">
        <f t="shared" si="186"/>
        <v>-</v>
      </c>
      <c r="BF207" s="984"/>
      <c r="BG207" s="988"/>
      <c r="BH207" s="982"/>
      <c r="BI207" s="991"/>
      <c r="BJ207" s="991"/>
      <c r="BK207" s="993" t="str">
        <f t="shared" si="187"/>
        <v>-</v>
      </c>
      <c r="BL207" s="820">
        <v>42981</v>
      </c>
      <c r="BM207" s="821">
        <v>5</v>
      </c>
      <c r="BN207" s="822">
        <f t="shared" ca="1" si="188"/>
        <v>153</v>
      </c>
      <c r="BO207" s="823">
        <f t="shared" si="189"/>
        <v>28.9</v>
      </c>
      <c r="BP207" s="824">
        <v>43001</v>
      </c>
      <c r="BQ207" s="821">
        <v>2</v>
      </c>
      <c r="BR207" s="822">
        <f t="shared" ca="1" si="190"/>
        <v>133</v>
      </c>
      <c r="BS207" s="823">
        <f t="shared" si="191"/>
        <v>8.6999999999999993</v>
      </c>
      <c r="BT207" s="825" t="str">
        <f t="shared" ca="1" si="192"/>
        <v>-</v>
      </c>
      <c r="BU207" s="826"/>
      <c r="BV207" s="827"/>
      <c r="BW207" s="828" t="str">
        <f t="shared" si="193"/>
        <v>Ж-Е НЕ ВАКЦ.</v>
      </c>
      <c r="BX207" s="829" t="str">
        <f t="shared" si="194"/>
        <v>-</v>
      </c>
      <c r="BY207" s="830" t="str">
        <f t="shared" ca="1" si="195"/>
        <v>-</v>
      </c>
      <c r="BZ207" s="831">
        <v>42887</v>
      </c>
      <c r="CA207" s="832">
        <v>5</v>
      </c>
      <c r="CB207" s="833">
        <f t="shared" ca="1" si="196"/>
        <v>247</v>
      </c>
      <c r="CC207" s="834" t="str">
        <f t="shared" ca="1" si="197"/>
        <v>-</v>
      </c>
      <c r="CD207" s="835">
        <f t="shared" si="198"/>
        <v>42908</v>
      </c>
      <c r="CE207" s="831">
        <v>42908</v>
      </c>
      <c r="CF207" s="832">
        <v>5</v>
      </c>
      <c r="CG207" s="833">
        <f t="shared" ca="1" si="199"/>
        <v>226</v>
      </c>
      <c r="CH207" s="836">
        <f t="shared" si="200"/>
        <v>0</v>
      </c>
      <c r="CI207" s="837" t="str">
        <f t="shared" si="201"/>
        <v>УСПЕШНО</v>
      </c>
      <c r="CJ207" s="838" t="str">
        <f t="shared" ca="1" si="202"/>
        <v>-</v>
      </c>
      <c r="CK207" s="831"/>
      <c r="CL207" s="832"/>
      <c r="CM207" s="833" t="str">
        <f t="shared" si="203"/>
        <v>-</v>
      </c>
      <c r="CN207" s="834" t="str">
        <f t="shared" si="204"/>
        <v>-</v>
      </c>
      <c r="CO207" s="830" t="str">
        <f t="shared" ca="1" si="205"/>
        <v>ТРЕБУЕТСЯ ВАКЦИНАЦИЯ</v>
      </c>
      <c r="CP207" s="839"/>
      <c r="CQ207" s="832"/>
      <c r="CR207" s="833" t="str">
        <f t="shared" si="206"/>
        <v>-</v>
      </c>
      <c r="CS207" s="833" t="str">
        <f t="shared" si="207"/>
        <v>-</v>
      </c>
      <c r="CT207" s="834" t="str">
        <f t="shared" si="208"/>
        <v>-</v>
      </c>
      <c r="CU207" s="835" t="str">
        <f t="shared" si="209"/>
        <v>-</v>
      </c>
      <c r="CV207" s="839"/>
      <c r="CW207" s="832"/>
      <c r="CX207" s="833" t="str">
        <f t="shared" si="210"/>
        <v>-</v>
      </c>
      <c r="CY207" s="840" t="str">
        <f t="shared" si="211"/>
        <v>-</v>
      </c>
      <c r="CZ207" s="833" t="str">
        <f t="shared" si="212"/>
        <v>-</v>
      </c>
      <c r="DA207" s="838" t="str">
        <f t="shared" ca="1" si="213"/>
        <v>-</v>
      </c>
      <c r="DB207" s="841"/>
      <c r="DC207" s="832"/>
    </row>
    <row r="208" spans="1:107" s="842" customFormat="1" ht="15.95" customHeight="1" x14ac:dyDescent="0.25">
      <c r="A208" s="790">
        <v>209</v>
      </c>
      <c r="B208" s="791">
        <f t="shared" ca="1" si="162"/>
        <v>43134</v>
      </c>
      <c r="C208" s="29" t="s">
        <v>613</v>
      </c>
      <c r="D208" s="59" t="s">
        <v>3201</v>
      </c>
      <c r="E208" s="794" t="s">
        <v>1490</v>
      </c>
      <c r="F208" s="854" t="s">
        <v>1471</v>
      </c>
      <c r="G208" s="796">
        <f>SUMIFS(МОЛОКО!L8:L6958,МОЛОКО!F8:F6958,"2607",МОЛОКО!L8:L6958,"&gt;0")</f>
        <v>22</v>
      </c>
      <c r="H208" s="797" t="s">
        <v>603</v>
      </c>
      <c r="I208" s="798">
        <v>42117</v>
      </c>
      <c r="J208" s="799">
        <f t="shared" ca="1" si="163"/>
        <v>2.7863013698630139</v>
      </c>
      <c r="K208" s="799">
        <f t="shared" ca="1" si="164"/>
        <v>33.9</v>
      </c>
      <c r="L208" s="800">
        <f t="shared" ca="1" si="165"/>
        <v>1017</v>
      </c>
      <c r="M208" s="801">
        <v>42847</v>
      </c>
      <c r="N208" s="802">
        <v>42847</v>
      </c>
      <c r="O208" s="803">
        <f t="shared" ca="1" si="166"/>
        <v>287</v>
      </c>
      <c r="P208" s="804">
        <v>1</v>
      </c>
      <c r="Q208" s="805" t="s">
        <v>2366</v>
      </c>
      <c r="R208" s="806" t="s">
        <v>2670</v>
      </c>
      <c r="S208" s="807">
        <v>42908</v>
      </c>
      <c r="T208" s="798">
        <v>42952</v>
      </c>
      <c r="U208" s="798" t="str">
        <f t="shared" si="167"/>
        <v>-</v>
      </c>
      <c r="V208" s="804" t="str">
        <f t="shared" ca="1" si="168"/>
        <v>-</v>
      </c>
      <c r="W208" s="808">
        <v>3</v>
      </c>
      <c r="X208" s="794">
        <f t="shared" si="161"/>
        <v>105</v>
      </c>
      <c r="Y208" s="794">
        <v>1</v>
      </c>
      <c r="Z208" s="809" t="str">
        <f t="shared" ca="1" si="169"/>
        <v>-----</v>
      </c>
      <c r="AA208" s="810" t="str">
        <f t="shared" ca="1" si="170"/>
        <v>-----</v>
      </c>
      <c r="AB208" s="804">
        <v>1</v>
      </c>
      <c r="AC208" s="811" t="str">
        <f t="shared" ca="1" si="171"/>
        <v>-----</v>
      </c>
      <c r="AD208" s="798">
        <v>43030</v>
      </c>
      <c r="AE208" s="794" t="str">
        <f t="shared" ca="1" si="172"/>
        <v>-</v>
      </c>
      <c r="AF208" s="798" t="str">
        <f t="shared" si="173"/>
        <v>-</v>
      </c>
      <c r="AG208" s="812" t="str">
        <f t="shared" si="174"/>
        <v>---------</v>
      </c>
      <c r="AH208" s="807">
        <v>42982</v>
      </c>
      <c r="AI208" s="807">
        <f t="shared" si="175"/>
        <v>43142</v>
      </c>
      <c r="AJ208" s="807">
        <f t="shared" si="176"/>
        <v>43172</v>
      </c>
      <c r="AK208" s="813"/>
      <c r="AL208" s="807">
        <f t="shared" si="177"/>
        <v>43211</v>
      </c>
      <c r="AM208" s="807">
        <f t="shared" si="178"/>
        <v>43232</v>
      </c>
      <c r="AN208" s="814">
        <f t="shared" ca="1" si="179"/>
        <v>-98</v>
      </c>
      <c r="AO208" s="815">
        <v>1</v>
      </c>
      <c r="AP208" s="816" t="str">
        <f t="shared" ca="1" si="180"/>
        <v>-</v>
      </c>
      <c r="AQ208" s="817"/>
      <c r="AR208" s="794" t="str">
        <f t="shared" si="181"/>
        <v>-</v>
      </c>
      <c r="AS208" s="818"/>
      <c r="AT208" s="794" t="str">
        <f t="shared" si="182"/>
        <v>-</v>
      </c>
      <c r="AU208" s="819">
        <v>1</v>
      </c>
      <c r="AV208" s="820"/>
      <c r="AW208" s="821"/>
      <c r="AX208" s="821"/>
      <c r="AY208" s="969" t="str">
        <f t="shared" si="183"/>
        <v>-</v>
      </c>
      <c r="AZ208" s="966" t="str">
        <f t="shared" si="184"/>
        <v>-</v>
      </c>
      <c r="BA208" s="971" t="str">
        <f t="shared" si="185"/>
        <v>-</v>
      </c>
      <c r="BB208" s="975"/>
      <c r="BC208" s="821"/>
      <c r="BD208" s="821"/>
      <c r="BE208" s="963" t="str">
        <f t="shared" si="186"/>
        <v>-</v>
      </c>
      <c r="BF208" s="984"/>
      <c r="BG208" s="988"/>
      <c r="BH208" s="982"/>
      <c r="BI208" s="991"/>
      <c r="BJ208" s="991"/>
      <c r="BK208" s="993" t="str">
        <f t="shared" si="187"/>
        <v>-</v>
      </c>
      <c r="BL208" s="820">
        <v>42981</v>
      </c>
      <c r="BM208" s="821">
        <v>5</v>
      </c>
      <c r="BN208" s="822">
        <f t="shared" ca="1" si="188"/>
        <v>153</v>
      </c>
      <c r="BO208" s="823">
        <f t="shared" si="189"/>
        <v>28.8</v>
      </c>
      <c r="BP208" s="824">
        <v>43001</v>
      </c>
      <c r="BQ208" s="821">
        <v>2</v>
      </c>
      <c r="BR208" s="822">
        <f t="shared" ca="1" si="190"/>
        <v>133</v>
      </c>
      <c r="BS208" s="823">
        <f t="shared" si="191"/>
        <v>5.1333333333333337</v>
      </c>
      <c r="BT208" s="825" t="str">
        <f t="shared" ca="1" si="192"/>
        <v>-</v>
      </c>
      <c r="BU208" s="826"/>
      <c r="BV208" s="827"/>
      <c r="BW208" s="828" t="str">
        <f t="shared" si="193"/>
        <v>Ж-Е НЕ ВАКЦ.</v>
      </c>
      <c r="BX208" s="829" t="str">
        <f t="shared" si="194"/>
        <v>-</v>
      </c>
      <c r="BY208" s="830" t="str">
        <f t="shared" ca="1" si="195"/>
        <v>-</v>
      </c>
      <c r="BZ208" s="831">
        <v>42887</v>
      </c>
      <c r="CA208" s="832">
        <v>5</v>
      </c>
      <c r="CB208" s="833">
        <f t="shared" ca="1" si="196"/>
        <v>247</v>
      </c>
      <c r="CC208" s="834" t="str">
        <f t="shared" ca="1" si="197"/>
        <v>-</v>
      </c>
      <c r="CD208" s="835">
        <f t="shared" si="198"/>
        <v>42908</v>
      </c>
      <c r="CE208" s="831">
        <v>42908</v>
      </c>
      <c r="CF208" s="832">
        <v>5</v>
      </c>
      <c r="CG208" s="833">
        <f t="shared" ca="1" si="199"/>
        <v>226</v>
      </c>
      <c r="CH208" s="836">
        <f t="shared" si="200"/>
        <v>0</v>
      </c>
      <c r="CI208" s="837" t="str">
        <f t="shared" si="201"/>
        <v>УСПЕШНО</v>
      </c>
      <c r="CJ208" s="838" t="str">
        <f t="shared" ca="1" si="202"/>
        <v>-</v>
      </c>
      <c r="CK208" s="831"/>
      <c r="CL208" s="832"/>
      <c r="CM208" s="833" t="str">
        <f t="shared" si="203"/>
        <v>-</v>
      </c>
      <c r="CN208" s="834" t="str">
        <f t="shared" si="204"/>
        <v>-</v>
      </c>
      <c r="CO208" s="830" t="str">
        <f t="shared" ca="1" si="205"/>
        <v>-</v>
      </c>
      <c r="CP208" s="839"/>
      <c r="CQ208" s="832"/>
      <c r="CR208" s="833" t="str">
        <f t="shared" si="206"/>
        <v>-</v>
      </c>
      <c r="CS208" s="833" t="str">
        <f t="shared" si="207"/>
        <v>-</v>
      </c>
      <c r="CT208" s="834" t="str">
        <f t="shared" si="208"/>
        <v>-</v>
      </c>
      <c r="CU208" s="835" t="str">
        <f t="shared" si="209"/>
        <v>-</v>
      </c>
      <c r="CV208" s="839"/>
      <c r="CW208" s="832"/>
      <c r="CX208" s="833" t="str">
        <f t="shared" si="210"/>
        <v>-</v>
      </c>
      <c r="CY208" s="840" t="str">
        <f t="shared" si="211"/>
        <v>-</v>
      </c>
      <c r="CZ208" s="833" t="str">
        <f t="shared" si="212"/>
        <v>-</v>
      </c>
      <c r="DA208" s="838" t="str">
        <f t="shared" ca="1" si="213"/>
        <v>-</v>
      </c>
      <c r="DB208" s="841"/>
      <c r="DC208" s="832"/>
    </row>
    <row r="209" spans="1:107" s="842" customFormat="1" ht="15.95" customHeight="1" x14ac:dyDescent="0.25">
      <c r="A209" s="790">
        <v>210</v>
      </c>
      <c r="B209" s="791">
        <f t="shared" ca="1" si="162"/>
        <v>43134</v>
      </c>
      <c r="C209" s="792" t="s">
        <v>613</v>
      </c>
      <c r="D209" s="793" t="s">
        <v>3201</v>
      </c>
      <c r="E209" s="794" t="s">
        <v>899</v>
      </c>
      <c r="F209" s="854" t="s">
        <v>900</v>
      </c>
      <c r="G209" s="796">
        <f>SUMIFS(МОЛОКО!L8:L6958,МОЛОКО!F8:F6958,"5154",МОЛОКО!L8:L6958,"&gt;0")</f>
        <v>12.6</v>
      </c>
      <c r="H209" s="797" t="s">
        <v>603</v>
      </c>
      <c r="I209" s="798">
        <v>40057</v>
      </c>
      <c r="J209" s="799">
        <f t="shared" ca="1" si="163"/>
        <v>8.4301369863013704</v>
      </c>
      <c r="K209" s="799">
        <f t="shared" ca="1" si="164"/>
        <v>102.56666666666666</v>
      </c>
      <c r="L209" s="800">
        <f t="shared" ca="1" si="165"/>
        <v>3077</v>
      </c>
      <c r="M209" s="801">
        <v>40965</v>
      </c>
      <c r="N209" s="802">
        <v>42718</v>
      </c>
      <c r="O209" s="803">
        <f t="shared" ca="1" si="166"/>
        <v>416</v>
      </c>
      <c r="P209" s="804">
        <v>4</v>
      </c>
      <c r="Q209" s="805" t="s">
        <v>2366</v>
      </c>
      <c r="R209" s="806" t="s">
        <v>2962</v>
      </c>
      <c r="S209" s="807">
        <v>42833</v>
      </c>
      <c r="T209" s="855">
        <v>42940</v>
      </c>
      <c r="U209" s="798" t="str">
        <f t="shared" si="167"/>
        <v>-</v>
      </c>
      <c r="V209" s="804" t="str">
        <f t="shared" ca="1" si="168"/>
        <v>-</v>
      </c>
      <c r="W209" s="808">
        <v>2</v>
      </c>
      <c r="X209" s="794">
        <f t="shared" si="161"/>
        <v>222</v>
      </c>
      <c r="Y209" s="794">
        <v>1</v>
      </c>
      <c r="Z209" s="809" t="str">
        <f t="shared" ca="1" si="169"/>
        <v>-----</v>
      </c>
      <c r="AA209" s="810" t="str">
        <f t="shared" ca="1" si="170"/>
        <v>-----</v>
      </c>
      <c r="AB209" s="804">
        <v>1</v>
      </c>
      <c r="AC209" s="811" t="str">
        <f t="shared" ca="1" si="171"/>
        <v>-----</v>
      </c>
      <c r="AD209" s="798">
        <v>43014</v>
      </c>
      <c r="AE209" s="794" t="str">
        <f t="shared" ca="1" si="172"/>
        <v>-</v>
      </c>
      <c r="AF209" s="798" t="str">
        <f t="shared" si="173"/>
        <v>-</v>
      </c>
      <c r="AG209" s="812" t="str">
        <f t="shared" si="174"/>
        <v>---------</v>
      </c>
      <c r="AH209" s="807">
        <v>42972</v>
      </c>
      <c r="AI209" s="807">
        <f t="shared" si="175"/>
        <v>43130</v>
      </c>
      <c r="AJ209" s="807">
        <f t="shared" si="176"/>
        <v>43160</v>
      </c>
      <c r="AK209" s="813"/>
      <c r="AL209" s="807">
        <f t="shared" si="177"/>
        <v>43199</v>
      </c>
      <c r="AM209" s="807">
        <f t="shared" si="178"/>
        <v>43220</v>
      </c>
      <c r="AN209" s="814">
        <f t="shared" ca="1" si="179"/>
        <v>-86</v>
      </c>
      <c r="AO209" s="815">
        <v>1</v>
      </c>
      <c r="AP209" s="816" t="str">
        <f t="shared" ca="1" si="180"/>
        <v>-</v>
      </c>
      <c r="AQ209" s="817"/>
      <c r="AR209" s="794" t="str">
        <f t="shared" si="181"/>
        <v>-</v>
      </c>
      <c r="AS209" s="818"/>
      <c r="AT209" s="794" t="str">
        <f t="shared" si="182"/>
        <v>-</v>
      </c>
      <c r="AU209" s="819">
        <v>1</v>
      </c>
      <c r="AV209" s="820"/>
      <c r="AW209" s="821"/>
      <c r="AX209" s="821"/>
      <c r="AY209" s="969" t="str">
        <f t="shared" si="183"/>
        <v>-</v>
      </c>
      <c r="AZ209" s="966" t="str">
        <f t="shared" si="184"/>
        <v>-</v>
      </c>
      <c r="BA209" s="971" t="str">
        <f t="shared" si="185"/>
        <v>-</v>
      </c>
      <c r="BB209" s="975"/>
      <c r="BC209" s="821"/>
      <c r="BD209" s="821"/>
      <c r="BE209" s="963" t="str">
        <f t="shared" si="186"/>
        <v>-</v>
      </c>
      <c r="BF209" s="984"/>
      <c r="BG209" s="988"/>
      <c r="BH209" s="982"/>
      <c r="BI209" s="991"/>
      <c r="BJ209" s="991"/>
      <c r="BK209" s="993" t="str">
        <f t="shared" si="187"/>
        <v>-</v>
      </c>
      <c r="BL209" s="820">
        <v>42981</v>
      </c>
      <c r="BM209" s="821">
        <v>5</v>
      </c>
      <c r="BN209" s="822">
        <f t="shared" ca="1" si="188"/>
        <v>153</v>
      </c>
      <c r="BO209" s="823">
        <f t="shared" si="189"/>
        <v>97.466666666666669</v>
      </c>
      <c r="BP209" s="824"/>
      <c r="BQ209" s="821"/>
      <c r="BR209" s="822" t="str">
        <f t="shared" si="190"/>
        <v>-</v>
      </c>
      <c r="BS209" s="823" t="str">
        <f t="shared" si="191"/>
        <v>-</v>
      </c>
      <c r="BT209" s="825" t="str">
        <f t="shared" ca="1" si="192"/>
        <v>-</v>
      </c>
      <c r="BU209" s="826"/>
      <c r="BV209" s="827"/>
      <c r="BW209" s="828" t="str">
        <f t="shared" si="193"/>
        <v>Ж-Е НЕ ВАКЦ.</v>
      </c>
      <c r="BX209" s="829" t="str">
        <f t="shared" si="194"/>
        <v>-</v>
      </c>
      <c r="BY209" s="830" t="str">
        <f t="shared" ca="1" si="195"/>
        <v>-</v>
      </c>
      <c r="BZ209" s="831">
        <v>42887</v>
      </c>
      <c r="CA209" s="832">
        <v>5</v>
      </c>
      <c r="CB209" s="833">
        <f t="shared" ca="1" si="196"/>
        <v>247</v>
      </c>
      <c r="CC209" s="834" t="str">
        <f t="shared" ca="1" si="197"/>
        <v>-</v>
      </c>
      <c r="CD209" s="835">
        <f t="shared" si="198"/>
        <v>42908</v>
      </c>
      <c r="CE209" s="831">
        <v>42908</v>
      </c>
      <c r="CF209" s="832">
        <v>5</v>
      </c>
      <c r="CG209" s="833">
        <f t="shared" ca="1" si="199"/>
        <v>226</v>
      </c>
      <c r="CH209" s="836">
        <f t="shared" si="200"/>
        <v>0</v>
      </c>
      <c r="CI209" s="837" t="str">
        <f t="shared" si="201"/>
        <v>УСПЕШНО</v>
      </c>
      <c r="CJ209" s="838" t="str">
        <f t="shared" ca="1" si="202"/>
        <v>-</v>
      </c>
      <c r="CK209" s="831"/>
      <c r="CL209" s="832"/>
      <c r="CM209" s="833" t="str">
        <f t="shared" si="203"/>
        <v>-</v>
      </c>
      <c r="CN209" s="834" t="str">
        <f t="shared" si="204"/>
        <v>-</v>
      </c>
      <c r="CO209" s="830" t="str">
        <f t="shared" ca="1" si="205"/>
        <v>-</v>
      </c>
      <c r="CP209" s="839"/>
      <c r="CQ209" s="832"/>
      <c r="CR209" s="833" t="str">
        <f t="shared" si="206"/>
        <v>-</v>
      </c>
      <c r="CS209" s="833" t="str">
        <f t="shared" si="207"/>
        <v>-</v>
      </c>
      <c r="CT209" s="834" t="str">
        <f t="shared" si="208"/>
        <v>-</v>
      </c>
      <c r="CU209" s="835" t="str">
        <f t="shared" si="209"/>
        <v>-</v>
      </c>
      <c r="CV209" s="839"/>
      <c r="CW209" s="832"/>
      <c r="CX209" s="833" t="str">
        <f t="shared" si="210"/>
        <v>-</v>
      </c>
      <c r="CY209" s="840" t="str">
        <f t="shared" si="211"/>
        <v>-</v>
      </c>
      <c r="CZ209" s="833" t="str">
        <f t="shared" si="212"/>
        <v>-</v>
      </c>
      <c r="DA209" s="838" t="str">
        <f t="shared" ca="1" si="213"/>
        <v>-</v>
      </c>
      <c r="DB209" s="841"/>
      <c r="DC209" s="832"/>
    </row>
    <row r="210" spans="1:107" s="842" customFormat="1" ht="15.95" customHeight="1" x14ac:dyDescent="0.25">
      <c r="A210" s="790">
        <v>211</v>
      </c>
      <c r="B210" s="791">
        <f t="shared" ca="1" si="162"/>
        <v>43134</v>
      </c>
      <c r="C210" s="792" t="s">
        <v>613</v>
      </c>
      <c r="D210" s="793" t="s">
        <v>3201</v>
      </c>
      <c r="E210" s="794" t="s">
        <v>167</v>
      </c>
      <c r="F210" s="854" t="s">
        <v>168</v>
      </c>
      <c r="G210" s="796">
        <f>SUMIFS(МОЛОКО!L8:L6958,МОЛОКО!F8:F6958,"11076",МОЛОКО!L8:L6958,"&gt;0")</f>
        <v>12</v>
      </c>
      <c r="H210" s="797" t="s">
        <v>87</v>
      </c>
      <c r="I210" s="798">
        <v>40604</v>
      </c>
      <c r="J210" s="799">
        <f t="shared" ca="1" si="163"/>
        <v>6.9315068493150687</v>
      </c>
      <c r="K210" s="799">
        <f t="shared" ca="1" si="164"/>
        <v>84.333333333333329</v>
      </c>
      <c r="L210" s="800">
        <f t="shared" ca="1" si="165"/>
        <v>2530</v>
      </c>
      <c r="M210" s="801">
        <v>41608</v>
      </c>
      <c r="N210" s="802">
        <v>42704</v>
      </c>
      <c r="O210" s="803">
        <f t="shared" ca="1" si="166"/>
        <v>430</v>
      </c>
      <c r="P210" s="804">
        <v>3</v>
      </c>
      <c r="Q210" s="805" t="s">
        <v>2366</v>
      </c>
      <c r="R210" s="806" t="s">
        <v>1820</v>
      </c>
      <c r="S210" s="807">
        <v>42776</v>
      </c>
      <c r="T210" s="798">
        <v>42868</v>
      </c>
      <c r="U210" s="798" t="str">
        <f t="shared" si="167"/>
        <v>-</v>
      </c>
      <c r="V210" s="804" t="str">
        <f t="shared" ca="1" si="168"/>
        <v>-</v>
      </c>
      <c r="W210" s="808">
        <v>2</v>
      </c>
      <c r="X210" s="794">
        <f t="shared" si="161"/>
        <v>164</v>
      </c>
      <c r="Y210" s="794">
        <v>1</v>
      </c>
      <c r="Z210" s="809" t="str">
        <f t="shared" ca="1" si="169"/>
        <v>-----</v>
      </c>
      <c r="AA210" s="810" t="str">
        <f t="shared" ca="1" si="170"/>
        <v>-----</v>
      </c>
      <c r="AB210" s="804">
        <v>1</v>
      </c>
      <c r="AC210" s="811" t="str">
        <f t="shared" ca="1" si="171"/>
        <v>-----</v>
      </c>
      <c r="AD210" s="798">
        <v>42932</v>
      </c>
      <c r="AE210" s="794" t="str">
        <f t="shared" ca="1" si="172"/>
        <v>-</v>
      </c>
      <c r="AF210" s="798" t="str">
        <f t="shared" si="173"/>
        <v>-</v>
      </c>
      <c r="AG210" s="812" t="str">
        <f t="shared" si="174"/>
        <v>---------</v>
      </c>
      <c r="AH210" s="807">
        <v>42903</v>
      </c>
      <c r="AI210" s="807">
        <f t="shared" si="175"/>
        <v>43058</v>
      </c>
      <c r="AJ210" s="807">
        <f t="shared" si="176"/>
        <v>43088</v>
      </c>
      <c r="AK210" s="813"/>
      <c r="AL210" s="807">
        <f t="shared" si="177"/>
        <v>43127</v>
      </c>
      <c r="AM210" s="807">
        <f t="shared" si="178"/>
        <v>43148</v>
      </c>
      <c r="AN210" s="814">
        <f t="shared" ca="1" si="179"/>
        <v>-14</v>
      </c>
      <c r="AO210" s="815">
        <v>1</v>
      </c>
      <c r="AP210" s="816" t="str">
        <f t="shared" ca="1" si="180"/>
        <v>-</v>
      </c>
      <c r="AQ210" s="817"/>
      <c r="AR210" s="794" t="str">
        <f t="shared" si="181"/>
        <v>-</v>
      </c>
      <c r="AS210" s="818"/>
      <c r="AT210" s="794" t="str">
        <f t="shared" si="182"/>
        <v>-</v>
      </c>
      <c r="AU210" s="819">
        <v>1</v>
      </c>
      <c r="AV210" s="820"/>
      <c r="AW210" s="821"/>
      <c r="AX210" s="821"/>
      <c r="AY210" s="969" t="str">
        <f t="shared" si="183"/>
        <v>-</v>
      </c>
      <c r="AZ210" s="966" t="str">
        <f t="shared" si="184"/>
        <v>-</v>
      </c>
      <c r="BA210" s="971" t="str">
        <f t="shared" si="185"/>
        <v>-</v>
      </c>
      <c r="BB210" s="975"/>
      <c r="BC210" s="821"/>
      <c r="BD210" s="821"/>
      <c r="BE210" s="963" t="str">
        <f t="shared" si="186"/>
        <v>-</v>
      </c>
      <c r="BF210" s="984"/>
      <c r="BG210" s="988"/>
      <c r="BH210" s="982"/>
      <c r="BI210" s="991"/>
      <c r="BJ210" s="991"/>
      <c r="BK210" s="993" t="str">
        <f t="shared" si="187"/>
        <v>-</v>
      </c>
      <c r="BL210" s="820">
        <v>42981</v>
      </c>
      <c r="BM210" s="821">
        <v>5</v>
      </c>
      <c r="BN210" s="822">
        <f t="shared" ca="1" si="188"/>
        <v>153</v>
      </c>
      <c r="BO210" s="823">
        <f t="shared" si="189"/>
        <v>79.233333333333334</v>
      </c>
      <c r="BP210" s="824"/>
      <c r="BQ210" s="821"/>
      <c r="BR210" s="822" t="str">
        <f t="shared" si="190"/>
        <v>-</v>
      </c>
      <c r="BS210" s="823" t="str">
        <f t="shared" si="191"/>
        <v>-</v>
      </c>
      <c r="BT210" s="825" t="str">
        <f t="shared" ca="1" si="192"/>
        <v>-</v>
      </c>
      <c r="BU210" s="826"/>
      <c r="BV210" s="827"/>
      <c r="BW210" s="828" t="str">
        <f t="shared" si="193"/>
        <v>Ж-Е НЕ ВАКЦ.</v>
      </c>
      <c r="BX210" s="829" t="str">
        <f t="shared" si="194"/>
        <v>-</v>
      </c>
      <c r="BY210" s="830" t="str">
        <f t="shared" ca="1" si="195"/>
        <v>-</v>
      </c>
      <c r="BZ210" s="831">
        <v>42887</v>
      </c>
      <c r="CA210" s="832">
        <v>5</v>
      </c>
      <c r="CB210" s="833">
        <f t="shared" ca="1" si="196"/>
        <v>247</v>
      </c>
      <c r="CC210" s="834" t="str">
        <f t="shared" ca="1" si="197"/>
        <v>-</v>
      </c>
      <c r="CD210" s="835">
        <f t="shared" si="198"/>
        <v>42908</v>
      </c>
      <c r="CE210" s="831">
        <v>42908</v>
      </c>
      <c r="CF210" s="832">
        <v>5</v>
      </c>
      <c r="CG210" s="833">
        <f t="shared" ca="1" si="199"/>
        <v>226</v>
      </c>
      <c r="CH210" s="836">
        <f t="shared" si="200"/>
        <v>0</v>
      </c>
      <c r="CI210" s="837" t="str">
        <f t="shared" si="201"/>
        <v>УСПЕШНО</v>
      </c>
      <c r="CJ210" s="838" t="str">
        <f t="shared" ca="1" si="202"/>
        <v>-</v>
      </c>
      <c r="CK210" s="831"/>
      <c r="CL210" s="832"/>
      <c r="CM210" s="833" t="str">
        <f t="shared" si="203"/>
        <v>-</v>
      </c>
      <c r="CN210" s="834" t="str">
        <f t="shared" si="204"/>
        <v>-</v>
      </c>
      <c r="CO210" s="830" t="str">
        <f t="shared" ca="1" si="205"/>
        <v>ТРЕБУЕТСЯ ВАКЦИНАЦИЯ</v>
      </c>
      <c r="CP210" s="839"/>
      <c r="CQ210" s="832"/>
      <c r="CR210" s="833" t="str">
        <f t="shared" si="206"/>
        <v>-</v>
      </c>
      <c r="CS210" s="833" t="str">
        <f t="shared" si="207"/>
        <v>-</v>
      </c>
      <c r="CT210" s="834" t="str">
        <f t="shared" si="208"/>
        <v>-</v>
      </c>
      <c r="CU210" s="835" t="str">
        <f t="shared" si="209"/>
        <v>-</v>
      </c>
      <c r="CV210" s="839"/>
      <c r="CW210" s="832"/>
      <c r="CX210" s="833" t="str">
        <f t="shared" si="210"/>
        <v>-</v>
      </c>
      <c r="CY210" s="840" t="str">
        <f t="shared" si="211"/>
        <v>-</v>
      </c>
      <c r="CZ210" s="833" t="str">
        <f t="shared" si="212"/>
        <v>-</v>
      </c>
      <c r="DA210" s="838" t="str">
        <f t="shared" ca="1" si="213"/>
        <v>-</v>
      </c>
      <c r="DB210" s="841"/>
      <c r="DC210" s="832"/>
    </row>
    <row r="211" spans="1:107" s="842" customFormat="1" ht="15.95" customHeight="1" x14ac:dyDescent="0.25">
      <c r="A211" s="790">
        <v>212</v>
      </c>
      <c r="B211" s="791">
        <f t="shared" ca="1" si="162"/>
        <v>43134</v>
      </c>
      <c r="C211" s="792" t="s">
        <v>613</v>
      </c>
      <c r="D211" s="793" t="s">
        <v>3201</v>
      </c>
      <c r="E211" s="794" t="s">
        <v>831</v>
      </c>
      <c r="F211" s="854" t="s">
        <v>1407</v>
      </c>
      <c r="G211" s="796">
        <f>SUMIFS(МОЛОКО!L8:L6958,МОЛОКО!F8:F6958,"13189",МОЛОКО!L8:L6958,"&gt;0")</f>
        <v>17</v>
      </c>
      <c r="H211" s="797" t="s">
        <v>87</v>
      </c>
      <c r="I211" s="798">
        <v>41456</v>
      </c>
      <c r="J211" s="799">
        <f t="shared" ca="1" si="163"/>
        <v>4.5972602739726032</v>
      </c>
      <c r="K211" s="799">
        <f t="shared" ca="1" si="164"/>
        <v>55.93333333333333</v>
      </c>
      <c r="L211" s="800">
        <f t="shared" ca="1" si="165"/>
        <v>1678</v>
      </c>
      <c r="M211" s="801">
        <v>42498</v>
      </c>
      <c r="N211" s="802">
        <v>42837</v>
      </c>
      <c r="O211" s="803">
        <f t="shared" ca="1" si="166"/>
        <v>297</v>
      </c>
      <c r="P211" s="804">
        <v>2</v>
      </c>
      <c r="Q211" s="805" t="s">
        <v>1451</v>
      </c>
      <c r="R211" s="806" t="s">
        <v>3020</v>
      </c>
      <c r="S211" s="807">
        <v>42901</v>
      </c>
      <c r="T211" s="798">
        <v>42988</v>
      </c>
      <c r="U211" s="798" t="str">
        <f t="shared" si="167"/>
        <v>-</v>
      </c>
      <c r="V211" s="804" t="str">
        <f t="shared" ca="1" si="168"/>
        <v>-</v>
      </c>
      <c r="W211" s="808">
        <v>2</v>
      </c>
      <c r="X211" s="794">
        <f t="shared" si="161"/>
        <v>151</v>
      </c>
      <c r="Y211" s="794">
        <v>1</v>
      </c>
      <c r="Z211" s="809" t="str">
        <f t="shared" ca="1" si="169"/>
        <v>ПОДЛЕЖИТ ПЕРЕПРОВЕРКЕ</v>
      </c>
      <c r="AA211" s="810">
        <f t="shared" ca="1" si="170"/>
        <v>146</v>
      </c>
      <c r="AB211" s="804"/>
      <c r="AC211" s="811">
        <f t="shared" ca="1" si="171"/>
        <v>43060</v>
      </c>
      <c r="AD211" s="798"/>
      <c r="AE211" s="794" t="str">
        <f t="shared" ca="1" si="172"/>
        <v>-</v>
      </c>
      <c r="AF211" s="798" t="str">
        <f t="shared" si="173"/>
        <v>-</v>
      </c>
      <c r="AG211" s="812" t="str">
        <f t="shared" si="174"/>
        <v>---------</v>
      </c>
      <c r="AH211" s="807">
        <v>43017</v>
      </c>
      <c r="AI211" s="807">
        <f t="shared" si="175"/>
        <v>43178</v>
      </c>
      <c r="AJ211" s="807">
        <f t="shared" si="176"/>
        <v>43208</v>
      </c>
      <c r="AK211" s="813"/>
      <c r="AL211" s="807">
        <f t="shared" si="177"/>
        <v>43247</v>
      </c>
      <c r="AM211" s="807">
        <f t="shared" si="178"/>
        <v>43268</v>
      </c>
      <c r="AN211" s="814">
        <f t="shared" ca="1" si="179"/>
        <v>-134</v>
      </c>
      <c r="AO211" s="815">
        <v>1</v>
      </c>
      <c r="AP211" s="816" t="str">
        <f t="shared" ca="1" si="180"/>
        <v>-</v>
      </c>
      <c r="AQ211" s="817"/>
      <c r="AR211" s="794" t="str">
        <f t="shared" si="181"/>
        <v>-</v>
      </c>
      <c r="AS211" s="818"/>
      <c r="AT211" s="794" t="str">
        <f t="shared" si="182"/>
        <v>-</v>
      </c>
      <c r="AU211" s="819">
        <v>1</v>
      </c>
      <c r="AV211" s="820"/>
      <c r="AW211" s="821"/>
      <c r="AX211" s="821"/>
      <c r="AY211" s="969" t="str">
        <f t="shared" si="183"/>
        <v>-</v>
      </c>
      <c r="AZ211" s="966" t="str">
        <f t="shared" si="184"/>
        <v>-</v>
      </c>
      <c r="BA211" s="971" t="str">
        <f t="shared" si="185"/>
        <v>-</v>
      </c>
      <c r="BB211" s="975"/>
      <c r="BC211" s="821"/>
      <c r="BD211" s="821"/>
      <c r="BE211" s="963" t="str">
        <f t="shared" si="186"/>
        <v>-</v>
      </c>
      <c r="BF211" s="984"/>
      <c r="BG211" s="988"/>
      <c r="BH211" s="982"/>
      <c r="BI211" s="991"/>
      <c r="BJ211" s="991"/>
      <c r="BK211" s="993" t="str">
        <f t="shared" si="187"/>
        <v>-</v>
      </c>
      <c r="BL211" s="820">
        <v>42981</v>
      </c>
      <c r="BM211" s="821">
        <v>5</v>
      </c>
      <c r="BN211" s="822">
        <f t="shared" ca="1" si="188"/>
        <v>153</v>
      </c>
      <c r="BO211" s="823">
        <f t="shared" si="189"/>
        <v>50.833333333333336</v>
      </c>
      <c r="BP211" s="824"/>
      <c r="BQ211" s="821"/>
      <c r="BR211" s="822" t="str">
        <f t="shared" si="190"/>
        <v>-</v>
      </c>
      <c r="BS211" s="823" t="str">
        <f t="shared" si="191"/>
        <v>-</v>
      </c>
      <c r="BT211" s="825" t="str">
        <f t="shared" ca="1" si="192"/>
        <v>-</v>
      </c>
      <c r="BU211" s="826"/>
      <c r="BV211" s="827"/>
      <c r="BW211" s="828" t="str">
        <f t="shared" si="193"/>
        <v>Ж-Е НЕ ВАКЦ.</v>
      </c>
      <c r="BX211" s="829" t="str">
        <f t="shared" si="194"/>
        <v>-</v>
      </c>
      <c r="BY211" s="830" t="str">
        <f t="shared" ca="1" si="195"/>
        <v>-</v>
      </c>
      <c r="BZ211" s="831">
        <v>42887</v>
      </c>
      <c r="CA211" s="832">
        <v>5</v>
      </c>
      <c r="CB211" s="833">
        <f t="shared" ca="1" si="196"/>
        <v>247</v>
      </c>
      <c r="CC211" s="834" t="str">
        <f t="shared" ca="1" si="197"/>
        <v>-</v>
      </c>
      <c r="CD211" s="835">
        <f t="shared" si="198"/>
        <v>42908</v>
      </c>
      <c r="CE211" s="831">
        <v>42908</v>
      </c>
      <c r="CF211" s="832">
        <v>5</v>
      </c>
      <c r="CG211" s="833">
        <f t="shared" ca="1" si="199"/>
        <v>226</v>
      </c>
      <c r="CH211" s="836">
        <f t="shared" si="200"/>
        <v>0</v>
      </c>
      <c r="CI211" s="837" t="str">
        <f t="shared" si="201"/>
        <v>УСПЕШНО</v>
      </c>
      <c r="CJ211" s="838" t="str">
        <f t="shared" ca="1" si="202"/>
        <v>-</v>
      </c>
      <c r="CK211" s="831"/>
      <c r="CL211" s="832"/>
      <c r="CM211" s="833" t="str">
        <f t="shared" si="203"/>
        <v>-</v>
      </c>
      <c r="CN211" s="834" t="str">
        <f t="shared" si="204"/>
        <v>-</v>
      </c>
      <c r="CO211" s="830" t="str">
        <f t="shared" ca="1" si="205"/>
        <v>-</v>
      </c>
      <c r="CP211" s="839"/>
      <c r="CQ211" s="832"/>
      <c r="CR211" s="833" t="str">
        <f t="shared" si="206"/>
        <v>-</v>
      </c>
      <c r="CS211" s="833" t="str">
        <f t="shared" si="207"/>
        <v>-</v>
      </c>
      <c r="CT211" s="834" t="str">
        <f t="shared" si="208"/>
        <v>-</v>
      </c>
      <c r="CU211" s="835" t="str">
        <f t="shared" si="209"/>
        <v>-</v>
      </c>
      <c r="CV211" s="839"/>
      <c r="CW211" s="832"/>
      <c r="CX211" s="833" t="str">
        <f t="shared" si="210"/>
        <v>-</v>
      </c>
      <c r="CY211" s="840" t="str">
        <f t="shared" si="211"/>
        <v>-</v>
      </c>
      <c r="CZ211" s="833" t="str">
        <f t="shared" si="212"/>
        <v>-</v>
      </c>
      <c r="DA211" s="838" t="str">
        <f t="shared" ca="1" si="213"/>
        <v>-</v>
      </c>
      <c r="DB211" s="841"/>
      <c r="DC211" s="832"/>
    </row>
    <row r="212" spans="1:107" s="842" customFormat="1" ht="15.95" customHeight="1" x14ac:dyDescent="0.25">
      <c r="A212" s="790">
        <v>213</v>
      </c>
      <c r="B212" s="791">
        <f t="shared" ca="1" si="162"/>
        <v>43134</v>
      </c>
      <c r="C212" s="29" t="s">
        <v>613</v>
      </c>
      <c r="D212" s="59" t="s">
        <v>3201</v>
      </c>
      <c r="E212" s="794" t="s">
        <v>926</v>
      </c>
      <c r="F212" s="854" t="s">
        <v>927</v>
      </c>
      <c r="G212" s="796">
        <f>SUMIFS(МОЛОКО!L8:L6958,МОЛОКО!F8:F6958,"13308",МОЛОКО!L8:L6958,"&gt;0")</f>
        <v>20</v>
      </c>
      <c r="H212" s="797" t="s">
        <v>87</v>
      </c>
      <c r="I212" s="798">
        <v>41556</v>
      </c>
      <c r="J212" s="799">
        <f t="shared" ca="1" si="163"/>
        <v>4.3232876712328769</v>
      </c>
      <c r="K212" s="799">
        <f t="shared" ca="1" si="164"/>
        <v>52.6</v>
      </c>
      <c r="L212" s="800">
        <f t="shared" ca="1" si="165"/>
        <v>1578</v>
      </c>
      <c r="M212" s="846">
        <v>42434</v>
      </c>
      <c r="N212" s="802">
        <v>42907</v>
      </c>
      <c r="O212" s="803">
        <f t="shared" ca="1" si="166"/>
        <v>227</v>
      </c>
      <c r="P212" s="804">
        <v>2</v>
      </c>
      <c r="Q212" s="68" t="s">
        <v>2366</v>
      </c>
      <c r="R212" s="118" t="s">
        <v>2966</v>
      </c>
      <c r="S212" s="807">
        <v>43013</v>
      </c>
      <c r="T212" s="798">
        <v>43056</v>
      </c>
      <c r="U212" s="798">
        <f t="shared" si="167"/>
        <v>43074</v>
      </c>
      <c r="V212" s="804">
        <f t="shared" ca="1" si="168"/>
        <v>60</v>
      </c>
      <c r="W212" s="808">
        <v>2</v>
      </c>
      <c r="X212" s="794">
        <f t="shared" si="161"/>
        <v>149</v>
      </c>
      <c r="Y212" s="794">
        <v>3</v>
      </c>
      <c r="Z212" s="809" t="str">
        <f t="shared" ca="1" si="169"/>
        <v>-----</v>
      </c>
      <c r="AA212" s="810">
        <f t="shared" ca="1" si="170"/>
        <v>78</v>
      </c>
      <c r="AB212" s="804"/>
      <c r="AC212" s="811" t="str">
        <f t="shared" ca="1" si="171"/>
        <v>-----</v>
      </c>
      <c r="AD212" s="798"/>
      <c r="AE212" s="794" t="str">
        <f t="shared" ca="1" si="172"/>
        <v>-</v>
      </c>
      <c r="AF212" s="798">
        <f t="shared" si="173"/>
        <v>43091</v>
      </c>
      <c r="AG212" s="812">
        <f t="shared" ca="1" si="174"/>
        <v>43</v>
      </c>
      <c r="AH212" s="807">
        <v>43052</v>
      </c>
      <c r="AI212" s="807" t="str">
        <f t="shared" si="175"/>
        <v>-</v>
      </c>
      <c r="AJ212" s="807" t="str">
        <f t="shared" si="176"/>
        <v>-</v>
      </c>
      <c r="AK212" s="813"/>
      <c r="AL212" s="807" t="str">
        <f t="shared" si="177"/>
        <v>-</v>
      </c>
      <c r="AM212" s="807" t="str">
        <f t="shared" si="178"/>
        <v>-</v>
      </c>
      <c r="AN212" s="814" t="str">
        <f t="shared" ca="1" si="179"/>
        <v>-</v>
      </c>
      <c r="AO212" s="815">
        <v>1</v>
      </c>
      <c r="AP212" s="816" t="str">
        <f t="shared" ca="1" si="180"/>
        <v>-</v>
      </c>
      <c r="AQ212" s="817"/>
      <c r="AR212" s="794" t="str">
        <f t="shared" si="181"/>
        <v>-</v>
      </c>
      <c r="AS212" s="818"/>
      <c r="AT212" s="794" t="str">
        <f t="shared" si="182"/>
        <v>-</v>
      </c>
      <c r="AU212" s="819">
        <v>1</v>
      </c>
      <c r="AV212" s="820"/>
      <c r="AW212" s="821"/>
      <c r="AX212" s="821"/>
      <c r="AY212" s="969" t="str">
        <f t="shared" si="183"/>
        <v>-</v>
      </c>
      <c r="AZ212" s="966" t="str">
        <f t="shared" si="184"/>
        <v>-</v>
      </c>
      <c r="BA212" s="971" t="str">
        <f t="shared" si="185"/>
        <v>-</v>
      </c>
      <c r="BB212" s="975"/>
      <c r="BC212" s="821"/>
      <c r="BD212" s="821"/>
      <c r="BE212" s="963" t="str">
        <f t="shared" si="186"/>
        <v>-</v>
      </c>
      <c r="BF212" s="984"/>
      <c r="BG212" s="988"/>
      <c r="BH212" s="982"/>
      <c r="BI212" s="991"/>
      <c r="BJ212" s="991"/>
      <c r="BK212" s="993" t="str">
        <f t="shared" si="187"/>
        <v>-</v>
      </c>
      <c r="BL212" s="820">
        <v>42979</v>
      </c>
      <c r="BM212" s="821">
        <v>5</v>
      </c>
      <c r="BN212" s="822">
        <f t="shared" ca="1" si="188"/>
        <v>155</v>
      </c>
      <c r="BO212" s="823">
        <f t="shared" si="189"/>
        <v>47.43333333333333</v>
      </c>
      <c r="BP212" s="824">
        <v>43001</v>
      </c>
      <c r="BQ212" s="821">
        <v>2</v>
      </c>
      <c r="BR212" s="822">
        <f t="shared" ca="1" si="190"/>
        <v>133</v>
      </c>
      <c r="BS212" s="823">
        <f t="shared" si="191"/>
        <v>18.899999999999999</v>
      </c>
      <c r="BT212" s="825" t="str">
        <f t="shared" ca="1" si="192"/>
        <v>-</v>
      </c>
      <c r="BU212" s="826"/>
      <c r="BV212" s="827"/>
      <c r="BW212" s="828" t="str">
        <f t="shared" si="193"/>
        <v>Ж-Е НЕ ВАКЦ.</v>
      </c>
      <c r="BX212" s="829" t="str">
        <f t="shared" si="194"/>
        <v>-</v>
      </c>
      <c r="BY212" s="830" t="str">
        <f t="shared" ca="1" si="195"/>
        <v>-</v>
      </c>
      <c r="BZ212" s="831">
        <v>42940</v>
      </c>
      <c r="CA212" s="832">
        <v>5</v>
      </c>
      <c r="CB212" s="833">
        <f t="shared" ca="1" si="196"/>
        <v>194</v>
      </c>
      <c r="CC212" s="834" t="str">
        <f t="shared" ca="1" si="197"/>
        <v>-</v>
      </c>
      <c r="CD212" s="835">
        <f t="shared" si="198"/>
        <v>42961</v>
      </c>
      <c r="CE212" s="831">
        <v>42969</v>
      </c>
      <c r="CF212" s="832">
        <v>5</v>
      </c>
      <c r="CG212" s="833">
        <f t="shared" ca="1" si="199"/>
        <v>165</v>
      </c>
      <c r="CH212" s="836">
        <f t="shared" si="200"/>
        <v>-8</v>
      </c>
      <c r="CI212" s="837" t="str">
        <f t="shared" si="201"/>
        <v>-</v>
      </c>
      <c r="CJ212" s="838" t="str">
        <f t="shared" ca="1" si="202"/>
        <v>-</v>
      </c>
      <c r="CK212" s="831"/>
      <c r="CL212" s="832"/>
      <c r="CM212" s="833" t="str">
        <f t="shared" si="203"/>
        <v>-</v>
      </c>
      <c r="CN212" s="834" t="str">
        <f t="shared" si="204"/>
        <v>-</v>
      </c>
      <c r="CO212" s="830" t="str">
        <f t="shared" ca="1" si="205"/>
        <v>-</v>
      </c>
      <c r="CP212" s="839"/>
      <c r="CQ212" s="832"/>
      <c r="CR212" s="833" t="str">
        <f t="shared" si="206"/>
        <v>-</v>
      </c>
      <c r="CS212" s="833" t="str">
        <f t="shared" si="207"/>
        <v>-</v>
      </c>
      <c r="CT212" s="834" t="str">
        <f t="shared" si="208"/>
        <v>-</v>
      </c>
      <c r="CU212" s="835" t="str">
        <f t="shared" si="209"/>
        <v>-</v>
      </c>
      <c r="CV212" s="839"/>
      <c r="CW212" s="832"/>
      <c r="CX212" s="833" t="str">
        <f t="shared" si="210"/>
        <v>-</v>
      </c>
      <c r="CY212" s="840" t="str">
        <f t="shared" si="211"/>
        <v>-</v>
      </c>
      <c r="CZ212" s="833" t="str">
        <f t="shared" si="212"/>
        <v>-</v>
      </c>
      <c r="DA212" s="838" t="str">
        <f t="shared" ca="1" si="213"/>
        <v>-</v>
      </c>
      <c r="DB212" s="841"/>
      <c r="DC212" s="832"/>
    </row>
    <row r="213" spans="1:107" s="842" customFormat="1" ht="15.95" customHeight="1" x14ac:dyDescent="0.25">
      <c r="A213" s="790">
        <v>214</v>
      </c>
      <c r="B213" s="791">
        <f t="shared" ca="1" si="162"/>
        <v>43134</v>
      </c>
      <c r="C213" s="792" t="s">
        <v>613</v>
      </c>
      <c r="D213" s="793" t="s">
        <v>3201</v>
      </c>
      <c r="E213" s="794" t="s">
        <v>529</v>
      </c>
      <c r="F213" s="854" t="s">
        <v>530</v>
      </c>
      <c r="G213" s="796">
        <f>SUMIFS(МОЛОКО!L8:L6958,МОЛОКО!F8:F6958,"13321",МОЛОКО!L8:L6958,"&gt;0")</f>
        <v>20</v>
      </c>
      <c r="H213" s="797" t="s">
        <v>620</v>
      </c>
      <c r="I213" s="798">
        <v>41570</v>
      </c>
      <c r="J213" s="799">
        <f t="shared" ca="1" si="163"/>
        <v>4.2849315068493148</v>
      </c>
      <c r="K213" s="799">
        <f t="shared" ca="1" si="164"/>
        <v>52.133333333333333</v>
      </c>
      <c r="L213" s="800">
        <f t="shared" ca="1" si="165"/>
        <v>1564</v>
      </c>
      <c r="M213" s="801">
        <v>42397</v>
      </c>
      <c r="N213" s="802">
        <v>42833</v>
      </c>
      <c r="O213" s="803">
        <f t="shared" ca="1" si="166"/>
        <v>301</v>
      </c>
      <c r="P213" s="804">
        <v>2</v>
      </c>
      <c r="Q213" s="805" t="s">
        <v>2366</v>
      </c>
      <c r="R213" s="806" t="s">
        <v>3020</v>
      </c>
      <c r="S213" s="807">
        <v>42901</v>
      </c>
      <c r="T213" s="798">
        <v>42989</v>
      </c>
      <c r="U213" s="798" t="str">
        <f t="shared" si="167"/>
        <v>-</v>
      </c>
      <c r="V213" s="804" t="str">
        <f t="shared" ca="1" si="168"/>
        <v>-</v>
      </c>
      <c r="W213" s="808">
        <v>2</v>
      </c>
      <c r="X213" s="794">
        <f t="shared" si="161"/>
        <v>156</v>
      </c>
      <c r="Y213" s="794">
        <v>1</v>
      </c>
      <c r="Z213" s="809" t="str">
        <f t="shared" ca="1" si="169"/>
        <v>ПОДЛЕЖИТ ПЕРЕПРОВЕРКЕ</v>
      </c>
      <c r="AA213" s="810">
        <f t="shared" ca="1" si="170"/>
        <v>145</v>
      </c>
      <c r="AB213" s="804"/>
      <c r="AC213" s="811">
        <f t="shared" ca="1" si="171"/>
        <v>43061</v>
      </c>
      <c r="AD213" s="798"/>
      <c r="AE213" s="794" t="str">
        <f t="shared" ca="1" si="172"/>
        <v>-</v>
      </c>
      <c r="AF213" s="798" t="str">
        <f t="shared" si="173"/>
        <v>-</v>
      </c>
      <c r="AG213" s="812" t="str">
        <f t="shared" si="174"/>
        <v>---------</v>
      </c>
      <c r="AH213" s="807">
        <v>43020</v>
      </c>
      <c r="AI213" s="807">
        <f t="shared" si="175"/>
        <v>43179</v>
      </c>
      <c r="AJ213" s="807">
        <f t="shared" si="176"/>
        <v>43209</v>
      </c>
      <c r="AK213" s="813"/>
      <c r="AL213" s="807">
        <f t="shared" si="177"/>
        <v>43248</v>
      </c>
      <c r="AM213" s="807">
        <f t="shared" si="178"/>
        <v>43269</v>
      </c>
      <c r="AN213" s="814">
        <f t="shared" ca="1" si="179"/>
        <v>-135</v>
      </c>
      <c r="AO213" s="815">
        <v>1</v>
      </c>
      <c r="AP213" s="816" t="str">
        <f t="shared" ca="1" si="180"/>
        <v>-</v>
      </c>
      <c r="AQ213" s="817"/>
      <c r="AR213" s="794" t="str">
        <f t="shared" si="181"/>
        <v>-</v>
      </c>
      <c r="AS213" s="818" t="s">
        <v>3024</v>
      </c>
      <c r="AT213" s="794" t="str">
        <f t="shared" si="182"/>
        <v>-</v>
      </c>
      <c r="AU213" s="819">
        <v>1</v>
      </c>
      <c r="AV213" s="820"/>
      <c r="AW213" s="821"/>
      <c r="AX213" s="821"/>
      <c r="AY213" s="969" t="str">
        <f t="shared" si="183"/>
        <v>-</v>
      </c>
      <c r="AZ213" s="966" t="str">
        <f t="shared" si="184"/>
        <v>-</v>
      </c>
      <c r="BA213" s="971" t="str">
        <f t="shared" si="185"/>
        <v>-</v>
      </c>
      <c r="BB213" s="975"/>
      <c r="BC213" s="821"/>
      <c r="BD213" s="821"/>
      <c r="BE213" s="963" t="str">
        <f t="shared" si="186"/>
        <v>-</v>
      </c>
      <c r="BF213" s="984"/>
      <c r="BG213" s="988"/>
      <c r="BH213" s="982"/>
      <c r="BI213" s="991"/>
      <c r="BJ213" s="991"/>
      <c r="BK213" s="993" t="str">
        <f t="shared" si="187"/>
        <v>-</v>
      </c>
      <c r="BL213" s="820">
        <v>42981</v>
      </c>
      <c r="BM213" s="821">
        <v>5</v>
      </c>
      <c r="BN213" s="822">
        <f t="shared" ca="1" si="188"/>
        <v>153</v>
      </c>
      <c r="BO213" s="823">
        <f t="shared" si="189"/>
        <v>47.033333333333331</v>
      </c>
      <c r="BP213" s="824">
        <v>43001</v>
      </c>
      <c r="BQ213" s="821">
        <v>2</v>
      </c>
      <c r="BR213" s="822">
        <f t="shared" ca="1" si="190"/>
        <v>133</v>
      </c>
      <c r="BS213" s="823">
        <f t="shared" si="191"/>
        <v>20.133333333333333</v>
      </c>
      <c r="BT213" s="825" t="str">
        <f t="shared" ca="1" si="192"/>
        <v>-</v>
      </c>
      <c r="BU213" s="826"/>
      <c r="BV213" s="827"/>
      <c r="BW213" s="828" t="str">
        <f t="shared" si="193"/>
        <v>Ж-Е НЕ ВАКЦ.</v>
      </c>
      <c r="BX213" s="829" t="str">
        <f t="shared" si="194"/>
        <v>-</v>
      </c>
      <c r="BY213" s="830" t="str">
        <f t="shared" ca="1" si="195"/>
        <v>-</v>
      </c>
      <c r="BZ213" s="831">
        <v>42887</v>
      </c>
      <c r="CA213" s="832">
        <v>5</v>
      </c>
      <c r="CB213" s="833">
        <f t="shared" ca="1" si="196"/>
        <v>247</v>
      </c>
      <c r="CC213" s="834" t="str">
        <f t="shared" ca="1" si="197"/>
        <v>-</v>
      </c>
      <c r="CD213" s="835">
        <f t="shared" si="198"/>
        <v>42908</v>
      </c>
      <c r="CE213" s="831">
        <v>42908</v>
      </c>
      <c r="CF213" s="832">
        <v>5</v>
      </c>
      <c r="CG213" s="833">
        <f t="shared" ca="1" si="199"/>
        <v>226</v>
      </c>
      <c r="CH213" s="836">
        <f t="shared" si="200"/>
        <v>0</v>
      </c>
      <c r="CI213" s="837" t="str">
        <f t="shared" si="201"/>
        <v>УСПЕШНО</v>
      </c>
      <c r="CJ213" s="838" t="str">
        <f t="shared" ca="1" si="202"/>
        <v>-</v>
      </c>
      <c r="CK213" s="831"/>
      <c r="CL213" s="832"/>
      <c r="CM213" s="833" t="str">
        <f t="shared" si="203"/>
        <v>-</v>
      </c>
      <c r="CN213" s="834" t="str">
        <f t="shared" si="204"/>
        <v>-</v>
      </c>
      <c r="CO213" s="830" t="str">
        <f t="shared" ca="1" si="205"/>
        <v>-</v>
      </c>
      <c r="CP213" s="839"/>
      <c r="CQ213" s="832"/>
      <c r="CR213" s="833" t="str">
        <f t="shared" si="206"/>
        <v>-</v>
      </c>
      <c r="CS213" s="833" t="str">
        <f t="shared" si="207"/>
        <v>-</v>
      </c>
      <c r="CT213" s="834" t="str">
        <f t="shared" si="208"/>
        <v>-</v>
      </c>
      <c r="CU213" s="835" t="str">
        <f t="shared" si="209"/>
        <v>-</v>
      </c>
      <c r="CV213" s="839"/>
      <c r="CW213" s="832"/>
      <c r="CX213" s="833" t="str">
        <f t="shared" si="210"/>
        <v>-</v>
      </c>
      <c r="CY213" s="840" t="str">
        <f t="shared" si="211"/>
        <v>-</v>
      </c>
      <c r="CZ213" s="833" t="str">
        <f t="shared" si="212"/>
        <v>-</v>
      </c>
      <c r="DA213" s="838" t="str">
        <f t="shared" ca="1" si="213"/>
        <v>-</v>
      </c>
      <c r="DB213" s="841"/>
      <c r="DC213" s="832"/>
    </row>
    <row r="214" spans="1:107" s="842" customFormat="1" ht="15.95" customHeight="1" x14ac:dyDescent="0.25">
      <c r="A214" s="790">
        <v>215</v>
      </c>
      <c r="B214" s="791">
        <f t="shared" ca="1" si="162"/>
        <v>43134</v>
      </c>
      <c r="C214" s="792" t="s">
        <v>613</v>
      </c>
      <c r="D214" s="793" t="s">
        <v>3201</v>
      </c>
      <c r="E214" s="794" t="s">
        <v>1402</v>
      </c>
      <c r="F214" s="854" t="s">
        <v>1403</v>
      </c>
      <c r="G214" s="796">
        <f>SUMIFS(МОЛОКО!L8:L6958,МОЛОКО!F8:F6958,"13361",МОЛОКО!L8:L6958,"&gt;0")</f>
        <v>17.600000000000001</v>
      </c>
      <c r="H214" s="797" t="s">
        <v>87</v>
      </c>
      <c r="I214" s="798">
        <v>41597</v>
      </c>
      <c r="J214" s="799">
        <f t="shared" ca="1" si="163"/>
        <v>4.2109589041095887</v>
      </c>
      <c r="K214" s="799">
        <f t="shared" ca="1" si="164"/>
        <v>51.233333333333334</v>
      </c>
      <c r="L214" s="800">
        <f t="shared" ca="1" si="165"/>
        <v>1537</v>
      </c>
      <c r="M214" s="801">
        <v>42481</v>
      </c>
      <c r="N214" s="802">
        <v>42812</v>
      </c>
      <c r="O214" s="803">
        <f t="shared" ca="1" si="166"/>
        <v>322</v>
      </c>
      <c r="P214" s="804">
        <v>2</v>
      </c>
      <c r="Q214" s="805" t="s">
        <v>2366</v>
      </c>
      <c r="R214" s="118" t="s">
        <v>3020</v>
      </c>
      <c r="S214" s="807">
        <v>42873</v>
      </c>
      <c r="T214" s="798">
        <v>43056</v>
      </c>
      <c r="U214" s="798">
        <f t="shared" si="167"/>
        <v>43074</v>
      </c>
      <c r="V214" s="804">
        <f t="shared" ca="1" si="168"/>
        <v>60</v>
      </c>
      <c r="W214" s="808">
        <v>4</v>
      </c>
      <c r="X214" s="794">
        <f t="shared" si="161"/>
        <v>244</v>
      </c>
      <c r="Y214" s="794">
        <v>3</v>
      </c>
      <c r="Z214" s="809" t="str">
        <f t="shared" ca="1" si="169"/>
        <v>-----</v>
      </c>
      <c r="AA214" s="810">
        <f t="shared" ca="1" si="170"/>
        <v>78</v>
      </c>
      <c r="AB214" s="804">
        <v>0</v>
      </c>
      <c r="AC214" s="811" t="str">
        <f t="shared" ca="1" si="171"/>
        <v>-----</v>
      </c>
      <c r="AD214" s="798">
        <v>43042</v>
      </c>
      <c r="AE214" s="794" t="str">
        <f t="shared" ca="1" si="172"/>
        <v>-</v>
      </c>
      <c r="AF214" s="798">
        <f t="shared" si="173"/>
        <v>43091</v>
      </c>
      <c r="AG214" s="812">
        <f t="shared" ca="1" si="174"/>
        <v>43</v>
      </c>
      <c r="AH214" s="807">
        <v>42989</v>
      </c>
      <c r="AI214" s="807" t="str">
        <f t="shared" si="175"/>
        <v>-</v>
      </c>
      <c r="AJ214" s="807" t="str">
        <f t="shared" si="176"/>
        <v>-</v>
      </c>
      <c r="AK214" s="813"/>
      <c r="AL214" s="807" t="str">
        <f t="shared" si="177"/>
        <v>-</v>
      </c>
      <c r="AM214" s="807" t="str">
        <f t="shared" si="178"/>
        <v>-</v>
      </c>
      <c r="AN214" s="814" t="str">
        <f t="shared" ca="1" si="179"/>
        <v>-</v>
      </c>
      <c r="AO214" s="815">
        <v>1</v>
      </c>
      <c r="AP214" s="816" t="str">
        <f t="shared" ca="1" si="180"/>
        <v>-</v>
      </c>
      <c r="AQ214" s="817"/>
      <c r="AR214" s="794" t="str">
        <f t="shared" si="181"/>
        <v>-</v>
      </c>
      <c r="AS214" s="818"/>
      <c r="AT214" s="794" t="str">
        <f t="shared" si="182"/>
        <v>-</v>
      </c>
      <c r="AU214" s="819">
        <v>1</v>
      </c>
      <c r="AV214" s="820"/>
      <c r="AW214" s="821"/>
      <c r="AX214" s="821"/>
      <c r="AY214" s="969" t="str">
        <f t="shared" si="183"/>
        <v>-</v>
      </c>
      <c r="AZ214" s="966" t="str">
        <f t="shared" si="184"/>
        <v>-</v>
      </c>
      <c r="BA214" s="971" t="str">
        <f t="shared" si="185"/>
        <v>-</v>
      </c>
      <c r="BB214" s="975"/>
      <c r="BC214" s="821"/>
      <c r="BD214" s="821"/>
      <c r="BE214" s="963" t="str">
        <f t="shared" si="186"/>
        <v>-</v>
      </c>
      <c r="BF214" s="984"/>
      <c r="BG214" s="988"/>
      <c r="BH214" s="982"/>
      <c r="BI214" s="991"/>
      <c r="BJ214" s="991"/>
      <c r="BK214" s="993" t="str">
        <f t="shared" si="187"/>
        <v>-</v>
      </c>
      <c r="BL214" s="820">
        <v>42979</v>
      </c>
      <c r="BM214" s="821">
        <v>5</v>
      </c>
      <c r="BN214" s="822">
        <f t="shared" ca="1" si="188"/>
        <v>155</v>
      </c>
      <c r="BO214" s="823">
        <f t="shared" si="189"/>
        <v>46.06666666666667</v>
      </c>
      <c r="BP214" s="824">
        <v>43001</v>
      </c>
      <c r="BQ214" s="821">
        <v>2</v>
      </c>
      <c r="BR214" s="822">
        <f t="shared" ca="1" si="190"/>
        <v>133</v>
      </c>
      <c r="BS214" s="823">
        <f t="shared" si="191"/>
        <v>17.333333333333332</v>
      </c>
      <c r="BT214" s="825" t="str">
        <f t="shared" ca="1" si="192"/>
        <v>-</v>
      </c>
      <c r="BU214" s="826"/>
      <c r="BV214" s="827"/>
      <c r="BW214" s="828" t="str">
        <f t="shared" si="193"/>
        <v>Ж-Е НЕ ВАКЦ.</v>
      </c>
      <c r="BX214" s="829" t="str">
        <f t="shared" si="194"/>
        <v>-</v>
      </c>
      <c r="BY214" s="830" t="str">
        <f t="shared" ca="1" si="195"/>
        <v>-</v>
      </c>
      <c r="BZ214" s="831">
        <v>42887</v>
      </c>
      <c r="CA214" s="832">
        <v>5</v>
      </c>
      <c r="CB214" s="833">
        <f t="shared" ca="1" si="196"/>
        <v>247</v>
      </c>
      <c r="CC214" s="834" t="str">
        <f t="shared" ca="1" si="197"/>
        <v>-</v>
      </c>
      <c r="CD214" s="835">
        <f t="shared" si="198"/>
        <v>42908</v>
      </c>
      <c r="CE214" s="831">
        <v>42908</v>
      </c>
      <c r="CF214" s="832">
        <v>5</v>
      </c>
      <c r="CG214" s="833">
        <f t="shared" ca="1" si="199"/>
        <v>226</v>
      </c>
      <c r="CH214" s="836">
        <f t="shared" si="200"/>
        <v>0</v>
      </c>
      <c r="CI214" s="837" t="str">
        <f t="shared" si="201"/>
        <v>УСПЕШНО</v>
      </c>
      <c r="CJ214" s="838" t="str">
        <f t="shared" ca="1" si="202"/>
        <v>-</v>
      </c>
      <c r="CK214" s="831"/>
      <c r="CL214" s="832"/>
      <c r="CM214" s="833" t="str">
        <f t="shared" si="203"/>
        <v>-</v>
      </c>
      <c r="CN214" s="834" t="str">
        <f t="shared" si="204"/>
        <v>-</v>
      </c>
      <c r="CO214" s="830" t="str">
        <f t="shared" ca="1" si="205"/>
        <v>-</v>
      </c>
      <c r="CP214" s="839"/>
      <c r="CQ214" s="832"/>
      <c r="CR214" s="833" t="str">
        <f t="shared" si="206"/>
        <v>-</v>
      </c>
      <c r="CS214" s="833" t="str">
        <f t="shared" si="207"/>
        <v>-</v>
      </c>
      <c r="CT214" s="834" t="str">
        <f t="shared" si="208"/>
        <v>-</v>
      </c>
      <c r="CU214" s="835" t="str">
        <f t="shared" si="209"/>
        <v>-</v>
      </c>
      <c r="CV214" s="839"/>
      <c r="CW214" s="832"/>
      <c r="CX214" s="833" t="str">
        <f t="shared" si="210"/>
        <v>-</v>
      </c>
      <c r="CY214" s="840" t="str">
        <f t="shared" si="211"/>
        <v>-</v>
      </c>
      <c r="CZ214" s="833" t="str">
        <f t="shared" si="212"/>
        <v>-</v>
      </c>
      <c r="DA214" s="838" t="str">
        <f t="shared" ca="1" si="213"/>
        <v>-</v>
      </c>
      <c r="DB214" s="841"/>
      <c r="DC214" s="832"/>
    </row>
    <row r="215" spans="1:107" s="842" customFormat="1" ht="15.95" customHeight="1" x14ac:dyDescent="0.25">
      <c r="A215" s="790">
        <v>216</v>
      </c>
      <c r="B215" s="791">
        <f t="shared" ca="1" si="162"/>
        <v>43134</v>
      </c>
      <c r="C215" s="792" t="s">
        <v>613</v>
      </c>
      <c r="D215" s="793" t="s">
        <v>3201</v>
      </c>
      <c r="E215" s="794" t="s">
        <v>444</v>
      </c>
      <c r="F215" s="854" t="s">
        <v>445</v>
      </c>
      <c r="G215" s="796">
        <f>SUMIFS(МОЛОКО!L8:L6958,МОЛОКО!F8:F6958,"44040",МОЛОКО!L8:L6958,"&gt;0")</f>
        <v>15.3</v>
      </c>
      <c r="H215" s="797" t="s">
        <v>78</v>
      </c>
      <c r="I215" s="798">
        <v>41498</v>
      </c>
      <c r="J215" s="799">
        <f t="shared" ca="1" si="163"/>
        <v>4.4821917808219176</v>
      </c>
      <c r="K215" s="799">
        <f t="shared" ca="1" si="164"/>
        <v>54.533333333333331</v>
      </c>
      <c r="L215" s="800">
        <f t="shared" ca="1" si="165"/>
        <v>1636</v>
      </c>
      <c r="M215" s="801">
        <v>42236</v>
      </c>
      <c r="N215" s="802">
        <v>42575</v>
      </c>
      <c r="O215" s="803">
        <f t="shared" ca="1" si="166"/>
        <v>559</v>
      </c>
      <c r="P215" s="804">
        <v>2</v>
      </c>
      <c r="Q215" s="805" t="s">
        <v>2366</v>
      </c>
      <c r="R215" s="806" t="s">
        <v>1875</v>
      </c>
      <c r="S215" s="807">
        <v>42657</v>
      </c>
      <c r="T215" s="798">
        <v>42926</v>
      </c>
      <c r="U215" s="798" t="str">
        <f t="shared" si="167"/>
        <v>-</v>
      </c>
      <c r="V215" s="804" t="str">
        <f t="shared" ca="1" si="168"/>
        <v>-</v>
      </c>
      <c r="W215" s="808">
        <v>5</v>
      </c>
      <c r="X215" s="794">
        <f t="shared" si="161"/>
        <v>351</v>
      </c>
      <c r="Y215" s="794">
        <v>0</v>
      </c>
      <c r="Z215" s="809" t="str">
        <f t="shared" ca="1" si="169"/>
        <v>-----</v>
      </c>
      <c r="AA215" s="810">
        <f t="shared" ca="1" si="170"/>
        <v>208</v>
      </c>
      <c r="AB215" s="804"/>
      <c r="AC215" s="811" t="str">
        <f t="shared" ca="1" si="171"/>
        <v>-----</v>
      </c>
      <c r="AD215" s="798"/>
      <c r="AE215" s="794" t="str">
        <f t="shared" ca="1" si="172"/>
        <v>яловая</v>
      </c>
      <c r="AF215" s="798" t="str">
        <f t="shared" si="173"/>
        <v>-</v>
      </c>
      <c r="AG215" s="812" t="str">
        <f t="shared" si="174"/>
        <v>---------</v>
      </c>
      <c r="AH215" s="807">
        <v>42958</v>
      </c>
      <c r="AI215" s="807" t="str">
        <f t="shared" si="175"/>
        <v>-</v>
      </c>
      <c r="AJ215" s="807" t="str">
        <f t="shared" si="176"/>
        <v>-</v>
      </c>
      <c r="AK215" s="813"/>
      <c r="AL215" s="807" t="str">
        <f t="shared" si="177"/>
        <v>-</v>
      </c>
      <c r="AM215" s="807" t="str">
        <f t="shared" si="178"/>
        <v>-</v>
      </c>
      <c r="AN215" s="814" t="str">
        <f t="shared" ca="1" si="179"/>
        <v>-</v>
      </c>
      <c r="AO215" s="815">
        <v>1</v>
      </c>
      <c r="AP215" s="816" t="str">
        <f t="shared" ca="1" si="180"/>
        <v>БРАК</v>
      </c>
      <c r="AQ215" s="817" t="s">
        <v>3093</v>
      </c>
      <c r="AR215" s="794" t="str">
        <f t="shared" si="181"/>
        <v>-</v>
      </c>
      <c r="AS215" s="818"/>
      <c r="AT215" s="794" t="str">
        <f t="shared" si="182"/>
        <v>-</v>
      </c>
      <c r="AU215" s="819">
        <v>1</v>
      </c>
      <c r="AV215" s="820"/>
      <c r="AW215" s="821"/>
      <c r="AX215" s="821"/>
      <c r="AY215" s="969" t="str">
        <f t="shared" si="183"/>
        <v>-</v>
      </c>
      <c r="AZ215" s="966" t="str">
        <f t="shared" si="184"/>
        <v>-</v>
      </c>
      <c r="BA215" s="971" t="str">
        <f t="shared" si="185"/>
        <v>-</v>
      </c>
      <c r="BB215" s="975"/>
      <c r="BC215" s="821"/>
      <c r="BD215" s="821"/>
      <c r="BE215" s="963" t="str">
        <f t="shared" si="186"/>
        <v>-</v>
      </c>
      <c r="BF215" s="984"/>
      <c r="BG215" s="988"/>
      <c r="BH215" s="982"/>
      <c r="BI215" s="991"/>
      <c r="BJ215" s="991"/>
      <c r="BK215" s="993" t="str">
        <f t="shared" si="187"/>
        <v>-</v>
      </c>
      <c r="BL215" s="820">
        <v>42981</v>
      </c>
      <c r="BM215" s="821">
        <v>5</v>
      </c>
      <c r="BN215" s="822">
        <f t="shared" ca="1" si="188"/>
        <v>153</v>
      </c>
      <c r="BO215" s="823">
        <f t="shared" si="189"/>
        <v>49.43333333333333</v>
      </c>
      <c r="BP215" s="824"/>
      <c r="BQ215" s="821"/>
      <c r="BR215" s="822" t="str">
        <f t="shared" si="190"/>
        <v>-</v>
      </c>
      <c r="BS215" s="823" t="str">
        <f t="shared" si="191"/>
        <v>-</v>
      </c>
      <c r="BT215" s="825" t="str">
        <f t="shared" ca="1" si="192"/>
        <v>-</v>
      </c>
      <c r="BU215" s="826"/>
      <c r="BV215" s="827"/>
      <c r="BW215" s="828" t="str">
        <f t="shared" si="193"/>
        <v>Ж-Е НЕ ВАКЦ.</v>
      </c>
      <c r="BX215" s="829" t="str">
        <f t="shared" si="194"/>
        <v>-</v>
      </c>
      <c r="BY215" s="830" t="str">
        <f t="shared" ca="1" si="195"/>
        <v>-</v>
      </c>
      <c r="BZ215" s="831">
        <v>42887</v>
      </c>
      <c r="CA215" s="832">
        <v>5</v>
      </c>
      <c r="CB215" s="833">
        <f t="shared" ca="1" si="196"/>
        <v>247</v>
      </c>
      <c r="CC215" s="834" t="str">
        <f t="shared" ca="1" si="197"/>
        <v>-</v>
      </c>
      <c r="CD215" s="835">
        <f t="shared" si="198"/>
        <v>42908</v>
      </c>
      <c r="CE215" s="831">
        <v>42908</v>
      </c>
      <c r="CF215" s="832">
        <v>5</v>
      </c>
      <c r="CG215" s="833">
        <f t="shared" ca="1" si="199"/>
        <v>226</v>
      </c>
      <c r="CH215" s="836">
        <f t="shared" si="200"/>
        <v>0</v>
      </c>
      <c r="CI215" s="837" t="str">
        <f t="shared" si="201"/>
        <v>УСПЕШНО</v>
      </c>
      <c r="CJ215" s="838" t="str">
        <f t="shared" ca="1" si="202"/>
        <v>-</v>
      </c>
      <c r="CK215" s="831"/>
      <c r="CL215" s="832"/>
      <c r="CM215" s="833" t="str">
        <f t="shared" si="203"/>
        <v>-</v>
      </c>
      <c r="CN215" s="834" t="str">
        <f t="shared" si="204"/>
        <v>-</v>
      </c>
      <c r="CO215" s="830" t="str">
        <f t="shared" ca="1" si="205"/>
        <v>-</v>
      </c>
      <c r="CP215" s="839"/>
      <c r="CQ215" s="832"/>
      <c r="CR215" s="833" t="str">
        <f t="shared" si="206"/>
        <v>-</v>
      </c>
      <c r="CS215" s="833" t="str">
        <f t="shared" si="207"/>
        <v>-</v>
      </c>
      <c r="CT215" s="834" t="str">
        <f t="shared" si="208"/>
        <v>-</v>
      </c>
      <c r="CU215" s="835" t="str">
        <f t="shared" si="209"/>
        <v>-</v>
      </c>
      <c r="CV215" s="839"/>
      <c r="CW215" s="832"/>
      <c r="CX215" s="833" t="str">
        <f t="shared" si="210"/>
        <v>-</v>
      </c>
      <c r="CY215" s="840" t="str">
        <f t="shared" si="211"/>
        <v>-</v>
      </c>
      <c r="CZ215" s="833" t="str">
        <f t="shared" si="212"/>
        <v>-</v>
      </c>
      <c r="DA215" s="838" t="str">
        <f t="shared" ca="1" si="213"/>
        <v>-</v>
      </c>
      <c r="DB215" s="841"/>
      <c r="DC215" s="832"/>
    </row>
    <row r="216" spans="1:107" s="842" customFormat="1" ht="15.95" customHeight="1" x14ac:dyDescent="0.25">
      <c r="A216" s="790">
        <v>217</v>
      </c>
      <c r="B216" s="791">
        <f t="shared" ca="1" si="162"/>
        <v>43134</v>
      </c>
      <c r="C216" s="29" t="s">
        <v>613</v>
      </c>
      <c r="D216" s="59" t="s">
        <v>3201</v>
      </c>
      <c r="E216" s="794" t="s">
        <v>63</v>
      </c>
      <c r="F216" s="854" t="s">
        <v>64</v>
      </c>
      <c r="G216" s="796">
        <f>SUMIFS(МОЛОКО!L8:L6958,МОЛОКО!F8:F6958,"175845",МОЛОКО!L8:L6958,"&gt;0")</f>
        <v>26</v>
      </c>
      <c r="H216" s="797" t="s">
        <v>78</v>
      </c>
      <c r="I216" s="798">
        <v>40269</v>
      </c>
      <c r="J216" s="799">
        <f t="shared" ca="1" si="163"/>
        <v>7.8493150684931505</v>
      </c>
      <c r="K216" s="799">
        <f t="shared" ca="1" si="164"/>
        <v>95.5</v>
      </c>
      <c r="L216" s="800">
        <f t="shared" ca="1" si="165"/>
        <v>2865</v>
      </c>
      <c r="M216" s="801">
        <v>41076</v>
      </c>
      <c r="N216" s="802">
        <v>42906</v>
      </c>
      <c r="O216" s="803">
        <f t="shared" ca="1" si="166"/>
        <v>228</v>
      </c>
      <c r="P216" s="804">
        <v>5</v>
      </c>
      <c r="Q216" s="68" t="s">
        <v>2366</v>
      </c>
      <c r="R216" s="118" t="s">
        <v>2962</v>
      </c>
      <c r="S216" s="807">
        <v>42985</v>
      </c>
      <c r="T216" s="798">
        <v>43035</v>
      </c>
      <c r="U216" s="798">
        <f t="shared" si="167"/>
        <v>43053</v>
      </c>
      <c r="V216" s="804">
        <f t="shared" ca="1" si="168"/>
        <v>81</v>
      </c>
      <c r="W216" s="808">
        <v>3</v>
      </c>
      <c r="X216" s="794">
        <f t="shared" si="161"/>
        <v>129</v>
      </c>
      <c r="Y216" s="794">
        <v>3</v>
      </c>
      <c r="Z216" s="809" t="str">
        <f t="shared" ca="1" si="169"/>
        <v>-----</v>
      </c>
      <c r="AA216" s="810">
        <f t="shared" ca="1" si="170"/>
        <v>99</v>
      </c>
      <c r="AB216" s="804"/>
      <c r="AC216" s="811" t="str">
        <f t="shared" ca="1" si="171"/>
        <v>-----</v>
      </c>
      <c r="AD216" s="798"/>
      <c r="AE216" s="794" t="str">
        <f t="shared" ca="1" si="172"/>
        <v>-</v>
      </c>
      <c r="AF216" s="798">
        <f t="shared" si="173"/>
        <v>43070</v>
      </c>
      <c r="AG216" s="812">
        <f t="shared" ca="1" si="174"/>
        <v>64</v>
      </c>
      <c r="AH216" s="807">
        <v>43035</v>
      </c>
      <c r="AI216" s="807" t="str">
        <f t="shared" si="175"/>
        <v>-</v>
      </c>
      <c r="AJ216" s="807" t="str">
        <f t="shared" si="176"/>
        <v>-</v>
      </c>
      <c r="AK216" s="813"/>
      <c r="AL216" s="807" t="str">
        <f t="shared" si="177"/>
        <v>-</v>
      </c>
      <c r="AM216" s="807" t="str">
        <f t="shared" si="178"/>
        <v>-</v>
      </c>
      <c r="AN216" s="814" t="str">
        <f t="shared" ca="1" si="179"/>
        <v>-</v>
      </c>
      <c r="AO216" s="815">
        <v>1</v>
      </c>
      <c r="AP216" s="816" t="str">
        <f t="shared" ca="1" si="180"/>
        <v>-</v>
      </c>
      <c r="AQ216" s="817"/>
      <c r="AR216" s="794" t="str">
        <f t="shared" si="181"/>
        <v>-</v>
      </c>
      <c r="AS216" s="818"/>
      <c r="AT216" s="794" t="str">
        <f t="shared" si="182"/>
        <v>-</v>
      </c>
      <c r="AU216" s="819">
        <v>1</v>
      </c>
      <c r="AV216" s="820"/>
      <c r="AW216" s="821"/>
      <c r="AX216" s="821"/>
      <c r="AY216" s="969" t="str">
        <f t="shared" si="183"/>
        <v>-</v>
      </c>
      <c r="AZ216" s="966" t="str">
        <f t="shared" si="184"/>
        <v>-</v>
      </c>
      <c r="BA216" s="971" t="str">
        <f t="shared" si="185"/>
        <v>-</v>
      </c>
      <c r="BB216" s="975"/>
      <c r="BC216" s="821"/>
      <c r="BD216" s="821"/>
      <c r="BE216" s="963" t="str">
        <f t="shared" si="186"/>
        <v>-</v>
      </c>
      <c r="BF216" s="984"/>
      <c r="BG216" s="988"/>
      <c r="BH216" s="982"/>
      <c r="BI216" s="991"/>
      <c r="BJ216" s="991"/>
      <c r="BK216" s="993" t="str">
        <f t="shared" si="187"/>
        <v>-</v>
      </c>
      <c r="BL216" s="820">
        <v>42979</v>
      </c>
      <c r="BM216" s="821">
        <v>5</v>
      </c>
      <c r="BN216" s="822">
        <f t="shared" ca="1" si="188"/>
        <v>155</v>
      </c>
      <c r="BO216" s="823">
        <f t="shared" si="189"/>
        <v>90.333333333333329</v>
      </c>
      <c r="BP216" s="824"/>
      <c r="BQ216" s="821"/>
      <c r="BR216" s="822" t="str">
        <f t="shared" si="190"/>
        <v>-</v>
      </c>
      <c r="BS216" s="823" t="str">
        <f t="shared" si="191"/>
        <v>-</v>
      </c>
      <c r="BT216" s="825" t="str">
        <f t="shared" ca="1" si="192"/>
        <v>-</v>
      </c>
      <c r="BU216" s="826"/>
      <c r="BV216" s="827"/>
      <c r="BW216" s="828" t="str">
        <f t="shared" si="193"/>
        <v>Ж-Е НЕ ВАКЦ.</v>
      </c>
      <c r="BX216" s="829" t="str">
        <f t="shared" si="194"/>
        <v>-</v>
      </c>
      <c r="BY216" s="830" t="str">
        <f t="shared" ca="1" si="195"/>
        <v>-</v>
      </c>
      <c r="BZ216" s="831">
        <v>42940</v>
      </c>
      <c r="CA216" s="832">
        <v>5</v>
      </c>
      <c r="CB216" s="833">
        <f t="shared" ca="1" si="196"/>
        <v>194</v>
      </c>
      <c r="CC216" s="834" t="str">
        <f t="shared" ca="1" si="197"/>
        <v>-</v>
      </c>
      <c r="CD216" s="835">
        <f t="shared" si="198"/>
        <v>42961</v>
      </c>
      <c r="CE216" s="831">
        <v>42969</v>
      </c>
      <c r="CF216" s="832">
        <v>5</v>
      </c>
      <c r="CG216" s="833">
        <f t="shared" ca="1" si="199"/>
        <v>165</v>
      </c>
      <c r="CH216" s="836">
        <f t="shared" si="200"/>
        <v>-8</v>
      </c>
      <c r="CI216" s="837" t="str">
        <f t="shared" si="201"/>
        <v>-</v>
      </c>
      <c r="CJ216" s="838" t="str">
        <f t="shared" ca="1" si="202"/>
        <v>-</v>
      </c>
      <c r="CK216" s="831"/>
      <c r="CL216" s="832"/>
      <c r="CM216" s="833" t="str">
        <f t="shared" si="203"/>
        <v>-</v>
      </c>
      <c r="CN216" s="834" t="str">
        <f t="shared" si="204"/>
        <v>-</v>
      </c>
      <c r="CO216" s="830" t="str">
        <f t="shared" ca="1" si="205"/>
        <v>-</v>
      </c>
      <c r="CP216" s="839"/>
      <c r="CQ216" s="832"/>
      <c r="CR216" s="833" t="str">
        <f t="shared" si="206"/>
        <v>-</v>
      </c>
      <c r="CS216" s="833" t="str">
        <f t="shared" si="207"/>
        <v>-</v>
      </c>
      <c r="CT216" s="834" t="str">
        <f t="shared" si="208"/>
        <v>-</v>
      </c>
      <c r="CU216" s="835" t="str">
        <f t="shared" si="209"/>
        <v>-</v>
      </c>
      <c r="CV216" s="839"/>
      <c r="CW216" s="832"/>
      <c r="CX216" s="833" t="str">
        <f t="shared" si="210"/>
        <v>-</v>
      </c>
      <c r="CY216" s="840" t="str">
        <f t="shared" si="211"/>
        <v>-</v>
      </c>
      <c r="CZ216" s="833" t="str">
        <f t="shared" si="212"/>
        <v>-</v>
      </c>
      <c r="DA216" s="838" t="str">
        <f t="shared" ca="1" si="213"/>
        <v>-</v>
      </c>
      <c r="DB216" s="841"/>
      <c r="DC216" s="832"/>
    </row>
    <row r="217" spans="1:107" s="842" customFormat="1" ht="15.95" customHeight="1" x14ac:dyDescent="0.25">
      <c r="A217" s="790">
        <v>218</v>
      </c>
      <c r="B217" s="791">
        <f t="shared" ca="1" si="162"/>
        <v>43134</v>
      </c>
      <c r="C217" s="792" t="s">
        <v>613</v>
      </c>
      <c r="D217" s="793" t="s">
        <v>3201</v>
      </c>
      <c r="E217" s="794" t="s">
        <v>454</v>
      </c>
      <c r="F217" s="854" t="s">
        <v>455</v>
      </c>
      <c r="G217" s="796">
        <f>SUMIFS(МОЛОКО!L8:L6958,МОЛОКО!F8:F6958,"277579",МОЛОКО!L8:L6958,"&gt;0")</f>
        <v>13</v>
      </c>
      <c r="H217" s="797" t="s">
        <v>78</v>
      </c>
      <c r="I217" s="798">
        <v>41300</v>
      </c>
      <c r="J217" s="799">
        <f t="shared" ca="1" si="163"/>
        <v>5.0246575342465754</v>
      </c>
      <c r="K217" s="799">
        <f t="shared" ca="1" si="164"/>
        <v>61.133333333333333</v>
      </c>
      <c r="L217" s="800">
        <f t="shared" ca="1" si="165"/>
        <v>1834</v>
      </c>
      <c r="M217" s="801">
        <v>42181</v>
      </c>
      <c r="N217" s="802">
        <v>42700</v>
      </c>
      <c r="O217" s="803">
        <f t="shared" ca="1" si="166"/>
        <v>434</v>
      </c>
      <c r="P217" s="804">
        <v>2</v>
      </c>
      <c r="Q217" s="805" t="s">
        <v>2366</v>
      </c>
      <c r="R217" s="806" t="s">
        <v>2670</v>
      </c>
      <c r="S217" s="807">
        <v>42776</v>
      </c>
      <c r="T217" s="798">
        <v>42868</v>
      </c>
      <c r="U217" s="798" t="str">
        <f t="shared" si="167"/>
        <v>-</v>
      </c>
      <c r="V217" s="804" t="str">
        <f t="shared" ca="1" si="168"/>
        <v>-</v>
      </c>
      <c r="W217" s="808">
        <v>3</v>
      </c>
      <c r="X217" s="794">
        <f t="shared" si="161"/>
        <v>168</v>
      </c>
      <c r="Y217" s="794">
        <v>1</v>
      </c>
      <c r="Z217" s="809" t="str">
        <f t="shared" ca="1" si="169"/>
        <v>-----</v>
      </c>
      <c r="AA217" s="810" t="str">
        <f t="shared" ca="1" si="170"/>
        <v>-----</v>
      </c>
      <c r="AB217" s="804">
        <v>1</v>
      </c>
      <c r="AC217" s="811" t="str">
        <f t="shared" ca="1" si="171"/>
        <v>-----</v>
      </c>
      <c r="AD217" s="798">
        <v>42932</v>
      </c>
      <c r="AE217" s="794" t="str">
        <f t="shared" ca="1" si="172"/>
        <v>-</v>
      </c>
      <c r="AF217" s="798" t="str">
        <f t="shared" si="173"/>
        <v>-</v>
      </c>
      <c r="AG217" s="812" t="str">
        <f t="shared" si="174"/>
        <v>---------</v>
      </c>
      <c r="AH217" s="807">
        <v>42903</v>
      </c>
      <c r="AI217" s="807">
        <f t="shared" si="175"/>
        <v>43058</v>
      </c>
      <c r="AJ217" s="807">
        <f t="shared" si="176"/>
        <v>43088</v>
      </c>
      <c r="AK217" s="813"/>
      <c r="AL217" s="807">
        <f t="shared" si="177"/>
        <v>43127</v>
      </c>
      <c r="AM217" s="807">
        <f t="shared" si="178"/>
        <v>43148</v>
      </c>
      <c r="AN217" s="814">
        <f t="shared" ca="1" si="179"/>
        <v>-14</v>
      </c>
      <c r="AO217" s="815">
        <v>1</v>
      </c>
      <c r="AP217" s="816" t="str">
        <f t="shared" ca="1" si="180"/>
        <v>-</v>
      </c>
      <c r="AQ217" s="817"/>
      <c r="AR217" s="794" t="str">
        <f t="shared" si="181"/>
        <v>-</v>
      </c>
      <c r="AS217" s="818"/>
      <c r="AT217" s="794" t="str">
        <f t="shared" si="182"/>
        <v>-</v>
      </c>
      <c r="AU217" s="819">
        <v>1</v>
      </c>
      <c r="AV217" s="820"/>
      <c r="AW217" s="821"/>
      <c r="AX217" s="821"/>
      <c r="AY217" s="969" t="str">
        <f t="shared" si="183"/>
        <v>-</v>
      </c>
      <c r="AZ217" s="966" t="str">
        <f t="shared" si="184"/>
        <v>-</v>
      </c>
      <c r="BA217" s="971" t="str">
        <f t="shared" si="185"/>
        <v>-</v>
      </c>
      <c r="BB217" s="975"/>
      <c r="BC217" s="821"/>
      <c r="BD217" s="821"/>
      <c r="BE217" s="963" t="str">
        <f t="shared" si="186"/>
        <v>-</v>
      </c>
      <c r="BF217" s="984"/>
      <c r="BG217" s="988"/>
      <c r="BH217" s="982"/>
      <c r="BI217" s="991"/>
      <c r="BJ217" s="991"/>
      <c r="BK217" s="993" t="str">
        <f t="shared" si="187"/>
        <v>-</v>
      </c>
      <c r="BL217" s="820">
        <v>42981</v>
      </c>
      <c r="BM217" s="821">
        <v>5</v>
      </c>
      <c r="BN217" s="822">
        <f t="shared" ca="1" si="188"/>
        <v>153</v>
      </c>
      <c r="BO217" s="823">
        <f t="shared" si="189"/>
        <v>56.033333333333331</v>
      </c>
      <c r="BP217" s="824"/>
      <c r="BQ217" s="821"/>
      <c r="BR217" s="822" t="str">
        <f t="shared" si="190"/>
        <v>-</v>
      </c>
      <c r="BS217" s="823" t="str">
        <f t="shared" si="191"/>
        <v>-</v>
      </c>
      <c r="BT217" s="825" t="str">
        <f t="shared" ca="1" si="192"/>
        <v>-</v>
      </c>
      <c r="BU217" s="826"/>
      <c r="BV217" s="827"/>
      <c r="BW217" s="828" t="str">
        <f t="shared" si="193"/>
        <v>Ж-Е НЕ ВАКЦ.</v>
      </c>
      <c r="BX217" s="829" t="str">
        <f t="shared" si="194"/>
        <v>-</v>
      </c>
      <c r="BY217" s="830" t="str">
        <f t="shared" ca="1" si="195"/>
        <v>-</v>
      </c>
      <c r="BZ217" s="831">
        <v>42887</v>
      </c>
      <c r="CA217" s="832">
        <v>5</v>
      </c>
      <c r="CB217" s="833">
        <f t="shared" ca="1" si="196"/>
        <v>247</v>
      </c>
      <c r="CC217" s="834" t="str">
        <f t="shared" ca="1" si="197"/>
        <v>-</v>
      </c>
      <c r="CD217" s="835">
        <f t="shared" si="198"/>
        <v>42908</v>
      </c>
      <c r="CE217" s="831">
        <v>42908</v>
      </c>
      <c r="CF217" s="832">
        <v>5</v>
      </c>
      <c r="CG217" s="833">
        <f t="shared" ca="1" si="199"/>
        <v>226</v>
      </c>
      <c r="CH217" s="836">
        <f t="shared" si="200"/>
        <v>0</v>
      </c>
      <c r="CI217" s="837" t="str">
        <f t="shared" si="201"/>
        <v>УСПЕШНО</v>
      </c>
      <c r="CJ217" s="838" t="str">
        <f t="shared" ca="1" si="202"/>
        <v>-</v>
      </c>
      <c r="CK217" s="831"/>
      <c r="CL217" s="832"/>
      <c r="CM217" s="833" t="str">
        <f t="shared" si="203"/>
        <v>-</v>
      </c>
      <c r="CN217" s="834" t="str">
        <f t="shared" si="204"/>
        <v>-</v>
      </c>
      <c r="CO217" s="830" t="str">
        <f t="shared" ca="1" si="205"/>
        <v>ТРЕБУЕТСЯ ВАКЦИНАЦИЯ</v>
      </c>
      <c r="CP217" s="839"/>
      <c r="CQ217" s="832"/>
      <c r="CR217" s="833" t="str">
        <f t="shared" si="206"/>
        <v>-</v>
      </c>
      <c r="CS217" s="833" t="str">
        <f t="shared" si="207"/>
        <v>-</v>
      </c>
      <c r="CT217" s="834" t="str">
        <f t="shared" si="208"/>
        <v>-</v>
      </c>
      <c r="CU217" s="835" t="str">
        <f t="shared" si="209"/>
        <v>-</v>
      </c>
      <c r="CV217" s="839"/>
      <c r="CW217" s="832"/>
      <c r="CX217" s="833" t="str">
        <f t="shared" si="210"/>
        <v>-</v>
      </c>
      <c r="CY217" s="840" t="str">
        <f t="shared" si="211"/>
        <v>-</v>
      </c>
      <c r="CZ217" s="833" t="str">
        <f t="shared" si="212"/>
        <v>-</v>
      </c>
      <c r="DA217" s="838" t="str">
        <f t="shared" ca="1" si="213"/>
        <v>-</v>
      </c>
      <c r="DB217" s="841"/>
      <c r="DC217" s="832"/>
    </row>
    <row r="218" spans="1:107" s="842" customFormat="1" ht="15.95" customHeight="1" x14ac:dyDescent="0.25">
      <c r="A218" s="790">
        <v>219</v>
      </c>
      <c r="B218" s="791">
        <f t="shared" ca="1" si="162"/>
        <v>43134</v>
      </c>
      <c r="C218" s="792" t="s">
        <v>613</v>
      </c>
      <c r="D218" s="793" t="s">
        <v>3201</v>
      </c>
      <c r="E218" s="794" t="s">
        <v>1388</v>
      </c>
      <c r="F218" s="854" t="s">
        <v>1387</v>
      </c>
      <c r="G218" s="796">
        <f>SUMIFS(МОЛОКО!L8:L6958,МОЛОКО!F8:F6958,"81(2047)",МОЛОКО!L8:L6958,"&gt;0")</f>
        <v>20</v>
      </c>
      <c r="H218" s="797" t="s">
        <v>603</v>
      </c>
      <c r="I218" s="798">
        <v>41569</v>
      </c>
      <c r="J218" s="799">
        <f t="shared" ca="1" si="163"/>
        <v>4.2876712328767121</v>
      </c>
      <c r="K218" s="799">
        <f t="shared" ca="1" si="164"/>
        <v>52.166666666666664</v>
      </c>
      <c r="L218" s="800">
        <f t="shared" ca="1" si="165"/>
        <v>1565</v>
      </c>
      <c r="M218" s="846">
        <v>42438</v>
      </c>
      <c r="N218" s="802">
        <v>42825</v>
      </c>
      <c r="O218" s="803">
        <f t="shared" ca="1" si="166"/>
        <v>309</v>
      </c>
      <c r="P218" s="804">
        <v>2</v>
      </c>
      <c r="Q218" s="68" t="s">
        <v>2366</v>
      </c>
      <c r="R218" s="118" t="s">
        <v>3020</v>
      </c>
      <c r="S218" s="807">
        <v>42887</v>
      </c>
      <c r="T218" s="798">
        <v>43056</v>
      </c>
      <c r="U218" s="798">
        <f t="shared" si="167"/>
        <v>43074</v>
      </c>
      <c r="V218" s="804">
        <f t="shared" ca="1" si="168"/>
        <v>60</v>
      </c>
      <c r="W218" s="808">
        <v>3</v>
      </c>
      <c r="X218" s="794">
        <f t="shared" si="161"/>
        <v>231</v>
      </c>
      <c r="Y218" s="794">
        <v>3</v>
      </c>
      <c r="Z218" s="809" t="str">
        <f t="shared" ca="1" si="169"/>
        <v>-----</v>
      </c>
      <c r="AA218" s="810">
        <f t="shared" ca="1" si="170"/>
        <v>78</v>
      </c>
      <c r="AB218" s="804">
        <v>0</v>
      </c>
      <c r="AC218" s="811" t="str">
        <f t="shared" ca="1" si="171"/>
        <v>-----</v>
      </c>
      <c r="AD218" s="798">
        <v>43043</v>
      </c>
      <c r="AE218" s="794" t="str">
        <f t="shared" ca="1" si="172"/>
        <v>-</v>
      </c>
      <c r="AF218" s="798">
        <f t="shared" si="173"/>
        <v>43091</v>
      </c>
      <c r="AG218" s="812">
        <f t="shared" ca="1" si="174"/>
        <v>43</v>
      </c>
      <c r="AH218" s="807">
        <v>42961</v>
      </c>
      <c r="AI218" s="807" t="str">
        <f t="shared" si="175"/>
        <v>-</v>
      </c>
      <c r="AJ218" s="807" t="str">
        <f t="shared" si="176"/>
        <v>-</v>
      </c>
      <c r="AK218" s="813"/>
      <c r="AL218" s="807" t="str">
        <f t="shared" si="177"/>
        <v>-</v>
      </c>
      <c r="AM218" s="807" t="str">
        <f t="shared" si="178"/>
        <v>-</v>
      </c>
      <c r="AN218" s="814" t="str">
        <f t="shared" ca="1" si="179"/>
        <v>-</v>
      </c>
      <c r="AO218" s="815">
        <v>1</v>
      </c>
      <c r="AP218" s="816" t="str">
        <f t="shared" ca="1" si="180"/>
        <v>-</v>
      </c>
      <c r="AQ218" s="817"/>
      <c r="AR218" s="794" t="str">
        <f t="shared" si="181"/>
        <v>-</v>
      </c>
      <c r="AS218" s="818"/>
      <c r="AT218" s="794" t="str">
        <f t="shared" si="182"/>
        <v>-</v>
      </c>
      <c r="AU218" s="819">
        <v>1</v>
      </c>
      <c r="AV218" s="820"/>
      <c r="AW218" s="821"/>
      <c r="AX218" s="821"/>
      <c r="AY218" s="969" t="str">
        <f t="shared" si="183"/>
        <v>-</v>
      </c>
      <c r="AZ218" s="966" t="str">
        <f t="shared" si="184"/>
        <v>-</v>
      </c>
      <c r="BA218" s="971" t="str">
        <f t="shared" si="185"/>
        <v>-</v>
      </c>
      <c r="BB218" s="975"/>
      <c r="BC218" s="821"/>
      <c r="BD218" s="821"/>
      <c r="BE218" s="963" t="str">
        <f t="shared" si="186"/>
        <v>-</v>
      </c>
      <c r="BF218" s="984"/>
      <c r="BG218" s="988"/>
      <c r="BH218" s="982"/>
      <c r="BI218" s="991"/>
      <c r="BJ218" s="991"/>
      <c r="BK218" s="993" t="str">
        <f t="shared" si="187"/>
        <v>-</v>
      </c>
      <c r="BL218" s="820">
        <v>42981</v>
      </c>
      <c r="BM218" s="821">
        <v>5</v>
      </c>
      <c r="BN218" s="822">
        <f t="shared" ca="1" si="188"/>
        <v>153</v>
      </c>
      <c r="BO218" s="823">
        <f t="shared" si="189"/>
        <v>47.06666666666667</v>
      </c>
      <c r="BP218" s="824">
        <v>43001</v>
      </c>
      <c r="BQ218" s="821">
        <v>2</v>
      </c>
      <c r="BR218" s="822">
        <f t="shared" ca="1" si="190"/>
        <v>133</v>
      </c>
      <c r="BS218" s="823">
        <f t="shared" si="191"/>
        <v>18.766666666666666</v>
      </c>
      <c r="BT218" s="825" t="str">
        <f t="shared" ca="1" si="192"/>
        <v>-</v>
      </c>
      <c r="BU218" s="826"/>
      <c r="BV218" s="827"/>
      <c r="BW218" s="828" t="str">
        <f t="shared" si="193"/>
        <v>Ж-Е НЕ ВАКЦ.</v>
      </c>
      <c r="BX218" s="829" t="str">
        <f t="shared" si="194"/>
        <v>-</v>
      </c>
      <c r="BY218" s="830" t="str">
        <f t="shared" ca="1" si="195"/>
        <v>-</v>
      </c>
      <c r="BZ218" s="831">
        <v>42887</v>
      </c>
      <c r="CA218" s="832">
        <v>5</v>
      </c>
      <c r="CB218" s="833">
        <f t="shared" ca="1" si="196"/>
        <v>247</v>
      </c>
      <c r="CC218" s="834" t="str">
        <f t="shared" ca="1" si="197"/>
        <v>-</v>
      </c>
      <c r="CD218" s="835">
        <f t="shared" si="198"/>
        <v>42908</v>
      </c>
      <c r="CE218" s="831">
        <v>42908</v>
      </c>
      <c r="CF218" s="832">
        <v>5</v>
      </c>
      <c r="CG218" s="833">
        <f t="shared" ca="1" si="199"/>
        <v>226</v>
      </c>
      <c r="CH218" s="836">
        <f t="shared" si="200"/>
        <v>0</v>
      </c>
      <c r="CI218" s="837" t="str">
        <f t="shared" si="201"/>
        <v>УСПЕШНО</v>
      </c>
      <c r="CJ218" s="838" t="str">
        <f t="shared" ca="1" si="202"/>
        <v>-</v>
      </c>
      <c r="CK218" s="831"/>
      <c r="CL218" s="832"/>
      <c r="CM218" s="833" t="str">
        <f t="shared" si="203"/>
        <v>-</v>
      </c>
      <c r="CN218" s="834" t="str">
        <f t="shared" si="204"/>
        <v>-</v>
      </c>
      <c r="CO218" s="830" t="str">
        <f t="shared" ca="1" si="205"/>
        <v>-</v>
      </c>
      <c r="CP218" s="839"/>
      <c r="CQ218" s="832"/>
      <c r="CR218" s="833" t="str">
        <f t="shared" si="206"/>
        <v>-</v>
      </c>
      <c r="CS218" s="833" t="str">
        <f t="shared" si="207"/>
        <v>-</v>
      </c>
      <c r="CT218" s="834" t="str">
        <f t="shared" si="208"/>
        <v>-</v>
      </c>
      <c r="CU218" s="835" t="str">
        <f t="shared" si="209"/>
        <v>-</v>
      </c>
      <c r="CV218" s="839"/>
      <c r="CW218" s="832"/>
      <c r="CX218" s="833" t="str">
        <f t="shared" si="210"/>
        <v>-</v>
      </c>
      <c r="CY218" s="840" t="str">
        <f t="shared" si="211"/>
        <v>-</v>
      </c>
      <c r="CZ218" s="833" t="str">
        <f t="shared" si="212"/>
        <v>-</v>
      </c>
      <c r="DA218" s="838" t="str">
        <f t="shared" ca="1" si="213"/>
        <v>-</v>
      </c>
      <c r="DB218" s="841"/>
      <c r="DC218" s="832"/>
    </row>
    <row r="219" spans="1:107" s="842" customFormat="1" ht="15.95" customHeight="1" x14ac:dyDescent="0.25">
      <c r="A219" s="790">
        <v>220</v>
      </c>
      <c r="B219" s="791">
        <f t="shared" ca="1" si="162"/>
        <v>43134</v>
      </c>
      <c r="C219" s="29" t="s">
        <v>613</v>
      </c>
      <c r="D219" s="793" t="s">
        <v>3202</v>
      </c>
      <c r="E219" s="794" t="s">
        <v>348</v>
      </c>
      <c r="F219" s="795" t="s">
        <v>349</v>
      </c>
      <c r="G219" s="796">
        <f>SUMIFS(МОЛОКО!L8:L6958,МОЛОКО!F8:F6958,"243",МОЛОКО!L8:L6958,"&gt;0")</f>
        <v>18.7</v>
      </c>
      <c r="H219" s="797" t="s">
        <v>603</v>
      </c>
      <c r="I219" s="798">
        <v>39515</v>
      </c>
      <c r="J219" s="799">
        <f t="shared" ca="1" si="163"/>
        <v>9.9150684931506845</v>
      </c>
      <c r="K219" s="799">
        <f t="shared" ca="1" si="164"/>
        <v>120.63333333333334</v>
      </c>
      <c r="L219" s="800">
        <f t="shared" ca="1" si="165"/>
        <v>3619</v>
      </c>
      <c r="M219" s="801">
        <v>40559</v>
      </c>
      <c r="N219" s="802">
        <v>42870</v>
      </c>
      <c r="O219" s="803">
        <f t="shared" ca="1" si="166"/>
        <v>264</v>
      </c>
      <c r="P219" s="804">
        <v>7</v>
      </c>
      <c r="Q219" s="805" t="s">
        <v>1451</v>
      </c>
      <c r="R219" s="806" t="s">
        <v>2966</v>
      </c>
      <c r="S219" s="807">
        <v>42936</v>
      </c>
      <c r="T219" s="798">
        <v>42979</v>
      </c>
      <c r="U219" s="798" t="str">
        <f t="shared" si="167"/>
        <v>-</v>
      </c>
      <c r="V219" s="804" t="str">
        <f t="shared" ca="1" si="168"/>
        <v>-</v>
      </c>
      <c r="W219" s="808">
        <v>2</v>
      </c>
      <c r="X219" s="794">
        <f t="shared" si="161"/>
        <v>109</v>
      </c>
      <c r="Y219" s="794">
        <v>0</v>
      </c>
      <c r="Z219" s="809" t="str">
        <f t="shared" ca="1" si="169"/>
        <v>-----</v>
      </c>
      <c r="AA219" s="810">
        <f t="shared" ca="1" si="170"/>
        <v>155</v>
      </c>
      <c r="AB219" s="804"/>
      <c r="AC219" s="811" t="str">
        <f t="shared" ca="1" si="171"/>
        <v>-----</v>
      </c>
      <c r="AD219" s="798"/>
      <c r="AE219" s="794" t="str">
        <f t="shared" ca="1" si="172"/>
        <v>яловая</v>
      </c>
      <c r="AF219" s="798" t="str">
        <f t="shared" si="173"/>
        <v>-</v>
      </c>
      <c r="AG219" s="812" t="str">
        <f t="shared" si="174"/>
        <v>---------</v>
      </c>
      <c r="AH219" s="807">
        <v>43042</v>
      </c>
      <c r="AI219" s="807" t="str">
        <f t="shared" si="175"/>
        <v>-</v>
      </c>
      <c r="AJ219" s="807" t="str">
        <f t="shared" si="176"/>
        <v>-</v>
      </c>
      <c r="AK219" s="813"/>
      <c r="AL219" s="807" t="str">
        <f t="shared" si="177"/>
        <v>-</v>
      </c>
      <c r="AM219" s="807" t="str">
        <f t="shared" si="178"/>
        <v>-</v>
      </c>
      <c r="AN219" s="814" t="str">
        <f t="shared" ca="1" si="179"/>
        <v>-</v>
      </c>
      <c r="AO219" s="815">
        <v>1</v>
      </c>
      <c r="AP219" s="816" t="str">
        <f t="shared" ca="1" si="180"/>
        <v>-</v>
      </c>
      <c r="AQ219" s="817"/>
      <c r="AR219" s="794" t="str">
        <f t="shared" si="181"/>
        <v>-</v>
      </c>
      <c r="AS219" s="818">
        <v>43042</v>
      </c>
      <c r="AT219" s="794" t="str">
        <f t="shared" si="182"/>
        <v>-</v>
      </c>
      <c r="AU219" s="819"/>
      <c r="AV219" s="820"/>
      <c r="AW219" s="821"/>
      <c r="AX219" s="821"/>
      <c r="AY219" s="969" t="str">
        <f t="shared" si="183"/>
        <v>-</v>
      </c>
      <c r="AZ219" s="966" t="str">
        <f t="shared" si="184"/>
        <v>-</v>
      </c>
      <c r="BA219" s="971" t="str">
        <f t="shared" si="185"/>
        <v>-</v>
      </c>
      <c r="BB219" s="975"/>
      <c r="BC219" s="821"/>
      <c r="BD219" s="821"/>
      <c r="BE219" s="963" t="str">
        <f t="shared" si="186"/>
        <v>-</v>
      </c>
      <c r="BF219" s="984"/>
      <c r="BG219" s="988"/>
      <c r="BH219" s="982"/>
      <c r="BI219" s="991"/>
      <c r="BJ219" s="991"/>
      <c r="BK219" s="993" t="str">
        <f t="shared" si="187"/>
        <v>-</v>
      </c>
      <c r="BL219" s="820">
        <v>42980</v>
      </c>
      <c r="BM219" s="821">
        <v>5</v>
      </c>
      <c r="BN219" s="822">
        <f t="shared" ca="1" si="188"/>
        <v>154</v>
      </c>
      <c r="BO219" s="823">
        <f t="shared" si="189"/>
        <v>115.5</v>
      </c>
      <c r="BP219" s="824"/>
      <c r="BQ219" s="821"/>
      <c r="BR219" s="822" t="str">
        <f t="shared" si="190"/>
        <v>-</v>
      </c>
      <c r="BS219" s="823" t="str">
        <f t="shared" si="191"/>
        <v>-</v>
      </c>
      <c r="BT219" s="825" t="str">
        <f t="shared" ca="1" si="192"/>
        <v>-</v>
      </c>
      <c r="BU219" s="826"/>
      <c r="BV219" s="827"/>
      <c r="BW219" s="828" t="str">
        <f t="shared" si="193"/>
        <v>Ж-Е НЕ ВАКЦ.</v>
      </c>
      <c r="BX219" s="829" t="str">
        <f t="shared" si="194"/>
        <v>-</v>
      </c>
      <c r="BY219" s="830" t="str">
        <f t="shared" ca="1" si="195"/>
        <v>-</v>
      </c>
      <c r="BZ219" s="831">
        <v>42904</v>
      </c>
      <c r="CA219" s="832">
        <v>5</v>
      </c>
      <c r="CB219" s="833">
        <f t="shared" ca="1" si="196"/>
        <v>230</v>
      </c>
      <c r="CC219" s="834" t="str">
        <f t="shared" ca="1" si="197"/>
        <v>-</v>
      </c>
      <c r="CD219" s="835">
        <f t="shared" si="198"/>
        <v>42925</v>
      </c>
      <c r="CE219" s="831">
        <v>42925</v>
      </c>
      <c r="CF219" s="832">
        <v>5</v>
      </c>
      <c r="CG219" s="833">
        <f t="shared" ca="1" si="199"/>
        <v>209</v>
      </c>
      <c r="CH219" s="836">
        <f t="shared" si="200"/>
        <v>0</v>
      </c>
      <c r="CI219" s="837" t="str">
        <f t="shared" si="201"/>
        <v>УСПЕШНО</v>
      </c>
      <c r="CJ219" s="838" t="str">
        <f t="shared" ca="1" si="202"/>
        <v>-</v>
      </c>
      <c r="CK219" s="831"/>
      <c r="CL219" s="832"/>
      <c r="CM219" s="833" t="str">
        <f t="shared" si="203"/>
        <v>-</v>
      </c>
      <c r="CN219" s="834" t="str">
        <f t="shared" si="204"/>
        <v>-</v>
      </c>
      <c r="CO219" s="830" t="str">
        <f t="shared" ca="1" si="205"/>
        <v>-</v>
      </c>
      <c r="CP219" s="839"/>
      <c r="CQ219" s="832"/>
      <c r="CR219" s="833" t="str">
        <f t="shared" si="206"/>
        <v>-</v>
      </c>
      <c r="CS219" s="833" t="str">
        <f t="shared" si="207"/>
        <v>-</v>
      </c>
      <c r="CT219" s="834" t="str">
        <f t="shared" si="208"/>
        <v>-</v>
      </c>
      <c r="CU219" s="835" t="str">
        <f t="shared" si="209"/>
        <v>-</v>
      </c>
      <c r="CV219" s="839"/>
      <c r="CW219" s="832"/>
      <c r="CX219" s="833" t="str">
        <f t="shared" si="210"/>
        <v>-</v>
      </c>
      <c r="CY219" s="840" t="str">
        <f t="shared" si="211"/>
        <v>-</v>
      </c>
      <c r="CZ219" s="833" t="str">
        <f t="shared" si="212"/>
        <v>-</v>
      </c>
      <c r="DA219" s="838" t="str">
        <f t="shared" ca="1" si="213"/>
        <v>-</v>
      </c>
      <c r="DB219" s="841"/>
      <c r="DC219" s="832"/>
    </row>
    <row r="220" spans="1:107" s="842" customFormat="1" ht="15.95" customHeight="1" x14ac:dyDescent="0.25">
      <c r="A220" s="790">
        <v>221</v>
      </c>
      <c r="B220" s="791">
        <f t="shared" ca="1" si="162"/>
        <v>43134</v>
      </c>
      <c r="C220" s="792" t="s">
        <v>613</v>
      </c>
      <c r="D220" s="793" t="s">
        <v>3202</v>
      </c>
      <c r="E220" s="794" t="s">
        <v>735</v>
      </c>
      <c r="F220" s="854" t="s">
        <v>736</v>
      </c>
      <c r="G220" s="796">
        <f>SUMIFS(МОЛОКО!L8:L6958,МОЛОКО!F8:F6958,"494",МОЛОКО!L8:L6958,"&gt;0")</f>
        <v>12.8</v>
      </c>
      <c r="H220" s="797" t="s">
        <v>603</v>
      </c>
      <c r="I220" s="798">
        <v>39836</v>
      </c>
      <c r="J220" s="799">
        <f t="shared" ca="1" si="163"/>
        <v>9.0356164383561648</v>
      </c>
      <c r="K220" s="799">
        <f t="shared" ca="1" si="164"/>
        <v>109.93333333333334</v>
      </c>
      <c r="L220" s="800">
        <f t="shared" ca="1" si="165"/>
        <v>3298</v>
      </c>
      <c r="M220" s="801">
        <v>40651</v>
      </c>
      <c r="N220" s="802">
        <v>42517</v>
      </c>
      <c r="O220" s="803">
        <f t="shared" ca="1" si="166"/>
        <v>617</v>
      </c>
      <c r="P220" s="804">
        <v>4</v>
      </c>
      <c r="Q220" s="805" t="s">
        <v>2677</v>
      </c>
      <c r="R220" s="806" t="s">
        <v>1874</v>
      </c>
      <c r="S220" s="807">
        <v>42593</v>
      </c>
      <c r="T220" s="798">
        <v>42850</v>
      </c>
      <c r="U220" s="798" t="str">
        <f t="shared" si="167"/>
        <v>-</v>
      </c>
      <c r="V220" s="804" t="str">
        <f t="shared" ca="1" si="168"/>
        <v>-</v>
      </c>
      <c r="W220" s="808">
        <v>3</v>
      </c>
      <c r="X220" s="794">
        <f t="shared" si="161"/>
        <v>333</v>
      </c>
      <c r="Y220" s="794">
        <v>1</v>
      </c>
      <c r="Z220" s="809" t="str">
        <f t="shared" ca="1" si="169"/>
        <v>-----</v>
      </c>
      <c r="AA220" s="810" t="str">
        <f t="shared" ca="1" si="170"/>
        <v>-----</v>
      </c>
      <c r="AB220" s="804">
        <v>1</v>
      </c>
      <c r="AC220" s="811" t="str">
        <f t="shared" ca="1" si="171"/>
        <v>-----</v>
      </c>
      <c r="AD220" s="798">
        <v>42932</v>
      </c>
      <c r="AE220" s="794" t="str">
        <f t="shared" ca="1" si="172"/>
        <v>-</v>
      </c>
      <c r="AF220" s="798" t="str">
        <f t="shared" si="173"/>
        <v>-</v>
      </c>
      <c r="AG220" s="812" t="str">
        <f t="shared" si="174"/>
        <v>---------</v>
      </c>
      <c r="AH220" s="807">
        <v>42886</v>
      </c>
      <c r="AI220" s="807">
        <f t="shared" si="175"/>
        <v>43040</v>
      </c>
      <c r="AJ220" s="807">
        <f t="shared" si="176"/>
        <v>43070</v>
      </c>
      <c r="AK220" s="813"/>
      <c r="AL220" s="807">
        <f t="shared" si="177"/>
        <v>43109</v>
      </c>
      <c r="AM220" s="807">
        <f t="shared" si="178"/>
        <v>43130</v>
      </c>
      <c r="AN220" s="814">
        <f t="shared" ca="1" si="179"/>
        <v>4</v>
      </c>
      <c r="AO220" s="815">
        <v>1</v>
      </c>
      <c r="AP220" s="816" t="str">
        <f t="shared" ca="1" si="180"/>
        <v>-</v>
      </c>
      <c r="AQ220" s="817"/>
      <c r="AR220" s="794" t="str">
        <f t="shared" si="181"/>
        <v>-</v>
      </c>
      <c r="AS220" s="818"/>
      <c r="AT220" s="794" t="str">
        <f t="shared" si="182"/>
        <v>-</v>
      </c>
      <c r="AU220" s="819">
        <v>1</v>
      </c>
      <c r="AV220" s="820"/>
      <c r="AW220" s="821"/>
      <c r="AX220" s="821"/>
      <c r="AY220" s="969" t="str">
        <f t="shared" si="183"/>
        <v>-</v>
      </c>
      <c r="AZ220" s="966" t="str">
        <f t="shared" si="184"/>
        <v>-</v>
      </c>
      <c r="BA220" s="971" t="str">
        <f t="shared" si="185"/>
        <v>-</v>
      </c>
      <c r="BB220" s="975"/>
      <c r="BC220" s="821"/>
      <c r="BD220" s="821"/>
      <c r="BE220" s="963" t="str">
        <f t="shared" si="186"/>
        <v>-</v>
      </c>
      <c r="BF220" s="984"/>
      <c r="BG220" s="988"/>
      <c r="BH220" s="982"/>
      <c r="BI220" s="991"/>
      <c r="BJ220" s="991"/>
      <c r="BK220" s="993" t="str">
        <f t="shared" si="187"/>
        <v>-</v>
      </c>
      <c r="BL220" s="820">
        <v>42981</v>
      </c>
      <c r="BM220" s="821">
        <v>5</v>
      </c>
      <c r="BN220" s="822">
        <f t="shared" ca="1" si="188"/>
        <v>153</v>
      </c>
      <c r="BO220" s="823">
        <f t="shared" si="189"/>
        <v>104.83333333333333</v>
      </c>
      <c r="BP220" s="824"/>
      <c r="BQ220" s="821"/>
      <c r="BR220" s="822" t="str">
        <f t="shared" si="190"/>
        <v>-</v>
      </c>
      <c r="BS220" s="823" t="str">
        <f t="shared" si="191"/>
        <v>-</v>
      </c>
      <c r="BT220" s="825" t="str">
        <f t="shared" ca="1" si="192"/>
        <v>-</v>
      </c>
      <c r="BU220" s="826"/>
      <c r="BV220" s="827"/>
      <c r="BW220" s="828" t="str">
        <f t="shared" si="193"/>
        <v>Ж-Е НЕ ВАКЦ.</v>
      </c>
      <c r="BX220" s="829" t="str">
        <f t="shared" si="194"/>
        <v>-</v>
      </c>
      <c r="BY220" s="830" t="str">
        <f t="shared" ca="1" si="195"/>
        <v>-</v>
      </c>
      <c r="BZ220" s="831">
        <v>42887</v>
      </c>
      <c r="CA220" s="832">
        <v>5</v>
      </c>
      <c r="CB220" s="833">
        <f t="shared" ca="1" si="196"/>
        <v>247</v>
      </c>
      <c r="CC220" s="834" t="str">
        <f t="shared" ca="1" si="197"/>
        <v>-</v>
      </c>
      <c r="CD220" s="835">
        <f t="shared" si="198"/>
        <v>42908</v>
      </c>
      <c r="CE220" s="831">
        <v>42908</v>
      </c>
      <c r="CF220" s="832">
        <v>5</v>
      </c>
      <c r="CG220" s="833">
        <f t="shared" ca="1" si="199"/>
        <v>226</v>
      </c>
      <c r="CH220" s="836">
        <f t="shared" si="200"/>
        <v>0</v>
      </c>
      <c r="CI220" s="837" t="str">
        <f t="shared" si="201"/>
        <v>УСПЕШНО</v>
      </c>
      <c r="CJ220" s="838" t="str">
        <f t="shared" ca="1" si="202"/>
        <v>-</v>
      </c>
      <c r="CK220" s="831"/>
      <c r="CL220" s="832"/>
      <c r="CM220" s="833" t="str">
        <f t="shared" si="203"/>
        <v>-</v>
      </c>
      <c r="CN220" s="834" t="str">
        <f t="shared" si="204"/>
        <v>-</v>
      </c>
      <c r="CO220" s="830" t="str">
        <f t="shared" ca="1" si="205"/>
        <v>ТРЕБУЕТСЯ ВАКЦИНАЦИЯ</v>
      </c>
      <c r="CP220" s="839"/>
      <c r="CQ220" s="832"/>
      <c r="CR220" s="833" t="str">
        <f t="shared" si="206"/>
        <v>-</v>
      </c>
      <c r="CS220" s="833" t="str">
        <f t="shared" si="207"/>
        <v>-</v>
      </c>
      <c r="CT220" s="834" t="str">
        <f t="shared" si="208"/>
        <v>-</v>
      </c>
      <c r="CU220" s="835" t="str">
        <f t="shared" si="209"/>
        <v>-</v>
      </c>
      <c r="CV220" s="839"/>
      <c r="CW220" s="832"/>
      <c r="CX220" s="833" t="str">
        <f t="shared" si="210"/>
        <v>-</v>
      </c>
      <c r="CY220" s="840" t="str">
        <f t="shared" si="211"/>
        <v>-</v>
      </c>
      <c r="CZ220" s="833" t="str">
        <f t="shared" si="212"/>
        <v>-</v>
      </c>
      <c r="DA220" s="838" t="str">
        <f t="shared" ca="1" si="213"/>
        <v>-</v>
      </c>
      <c r="DB220" s="841"/>
      <c r="DC220" s="832"/>
    </row>
    <row r="221" spans="1:107" s="842" customFormat="1" ht="15.95" customHeight="1" x14ac:dyDescent="0.25">
      <c r="A221" s="790">
        <v>222</v>
      </c>
      <c r="B221" s="791">
        <f t="shared" ca="1" si="162"/>
        <v>43134</v>
      </c>
      <c r="C221" s="792" t="s">
        <v>613</v>
      </c>
      <c r="D221" s="793" t="s">
        <v>3202</v>
      </c>
      <c r="E221" s="794" t="s">
        <v>749</v>
      </c>
      <c r="F221" s="795" t="s">
        <v>750</v>
      </c>
      <c r="G221" s="796">
        <f>SUMIFS(МОЛОКО!L8:L6958,МОЛОКО!F8:F6958,"739",МОЛОКО!L8:L6958,"&gt;0")</f>
        <v>12.6</v>
      </c>
      <c r="H221" s="797" t="s">
        <v>603</v>
      </c>
      <c r="I221" s="798">
        <v>40051</v>
      </c>
      <c r="J221" s="799">
        <f t="shared" ca="1" si="163"/>
        <v>8.4465753424657528</v>
      </c>
      <c r="K221" s="799">
        <f t="shared" ca="1" si="164"/>
        <v>102.76666666666667</v>
      </c>
      <c r="L221" s="800">
        <f t="shared" ca="1" si="165"/>
        <v>3083</v>
      </c>
      <c r="M221" s="801">
        <v>41047</v>
      </c>
      <c r="N221" s="802">
        <v>42890</v>
      </c>
      <c r="O221" s="803">
        <f t="shared" ca="1" si="166"/>
        <v>244</v>
      </c>
      <c r="P221" s="804">
        <v>5</v>
      </c>
      <c r="Q221" s="805" t="s">
        <v>1451</v>
      </c>
      <c r="R221" s="806" t="s">
        <v>2670</v>
      </c>
      <c r="S221" s="807">
        <v>42957</v>
      </c>
      <c r="T221" s="798">
        <v>42957</v>
      </c>
      <c r="U221" s="798" t="str">
        <f t="shared" si="167"/>
        <v>-</v>
      </c>
      <c r="V221" s="804" t="str">
        <f t="shared" ca="1" si="168"/>
        <v>-</v>
      </c>
      <c r="W221" s="808">
        <v>1</v>
      </c>
      <c r="X221" s="794">
        <f t="shared" si="161"/>
        <v>67</v>
      </c>
      <c r="Y221" s="794">
        <v>1</v>
      </c>
      <c r="Z221" s="809" t="str">
        <f t="shared" ca="1" si="169"/>
        <v>-----</v>
      </c>
      <c r="AA221" s="810" t="str">
        <f t="shared" ca="1" si="170"/>
        <v>-----</v>
      </c>
      <c r="AB221" s="804">
        <v>1</v>
      </c>
      <c r="AC221" s="811" t="str">
        <f t="shared" ca="1" si="171"/>
        <v>-----</v>
      </c>
      <c r="AD221" s="798">
        <v>43042</v>
      </c>
      <c r="AE221" s="794" t="str">
        <f t="shared" ca="1" si="172"/>
        <v>-</v>
      </c>
      <c r="AF221" s="798" t="str">
        <f t="shared" si="173"/>
        <v>-</v>
      </c>
      <c r="AG221" s="812" t="str">
        <f t="shared" si="174"/>
        <v>---------</v>
      </c>
      <c r="AH221" s="807">
        <v>42989</v>
      </c>
      <c r="AI221" s="807">
        <f t="shared" si="175"/>
        <v>43147</v>
      </c>
      <c r="AJ221" s="807">
        <f t="shared" si="176"/>
        <v>43177</v>
      </c>
      <c r="AK221" s="813"/>
      <c r="AL221" s="807">
        <f t="shared" si="177"/>
        <v>43216</v>
      </c>
      <c r="AM221" s="807">
        <f t="shared" si="178"/>
        <v>43237</v>
      </c>
      <c r="AN221" s="814">
        <f t="shared" ca="1" si="179"/>
        <v>-103</v>
      </c>
      <c r="AO221" s="815">
        <v>1</v>
      </c>
      <c r="AP221" s="816" t="str">
        <f t="shared" ca="1" si="180"/>
        <v>-</v>
      </c>
      <c r="AQ221" s="817"/>
      <c r="AR221" s="794" t="str">
        <f t="shared" si="181"/>
        <v>-</v>
      </c>
      <c r="AS221" s="818"/>
      <c r="AT221" s="794" t="str">
        <f t="shared" si="182"/>
        <v>-</v>
      </c>
      <c r="AU221" s="819"/>
      <c r="AV221" s="820"/>
      <c r="AW221" s="821"/>
      <c r="AX221" s="821"/>
      <c r="AY221" s="969" t="str">
        <f t="shared" si="183"/>
        <v>-</v>
      </c>
      <c r="AZ221" s="966" t="str">
        <f t="shared" si="184"/>
        <v>-</v>
      </c>
      <c r="BA221" s="971" t="str">
        <f t="shared" si="185"/>
        <v>-</v>
      </c>
      <c r="BB221" s="975"/>
      <c r="BC221" s="821"/>
      <c r="BD221" s="821"/>
      <c r="BE221" s="963" t="str">
        <f t="shared" si="186"/>
        <v>-</v>
      </c>
      <c r="BF221" s="984"/>
      <c r="BG221" s="988"/>
      <c r="BH221" s="982"/>
      <c r="BI221" s="991"/>
      <c r="BJ221" s="991"/>
      <c r="BK221" s="993" t="str">
        <f t="shared" si="187"/>
        <v>-</v>
      </c>
      <c r="BL221" s="820">
        <v>42980</v>
      </c>
      <c r="BM221" s="821">
        <v>5</v>
      </c>
      <c r="BN221" s="822">
        <f t="shared" ca="1" si="188"/>
        <v>154</v>
      </c>
      <c r="BO221" s="823">
        <f t="shared" si="189"/>
        <v>97.63333333333334</v>
      </c>
      <c r="BP221" s="824"/>
      <c r="BQ221" s="821"/>
      <c r="BR221" s="822" t="str">
        <f t="shared" si="190"/>
        <v>-</v>
      </c>
      <c r="BS221" s="823" t="str">
        <f t="shared" si="191"/>
        <v>-</v>
      </c>
      <c r="BT221" s="825" t="str">
        <f t="shared" ca="1" si="192"/>
        <v>-</v>
      </c>
      <c r="BU221" s="826"/>
      <c r="BV221" s="827"/>
      <c r="BW221" s="828" t="str">
        <f t="shared" si="193"/>
        <v>Ж-Е НЕ ВАКЦ.</v>
      </c>
      <c r="BX221" s="829" t="str">
        <f t="shared" si="194"/>
        <v>-</v>
      </c>
      <c r="BY221" s="830" t="str">
        <f t="shared" ca="1" si="195"/>
        <v>-</v>
      </c>
      <c r="BZ221" s="831">
        <v>42916</v>
      </c>
      <c r="CA221" s="832">
        <v>5</v>
      </c>
      <c r="CB221" s="833">
        <f t="shared" ca="1" si="196"/>
        <v>218</v>
      </c>
      <c r="CC221" s="834" t="str">
        <f t="shared" ca="1" si="197"/>
        <v>-</v>
      </c>
      <c r="CD221" s="835">
        <f t="shared" si="198"/>
        <v>42937</v>
      </c>
      <c r="CE221" s="831">
        <v>42937</v>
      </c>
      <c r="CF221" s="832">
        <v>5</v>
      </c>
      <c r="CG221" s="833">
        <f t="shared" ca="1" si="199"/>
        <v>197</v>
      </c>
      <c r="CH221" s="836">
        <f t="shared" si="200"/>
        <v>0</v>
      </c>
      <c r="CI221" s="837" t="str">
        <f t="shared" si="201"/>
        <v>УСПЕШНО</v>
      </c>
      <c r="CJ221" s="838" t="str">
        <f t="shared" ca="1" si="202"/>
        <v>-</v>
      </c>
      <c r="CK221" s="831"/>
      <c r="CL221" s="832"/>
      <c r="CM221" s="833" t="str">
        <f t="shared" si="203"/>
        <v>-</v>
      </c>
      <c r="CN221" s="834" t="str">
        <f t="shared" si="204"/>
        <v>-</v>
      </c>
      <c r="CO221" s="830" t="str">
        <f t="shared" ca="1" si="205"/>
        <v>-</v>
      </c>
      <c r="CP221" s="839"/>
      <c r="CQ221" s="832"/>
      <c r="CR221" s="833" t="str">
        <f t="shared" si="206"/>
        <v>-</v>
      </c>
      <c r="CS221" s="833" t="str">
        <f t="shared" si="207"/>
        <v>-</v>
      </c>
      <c r="CT221" s="834" t="str">
        <f t="shared" si="208"/>
        <v>-</v>
      </c>
      <c r="CU221" s="835" t="str">
        <f t="shared" si="209"/>
        <v>-</v>
      </c>
      <c r="CV221" s="839"/>
      <c r="CW221" s="832"/>
      <c r="CX221" s="833" t="str">
        <f t="shared" si="210"/>
        <v>-</v>
      </c>
      <c r="CY221" s="840" t="str">
        <f t="shared" si="211"/>
        <v>-</v>
      </c>
      <c r="CZ221" s="833" t="str">
        <f t="shared" si="212"/>
        <v>-</v>
      </c>
      <c r="DA221" s="838" t="str">
        <f t="shared" ca="1" si="213"/>
        <v>-</v>
      </c>
      <c r="DB221" s="841"/>
      <c r="DC221" s="832"/>
    </row>
    <row r="222" spans="1:107" s="842" customFormat="1" ht="15.95" customHeight="1" x14ac:dyDescent="0.25">
      <c r="A222" s="790">
        <v>223</v>
      </c>
      <c r="B222" s="791">
        <f t="shared" ca="1" si="162"/>
        <v>43134</v>
      </c>
      <c r="C222" s="792" t="s">
        <v>613</v>
      </c>
      <c r="D222" s="793" t="s">
        <v>3202</v>
      </c>
      <c r="E222" s="794" t="s">
        <v>156</v>
      </c>
      <c r="F222" s="854" t="s">
        <v>157</v>
      </c>
      <c r="G222" s="796">
        <f>SUMIFS(МОЛОКО!L8:L6958,МОЛОКО!F8:F6958,"741",МОЛОКО!L8:L6958,"&gt;0")</f>
        <v>13</v>
      </c>
      <c r="H222" s="797" t="s">
        <v>603</v>
      </c>
      <c r="I222" s="798">
        <v>40052</v>
      </c>
      <c r="J222" s="799">
        <f t="shared" ca="1" si="163"/>
        <v>8.4438356164383563</v>
      </c>
      <c r="K222" s="799">
        <f t="shared" ca="1" si="164"/>
        <v>102.73333333333333</v>
      </c>
      <c r="L222" s="800">
        <f t="shared" ca="1" si="165"/>
        <v>3082</v>
      </c>
      <c r="M222" s="801">
        <v>40913</v>
      </c>
      <c r="N222" s="802">
        <v>42631</v>
      </c>
      <c r="O222" s="803">
        <f t="shared" ca="1" si="166"/>
        <v>503</v>
      </c>
      <c r="P222" s="804">
        <v>4</v>
      </c>
      <c r="Q222" s="805" t="s">
        <v>2366</v>
      </c>
      <c r="R222" s="806" t="s">
        <v>2966</v>
      </c>
      <c r="S222" s="807">
        <v>42713</v>
      </c>
      <c r="T222" s="855">
        <v>42979</v>
      </c>
      <c r="U222" s="798" t="str">
        <f t="shared" si="167"/>
        <v>-</v>
      </c>
      <c r="V222" s="804" t="str">
        <f t="shared" ca="1" si="168"/>
        <v>-</v>
      </c>
      <c r="W222" s="808">
        <v>4</v>
      </c>
      <c r="X222" s="794">
        <f t="shared" si="161"/>
        <v>348</v>
      </c>
      <c r="Y222" s="794">
        <v>0</v>
      </c>
      <c r="Z222" s="809" t="str">
        <f t="shared" ca="1" si="169"/>
        <v>-----</v>
      </c>
      <c r="AA222" s="810">
        <f t="shared" ca="1" si="170"/>
        <v>155</v>
      </c>
      <c r="AB222" s="804"/>
      <c r="AC222" s="811" t="str">
        <f t="shared" ca="1" si="171"/>
        <v>-----</v>
      </c>
      <c r="AD222" s="798"/>
      <c r="AE222" s="794" t="str">
        <f t="shared" ca="1" si="172"/>
        <v>яловая</v>
      </c>
      <c r="AF222" s="798" t="str">
        <f t="shared" si="173"/>
        <v>-</v>
      </c>
      <c r="AG222" s="812" t="str">
        <f t="shared" si="174"/>
        <v>---------</v>
      </c>
      <c r="AH222" s="807">
        <v>43014</v>
      </c>
      <c r="AI222" s="807" t="str">
        <f t="shared" si="175"/>
        <v>-</v>
      </c>
      <c r="AJ222" s="807" t="str">
        <f t="shared" si="176"/>
        <v>-</v>
      </c>
      <c r="AK222" s="813"/>
      <c r="AL222" s="807" t="str">
        <f t="shared" si="177"/>
        <v>-</v>
      </c>
      <c r="AM222" s="807" t="str">
        <f t="shared" si="178"/>
        <v>-</v>
      </c>
      <c r="AN222" s="814" t="str">
        <f t="shared" ca="1" si="179"/>
        <v>-</v>
      </c>
      <c r="AO222" s="815">
        <v>1</v>
      </c>
      <c r="AP222" s="816" t="str">
        <f t="shared" ca="1" si="180"/>
        <v>БРАК</v>
      </c>
      <c r="AQ222" s="817"/>
      <c r="AR222" s="794" t="str">
        <f t="shared" si="181"/>
        <v>-</v>
      </c>
      <c r="AS222" s="818"/>
      <c r="AT222" s="794" t="str">
        <f t="shared" si="182"/>
        <v>-</v>
      </c>
      <c r="AU222" s="819">
        <v>1</v>
      </c>
      <c r="AV222" s="820"/>
      <c r="AW222" s="821"/>
      <c r="AX222" s="821"/>
      <c r="AY222" s="969" t="str">
        <f t="shared" si="183"/>
        <v>-</v>
      </c>
      <c r="AZ222" s="966" t="str">
        <f t="shared" si="184"/>
        <v>-</v>
      </c>
      <c r="BA222" s="971" t="str">
        <f t="shared" si="185"/>
        <v>-</v>
      </c>
      <c r="BB222" s="975"/>
      <c r="BC222" s="821"/>
      <c r="BD222" s="821"/>
      <c r="BE222" s="963" t="str">
        <f t="shared" si="186"/>
        <v>-</v>
      </c>
      <c r="BF222" s="984"/>
      <c r="BG222" s="988"/>
      <c r="BH222" s="982"/>
      <c r="BI222" s="991"/>
      <c r="BJ222" s="991"/>
      <c r="BK222" s="993" t="str">
        <f t="shared" si="187"/>
        <v>-</v>
      </c>
      <c r="BL222" s="820">
        <v>42981</v>
      </c>
      <c r="BM222" s="821">
        <v>5</v>
      </c>
      <c r="BN222" s="822">
        <f t="shared" ca="1" si="188"/>
        <v>153</v>
      </c>
      <c r="BO222" s="823">
        <f t="shared" si="189"/>
        <v>97.63333333333334</v>
      </c>
      <c r="BP222" s="824"/>
      <c r="BQ222" s="821"/>
      <c r="BR222" s="822" t="str">
        <f t="shared" si="190"/>
        <v>-</v>
      </c>
      <c r="BS222" s="823" t="str">
        <f t="shared" si="191"/>
        <v>-</v>
      </c>
      <c r="BT222" s="825" t="str">
        <f t="shared" ca="1" si="192"/>
        <v>-</v>
      </c>
      <c r="BU222" s="826"/>
      <c r="BV222" s="827"/>
      <c r="BW222" s="828" t="str">
        <f t="shared" si="193"/>
        <v>Ж-Е НЕ ВАКЦ.</v>
      </c>
      <c r="BX222" s="829" t="str">
        <f t="shared" si="194"/>
        <v>-</v>
      </c>
      <c r="BY222" s="830" t="str">
        <f t="shared" ca="1" si="195"/>
        <v>-</v>
      </c>
      <c r="BZ222" s="831">
        <v>42887</v>
      </c>
      <c r="CA222" s="832">
        <v>5</v>
      </c>
      <c r="CB222" s="833">
        <f t="shared" ca="1" si="196"/>
        <v>247</v>
      </c>
      <c r="CC222" s="834" t="str">
        <f t="shared" ca="1" si="197"/>
        <v>-</v>
      </c>
      <c r="CD222" s="835">
        <f t="shared" si="198"/>
        <v>42908</v>
      </c>
      <c r="CE222" s="831">
        <v>42908</v>
      </c>
      <c r="CF222" s="832">
        <v>5</v>
      </c>
      <c r="CG222" s="833">
        <f t="shared" ca="1" si="199"/>
        <v>226</v>
      </c>
      <c r="CH222" s="836">
        <f t="shared" si="200"/>
        <v>0</v>
      </c>
      <c r="CI222" s="837" t="str">
        <f t="shared" si="201"/>
        <v>УСПЕШНО</v>
      </c>
      <c r="CJ222" s="838" t="str">
        <f t="shared" ca="1" si="202"/>
        <v>-</v>
      </c>
      <c r="CK222" s="831"/>
      <c r="CL222" s="832"/>
      <c r="CM222" s="833" t="str">
        <f t="shared" si="203"/>
        <v>-</v>
      </c>
      <c r="CN222" s="834" t="str">
        <f t="shared" si="204"/>
        <v>-</v>
      </c>
      <c r="CO222" s="830" t="str">
        <f t="shared" ca="1" si="205"/>
        <v>-</v>
      </c>
      <c r="CP222" s="839"/>
      <c r="CQ222" s="832"/>
      <c r="CR222" s="833" t="str">
        <f t="shared" si="206"/>
        <v>-</v>
      </c>
      <c r="CS222" s="833" t="str">
        <f t="shared" si="207"/>
        <v>-</v>
      </c>
      <c r="CT222" s="834" t="str">
        <f t="shared" si="208"/>
        <v>-</v>
      </c>
      <c r="CU222" s="835" t="str">
        <f t="shared" si="209"/>
        <v>-</v>
      </c>
      <c r="CV222" s="839"/>
      <c r="CW222" s="832"/>
      <c r="CX222" s="833" t="str">
        <f t="shared" si="210"/>
        <v>-</v>
      </c>
      <c r="CY222" s="840" t="str">
        <f t="shared" si="211"/>
        <v>-</v>
      </c>
      <c r="CZ222" s="833" t="str">
        <f t="shared" si="212"/>
        <v>-</v>
      </c>
      <c r="DA222" s="838" t="str">
        <f t="shared" ca="1" si="213"/>
        <v>-</v>
      </c>
      <c r="DB222" s="841"/>
      <c r="DC222" s="832"/>
    </row>
    <row r="223" spans="1:107" s="842" customFormat="1" ht="15.95" customHeight="1" x14ac:dyDescent="0.25">
      <c r="A223" s="790">
        <v>224</v>
      </c>
      <c r="B223" s="791">
        <f t="shared" ca="1" si="162"/>
        <v>43134</v>
      </c>
      <c r="C223" s="792" t="s">
        <v>613</v>
      </c>
      <c r="D223" s="59" t="s">
        <v>3202</v>
      </c>
      <c r="E223" s="794" t="s">
        <v>321</v>
      </c>
      <c r="F223" s="854" t="s">
        <v>322</v>
      </c>
      <c r="G223" s="796">
        <f>SUMIFS(МОЛОКО!L8:L6958,МОЛОКО!F8:F6958,"797",МОЛОКО!L8:L6958,"&gt;0")</f>
        <v>6.3</v>
      </c>
      <c r="H223" s="797" t="s">
        <v>603</v>
      </c>
      <c r="I223" s="798">
        <v>40139</v>
      </c>
      <c r="J223" s="799">
        <f t="shared" ca="1" si="163"/>
        <v>8.205479452054794</v>
      </c>
      <c r="K223" s="799">
        <f t="shared" ca="1" si="164"/>
        <v>99.833333333333329</v>
      </c>
      <c r="L223" s="800">
        <f t="shared" ca="1" si="165"/>
        <v>2995</v>
      </c>
      <c r="M223" s="801">
        <v>41214</v>
      </c>
      <c r="N223" s="802">
        <v>42526</v>
      </c>
      <c r="O223" s="803">
        <f t="shared" ca="1" si="166"/>
        <v>608</v>
      </c>
      <c r="P223" s="804">
        <v>3</v>
      </c>
      <c r="Q223" s="805" t="s">
        <v>1448</v>
      </c>
      <c r="R223" s="806" t="s">
        <v>1809</v>
      </c>
      <c r="S223" s="807">
        <v>42587</v>
      </c>
      <c r="T223" s="798">
        <v>42628</v>
      </c>
      <c r="U223" s="798" t="str">
        <f t="shared" si="167"/>
        <v>-</v>
      </c>
      <c r="V223" s="804" t="str">
        <f t="shared" ca="1" si="168"/>
        <v>-</v>
      </c>
      <c r="W223" s="808">
        <v>2</v>
      </c>
      <c r="X223" s="794">
        <f t="shared" si="161"/>
        <v>102</v>
      </c>
      <c r="Y223" s="794">
        <v>0</v>
      </c>
      <c r="Z223" s="809" t="str">
        <f t="shared" ca="1" si="169"/>
        <v>-----</v>
      </c>
      <c r="AA223" s="810">
        <f t="shared" ca="1" si="170"/>
        <v>506</v>
      </c>
      <c r="AB223" s="804"/>
      <c r="AC223" s="811" t="str">
        <f t="shared" ca="1" si="171"/>
        <v>-----</v>
      </c>
      <c r="AD223" s="798"/>
      <c r="AE223" s="794" t="str">
        <f t="shared" ca="1" si="172"/>
        <v>яловая</v>
      </c>
      <c r="AF223" s="798" t="str">
        <f t="shared" si="173"/>
        <v>-</v>
      </c>
      <c r="AG223" s="812" t="str">
        <f t="shared" si="174"/>
        <v>---------</v>
      </c>
      <c r="AH223" s="807">
        <v>42843</v>
      </c>
      <c r="AI223" s="807" t="str">
        <f t="shared" si="175"/>
        <v>-</v>
      </c>
      <c r="AJ223" s="807" t="str">
        <f t="shared" si="176"/>
        <v>-</v>
      </c>
      <c r="AK223" s="813"/>
      <c r="AL223" s="807" t="str">
        <f t="shared" si="177"/>
        <v>-</v>
      </c>
      <c r="AM223" s="807" t="str">
        <f t="shared" si="178"/>
        <v>-</v>
      </c>
      <c r="AN223" s="814" t="str">
        <f t="shared" ca="1" si="179"/>
        <v>-</v>
      </c>
      <c r="AO223" s="815">
        <v>1</v>
      </c>
      <c r="AP223" s="816" t="str">
        <f t="shared" ca="1" si="180"/>
        <v>БРАК</v>
      </c>
      <c r="AQ223" s="817" t="s">
        <v>2653</v>
      </c>
      <c r="AR223" s="794" t="str">
        <f t="shared" si="181"/>
        <v>-</v>
      </c>
      <c r="AS223" s="818"/>
      <c r="AT223" s="794" t="str">
        <f t="shared" si="182"/>
        <v>-</v>
      </c>
      <c r="AU223" s="819">
        <v>1</v>
      </c>
      <c r="AV223" s="820"/>
      <c r="AW223" s="821"/>
      <c r="AX223" s="821"/>
      <c r="AY223" s="969" t="str">
        <f t="shared" si="183"/>
        <v>-</v>
      </c>
      <c r="AZ223" s="966" t="str">
        <f t="shared" si="184"/>
        <v>-</v>
      </c>
      <c r="BA223" s="971" t="str">
        <f t="shared" si="185"/>
        <v>-</v>
      </c>
      <c r="BB223" s="975"/>
      <c r="BC223" s="821"/>
      <c r="BD223" s="821"/>
      <c r="BE223" s="963" t="str">
        <f t="shared" si="186"/>
        <v>-</v>
      </c>
      <c r="BF223" s="984"/>
      <c r="BG223" s="988"/>
      <c r="BH223" s="982"/>
      <c r="BI223" s="991"/>
      <c r="BJ223" s="991"/>
      <c r="BK223" s="993" t="str">
        <f t="shared" si="187"/>
        <v>-</v>
      </c>
      <c r="BL223" s="820">
        <v>42981</v>
      </c>
      <c r="BM223" s="821">
        <v>5</v>
      </c>
      <c r="BN223" s="822">
        <f t="shared" ca="1" si="188"/>
        <v>153</v>
      </c>
      <c r="BO223" s="823">
        <f t="shared" si="189"/>
        <v>94.733333333333334</v>
      </c>
      <c r="BP223" s="824"/>
      <c r="BQ223" s="821"/>
      <c r="BR223" s="822" t="str">
        <f t="shared" si="190"/>
        <v>-</v>
      </c>
      <c r="BS223" s="823" t="str">
        <f t="shared" si="191"/>
        <v>-</v>
      </c>
      <c r="BT223" s="825" t="str">
        <f t="shared" ca="1" si="192"/>
        <v>-</v>
      </c>
      <c r="BU223" s="826"/>
      <c r="BV223" s="827"/>
      <c r="BW223" s="828" t="str">
        <f t="shared" si="193"/>
        <v>Ж-Е НЕ ВАКЦ.</v>
      </c>
      <c r="BX223" s="829" t="str">
        <f t="shared" si="194"/>
        <v>-</v>
      </c>
      <c r="BY223" s="830" t="str">
        <f t="shared" ca="1" si="195"/>
        <v>-</v>
      </c>
      <c r="BZ223" s="831">
        <v>42887</v>
      </c>
      <c r="CA223" s="832">
        <v>5</v>
      </c>
      <c r="CB223" s="833">
        <f t="shared" ca="1" si="196"/>
        <v>247</v>
      </c>
      <c r="CC223" s="834" t="str">
        <f t="shared" ca="1" si="197"/>
        <v>-</v>
      </c>
      <c r="CD223" s="835">
        <f t="shared" si="198"/>
        <v>42908</v>
      </c>
      <c r="CE223" s="831">
        <v>42908</v>
      </c>
      <c r="CF223" s="832">
        <v>5</v>
      </c>
      <c r="CG223" s="833">
        <f t="shared" ca="1" si="199"/>
        <v>226</v>
      </c>
      <c r="CH223" s="836">
        <f t="shared" si="200"/>
        <v>0</v>
      </c>
      <c r="CI223" s="837" t="str">
        <f t="shared" si="201"/>
        <v>УСПЕШНО</v>
      </c>
      <c r="CJ223" s="838" t="str">
        <f t="shared" ca="1" si="202"/>
        <v>-</v>
      </c>
      <c r="CK223" s="831"/>
      <c r="CL223" s="832"/>
      <c r="CM223" s="833" t="str">
        <f t="shared" si="203"/>
        <v>-</v>
      </c>
      <c r="CN223" s="834" t="str">
        <f t="shared" si="204"/>
        <v>-</v>
      </c>
      <c r="CO223" s="830" t="str">
        <f t="shared" ca="1" si="205"/>
        <v>-</v>
      </c>
      <c r="CP223" s="839"/>
      <c r="CQ223" s="832"/>
      <c r="CR223" s="833" t="str">
        <f t="shared" si="206"/>
        <v>-</v>
      </c>
      <c r="CS223" s="833" t="str">
        <f t="shared" si="207"/>
        <v>-</v>
      </c>
      <c r="CT223" s="834" t="str">
        <f t="shared" si="208"/>
        <v>-</v>
      </c>
      <c r="CU223" s="835" t="str">
        <f t="shared" si="209"/>
        <v>-</v>
      </c>
      <c r="CV223" s="839"/>
      <c r="CW223" s="832"/>
      <c r="CX223" s="833" t="str">
        <f t="shared" si="210"/>
        <v>-</v>
      </c>
      <c r="CY223" s="840" t="str">
        <f t="shared" si="211"/>
        <v>-</v>
      </c>
      <c r="CZ223" s="833" t="str">
        <f t="shared" si="212"/>
        <v>-</v>
      </c>
      <c r="DA223" s="838" t="str">
        <f t="shared" ca="1" si="213"/>
        <v>-</v>
      </c>
      <c r="DB223" s="841"/>
      <c r="DC223" s="832"/>
    </row>
    <row r="224" spans="1:107" s="842" customFormat="1" ht="15.95" customHeight="1" x14ac:dyDescent="0.25">
      <c r="A224" s="790">
        <v>225</v>
      </c>
      <c r="B224" s="791">
        <f t="shared" ca="1" si="162"/>
        <v>43134</v>
      </c>
      <c r="C224" s="792" t="s">
        <v>613</v>
      </c>
      <c r="D224" s="793" t="s">
        <v>3202</v>
      </c>
      <c r="E224" s="794" t="s">
        <v>88</v>
      </c>
      <c r="F224" s="854" t="s">
        <v>89</v>
      </c>
      <c r="G224" s="796">
        <f>SUMIFS(МОЛОКО!L8:L6958,МОЛОКО!F8:F6958,"1083",МОЛОКО!L8:L6958,"&gt;0")</f>
        <v>15</v>
      </c>
      <c r="H224" s="797" t="s">
        <v>603</v>
      </c>
      <c r="I224" s="798">
        <v>40447</v>
      </c>
      <c r="J224" s="799">
        <f t="shared" ca="1" si="163"/>
        <v>7.3616438356164382</v>
      </c>
      <c r="K224" s="799">
        <f t="shared" ca="1" si="164"/>
        <v>89.566666666666663</v>
      </c>
      <c r="L224" s="800">
        <f t="shared" ca="1" si="165"/>
        <v>2687</v>
      </c>
      <c r="M224" s="801">
        <v>41066</v>
      </c>
      <c r="N224" s="802">
        <v>42790</v>
      </c>
      <c r="O224" s="803">
        <f t="shared" ca="1" si="166"/>
        <v>344</v>
      </c>
      <c r="P224" s="804">
        <v>4</v>
      </c>
      <c r="Q224" s="805" t="s">
        <v>2366</v>
      </c>
      <c r="R224" s="806" t="s">
        <v>2962</v>
      </c>
      <c r="S224" s="807">
        <v>42859</v>
      </c>
      <c r="T224" s="798">
        <v>42989</v>
      </c>
      <c r="U224" s="798" t="str">
        <f t="shared" si="167"/>
        <v>-</v>
      </c>
      <c r="V224" s="804" t="str">
        <f t="shared" ca="1" si="168"/>
        <v>-</v>
      </c>
      <c r="W224" s="808">
        <v>3</v>
      </c>
      <c r="X224" s="794">
        <f t="shared" si="161"/>
        <v>199</v>
      </c>
      <c r="Y224" s="794">
        <v>1</v>
      </c>
      <c r="Z224" s="809" t="str">
        <f t="shared" ca="1" si="169"/>
        <v>ПОДЛЕЖИТ ПЕРЕПРОВЕРКЕ</v>
      </c>
      <c r="AA224" s="810">
        <f t="shared" ca="1" si="170"/>
        <v>145</v>
      </c>
      <c r="AB224" s="804"/>
      <c r="AC224" s="811">
        <f t="shared" ca="1" si="171"/>
        <v>43061</v>
      </c>
      <c r="AD224" s="798"/>
      <c r="AE224" s="794" t="str">
        <f t="shared" ca="1" si="172"/>
        <v>-</v>
      </c>
      <c r="AF224" s="798" t="str">
        <f t="shared" si="173"/>
        <v>-</v>
      </c>
      <c r="AG224" s="812" t="str">
        <f t="shared" si="174"/>
        <v>---------</v>
      </c>
      <c r="AH224" s="807">
        <v>43020</v>
      </c>
      <c r="AI224" s="807">
        <f t="shared" si="175"/>
        <v>43179</v>
      </c>
      <c r="AJ224" s="807">
        <f t="shared" si="176"/>
        <v>43209</v>
      </c>
      <c r="AK224" s="813"/>
      <c r="AL224" s="807">
        <f t="shared" si="177"/>
        <v>43248</v>
      </c>
      <c r="AM224" s="807">
        <f t="shared" si="178"/>
        <v>43269</v>
      </c>
      <c r="AN224" s="814">
        <f t="shared" ca="1" si="179"/>
        <v>-135</v>
      </c>
      <c r="AO224" s="815">
        <v>1</v>
      </c>
      <c r="AP224" s="816" t="str">
        <f t="shared" ca="1" si="180"/>
        <v>-</v>
      </c>
      <c r="AQ224" s="441" t="s">
        <v>3491</v>
      </c>
      <c r="AR224" s="794" t="str">
        <f t="shared" si="181"/>
        <v>-</v>
      </c>
      <c r="AS224" s="818"/>
      <c r="AT224" s="794" t="str">
        <f t="shared" si="182"/>
        <v>-</v>
      </c>
      <c r="AU224" s="819">
        <v>1</v>
      </c>
      <c r="AV224" s="820"/>
      <c r="AW224" s="821"/>
      <c r="AX224" s="821"/>
      <c r="AY224" s="969" t="str">
        <f t="shared" si="183"/>
        <v>-</v>
      </c>
      <c r="AZ224" s="966" t="str">
        <f t="shared" si="184"/>
        <v>-</v>
      </c>
      <c r="BA224" s="971" t="str">
        <f t="shared" si="185"/>
        <v>-</v>
      </c>
      <c r="BB224" s="975"/>
      <c r="BC224" s="821"/>
      <c r="BD224" s="821"/>
      <c r="BE224" s="963" t="str">
        <f t="shared" si="186"/>
        <v>-</v>
      </c>
      <c r="BF224" s="984"/>
      <c r="BG224" s="988"/>
      <c r="BH224" s="982"/>
      <c r="BI224" s="991"/>
      <c r="BJ224" s="991"/>
      <c r="BK224" s="993" t="str">
        <f t="shared" si="187"/>
        <v>-</v>
      </c>
      <c r="BL224" s="820">
        <v>42979</v>
      </c>
      <c r="BM224" s="821">
        <v>5</v>
      </c>
      <c r="BN224" s="822">
        <f t="shared" ca="1" si="188"/>
        <v>155</v>
      </c>
      <c r="BO224" s="823">
        <f t="shared" si="189"/>
        <v>84.4</v>
      </c>
      <c r="BP224" s="824"/>
      <c r="BQ224" s="821"/>
      <c r="BR224" s="822" t="str">
        <f t="shared" si="190"/>
        <v>-</v>
      </c>
      <c r="BS224" s="823" t="str">
        <f t="shared" si="191"/>
        <v>-</v>
      </c>
      <c r="BT224" s="825" t="str">
        <f t="shared" ca="1" si="192"/>
        <v>-</v>
      </c>
      <c r="BU224" s="826"/>
      <c r="BV224" s="827"/>
      <c r="BW224" s="828" t="str">
        <f t="shared" si="193"/>
        <v>Ж-Е НЕ ВАКЦ.</v>
      </c>
      <c r="BX224" s="829" t="str">
        <f t="shared" si="194"/>
        <v>-</v>
      </c>
      <c r="BY224" s="830" t="str">
        <f t="shared" ca="1" si="195"/>
        <v>-</v>
      </c>
      <c r="BZ224" s="831">
        <v>42887</v>
      </c>
      <c r="CA224" s="832">
        <v>5</v>
      </c>
      <c r="CB224" s="833">
        <f t="shared" ca="1" si="196"/>
        <v>247</v>
      </c>
      <c r="CC224" s="834" t="str">
        <f t="shared" ca="1" si="197"/>
        <v>-</v>
      </c>
      <c r="CD224" s="835">
        <f t="shared" si="198"/>
        <v>42908</v>
      </c>
      <c r="CE224" s="831">
        <v>42908</v>
      </c>
      <c r="CF224" s="832">
        <v>5</v>
      </c>
      <c r="CG224" s="833">
        <f t="shared" ca="1" si="199"/>
        <v>226</v>
      </c>
      <c r="CH224" s="836">
        <f t="shared" si="200"/>
        <v>0</v>
      </c>
      <c r="CI224" s="837" t="str">
        <f t="shared" si="201"/>
        <v>УСПЕШНО</v>
      </c>
      <c r="CJ224" s="838" t="str">
        <f t="shared" ca="1" si="202"/>
        <v>-</v>
      </c>
      <c r="CK224" s="831"/>
      <c r="CL224" s="832"/>
      <c r="CM224" s="833" t="str">
        <f t="shared" si="203"/>
        <v>-</v>
      </c>
      <c r="CN224" s="834" t="str">
        <f t="shared" si="204"/>
        <v>-</v>
      </c>
      <c r="CO224" s="830" t="str">
        <f t="shared" ca="1" si="205"/>
        <v>-</v>
      </c>
      <c r="CP224" s="839"/>
      <c r="CQ224" s="832"/>
      <c r="CR224" s="833" t="str">
        <f t="shared" si="206"/>
        <v>-</v>
      </c>
      <c r="CS224" s="833" t="str">
        <f t="shared" si="207"/>
        <v>-</v>
      </c>
      <c r="CT224" s="834" t="str">
        <f t="shared" si="208"/>
        <v>-</v>
      </c>
      <c r="CU224" s="835" t="str">
        <f t="shared" si="209"/>
        <v>-</v>
      </c>
      <c r="CV224" s="839"/>
      <c r="CW224" s="832"/>
      <c r="CX224" s="833" t="str">
        <f t="shared" si="210"/>
        <v>-</v>
      </c>
      <c r="CY224" s="840" t="str">
        <f t="shared" si="211"/>
        <v>-</v>
      </c>
      <c r="CZ224" s="833" t="str">
        <f t="shared" si="212"/>
        <v>-</v>
      </c>
      <c r="DA224" s="838" t="str">
        <f t="shared" ca="1" si="213"/>
        <v>-</v>
      </c>
      <c r="DB224" s="841"/>
      <c r="DC224" s="832"/>
    </row>
    <row r="225" spans="1:107" s="842" customFormat="1" ht="15.95" customHeight="1" x14ac:dyDescent="0.25">
      <c r="A225" s="790">
        <v>226</v>
      </c>
      <c r="B225" s="791">
        <f t="shared" ca="1" si="162"/>
        <v>43134</v>
      </c>
      <c r="C225" s="792" t="s">
        <v>613</v>
      </c>
      <c r="D225" s="793" t="s">
        <v>3202</v>
      </c>
      <c r="E225" s="794" t="s">
        <v>336</v>
      </c>
      <c r="F225" s="854" t="s">
        <v>337</v>
      </c>
      <c r="G225" s="796">
        <f>SUMIFS(МОЛОКО!L8:L6958,МОЛОКО!F8:F6958,"1204",МОЛОКО!L8:L6958,"&gt;0")</f>
        <v>22</v>
      </c>
      <c r="H225" s="797" t="s">
        <v>603</v>
      </c>
      <c r="I225" s="798">
        <v>40602</v>
      </c>
      <c r="J225" s="799">
        <f t="shared" ca="1" si="163"/>
        <v>6.9369863013698634</v>
      </c>
      <c r="K225" s="799">
        <f t="shared" ca="1" si="164"/>
        <v>84.4</v>
      </c>
      <c r="L225" s="800">
        <f t="shared" ca="1" si="165"/>
        <v>2532</v>
      </c>
      <c r="M225" s="801">
        <v>41335</v>
      </c>
      <c r="N225" s="802">
        <v>42696</v>
      </c>
      <c r="O225" s="803">
        <f t="shared" ca="1" si="166"/>
        <v>438</v>
      </c>
      <c r="P225" s="804">
        <v>4</v>
      </c>
      <c r="Q225" s="805" t="s">
        <v>2366</v>
      </c>
      <c r="R225" s="806" t="s">
        <v>1875</v>
      </c>
      <c r="S225" s="807">
        <v>42776</v>
      </c>
      <c r="T225" s="798">
        <v>42903</v>
      </c>
      <c r="U225" s="798" t="str">
        <f t="shared" si="167"/>
        <v>-</v>
      </c>
      <c r="V225" s="804" t="str">
        <f t="shared" ca="1" si="168"/>
        <v>-</v>
      </c>
      <c r="W225" s="808">
        <v>5</v>
      </c>
      <c r="X225" s="794">
        <f t="shared" si="161"/>
        <v>207</v>
      </c>
      <c r="Y225" s="794">
        <v>1</v>
      </c>
      <c r="Z225" s="809" t="str">
        <f t="shared" ca="1" si="169"/>
        <v>-----</v>
      </c>
      <c r="AA225" s="810" t="str">
        <f t="shared" ca="1" si="170"/>
        <v>-----</v>
      </c>
      <c r="AB225" s="804">
        <v>1</v>
      </c>
      <c r="AC225" s="811" t="str">
        <f t="shared" ca="1" si="171"/>
        <v>-----</v>
      </c>
      <c r="AD225" s="798"/>
      <c r="AE225" s="794" t="str">
        <f t="shared" ca="1" si="172"/>
        <v>-</v>
      </c>
      <c r="AF225" s="798" t="str">
        <f t="shared" si="173"/>
        <v>-</v>
      </c>
      <c r="AG225" s="812" t="str">
        <f t="shared" si="174"/>
        <v>---------</v>
      </c>
      <c r="AH225" s="807">
        <v>42964</v>
      </c>
      <c r="AI225" s="807">
        <f t="shared" si="175"/>
        <v>43093</v>
      </c>
      <c r="AJ225" s="807">
        <f t="shared" si="176"/>
        <v>43123</v>
      </c>
      <c r="AK225" s="813"/>
      <c r="AL225" s="807">
        <f t="shared" si="177"/>
        <v>43162</v>
      </c>
      <c r="AM225" s="807">
        <f t="shared" si="178"/>
        <v>43183</v>
      </c>
      <c r="AN225" s="814">
        <f t="shared" ca="1" si="179"/>
        <v>-49</v>
      </c>
      <c r="AO225" s="815">
        <v>1</v>
      </c>
      <c r="AP225" s="816" t="str">
        <f t="shared" ca="1" si="180"/>
        <v>-</v>
      </c>
      <c r="AQ225" s="817"/>
      <c r="AR225" s="794" t="str">
        <f t="shared" si="181"/>
        <v>-</v>
      </c>
      <c r="AS225" s="818"/>
      <c r="AT225" s="794" t="str">
        <f t="shared" si="182"/>
        <v>-</v>
      </c>
      <c r="AU225" s="819">
        <v>1</v>
      </c>
      <c r="AV225" s="820"/>
      <c r="AW225" s="821"/>
      <c r="AX225" s="821"/>
      <c r="AY225" s="969" t="str">
        <f t="shared" si="183"/>
        <v>-</v>
      </c>
      <c r="AZ225" s="966" t="str">
        <f t="shared" si="184"/>
        <v>-</v>
      </c>
      <c r="BA225" s="971" t="str">
        <f t="shared" si="185"/>
        <v>-</v>
      </c>
      <c r="BB225" s="975"/>
      <c r="BC225" s="821"/>
      <c r="BD225" s="821"/>
      <c r="BE225" s="963" t="str">
        <f t="shared" si="186"/>
        <v>-</v>
      </c>
      <c r="BF225" s="984"/>
      <c r="BG225" s="988"/>
      <c r="BH225" s="982"/>
      <c r="BI225" s="991"/>
      <c r="BJ225" s="991"/>
      <c r="BK225" s="993" t="str">
        <f t="shared" si="187"/>
        <v>-</v>
      </c>
      <c r="BL225" s="820">
        <v>42979</v>
      </c>
      <c r="BM225" s="821">
        <v>5</v>
      </c>
      <c r="BN225" s="822">
        <f t="shared" ca="1" si="188"/>
        <v>155</v>
      </c>
      <c r="BO225" s="823">
        <f t="shared" si="189"/>
        <v>79.233333333333334</v>
      </c>
      <c r="BP225" s="824"/>
      <c r="BQ225" s="821"/>
      <c r="BR225" s="822" t="str">
        <f t="shared" si="190"/>
        <v>-</v>
      </c>
      <c r="BS225" s="823" t="str">
        <f t="shared" si="191"/>
        <v>-</v>
      </c>
      <c r="BT225" s="825" t="str">
        <f t="shared" ca="1" si="192"/>
        <v>-</v>
      </c>
      <c r="BU225" s="826"/>
      <c r="BV225" s="827"/>
      <c r="BW225" s="828" t="str">
        <f t="shared" si="193"/>
        <v>Ж-Е НЕ ВАКЦ.</v>
      </c>
      <c r="BX225" s="829" t="str">
        <f t="shared" si="194"/>
        <v>-</v>
      </c>
      <c r="BY225" s="830" t="str">
        <f t="shared" ca="1" si="195"/>
        <v>-</v>
      </c>
      <c r="BZ225" s="831">
        <v>42887</v>
      </c>
      <c r="CA225" s="832">
        <v>5</v>
      </c>
      <c r="CB225" s="833">
        <f t="shared" ca="1" si="196"/>
        <v>247</v>
      </c>
      <c r="CC225" s="834" t="str">
        <f t="shared" ca="1" si="197"/>
        <v>-</v>
      </c>
      <c r="CD225" s="835">
        <f t="shared" si="198"/>
        <v>42908</v>
      </c>
      <c r="CE225" s="831">
        <v>42908</v>
      </c>
      <c r="CF225" s="832">
        <v>5</v>
      </c>
      <c r="CG225" s="833">
        <f t="shared" ca="1" si="199"/>
        <v>226</v>
      </c>
      <c r="CH225" s="836">
        <f t="shared" si="200"/>
        <v>0</v>
      </c>
      <c r="CI225" s="837" t="str">
        <f t="shared" si="201"/>
        <v>УСПЕШНО</v>
      </c>
      <c r="CJ225" s="838" t="str">
        <f t="shared" ca="1" si="202"/>
        <v>-</v>
      </c>
      <c r="CK225" s="831"/>
      <c r="CL225" s="832"/>
      <c r="CM225" s="833" t="str">
        <f t="shared" si="203"/>
        <v>-</v>
      </c>
      <c r="CN225" s="834" t="str">
        <f t="shared" si="204"/>
        <v>-</v>
      </c>
      <c r="CO225" s="830" t="str">
        <f t="shared" ca="1" si="205"/>
        <v>ТРЕБУЕТСЯ ВАКЦИНАЦИЯ</v>
      </c>
      <c r="CP225" s="839"/>
      <c r="CQ225" s="832"/>
      <c r="CR225" s="833" t="str">
        <f t="shared" si="206"/>
        <v>-</v>
      </c>
      <c r="CS225" s="833" t="str">
        <f t="shared" si="207"/>
        <v>-</v>
      </c>
      <c r="CT225" s="834" t="str">
        <f t="shared" si="208"/>
        <v>-</v>
      </c>
      <c r="CU225" s="835" t="str">
        <f t="shared" si="209"/>
        <v>-</v>
      </c>
      <c r="CV225" s="839"/>
      <c r="CW225" s="832"/>
      <c r="CX225" s="833" t="str">
        <f t="shared" si="210"/>
        <v>-</v>
      </c>
      <c r="CY225" s="840" t="str">
        <f t="shared" si="211"/>
        <v>-</v>
      </c>
      <c r="CZ225" s="833" t="str">
        <f t="shared" si="212"/>
        <v>-</v>
      </c>
      <c r="DA225" s="838" t="str">
        <f t="shared" ca="1" si="213"/>
        <v>-</v>
      </c>
      <c r="DB225" s="841"/>
      <c r="DC225" s="832"/>
    </row>
    <row r="226" spans="1:107" s="842" customFormat="1" ht="15.95" customHeight="1" x14ac:dyDescent="0.25">
      <c r="A226" s="790">
        <v>227</v>
      </c>
      <c r="B226" s="791">
        <f t="shared" ca="1" si="162"/>
        <v>43134</v>
      </c>
      <c r="C226" s="792" t="s">
        <v>613</v>
      </c>
      <c r="D226" s="793" t="s">
        <v>3202</v>
      </c>
      <c r="E226" s="794" t="s">
        <v>853</v>
      </c>
      <c r="F226" s="795" t="s">
        <v>854</v>
      </c>
      <c r="G226" s="796">
        <f>SUMIFS(МОЛОКО!L8:L6958,МОЛОКО!F8:F6958,"1365",МОЛОКО!L8:L6958,"&gt;0")</f>
        <v>8</v>
      </c>
      <c r="H226" s="797" t="s">
        <v>603</v>
      </c>
      <c r="I226" s="798">
        <v>40767</v>
      </c>
      <c r="J226" s="799">
        <f t="shared" ca="1" si="163"/>
        <v>6.484931506849315</v>
      </c>
      <c r="K226" s="799">
        <f t="shared" ca="1" si="164"/>
        <v>78.900000000000006</v>
      </c>
      <c r="L226" s="800">
        <f t="shared" ca="1" si="165"/>
        <v>2367</v>
      </c>
      <c r="M226" s="801">
        <v>41527</v>
      </c>
      <c r="N226" s="802">
        <v>42526</v>
      </c>
      <c r="O226" s="803">
        <f t="shared" ca="1" si="166"/>
        <v>608</v>
      </c>
      <c r="P226" s="804">
        <v>3</v>
      </c>
      <c r="Q226" s="805" t="s">
        <v>2366</v>
      </c>
      <c r="R226" s="806" t="s">
        <v>1875</v>
      </c>
      <c r="S226" s="807">
        <v>42615</v>
      </c>
      <c r="T226" s="798">
        <v>42906</v>
      </c>
      <c r="U226" s="798" t="str">
        <f t="shared" si="167"/>
        <v>-</v>
      </c>
      <c r="V226" s="804" t="str">
        <f t="shared" ca="1" si="168"/>
        <v>-</v>
      </c>
      <c r="W226" s="808">
        <v>4</v>
      </c>
      <c r="X226" s="794">
        <f t="shared" si="161"/>
        <v>380</v>
      </c>
      <c r="Y226" s="794">
        <v>0</v>
      </c>
      <c r="Z226" s="809" t="str">
        <f t="shared" ca="1" si="169"/>
        <v>-----</v>
      </c>
      <c r="AA226" s="810">
        <f t="shared" ca="1" si="170"/>
        <v>228</v>
      </c>
      <c r="AB226" s="804"/>
      <c r="AC226" s="811" t="str">
        <f t="shared" ca="1" si="171"/>
        <v>-----</v>
      </c>
      <c r="AD226" s="798"/>
      <c r="AE226" s="794" t="str">
        <f t="shared" ca="1" si="172"/>
        <v>яловая</v>
      </c>
      <c r="AF226" s="798" t="str">
        <f t="shared" si="173"/>
        <v>-</v>
      </c>
      <c r="AG226" s="812" t="str">
        <f t="shared" si="174"/>
        <v>---------</v>
      </c>
      <c r="AH226" s="807">
        <v>42944</v>
      </c>
      <c r="AI226" s="807" t="str">
        <f t="shared" si="175"/>
        <v>-</v>
      </c>
      <c r="AJ226" s="807" t="str">
        <f t="shared" si="176"/>
        <v>-</v>
      </c>
      <c r="AK226" s="813"/>
      <c r="AL226" s="807" t="str">
        <f t="shared" si="177"/>
        <v>-</v>
      </c>
      <c r="AM226" s="807" t="str">
        <f t="shared" si="178"/>
        <v>-</v>
      </c>
      <c r="AN226" s="814" t="str">
        <f t="shared" ca="1" si="179"/>
        <v>-</v>
      </c>
      <c r="AO226" s="815">
        <v>1</v>
      </c>
      <c r="AP226" s="816" t="str">
        <f t="shared" ca="1" si="180"/>
        <v>БРАК</v>
      </c>
      <c r="AQ226" s="817" t="s">
        <v>1863</v>
      </c>
      <c r="AR226" s="794" t="str">
        <f t="shared" si="181"/>
        <v>-</v>
      </c>
      <c r="AS226" s="818"/>
      <c r="AT226" s="794" t="str">
        <f t="shared" si="182"/>
        <v>-</v>
      </c>
      <c r="AU226" s="819"/>
      <c r="AV226" s="820"/>
      <c r="AW226" s="821"/>
      <c r="AX226" s="821"/>
      <c r="AY226" s="969" t="str">
        <f t="shared" si="183"/>
        <v>-</v>
      </c>
      <c r="AZ226" s="966" t="str">
        <f t="shared" si="184"/>
        <v>-</v>
      </c>
      <c r="BA226" s="971" t="str">
        <f t="shared" si="185"/>
        <v>-</v>
      </c>
      <c r="BB226" s="975"/>
      <c r="BC226" s="821"/>
      <c r="BD226" s="821"/>
      <c r="BE226" s="963" t="str">
        <f t="shared" si="186"/>
        <v>-</v>
      </c>
      <c r="BF226" s="984"/>
      <c r="BG226" s="988"/>
      <c r="BH226" s="982"/>
      <c r="BI226" s="991"/>
      <c r="BJ226" s="991"/>
      <c r="BK226" s="993" t="str">
        <f t="shared" si="187"/>
        <v>-</v>
      </c>
      <c r="BL226" s="820">
        <v>42981</v>
      </c>
      <c r="BM226" s="821">
        <v>5</v>
      </c>
      <c r="BN226" s="822">
        <f t="shared" ca="1" si="188"/>
        <v>153</v>
      </c>
      <c r="BO226" s="823">
        <f t="shared" si="189"/>
        <v>73.8</v>
      </c>
      <c r="BP226" s="824"/>
      <c r="BQ226" s="821"/>
      <c r="BR226" s="822" t="str">
        <f t="shared" si="190"/>
        <v>-</v>
      </c>
      <c r="BS226" s="823" t="str">
        <f t="shared" si="191"/>
        <v>-</v>
      </c>
      <c r="BT226" s="825" t="str">
        <f t="shared" ca="1" si="192"/>
        <v>-</v>
      </c>
      <c r="BU226" s="826"/>
      <c r="BV226" s="827"/>
      <c r="BW226" s="828" t="str">
        <f t="shared" si="193"/>
        <v>Ж-Е НЕ ВАКЦ.</v>
      </c>
      <c r="BX226" s="829" t="str">
        <f t="shared" si="194"/>
        <v>-</v>
      </c>
      <c r="BY226" s="830" t="str">
        <f t="shared" ca="1" si="195"/>
        <v>-</v>
      </c>
      <c r="BZ226" s="831">
        <v>42887</v>
      </c>
      <c r="CA226" s="832">
        <v>5</v>
      </c>
      <c r="CB226" s="833">
        <f t="shared" ca="1" si="196"/>
        <v>247</v>
      </c>
      <c r="CC226" s="834" t="str">
        <f t="shared" ca="1" si="197"/>
        <v>-</v>
      </c>
      <c r="CD226" s="835">
        <f t="shared" si="198"/>
        <v>42908</v>
      </c>
      <c r="CE226" s="831">
        <v>42908</v>
      </c>
      <c r="CF226" s="832">
        <v>5</v>
      </c>
      <c r="CG226" s="833">
        <f t="shared" ca="1" si="199"/>
        <v>226</v>
      </c>
      <c r="CH226" s="836">
        <f t="shared" si="200"/>
        <v>0</v>
      </c>
      <c r="CI226" s="837" t="str">
        <f t="shared" si="201"/>
        <v>УСПЕШНО</v>
      </c>
      <c r="CJ226" s="838" t="str">
        <f t="shared" ca="1" si="202"/>
        <v>-</v>
      </c>
      <c r="CK226" s="831"/>
      <c r="CL226" s="832"/>
      <c r="CM226" s="833" t="str">
        <f t="shared" si="203"/>
        <v>-</v>
      </c>
      <c r="CN226" s="834" t="str">
        <f t="shared" si="204"/>
        <v>-</v>
      </c>
      <c r="CO226" s="830" t="str">
        <f t="shared" ca="1" si="205"/>
        <v>-</v>
      </c>
      <c r="CP226" s="839"/>
      <c r="CQ226" s="832"/>
      <c r="CR226" s="833" t="str">
        <f t="shared" si="206"/>
        <v>-</v>
      </c>
      <c r="CS226" s="833" t="str">
        <f t="shared" si="207"/>
        <v>-</v>
      </c>
      <c r="CT226" s="834" t="str">
        <f t="shared" si="208"/>
        <v>-</v>
      </c>
      <c r="CU226" s="835" t="str">
        <f t="shared" si="209"/>
        <v>-</v>
      </c>
      <c r="CV226" s="839"/>
      <c r="CW226" s="832"/>
      <c r="CX226" s="833" t="str">
        <f t="shared" si="210"/>
        <v>-</v>
      </c>
      <c r="CY226" s="840" t="str">
        <f t="shared" si="211"/>
        <v>-</v>
      </c>
      <c r="CZ226" s="833" t="str">
        <f t="shared" si="212"/>
        <v>-</v>
      </c>
      <c r="DA226" s="838" t="str">
        <f t="shared" ca="1" si="213"/>
        <v>-</v>
      </c>
      <c r="DB226" s="841"/>
      <c r="DC226" s="832"/>
    </row>
    <row r="227" spans="1:107" s="842" customFormat="1" ht="15.95" customHeight="1" x14ac:dyDescent="0.25">
      <c r="A227" s="790">
        <v>228</v>
      </c>
      <c r="B227" s="791">
        <f t="shared" ca="1" si="162"/>
        <v>43134</v>
      </c>
      <c r="C227" s="792" t="s">
        <v>613</v>
      </c>
      <c r="D227" s="793" t="s">
        <v>3202</v>
      </c>
      <c r="E227" s="794" t="s">
        <v>597</v>
      </c>
      <c r="F227" s="854" t="s">
        <v>598</v>
      </c>
      <c r="G227" s="796">
        <f>SUMIFS(МОЛОКО!L8:L6958,МОЛОКО!F8:F6958,"1528",МОЛОКО!L8:L6958,"&gt;0")</f>
        <v>14.4</v>
      </c>
      <c r="H227" s="797" t="s">
        <v>603</v>
      </c>
      <c r="I227" s="798">
        <v>41020</v>
      </c>
      <c r="J227" s="799">
        <f t="shared" ca="1" si="163"/>
        <v>5.7917808219178086</v>
      </c>
      <c r="K227" s="799">
        <f t="shared" ca="1" si="164"/>
        <v>70.466666666666669</v>
      </c>
      <c r="L227" s="800">
        <f t="shared" ca="1" si="165"/>
        <v>2114</v>
      </c>
      <c r="M227" s="801">
        <v>41850</v>
      </c>
      <c r="N227" s="802">
        <v>42829</v>
      </c>
      <c r="O227" s="803">
        <f t="shared" ca="1" si="166"/>
        <v>305</v>
      </c>
      <c r="P227" s="804">
        <v>2</v>
      </c>
      <c r="Q227" s="805" t="s">
        <v>2366</v>
      </c>
      <c r="R227" s="806" t="s">
        <v>3020</v>
      </c>
      <c r="S227" s="807">
        <v>42903</v>
      </c>
      <c r="T227" s="798">
        <v>42952</v>
      </c>
      <c r="U227" s="798" t="str">
        <f t="shared" si="167"/>
        <v>-</v>
      </c>
      <c r="V227" s="804" t="str">
        <f t="shared" ca="1" si="168"/>
        <v>-</v>
      </c>
      <c r="W227" s="808">
        <v>2</v>
      </c>
      <c r="X227" s="794">
        <f t="shared" si="161"/>
        <v>123</v>
      </c>
      <c r="Y227" s="794">
        <v>1</v>
      </c>
      <c r="Z227" s="809" t="str">
        <f t="shared" ca="1" si="169"/>
        <v>-----</v>
      </c>
      <c r="AA227" s="810" t="str">
        <f t="shared" ca="1" si="170"/>
        <v>-----</v>
      </c>
      <c r="AB227" s="804">
        <v>1</v>
      </c>
      <c r="AC227" s="811" t="str">
        <f t="shared" ca="1" si="171"/>
        <v>-----</v>
      </c>
      <c r="AD227" s="798">
        <v>43030</v>
      </c>
      <c r="AE227" s="794" t="str">
        <f t="shared" ca="1" si="172"/>
        <v>-</v>
      </c>
      <c r="AF227" s="798" t="str">
        <f t="shared" si="173"/>
        <v>-</v>
      </c>
      <c r="AG227" s="812" t="str">
        <f t="shared" si="174"/>
        <v>---------</v>
      </c>
      <c r="AH227" s="807">
        <v>42982</v>
      </c>
      <c r="AI227" s="807">
        <f t="shared" si="175"/>
        <v>43142</v>
      </c>
      <c r="AJ227" s="807">
        <f t="shared" si="176"/>
        <v>43172</v>
      </c>
      <c r="AK227" s="813"/>
      <c r="AL227" s="807">
        <f t="shared" si="177"/>
        <v>43211</v>
      </c>
      <c r="AM227" s="807">
        <f t="shared" si="178"/>
        <v>43232</v>
      </c>
      <c r="AN227" s="814">
        <f t="shared" ca="1" si="179"/>
        <v>-98</v>
      </c>
      <c r="AO227" s="815">
        <v>1</v>
      </c>
      <c r="AP227" s="816" t="str">
        <f t="shared" ca="1" si="180"/>
        <v>-</v>
      </c>
      <c r="AQ227" s="817"/>
      <c r="AR227" s="794" t="str">
        <f t="shared" si="181"/>
        <v>-</v>
      </c>
      <c r="AS227" s="818"/>
      <c r="AT227" s="794" t="str">
        <f t="shared" si="182"/>
        <v>-</v>
      </c>
      <c r="AU227" s="819">
        <v>1</v>
      </c>
      <c r="AV227" s="820"/>
      <c r="AW227" s="821"/>
      <c r="AX227" s="821"/>
      <c r="AY227" s="969" t="str">
        <f t="shared" si="183"/>
        <v>-</v>
      </c>
      <c r="AZ227" s="966" t="str">
        <f t="shared" si="184"/>
        <v>-</v>
      </c>
      <c r="BA227" s="971" t="str">
        <f t="shared" si="185"/>
        <v>-</v>
      </c>
      <c r="BB227" s="975"/>
      <c r="BC227" s="821"/>
      <c r="BD227" s="821"/>
      <c r="BE227" s="963" t="str">
        <f t="shared" si="186"/>
        <v>-</v>
      </c>
      <c r="BF227" s="984"/>
      <c r="BG227" s="988"/>
      <c r="BH227" s="982"/>
      <c r="BI227" s="991"/>
      <c r="BJ227" s="991"/>
      <c r="BK227" s="993" t="str">
        <f t="shared" si="187"/>
        <v>-</v>
      </c>
      <c r="BL227" s="820">
        <v>42981</v>
      </c>
      <c r="BM227" s="821">
        <v>5</v>
      </c>
      <c r="BN227" s="822">
        <f t="shared" ca="1" si="188"/>
        <v>153</v>
      </c>
      <c r="BO227" s="823">
        <f t="shared" si="189"/>
        <v>65.36666666666666</v>
      </c>
      <c r="BP227" s="824"/>
      <c r="BQ227" s="821"/>
      <c r="BR227" s="822" t="str">
        <f t="shared" si="190"/>
        <v>-</v>
      </c>
      <c r="BS227" s="823" t="str">
        <f t="shared" si="191"/>
        <v>-</v>
      </c>
      <c r="BT227" s="825" t="str">
        <f t="shared" ca="1" si="192"/>
        <v>-</v>
      </c>
      <c r="BU227" s="826"/>
      <c r="BV227" s="827"/>
      <c r="BW227" s="828" t="str">
        <f t="shared" si="193"/>
        <v>Ж-Е НЕ ВАКЦ.</v>
      </c>
      <c r="BX227" s="829" t="str">
        <f t="shared" si="194"/>
        <v>-</v>
      </c>
      <c r="BY227" s="830" t="str">
        <f t="shared" ca="1" si="195"/>
        <v>-</v>
      </c>
      <c r="BZ227" s="831">
        <v>42887</v>
      </c>
      <c r="CA227" s="832">
        <v>5</v>
      </c>
      <c r="CB227" s="833">
        <f t="shared" ca="1" si="196"/>
        <v>247</v>
      </c>
      <c r="CC227" s="834" t="str">
        <f t="shared" ca="1" si="197"/>
        <v>-</v>
      </c>
      <c r="CD227" s="835">
        <f t="shared" si="198"/>
        <v>42908</v>
      </c>
      <c r="CE227" s="831">
        <v>42908</v>
      </c>
      <c r="CF227" s="832">
        <v>5</v>
      </c>
      <c r="CG227" s="833">
        <f t="shared" ca="1" si="199"/>
        <v>226</v>
      </c>
      <c r="CH227" s="836">
        <f t="shared" si="200"/>
        <v>0</v>
      </c>
      <c r="CI227" s="837" t="str">
        <f t="shared" si="201"/>
        <v>УСПЕШНО</v>
      </c>
      <c r="CJ227" s="838" t="str">
        <f t="shared" ca="1" si="202"/>
        <v>-</v>
      </c>
      <c r="CK227" s="831"/>
      <c r="CL227" s="832"/>
      <c r="CM227" s="833" t="str">
        <f t="shared" si="203"/>
        <v>-</v>
      </c>
      <c r="CN227" s="834" t="str">
        <f t="shared" si="204"/>
        <v>-</v>
      </c>
      <c r="CO227" s="830" t="str">
        <f t="shared" ca="1" si="205"/>
        <v>-</v>
      </c>
      <c r="CP227" s="839"/>
      <c r="CQ227" s="832"/>
      <c r="CR227" s="833" t="str">
        <f t="shared" si="206"/>
        <v>-</v>
      </c>
      <c r="CS227" s="833" t="str">
        <f t="shared" si="207"/>
        <v>-</v>
      </c>
      <c r="CT227" s="834" t="str">
        <f t="shared" si="208"/>
        <v>-</v>
      </c>
      <c r="CU227" s="835" t="str">
        <f t="shared" si="209"/>
        <v>-</v>
      </c>
      <c r="CV227" s="839"/>
      <c r="CW227" s="832"/>
      <c r="CX227" s="833" t="str">
        <f t="shared" si="210"/>
        <v>-</v>
      </c>
      <c r="CY227" s="840" t="str">
        <f t="shared" si="211"/>
        <v>-</v>
      </c>
      <c r="CZ227" s="833" t="str">
        <f t="shared" si="212"/>
        <v>-</v>
      </c>
      <c r="DA227" s="838" t="str">
        <f t="shared" ca="1" si="213"/>
        <v>-</v>
      </c>
      <c r="DB227" s="841"/>
      <c r="DC227" s="832"/>
    </row>
    <row r="228" spans="1:107" s="842" customFormat="1" ht="15.95" customHeight="1" x14ac:dyDescent="0.25">
      <c r="A228" s="790">
        <v>229</v>
      </c>
      <c r="B228" s="791">
        <f t="shared" ca="1" si="162"/>
        <v>43134</v>
      </c>
      <c r="C228" s="792" t="s">
        <v>613</v>
      </c>
      <c r="D228" s="793" t="s">
        <v>3202</v>
      </c>
      <c r="E228" s="794" t="s">
        <v>701</v>
      </c>
      <c r="F228" s="854" t="s">
        <v>826</v>
      </c>
      <c r="G228" s="796">
        <f>SUMIFS(МОЛОКО!L8:L6958,МОЛОКО!F8:F6958,"1572",МОЛОКО!L8:L6958,"&gt;0")</f>
        <v>16.399999999999999</v>
      </c>
      <c r="H228" s="797" t="s">
        <v>603</v>
      </c>
      <c r="I228" s="798">
        <v>41049</v>
      </c>
      <c r="J228" s="799">
        <f t="shared" ca="1" si="163"/>
        <v>5.7123287671232879</v>
      </c>
      <c r="K228" s="799">
        <f t="shared" ca="1" si="164"/>
        <v>69.5</v>
      </c>
      <c r="L228" s="800">
        <f t="shared" ca="1" si="165"/>
        <v>2085</v>
      </c>
      <c r="M228" s="801">
        <v>42072</v>
      </c>
      <c r="N228" s="802">
        <v>42559</v>
      </c>
      <c r="O228" s="803">
        <f t="shared" ca="1" si="166"/>
        <v>575</v>
      </c>
      <c r="P228" s="804">
        <v>2</v>
      </c>
      <c r="Q228" s="805" t="s">
        <v>2366</v>
      </c>
      <c r="R228" s="806" t="s">
        <v>1875</v>
      </c>
      <c r="S228" s="807">
        <v>42900</v>
      </c>
      <c r="T228" s="798">
        <v>42900</v>
      </c>
      <c r="U228" s="798" t="str">
        <f t="shared" si="167"/>
        <v>-</v>
      </c>
      <c r="V228" s="804" t="str">
        <f t="shared" ca="1" si="168"/>
        <v>-</v>
      </c>
      <c r="W228" s="808">
        <v>1</v>
      </c>
      <c r="X228" s="794">
        <f t="shared" si="161"/>
        <v>341</v>
      </c>
      <c r="Y228" s="794">
        <v>1</v>
      </c>
      <c r="Z228" s="809" t="str">
        <f t="shared" ca="1" si="169"/>
        <v>-----</v>
      </c>
      <c r="AA228" s="810" t="str">
        <f t="shared" ca="1" si="170"/>
        <v>-----</v>
      </c>
      <c r="AB228" s="804">
        <v>1</v>
      </c>
      <c r="AC228" s="811" t="str">
        <f t="shared" ca="1" si="171"/>
        <v>-----</v>
      </c>
      <c r="AD228" s="798"/>
      <c r="AE228" s="794" t="str">
        <f t="shared" ca="1" si="172"/>
        <v>-</v>
      </c>
      <c r="AF228" s="798" t="str">
        <f t="shared" si="173"/>
        <v>-</v>
      </c>
      <c r="AG228" s="812" t="str">
        <f t="shared" si="174"/>
        <v>---------</v>
      </c>
      <c r="AH228" s="807">
        <v>42964</v>
      </c>
      <c r="AI228" s="807">
        <f t="shared" si="175"/>
        <v>43090</v>
      </c>
      <c r="AJ228" s="807">
        <f t="shared" si="176"/>
        <v>43120</v>
      </c>
      <c r="AK228" s="813"/>
      <c r="AL228" s="807">
        <f t="shared" si="177"/>
        <v>43159</v>
      </c>
      <c r="AM228" s="807">
        <f t="shared" si="178"/>
        <v>43180</v>
      </c>
      <c r="AN228" s="814">
        <f t="shared" ca="1" si="179"/>
        <v>-46</v>
      </c>
      <c r="AO228" s="815">
        <v>1</v>
      </c>
      <c r="AP228" s="816" t="str">
        <f t="shared" ca="1" si="180"/>
        <v>-</v>
      </c>
      <c r="AQ228" s="817"/>
      <c r="AR228" s="794" t="str">
        <f t="shared" si="181"/>
        <v>-</v>
      </c>
      <c r="AS228" s="818"/>
      <c r="AT228" s="794" t="str">
        <f t="shared" si="182"/>
        <v>-</v>
      </c>
      <c r="AU228" s="819">
        <v>1</v>
      </c>
      <c r="AV228" s="820"/>
      <c r="AW228" s="821"/>
      <c r="AX228" s="821"/>
      <c r="AY228" s="969" t="str">
        <f t="shared" si="183"/>
        <v>-</v>
      </c>
      <c r="AZ228" s="966" t="str">
        <f t="shared" si="184"/>
        <v>-</v>
      </c>
      <c r="BA228" s="971" t="str">
        <f t="shared" si="185"/>
        <v>-</v>
      </c>
      <c r="BB228" s="975"/>
      <c r="BC228" s="821"/>
      <c r="BD228" s="821"/>
      <c r="BE228" s="963" t="str">
        <f t="shared" si="186"/>
        <v>-</v>
      </c>
      <c r="BF228" s="984"/>
      <c r="BG228" s="988"/>
      <c r="BH228" s="982"/>
      <c r="BI228" s="991"/>
      <c r="BJ228" s="991"/>
      <c r="BK228" s="993" t="str">
        <f t="shared" si="187"/>
        <v>-</v>
      </c>
      <c r="BL228" s="820">
        <v>42981</v>
      </c>
      <c r="BM228" s="821">
        <v>5</v>
      </c>
      <c r="BN228" s="822">
        <f t="shared" ca="1" si="188"/>
        <v>153</v>
      </c>
      <c r="BO228" s="823">
        <f t="shared" si="189"/>
        <v>64.400000000000006</v>
      </c>
      <c r="BP228" s="824"/>
      <c r="BQ228" s="821"/>
      <c r="BR228" s="822" t="str">
        <f t="shared" si="190"/>
        <v>-</v>
      </c>
      <c r="BS228" s="823" t="str">
        <f t="shared" si="191"/>
        <v>-</v>
      </c>
      <c r="BT228" s="825" t="str">
        <f t="shared" ca="1" si="192"/>
        <v>-</v>
      </c>
      <c r="BU228" s="826"/>
      <c r="BV228" s="827"/>
      <c r="BW228" s="828" t="str">
        <f t="shared" si="193"/>
        <v>Ж-Е НЕ ВАКЦ.</v>
      </c>
      <c r="BX228" s="829" t="str">
        <f t="shared" si="194"/>
        <v>-</v>
      </c>
      <c r="BY228" s="830" t="str">
        <f t="shared" ca="1" si="195"/>
        <v>-</v>
      </c>
      <c r="BZ228" s="831">
        <v>42887</v>
      </c>
      <c r="CA228" s="832">
        <v>5</v>
      </c>
      <c r="CB228" s="833">
        <f t="shared" ca="1" si="196"/>
        <v>247</v>
      </c>
      <c r="CC228" s="834" t="str">
        <f t="shared" ca="1" si="197"/>
        <v>-</v>
      </c>
      <c r="CD228" s="835">
        <f t="shared" si="198"/>
        <v>42908</v>
      </c>
      <c r="CE228" s="831">
        <v>42908</v>
      </c>
      <c r="CF228" s="832">
        <v>5</v>
      </c>
      <c r="CG228" s="833">
        <f t="shared" ca="1" si="199"/>
        <v>226</v>
      </c>
      <c r="CH228" s="836">
        <f t="shared" si="200"/>
        <v>0</v>
      </c>
      <c r="CI228" s="837" t="str">
        <f t="shared" si="201"/>
        <v>УСПЕШНО</v>
      </c>
      <c r="CJ228" s="838" t="str">
        <f t="shared" ca="1" si="202"/>
        <v>-</v>
      </c>
      <c r="CK228" s="831"/>
      <c r="CL228" s="832"/>
      <c r="CM228" s="833" t="str">
        <f t="shared" si="203"/>
        <v>-</v>
      </c>
      <c r="CN228" s="834" t="str">
        <f t="shared" si="204"/>
        <v>-</v>
      </c>
      <c r="CO228" s="830" t="str">
        <f t="shared" ca="1" si="205"/>
        <v>ТРЕБУЕТСЯ ВАКЦИНАЦИЯ</v>
      </c>
      <c r="CP228" s="839"/>
      <c r="CQ228" s="832"/>
      <c r="CR228" s="833" t="str">
        <f t="shared" si="206"/>
        <v>-</v>
      </c>
      <c r="CS228" s="833" t="str">
        <f t="shared" si="207"/>
        <v>-</v>
      </c>
      <c r="CT228" s="834" t="str">
        <f t="shared" si="208"/>
        <v>-</v>
      </c>
      <c r="CU228" s="835" t="str">
        <f t="shared" si="209"/>
        <v>-</v>
      </c>
      <c r="CV228" s="839"/>
      <c r="CW228" s="832"/>
      <c r="CX228" s="833" t="str">
        <f t="shared" si="210"/>
        <v>-</v>
      </c>
      <c r="CY228" s="840" t="str">
        <f t="shared" si="211"/>
        <v>-</v>
      </c>
      <c r="CZ228" s="833" t="str">
        <f t="shared" si="212"/>
        <v>-</v>
      </c>
      <c r="DA228" s="838" t="str">
        <f t="shared" ca="1" si="213"/>
        <v>-</v>
      </c>
      <c r="DB228" s="841"/>
      <c r="DC228" s="832"/>
    </row>
    <row r="229" spans="1:107" s="842" customFormat="1" ht="15.95" customHeight="1" x14ac:dyDescent="0.25">
      <c r="A229" s="790">
        <v>230</v>
      </c>
      <c r="B229" s="791">
        <f t="shared" ca="1" si="162"/>
        <v>43134</v>
      </c>
      <c r="C229" s="29" t="s">
        <v>613</v>
      </c>
      <c r="D229" s="59" t="s">
        <v>3202</v>
      </c>
      <c r="E229" s="794" t="s">
        <v>91</v>
      </c>
      <c r="F229" s="854" t="s">
        <v>291</v>
      </c>
      <c r="G229" s="796">
        <f>SUMIFS(МОЛОКО!L8:L6958,МОЛОКО!F8:F6958,"1643",МОЛОКО!L8:L6958,"&gt;0")</f>
        <v>17.600000000000001</v>
      </c>
      <c r="H229" s="797" t="s">
        <v>603</v>
      </c>
      <c r="I229" s="798">
        <v>41121</v>
      </c>
      <c r="J229" s="799">
        <f t="shared" ca="1" si="163"/>
        <v>5.515068493150685</v>
      </c>
      <c r="K229" s="799">
        <f t="shared" ca="1" si="164"/>
        <v>67.099999999999994</v>
      </c>
      <c r="L229" s="800">
        <f t="shared" ca="1" si="165"/>
        <v>2013</v>
      </c>
      <c r="M229" s="801">
        <v>42028</v>
      </c>
      <c r="N229" s="802">
        <v>42737</v>
      </c>
      <c r="O229" s="803">
        <f t="shared" ca="1" si="166"/>
        <v>397</v>
      </c>
      <c r="P229" s="804">
        <v>2</v>
      </c>
      <c r="Q229" s="805" t="s">
        <v>1451</v>
      </c>
      <c r="R229" s="806" t="s">
        <v>2664</v>
      </c>
      <c r="S229" s="807">
        <v>42796</v>
      </c>
      <c r="T229" s="798">
        <v>42842</v>
      </c>
      <c r="U229" s="798" t="str">
        <f t="shared" si="167"/>
        <v>-</v>
      </c>
      <c r="V229" s="804" t="str">
        <f t="shared" ca="1" si="168"/>
        <v>-</v>
      </c>
      <c r="W229" s="808">
        <v>2</v>
      </c>
      <c r="X229" s="794">
        <f t="shared" si="161"/>
        <v>105</v>
      </c>
      <c r="Y229" s="794">
        <v>1</v>
      </c>
      <c r="Z229" s="809" t="str">
        <f t="shared" ca="1" si="169"/>
        <v>-----</v>
      </c>
      <c r="AA229" s="810" t="str">
        <f t="shared" ca="1" si="170"/>
        <v>-----</v>
      </c>
      <c r="AB229" s="804">
        <v>1</v>
      </c>
      <c r="AC229" s="811" t="str">
        <f t="shared" ca="1" si="171"/>
        <v>-----</v>
      </c>
      <c r="AD229" s="798">
        <v>42932</v>
      </c>
      <c r="AE229" s="794" t="str">
        <f t="shared" ca="1" si="172"/>
        <v>-</v>
      </c>
      <c r="AF229" s="798" t="str">
        <f t="shared" si="173"/>
        <v>-</v>
      </c>
      <c r="AG229" s="812" t="str">
        <f t="shared" si="174"/>
        <v>---------</v>
      </c>
      <c r="AH229" s="807">
        <v>42877</v>
      </c>
      <c r="AI229" s="807">
        <f t="shared" si="175"/>
        <v>43032</v>
      </c>
      <c r="AJ229" s="807">
        <f t="shared" si="176"/>
        <v>43062</v>
      </c>
      <c r="AK229" s="813"/>
      <c r="AL229" s="807">
        <f t="shared" si="177"/>
        <v>43101</v>
      </c>
      <c r="AM229" s="807">
        <f t="shared" si="178"/>
        <v>43122</v>
      </c>
      <c r="AN229" s="814">
        <f t="shared" ca="1" si="179"/>
        <v>12</v>
      </c>
      <c r="AO229" s="815">
        <v>1</v>
      </c>
      <c r="AP229" s="816" t="str">
        <f t="shared" ca="1" si="180"/>
        <v>-</v>
      </c>
      <c r="AQ229" s="817"/>
      <c r="AR229" s="794" t="str">
        <f t="shared" si="181"/>
        <v>-</v>
      </c>
      <c r="AS229" s="818"/>
      <c r="AT229" s="794" t="str">
        <f t="shared" si="182"/>
        <v>-</v>
      </c>
      <c r="AU229" s="819">
        <v>1</v>
      </c>
      <c r="AV229" s="820"/>
      <c r="AW229" s="821"/>
      <c r="AX229" s="821"/>
      <c r="AY229" s="969" t="str">
        <f t="shared" si="183"/>
        <v>-</v>
      </c>
      <c r="AZ229" s="966" t="str">
        <f t="shared" si="184"/>
        <v>-</v>
      </c>
      <c r="BA229" s="971" t="str">
        <f t="shared" si="185"/>
        <v>-</v>
      </c>
      <c r="BB229" s="975"/>
      <c r="BC229" s="821"/>
      <c r="BD229" s="821"/>
      <c r="BE229" s="963" t="str">
        <f t="shared" si="186"/>
        <v>-</v>
      </c>
      <c r="BF229" s="984"/>
      <c r="BG229" s="988"/>
      <c r="BH229" s="982"/>
      <c r="BI229" s="991"/>
      <c r="BJ229" s="991"/>
      <c r="BK229" s="993" t="str">
        <f t="shared" si="187"/>
        <v>-</v>
      </c>
      <c r="BL229" s="820">
        <v>42981</v>
      </c>
      <c r="BM229" s="821">
        <v>5</v>
      </c>
      <c r="BN229" s="822">
        <f t="shared" ca="1" si="188"/>
        <v>153</v>
      </c>
      <c r="BO229" s="823">
        <f t="shared" si="189"/>
        <v>62</v>
      </c>
      <c r="BP229" s="824"/>
      <c r="BQ229" s="821"/>
      <c r="BR229" s="822" t="str">
        <f t="shared" si="190"/>
        <v>-</v>
      </c>
      <c r="BS229" s="823" t="str">
        <f t="shared" si="191"/>
        <v>-</v>
      </c>
      <c r="BT229" s="825" t="str">
        <f t="shared" ca="1" si="192"/>
        <v>-</v>
      </c>
      <c r="BU229" s="826"/>
      <c r="BV229" s="827"/>
      <c r="BW229" s="828" t="str">
        <f t="shared" si="193"/>
        <v>Ж-Е НЕ ВАКЦ.</v>
      </c>
      <c r="BX229" s="829" t="str">
        <f t="shared" si="194"/>
        <v>-</v>
      </c>
      <c r="BY229" s="830" t="str">
        <f t="shared" ca="1" si="195"/>
        <v>-</v>
      </c>
      <c r="BZ229" s="831">
        <v>42887</v>
      </c>
      <c r="CA229" s="832">
        <v>5</v>
      </c>
      <c r="CB229" s="833">
        <f t="shared" ca="1" si="196"/>
        <v>247</v>
      </c>
      <c r="CC229" s="834" t="str">
        <f t="shared" ca="1" si="197"/>
        <v>-</v>
      </c>
      <c r="CD229" s="835">
        <f t="shared" si="198"/>
        <v>42908</v>
      </c>
      <c r="CE229" s="831">
        <v>42908</v>
      </c>
      <c r="CF229" s="832">
        <v>5</v>
      </c>
      <c r="CG229" s="833">
        <f t="shared" ca="1" si="199"/>
        <v>226</v>
      </c>
      <c r="CH229" s="836">
        <f t="shared" si="200"/>
        <v>0</v>
      </c>
      <c r="CI229" s="837" t="str">
        <f t="shared" si="201"/>
        <v>УСПЕШНО</v>
      </c>
      <c r="CJ229" s="838" t="str">
        <f t="shared" ca="1" si="202"/>
        <v>-</v>
      </c>
      <c r="CK229" s="831"/>
      <c r="CL229" s="832"/>
      <c r="CM229" s="833" t="str">
        <f t="shared" si="203"/>
        <v>-</v>
      </c>
      <c r="CN229" s="834" t="str">
        <f t="shared" si="204"/>
        <v>-</v>
      </c>
      <c r="CO229" s="830" t="str">
        <f t="shared" ca="1" si="205"/>
        <v>ТРЕБУЕТСЯ ВАКЦИНАЦИЯ</v>
      </c>
      <c r="CP229" s="839"/>
      <c r="CQ229" s="832"/>
      <c r="CR229" s="833" t="str">
        <f t="shared" si="206"/>
        <v>-</v>
      </c>
      <c r="CS229" s="833" t="str">
        <f t="shared" si="207"/>
        <v>-</v>
      </c>
      <c r="CT229" s="834" t="str">
        <f t="shared" si="208"/>
        <v>-</v>
      </c>
      <c r="CU229" s="835" t="str">
        <f t="shared" si="209"/>
        <v>-</v>
      </c>
      <c r="CV229" s="839"/>
      <c r="CW229" s="832"/>
      <c r="CX229" s="833" t="str">
        <f t="shared" si="210"/>
        <v>-</v>
      </c>
      <c r="CY229" s="840" t="str">
        <f t="shared" si="211"/>
        <v>-</v>
      </c>
      <c r="CZ229" s="833" t="str">
        <f t="shared" si="212"/>
        <v>-</v>
      </c>
      <c r="DA229" s="838" t="str">
        <f t="shared" ca="1" si="213"/>
        <v>-</v>
      </c>
      <c r="DB229" s="841"/>
      <c r="DC229" s="832"/>
    </row>
    <row r="230" spans="1:107" s="842" customFormat="1" ht="15.95" customHeight="1" x14ac:dyDescent="0.25">
      <c r="A230" s="790">
        <v>231</v>
      </c>
      <c r="B230" s="791">
        <f t="shared" ca="1" si="162"/>
        <v>43134</v>
      </c>
      <c r="C230" s="792" t="s">
        <v>613</v>
      </c>
      <c r="D230" s="793" t="s">
        <v>3202</v>
      </c>
      <c r="E230" s="794" t="s">
        <v>241</v>
      </c>
      <c r="F230" s="854" t="s">
        <v>242</v>
      </c>
      <c r="G230" s="796">
        <f>SUMIFS(МОЛОКО!L8:L6958,МОЛОКО!F8:F6958,"1676",МОЛОКО!L8:L6958,"&gt;0")</f>
        <v>18</v>
      </c>
      <c r="H230" s="797" t="s">
        <v>603</v>
      </c>
      <c r="I230" s="798">
        <v>41159</v>
      </c>
      <c r="J230" s="799">
        <f t="shared" ca="1" si="163"/>
        <v>5.4109589041095889</v>
      </c>
      <c r="K230" s="799">
        <f t="shared" ca="1" si="164"/>
        <v>65.833333333333329</v>
      </c>
      <c r="L230" s="800">
        <f t="shared" ca="1" si="165"/>
        <v>1975</v>
      </c>
      <c r="M230" s="801">
        <v>41969</v>
      </c>
      <c r="N230" s="802">
        <v>42732</v>
      </c>
      <c r="O230" s="803">
        <f t="shared" ca="1" si="166"/>
        <v>402</v>
      </c>
      <c r="P230" s="804">
        <v>2</v>
      </c>
      <c r="Q230" s="805" t="s">
        <v>2366</v>
      </c>
      <c r="R230" s="806" t="s">
        <v>2966</v>
      </c>
      <c r="S230" s="807">
        <v>42789</v>
      </c>
      <c r="T230" s="855">
        <v>42940</v>
      </c>
      <c r="U230" s="798" t="str">
        <f t="shared" si="167"/>
        <v>-</v>
      </c>
      <c r="V230" s="804" t="str">
        <f t="shared" ca="1" si="168"/>
        <v>-</v>
      </c>
      <c r="W230" s="808">
        <v>4</v>
      </c>
      <c r="X230" s="794">
        <f t="shared" si="161"/>
        <v>208</v>
      </c>
      <c r="Y230" s="794">
        <v>1</v>
      </c>
      <c r="Z230" s="809" t="str">
        <f t="shared" ca="1" si="169"/>
        <v>-----</v>
      </c>
      <c r="AA230" s="810" t="str">
        <f t="shared" ca="1" si="170"/>
        <v>-----</v>
      </c>
      <c r="AB230" s="804">
        <v>1</v>
      </c>
      <c r="AC230" s="811" t="str">
        <f t="shared" ca="1" si="171"/>
        <v>-----</v>
      </c>
      <c r="AD230" s="798">
        <v>43014</v>
      </c>
      <c r="AE230" s="794" t="str">
        <f t="shared" ca="1" si="172"/>
        <v>-</v>
      </c>
      <c r="AF230" s="798" t="str">
        <f t="shared" si="173"/>
        <v>-</v>
      </c>
      <c r="AG230" s="812" t="str">
        <f t="shared" si="174"/>
        <v>---------</v>
      </c>
      <c r="AH230" s="807">
        <v>42972</v>
      </c>
      <c r="AI230" s="807">
        <f t="shared" si="175"/>
        <v>43130</v>
      </c>
      <c r="AJ230" s="807">
        <f t="shared" si="176"/>
        <v>43160</v>
      </c>
      <c r="AK230" s="813"/>
      <c r="AL230" s="807">
        <f t="shared" si="177"/>
        <v>43199</v>
      </c>
      <c r="AM230" s="807">
        <f t="shared" si="178"/>
        <v>43220</v>
      </c>
      <c r="AN230" s="814">
        <f t="shared" ca="1" si="179"/>
        <v>-86</v>
      </c>
      <c r="AO230" s="815">
        <v>1</v>
      </c>
      <c r="AP230" s="816" t="str">
        <f t="shared" ca="1" si="180"/>
        <v>-</v>
      </c>
      <c r="AQ230" s="817"/>
      <c r="AR230" s="794" t="str">
        <f t="shared" si="181"/>
        <v>-</v>
      </c>
      <c r="AS230" s="818"/>
      <c r="AT230" s="794" t="str">
        <f t="shared" si="182"/>
        <v>-</v>
      </c>
      <c r="AU230" s="819">
        <v>1</v>
      </c>
      <c r="AV230" s="820"/>
      <c r="AW230" s="821"/>
      <c r="AX230" s="821"/>
      <c r="AY230" s="969" t="str">
        <f t="shared" si="183"/>
        <v>-</v>
      </c>
      <c r="AZ230" s="966" t="str">
        <f t="shared" si="184"/>
        <v>-</v>
      </c>
      <c r="BA230" s="971" t="str">
        <f t="shared" si="185"/>
        <v>-</v>
      </c>
      <c r="BB230" s="975"/>
      <c r="BC230" s="821"/>
      <c r="BD230" s="821"/>
      <c r="BE230" s="963" t="str">
        <f t="shared" si="186"/>
        <v>-</v>
      </c>
      <c r="BF230" s="984"/>
      <c r="BG230" s="988"/>
      <c r="BH230" s="982"/>
      <c r="BI230" s="991"/>
      <c r="BJ230" s="991"/>
      <c r="BK230" s="993" t="str">
        <f t="shared" si="187"/>
        <v>-</v>
      </c>
      <c r="BL230" s="820">
        <v>42981</v>
      </c>
      <c r="BM230" s="821">
        <v>5</v>
      </c>
      <c r="BN230" s="822">
        <f t="shared" ca="1" si="188"/>
        <v>153</v>
      </c>
      <c r="BO230" s="823">
        <f t="shared" si="189"/>
        <v>60.733333333333334</v>
      </c>
      <c r="BP230" s="824"/>
      <c r="BQ230" s="821"/>
      <c r="BR230" s="822" t="str">
        <f t="shared" si="190"/>
        <v>-</v>
      </c>
      <c r="BS230" s="823" t="str">
        <f t="shared" si="191"/>
        <v>-</v>
      </c>
      <c r="BT230" s="825" t="str">
        <f t="shared" ca="1" si="192"/>
        <v>-</v>
      </c>
      <c r="BU230" s="826"/>
      <c r="BV230" s="827"/>
      <c r="BW230" s="828" t="str">
        <f t="shared" si="193"/>
        <v>Ж-Е НЕ ВАКЦ.</v>
      </c>
      <c r="BX230" s="829" t="str">
        <f t="shared" si="194"/>
        <v>-</v>
      </c>
      <c r="BY230" s="830" t="str">
        <f t="shared" ca="1" si="195"/>
        <v>-</v>
      </c>
      <c r="BZ230" s="831">
        <v>42887</v>
      </c>
      <c r="CA230" s="832">
        <v>5</v>
      </c>
      <c r="CB230" s="833">
        <f t="shared" ca="1" si="196"/>
        <v>247</v>
      </c>
      <c r="CC230" s="834" t="str">
        <f t="shared" ca="1" si="197"/>
        <v>-</v>
      </c>
      <c r="CD230" s="835">
        <f t="shared" si="198"/>
        <v>42908</v>
      </c>
      <c r="CE230" s="831">
        <v>42908</v>
      </c>
      <c r="CF230" s="832">
        <v>5</v>
      </c>
      <c r="CG230" s="833">
        <f t="shared" ca="1" si="199"/>
        <v>226</v>
      </c>
      <c r="CH230" s="836">
        <f t="shared" si="200"/>
        <v>0</v>
      </c>
      <c r="CI230" s="837" t="str">
        <f t="shared" si="201"/>
        <v>УСПЕШНО</v>
      </c>
      <c r="CJ230" s="838" t="str">
        <f t="shared" ca="1" si="202"/>
        <v>-</v>
      </c>
      <c r="CK230" s="831"/>
      <c r="CL230" s="832"/>
      <c r="CM230" s="833" t="str">
        <f t="shared" si="203"/>
        <v>-</v>
      </c>
      <c r="CN230" s="834" t="str">
        <f t="shared" si="204"/>
        <v>-</v>
      </c>
      <c r="CO230" s="830" t="str">
        <f t="shared" ca="1" si="205"/>
        <v>-</v>
      </c>
      <c r="CP230" s="839"/>
      <c r="CQ230" s="832"/>
      <c r="CR230" s="833" t="str">
        <f t="shared" si="206"/>
        <v>-</v>
      </c>
      <c r="CS230" s="833" t="str">
        <f t="shared" si="207"/>
        <v>-</v>
      </c>
      <c r="CT230" s="834" t="str">
        <f t="shared" si="208"/>
        <v>-</v>
      </c>
      <c r="CU230" s="835" t="str">
        <f t="shared" si="209"/>
        <v>-</v>
      </c>
      <c r="CV230" s="839"/>
      <c r="CW230" s="832"/>
      <c r="CX230" s="833" t="str">
        <f t="shared" si="210"/>
        <v>-</v>
      </c>
      <c r="CY230" s="840" t="str">
        <f t="shared" si="211"/>
        <v>-</v>
      </c>
      <c r="CZ230" s="833" t="str">
        <f t="shared" si="212"/>
        <v>-</v>
      </c>
      <c r="DA230" s="838" t="str">
        <f t="shared" ca="1" si="213"/>
        <v>-</v>
      </c>
      <c r="DB230" s="841"/>
      <c r="DC230" s="832"/>
    </row>
    <row r="231" spans="1:107" s="842" customFormat="1" ht="15.95" customHeight="1" x14ac:dyDescent="0.25">
      <c r="A231" s="790">
        <v>232</v>
      </c>
      <c r="B231" s="791">
        <f t="shared" ca="1" si="162"/>
        <v>43134</v>
      </c>
      <c r="C231" s="792" t="s">
        <v>613</v>
      </c>
      <c r="D231" s="793" t="s">
        <v>3202</v>
      </c>
      <c r="E231" s="794" t="s">
        <v>1421</v>
      </c>
      <c r="F231" s="854" t="s">
        <v>1422</v>
      </c>
      <c r="G231" s="796">
        <f>SUMIFS(МОЛОКО!L8:L6958,МОЛОКО!F8:F6958,"1696",МОЛОКО!L8:L6958,"&gt;0")</f>
        <v>18</v>
      </c>
      <c r="H231" s="797" t="s">
        <v>603</v>
      </c>
      <c r="I231" s="798">
        <v>41177</v>
      </c>
      <c r="J231" s="799">
        <f t="shared" ca="1" si="163"/>
        <v>5.3616438356164382</v>
      </c>
      <c r="K231" s="799">
        <f t="shared" ca="1" si="164"/>
        <v>65.233333333333334</v>
      </c>
      <c r="L231" s="800">
        <f t="shared" ca="1" si="165"/>
        <v>1957</v>
      </c>
      <c r="M231" s="801">
        <v>41756</v>
      </c>
      <c r="N231" s="802">
        <v>42829</v>
      </c>
      <c r="O231" s="803">
        <f t="shared" ca="1" si="166"/>
        <v>305</v>
      </c>
      <c r="P231" s="804">
        <v>4</v>
      </c>
      <c r="Q231" s="805" t="s">
        <v>1451</v>
      </c>
      <c r="R231" s="806" t="s">
        <v>2966</v>
      </c>
      <c r="S231" s="807">
        <v>42903</v>
      </c>
      <c r="T231" s="798">
        <v>42987</v>
      </c>
      <c r="U231" s="798" t="str">
        <f t="shared" si="167"/>
        <v>-</v>
      </c>
      <c r="V231" s="804" t="str">
        <f t="shared" ca="1" si="168"/>
        <v>-</v>
      </c>
      <c r="W231" s="808">
        <v>4</v>
      </c>
      <c r="X231" s="794">
        <f t="shared" si="161"/>
        <v>158</v>
      </c>
      <c r="Y231" s="794">
        <v>1</v>
      </c>
      <c r="Z231" s="809" t="str">
        <f t="shared" ca="1" si="169"/>
        <v>-----</v>
      </c>
      <c r="AA231" s="810" t="str">
        <f t="shared" ca="1" si="170"/>
        <v>-----</v>
      </c>
      <c r="AB231" s="804">
        <v>1</v>
      </c>
      <c r="AC231" s="811" t="str">
        <f t="shared" ca="1" si="171"/>
        <v>-----</v>
      </c>
      <c r="AD231" s="798">
        <v>43055</v>
      </c>
      <c r="AE231" s="794" t="str">
        <f t="shared" ca="1" si="172"/>
        <v>-</v>
      </c>
      <c r="AF231" s="798" t="str">
        <f t="shared" si="173"/>
        <v>-</v>
      </c>
      <c r="AG231" s="812" t="str">
        <f t="shared" si="174"/>
        <v>---------</v>
      </c>
      <c r="AH231" s="807">
        <v>43017</v>
      </c>
      <c r="AI231" s="807">
        <f t="shared" si="175"/>
        <v>43177</v>
      </c>
      <c r="AJ231" s="807">
        <f t="shared" si="176"/>
        <v>43207</v>
      </c>
      <c r="AK231" s="813"/>
      <c r="AL231" s="807">
        <f t="shared" si="177"/>
        <v>43246</v>
      </c>
      <c r="AM231" s="807">
        <f t="shared" si="178"/>
        <v>43267</v>
      </c>
      <c r="AN231" s="814">
        <f t="shared" ca="1" si="179"/>
        <v>-133</v>
      </c>
      <c r="AO231" s="815">
        <v>1</v>
      </c>
      <c r="AP231" s="816" t="str">
        <f t="shared" ca="1" si="180"/>
        <v>-</v>
      </c>
      <c r="AQ231" s="817"/>
      <c r="AR231" s="794" t="str">
        <f t="shared" si="181"/>
        <v>-</v>
      </c>
      <c r="AS231" s="818"/>
      <c r="AT231" s="794" t="str">
        <f t="shared" si="182"/>
        <v>-</v>
      </c>
      <c r="AU231" s="819">
        <v>1</v>
      </c>
      <c r="AV231" s="820"/>
      <c r="AW231" s="821"/>
      <c r="AX231" s="821"/>
      <c r="AY231" s="969" t="str">
        <f t="shared" si="183"/>
        <v>-</v>
      </c>
      <c r="AZ231" s="966" t="str">
        <f t="shared" si="184"/>
        <v>-</v>
      </c>
      <c r="BA231" s="971" t="str">
        <f t="shared" si="185"/>
        <v>-</v>
      </c>
      <c r="BB231" s="975"/>
      <c r="BC231" s="821"/>
      <c r="BD231" s="821"/>
      <c r="BE231" s="963" t="str">
        <f t="shared" si="186"/>
        <v>-</v>
      </c>
      <c r="BF231" s="984"/>
      <c r="BG231" s="988"/>
      <c r="BH231" s="982"/>
      <c r="BI231" s="991"/>
      <c r="BJ231" s="991"/>
      <c r="BK231" s="993" t="str">
        <f t="shared" si="187"/>
        <v>-</v>
      </c>
      <c r="BL231" s="820">
        <v>42979</v>
      </c>
      <c r="BM231" s="821">
        <v>5</v>
      </c>
      <c r="BN231" s="822">
        <f t="shared" ca="1" si="188"/>
        <v>155</v>
      </c>
      <c r="BO231" s="823">
        <f t="shared" si="189"/>
        <v>60.06666666666667</v>
      </c>
      <c r="BP231" s="824"/>
      <c r="BQ231" s="821"/>
      <c r="BR231" s="822" t="str">
        <f t="shared" si="190"/>
        <v>-</v>
      </c>
      <c r="BS231" s="823" t="str">
        <f t="shared" si="191"/>
        <v>-</v>
      </c>
      <c r="BT231" s="825" t="str">
        <f t="shared" ca="1" si="192"/>
        <v>-</v>
      </c>
      <c r="BU231" s="826"/>
      <c r="BV231" s="827"/>
      <c r="BW231" s="828" t="str">
        <f t="shared" si="193"/>
        <v>Ж-Е НЕ ВАКЦ.</v>
      </c>
      <c r="BX231" s="829" t="str">
        <f t="shared" si="194"/>
        <v>-</v>
      </c>
      <c r="BY231" s="830" t="str">
        <f t="shared" ca="1" si="195"/>
        <v>-</v>
      </c>
      <c r="BZ231" s="831">
        <v>42887</v>
      </c>
      <c r="CA231" s="832">
        <v>5</v>
      </c>
      <c r="CB231" s="833">
        <f t="shared" ca="1" si="196"/>
        <v>247</v>
      </c>
      <c r="CC231" s="834" t="str">
        <f t="shared" ca="1" si="197"/>
        <v>-</v>
      </c>
      <c r="CD231" s="835">
        <f t="shared" si="198"/>
        <v>42908</v>
      </c>
      <c r="CE231" s="831">
        <v>42908</v>
      </c>
      <c r="CF231" s="832">
        <v>5</v>
      </c>
      <c r="CG231" s="833">
        <f t="shared" ca="1" si="199"/>
        <v>226</v>
      </c>
      <c r="CH231" s="836">
        <f t="shared" si="200"/>
        <v>0</v>
      </c>
      <c r="CI231" s="837" t="str">
        <f t="shared" si="201"/>
        <v>УСПЕШНО</v>
      </c>
      <c r="CJ231" s="838" t="str">
        <f t="shared" ca="1" si="202"/>
        <v>-</v>
      </c>
      <c r="CK231" s="831"/>
      <c r="CL231" s="832"/>
      <c r="CM231" s="833" t="str">
        <f t="shared" si="203"/>
        <v>-</v>
      </c>
      <c r="CN231" s="834" t="str">
        <f t="shared" si="204"/>
        <v>-</v>
      </c>
      <c r="CO231" s="830" t="str">
        <f t="shared" ca="1" si="205"/>
        <v>-</v>
      </c>
      <c r="CP231" s="839"/>
      <c r="CQ231" s="832"/>
      <c r="CR231" s="833" t="str">
        <f t="shared" si="206"/>
        <v>-</v>
      </c>
      <c r="CS231" s="833" t="str">
        <f t="shared" si="207"/>
        <v>-</v>
      </c>
      <c r="CT231" s="834" t="str">
        <f t="shared" si="208"/>
        <v>-</v>
      </c>
      <c r="CU231" s="835" t="str">
        <f t="shared" si="209"/>
        <v>-</v>
      </c>
      <c r="CV231" s="839"/>
      <c r="CW231" s="832"/>
      <c r="CX231" s="833" t="str">
        <f t="shared" si="210"/>
        <v>-</v>
      </c>
      <c r="CY231" s="840" t="str">
        <f t="shared" si="211"/>
        <v>-</v>
      </c>
      <c r="CZ231" s="833" t="str">
        <f t="shared" si="212"/>
        <v>-</v>
      </c>
      <c r="DA231" s="838" t="str">
        <f t="shared" ca="1" si="213"/>
        <v>-</v>
      </c>
      <c r="DB231" s="841"/>
      <c r="DC231" s="832"/>
    </row>
    <row r="232" spans="1:107" s="842" customFormat="1" ht="15.95" customHeight="1" x14ac:dyDescent="0.25">
      <c r="A232" s="790">
        <v>233</v>
      </c>
      <c r="B232" s="791">
        <f t="shared" ca="1" si="162"/>
        <v>43134</v>
      </c>
      <c r="C232" s="792" t="s">
        <v>613</v>
      </c>
      <c r="D232" s="793" t="s">
        <v>3202</v>
      </c>
      <c r="E232" s="794" t="s">
        <v>631</v>
      </c>
      <c r="F232" s="854" t="s">
        <v>632</v>
      </c>
      <c r="G232" s="796">
        <f>SUMIFS(МОЛОКО!L8:L6958,МОЛОКО!F8:F6958,"1842",МОЛОКО!L8:L6958,"&gt;0")</f>
        <v>19</v>
      </c>
      <c r="H232" s="797" t="s">
        <v>603</v>
      </c>
      <c r="I232" s="798">
        <v>41387</v>
      </c>
      <c r="J232" s="799">
        <f t="shared" ca="1" si="163"/>
        <v>4.7863013698630139</v>
      </c>
      <c r="K232" s="799">
        <f t="shared" ca="1" si="164"/>
        <v>58.233333333333334</v>
      </c>
      <c r="L232" s="800">
        <f t="shared" ca="1" si="165"/>
        <v>1747</v>
      </c>
      <c r="M232" s="801">
        <v>42384</v>
      </c>
      <c r="N232" s="802">
        <v>42830</v>
      </c>
      <c r="O232" s="803">
        <f t="shared" ca="1" si="166"/>
        <v>304</v>
      </c>
      <c r="P232" s="804">
        <v>2</v>
      </c>
      <c r="Q232" s="805" t="s">
        <v>2366</v>
      </c>
      <c r="R232" s="806" t="s">
        <v>2269</v>
      </c>
      <c r="S232" s="807">
        <v>42894</v>
      </c>
      <c r="T232" s="798">
        <v>42935</v>
      </c>
      <c r="U232" s="798" t="str">
        <f t="shared" si="167"/>
        <v>-</v>
      </c>
      <c r="V232" s="804" t="str">
        <f t="shared" ca="1" si="168"/>
        <v>-</v>
      </c>
      <c r="W232" s="808">
        <v>2</v>
      </c>
      <c r="X232" s="794">
        <f t="shared" si="161"/>
        <v>105</v>
      </c>
      <c r="Y232" s="794">
        <v>1</v>
      </c>
      <c r="Z232" s="809" t="str">
        <f t="shared" ca="1" si="169"/>
        <v>-----</v>
      </c>
      <c r="AA232" s="810" t="str">
        <f t="shared" ca="1" si="170"/>
        <v>-----</v>
      </c>
      <c r="AB232" s="804">
        <v>1</v>
      </c>
      <c r="AC232" s="811" t="str">
        <f t="shared" ca="1" si="171"/>
        <v>-----</v>
      </c>
      <c r="AD232" s="798">
        <v>43043</v>
      </c>
      <c r="AE232" s="794" t="str">
        <f t="shared" ca="1" si="172"/>
        <v>-</v>
      </c>
      <c r="AF232" s="798" t="str">
        <f t="shared" si="173"/>
        <v>-</v>
      </c>
      <c r="AG232" s="812" t="str">
        <f t="shared" si="174"/>
        <v>---------</v>
      </c>
      <c r="AH232" s="807">
        <v>42968</v>
      </c>
      <c r="AI232" s="807">
        <f t="shared" si="175"/>
        <v>43125</v>
      </c>
      <c r="AJ232" s="807">
        <f t="shared" si="176"/>
        <v>43155</v>
      </c>
      <c r="AK232" s="813"/>
      <c r="AL232" s="807">
        <f t="shared" si="177"/>
        <v>43194</v>
      </c>
      <c r="AM232" s="807">
        <f t="shared" si="178"/>
        <v>43215</v>
      </c>
      <c r="AN232" s="814">
        <f t="shared" ca="1" si="179"/>
        <v>-81</v>
      </c>
      <c r="AO232" s="815">
        <v>1</v>
      </c>
      <c r="AP232" s="816" t="str">
        <f t="shared" ca="1" si="180"/>
        <v>-</v>
      </c>
      <c r="AQ232" s="817"/>
      <c r="AR232" s="794" t="str">
        <f t="shared" si="181"/>
        <v>-</v>
      </c>
      <c r="AS232" s="818"/>
      <c r="AT232" s="794" t="str">
        <f t="shared" si="182"/>
        <v>-</v>
      </c>
      <c r="AU232" s="819">
        <v>1</v>
      </c>
      <c r="AV232" s="820"/>
      <c r="AW232" s="821"/>
      <c r="AX232" s="821"/>
      <c r="AY232" s="969" t="str">
        <f t="shared" si="183"/>
        <v>-</v>
      </c>
      <c r="AZ232" s="966" t="str">
        <f t="shared" si="184"/>
        <v>-</v>
      </c>
      <c r="BA232" s="971" t="str">
        <f t="shared" si="185"/>
        <v>-</v>
      </c>
      <c r="BB232" s="975"/>
      <c r="BC232" s="821"/>
      <c r="BD232" s="821"/>
      <c r="BE232" s="963" t="str">
        <f t="shared" si="186"/>
        <v>-</v>
      </c>
      <c r="BF232" s="984"/>
      <c r="BG232" s="988"/>
      <c r="BH232" s="982"/>
      <c r="BI232" s="991"/>
      <c r="BJ232" s="991"/>
      <c r="BK232" s="993" t="str">
        <f t="shared" si="187"/>
        <v>-</v>
      </c>
      <c r="BL232" s="820">
        <v>42981</v>
      </c>
      <c r="BM232" s="821">
        <v>5</v>
      </c>
      <c r="BN232" s="822">
        <f t="shared" ca="1" si="188"/>
        <v>153</v>
      </c>
      <c r="BO232" s="823">
        <f t="shared" si="189"/>
        <v>53.133333333333333</v>
      </c>
      <c r="BP232" s="824"/>
      <c r="BQ232" s="821"/>
      <c r="BR232" s="822" t="str">
        <f t="shared" si="190"/>
        <v>-</v>
      </c>
      <c r="BS232" s="823" t="str">
        <f t="shared" si="191"/>
        <v>-</v>
      </c>
      <c r="BT232" s="825" t="str">
        <f t="shared" ca="1" si="192"/>
        <v>-</v>
      </c>
      <c r="BU232" s="826"/>
      <c r="BV232" s="827"/>
      <c r="BW232" s="828" t="str">
        <f t="shared" si="193"/>
        <v>Ж-Е НЕ ВАКЦ.</v>
      </c>
      <c r="BX232" s="829" t="str">
        <f t="shared" si="194"/>
        <v>-</v>
      </c>
      <c r="BY232" s="830" t="str">
        <f t="shared" ca="1" si="195"/>
        <v>-</v>
      </c>
      <c r="BZ232" s="831">
        <v>42887</v>
      </c>
      <c r="CA232" s="832">
        <v>5</v>
      </c>
      <c r="CB232" s="833">
        <f t="shared" ca="1" si="196"/>
        <v>247</v>
      </c>
      <c r="CC232" s="834" t="str">
        <f t="shared" ca="1" si="197"/>
        <v>-</v>
      </c>
      <c r="CD232" s="835">
        <f t="shared" si="198"/>
        <v>42908</v>
      </c>
      <c r="CE232" s="831">
        <v>42908</v>
      </c>
      <c r="CF232" s="832">
        <v>5</v>
      </c>
      <c r="CG232" s="833">
        <f t="shared" ca="1" si="199"/>
        <v>226</v>
      </c>
      <c r="CH232" s="836">
        <f t="shared" si="200"/>
        <v>0</v>
      </c>
      <c r="CI232" s="837" t="str">
        <f t="shared" si="201"/>
        <v>УСПЕШНО</v>
      </c>
      <c r="CJ232" s="838" t="str">
        <f t="shared" ca="1" si="202"/>
        <v>-</v>
      </c>
      <c r="CK232" s="831"/>
      <c r="CL232" s="832"/>
      <c r="CM232" s="833" t="str">
        <f t="shared" si="203"/>
        <v>-</v>
      </c>
      <c r="CN232" s="834" t="str">
        <f t="shared" si="204"/>
        <v>-</v>
      </c>
      <c r="CO232" s="830" t="str">
        <f t="shared" ca="1" si="205"/>
        <v>-</v>
      </c>
      <c r="CP232" s="839"/>
      <c r="CQ232" s="832"/>
      <c r="CR232" s="833" t="str">
        <f t="shared" si="206"/>
        <v>-</v>
      </c>
      <c r="CS232" s="833" t="str">
        <f t="shared" si="207"/>
        <v>-</v>
      </c>
      <c r="CT232" s="834" t="str">
        <f t="shared" si="208"/>
        <v>-</v>
      </c>
      <c r="CU232" s="835" t="str">
        <f t="shared" si="209"/>
        <v>-</v>
      </c>
      <c r="CV232" s="839"/>
      <c r="CW232" s="832"/>
      <c r="CX232" s="833" t="str">
        <f t="shared" si="210"/>
        <v>-</v>
      </c>
      <c r="CY232" s="840" t="str">
        <f t="shared" si="211"/>
        <v>-</v>
      </c>
      <c r="CZ232" s="833" t="str">
        <f t="shared" si="212"/>
        <v>-</v>
      </c>
      <c r="DA232" s="838" t="str">
        <f t="shared" ca="1" si="213"/>
        <v>-</v>
      </c>
      <c r="DB232" s="841"/>
      <c r="DC232" s="832"/>
    </row>
    <row r="233" spans="1:107" s="842" customFormat="1" ht="15.95" customHeight="1" x14ac:dyDescent="0.25">
      <c r="A233" s="790">
        <v>234</v>
      </c>
      <c r="B233" s="791">
        <f t="shared" ca="1" si="162"/>
        <v>43134</v>
      </c>
      <c r="C233" s="792" t="s">
        <v>613</v>
      </c>
      <c r="D233" s="793" t="s">
        <v>3202</v>
      </c>
      <c r="E233" s="794" t="s">
        <v>501</v>
      </c>
      <c r="F233" s="854" t="s">
        <v>502</v>
      </c>
      <c r="G233" s="796">
        <f>SUMIFS(МОЛОКО!L8:L6958,МОЛОКО!F8:F6958,"1936",МОЛОКО!L8:L6958,"&gt;0")</f>
        <v>8.4</v>
      </c>
      <c r="H233" s="797" t="s">
        <v>603</v>
      </c>
      <c r="I233" s="798">
        <v>41511</v>
      </c>
      <c r="J233" s="799">
        <f t="shared" ca="1" si="163"/>
        <v>4.4465753424657537</v>
      </c>
      <c r="K233" s="799">
        <f t="shared" ca="1" si="164"/>
        <v>54.1</v>
      </c>
      <c r="L233" s="800">
        <f t="shared" ca="1" si="165"/>
        <v>1623</v>
      </c>
      <c r="M233" s="801">
        <v>42298</v>
      </c>
      <c r="N233" s="802">
        <v>42809</v>
      </c>
      <c r="O233" s="803">
        <f t="shared" ca="1" si="166"/>
        <v>325</v>
      </c>
      <c r="P233" s="804">
        <v>2</v>
      </c>
      <c r="Q233" s="805" t="s">
        <v>1451</v>
      </c>
      <c r="R233" s="806" t="s">
        <v>2664</v>
      </c>
      <c r="S233" s="807">
        <v>42873</v>
      </c>
      <c r="T233" s="798">
        <v>42873</v>
      </c>
      <c r="U233" s="798" t="str">
        <f t="shared" si="167"/>
        <v>-</v>
      </c>
      <c r="V233" s="804" t="str">
        <f t="shared" ca="1" si="168"/>
        <v>-</v>
      </c>
      <c r="W233" s="808">
        <v>1</v>
      </c>
      <c r="X233" s="794">
        <f t="shared" si="161"/>
        <v>64</v>
      </c>
      <c r="Y233" s="794">
        <v>1</v>
      </c>
      <c r="Z233" s="809" t="str">
        <f t="shared" ca="1" si="169"/>
        <v>-----</v>
      </c>
      <c r="AA233" s="810" t="str">
        <f t="shared" ca="1" si="170"/>
        <v>-----</v>
      </c>
      <c r="AB233" s="804">
        <v>1</v>
      </c>
      <c r="AC233" s="811" t="str">
        <f t="shared" ca="1" si="171"/>
        <v>-----</v>
      </c>
      <c r="AD233" s="798">
        <v>42930</v>
      </c>
      <c r="AE233" s="794" t="str">
        <f t="shared" ca="1" si="172"/>
        <v>-</v>
      </c>
      <c r="AF233" s="798" t="str">
        <f t="shared" si="173"/>
        <v>-</v>
      </c>
      <c r="AG233" s="812" t="str">
        <f t="shared" si="174"/>
        <v>---------</v>
      </c>
      <c r="AH233" s="807">
        <v>42908</v>
      </c>
      <c r="AI233" s="807">
        <f t="shared" si="175"/>
        <v>43063</v>
      </c>
      <c r="AJ233" s="807">
        <f t="shared" si="176"/>
        <v>43093</v>
      </c>
      <c r="AK233" s="813"/>
      <c r="AL233" s="807">
        <f t="shared" si="177"/>
        <v>43132</v>
      </c>
      <c r="AM233" s="807">
        <f t="shared" si="178"/>
        <v>43153</v>
      </c>
      <c r="AN233" s="814">
        <f t="shared" ca="1" si="179"/>
        <v>-19</v>
      </c>
      <c r="AO233" s="815">
        <v>1</v>
      </c>
      <c r="AP233" s="816" t="str">
        <f t="shared" ca="1" si="180"/>
        <v>-</v>
      </c>
      <c r="AQ233" s="817"/>
      <c r="AR233" s="794" t="str">
        <f t="shared" si="181"/>
        <v>-</v>
      </c>
      <c r="AS233" s="818"/>
      <c r="AT233" s="794" t="str">
        <f t="shared" si="182"/>
        <v>-</v>
      </c>
      <c r="AU233" s="819">
        <v>1</v>
      </c>
      <c r="AV233" s="820"/>
      <c r="AW233" s="821"/>
      <c r="AX233" s="821"/>
      <c r="AY233" s="969" t="str">
        <f t="shared" si="183"/>
        <v>-</v>
      </c>
      <c r="AZ233" s="966" t="str">
        <f t="shared" si="184"/>
        <v>-</v>
      </c>
      <c r="BA233" s="971" t="str">
        <f t="shared" si="185"/>
        <v>-</v>
      </c>
      <c r="BB233" s="975"/>
      <c r="BC233" s="821"/>
      <c r="BD233" s="821"/>
      <c r="BE233" s="963" t="str">
        <f t="shared" si="186"/>
        <v>-</v>
      </c>
      <c r="BF233" s="984"/>
      <c r="BG233" s="988"/>
      <c r="BH233" s="982"/>
      <c r="BI233" s="991"/>
      <c r="BJ233" s="991"/>
      <c r="BK233" s="993" t="str">
        <f t="shared" si="187"/>
        <v>-</v>
      </c>
      <c r="BL233" s="820">
        <v>42981</v>
      </c>
      <c r="BM233" s="821">
        <v>5</v>
      </c>
      <c r="BN233" s="822">
        <f t="shared" ca="1" si="188"/>
        <v>153</v>
      </c>
      <c r="BO233" s="823">
        <f t="shared" si="189"/>
        <v>49</v>
      </c>
      <c r="BP233" s="824"/>
      <c r="BQ233" s="821"/>
      <c r="BR233" s="822" t="str">
        <f t="shared" si="190"/>
        <v>-</v>
      </c>
      <c r="BS233" s="823" t="str">
        <f t="shared" si="191"/>
        <v>-</v>
      </c>
      <c r="BT233" s="825" t="str">
        <f t="shared" ca="1" si="192"/>
        <v>-</v>
      </c>
      <c r="BU233" s="826"/>
      <c r="BV233" s="827"/>
      <c r="BW233" s="828" t="str">
        <f t="shared" si="193"/>
        <v>Ж-Е НЕ ВАКЦ.</v>
      </c>
      <c r="BX233" s="829" t="str">
        <f t="shared" si="194"/>
        <v>-</v>
      </c>
      <c r="BY233" s="830" t="str">
        <f t="shared" ca="1" si="195"/>
        <v>-</v>
      </c>
      <c r="BZ233" s="831">
        <v>42887</v>
      </c>
      <c r="CA233" s="832">
        <v>5</v>
      </c>
      <c r="CB233" s="833">
        <f t="shared" ca="1" si="196"/>
        <v>247</v>
      </c>
      <c r="CC233" s="834" t="str">
        <f t="shared" ca="1" si="197"/>
        <v>-</v>
      </c>
      <c r="CD233" s="835">
        <f t="shared" si="198"/>
        <v>42908</v>
      </c>
      <c r="CE233" s="831">
        <v>42908</v>
      </c>
      <c r="CF233" s="832">
        <v>5</v>
      </c>
      <c r="CG233" s="833">
        <f t="shared" ca="1" si="199"/>
        <v>226</v>
      </c>
      <c r="CH233" s="836">
        <f t="shared" si="200"/>
        <v>0</v>
      </c>
      <c r="CI233" s="837" t="str">
        <f t="shared" si="201"/>
        <v>УСПЕШНО</v>
      </c>
      <c r="CJ233" s="838" t="str">
        <f t="shared" ca="1" si="202"/>
        <v>-</v>
      </c>
      <c r="CK233" s="831"/>
      <c r="CL233" s="832"/>
      <c r="CM233" s="833" t="str">
        <f t="shared" si="203"/>
        <v>-</v>
      </c>
      <c r="CN233" s="834" t="str">
        <f t="shared" si="204"/>
        <v>-</v>
      </c>
      <c r="CO233" s="830" t="str">
        <f t="shared" ca="1" si="205"/>
        <v>ТРЕБУЕТСЯ ВАКЦИНАЦИЯ</v>
      </c>
      <c r="CP233" s="839"/>
      <c r="CQ233" s="832"/>
      <c r="CR233" s="833" t="str">
        <f t="shared" si="206"/>
        <v>-</v>
      </c>
      <c r="CS233" s="833" t="str">
        <f t="shared" si="207"/>
        <v>-</v>
      </c>
      <c r="CT233" s="834" t="str">
        <f t="shared" si="208"/>
        <v>-</v>
      </c>
      <c r="CU233" s="835" t="str">
        <f t="shared" si="209"/>
        <v>-</v>
      </c>
      <c r="CV233" s="839"/>
      <c r="CW233" s="832"/>
      <c r="CX233" s="833" t="str">
        <f t="shared" si="210"/>
        <v>-</v>
      </c>
      <c r="CY233" s="840" t="str">
        <f t="shared" si="211"/>
        <v>-</v>
      </c>
      <c r="CZ233" s="833" t="str">
        <f t="shared" si="212"/>
        <v>-</v>
      </c>
      <c r="DA233" s="838" t="str">
        <f t="shared" ca="1" si="213"/>
        <v>-</v>
      </c>
      <c r="DB233" s="841"/>
      <c r="DC233" s="832"/>
    </row>
    <row r="234" spans="1:107" s="842" customFormat="1" ht="15.95" customHeight="1" x14ac:dyDescent="0.25">
      <c r="A234" s="790">
        <v>235</v>
      </c>
      <c r="B234" s="791">
        <f t="shared" ca="1" si="162"/>
        <v>43134</v>
      </c>
      <c r="C234" s="792" t="s">
        <v>613</v>
      </c>
      <c r="D234" s="793" t="s">
        <v>3202</v>
      </c>
      <c r="E234" s="794" t="s">
        <v>941</v>
      </c>
      <c r="F234" s="854" t="s">
        <v>942</v>
      </c>
      <c r="G234" s="796">
        <f>SUMIFS(МОЛОКО!L8:L6958,МОЛОКО!F8:F6958,"1977",МОЛОКО!L8:L6958,"&gt;0")</f>
        <v>15.6</v>
      </c>
      <c r="H234" s="797" t="s">
        <v>603</v>
      </c>
      <c r="I234" s="798">
        <v>41557</v>
      </c>
      <c r="J234" s="799">
        <f t="shared" ca="1" si="163"/>
        <v>4.3205479452054796</v>
      </c>
      <c r="K234" s="799">
        <f t="shared" ca="1" si="164"/>
        <v>52.56666666666667</v>
      </c>
      <c r="L234" s="800">
        <f t="shared" ca="1" si="165"/>
        <v>1577</v>
      </c>
      <c r="M234" s="846">
        <v>42452</v>
      </c>
      <c r="N234" s="802">
        <v>42831</v>
      </c>
      <c r="O234" s="803">
        <f t="shared" ca="1" si="166"/>
        <v>303</v>
      </c>
      <c r="P234" s="804">
        <v>2</v>
      </c>
      <c r="Q234" s="805" t="s">
        <v>2366</v>
      </c>
      <c r="R234" s="806" t="s">
        <v>2962</v>
      </c>
      <c r="S234" s="807">
        <v>42894</v>
      </c>
      <c r="T234" s="798">
        <v>43020</v>
      </c>
      <c r="U234" s="798" t="str">
        <f t="shared" si="167"/>
        <v>-</v>
      </c>
      <c r="V234" s="804" t="str">
        <f t="shared" ca="1" si="168"/>
        <v>-</v>
      </c>
      <c r="W234" s="808">
        <v>4</v>
      </c>
      <c r="X234" s="794">
        <f t="shared" si="161"/>
        <v>189</v>
      </c>
      <c r="Y234" s="794">
        <v>1</v>
      </c>
      <c r="Z234" s="809" t="str">
        <f t="shared" ca="1" si="169"/>
        <v>ПОДЛЕЖИТ ПЕРЕПРОВЕРКЕ</v>
      </c>
      <c r="AA234" s="810">
        <f t="shared" ca="1" si="170"/>
        <v>114</v>
      </c>
      <c r="AB234" s="804"/>
      <c r="AC234" s="811">
        <f t="shared" ca="1" si="171"/>
        <v>43092</v>
      </c>
      <c r="AD234" s="798"/>
      <c r="AE234" s="794" t="str">
        <f t="shared" ca="1" si="172"/>
        <v>-</v>
      </c>
      <c r="AF234" s="798" t="str">
        <f t="shared" si="173"/>
        <v>-</v>
      </c>
      <c r="AG234" s="812" t="str">
        <f t="shared" si="174"/>
        <v>---------</v>
      </c>
      <c r="AH234" s="807">
        <v>43052</v>
      </c>
      <c r="AI234" s="807">
        <f t="shared" si="175"/>
        <v>43210</v>
      </c>
      <c r="AJ234" s="807">
        <f t="shared" si="176"/>
        <v>43240</v>
      </c>
      <c r="AK234" s="813"/>
      <c r="AL234" s="807">
        <f t="shared" si="177"/>
        <v>43279</v>
      </c>
      <c r="AM234" s="807">
        <f t="shared" si="178"/>
        <v>43300</v>
      </c>
      <c r="AN234" s="814">
        <f t="shared" ca="1" si="179"/>
        <v>-166</v>
      </c>
      <c r="AO234" s="815">
        <v>1</v>
      </c>
      <c r="AP234" s="816" t="str">
        <f t="shared" ca="1" si="180"/>
        <v>-</v>
      </c>
      <c r="AQ234" s="817"/>
      <c r="AR234" s="794" t="str">
        <f t="shared" si="181"/>
        <v>-</v>
      </c>
      <c r="AS234" s="818"/>
      <c r="AT234" s="794" t="str">
        <f t="shared" si="182"/>
        <v>-</v>
      </c>
      <c r="AU234" s="819">
        <v>1</v>
      </c>
      <c r="AV234" s="820"/>
      <c r="AW234" s="821"/>
      <c r="AX234" s="821"/>
      <c r="AY234" s="969" t="str">
        <f t="shared" si="183"/>
        <v>-</v>
      </c>
      <c r="AZ234" s="966" t="str">
        <f t="shared" si="184"/>
        <v>-</v>
      </c>
      <c r="BA234" s="971" t="str">
        <f t="shared" si="185"/>
        <v>-</v>
      </c>
      <c r="BB234" s="975"/>
      <c r="BC234" s="821"/>
      <c r="BD234" s="821"/>
      <c r="BE234" s="963" t="str">
        <f t="shared" si="186"/>
        <v>-</v>
      </c>
      <c r="BF234" s="984"/>
      <c r="BG234" s="988"/>
      <c r="BH234" s="982"/>
      <c r="BI234" s="991"/>
      <c r="BJ234" s="991"/>
      <c r="BK234" s="993" t="str">
        <f t="shared" si="187"/>
        <v>-</v>
      </c>
      <c r="BL234" s="820">
        <v>42981</v>
      </c>
      <c r="BM234" s="821">
        <v>5</v>
      </c>
      <c r="BN234" s="822">
        <f t="shared" ca="1" si="188"/>
        <v>153</v>
      </c>
      <c r="BO234" s="823">
        <f t="shared" si="189"/>
        <v>47.466666666666669</v>
      </c>
      <c r="BP234" s="824">
        <v>43001</v>
      </c>
      <c r="BQ234" s="821">
        <v>2</v>
      </c>
      <c r="BR234" s="822">
        <f t="shared" ca="1" si="190"/>
        <v>133</v>
      </c>
      <c r="BS234" s="823">
        <f t="shared" si="191"/>
        <v>18.3</v>
      </c>
      <c r="BT234" s="825" t="str">
        <f t="shared" ca="1" si="192"/>
        <v>-</v>
      </c>
      <c r="BU234" s="826"/>
      <c r="BV234" s="827"/>
      <c r="BW234" s="828" t="str">
        <f t="shared" si="193"/>
        <v>Ж-Е НЕ ВАКЦ.</v>
      </c>
      <c r="BX234" s="829" t="str">
        <f t="shared" si="194"/>
        <v>-</v>
      </c>
      <c r="BY234" s="830" t="str">
        <f t="shared" ca="1" si="195"/>
        <v>-</v>
      </c>
      <c r="BZ234" s="831">
        <v>42887</v>
      </c>
      <c r="CA234" s="832">
        <v>5</v>
      </c>
      <c r="CB234" s="833">
        <f t="shared" ca="1" si="196"/>
        <v>247</v>
      </c>
      <c r="CC234" s="834" t="str">
        <f t="shared" ca="1" si="197"/>
        <v>-</v>
      </c>
      <c r="CD234" s="835">
        <f t="shared" si="198"/>
        <v>42908</v>
      </c>
      <c r="CE234" s="831">
        <v>42908</v>
      </c>
      <c r="CF234" s="832">
        <v>5</v>
      </c>
      <c r="CG234" s="833">
        <f t="shared" ca="1" si="199"/>
        <v>226</v>
      </c>
      <c r="CH234" s="836">
        <f t="shared" si="200"/>
        <v>0</v>
      </c>
      <c r="CI234" s="837" t="str">
        <f t="shared" si="201"/>
        <v>УСПЕШНО</v>
      </c>
      <c r="CJ234" s="838" t="str">
        <f t="shared" ca="1" si="202"/>
        <v>-</v>
      </c>
      <c r="CK234" s="831"/>
      <c r="CL234" s="832"/>
      <c r="CM234" s="833" t="str">
        <f t="shared" si="203"/>
        <v>-</v>
      </c>
      <c r="CN234" s="834" t="str">
        <f t="shared" si="204"/>
        <v>-</v>
      </c>
      <c r="CO234" s="830" t="str">
        <f t="shared" ca="1" si="205"/>
        <v>-</v>
      </c>
      <c r="CP234" s="839"/>
      <c r="CQ234" s="832"/>
      <c r="CR234" s="833" t="str">
        <f t="shared" si="206"/>
        <v>-</v>
      </c>
      <c r="CS234" s="833" t="str">
        <f t="shared" si="207"/>
        <v>-</v>
      </c>
      <c r="CT234" s="834" t="str">
        <f t="shared" si="208"/>
        <v>-</v>
      </c>
      <c r="CU234" s="835" t="str">
        <f t="shared" si="209"/>
        <v>-</v>
      </c>
      <c r="CV234" s="839"/>
      <c r="CW234" s="832"/>
      <c r="CX234" s="833" t="str">
        <f t="shared" si="210"/>
        <v>-</v>
      </c>
      <c r="CY234" s="840" t="str">
        <f t="shared" si="211"/>
        <v>-</v>
      </c>
      <c r="CZ234" s="833" t="str">
        <f t="shared" si="212"/>
        <v>-</v>
      </c>
      <c r="DA234" s="838" t="str">
        <f t="shared" ca="1" si="213"/>
        <v>-</v>
      </c>
      <c r="DB234" s="841"/>
      <c r="DC234" s="832"/>
    </row>
    <row r="235" spans="1:107" s="842" customFormat="1" ht="15.75" customHeight="1" x14ac:dyDescent="0.25">
      <c r="A235" s="790">
        <v>236</v>
      </c>
      <c r="B235" s="791">
        <f t="shared" ca="1" si="162"/>
        <v>43134</v>
      </c>
      <c r="C235" s="792" t="s">
        <v>613</v>
      </c>
      <c r="D235" s="793" t="s">
        <v>3202</v>
      </c>
      <c r="E235" s="794" t="s">
        <v>431</v>
      </c>
      <c r="F235" s="854" t="s">
        <v>432</v>
      </c>
      <c r="G235" s="796">
        <f>SUMIFS(МОЛОКО!L8:L6958,МОЛОКО!F8:F6958,"1987",МОЛОКО!L8:L6958,"&gt;0")</f>
        <v>16</v>
      </c>
      <c r="H235" s="797" t="s">
        <v>603</v>
      </c>
      <c r="I235" s="798">
        <v>41562</v>
      </c>
      <c r="J235" s="799">
        <f t="shared" ca="1" si="163"/>
        <v>4.3068493150684928</v>
      </c>
      <c r="K235" s="799">
        <f t="shared" ca="1" si="164"/>
        <v>52.4</v>
      </c>
      <c r="L235" s="800">
        <f t="shared" ca="1" si="165"/>
        <v>1572</v>
      </c>
      <c r="M235" s="801">
        <v>42336</v>
      </c>
      <c r="N235" s="802">
        <v>42836</v>
      </c>
      <c r="O235" s="803">
        <f t="shared" ca="1" si="166"/>
        <v>298</v>
      </c>
      <c r="P235" s="804">
        <v>2</v>
      </c>
      <c r="Q235" s="68" t="s">
        <v>2366</v>
      </c>
      <c r="R235" s="118" t="s">
        <v>3020</v>
      </c>
      <c r="S235" s="807">
        <v>42894</v>
      </c>
      <c r="T235" s="798">
        <v>43056</v>
      </c>
      <c r="U235" s="798">
        <f t="shared" si="167"/>
        <v>43074</v>
      </c>
      <c r="V235" s="804">
        <f t="shared" ca="1" si="168"/>
        <v>60</v>
      </c>
      <c r="W235" s="808">
        <v>5</v>
      </c>
      <c r="X235" s="794">
        <f t="shared" si="161"/>
        <v>220</v>
      </c>
      <c r="Y235" s="794">
        <v>3</v>
      </c>
      <c r="Z235" s="809" t="str">
        <f t="shared" ca="1" si="169"/>
        <v>-----</v>
      </c>
      <c r="AA235" s="810">
        <f t="shared" ca="1" si="170"/>
        <v>78</v>
      </c>
      <c r="AB235" s="804"/>
      <c r="AC235" s="811" t="str">
        <f t="shared" ca="1" si="171"/>
        <v>-----</v>
      </c>
      <c r="AD235" s="798"/>
      <c r="AE235" s="794" t="str">
        <f t="shared" ca="1" si="172"/>
        <v>-</v>
      </c>
      <c r="AF235" s="798">
        <f t="shared" si="173"/>
        <v>43091</v>
      </c>
      <c r="AG235" s="812">
        <f t="shared" ca="1" si="174"/>
        <v>43</v>
      </c>
      <c r="AH235" s="807">
        <v>43035</v>
      </c>
      <c r="AI235" s="807" t="str">
        <f t="shared" si="175"/>
        <v>-</v>
      </c>
      <c r="AJ235" s="807" t="str">
        <f t="shared" si="176"/>
        <v>-</v>
      </c>
      <c r="AK235" s="813"/>
      <c r="AL235" s="807" t="str">
        <f t="shared" si="177"/>
        <v>-</v>
      </c>
      <c r="AM235" s="807" t="str">
        <f t="shared" si="178"/>
        <v>-</v>
      </c>
      <c r="AN235" s="814" t="str">
        <f t="shared" ca="1" si="179"/>
        <v>-</v>
      </c>
      <c r="AO235" s="815">
        <v>1</v>
      </c>
      <c r="AP235" s="816" t="str">
        <f t="shared" ca="1" si="180"/>
        <v>-</v>
      </c>
      <c r="AQ235" s="817"/>
      <c r="AR235" s="794" t="str">
        <f t="shared" si="181"/>
        <v>-</v>
      </c>
      <c r="AS235" s="818"/>
      <c r="AT235" s="794" t="str">
        <f t="shared" si="182"/>
        <v>-</v>
      </c>
      <c r="AU235" s="819">
        <v>1</v>
      </c>
      <c r="AV235" s="820"/>
      <c r="AW235" s="821"/>
      <c r="AX235" s="821"/>
      <c r="AY235" s="969" t="str">
        <f t="shared" si="183"/>
        <v>-</v>
      </c>
      <c r="AZ235" s="966" t="str">
        <f t="shared" si="184"/>
        <v>-</v>
      </c>
      <c r="BA235" s="971" t="str">
        <f t="shared" si="185"/>
        <v>-</v>
      </c>
      <c r="BB235" s="975"/>
      <c r="BC235" s="821"/>
      <c r="BD235" s="821"/>
      <c r="BE235" s="963" t="str">
        <f t="shared" si="186"/>
        <v>-</v>
      </c>
      <c r="BF235" s="984"/>
      <c r="BG235" s="988"/>
      <c r="BH235" s="982"/>
      <c r="BI235" s="991"/>
      <c r="BJ235" s="991"/>
      <c r="BK235" s="993" t="str">
        <f t="shared" si="187"/>
        <v>-</v>
      </c>
      <c r="BL235" s="820">
        <v>42979</v>
      </c>
      <c r="BM235" s="821">
        <v>5</v>
      </c>
      <c r="BN235" s="822">
        <f t="shared" ca="1" si="188"/>
        <v>155</v>
      </c>
      <c r="BO235" s="823">
        <f t="shared" si="189"/>
        <v>47.233333333333334</v>
      </c>
      <c r="BP235" s="824">
        <v>43001</v>
      </c>
      <c r="BQ235" s="821">
        <v>2</v>
      </c>
      <c r="BR235" s="822">
        <f t="shared" ca="1" si="190"/>
        <v>133</v>
      </c>
      <c r="BS235" s="823">
        <f t="shared" si="191"/>
        <v>22.166666666666668</v>
      </c>
      <c r="BT235" s="825" t="str">
        <f t="shared" ca="1" si="192"/>
        <v>-</v>
      </c>
      <c r="BU235" s="826"/>
      <c r="BV235" s="827"/>
      <c r="BW235" s="828" t="str">
        <f t="shared" si="193"/>
        <v>Ж-Е НЕ ВАКЦ.</v>
      </c>
      <c r="BX235" s="829" t="str">
        <f t="shared" si="194"/>
        <v>-</v>
      </c>
      <c r="BY235" s="830" t="str">
        <f t="shared" ca="1" si="195"/>
        <v>-</v>
      </c>
      <c r="BZ235" s="831">
        <v>42887</v>
      </c>
      <c r="CA235" s="832">
        <v>5</v>
      </c>
      <c r="CB235" s="833">
        <f t="shared" ca="1" si="196"/>
        <v>247</v>
      </c>
      <c r="CC235" s="834" t="str">
        <f t="shared" ca="1" si="197"/>
        <v>-</v>
      </c>
      <c r="CD235" s="835">
        <f t="shared" si="198"/>
        <v>42908</v>
      </c>
      <c r="CE235" s="831">
        <v>42908</v>
      </c>
      <c r="CF235" s="832">
        <v>5</v>
      </c>
      <c r="CG235" s="833">
        <f t="shared" ca="1" si="199"/>
        <v>226</v>
      </c>
      <c r="CH235" s="836">
        <f t="shared" si="200"/>
        <v>0</v>
      </c>
      <c r="CI235" s="837" t="str">
        <f t="shared" si="201"/>
        <v>УСПЕШНО</v>
      </c>
      <c r="CJ235" s="838" t="str">
        <f t="shared" ca="1" si="202"/>
        <v>-</v>
      </c>
      <c r="CK235" s="831"/>
      <c r="CL235" s="832"/>
      <c r="CM235" s="833" t="str">
        <f t="shared" si="203"/>
        <v>-</v>
      </c>
      <c r="CN235" s="834" t="str">
        <f t="shared" si="204"/>
        <v>-</v>
      </c>
      <c r="CO235" s="830" t="str">
        <f t="shared" ca="1" si="205"/>
        <v>-</v>
      </c>
      <c r="CP235" s="839"/>
      <c r="CQ235" s="832"/>
      <c r="CR235" s="833" t="str">
        <f t="shared" si="206"/>
        <v>-</v>
      </c>
      <c r="CS235" s="833" t="str">
        <f t="shared" si="207"/>
        <v>-</v>
      </c>
      <c r="CT235" s="834" t="str">
        <f t="shared" si="208"/>
        <v>-</v>
      </c>
      <c r="CU235" s="835" t="str">
        <f t="shared" si="209"/>
        <v>-</v>
      </c>
      <c r="CV235" s="839"/>
      <c r="CW235" s="832"/>
      <c r="CX235" s="833" t="str">
        <f t="shared" si="210"/>
        <v>-</v>
      </c>
      <c r="CY235" s="840" t="str">
        <f t="shared" si="211"/>
        <v>-</v>
      </c>
      <c r="CZ235" s="833" t="str">
        <f t="shared" si="212"/>
        <v>-</v>
      </c>
      <c r="DA235" s="838" t="str">
        <f t="shared" ca="1" si="213"/>
        <v>-</v>
      </c>
      <c r="DB235" s="841"/>
      <c r="DC235" s="832"/>
    </row>
    <row r="236" spans="1:107" s="842" customFormat="1" ht="15.95" customHeight="1" x14ac:dyDescent="0.25">
      <c r="A236" s="790">
        <v>237</v>
      </c>
      <c r="B236" s="791">
        <f t="shared" ca="1" si="162"/>
        <v>43134</v>
      </c>
      <c r="C236" s="792" t="s">
        <v>613</v>
      </c>
      <c r="D236" s="793" t="s">
        <v>3202</v>
      </c>
      <c r="E236" s="794" t="s">
        <v>1449</v>
      </c>
      <c r="F236" s="854" t="s">
        <v>713</v>
      </c>
      <c r="G236" s="796">
        <f>SUMIFS(МОЛОКО!L8:L6958,МОЛОКО!F8:F6958,"1997",МОЛОКО!L8:L6958,"&gt;0")</f>
        <v>0</v>
      </c>
      <c r="H236" s="797" t="s">
        <v>603</v>
      </c>
      <c r="I236" s="798">
        <v>41570</v>
      </c>
      <c r="J236" s="799">
        <f t="shared" ca="1" si="163"/>
        <v>4.2849315068493148</v>
      </c>
      <c r="K236" s="799">
        <f t="shared" ca="1" si="164"/>
        <v>52.133333333333333</v>
      </c>
      <c r="L236" s="800">
        <f t="shared" ca="1" si="165"/>
        <v>1564</v>
      </c>
      <c r="M236" s="801">
        <v>42490</v>
      </c>
      <c r="N236" s="802">
        <v>42839</v>
      </c>
      <c r="O236" s="803">
        <f t="shared" ca="1" si="166"/>
        <v>295</v>
      </c>
      <c r="P236" s="804">
        <v>2</v>
      </c>
      <c r="Q236" s="805" t="s">
        <v>2366</v>
      </c>
      <c r="R236" s="806" t="s">
        <v>1876</v>
      </c>
      <c r="S236" s="807">
        <v>42901</v>
      </c>
      <c r="T236" s="798">
        <v>42901</v>
      </c>
      <c r="U236" s="798" t="str">
        <f t="shared" si="167"/>
        <v>-</v>
      </c>
      <c r="V236" s="804" t="str">
        <f t="shared" ca="1" si="168"/>
        <v>-</v>
      </c>
      <c r="W236" s="808">
        <v>1</v>
      </c>
      <c r="X236" s="794">
        <f t="shared" si="161"/>
        <v>62</v>
      </c>
      <c r="Y236" s="794">
        <v>1</v>
      </c>
      <c r="Z236" s="809" t="str">
        <f t="shared" ca="1" si="169"/>
        <v>-----</v>
      </c>
      <c r="AA236" s="810" t="str">
        <f t="shared" ca="1" si="170"/>
        <v>-----</v>
      </c>
      <c r="AB236" s="804">
        <v>1</v>
      </c>
      <c r="AC236" s="811" t="str">
        <f t="shared" ca="1" si="171"/>
        <v>-----</v>
      </c>
      <c r="AD236" s="798"/>
      <c r="AE236" s="794" t="str">
        <f t="shared" ca="1" si="172"/>
        <v>-</v>
      </c>
      <c r="AF236" s="798" t="str">
        <f t="shared" si="173"/>
        <v>-</v>
      </c>
      <c r="AG236" s="812" t="str">
        <f t="shared" si="174"/>
        <v>---------</v>
      </c>
      <c r="AH236" s="807">
        <v>42964</v>
      </c>
      <c r="AI236" s="807">
        <f t="shared" si="175"/>
        <v>43091</v>
      </c>
      <c r="AJ236" s="807">
        <f t="shared" si="176"/>
        <v>43121</v>
      </c>
      <c r="AK236" s="813"/>
      <c r="AL236" s="807">
        <f t="shared" si="177"/>
        <v>43160</v>
      </c>
      <c r="AM236" s="807">
        <f t="shared" si="178"/>
        <v>43181</v>
      </c>
      <c r="AN236" s="814">
        <f t="shared" ca="1" si="179"/>
        <v>-47</v>
      </c>
      <c r="AO236" s="815">
        <v>1</v>
      </c>
      <c r="AP236" s="816" t="str">
        <f t="shared" ca="1" si="180"/>
        <v>-</v>
      </c>
      <c r="AQ236" s="817"/>
      <c r="AR236" s="794" t="str">
        <f t="shared" si="181"/>
        <v>-</v>
      </c>
      <c r="AS236" s="818"/>
      <c r="AT236" s="794" t="str">
        <f t="shared" si="182"/>
        <v>-</v>
      </c>
      <c r="AU236" s="819">
        <v>1</v>
      </c>
      <c r="AV236" s="820"/>
      <c r="AW236" s="821"/>
      <c r="AX236" s="821"/>
      <c r="AY236" s="969" t="str">
        <f t="shared" si="183"/>
        <v>-</v>
      </c>
      <c r="AZ236" s="966" t="str">
        <f t="shared" si="184"/>
        <v>-</v>
      </c>
      <c r="BA236" s="971" t="str">
        <f t="shared" si="185"/>
        <v>-</v>
      </c>
      <c r="BB236" s="975"/>
      <c r="BC236" s="821"/>
      <c r="BD236" s="821"/>
      <c r="BE236" s="963" t="str">
        <f t="shared" si="186"/>
        <v>-</v>
      </c>
      <c r="BF236" s="984"/>
      <c r="BG236" s="988"/>
      <c r="BH236" s="982"/>
      <c r="BI236" s="991"/>
      <c r="BJ236" s="991"/>
      <c r="BK236" s="993" t="str">
        <f t="shared" si="187"/>
        <v>-</v>
      </c>
      <c r="BL236" s="820">
        <v>42981</v>
      </c>
      <c r="BM236" s="821">
        <v>5</v>
      </c>
      <c r="BN236" s="822">
        <f t="shared" ca="1" si="188"/>
        <v>153</v>
      </c>
      <c r="BO236" s="823">
        <f t="shared" si="189"/>
        <v>47.033333333333331</v>
      </c>
      <c r="BP236" s="824">
        <v>43001</v>
      </c>
      <c r="BQ236" s="821">
        <v>2</v>
      </c>
      <c r="BR236" s="822">
        <f t="shared" ca="1" si="190"/>
        <v>133</v>
      </c>
      <c r="BS236" s="823">
        <f t="shared" si="191"/>
        <v>17.033333333333335</v>
      </c>
      <c r="BT236" s="825" t="str">
        <f t="shared" ca="1" si="192"/>
        <v>-</v>
      </c>
      <c r="BU236" s="826"/>
      <c r="BV236" s="827"/>
      <c r="BW236" s="828" t="str">
        <f t="shared" si="193"/>
        <v>Ж-Е НЕ ВАКЦ.</v>
      </c>
      <c r="BX236" s="829" t="str">
        <f t="shared" si="194"/>
        <v>-</v>
      </c>
      <c r="BY236" s="830" t="str">
        <f t="shared" ca="1" si="195"/>
        <v>-</v>
      </c>
      <c r="BZ236" s="831">
        <v>42887</v>
      </c>
      <c r="CA236" s="832">
        <v>5</v>
      </c>
      <c r="CB236" s="833">
        <f t="shared" ca="1" si="196"/>
        <v>247</v>
      </c>
      <c r="CC236" s="834" t="str">
        <f t="shared" ca="1" si="197"/>
        <v>-</v>
      </c>
      <c r="CD236" s="835">
        <f t="shared" si="198"/>
        <v>42908</v>
      </c>
      <c r="CE236" s="831">
        <v>42908</v>
      </c>
      <c r="CF236" s="832">
        <v>5</v>
      </c>
      <c r="CG236" s="833">
        <f t="shared" ca="1" si="199"/>
        <v>226</v>
      </c>
      <c r="CH236" s="836">
        <f t="shared" si="200"/>
        <v>0</v>
      </c>
      <c r="CI236" s="837" t="str">
        <f t="shared" si="201"/>
        <v>УСПЕШНО</v>
      </c>
      <c r="CJ236" s="838" t="str">
        <f t="shared" ca="1" si="202"/>
        <v>-</v>
      </c>
      <c r="CK236" s="831"/>
      <c r="CL236" s="832"/>
      <c r="CM236" s="833" t="str">
        <f t="shared" si="203"/>
        <v>-</v>
      </c>
      <c r="CN236" s="834" t="str">
        <f t="shared" si="204"/>
        <v>-</v>
      </c>
      <c r="CO236" s="830" t="str">
        <f t="shared" ca="1" si="205"/>
        <v>ТРЕБУЕТСЯ ВАКЦИНАЦИЯ</v>
      </c>
      <c r="CP236" s="839"/>
      <c r="CQ236" s="832"/>
      <c r="CR236" s="833" t="str">
        <f t="shared" si="206"/>
        <v>-</v>
      </c>
      <c r="CS236" s="833" t="str">
        <f t="shared" si="207"/>
        <v>-</v>
      </c>
      <c r="CT236" s="834" t="str">
        <f t="shared" si="208"/>
        <v>-</v>
      </c>
      <c r="CU236" s="835" t="str">
        <f t="shared" si="209"/>
        <v>-</v>
      </c>
      <c r="CV236" s="839"/>
      <c r="CW236" s="832"/>
      <c r="CX236" s="833" t="str">
        <f t="shared" si="210"/>
        <v>-</v>
      </c>
      <c r="CY236" s="840" t="str">
        <f t="shared" si="211"/>
        <v>-</v>
      </c>
      <c r="CZ236" s="833" t="str">
        <f t="shared" si="212"/>
        <v>-</v>
      </c>
      <c r="DA236" s="838" t="str">
        <f t="shared" ca="1" si="213"/>
        <v>-</v>
      </c>
      <c r="DB236" s="841"/>
      <c r="DC236" s="832"/>
    </row>
    <row r="237" spans="1:107" s="842" customFormat="1" ht="15.95" customHeight="1" x14ac:dyDescent="0.25">
      <c r="A237" s="790">
        <v>238</v>
      </c>
      <c r="B237" s="791">
        <f t="shared" ca="1" si="162"/>
        <v>43134</v>
      </c>
      <c r="C237" s="29" t="s">
        <v>613</v>
      </c>
      <c r="D237" s="59" t="s">
        <v>3202</v>
      </c>
      <c r="E237" s="794" t="s">
        <v>491</v>
      </c>
      <c r="F237" s="795" t="s">
        <v>1131</v>
      </c>
      <c r="G237" s="796">
        <f>SUMIFS(МОЛОКО!L8:L6958,МОЛОКО!F8:F6958,"2021",МОЛОКО!L8:L6958,"&gt;0")</f>
        <v>18</v>
      </c>
      <c r="H237" s="797" t="s">
        <v>603</v>
      </c>
      <c r="I237" s="798">
        <v>41586</v>
      </c>
      <c r="J237" s="799">
        <f t="shared" ca="1" si="163"/>
        <v>4.2410958904109588</v>
      </c>
      <c r="K237" s="799">
        <f t="shared" ca="1" si="164"/>
        <v>51.6</v>
      </c>
      <c r="L237" s="800">
        <f t="shared" ca="1" si="165"/>
        <v>1548</v>
      </c>
      <c r="M237" s="801">
        <v>42573</v>
      </c>
      <c r="N237" s="802">
        <v>42916</v>
      </c>
      <c r="O237" s="803">
        <f t="shared" ca="1" si="166"/>
        <v>218</v>
      </c>
      <c r="P237" s="804">
        <v>2</v>
      </c>
      <c r="Q237" s="68" t="s">
        <v>2366</v>
      </c>
      <c r="R237" s="118" t="s">
        <v>2966</v>
      </c>
      <c r="S237" s="807">
        <v>42978</v>
      </c>
      <c r="T237" s="798">
        <v>43028</v>
      </c>
      <c r="U237" s="798">
        <f t="shared" si="167"/>
        <v>43046</v>
      </c>
      <c r="V237" s="804">
        <f t="shared" ca="1" si="168"/>
        <v>88</v>
      </c>
      <c r="W237" s="808">
        <v>2</v>
      </c>
      <c r="X237" s="794">
        <f t="shared" si="161"/>
        <v>112</v>
      </c>
      <c r="Y237" s="794">
        <v>3</v>
      </c>
      <c r="Z237" s="809" t="str">
        <f t="shared" ca="1" si="169"/>
        <v>-----</v>
      </c>
      <c r="AA237" s="810">
        <f t="shared" ca="1" si="170"/>
        <v>106</v>
      </c>
      <c r="AB237" s="804"/>
      <c r="AC237" s="811" t="str">
        <f t="shared" ca="1" si="171"/>
        <v>-----</v>
      </c>
      <c r="AD237" s="798"/>
      <c r="AE237" s="794" t="str">
        <f t="shared" ca="1" si="172"/>
        <v>-</v>
      </c>
      <c r="AF237" s="798">
        <f t="shared" si="173"/>
        <v>43063</v>
      </c>
      <c r="AG237" s="812">
        <f t="shared" ca="1" si="174"/>
        <v>71</v>
      </c>
      <c r="AH237" s="807">
        <v>43014</v>
      </c>
      <c r="AI237" s="807" t="str">
        <f t="shared" si="175"/>
        <v>-</v>
      </c>
      <c r="AJ237" s="807" t="str">
        <f t="shared" si="176"/>
        <v>-</v>
      </c>
      <c r="AK237" s="813"/>
      <c r="AL237" s="807" t="str">
        <f t="shared" si="177"/>
        <v>-</v>
      </c>
      <c r="AM237" s="807" t="str">
        <f t="shared" si="178"/>
        <v>-</v>
      </c>
      <c r="AN237" s="814" t="str">
        <f t="shared" ca="1" si="179"/>
        <v>-</v>
      </c>
      <c r="AO237" s="815">
        <v>1</v>
      </c>
      <c r="AP237" s="816" t="str">
        <f t="shared" ca="1" si="180"/>
        <v>-</v>
      </c>
      <c r="AQ237" s="817"/>
      <c r="AR237" s="794" t="str">
        <f t="shared" si="181"/>
        <v>-</v>
      </c>
      <c r="AS237" s="818"/>
      <c r="AT237" s="794" t="str">
        <f t="shared" si="182"/>
        <v>-</v>
      </c>
      <c r="AU237" s="819"/>
      <c r="AV237" s="820"/>
      <c r="AW237" s="821"/>
      <c r="AX237" s="821"/>
      <c r="AY237" s="969" t="str">
        <f t="shared" si="183"/>
        <v>-</v>
      </c>
      <c r="AZ237" s="966" t="str">
        <f t="shared" si="184"/>
        <v>-</v>
      </c>
      <c r="BA237" s="971" t="str">
        <f t="shared" si="185"/>
        <v>-</v>
      </c>
      <c r="BB237" s="975"/>
      <c r="BC237" s="821"/>
      <c r="BD237" s="821"/>
      <c r="BE237" s="963" t="str">
        <f t="shared" si="186"/>
        <v>-</v>
      </c>
      <c r="BF237" s="984"/>
      <c r="BG237" s="988"/>
      <c r="BH237" s="982"/>
      <c r="BI237" s="991"/>
      <c r="BJ237" s="991"/>
      <c r="BK237" s="993" t="str">
        <f t="shared" si="187"/>
        <v>-</v>
      </c>
      <c r="BL237" s="820">
        <v>42980</v>
      </c>
      <c r="BM237" s="821">
        <v>5</v>
      </c>
      <c r="BN237" s="822">
        <f t="shared" ca="1" si="188"/>
        <v>154</v>
      </c>
      <c r="BO237" s="823">
        <f t="shared" si="189"/>
        <v>46.466666666666669</v>
      </c>
      <c r="BP237" s="824">
        <v>43001</v>
      </c>
      <c r="BQ237" s="821">
        <v>2</v>
      </c>
      <c r="BR237" s="822">
        <f t="shared" ca="1" si="190"/>
        <v>133</v>
      </c>
      <c r="BS237" s="823">
        <f t="shared" si="191"/>
        <v>14.266666666666667</v>
      </c>
      <c r="BT237" s="825" t="str">
        <f t="shared" ca="1" si="192"/>
        <v>-</v>
      </c>
      <c r="BU237" s="826"/>
      <c r="BV237" s="827"/>
      <c r="BW237" s="828" t="str">
        <f t="shared" si="193"/>
        <v>Ж-Е НЕ ВАКЦ.</v>
      </c>
      <c r="BX237" s="829" t="str">
        <f t="shared" si="194"/>
        <v>-</v>
      </c>
      <c r="BY237" s="830" t="str">
        <f t="shared" ca="1" si="195"/>
        <v>-</v>
      </c>
      <c r="BZ237" s="831">
        <v>42964</v>
      </c>
      <c r="CA237" s="832">
        <v>5</v>
      </c>
      <c r="CB237" s="833">
        <f t="shared" ca="1" si="196"/>
        <v>170</v>
      </c>
      <c r="CC237" s="834" t="str">
        <f t="shared" ca="1" si="197"/>
        <v>-</v>
      </c>
      <c r="CD237" s="835">
        <f t="shared" si="198"/>
        <v>42985</v>
      </c>
      <c r="CE237" s="831">
        <v>42985</v>
      </c>
      <c r="CF237" s="832">
        <v>5</v>
      </c>
      <c r="CG237" s="833">
        <f t="shared" ca="1" si="199"/>
        <v>149</v>
      </c>
      <c r="CH237" s="836">
        <f t="shared" si="200"/>
        <v>0</v>
      </c>
      <c r="CI237" s="837" t="str">
        <f t="shared" si="201"/>
        <v>УСПЕШНО</v>
      </c>
      <c r="CJ237" s="838" t="str">
        <f t="shared" ca="1" si="202"/>
        <v>-</v>
      </c>
      <c r="CK237" s="831"/>
      <c r="CL237" s="832"/>
      <c r="CM237" s="833" t="str">
        <f t="shared" si="203"/>
        <v>-</v>
      </c>
      <c r="CN237" s="834" t="str">
        <f t="shared" si="204"/>
        <v>-</v>
      </c>
      <c r="CO237" s="830" t="str">
        <f t="shared" ca="1" si="205"/>
        <v>-</v>
      </c>
      <c r="CP237" s="839"/>
      <c r="CQ237" s="832"/>
      <c r="CR237" s="833" t="str">
        <f t="shared" si="206"/>
        <v>-</v>
      </c>
      <c r="CS237" s="833" t="str">
        <f t="shared" si="207"/>
        <v>-</v>
      </c>
      <c r="CT237" s="834" t="str">
        <f t="shared" si="208"/>
        <v>-</v>
      </c>
      <c r="CU237" s="835" t="str">
        <f t="shared" si="209"/>
        <v>-</v>
      </c>
      <c r="CV237" s="839"/>
      <c r="CW237" s="832"/>
      <c r="CX237" s="833" t="str">
        <f t="shared" si="210"/>
        <v>-</v>
      </c>
      <c r="CY237" s="840" t="str">
        <f t="shared" si="211"/>
        <v>-</v>
      </c>
      <c r="CZ237" s="833" t="str">
        <f t="shared" si="212"/>
        <v>-</v>
      </c>
      <c r="DA237" s="838" t="str">
        <f t="shared" ca="1" si="213"/>
        <v>-</v>
      </c>
      <c r="DB237" s="841"/>
      <c r="DC237" s="832"/>
    </row>
    <row r="238" spans="1:107" s="842" customFormat="1" ht="15.95" customHeight="1" x14ac:dyDescent="0.25">
      <c r="A238" s="790">
        <v>239</v>
      </c>
      <c r="B238" s="791">
        <f t="shared" ca="1" si="162"/>
        <v>43134</v>
      </c>
      <c r="C238" s="792" t="s">
        <v>613</v>
      </c>
      <c r="D238" s="793" t="s">
        <v>3202</v>
      </c>
      <c r="E238" s="794" t="s">
        <v>930</v>
      </c>
      <c r="F238" s="795" t="s">
        <v>931</v>
      </c>
      <c r="G238" s="796">
        <f>SUMIFS(МОЛОКО!L8:L6958,МОЛОКО!F8:F6958,"2023",МОЛОКО!L8:L6958,"&gt;0")</f>
        <v>13.4</v>
      </c>
      <c r="H238" s="797" t="s">
        <v>603</v>
      </c>
      <c r="I238" s="798">
        <v>41588</v>
      </c>
      <c r="J238" s="799">
        <f t="shared" ca="1" si="163"/>
        <v>4.2356164383561641</v>
      </c>
      <c r="K238" s="799">
        <f t="shared" ca="1" si="164"/>
        <v>51.533333333333331</v>
      </c>
      <c r="L238" s="800">
        <f t="shared" ca="1" si="165"/>
        <v>1546</v>
      </c>
      <c r="M238" s="846">
        <v>42436</v>
      </c>
      <c r="N238" s="802">
        <v>42794</v>
      </c>
      <c r="O238" s="803">
        <f t="shared" ca="1" si="166"/>
        <v>340</v>
      </c>
      <c r="P238" s="804">
        <v>2</v>
      </c>
      <c r="Q238" s="805" t="s">
        <v>1451</v>
      </c>
      <c r="R238" s="806" t="s">
        <v>1820</v>
      </c>
      <c r="S238" s="807">
        <v>42845</v>
      </c>
      <c r="T238" s="798">
        <v>42892</v>
      </c>
      <c r="U238" s="798" t="str">
        <f t="shared" si="167"/>
        <v>-</v>
      </c>
      <c r="V238" s="804" t="str">
        <f t="shared" ca="1" si="168"/>
        <v>-</v>
      </c>
      <c r="W238" s="808">
        <v>2</v>
      </c>
      <c r="X238" s="794">
        <f t="shared" si="161"/>
        <v>98</v>
      </c>
      <c r="Y238" s="794">
        <v>1</v>
      </c>
      <c r="Z238" s="809" t="str">
        <f t="shared" ca="1" si="169"/>
        <v>-----</v>
      </c>
      <c r="AA238" s="810" t="str">
        <f t="shared" ca="1" si="170"/>
        <v>-----</v>
      </c>
      <c r="AB238" s="804">
        <v>1</v>
      </c>
      <c r="AC238" s="811" t="str">
        <f t="shared" ca="1" si="171"/>
        <v>-----</v>
      </c>
      <c r="AD238" s="798">
        <v>42955</v>
      </c>
      <c r="AE238" s="794" t="str">
        <f t="shared" ca="1" si="172"/>
        <v>-</v>
      </c>
      <c r="AF238" s="798" t="str">
        <f t="shared" si="173"/>
        <v>-</v>
      </c>
      <c r="AG238" s="812" t="str">
        <f t="shared" si="174"/>
        <v>---------</v>
      </c>
      <c r="AH238" s="807">
        <v>42925</v>
      </c>
      <c r="AI238" s="807">
        <f t="shared" si="175"/>
        <v>43082</v>
      </c>
      <c r="AJ238" s="807">
        <f t="shared" si="176"/>
        <v>43112</v>
      </c>
      <c r="AK238" s="813"/>
      <c r="AL238" s="807">
        <f t="shared" si="177"/>
        <v>43151</v>
      </c>
      <c r="AM238" s="807">
        <f t="shared" si="178"/>
        <v>43172</v>
      </c>
      <c r="AN238" s="814">
        <f t="shared" ca="1" si="179"/>
        <v>-38</v>
      </c>
      <c r="AO238" s="815">
        <v>1</v>
      </c>
      <c r="AP238" s="816" t="str">
        <f t="shared" ca="1" si="180"/>
        <v>-</v>
      </c>
      <c r="AQ238" s="817"/>
      <c r="AR238" s="794" t="str">
        <f t="shared" si="181"/>
        <v>-</v>
      </c>
      <c r="AS238" s="818"/>
      <c r="AT238" s="794" t="str">
        <f t="shared" si="182"/>
        <v>-</v>
      </c>
      <c r="AU238" s="819"/>
      <c r="AV238" s="820"/>
      <c r="AW238" s="821"/>
      <c r="AX238" s="821"/>
      <c r="AY238" s="969" t="str">
        <f t="shared" si="183"/>
        <v>-</v>
      </c>
      <c r="AZ238" s="966" t="str">
        <f t="shared" si="184"/>
        <v>-</v>
      </c>
      <c r="BA238" s="971" t="str">
        <f t="shared" si="185"/>
        <v>-</v>
      </c>
      <c r="BB238" s="975"/>
      <c r="BC238" s="821"/>
      <c r="BD238" s="821"/>
      <c r="BE238" s="963" t="str">
        <f t="shared" si="186"/>
        <v>-</v>
      </c>
      <c r="BF238" s="984"/>
      <c r="BG238" s="988"/>
      <c r="BH238" s="982"/>
      <c r="BI238" s="991"/>
      <c r="BJ238" s="991"/>
      <c r="BK238" s="993" t="str">
        <f t="shared" si="187"/>
        <v>-</v>
      </c>
      <c r="BL238" s="820">
        <v>42981</v>
      </c>
      <c r="BM238" s="821">
        <v>5</v>
      </c>
      <c r="BN238" s="822">
        <f t="shared" ca="1" si="188"/>
        <v>153</v>
      </c>
      <c r="BO238" s="823">
        <f t="shared" si="189"/>
        <v>46.43333333333333</v>
      </c>
      <c r="BP238" s="824">
        <v>43001</v>
      </c>
      <c r="BQ238" s="821">
        <v>2</v>
      </c>
      <c r="BR238" s="822">
        <f t="shared" ca="1" si="190"/>
        <v>133</v>
      </c>
      <c r="BS238" s="823">
        <f t="shared" si="191"/>
        <v>18.833333333333332</v>
      </c>
      <c r="BT238" s="825" t="str">
        <f t="shared" ca="1" si="192"/>
        <v>-</v>
      </c>
      <c r="BU238" s="826"/>
      <c r="BV238" s="827"/>
      <c r="BW238" s="828" t="str">
        <f t="shared" si="193"/>
        <v>Ж-Е НЕ ВАКЦ.</v>
      </c>
      <c r="BX238" s="829" t="str">
        <f t="shared" si="194"/>
        <v>-</v>
      </c>
      <c r="BY238" s="830" t="str">
        <f t="shared" ca="1" si="195"/>
        <v>-</v>
      </c>
      <c r="BZ238" s="831">
        <v>42887</v>
      </c>
      <c r="CA238" s="832">
        <v>5</v>
      </c>
      <c r="CB238" s="833">
        <f t="shared" ca="1" si="196"/>
        <v>247</v>
      </c>
      <c r="CC238" s="834" t="str">
        <f t="shared" ca="1" si="197"/>
        <v>-</v>
      </c>
      <c r="CD238" s="835">
        <f t="shared" si="198"/>
        <v>42908</v>
      </c>
      <c r="CE238" s="831">
        <v>42908</v>
      </c>
      <c r="CF238" s="832">
        <v>5</v>
      </c>
      <c r="CG238" s="833">
        <f t="shared" ca="1" si="199"/>
        <v>226</v>
      </c>
      <c r="CH238" s="836">
        <f t="shared" si="200"/>
        <v>0</v>
      </c>
      <c r="CI238" s="837" t="str">
        <f t="shared" si="201"/>
        <v>УСПЕШНО</v>
      </c>
      <c r="CJ238" s="838" t="str">
        <f t="shared" ca="1" si="202"/>
        <v>-</v>
      </c>
      <c r="CK238" s="831"/>
      <c r="CL238" s="832"/>
      <c r="CM238" s="833" t="str">
        <f t="shared" si="203"/>
        <v>-</v>
      </c>
      <c r="CN238" s="834" t="str">
        <f t="shared" si="204"/>
        <v>-</v>
      </c>
      <c r="CO238" s="830" t="str">
        <f t="shared" ca="1" si="205"/>
        <v>ТРЕБУЕТСЯ ВАКЦИНАЦИЯ</v>
      </c>
      <c r="CP238" s="839"/>
      <c r="CQ238" s="832"/>
      <c r="CR238" s="833" t="str">
        <f t="shared" si="206"/>
        <v>-</v>
      </c>
      <c r="CS238" s="833" t="str">
        <f t="shared" si="207"/>
        <v>-</v>
      </c>
      <c r="CT238" s="834" t="str">
        <f t="shared" si="208"/>
        <v>-</v>
      </c>
      <c r="CU238" s="835" t="str">
        <f t="shared" si="209"/>
        <v>-</v>
      </c>
      <c r="CV238" s="839"/>
      <c r="CW238" s="832"/>
      <c r="CX238" s="833" t="str">
        <f t="shared" si="210"/>
        <v>-</v>
      </c>
      <c r="CY238" s="840" t="str">
        <f t="shared" si="211"/>
        <v>-</v>
      </c>
      <c r="CZ238" s="833" t="str">
        <f t="shared" si="212"/>
        <v>-</v>
      </c>
      <c r="DA238" s="838" t="str">
        <f t="shared" ca="1" si="213"/>
        <v>-</v>
      </c>
      <c r="DB238" s="841"/>
      <c r="DC238" s="832"/>
    </row>
    <row r="239" spans="1:107" s="842" customFormat="1" ht="15.95" customHeight="1" x14ac:dyDescent="0.25">
      <c r="A239" s="790">
        <v>240</v>
      </c>
      <c r="B239" s="791">
        <f t="shared" ca="1" si="162"/>
        <v>43134</v>
      </c>
      <c r="C239" s="792" t="s">
        <v>613</v>
      </c>
      <c r="D239" s="793" t="s">
        <v>3202</v>
      </c>
      <c r="E239" s="794" t="s">
        <v>636</v>
      </c>
      <c r="F239" s="795" t="s">
        <v>637</v>
      </c>
      <c r="G239" s="796">
        <f>SUMIFS(МОЛОКО!L8:L6958,МОЛОКО!F8:F6958,"2027",МОЛОКО!L8:L6958,"&gt;0")</f>
        <v>15</v>
      </c>
      <c r="H239" s="797" t="s">
        <v>603</v>
      </c>
      <c r="I239" s="798">
        <v>41594</v>
      </c>
      <c r="J239" s="799">
        <f t="shared" ca="1" si="163"/>
        <v>4.2191780821917808</v>
      </c>
      <c r="K239" s="799">
        <f t="shared" ca="1" si="164"/>
        <v>51.333333333333336</v>
      </c>
      <c r="L239" s="800">
        <f t="shared" ca="1" si="165"/>
        <v>1540</v>
      </c>
      <c r="M239" s="801">
        <v>42406</v>
      </c>
      <c r="N239" s="802">
        <v>42813</v>
      </c>
      <c r="O239" s="803">
        <f t="shared" ca="1" si="166"/>
        <v>321</v>
      </c>
      <c r="P239" s="804">
        <v>2</v>
      </c>
      <c r="Q239" s="805" t="s">
        <v>1451</v>
      </c>
      <c r="R239" s="806" t="s">
        <v>2664</v>
      </c>
      <c r="S239" s="807">
        <v>42873</v>
      </c>
      <c r="T239" s="798">
        <v>42873</v>
      </c>
      <c r="U239" s="798" t="str">
        <f t="shared" si="167"/>
        <v>-</v>
      </c>
      <c r="V239" s="804" t="str">
        <f t="shared" ca="1" si="168"/>
        <v>-</v>
      </c>
      <c r="W239" s="808">
        <v>1</v>
      </c>
      <c r="X239" s="794">
        <f t="shared" si="161"/>
        <v>60</v>
      </c>
      <c r="Y239" s="794">
        <v>1</v>
      </c>
      <c r="Z239" s="809" t="str">
        <f t="shared" ca="1" si="169"/>
        <v>-----</v>
      </c>
      <c r="AA239" s="810" t="str">
        <f t="shared" ca="1" si="170"/>
        <v>-----</v>
      </c>
      <c r="AB239" s="804">
        <v>1</v>
      </c>
      <c r="AC239" s="811" t="str">
        <f t="shared" ca="1" si="171"/>
        <v>-----</v>
      </c>
      <c r="AD239" s="798">
        <v>42935</v>
      </c>
      <c r="AE239" s="794" t="str">
        <f t="shared" ca="1" si="172"/>
        <v>-</v>
      </c>
      <c r="AF239" s="798" t="str">
        <f t="shared" si="173"/>
        <v>-</v>
      </c>
      <c r="AG239" s="812" t="str">
        <f t="shared" si="174"/>
        <v>---------</v>
      </c>
      <c r="AH239" s="807">
        <v>42908</v>
      </c>
      <c r="AI239" s="807">
        <f t="shared" si="175"/>
        <v>43063</v>
      </c>
      <c r="AJ239" s="807">
        <f t="shared" si="176"/>
        <v>43093</v>
      </c>
      <c r="AK239" s="813"/>
      <c r="AL239" s="807">
        <f t="shared" si="177"/>
        <v>43132</v>
      </c>
      <c r="AM239" s="807">
        <f t="shared" si="178"/>
        <v>43153</v>
      </c>
      <c r="AN239" s="814">
        <f t="shared" ca="1" si="179"/>
        <v>-19</v>
      </c>
      <c r="AO239" s="815">
        <v>1</v>
      </c>
      <c r="AP239" s="816" t="str">
        <f t="shared" ca="1" si="180"/>
        <v>-</v>
      </c>
      <c r="AQ239" s="817"/>
      <c r="AR239" s="794" t="str">
        <f t="shared" si="181"/>
        <v>-</v>
      </c>
      <c r="AS239" s="818"/>
      <c r="AT239" s="794" t="str">
        <f t="shared" si="182"/>
        <v>-</v>
      </c>
      <c r="AU239" s="819"/>
      <c r="AV239" s="820"/>
      <c r="AW239" s="821"/>
      <c r="AX239" s="821"/>
      <c r="AY239" s="969" t="str">
        <f t="shared" si="183"/>
        <v>-</v>
      </c>
      <c r="AZ239" s="966" t="str">
        <f t="shared" si="184"/>
        <v>-</v>
      </c>
      <c r="BA239" s="971" t="str">
        <f t="shared" si="185"/>
        <v>-</v>
      </c>
      <c r="BB239" s="975"/>
      <c r="BC239" s="821"/>
      <c r="BD239" s="821"/>
      <c r="BE239" s="963" t="str">
        <f t="shared" si="186"/>
        <v>-</v>
      </c>
      <c r="BF239" s="984"/>
      <c r="BG239" s="988"/>
      <c r="BH239" s="982"/>
      <c r="BI239" s="991"/>
      <c r="BJ239" s="991"/>
      <c r="BK239" s="993" t="str">
        <f t="shared" si="187"/>
        <v>-</v>
      </c>
      <c r="BL239" s="820">
        <v>42981</v>
      </c>
      <c r="BM239" s="821">
        <v>5</v>
      </c>
      <c r="BN239" s="822">
        <f t="shared" ca="1" si="188"/>
        <v>153</v>
      </c>
      <c r="BO239" s="823">
        <f t="shared" si="189"/>
        <v>46.233333333333334</v>
      </c>
      <c r="BP239" s="824">
        <v>43001</v>
      </c>
      <c r="BQ239" s="821">
        <v>2</v>
      </c>
      <c r="BR239" s="822">
        <f t="shared" ca="1" si="190"/>
        <v>133</v>
      </c>
      <c r="BS239" s="823">
        <f t="shared" si="191"/>
        <v>19.833333333333332</v>
      </c>
      <c r="BT239" s="825" t="str">
        <f t="shared" ca="1" si="192"/>
        <v>-</v>
      </c>
      <c r="BU239" s="826"/>
      <c r="BV239" s="827"/>
      <c r="BW239" s="828" t="str">
        <f t="shared" si="193"/>
        <v>Ж-Е НЕ ВАКЦ.</v>
      </c>
      <c r="BX239" s="829" t="str">
        <f t="shared" si="194"/>
        <v>-</v>
      </c>
      <c r="BY239" s="830" t="str">
        <f t="shared" ca="1" si="195"/>
        <v>-</v>
      </c>
      <c r="BZ239" s="831">
        <v>42887</v>
      </c>
      <c r="CA239" s="832">
        <v>5</v>
      </c>
      <c r="CB239" s="833">
        <f t="shared" ca="1" si="196"/>
        <v>247</v>
      </c>
      <c r="CC239" s="834" t="str">
        <f t="shared" ca="1" si="197"/>
        <v>-</v>
      </c>
      <c r="CD239" s="835">
        <f t="shared" si="198"/>
        <v>42908</v>
      </c>
      <c r="CE239" s="831">
        <v>42908</v>
      </c>
      <c r="CF239" s="832">
        <v>5</v>
      </c>
      <c r="CG239" s="833">
        <f t="shared" ca="1" si="199"/>
        <v>226</v>
      </c>
      <c r="CH239" s="836">
        <f t="shared" si="200"/>
        <v>0</v>
      </c>
      <c r="CI239" s="837" t="str">
        <f t="shared" si="201"/>
        <v>УСПЕШНО</v>
      </c>
      <c r="CJ239" s="838" t="str">
        <f t="shared" ca="1" si="202"/>
        <v>-</v>
      </c>
      <c r="CK239" s="831"/>
      <c r="CL239" s="832"/>
      <c r="CM239" s="833" t="str">
        <f t="shared" si="203"/>
        <v>-</v>
      </c>
      <c r="CN239" s="834" t="str">
        <f t="shared" si="204"/>
        <v>-</v>
      </c>
      <c r="CO239" s="830" t="str">
        <f t="shared" ca="1" si="205"/>
        <v>ТРЕБУЕТСЯ ВАКЦИНАЦИЯ</v>
      </c>
      <c r="CP239" s="839"/>
      <c r="CQ239" s="832"/>
      <c r="CR239" s="833" t="str">
        <f t="shared" si="206"/>
        <v>-</v>
      </c>
      <c r="CS239" s="833" t="str">
        <f t="shared" si="207"/>
        <v>-</v>
      </c>
      <c r="CT239" s="834" t="str">
        <f t="shared" si="208"/>
        <v>-</v>
      </c>
      <c r="CU239" s="835" t="str">
        <f t="shared" si="209"/>
        <v>-</v>
      </c>
      <c r="CV239" s="839"/>
      <c r="CW239" s="832"/>
      <c r="CX239" s="833" t="str">
        <f t="shared" si="210"/>
        <v>-</v>
      </c>
      <c r="CY239" s="840" t="str">
        <f t="shared" si="211"/>
        <v>-</v>
      </c>
      <c r="CZ239" s="833" t="str">
        <f t="shared" si="212"/>
        <v>-</v>
      </c>
      <c r="DA239" s="838" t="str">
        <f t="shared" ca="1" si="213"/>
        <v>-</v>
      </c>
      <c r="DB239" s="841"/>
      <c r="DC239" s="832"/>
    </row>
    <row r="240" spans="1:107" s="842" customFormat="1" ht="15.95" customHeight="1" x14ac:dyDescent="0.25">
      <c r="A240" s="790">
        <v>241</v>
      </c>
      <c r="B240" s="791">
        <f t="shared" ca="1" si="162"/>
        <v>43134</v>
      </c>
      <c r="C240" s="29" t="s">
        <v>613</v>
      </c>
      <c r="D240" s="59" t="s">
        <v>3202</v>
      </c>
      <c r="E240" s="794" t="s">
        <v>1269</v>
      </c>
      <c r="F240" s="795" t="s">
        <v>1135</v>
      </c>
      <c r="G240" s="796">
        <f>SUMIFS(МОЛОКО!L8:L6958,МОЛОКО!F8:F6958,"2058",МОЛОКО!L8:L6958,"&gt;0")</f>
        <v>19</v>
      </c>
      <c r="H240" s="797" t="s">
        <v>603</v>
      </c>
      <c r="I240" s="798">
        <v>41612</v>
      </c>
      <c r="J240" s="799">
        <f t="shared" ca="1" si="163"/>
        <v>4.1698630136986301</v>
      </c>
      <c r="K240" s="799">
        <f t="shared" ca="1" si="164"/>
        <v>50.733333333333334</v>
      </c>
      <c r="L240" s="800">
        <f t="shared" ca="1" si="165"/>
        <v>1522</v>
      </c>
      <c r="M240" s="801">
        <v>42514</v>
      </c>
      <c r="N240" s="802">
        <v>42863</v>
      </c>
      <c r="O240" s="803">
        <f t="shared" ca="1" si="166"/>
        <v>271</v>
      </c>
      <c r="P240" s="804">
        <v>2</v>
      </c>
      <c r="Q240" s="805" t="s">
        <v>2366</v>
      </c>
      <c r="R240" s="806" t="s">
        <v>2962</v>
      </c>
      <c r="S240" s="807">
        <v>42922</v>
      </c>
      <c r="T240" s="798">
        <v>42942</v>
      </c>
      <c r="U240" s="798" t="str">
        <f t="shared" si="167"/>
        <v>-</v>
      </c>
      <c r="V240" s="804" t="str">
        <f t="shared" ca="1" si="168"/>
        <v>-</v>
      </c>
      <c r="W240" s="808">
        <v>2</v>
      </c>
      <c r="X240" s="794">
        <f t="shared" si="161"/>
        <v>79</v>
      </c>
      <c r="Y240" s="794">
        <v>1</v>
      </c>
      <c r="Z240" s="809" t="str">
        <f t="shared" ca="1" si="169"/>
        <v>-----</v>
      </c>
      <c r="AA240" s="810" t="str">
        <f t="shared" ca="1" si="170"/>
        <v>-----</v>
      </c>
      <c r="AB240" s="804">
        <v>1</v>
      </c>
      <c r="AC240" s="811" t="str">
        <f t="shared" ca="1" si="171"/>
        <v>-----</v>
      </c>
      <c r="AD240" s="798">
        <v>43030</v>
      </c>
      <c r="AE240" s="794" t="str">
        <f t="shared" ca="1" si="172"/>
        <v>-</v>
      </c>
      <c r="AF240" s="798" t="str">
        <f t="shared" si="173"/>
        <v>-</v>
      </c>
      <c r="AG240" s="812" t="str">
        <f t="shared" si="174"/>
        <v>---------</v>
      </c>
      <c r="AH240" s="807">
        <v>42975</v>
      </c>
      <c r="AI240" s="807">
        <f t="shared" si="175"/>
        <v>43132</v>
      </c>
      <c r="AJ240" s="807">
        <f t="shared" si="176"/>
        <v>43162</v>
      </c>
      <c r="AK240" s="813"/>
      <c r="AL240" s="807">
        <f t="shared" si="177"/>
        <v>43201</v>
      </c>
      <c r="AM240" s="807">
        <f t="shared" si="178"/>
        <v>43222</v>
      </c>
      <c r="AN240" s="814">
        <f t="shared" ca="1" si="179"/>
        <v>-88</v>
      </c>
      <c r="AO240" s="815">
        <v>1</v>
      </c>
      <c r="AP240" s="816" t="str">
        <f t="shared" ca="1" si="180"/>
        <v>-</v>
      </c>
      <c r="AQ240" s="817"/>
      <c r="AR240" s="794" t="str">
        <f t="shared" si="181"/>
        <v>-</v>
      </c>
      <c r="AS240" s="818"/>
      <c r="AT240" s="794" t="str">
        <f t="shared" si="182"/>
        <v>-</v>
      </c>
      <c r="AU240" s="819"/>
      <c r="AV240" s="820"/>
      <c r="AW240" s="821"/>
      <c r="AX240" s="821"/>
      <c r="AY240" s="969" t="str">
        <f t="shared" si="183"/>
        <v>-</v>
      </c>
      <c r="AZ240" s="966" t="str">
        <f t="shared" si="184"/>
        <v>-</v>
      </c>
      <c r="BA240" s="971" t="str">
        <f t="shared" si="185"/>
        <v>-</v>
      </c>
      <c r="BB240" s="975"/>
      <c r="BC240" s="821"/>
      <c r="BD240" s="821"/>
      <c r="BE240" s="963" t="str">
        <f t="shared" si="186"/>
        <v>-</v>
      </c>
      <c r="BF240" s="984"/>
      <c r="BG240" s="988"/>
      <c r="BH240" s="982"/>
      <c r="BI240" s="991"/>
      <c r="BJ240" s="991"/>
      <c r="BK240" s="993" t="str">
        <f t="shared" si="187"/>
        <v>-</v>
      </c>
      <c r="BL240" s="820">
        <v>42980</v>
      </c>
      <c r="BM240" s="821">
        <v>5</v>
      </c>
      <c r="BN240" s="822">
        <f t="shared" ca="1" si="188"/>
        <v>154</v>
      </c>
      <c r="BO240" s="823">
        <f t="shared" si="189"/>
        <v>45.6</v>
      </c>
      <c r="BP240" s="824">
        <v>43001</v>
      </c>
      <c r="BQ240" s="821">
        <v>2</v>
      </c>
      <c r="BR240" s="822">
        <f t="shared" ca="1" si="190"/>
        <v>133</v>
      </c>
      <c r="BS240" s="823">
        <f t="shared" si="191"/>
        <v>16.233333333333334</v>
      </c>
      <c r="BT240" s="825" t="str">
        <f t="shared" ca="1" si="192"/>
        <v>-</v>
      </c>
      <c r="BU240" s="826"/>
      <c r="BV240" s="827"/>
      <c r="BW240" s="828" t="str">
        <f t="shared" si="193"/>
        <v>Ж-Е НЕ ВАКЦ.</v>
      </c>
      <c r="BX240" s="829" t="str">
        <f t="shared" si="194"/>
        <v>-</v>
      </c>
      <c r="BY240" s="830" t="str">
        <f t="shared" ca="1" si="195"/>
        <v>-</v>
      </c>
      <c r="BZ240" s="831">
        <v>42888</v>
      </c>
      <c r="CA240" s="832">
        <v>5</v>
      </c>
      <c r="CB240" s="833">
        <f t="shared" ca="1" si="196"/>
        <v>246</v>
      </c>
      <c r="CC240" s="834" t="str">
        <f t="shared" ca="1" si="197"/>
        <v>-</v>
      </c>
      <c r="CD240" s="835">
        <f t="shared" si="198"/>
        <v>42909</v>
      </c>
      <c r="CE240" s="831">
        <v>42909</v>
      </c>
      <c r="CF240" s="832">
        <v>5</v>
      </c>
      <c r="CG240" s="833">
        <f t="shared" ca="1" si="199"/>
        <v>225</v>
      </c>
      <c r="CH240" s="836">
        <f t="shared" si="200"/>
        <v>0</v>
      </c>
      <c r="CI240" s="837" t="str">
        <f t="shared" si="201"/>
        <v>УСПЕШНО</v>
      </c>
      <c r="CJ240" s="838" t="str">
        <f t="shared" ca="1" si="202"/>
        <v>-</v>
      </c>
      <c r="CK240" s="831"/>
      <c r="CL240" s="832"/>
      <c r="CM240" s="833" t="str">
        <f t="shared" si="203"/>
        <v>-</v>
      </c>
      <c r="CN240" s="834" t="str">
        <f t="shared" si="204"/>
        <v>-</v>
      </c>
      <c r="CO240" s="830" t="str">
        <f t="shared" ca="1" si="205"/>
        <v>-</v>
      </c>
      <c r="CP240" s="839"/>
      <c r="CQ240" s="832"/>
      <c r="CR240" s="833" t="str">
        <f t="shared" si="206"/>
        <v>-</v>
      </c>
      <c r="CS240" s="833" t="str">
        <f t="shared" si="207"/>
        <v>-</v>
      </c>
      <c r="CT240" s="834" t="str">
        <f t="shared" si="208"/>
        <v>-</v>
      </c>
      <c r="CU240" s="835" t="str">
        <f t="shared" si="209"/>
        <v>-</v>
      </c>
      <c r="CV240" s="839"/>
      <c r="CW240" s="832"/>
      <c r="CX240" s="833" t="str">
        <f t="shared" si="210"/>
        <v>-</v>
      </c>
      <c r="CY240" s="840" t="str">
        <f t="shared" si="211"/>
        <v>-</v>
      </c>
      <c r="CZ240" s="833" t="str">
        <f t="shared" si="212"/>
        <v>-</v>
      </c>
      <c r="DA240" s="838" t="str">
        <f t="shared" ca="1" si="213"/>
        <v>-</v>
      </c>
      <c r="DB240" s="841"/>
      <c r="DC240" s="832"/>
    </row>
    <row r="241" spans="1:107" s="842" customFormat="1" ht="15.95" customHeight="1" x14ac:dyDescent="0.25">
      <c r="A241" s="790">
        <v>242</v>
      </c>
      <c r="B241" s="791">
        <f t="shared" ca="1" si="162"/>
        <v>43134</v>
      </c>
      <c r="C241" s="29" t="s">
        <v>613</v>
      </c>
      <c r="D241" s="793" t="s">
        <v>3202</v>
      </c>
      <c r="E241" s="794" t="s">
        <v>644</v>
      </c>
      <c r="F241" s="795" t="s">
        <v>645</v>
      </c>
      <c r="G241" s="796">
        <f>SUMIFS(МОЛОКО!L8:L6958,МОЛОКО!F8:F6958,"2070",МОЛОКО!L8:L6958,"&gt;0")</f>
        <v>17.2</v>
      </c>
      <c r="H241" s="797" t="s">
        <v>603</v>
      </c>
      <c r="I241" s="798">
        <v>41624</v>
      </c>
      <c r="J241" s="799">
        <f t="shared" ca="1" si="163"/>
        <v>4.1369863013698627</v>
      </c>
      <c r="K241" s="799">
        <f t="shared" ca="1" si="164"/>
        <v>50.333333333333336</v>
      </c>
      <c r="L241" s="800">
        <f t="shared" ca="1" si="165"/>
        <v>1510</v>
      </c>
      <c r="M241" s="801">
        <v>42389</v>
      </c>
      <c r="N241" s="802">
        <v>42905</v>
      </c>
      <c r="O241" s="803">
        <f t="shared" ca="1" si="166"/>
        <v>229</v>
      </c>
      <c r="P241" s="804">
        <v>2</v>
      </c>
      <c r="Q241" s="805" t="s">
        <v>1451</v>
      </c>
      <c r="R241" s="806" t="s">
        <v>2962</v>
      </c>
      <c r="S241" s="807">
        <v>42964</v>
      </c>
      <c r="T241" s="798">
        <v>43015</v>
      </c>
      <c r="U241" s="798" t="str">
        <f t="shared" si="167"/>
        <v>-</v>
      </c>
      <c r="V241" s="804" t="str">
        <f t="shared" ca="1" si="168"/>
        <v>-</v>
      </c>
      <c r="W241" s="808">
        <v>2</v>
      </c>
      <c r="X241" s="794">
        <f t="shared" si="161"/>
        <v>110</v>
      </c>
      <c r="Y241" s="794">
        <v>1</v>
      </c>
      <c r="Z241" s="809" t="str">
        <f t="shared" ca="1" si="169"/>
        <v>ПОДЛЕЖИТ ПЕРЕПРОВЕРКЕ</v>
      </c>
      <c r="AA241" s="810">
        <f t="shared" ca="1" si="170"/>
        <v>119</v>
      </c>
      <c r="AB241" s="804"/>
      <c r="AC241" s="811">
        <f t="shared" ca="1" si="171"/>
        <v>43087</v>
      </c>
      <c r="AD241" s="798"/>
      <c r="AE241" s="794" t="str">
        <f t="shared" ca="1" si="172"/>
        <v>-</v>
      </c>
      <c r="AF241" s="798" t="str">
        <f t="shared" si="173"/>
        <v>-</v>
      </c>
      <c r="AG241" s="812" t="str">
        <f t="shared" si="174"/>
        <v>---------</v>
      </c>
      <c r="AH241" s="807">
        <v>43045</v>
      </c>
      <c r="AI241" s="807">
        <f t="shared" si="175"/>
        <v>43205</v>
      </c>
      <c r="AJ241" s="807">
        <f t="shared" si="176"/>
        <v>43235</v>
      </c>
      <c r="AK241" s="813"/>
      <c r="AL241" s="807">
        <f t="shared" si="177"/>
        <v>43274</v>
      </c>
      <c r="AM241" s="807">
        <f t="shared" si="178"/>
        <v>43295</v>
      </c>
      <c r="AN241" s="814">
        <f t="shared" ca="1" si="179"/>
        <v>-161</v>
      </c>
      <c r="AO241" s="815">
        <v>1</v>
      </c>
      <c r="AP241" s="816" t="str">
        <f t="shared" ca="1" si="180"/>
        <v>-</v>
      </c>
      <c r="AQ241" s="817"/>
      <c r="AR241" s="794" t="str">
        <f t="shared" si="181"/>
        <v>-</v>
      </c>
      <c r="AS241" s="818"/>
      <c r="AT241" s="794" t="str">
        <f t="shared" si="182"/>
        <v>-</v>
      </c>
      <c r="AU241" s="819"/>
      <c r="AV241" s="820"/>
      <c r="AW241" s="821"/>
      <c r="AX241" s="821"/>
      <c r="AY241" s="969" t="str">
        <f t="shared" si="183"/>
        <v>-</v>
      </c>
      <c r="AZ241" s="966" t="str">
        <f t="shared" si="184"/>
        <v>-</v>
      </c>
      <c r="BA241" s="971" t="str">
        <f t="shared" si="185"/>
        <v>-</v>
      </c>
      <c r="BB241" s="975"/>
      <c r="BC241" s="821"/>
      <c r="BD241" s="821"/>
      <c r="BE241" s="963" t="str">
        <f t="shared" si="186"/>
        <v>-</v>
      </c>
      <c r="BF241" s="984">
        <v>43033</v>
      </c>
      <c r="BG241" s="988" t="s">
        <v>3353</v>
      </c>
      <c r="BH241" s="986" t="s">
        <v>3354</v>
      </c>
      <c r="BI241" s="991">
        <v>5</v>
      </c>
      <c r="BJ241" s="991" t="s">
        <v>3356</v>
      </c>
      <c r="BK241" s="993">
        <f t="shared" ca="1" si="187"/>
        <v>101</v>
      </c>
      <c r="BL241" s="820">
        <v>42980</v>
      </c>
      <c r="BM241" s="821">
        <v>5</v>
      </c>
      <c r="BN241" s="822">
        <f t="shared" ca="1" si="188"/>
        <v>154</v>
      </c>
      <c r="BO241" s="823">
        <f t="shared" si="189"/>
        <v>45.2</v>
      </c>
      <c r="BP241" s="824">
        <v>43001</v>
      </c>
      <c r="BQ241" s="821">
        <v>2</v>
      </c>
      <c r="BR241" s="822">
        <f t="shared" ca="1" si="190"/>
        <v>133</v>
      </c>
      <c r="BS241" s="823">
        <f t="shared" si="191"/>
        <v>20.399999999999999</v>
      </c>
      <c r="BT241" s="825" t="str">
        <f t="shared" ca="1" si="192"/>
        <v>-</v>
      </c>
      <c r="BU241" s="826"/>
      <c r="BV241" s="827"/>
      <c r="BW241" s="828" t="str">
        <f t="shared" si="193"/>
        <v>Ж-Е НЕ ВАКЦ.</v>
      </c>
      <c r="BX241" s="829" t="str">
        <f t="shared" si="194"/>
        <v>-</v>
      </c>
      <c r="BY241" s="830" t="str">
        <f t="shared" ca="1" si="195"/>
        <v>-</v>
      </c>
      <c r="BZ241" s="831">
        <v>42940</v>
      </c>
      <c r="CA241" s="832">
        <v>5</v>
      </c>
      <c r="CB241" s="833">
        <f t="shared" ca="1" si="196"/>
        <v>194</v>
      </c>
      <c r="CC241" s="834" t="str">
        <f t="shared" ca="1" si="197"/>
        <v>-</v>
      </c>
      <c r="CD241" s="835">
        <f t="shared" si="198"/>
        <v>42961</v>
      </c>
      <c r="CE241" s="831">
        <v>42969</v>
      </c>
      <c r="CF241" s="832">
        <v>5</v>
      </c>
      <c r="CG241" s="833">
        <f t="shared" ca="1" si="199"/>
        <v>165</v>
      </c>
      <c r="CH241" s="836">
        <f t="shared" si="200"/>
        <v>-8</v>
      </c>
      <c r="CI241" s="837" t="str">
        <f t="shared" si="201"/>
        <v>-</v>
      </c>
      <c r="CJ241" s="838" t="str">
        <f t="shared" ca="1" si="202"/>
        <v>-</v>
      </c>
      <c r="CK241" s="831"/>
      <c r="CL241" s="832"/>
      <c r="CM241" s="833" t="str">
        <f t="shared" si="203"/>
        <v>-</v>
      </c>
      <c r="CN241" s="834" t="str">
        <f t="shared" si="204"/>
        <v>-</v>
      </c>
      <c r="CO241" s="830" t="str">
        <f t="shared" ca="1" si="205"/>
        <v>-</v>
      </c>
      <c r="CP241" s="839"/>
      <c r="CQ241" s="832"/>
      <c r="CR241" s="833" t="str">
        <f t="shared" si="206"/>
        <v>-</v>
      </c>
      <c r="CS241" s="833" t="str">
        <f t="shared" si="207"/>
        <v>-</v>
      </c>
      <c r="CT241" s="834" t="str">
        <f t="shared" si="208"/>
        <v>-</v>
      </c>
      <c r="CU241" s="835" t="str">
        <f t="shared" si="209"/>
        <v>-</v>
      </c>
      <c r="CV241" s="839"/>
      <c r="CW241" s="832"/>
      <c r="CX241" s="833" t="str">
        <f t="shared" si="210"/>
        <v>-</v>
      </c>
      <c r="CY241" s="840" t="str">
        <f t="shared" si="211"/>
        <v>-</v>
      </c>
      <c r="CZ241" s="833" t="str">
        <f t="shared" si="212"/>
        <v>-</v>
      </c>
      <c r="DA241" s="838" t="str">
        <f t="shared" ca="1" si="213"/>
        <v>-</v>
      </c>
      <c r="DB241" s="841"/>
      <c r="DC241" s="832"/>
    </row>
    <row r="242" spans="1:107" s="842" customFormat="1" ht="15.95" customHeight="1" x14ac:dyDescent="0.25">
      <c r="A242" s="790">
        <v>243</v>
      </c>
      <c r="B242" s="791">
        <f t="shared" ca="1" si="162"/>
        <v>43134</v>
      </c>
      <c r="C242" s="792" t="s">
        <v>613</v>
      </c>
      <c r="D242" s="793" t="s">
        <v>3202</v>
      </c>
      <c r="E242" s="794" t="s">
        <v>646</v>
      </c>
      <c r="F242" s="854" t="s">
        <v>647</v>
      </c>
      <c r="G242" s="796">
        <f>SUMIFS(МОЛОКО!L8:L6958,МОЛОКО!F8:F6958,"2079",МОЛОКО!L8:L6958,"&gt;0")</f>
        <v>17</v>
      </c>
      <c r="H242" s="797" t="s">
        <v>603</v>
      </c>
      <c r="I242" s="798">
        <v>41632</v>
      </c>
      <c r="J242" s="799">
        <f t="shared" ca="1" si="163"/>
        <v>4.1150684931506847</v>
      </c>
      <c r="K242" s="799">
        <f t="shared" ca="1" si="164"/>
        <v>50.06666666666667</v>
      </c>
      <c r="L242" s="800">
        <f t="shared" ca="1" si="165"/>
        <v>1502</v>
      </c>
      <c r="M242" s="801">
        <v>42395</v>
      </c>
      <c r="N242" s="802">
        <v>42819</v>
      </c>
      <c r="O242" s="803">
        <f t="shared" ca="1" si="166"/>
        <v>315</v>
      </c>
      <c r="P242" s="804">
        <v>2</v>
      </c>
      <c r="Q242" s="805" t="s">
        <v>2366</v>
      </c>
      <c r="R242" s="806" t="s">
        <v>2335</v>
      </c>
      <c r="S242" s="807">
        <v>42880</v>
      </c>
      <c r="T242" s="798">
        <v>42880</v>
      </c>
      <c r="U242" s="798" t="str">
        <f t="shared" si="167"/>
        <v>-</v>
      </c>
      <c r="V242" s="804" t="str">
        <f t="shared" ca="1" si="168"/>
        <v>-</v>
      </c>
      <c r="W242" s="808">
        <v>1</v>
      </c>
      <c r="X242" s="794">
        <f t="shared" si="161"/>
        <v>61</v>
      </c>
      <c r="Y242" s="794">
        <v>1</v>
      </c>
      <c r="Z242" s="809" t="str">
        <f t="shared" ca="1" si="169"/>
        <v>-----</v>
      </c>
      <c r="AA242" s="810" t="str">
        <f t="shared" ca="1" si="170"/>
        <v>-----</v>
      </c>
      <c r="AB242" s="804">
        <v>1</v>
      </c>
      <c r="AC242" s="811" t="str">
        <f t="shared" ca="1" si="171"/>
        <v>-----</v>
      </c>
      <c r="AD242" s="798">
        <v>42955</v>
      </c>
      <c r="AE242" s="794" t="str">
        <f t="shared" ca="1" si="172"/>
        <v>-</v>
      </c>
      <c r="AF242" s="798" t="str">
        <f t="shared" si="173"/>
        <v>-</v>
      </c>
      <c r="AG242" s="812" t="str">
        <f t="shared" si="174"/>
        <v>---------</v>
      </c>
      <c r="AH242" s="807">
        <v>42917</v>
      </c>
      <c r="AI242" s="807">
        <f t="shared" si="175"/>
        <v>43070</v>
      </c>
      <c r="AJ242" s="807">
        <f t="shared" si="176"/>
        <v>43100</v>
      </c>
      <c r="AK242" s="813"/>
      <c r="AL242" s="807">
        <f t="shared" si="177"/>
        <v>43139</v>
      </c>
      <c r="AM242" s="807">
        <f t="shared" si="178"/>
        <v>43160</v>
      </c>
      <c r="AN242" s="814">
        <f t="shared" ca="1" si="179"/>
        <v>-26</v>
      </c>
      <c r="AO242" s="815">
        <v>1</v>
      </c>
      <c r="AP242" s="816" t="str">
        <f t="shared" ca="1" si="180"/>
        <v>-</v>
      </c>
      <c r="AQ242" s="817"/>
      <c r="AR242" s="794" t="str">
        <f t="shared" si="181"/>
        <v>-</v>
      </c>
      <c r="AS242" s="818"/>
      <c r="AT242" s="794" t="str">
        <f t="shared" si="182"/>
        <v>-</v>
      </c>
      <c r="AU242" s="819">
        <v>1</v>
      </c>
      <c r="AV242" s="820"/>
      <c r="AW242" s="821"/>
      <c r="AX242" s="821"/>
      <c r="AY242" s="969" t="str">
        <f t="shared" si="183"/>
        <v>-</v>
      </c>
      <c r="AZ242" s="966" t="str">
        <f t="shared" si="184"/>
        <v>-</v>
      </c>
      <c r="BA242" s="971" t="str">
        <f t="shared" si="185"/>
        <v>-</v>
      </c>
      <c r="BB242" s="975"/>
      <c r="BC242" s="821"/>
      <c r="BD242" s="821"/>
      <c r="BE242" s="963" t="str">
        <f t="shared" si="186"/>
        <v>-</v>
      </c>
      <c r="BF242" s="984"/>
      <c r="BG242" s="988"/>
      <c r="BH242" s="982"/>
      <c r="BI242" s="991"/>
      <c r="BJ242" s="991"/>
      <c r="BK242" s="993" t="str">
        <f t="shared" si="187"/>
        <v>-</v>
      </c>
      <c r="BL242" s="820">
        <v>42981</v>
      </c>
      <c r="BM242" s="821">
        <v>5</v>
      </c>
      <c r="BN242" s="822">
        <f t="shared" ca="1" si="188"/>
        <v>153</v>
      </c>
      <c r="BO242" s="823">
        <f t="shared" si="189"/>
        <v>44.966666666666669</v>
      </c>
      <c r="BP242" s="824">
        <v>43001</v>
      </c>
      <c r="BQ242" s="821">
        <v>2</v>
      </c>
      <c r="BR242" s="822">
        <f t="shared" ca="1" si="190"/>
        <v>133</v>
      </c>
      <c r="BS242" s="823">
        <f t="shared" si="191"/>
        <v>20.2</v>
      </c>
      <c r="BT242" s="825" t="str">
        <f t="shared" ca="1" si="192"/>
        <v>-</v>
      </c>
      <c r="BU242" s="826"/>
      <c r="BV242" s="827"/>
      <c r="BW242" s="828" t="str">
        <f t="shared" si="193"/>
        <v>Ж-Е НЕ ВАКЦ.</v>
      </c>
      <c r="BX242" s="829" t="str">
        <f t="shared" si="194"/>
        <v>-</v>
      </c>
      <c r="BY242" s="830" t="str">
        <f t="shared" ca="1" si="195"/>
        <v>-</v>
      </c>
      <c r="BZ242" s="831">
        <v>42887</v>
      </c>
      <c r="CA242" s="832">
        <v>5</v>
      </c>
      <c r="CB242" s="833">
        <f t="shared" ca="1" si="196"/>
        <v>247</v>
      </c>
      <c r="CC242" s="834" t="str">
        <f t="shared" ca="1" si="197"/>
        <v>-</v>
      </c>
      <c r="CD242" s="835">
        <f t="shared" si="198"/>
        <v>42908</v>
      </c>
      <c r="CE242" s="831">
        <v>42908</v>
      </c>
      <c r="CF242" s="832">
        <v>5</v>
      </c>
      <c r="CG242" s="833">
        <f t="shared" ca="1" si="199"/>
        <v>226</v>
      </c>
      <c r="CH242" s="836">
        <f t="shared" si="200"/>
        <v>0</v>
      </c>
      <c r="CI242" s="837" t="str">
        <f t="shared" si="201"/>
        <v>УСПЕШНО</v>
      </c>
      <c r="CJ242" s="838" t="str">
        <f t="shared" ca="1" si="202"/>
        <v>-</v>
      </c>
      <c r="CK242" s="831"/>
      <c r="CL242" s="832"/>
      <c r="CM242" s="833" t="str">
        <f t="shared" si="203"/>
        <v>-</v>
      </c>
      <c r="CN242" s="834" t="str">
        <f t="shared" si="204"/>
        <v>-</v>
      </c>
      <c r="CO242" s="830" t="str">
        <f t="shared" ca="1" si="205"/>
        <v>ТРЕБУЕТСЯ ВАКЦИНАЦИЯ</v>
      </c>
      <c r="CP242" s="839"/>
      <c r="CQ242" s="832"/>
      <c r="CR242" s="833" t="str">
        <f t="shared" si="206"/>
        <v>-</v>
      </c>
      <c r="CS242" s="833" t="str">
        <f t="shared" si="207"/>
        <v>-</v>
      </c>
      <c r="CT242" s="834" t="str">
        <f t="shared" si="208"/>
        <v>-</v>
      </c>
      <c r="CU242" s="835" t="str">
        <f t="shared" si="209"/>
        <v>-</v>
      </c>
      <c r="CV242" s="839"/>
      <c r="CW242" s="832"/>
      <c r="CX242" s="833" t="str">
        <f t="shared" si="210"/>
        <v>-</v>
      </c>
      <c r="CY242" s="840" t="str">
        <f t="shared" si="211"/>
        <v>-</v>
      </c>
      <c r="CZ242" s="833" t="str">
        <f t="shared" si="212"/>
        <v>-</v>
      </c>
      <c r="DA242" s="838" t="str">
        <f t="shared" ca="1" si="213"/>
        <v>-</v>
      </c>
      <c r="DB242" s="841"/>
      <c r="DC242" s="832"/>
    </row>
    <row r="243" spans="1:107" s="842" customFormat="1" ht="15.95" customHeight="1" x14ac:dyDescent="0.25">
      <c r="A243" s="790">
        <v>244</v>
      </c>
      <c r="B243" s="791">
        <f t="shared" ca="1" si="162"/>
        <v>43134</v>
      </c>
      <c r="C243" s="792" t="s">
        <v>613</v>
      </c>
      <c r="D243" s="793" t="s">
        <v>3202</v>
      </c>
      <c r="E243" s="794" t="s">
        <v>1281</v>
      </c>
      <c r="F243" s="795" t="s">
        <v>1156</v>
      </c>
      <c r="G243" s="796">
        <f>SUMIFS(МОЛОКО!L8:L6958,МОЛОКО!F8:F6958,"2163",МОЛОКО!L8:L6958,"&gt;0")</f>
        <v>9.4</v>
      </c>
      <c r="H243" s="797" t="s">
        <v>603</v>
      </c>
      <c r="I243" s="798">
        <v>41713</v>
      </c>
      <c r="J243" s="799">
        <f t="shared" ca="1" si="163"/>
        <v>3.893150684931507</v>
      </c>
      <c r="K243" s="799">
        <f t="shared" ca="1" si="164"/>
        <v>47.366666666666667</v>
      </c>
      <c r="L243" s="800">
        <f t="shared" ca="1" si="165"/>
        <v>1421</v>
      </c>
      <c r="M243" s="801">
        <v>42502</v>
      </c>
      <c r="N243" s="802">
        <v>42838</v>
      </c>
      <c r="O243" s="803">
        <f t="shared" ca="1" si="166"/>
        <v>296</v>
      </c>
      <c r="P243" s="804">
        <v>2</v>
      </c>
      <c r="Q243" s="805" t="s">
        <v>2366</v>
      </c>
      <c r="R243" s="806" t="s">
        <v>3020</v>
      </c>
      <c r="S243" s="807">
        <v>42901</v>
      </c>
      <c r="T243" s="798">
        <v>42989</v>
      </c>
      <c r="U243" s="798" t="str">
        <f t="shared" si="167"/>
        <v>-</v>
      </c>
      <c r="V243" s="804" t="str">
        <f t="shared" ca="1" si="168"/>
        <v>-</v>
      </c>
      <c r="W243" s="808">
        <v>2</v>
      </c>
      <c r="X243" s="794">
        <f t="shared" si="161"/>
        <v>151</v>
      </c>
      <c r="Y243" s="794">
        <v>1</v>
      </c>
      <c r="Z243" s="809" t="str">
        <f t="shared" ca="1" si="169"/>
        <v>ПОДЛЕЖИТ ПЕРЕПРОВЕРКЕ</v>
      </c>
      <c r="AA243" s="810">
        <f t="shared" ca="1" si="170"/>
        <v>145</v>
      </c>
      <c r="AB243" s="804"/>
      <c r="AC243" s="811">
        <f t="shared" ca="1" si="171"/>
        <v>43061</v>
      </c>
      <c r="AD243" s="798"/>
      <c r="AE243" s="794" t="str">
        <f t="shared" ca="1" si="172"/>
        <v>-</v>
      </c>
      <c r="AF243" s="798" t="str">
        <f t="shared" si="173"/>
        <v>-</v>
      </c>
      <c r="AG243" s="812" t="str">
        <f t="shared" si="174"/>
        <v>---------</v>
      </c>
      <c r="AH243" s="807">
        <v>43021</v>
      </c>
      <c r="AI243" s="807">
        <f t="shared" si="175"/>
        <v>43179</v>
      </c>
      <c r="AJ243" s="807">
        <f t="shared" si="176"/>
        <v>43209</v>
      </c>
      <c r="AK243" s="813"/>
      <c r="AL243" s="807">
        <f t="shared" si="177"/>
        <v>43248</v>
      </c>
      <c r="AM243" s="807">
        <f t="shared" si="178"/>
        <v>43269</v>
      </c>
      <c r="AN243" s="814">
        <f t="shared" ca="1" si="179"/>
        <v>-135</v>
      </c>
      <c r="AO243" s="815">
        <v>1</v>
      </c>
      <c r="AP243" s="816" t="str">
        <f t="shared" ca="1" si="180"/>
        <v>-</v>
      </c>
      <c r="AQ243" s="817"/>
      <c r="AR243" s="794" t="str">
        <f t="shared" si="181"/>
        <v>-</v>
      </c>
      <c r="AS243" s="818"/>
      <c r="AT243" s="794" t="str">
        <f t="shared" si="182"/>
        <v>-</v>
      </c>
      <c r="AU243" s="819"/>
      <c r="AV243" s="820"/>
      <c r="AW243" s="821"/>
      <c r="AX243" s="821"/>
      <c r="AY243" s="969" t="str">
        <f t="shared" si="183"/>
        <v>-</v>
      </c>
      <c r="AZ243" s="966" t="str">
        <f t="shared" si="184"/>
        <v>-</v>
      </c>
      <c r="BA243" s="971" t="str">
        <f t="shared" si="185"/>
        <v>-</v>
      </c>
      <c r="BB243" s="975"/>
      <c r="BC243" s="821"/>
      <c r="BD243" s="821"/>
      <c r="BE243" s="963" t="str">
        <f t="shared" si="186"/>
        <v>-</v>
      </c>
      <c r="BF243" s="984"/>
      <c r="BG243" s="988"/>
      <c r="BH243" s="982"/>
      <c r="BI243" s="991"/>
      <c r="BJ243" s="991"/>
      <c r="BK243" s="993" t="str">
        <f t="shared" si="187"/>
        <v>-</v>
      </c>
      <c r="BL243" s="820">
        <v>42980</v>
      </c>
      <c r="BM243" s="821">
        <v>5</v>
      </c>
      <c r="BN243" s="822">
        <f t="shared" ca="1" si="188"/>
        <v>154</v>
      </c>
      <c r="BO243" s="823">
        <f t="shared" si="189"/>
        <v>42.233333333333334</v>
      </c>
      <c r="BP243" s="824">
        <v>43001</v>
      </c>
      <c r="BQ243" s="821">
        <v>2</v>
      </c>
      <c r="BR243" s="822">
        <f t="shared" ca="1" si="190"/>
        <v>133</v>
      </c>
      <c r="BS243" s="823">
        <f t="shared" si="191"/>
        <v>16.633333333333333</v>
      </c>
      <c r="BT243" s="825" t="str">
        <f t="shared" ca="1" si="192"/>
        <v>-</v>
      </c>
      <c r="BU243" s="826"/>
      <c r="BV243" s="827"/>
      <c r="BW243" s="828" t="str">
        <f t="shared" si="193"/>
        <v>Ж-Е НЕ ВАКЦ.</v>
      </c>
      <c r="BX243" s="829" t="str">
        <f t="shared" si="194"/>
        <v>-</v>
      </c>
      <c r="BY243" s="830" t="str">
        <f t="shared" ca="1" si="195"/>
        <v>-</v>
      </c>
      <c r="BZ243" s="831">
        <v>42887</v>
      </c>
      <c r="CA243" s="832">
        <v>5</v>
      </c>
      <c r="CB243" s="833">
        <f t="shared" ca="1" si="196"/>
        <v>247</v>
      </c>
      <c r="CC243" s="834" t="str">
        <f t="shared" ca="1" si="197"/>
        <v>-</v>
      </c>
      <c r="CD243" s="835">
        <f t="shared" si="198"/>
        <v>42908</v>
      </c>
      <c r="CE243" s="831">
        <v>42908</v>
      </c>
      <c r="CF243" s="832">
        <v>5</v>
      </c>
      <c r="CG243" s="833">
        <f t="shared" ca="1" si="199"/>
        <v>226</v>
      </c>
      <c r="CH243" s="836">
        <f t="shared" si="200"/>
        <v>0</v>
      </c>
      <c r="CI243" s="837" t="str">
        <f t="shared" si="201"/>
        <v>УСПЕШНО</v>
      </c>
      <c r="CJ243" s="838" t="str">
        <f t="shared" ca="1" si="202"/>
        <v>-</v>
      </c>
      <c r="CK243" s="831"/>
      <c r="CL243" s="832"/>
      <c r="CM243" s="833" t="str">
        <f t="shared" si="203"/>
        <v>-</v>
      </c>
      <c r="CN243" s="834" t="str">
        <f t="shared" si="204"/>
        <v>-</v>
      </c>
      <c r="CO243" s="830" t="str">
        <f t="shared" ca="1" si="205"/>
        <v>-</v>
      </c>
      <c r="CP243" s="839"/>
      <c r="CQ243" s="832"/>
      <c r="CR243" s="833" t="str">
        <f t="shared" si="206"/>
        <v>-</v>
      </c>
      <c r="CS243" s="833" t="str">
        <f t="shared" si="207"/>
        <v>-</v>
      </c>
      <c r="CT243" s="834" t="str">
        <f t="shared" si="208"/>
        <v>-</v>
      </c>
      <c r="CU243" s="835" t="str">
        <f t="shared" si="209"/>
        <v>-</v>
      </c>
      <c r="CV243" s="839"/>
      <c r="CW243" s="832"/>
      <c r="CX243" s="833" t="str">
        <f t="shared" si="210"/>
        <v>-</v>
      </c>
      <c r="CY243" s="840" t="str">
        <f t="shared" si="211"/>
        <v>-</v>
      </c>
      <c r="CZ243" s="833" t="str">
        <f t="shared" si="212"/>
        <v>-</v>
      </c>
      <c r="DA243" s="838" t="str">
        <f t="shared" ca="1" si="213"/>
        <v>-</v>
      </c>
      <c r="DB243" s="841"/>
      <c r="DC243" s="832"/>
    </row>
    <row r="244" spans="1:107" s="842" customFormat="1" ht="15.95" customHeight="1" x14ac:dyDescent="0.25">
      <c r="A244" s="790">
        <v>245</v>
      </c>
      <c r="B244" s="791">
        <f t="shared" ca="1" si="162"/>
        <v>43134</v>
      </c>
      <c r="C244" s="29" t="s">
        <v>613</v>
      </c>
      <c r="D244" s="59" t="s">
        <v>3202</v>
      </c>
      <c r="E244" s="794" t="s">
        <v>1111</v>
      </c>
      <c r="F244" s="998" t="s">
        <v>1428</v>
      </c>
      <c r="G244" s="796">
        <f>SUMIFS(МОЛОКО!L8:L6958,МОЛОКО!F8:F6958,"2169",МОЛОКО!L8:L6958,"&gt;0")</f>
        <v>21</v>
      </c>
      <c r="H244" s="797" t="s">
        <v>603</v>
      </c>
      <c r="I244" s="798">
        <v>41732</v>
      </c>
      <c r="J244" s="799">
        <f t="shared" ca="1" si="163"/>
        <v>3.8410958904109589</v>
      </c>
      <c r="K244" s="799">
        <f t="shared" ca="1" si="164"/>
        <v>46.733333333333334</v>
      </c>
      <c r="L244" s="800">
        <f t="shared" ca="1" si="165"/>
        <v>1402</v>
      </c>
      <c r="M244" s="801">
        <v>42465</v>
      </c>
      <c r="N244" s="802">
        <v>42812</v>
      </c>
      <c r="O244" s="803">
        <f t="shared" ca="1" si="166"/>
        <v>322</v>
      </c>
      <c r="P244" s="804">
        <v>2</v>
      </c>
      <c r="Q244" s="805" t="s">
        <v>2366</v>
      </c>
      <c r="R244" s="806" t="s">
        <v>1816</v>
      </c>
      <c r="S244" s="807">
        <v>42873</v>
      </c>
      <c r="T244" s="798">
        <v>42935</v>
      </c>
      <c r="U244" s="798" t="str">
        <f t="shared" si="167"/>
        <v>-</v>
      </c>
      <c r="V244" s="804" t="str">
        <f t="shared" ca="1" si="168"/>
        <v>-</v>
      </c>
      <c r="W244" s="808">
        <v>3</v>
      </c>
      <c r="X244" s="794">
        <f t="shared" si="161"/>
        <v>123</v>
      </c>
      <c r="Y244" s="794">
        <v>1</v>
      </c>
      <c r="Z244" s="809" t="str">
        <f t="shared" ca="1" si="169"/>
        <v>-----</v>
      </c>
      <c r="AA244" s="810" t="str">
        <f t="shared" ca="1" si="170"/>
        <v>-----</v>
      </c>
      <c r="AB244" s="804">
        <v>1</v>
      </c>
      <c r="AC244" s="811" t="str">
        <f t="shared" ca="1" si="171"/>
        <v>-----</v>
      </c>
      <c r="AD244" s="798">
        <v>43043</v>
      </c>
      <c r="AE244" s="794" t="str">
        <f t="shared" ca="1" si="172"/>
        <v>-</v>
      </c>
      <c r="AF244" s="798" t="str">
        <f t="shared" si="173"/>
        <v>-</v>
      </c>
      <c r="AG244" s="812" t="str">
        <f t="shared" si="174"/>
        <v>---------</v>
      </c>
      <c r="AH244" s="807">
        <v>42968</v>
      </c>
      <c r="AI244" s="807">
        <f t="shared" si="175"/>
        <v>43125</v>
      </c>
      <c r="AJ244" s="807">
        <f t="shared" si="176"/>
        <v>43155</v>
      </c>
      <c r="AK244" s="813"/>
      <c r="AL244" s="807">
        <f t="shared" si="177"/>
        <v>43194</v>
      </c>
      <c r="AM244" s="807">
        <f t="shared" si="178"/>
        <v>43215</v>
      </c>
      <c r="AN244" s="814">
        <f t="shared" ca="1" si="179"/>
        <v>-81</v>
      </c>
      <c r="AO244" s="815">
        <v>1</v>
      </c>
      <c r="AP244" s="816" t="str">
        <f t="shared" ca="1" si="180"/>
        <v>-</v>
      </c>
      <c r="AQ244" s="817"/>
      <c r="AR244" s="794" t="str">
        <f t="shared" si="181"/>
        <v>-</v>
      </c>
      <c r="AS244" s="818"/>
      <c r="AT244" s="794" t="str">
        <f t="shared" si="182"/>
        <v>-</v>
      </c>
      <c r="AU244" s="300" t="s">
        <v>2696</v>
      </c>
      <c r="AV244" s="820"/>
      <c r="AW244" s="821"/>
      <c r="AX244" s="821"/>
      <c r="AY244" s="969" t="str">
        <f t="shared" si="183"/>
        <v>-</v>
      </c>
      <c r="AZ244" s="966" t="str">
        <f t="shared" si="184"/>
        <v>-</v>
      </c>
      <c r="BA244" s="971" t="str">
        <f t="shared" si="185"/>
        <v>-</v>
      </c>
      <c r="BB244" s="975"/>
      <c r="BC244" s="821"/>
      <c r="BD244" s="821"/>
      <c r="BE244" s="963" t="str">
        <f t="shared" si="186"/>
        <v>-</v>
      </c>
      <c r="BF244" s="984"/>
      <c r="BG244" s="988"/>
      <c r="BH244" s="982"/>
      <c r="BI244" s="991"/>
      <c r="BJ244" s="991"/>
      <c r="BK244" s="993" t="str">
        <f t="shared" si="187"/>
        <v>-</v>
      </c>
      <c r="BL244" s="820">
        <v>42979</v>
      </c>
      <c r="BM244" s="821">
        <v>5</v>
      </c>
      <c r="BN244" s="822">
        <f t="shared" ca="1" si="188"/>
        <v>155</v>
      </c>
      <c r="BO244" s="823">
        <f t="shared" si="189"/>
        <v>41.56666666666667</v>
      </c>
      <c r="BP244" s="824">
        <v>43001</v>
      </c>
      <c r="BQ244" s="821">
        <v>2</v>
      </c>
      <c r="BR244" s="822">
        <f t="shared" ca="1" si="190"/>
        <v>133</v>
      </c>
      <c r="BS244" s="823">
        <f t="shared" si="191"/>
        <v>17.866666666666667</v>
      </c>
      <c r="BT244" s="825" t="str">
        <f t="shared" ca="1" si="192"/>
        <v>-</v>
      </c>
      <c r="BU244" s="826"/>
      <c r="BV244" s="827"/>
      <c r="BW244" s="828" t="str">
        <f t="shared" si="193"/>
        <v>Ж-Е НЕ ВАКЦ.</v>
      </c>
      <c r="BX244" s="829" t="str">
        <f t="shared" si="194"/>
        <v>-</v>
      </c>
      <c r="BY244" s="830" t="str">
        <f t="shared" ca="1" si="195"/>
        <v>-</v>
      </c>
      <c r="BZ244" s="831">
        <v>42887</v>
      </c>
      <c r="CA244" s="832">
        <v>5</v>
      </c>
      <c r="CB244" s="833">
        <f t="shared" ca="1" si="196"/>
        <v>247</v>
      </c>
      <c r="CC244" s="834" t="str">
        <f t="shared" ca="1" si="197"/>
        <v>-</v>
      </c>
      <c r="CD244" s="835">
        <f t="shared" si="198"/>
        <v>42908</v>
      </c>
      <c r="CE244" s="831">
        <v>42908</v>
      </c>
      <c r="CF244" s="832">
        <v>5</v>
      </c>
      <c r="CG244" s="833">
        <f t="shared" ca="1" si="199"/>
        <v>226</v>
      </c>
      <c r="CH244" s="836">
        <f t="shared" si="200"/>
        <v>0</v>
      </c>
      <c r="CI244" s="837" t="str">
        <f t="shared" si="201"/>
        <v>УСПЕШНО</v>
      </c>
      <c r="CJ244" s="838" t="str">
        <f t="shared" ca="1" si="202"/>
        <v>-</v>
      </c>
      <c r="CK244" s="831"/>
      <c r="CL244" s="832"/>
      <c r="CM244" s="833" t="str">
        <f t="shared" si="203"/>
        <v>-</v>
      </c>
      <c r="CN244" s="834" t="str">
        <f t="shared" si="204"/>
        <v>-</v>
      </c>
      <c r="CO244" s="830" t="str">
        <f t="shared" ca="1" si="205"/>
        <v>-</v>
      </c>
      <c r="CP244" s="839"/>
      <c r="CQ244" s="832"/>
      <c r="CR244" s="833" t="str">
        <f t="shared" si="206"/>
        <v>-</v>
      </c>
      <c r="CS244" s="833" t="str">
        <f t="shared" si="207"/>
        <v>-</v>
      </c>
      <c r="CT244" s="834" t="str">
        <f t="shared" si="208"/>
        <v>-</v>
      </c>
      <c r="CU244" s="835" t="str">
        <f t="shared" si="209"/>
        <v>-</v>
      </c>
      <c r="CV244" s="839"/>
      <c r="CW244" s="832"/>
      <c r="CX244" s="833" t="str">
        <f t="shared" si="210"/>
        <v>-</v>
      </c>
      <c r="CY244" s="840" t="str">
        <f t="shared" si="211"/>
        <v>-</v>
      </c>
      <c r="CZ244" s="833" t="str">
        <f t="shared" si="212"/>
        <v>-</v>
      </c>
      <c r="DA244" s="838" t="str">
        <f t="shared" ca="1" si="213"/>
        <v>-</v>
      </c>
      <c r="DB244" s="841"/>
      <c r="DC244" s="832"/>
    </row>
    <row r="245" spans="1:107" s="842" customFormat="1" ht="15.95" customHeight="1" x14ac:dyDescent="0.25">
      <c r="A245" s="790">
        <v>246</v>
      </c>
      <c r="B245" s="791">
        <f t="shared" ca="1" si="162"/>
        <v>43134</v>
      </c>
      <c r="C245" s="29" t="s">
        <v>613</v>
      </c>
      <c r="D245" s="59" t="s">
        <v>3202</v>
      </c>
      <c r="E245" s="794" t="s">
        <v>1292</v>
      </c>
      <c r="F245" s="795" t="s">
        <v>1168</v>
      </c>
      <c r="G245" s="796">
        <f>SUMIFS(МОЛОКО!L8:L6958,МОЛОКО!F8:F6958,"2188",МОЛОКО!L8:L6958,"&gt;0")</f>
        <v>15.2</v>
      </c>
      <c r="H245" s="797" t="s">
        <v>603</v>
      </c>
      <c r="I245" s="798">
        <v>41746</v>
      </c>
      <c r="J245" s="799">
        <f t="shared" ca="1" si="163"/>
        <v>3.8027397260273972</v>
      </c>
      <c r="K245" s="799">
        <f t="shared" ca="1" si="164"/>
        <v>46.266666666666666</v>
      </c>
      <c r="L245" s="800">
        <f t="shared" ca="1" si="165"/>
        <v>1388</v>
      </c>
      <c r="M245" s="801">
        <v>42537</v>
      </c>
      <c r="N245" s="802">
        <v>42877</v>
      </c>
      <c r="O245" s="803">
        <f t="shared" ca="1" si="166"/>
        <v>257</v>
      </c>
      <c r="P245" s="804">
        <v>2</v>
      </c>
      <c r="Q245" s="805" t="s">
        <v>1451</v>
      </c>
      <c r="R245" s="806" t="s">
        <v>2966</v>
      </c>
      <c r="S245" s="807">
        <v>42936</v>
      </c>
      <c r="T245" s="798">
        <v>42979</v>
      </c>
      <c r="U245" s="798" t="str">
        <f t="shared" si="167"/>
        <v>-</v>
      </c>
      <c r="V245" s="804" t="str">
        <f t="shared" ca="1" si="168"/>
        <v>-</v>
      </c>
      <c r="W245" s="808">
        <v>2</v>
      </c>
      <c r="X245" s="794">
        <f t="shared" si="161"/>
        <v>102</v>
      </c>
      <c r="Y245" s="794">
        <v>1</v>
      </c>
      <c r="Z245" s="809" t="str">
        <f t="shared" ca="1" si="169"/>
        <v>-----</v>
      </c>
      <c r="AA245" s="810" t="str">
        <f t="shared" ca="1" si="170"/>
        <v>-----</v>
      </c>
      <c r="AB245" s="804">
        <v>1</v>
      </c>
      <c r="AC245" s="811" t="str">
        <f t="shared" ca="1" si="171"/>
        <v>-----</v>
      </c>
      <c r="AD245" s="798">
        <v>43047</v>
      </c>
      <c r="AE245" s="794" t="str">
        <f t="shared" ca="1" si="172"/>
        <v>-</v>
      </c>
      <c r="AF245" s="798" t="str">
        <f t="shared" si="173"/>
        <v>-</v>
      </c>
      <c r="AG245" s="812" t="str">
        <f t="shared" si="174"/>
        <v>---------</v>
      </c>
      <c r="AH245" s="807">
        <v>43010</v>
      </c>
      <c r="AI245" s="807">
        <f t="shared" si="175"/>
        <v>43169</v>
      </c>
      <c r="AJ245" s="807">
        <f t="shared" si="176"/>
        <v>43199</v>
      </c>
      <c r="AK245" s="813"/>
      <c r="AL245" s="807">
        <f t="shared" si="177"/>
        <v>43238</v>
      </c>
      <c r="AM245" s="807">
        <f t="shared" si="178"/>
        <v>43259</v>
      </c>
      <c r="AN245" s="814">
        <f t="shared" ca="1" si="179"/>
        <v>-125</v>
      </c>
      <c r="AO245" s="815">
        <v>1</v>
      </c>
      <c r="AP245" s="816" t="str">
        <f t="shared" ca="1" si="180"/>
        <v>-</v>
      </c>
      <c r="AQ245" s="817"/>
      <c r="AR245" s="794" t="str">
        <f t="shared" si="181"/>
        <v>-</v>
      </c>
      <c r="AS245" s="818"/>
      <c r="AT245" s="794" t="str">
        <f t="shared" si="182"/>
        <v>-</v>
      </c>
      <c r="AU245" s="819"/>
      <c r="AV245" s="820"/>
      <c r="AW245" s="821"/>
      <c r="AX245" s="821"/>
      <c r="AY245" s="969" t="str">
        <f t="shared" si="183"/>
        <v>-</v>
      </c>
      <c r="AZ245" s="966" t="str">
        <f t="shared" si="184"/>
        <v>-</v>
      </c>
      <c r="BA245" s="971" t="str">
        <f t="shared" si="185"/>
        <v>-</v>
      </c>
      <c r="BB245" s="975"/>
      <c r="BC245" s="821"/>
      <c r="BD245" s="821"/>
      <c r="BE245" s="963" t="str">
        <f t="shared" si="186"/>
        <v>-</v>
      </c>
      <c r="BF245" s="984">
        <v>43033</v>
      </c>
      <c r="BG245" s="988" t="s">
        <v>3353</v>
      </c>
      <c r="BH245" s="986" t="s">
        <v>3354</v>
      </c>
      <c r="BI245" s="991">
        <v>5</v>
      </c>
      <c r="BJ245" s="991" t="s">
        <v>3356</v>
      </c>
      <c r="BK245" s="993">
        <f t="shared" ca="1" si="187"/>
        <v>101</v>
      </c>
      <c r="BL245" s="820">
        <v>42980</v>
      </c>
      <c r="BM245" s="821">
        <v>5</v>
      </c>
      <c r="BN245" s="822">
        <f t="shared" ca="1" si="188"/>
        <v>154</v>
      </c>
      <c r="BO245" s="823">
        <f t="shared" si="189"/>
        <v>41.133333333333333</v>
      </c>
      <c r="BP245" s="824">
        <v>43001</v>
      </c>
      <c r="BQ245" s="821">
        <v>2</v>
      </c>
      <c r="BR245" s="822">
        <f t="shared" ca="1" si="190"/>
        <v>133</v>
      </c>
      <c r="BS245" s="823">
        <f t="shared" si="191"/>
        <v>15.466666666666667</v>
      </c>
      <c r="BT245" s="825" t="str">
        <f t="shared" ca="1" si="192"/>
        <v>-</v>
      </c>
      <c r="BU245" s="826"/>
      <c r="BV245" s="827"/>
      <c r="BW245" s="828" t="str">
        <f t="shared" si="193"/>
        <v>Ж-Е НЕ ВАКЦ.</v>
      </c>
      <c r="BX245" s="829" t="str">
        <f t="shared" si="194"/>
        <v>-</v>
      </c>
      <c r="BY245" s="830" t="str">
        <f t="shared" ca="1" si="195"/>
        <v>-</v>
      </c>
      <c r="BZ245" s="831">
        <v>42904</v>
      </c>
      <c r="CA245" s="832">
        <v>5</v>
      </c>
      <c r="CB245" s="833">
        <f t="shared" ca="1" si="196"/>
        <v>230</v>
      </c>
      <c r="CC245" s="834" t="str">
        <f t="shared" ca="1" si="197"/>
        <v>-</v>
      </c>
      <c r="CD245" s="835">
        <f t="shared" si="198"/>
        <v>42925</v>
      </c>
      <c r="CE245" s="831">
        <v>42925</v>
      </c>
      <c r="CF245" s="832">
        <v>5</v>
      </c>
      <c r="CG245" s="833">
        <f t="shared" ca="1" si="199"/>
        <v>209</v>
      </c>
      <c r="CH245" s="836">
        <f t="shared" si="200"/>
        <v>0</v>
      </c>
      <c r="CI245" s="837" t="str">
        <f t="shared" si="201"/>
        <v>УСПЕШНО</v>
      </c>
      <c r="CJ245" s="838" t="str">
        <f t="shared" ca="1" si="202"/>
        <v>-</v>
      </c>
      <c r="CK245" s="831"/>
      <c r="CL245" s="832"/>
      <c r="CM245" s="833" t="str">
        <f t="shared" si="203"/>
        <v>-</v>
      </c>
      <c r="CN245" s="834" t="str">
        <f t="shared" si="204"/>
        <v>-</v>
      </c>
      <c r="CO245" s="830" t="str">
        <f t="shared" ca="1" si="205"/>
        <v>-</v>
      </c>
      <c r="CP245" s="839"/>
      <c r="CQ245" s="832"/>
      <c r="CR245" s="833" t="str">
        <f t="shared" si="206"/>
        <v>-</v>
      </c>
      <c r="CS245" s="833" t="str">
        <f t="shared" si="207"/>
        <v>-</v>
      </c>
      <c r="CT245" s="834" t="str">
        <f t="shared" si="208"/>
        <v>-</v>
      </c>
      <c r="CU245" s="835" t="str">
        <f t="shared" si="209"/>
        <v>-</v>
      </c>
      <c r="CV245" s="839"/>
      <c r="CW245" s="832"/>
      <c r="CX245" s="833" t="str">
        <f t="shared" si="210"/>
        <v>-</v>
      </c>
      <c r="CY245" s="840" t="str">
        <f t="shared" si="211"/>
        <v>-</v>
      </c>
      <c r="CZ245" s="833" t="str">
        <f t="shared" si="212"/>
        <v>-</v>
      </c>
      <c r="DA245" s="838" t="str">
        <f t="shared" ca="1" si="213"/>
        <v>-</v>
      </c>
      <c r="DB245" s="841"/>
      <c r="DC245" s="832"/>
    </row>
    <row r="246" spans="1:107" s="842" customFormat="1" ht="15.95" customHeight="1" x14ac:dyDescent="0.25">
      <c r="A246" s="790">
        <v>247</v>
      </c>
      <c r="B246" s="791">
        <f t="shared" ca="1" si="162"/>
        <v>43134</v>
      </c>
      <c r="C246" s="29" t="s">
        <v>613</v>
      </c>
      <c r="D246" s="59" t="s">
        <v>3202</v>
      </c>
      <c r="E246" s="794" t="s">
        <v>1310</v>
      </c>
      <c r="F246" s="998" t="s">
        <v>1191</v>
      </c>
      <c r="G246" s="796">
        <f>SUMIFS(МОЛОКО!L8:L6958,МОЛОКО!F8:F6958,"2241",МОЛОКО!L8:L6958,"&gt;0")</f>
        <v>19.399999999999999</v>
      </c>
      <c r="H246" s="797" t="s">
        <v>603</v>
      </c>
      <c r="I246" s="798">
        <v>41789</v>
      </c>
      <c r="J246" s="799">
        <f t="shared" ca="1" si="163"/>
        <v>3.6849315068493151</v>
      </c>
      <c r="K246" s="799">
        <f t="shared" ca="1" si="164"/>
        <v>44.833333333333336</v>
      </c>
      <c r="L246" s="800">
        <f t="shared" ca="1" si="165"/>
        <v>1345</v>
      </c>
      <c r="M246" s="801">
        <v>42492</v>
      </c>
      <c r="N246" s="802">
        <v>42821</v>
      </c>
      <c r="O246" s="803">
        <f t="shared" ca="1" si="166"/>
        <v>313</v>
      </c>
      <c r="P246" s="804">
        <v>2</v>
      </c>
      <c r="Q246" s="805" t="s">
        <v>1451</v>
      </c>
      <c r="R246" s="806" t="s">
        <v>2269</v>
      </c>
      <c r="S246" s="807">
        <v>42880</v>
      </c>
      <c r="T246" s="798">
        <v>42917</v>
      </c>
      <c r="U246" s="798" t="str">
        <f t="shared" si="167"/>
        <v>-</v>
      </c>
      <c r="V246" s="804" t="str">
        <f t="shared" ca="1" si="168"/>
        <v>-</v>
      </c>
      <c r="W246" s="808">
        <v>2</v>
      </c>
      <c r="X246" s="794">
        <f t="shared" ref="X246:X309" si="214">IF(AND(N246&gt;0,T246&gt;0),T246-N246,"-")</f>
        <v>96</v>
      </c>
      <c r="Y246" s="794">
        <v>1</v>
      </c>
      <c r="Z246" s="809" t="str">
        <f t="shared" ca="1" si="169"/>
        <v>-----</v>
      </c>
      <c r="AA246" s="810" t="str">
        <f t="shared" ca="1" si="170"/>
        <v>-----</v>
      </c>
      <c r="AB246" s="804">
        <v>1</v>
      </c>
      <c r="AC246" s="811" t="str">
        <f t="shared" ca="1" si="171"/>
        <v>-----</v>
      </c>
      <c r="AD246" s="798">
        <v>43043</v>
      </c>
      <c r="AE246" s="794" t="str">
        <f t="shared" ca="1" si="172"/>
        <v>-</v>
      </c>
      <c r="AF246" s="798" t="str">
        <f t="shared" si="173"/>
        <v>-</v>
      </c>
      <c r="AG246" s="812" t="str">
        <f t="shared" si="174"/>
        <v>---------</v>
      </c>
      <c r="AH246" s="807">
        <v>42951</v>
      </c>
      <c r="AI246" s="807">
        <f t="shared" si="175"/>
        <v>43107</v>
      </c>
      <c r="AJ246" s="807">
        <f t="shared" si="176"/>
        <v>43137</v>
      </c>
      <c r="AK246" s="813"/>
      <c r="AL246" s="807">
        <f t="shared" si="177"/>
        <v>43176</v>
      </c>
      <c r="AM246" s="807">
        <f t="shared" si="178"/>
        <v>43197</v>
      </c>
      <c r="AN246" s="814">
        <f t="shared" ca="1" si="179"/>
        <v>-63</v>
      </c>
      <c r="AO246" s="815">
        <v>1</v>
      </c>
      <c r="AP246" s="816" t="str">
        <f t="shared" ca="1" si="180"/>
        <v>-</v>
      </c>
      <c r="AQ246" s="817"/>
      <c r="AR246" s="794" t="str">
        <f t="shared" si="181"/>
        <v>-</v>
      </c>
      <c r="AS246" s="818"/>
      <c r="AT246" s="794" t="str">
        <f t="shared" si="182"/>
        <v>-</v>
      </c>
      <c r="AU246" s="300" t="s">
        <v>2696</v>
      </c>
      <c r="AV246" s="820"/>
      <c r="AW246" s="821"/>
      <c r="AX246" s="821"/>
      <c r="AY246" s="969" t="str">
        <f t="shared" si="183"/>
        <v>-</v>
      </c>
      <c r="AZ246" s="966" t="str">
        <f t="shared" si="184"/>
        <v>-</v>
      </c>
      <c r="BA246" s="971" t="str">
        <f t="shared" si="185"/>
        <v>-</v>
      </c>
      <c r="BB246" s="975"/>
      <c r="BC246" s="821"/>
      <c r="BD246" s="821"/>
      <c r="BE246" s="963" t="str">
        <f t="shared" si="186"/>
        <v>-</v>
      </c>
      <c r="BF246" s="984"/>
      <c r="BG246" s="988"/>
      <c r="BH246" s="982"/>
      <c r="BI246" s="991"/>
      <c r="BJ246" s="991"/>
      <c r="BK246" s="993" t="str">
        <f t="shared" si="187"/>
        <v>-</v>
      </c>
      <c r="BL246" s="820">
        <v>42981</v>
      </c>
      <c r="BM246" s="821">
        <v>5</v>
      </c>
      <c r="BN246" s="822">
        <f t="shared" ca="1" si="188"/>
        <v>153</v>
      </c>
      <c r="BO246" s="823">
        <f t="shared" si="189"/>
        <v>39.733333333333334</v>
      </c>
      <c r="BP246" s="824">
        <v>43001</v>
      </c>
      <c r="BQ246" s="821">
        <v>2</v>
      </c>
      <c r="BR246" s="822">
        <f t="shared" ca="1" si="190"/>
        <v>133</v>
      </c>
      <c r="BS246" s="823">
        <f t="shared" si="191"/>
        <v>16.966666666666665</v>
      </c>
      <c r="BT246" s="825" t="str">
        <f t="shared" ca="1" si="192"/>
        <v>-</v>
      </c>
      <c r="BU246" s="826"/>
      <c r="BV246" s="827"/>
      <c r="BW246" s="828" t="str">
        <f t="shared" si="193"/>
        <v>Ж-Е НЕ ВАКЦ.</v>
      </c>
      <c r="BX246" s="829" t="str">
        <f t="shared" si="194"/>
        <v>-</v>
      </c>
      <c r="BY246" s="830" t="str">
        <f t="shared" ca="1" si="195"/>
        <v>-</v>
      </c>
      <c r="BZ246" s="831">
        <v>42887</v>
      </c>
      <c r="CA246" s="832">
        <v>5</v>
      </c>
      <c r="CB246" s="833">
        <f t="shared" ca="1" si="196"/>
        <v>247</v>
      </c>
      <c r="CC246" s="834" t="str">
        <f t="shared" ca="1" si="197"/>
        <v>-</v>
      </c>
      <c r="CD246" s="835">
        <f t="shared" si="198"/>
        <v>42908</v>
      </c>
      <c r="CE246" s="831">
        <v>42908</v>
      </c>
      <c r="CF246" s="832">
        <v>5</v>
      </c>
      <c r="CG246" s="833">
        <f t="shared" ca="1" si="199"/>
        <v>226</v>
      </c>
      <c r="CH246" s="836">
        <f t="shared" si="200"/>
        <v>0</v>
      </c>
      <c r="CI246" s="837" t="str">
        <f t="shared" si="201"/>
        <v>УСПЕШНО</v>
      </c>
      <c r="CJ246" s="838" t="str">
        <f t="shared" ca="1" si="202"/>
        <v>-</v>
      </c>
      <c r="CK246" s="831"/>
      <c r="CL246" s="832"/>
      <c r="CM246" s="833" t="str">
        <f t="shared" si="203"/>
        <v>-</v>
      </c>
      <c r="CN246" s="834" t="str">
        <f t="shared" si="204"/>
        <v>-</v>
      </c>
      <c r="CO246" s="830" t="str">
        <f t="shared" ca="1" si="205"/>
        <v>ТРЕБУЕТСЯ ВАКЦИНАЦИЯ</v>
      </c>
      <c r="CP246" s="839"/>
      <c r="CQ246" s="832"/>
      <c r="CR246" s="833" t="str">
        <f t="shared" si="206"/>
        <v>-</v>
      </c>
      <c r="CS246" s="833" t="str">
        <f t="shared" si="207"/>
        <v>-</v>
      </c>
      <c r="CT246" s="834" t="str">
        <f t="shared" si="208"/>
        <v>-</v>
      </c>
      <c r="CU246" s="835" t="str">
        <f t="shared" si="209"/>
        <v>-</v>
      </c>
      <c r="CV246" s="839"/>
      <c r="CW246" s="832"/>
      <c r="CX246" s="833" t="str">
        <f t="shared" si="210"/>
        <v>-</v>
      </c>
      <c r="CY246" s="840" t="str">
        <f t="shared" si="211"/>
        <v>-</v>
      </c>
      <c r="CZ246" s="833" t="str">
        <f t="shared" si="212"/>
        <v>-</v>
      </c>
      <c r="DA246" s="838" t="str">
        <f t="shared" ca="1" si="213"/>
        <v>-</v>
      </c>
      <c r="DB246" s="841"/>
      <c r="DC246" s="832"/>
    </row>
    <row r="247" spans="1:107" s="842" customFormat="1" ht="15.95" customHeight="1" x14ac:dyDescent="0.25">
      <c r="A247" s="790">
        <v>248</v>
      </c>
      <c r="B247" s="791">
        <f t="shared" ca="1" si="162"/>
        <v>43134</v>
      </c>
      <c r="C247" s="792" t="s">
        <v>613</v>
      </c>
      <c r="D247" s="793" t="s">
        <v>3202</v>
      </c>
      <c r="E247" s="794" t="s">
        <v>1058</v>
      </c>
      <c r="F247" s="854" t="s">
        <v>953</v>
      </c>
      <c r="G247" s="796">
        <f>SUMIFS(МОЛОКО!L8:L6958,МОЛОКО!F8:F6958,"2284",МОЛОКО!L8:L6958,"&gt;0")</f>
        <v>18</v>
      </c>
      <c r="H247" s="797" t="s">
        <v>603</v>
      </c>
      <c r="I247" s="798">
        <v>41834</v>
      </c>
      <c r="J247" s="799">
        <f t="shared" ca="1" si="163"/>
        <v>3.5616438356164384</v>
      </c>
      <c r="K247" s="799">
        <f t="shared" ca="1" si="164"/>
        <v>43.333333333333336</v>
      </c>
      <c r="L247" s="800">
        <f t="shared" ca="1" si="165"/>
        <v>1300</v>
      </c>
      <c r="M247" s="801">
        <v>42688</v>
      </c>
      <c r="N247" s="802">
        <v>42688</v>
      </c>
      <c r="O247" s="803">
        <f t="shared" ca="1" si="166"/>
        <v>446</v>
      </c>
      <c r="P247" s="804">
        <v>1</v>
      </c>
      <c r="Q247" s="805" t="s">
        <v>2366</v>
      </c>
      <c r="R247" s="806" t="s">
        <v>2962</v>
      </c>
      <c r="S247" s="807">
        <v>42744</v>
      </c>
      <c r="T247" s="798">
        <v>42945</v>
      </c>
      <c r="U247" s="798" t="str">
        <f t="shared" si="167"/>
        <v>-</v>
      </c>
      <c r="V247" s="804" t="str">
        <f t="shared" ca="1" si="168"/>
        <v>-</v>
      </c>
      <c r="W247" s="808">
        <v>4</v>
      </c>
      <c r="X247" s="794">
        <f t="shared" si="214"/>
        <v>257</v>
      </c>
      <c r="Y247" s="794">
        <v>1</v>
      </c>
      <c r="Z247" s="809" t="str">
        <f t="shared" ca="1" si="169"/>
        <v>-----</v>
      </c>
      <c r="AA247" s="810" t="str">
        <f t="shared" ca="1" si="170"/>
        <v>-----</v>
      </c>
      <c r="AB247" s="804">
        <v>1</v>
      </c>
      <c r="AC247" s="811" t="str">
        <f t="shared" ca="1" si="171"/>
        <v>-----</v>
      </c>
      <c r="AD247" s="798">
        <v>43030</v>
      </c>
      <c r="AE247" s="794" t="str">
        <f t="shared" ca="1" si="172"/>
        <v>-</v>
      </c>
      <c r="AF247" s="798" t="str">
        <f t="shared" si="173"/>
        <v>-</v>
      </c>
      <c r="AG247" s="812" t="str">
        <f t="shared" si="174"/>
        <v>---------</v>
      </c>
      <c r="AH247" s="807">
        <v>42975</v>
      </c>
      <c r="AI247" s="807">
        <f t="shared" si="175"/>
        <v>43135</v>
      </c>
      <c r="AJ247" s="807">
        <f t="shared" si="176"/>
        <v>43165</v>
      </c>
      <c r="AK247" s="813"/>
      <c r="AL247" s="807">
        <f t="shared" si="177"/>
        <v>43204</v>
      </c>
      <c r="AM247" s="807">
        <f t="shared" si="178"/>
        <v>43225</v>
      </c>
      <c r="AN247" s="814">
        <f t="shared" ca="1" si="179"/>
        <v>-91</v>
      </c>
      <c r="AO247" s="815">
        <v>1</v>
      </c>
      <c r="AP247" s="816" t="str">
        <f t="shared" ca="1" si="180"/>
        <v>-</v>
      </c>
      <c r="AQ247" s="817"/>
      <c r="AR247" s="794" t="str">
        <f t="shared" si="181"/>
        <v>-</v>
      </c>
      <c r="AS247" s="818"/>
      <c r="AT247" s="794" t="str">
        <f t="shared" si="182"/>
        <v>-</v>
      </c>
      <c r="AU247" s="819">
        <v>1</v>
      </c>
      <c r="AV247" s="820"/>
      <c r="AW247" s="821"/>
      <c r="AX247" s="821"/>
      <c r="AY247" s="969" t="str">
        <f t="shared" si="183"/>
        <v>-</v>
      </c>
      <c r="AZ247" s="966" t="str">
        <f t="shared" si="184"/>
        <v>-</v>
      </c>
      <c r="BA247" s="971" t="str">
        <f t="shared" si="185"/>
        <v>-</v>
      </c>
      <c r="BB247" s="975"/>
      <c r="BC247" s="821"/>
      <c r="BD247" s="821"/>
      <c r="BE247" s="963" t="str">
        <f t="shared" si="186"/>
        <v>-</v>
      </c>
      <c r="BF247" s="984"/>
      <c r="BG247" s="988"/>
      <c r="BH247" s="982"/>
      <c r="BI247" s="991"/>
      <c r="BJ247" s="991"/>
      <c r="BK247" s="993" t="str">
        <f t="shared" si="187"/>
        <v>-</v>
      </c>
      <c r="BL247" s="820">
        <v>42981</v>
      </c>
      <c r="BM247" s="821">
        <v>5</v>
      </c>
      <c r="BN247" s="822">
        <f t="shared" ca="1" si="188"/>
        <v>153</v>
      </c>
      <c r="BO247" s="823">
        <f t="shared" si="189"/>
        <v>38.233333333333334</v>
      </c>
      <c r="BP247" s="824">
        <v>43001</v>
      </c>
      <c r="BQ247" s="821">
        <v>2</v>
      </c>
      <c r="BR247" s="822">
        <f t="shared" ca="1" si="190"/>
        <v>133</v>
      </c>
      <c r="BS247" s="823">
        <f t="shared" si="191"/>
        <v>10.433333333333334</v>
      </c>
      <c r="BT247" s="825" t="str">
        <f t="shared" ca="1" si="192"/>
        <v>-</v>
      </c>
      <c r="BU247" s="826"/>
      <c r="BV247" s="827"/>
      <c r="BW247" s="828" t="str">
        <f t="shared" si="193"/>
        <v>Ж-Е НЕ ВАКЦ.</v>
      </c>
      <c r="BX247" s="829" t="str">
        <f t="shared" si="194"/>
        <v>-</v>
      </c>
      <c r="BY247" s="830" t="str">
        <f t="shared" ca="1" si="195"/>
        <v>-</v>
      </c>
      <c r="BZ247" s="831">
        <v>42887</v>
      </c>
      <c r="CA247" s="832">
        <v>5</v>
      </c>
      <c r="CB247" s="833">
        <f t="shared" ca="1" si="196"/>
        <v>247</v>
      </c>
      <c r="CC247" s="834" t="str">
        <f t="shared" ca="1" si="197"/>
        <v>-</v>
      </c>
      <c r="CD247" s="835">
        <f t="shared" si="198"/>
        <v>42908</v>
      </c>
      <c r="CE247" s="831">
        <v>42908</v>
      </c>
      <c r="CF247" s="832">
        <v>5</v>
      </c>
      <c r="CG247" s="833">
        <f t="shared" ca="1" si="199"/>
        <v>226</v>
      </c>
      <c r="CH247" s="836">
        <f t="shared" si="200"/>
        <v>0</v>
      </c>
      <c r="CI247" s="837" t="str">
        <f t="shared" si="201"/>
        <v>УСПЕШНО</v>
      </c>
      <c r="CJ247" s="838" t="str">
        <f t="shared" ca="1" si="202"/>
        <v>-</v>
      </c>
      <c r="CK247" s="831"/>
      <c r="CL247" s="832"/>
      <c r="CM247" s="833" t="str">
        <f t="shared" si="203"/>
        <v>-</v>
      </c>
      <c r="CN247" s="834" t="str">
        <f t="shared" si="204"/>
        <v>-</v>
      </c>
      <c r="CO247" s="830" t="str">
        <f t="shared" ca="1" si="205"/>
        <v>-</v>
      </c>
      <c r="CP247" s="839"/>
      <c r="CQ247" s="832"/>
      <c r="CR247" s="833" t="str">
        <f t="shared" si="206"/>
        <v>-</v>
      </c>
      <c r="CS247" s="833" t="str">
        <f t="shared" si="207"/>
        <v>-</v>
      </c>
      <c r="CT247" s="834" t="str">
        <f t="shared" si="208"/>
        <v>-</v>
      </c>
      <c r="CU247" s="835" t="str">
        <f t="shared" si="209"/>
        <v>-</v>
      </c>
      <c r="CV247" s="839"/>
      <c r="CW247" s="832"/>
      <c r="CX247" s="833" t="str">
        <f t="shared" si="210"/>
        <v>-</v>
      </c>
      <c r="CY247" s="840" t="str">
        <f t="shared" si="211"/>
        <v>-</v>
      </c>
      <c r="CZ247" s="833" t="str">
        <f t="shared" si="212"/>
        <v>-</v>
      </c>
      <c r="DA247" s="838" t="str">
        <f t="shared" ca="1" si="213"/>
        <v>-</v>
      </c>
      <c r="DB247" s="841"/>
      <c r="DC247" s="832"/>
    </row>
    <row r="248" spans="1:107" s="842" customFormat="1" ht="15.95" customHeight="1" x14ac:dyDescent="0.25">
      <c r="A248" s="790">
        <v>249</v>
      </c>
      <c r="B248" s="791">
        <f t="shared" ca="1" si="162"/>
        <v>43134</v>
      </c>
      <c r="C248" s="792" t="s">
        <v>613</v>
      </c>
      <c r="D248" s="793" t="s">
        <v>3202</v>
      </c>
      <c r="E248" s="794" t="s">
        <v>1329</v>
      </c>
      <c r="F248" s="854" t="s">
        <v>1212</v>
      </c>
      <c r="G248" s="796">
        <f>SUMIFS(МОЛОКО!L8:L6958,МОЛОКО!F8:F6958,"2323",МОЛОКО!L8:L6958,"&gt;0")</f>
        <v>14</v>
      </c>
      <c r="H248" s="797" t="s">
        <v>603</v>
      </c>
      <c r="I248" s="798">
        <v>41870</v>
      </c>
      <c r="J248" s="799">
        <f t="shared" ca="1" si="163"/>
        <v>3.463013698630137</v>
      </c>
      <c r="K248" s="799">
        <f t="shared" ca="1" si="164"/>
        <v>42.133333333333333</v>
      </c>
      <c r="L248" s="800">
        <f t="shared" ca="1" si="165"/>
        <v>1264</v>
      </c>
      <c r="M248" s="801">
        <v>42484</v>
      </c>
      <c r="N248" s="802">
        <v>42818</v>
      </c>
      <c r="O248" s="803">
        <f t="shared" ca="1" si="166"/>
        <v>316</v>
      </c>
      <c r="P248" s="804">
        <v>2</v>
      </c>
      <c r="Q248" s="805" t="s">
        <v>2366</v>
      </c>
      <c r="R248" s="806" t="s">
        <v>2962</v>
      </c>
      <c r="S248" s="807">
        <v>42880</v>
      </c>
      <c r="T248" s="855">
        <v>42940</v>
      </c>
      <c r="U248" s="798" t="str">
        <f t="shared" si="167"/>
        <v>-</v>
      </c>
      <c r="V248" s="804" t="str">
        <f t="shared" ca="1" si="168"/>
        <v>-</v>
      </c>
      <c r="W248" s="808">
        <v>3</v>
      </c>
      <c r="X248" s="794">
        <f t="shared" si="214"/>
        <v>122</v>
      </c>
      <c r="Y248" s="794">
        <v>1</v>
      </c>
      <c r="Z248" s="809" t="str">
        <f t="shared" ca="1" si="169"/>
        <v>-----</v>
      </c>
      <c r="AA248" s="810" t="str">
        <f t="shared" ca="1" si="170"/>
        <v>-----</v>
      </c>
      <c r="AB248" s="804">
        <v>1</v>
      </c>
      <c r="AC248" s="811" t="str">
        <f t="shared" ca="1" si="171"/>
        <v>-----</v>
      </c>
      <c r="AD248" s="798">
        <v>43014</v>
      </c>
      <c r="AE248" s="794" t="str">
        <f t="shared" ca="1" si="172"/>
        <v>-</v>
      </c>
      <c r="AF248" s="798" t="str">
        <f t="shared" si="173"/>
        <v>-</v>
      </c>
      <c r="AG248" s="812" t="str">
        <f t="shared" si="174"/>
        <v>---------</v>
      </c>
      <c r="AH248" s="807">
        <v>42968</v>
      </c>
      <c r="AI248" s="807">
        <f t="shared" si="175"/>
        <v>43130</v>
      </c>
      <c r="AJ248" s="807">
        <f t="shared" si="176"/>
        <v>43160</v>
      </c>
      <c r="AK248" s="813"/>
      <c r="AL248" s="807">
        <f t="shared" si="177"/>
        <v>43199</v>
      </c>
      <c r="AM248" s="807">
        <f t="shared" si="178"/>
        <v>43220</v>
      </c>
      <c r="AN248" s="814">
        <f t="shared" ca="1" si="179"/>
        <v>-86</v>
      </c>
      <c r="AO248" s="815">
        <v>1</v>
      </c>
      <c r="AP248" s="816" t="str">
        <f t="shared" ca="1" si="180"/>
        <v>-</v>
      </c>
      <c r="AQ248" s="817"/>
      <c r="AR248" s="794" t="str">
        <f t="shared" si="181"/>
        <v>-</v>
      </c>
      <c r="AS248" s="818"/>
      <c r="AT248" s="794" t="str">
        <f t="shared" si="182"/>
        <v>-</v>
      </c>
      <c r="AU248" s="819">
        <v>1</v>
      </c>
      <c r="AV248" s="820"/>
      <c r="AW248" s="821"/>
      <c r="AX248" s="821"/>
      <c r="AY248" s="969" t="str">
        <f t="shared" si="183"/>
        <v>-</v>
      </c>
      <c r="AZ248" s="966" t="str">
        <f t="shared" si="184"/>
        <v>-</v>
      </c>
      <c r="BA248" s="971" t="str">
        <f t="shared" si="185"/>
        <v>-</v>
      </c>
      <c r="BB248" s="975"/>
      <c r="BC248" s="821"/>
      <c r="BD248" s="821"/>
      <c r="BE248" s="963" t="str">
        <f t="shared" si="186"/>
        <v>-</v>
      </c>
      <c r="BF248" s="984"/>
      <c r="BG248" s="988"/>
      <c r="BH248" s="982"/>
      <c r="BI248" s="991"/>
      <c r="BJ248" s="991"/>
      <c r="BK248" s="993" t="str">
        <f t="shared" si="187"/>
        <v>-</v>
      </c>
      <c r="BL248" s="820">
        <v>42981</v>
      </c>
      <c r="BM248" s="821">
        <v>5</v>
      </c>
      <c r="BN248" s="822">
        <f t="shared" ca="1" si="188"/>
        <v>153</v>
      </c>
      <c r="BO248" s="823">
        <f t="shared" si="189"/>
        <v>37.033333333333331</v>
      </c>
      <c r="BP248" s="824">
        <v>43001</v>
      </c>
      <c r="BQ248" s="821">
        <v>2</v>
      </c>
      <c r="BR248" s="822">
        <f t="shared" ca="1" si="190"/>
        <v>133</v>
      </c>
      <c r="BS248" s="823">
        <f t="shared" si="191"/>
        <v>17.233333333333334</v>
      </c>
      <c r="BT248" s="825" t="str">
        <f t="shared" ca="1" si="192"/>
        <v>-</v>
      </c>
      <c r="BU248" s="826"/>
      <c r="BV248" s="827"/>
      <c r="BW248" s="828" t="str">
        <f t="shared" si="193"/>
        <v>Ж-Е НЕ ВАКЦ.</v>
      </c>
      <c r="BX248" s="829" t="str">
        <f t="shared" si="194"/>
        <v>-</v>
      </c>
      <c r="BY248" s="830" t="str">
        <f t="shared" ca="1" si="195"/>
        <v>-</v>
      </c>
      <c r="BZ248" s="831">
        <v>42887</v>
      </c>
      <c r="CA248" s="832">
        <v>5</v>
      </c>
      <c r="CB248" s="833">
        <f t="shared" ca="1" si="196"/>
        <v>247</v>
      </c>
      <c r="CC248" s="834" t="str">
        <f t="shared" ca="1" si="197"/>
        <v>-</v>
      </c>
      <c r="CD248" s="835">
        <f t="shared" si="198"/>
        <v>42908</v>
      </c>
      <c r="CE248" s="831">
        <v>42908</v>
      </c>
      <c r="CF248" s="832">
        <v>5</v>
      </c>
      <c r="CG248" s="833">
        <f t="shared" ca="1" si="199"/>
        <v>226</v>
      </c>
      <c r="CH248" s="836">
        <f t="shared" si="200"/>
        <v>0</v>
      </c>
      <c r="CI248" s="837" t="str">
        <f t="shared" si="201"/>
        <v>УСПЕШНО</v>
      </c>
      <c r="CJ248" s="838" t="str">
        <f t="shared" ca="1" si="202"/>
        <v>-</v>
      </c>
      <c r="CK248" s="831"/>
      <c r="CL248" s="832"/>
      <c r="CM248" s="833" t="str">
        <f t="shared" si="203"/>
        <v>-</v>
      </c>
      <c r="CN248" s="834" t="str">
        <f t="shared" si="204"/>
        <v>-</v>
      </c>
      <c r="CO248" s="830" t="str">
        <f t="shared" ca="1" si="205"/>
        <v>-</v>
      </c>
      <c r="CP248" s="839"/>
      <c r="CQ248" s="832"/>
      <c r="CR248" s="833" t="str">
        <f t="shared" si="206"/>
        <v>-</v>
      </c>
      <c r="CS248" s="833" t="str">
        <f t="shared" si="207"/>
        <v>-</v>
      </c>
      <c r="CT248" s="834" t="str">
        <f t="shared" si="208"/>
        <v>-</v>
      </c>
      <c r="CU248" s="835" t="str">
        <f t="shared" si="209"/>
        <v>-</v>
      </c>
      <c r="CV248" s="839"/>
      <c r="CW248" s="832"/>
      <c r="CX248" s="833" t="str">
        <f t="shared" si="210"/>
        <v>-</v>
      </c>
      <c r="CY248" s="840" t="str">
        <f t="shared" si="211"/>
        <v>-</v>
      </c>
      <c r="CZ248" s="833" t="str">
        <f t="shared" si="212"/>
        <v>-</v>
      </c>
      <c r="DA248" s="838" t="str">
        <f t="shared" ca="1" si="213"/>
        <v>-</v>
      </c>
      <c r="DB248" s="841"/>
      <c r="DC248" s="832"/>
    </row>
    <row r="249" spans="1:107" s="842" customFormat="1" ht="15.95" customHeight="1" x14ac:dyDescent="0.25">
      <c r="A249" s="790">
        <v>250</v>
      </c>
      <c r="B249" s="791">
        <f t="shared" ca="1" si="162"/>
        <v>43134</v>
      </c>
      <c r="C249" s="792" t="s">
        <v>613</v>
      </c>
      <c r="D249" s="793" t="s">
        <v>3202</v>
      </c>
      <c r="E249" s="794" t="s">
        <v>1332</v>
      </c>
      <c r="F249" s="854" t="s">
        <v>1215</v>
      </c>
      <c r="G249" s="796">
        <f>SUMIFS(МОЛОКО!L8:L6958,МОЛОКО!F8:F6958,"2327",МОЛОКО!L8:L6958,"&gt;0")</f>
        <v>15.6</v>
      </c>
      <c r="H249" s="797" t="s">
        <v>603</v>
      </c>
      <c r="I249" s="798">
        <v>41871</v>
      </c>
      <c r="J249" s="799">
        <f t="shared" ca="1" si="163"/>
        <v>3.4602739726027396</v>
      </c>
      <c r="K249" s="799">
        <f t="shared" ca="1" si="164"/>
        <v>42.1</v>
      </c>
      <c r="L249" s="800">
        <f t="shared" ca="1" si="165"/>
        <v>1263</v>
      </c>
      <c r="M249" s="801">
        <v>42574</v>
      </c>
      <c r="N249" s="802">
        <v>42574</v>
      </c>
      <c r="O249" s="803">
        <f t="shared" ca="1" si="166"/>
        <v>560</v>
      </c>
      <c r="P249" s="804">
        <v>1</v>
      </c>
      <c r="Q249" s="805" t="s">
        <v>2366</v>
      </c>
      <c r="R249" s="806" t="s">
        <v>2294</v>
      </c>
      <c r="S249" s="807">
        <v>42659</v>
      </c>
      <c r="T249" s="798">
        <v>42798</v>
      </c>
      <c r="U249" s="798" t="str">
        <f t="shared" si="167"/>
        <v>-</v>
      </c>
      <c r="V249" s="804" t="str">
        <f t="shared" ca="1" si="168"/>
        <v>-</v>
      </c>
      <c r="W249" s="808">
        <v>4</v>
      </c>
      <c r="X249" s="794">
        <f t="shared" si="214"/>
        <v>224</v>
      </c>
      <c r="Y249" s="794">
        <v>0</v>
      </c>
      <c r="Z249" s="809" t="str">
        <f t="shared" ca="1" si="169"/>
        <v>-----</v>
      </c>
      <c r="AA249" s="810">
        <f t="shared" ca="1" si="170"/>
        <v>336</v>
      </c>
      <c r="AB249" s="804"/>
      <c r="AC249" s="811" t="str">
        <f t="shared" ca="1" si="171"/>
        <v>-----</v>
      </c>
      <c r="AD249" s="798"/>
      <c r="AE249" s="794" t="str">
        <f t="shared" ca="1" si="172"/>
        <v>яловая</v>
      </c>
      <c r="AF249" s="798" t="str">
        <f t="shared" si="173"/>
        <v>-</v>
      </c>
      <c r="AG249" s="812" t="str">
        <f t="shared" si="174"/>
        <v>---------</v>
      </c>
      <c r="AH249" s="807">
        <v>42839</v>
      </c>
      <c r="AI249" s="807" t="str">
        <f t="shared" si="175"/>
        <v>-</v>
      </c>
      <c r="AJ249" s="807" t="str">
        <f t="shared" si="176"/>
        <v>-</v>
      </c>
      <c r="AK249" s="813"/>
      <c r="AL249" s="807" t="str">
        <f t="shared" si="177"/>
        <v>-</v>
      </c>
      <c r="AM249" s="807" t="str">
        <f t="shared" si="178"/>
        <v>-</v>
      </c>
      <c r="AN249" s="814" t="str">
        <f t="shared" ca="1" si="179"/>
        <v>-</v>
      </c>
      <c r="AO249" s="815">
        <v>1</v>
      </c>
      <c r="AP249" s="816" t="str">
        <f t="shared" ca="1" si="180"/>
        <v>БРАК</v>
      </c>
      <c r="AQ249" s="817" t="s">
        <v>1863</v>
      </c>
      <c r="AR249" s="794" t="str">
        <f t="shared" si="181"/>
        <v>-</v>
      </c>
      <c r="AS249" s="818"/>
      <c r="AT249" s="794" t="str">
        <f t="shared" si="182"/>
        <v>-</v>
      </c>
      <c r="AU249" s="819">
        <v>1</v>
      </c>
      <c r="AV249" s="820"/>
      <c r="AW249" s="821"/>
      <c r="AX249" s="821"/>
      <c r="AY249" s="969" t="str">
        <f t="shared" si="183"/>
        <v>-</v>
      </c>
      <c r="AZ249" s="966" t="str">
        <f t="shared" si="184"/>
        <v>-</v>
      </c>
      <c r="BA249" s="971" t="str">
        <f t="shared" si="185"/>
        <v>-</v>
      </c>
      <c r="BB249" s="975"/>
      <c r="BC249" s="821"/>
      <c r="BD249" s="821"/>
      <c r="BE249" s="963" t="str">
        <f t="shared" si="186"/>
        <v>-</v>
      </c>
      <c r="BF249" s="984"/>
      <c r="BG249" s="988"/>
      <c r="BH249" s="982"/>
      <c r="BI249" s="991"/>
      <c r="BJ249" s="991"/>
      <c r="BK249" s="993" t="str">
        <f t="shared" si="187"/>
        <v>-</v>
      </c>
      <c r="BL249" s="820">
        <v>42981</v>
      </c>
      <c r="BM249" s="821">
        <v>5</v>
      </c>
      <c r="BN249" s="822">
        <f t="shared" ca="1" si="188"/>
        <v>153</v>
      </c>
      <c r="BO249" s="823">
        <f t="shared" si="189"/>
        <v>37</v>
      </c>
      <c r="BP249" s="824">
        <v>43001</v>
      </c>
      <c r="BQ249" s="821">
        <v>2</v>
      </c>
      <c r="BR249" s="822">
        <f t="shared" ca="1" si="190"/>
        <v>133</v>
      </c>
      <c r="BS249" s="823">
        <f t="shared" si="191"/>
        <v>14.233333333333333</v>
      </c>
      <c r="BT249" s="825" t="str">
        <f t="shared" ca="1" si="192"/>
        <v>-</v>
      </c>
      <c r="BU249" s="826"/>
      <c r="BV249" s="827"/>
      <c r="BW249" s="828" t="str">
        <f t="shared" si="193"/>
        <v>Ж-Е НЕ ВАКЦ.</v>
      </c>
      <c r="BX249" s="829" t="str">
        <f t="shared" si="194"/>
        <v>-</v>
      </c>
      <c r="BY249" s="830" t="str">
        <f t="shared" ca="1" si="195"/>
        <v>-</v>
      </c>
      <c r="BZ249" s="831">
        <v>42887</v>
      </c>
      <c r="CA249" s="832">
        <v>5</v>
      </c>
      <c r="CB249" s="833">
        <f t="shared" ca="1" si="196"/>
        <v>247</v>
      </c>
      <c r="CC249" s="834" t="str">
        <f t="shared" ca="1" si="197"/>
        <v>-</v>
      </c>
      <c r="CD249" s="835">
        <f t="shared" si="198"/>
        <v>42908</v>
      </c>
      <c r="CE249" s="831">
        <v>42908</v>
      </c>
      <c r="CF249" s="832">
        <v>5</v>
      </c>
      <c r="CG249" s="833">
        <f t="shared" ca="1" si="199"/>
        <v>226</v>
      </c>
      <c r="CH249" s="836">
        <f t="shared" si="200"/>
        <v>0</v>
      </c>
      <c r="CI249" s="837" t="str">
        <f t="shared" si="201"/>
        <v>УСПЕШНО</v>
      </c>
      <c r="CJ249" s="838" t="str">
        <f t="shared" ca="1" si="202"/>
        <v>-</v>
      </c>
      <c r="CK249" s="831"/>
      <c r="CL249" s="832"/>
      <c r="CM249" s="833" t="str">
        <f t="shared" si="203"/>
        <v>-</v>
      </c>
      <c r="CN249" s="834" t="str">
        <f t="shared" si="204"/>
        <v>-</v>
      </c>
      <c r="CO249" s="830" t="str">
        <f t="shared" ca="1" si="205"/>
        <v>-</v>
      </c>
      <c r="CP249" s="839"/>
      <c r="CQ249" s="832"/>
      <c r="CR249" s="833" t="str">
        <f t="shared" si="206"/>
        <v>-</v>
      </c>
      <c r="CS249" s="833" t="str">
        <f t="shared" si="207"/>
        <v>-</v>
      </c>
      <c r="CT249" s="834" t="str">
        <f t="shared" si="208"/>
        <v>-</v>
      </c>
      <c r="CU249" s="835" t="str">
        <f t="shared" si="209"/>
        <v>-</v>
      </c>
      <c r="CV249" s="839"/>
      <c r="CW249" s="832"/>
      <c r="CX249" s="833" t="str">
        <f t="shared" si="210"/>
        <v>-</v>
      </c>
      <c r="CY249" s="840" t="str">
        <f t="shared" si="211"/>
        <v>-</v>
      </c>
      <c r="CZ249" s="833" t="str">
        <f t="shared" si="212"/>
        <v>-</v>
      </c>
      <c r="DA249" s="838" t="str">
        <f t="shared" ca="1" si="213"/>
        <v>-</v>
      </c>
      <c r="DB249" s="841"/>
      <c r="DC249" s="832"/>
    </row>
    <row r="250" spans="1:107" s="842" customFormat="1" ht="15.95" customHeight="1" x14ac:dyDescent="0.25">
      <c r="A250" s="790">
        <v>251</v>
      </c>
      <c r="B250" s="791">
        <f t="shared" ca="1" si="162"/>
        <v>43134</v>
      </c>
      <c r="C250" s="792" t="s">
        <v>613</v>
      </c>
      <c r="D250" s="793" t="s">
        <v>3202</v>
      </c>
      <c r="E250" s="794" t="s">
        <v>1346</v>
      </c>
      <c r="F250" s="795" t="s">
        <v>1229</v>
      </c>
      <c r="G250" s="796">
        <f>SUMIFS(МОЛОКО!L8:L6958,МОЛОКО!F8:F6958,"2369",МОЛОКО!L8:L6958,"&gt;0")</f>
        <v>19</v>
      </c>
      <c r="H250" s="797" t="s">
        <v>603</v>
      </c>
      <c r="I250" s="798">
        <v>41921</v>
      </c>
      <c r="J250" s="799">
        <f t="shared" ca="1" si="163"/>
        <v>3.3232876712328765</v>
      </c>
      <c r="K250" s="799">
        <f t="shared" ca="1" si="164"/>
        <v>40.43333333333333</v>
      </c>
      <c r="L250" s="800">
        <f t="shared" ca="1" si="165"/>
        <v>1213</v>
      </c>
      <c r="M250" s="801">
        <v>42590</v>
      </c>
      <c r="N250" s="802">
        <v>42590</v>
      </c>
      <c r="O250" s="803">
        <f t="shared" ca="1" si="166"/>
        <v>544</v>
      </c>
      <c r="P250" s="804">
        <v>1</v>
      </c>
      <c r="Q250" s="805" t="s">
        <v>1451</v>
      </c>
      <c r="R250" s="806" t="s">
        <v>1875</v>
      </c>
      <c r="S250" s="807">
        <v>42656</v>
      </c>
      <c r="T250" s="798">
        <v>42795</v>
      </c>
      <c r="U250" s="798" t="str">
        <f t="shared" si="167"/>
        <v>-</v>
      </c>
      <c r="V250" s="804" t="str">
        <f t="shared" ca="1" si="168"/>
        <v>-</v>
      </c>
      <c r="W250" s="808">
        <v>4</v>
      </c>
      <c r="X250" s="794">
        <f t="shared" si="214"/>
        <v>205</v>
      </c>
      <c r="Y250" s="794">
        <v>0</v>
      </c>
      <c r="Z250" s="809" t="str">
        <f t="shared" ca="1" si="169"/>
        <v>-----</v>
      </c>
      <c r="AA250" s="810">
        <f t="shared" ca="1" si="170"/>
        <v>339</v>
      </c>
      <c r="AB250" s="804"/>
      <c r="AC250" s="811" t="str">
        <f t="shared" ca="1" si="171"/>
        <v>-----</v>
      </c>
      <c r="AD250" s="798"/>
      <c r="AE250" s="794" t="str">
        <f t="shared" ca="1" si="172"/>
        <v>яловая</v>
      </c>
      <c r="AF250" s="798" t="str">
        <f t="shared" si="173"/>
        <v>-</v>
      </c>
      <c r="AG250" s="812" t="str">
        <f t="shared" si="174"/>
        <v>---------</v>
      </c>
      <c r="AH250" s="807">
        <v>42837</v>
      </c>
      <c r="AI250" s="807" t="str">
        <f t="shared" si="175"/>
        <v>-</v>
      </c>
      <c r="AJ250" s="807" t="str">
        <f t="shared" si="176"/>
        <v>-</v>
      </c>
      <c r="AK250" s="813"/>
      <c r="AL250" s="807" t="str">
        <f t="shared" si="177"/>
        <v>-</v>
      </c>
      <c r="AM250" s="807" t="str">
        <f t="shared" si="178"/>
        <v>-</v>
      </c>
      <c r="AN250" s="814" t="str">
        <f t="shared" ca="1" si="179"/>
        <v>-</v>
      </c>
      <c r="AO250" s="815">
        <v>1</v>
      </c>
      <c r="AP250" s="816" t="str">
        <f t="shared" ca="1" si="180"/>
        <v>БРАК</v>
      </c>
      <c r="AQ250" s="817" t="s">
        <v>2650</v>
      </c>
      <c r="AR250" s="794" t="str">
        <f t="shared" si="181"/>
        <v>-</v>
      </c>
      <c r="AS250" s="818"/>
      <c r="AT250" s="794" t="str">
        <f t="shared" si="182"/>
        <v>-</v>
      </c>
      <c r="AU250" s="819"/>
      <c r="AV250" s="820"/>
      <c r="AW250" s="821"/>
      <c r="AX250" s="821"/>
      <c r="AY250" s="969" t="str">
        <f t="shared" si="183"/>
        <v>-</v>
      </c>
      <c r="AZ250" s="966" t="str">
        <f t="shared" si="184"/>
        <v>-</v>
      </c>
      <c r="BA250" s="971" t="str">
        <f t="shared" si="185"/>
        <v>-</v>
      </c>
      <c r="BB250" s="975"/>
      <c r="BC250" s="821"/>
      <c r="BD250" s="821"/>
      <c r="BE250" s="963" t="str">
        <f t="shared" si="186"/>
        <v>-</v>
      </c>
      <c r="BF250" s="984"/>
      <c r="BG250" s="988"/>
      <c r="BH250" s="982"/>
      <c r="BI250" s="991"/>
      <c r="BJ250" s="991"/>
      <c r="BK250" s="993" t="str">
        <f t="shared" si="187"/>
        <v>-</v>
      </c>
      <c r="BL250" s="820">
        <v>42981</v>
      </c>
      <c r="BM250" s="821">
        <v>5</v>
      </c>
      <c r="BN250" s="822">
        <f t="shared" ca="1" si="188"/>
        <v>153</v>
      </c>
      <c r="BO250" s="823">
        <f t="shared" si="189"/>
        <v>35.333333333333336</v>
      </c>
      <c r="BP250" s="824">
        <v>43001</v>
      </c>
      <c r="BQ250" s="821">
        <v>2</v>
      </c>
      <c r="BR250" s="822">
        <f t="shared" ca="1" si="190"/>
        <v>133</v>
      </c>
      <c r="BS250" s="823">
        <f t="shared" si="191"/>
        <v>13.7</v>
      </c>
      <c r="BT250" s="825" t="str">
        <f t="shared" ca="1" si="192"/>
        <v>-</v>
      </c>
      <c r="BU250" s="826"/>
      <c r="BV250" s="827"/>
      <c r="BW250" s="828" t="str">
        <f t="shared" si="193"/>
        <v>Ж-Е НЕ ВАКЦ.</v>
      </c>
      <c r="BX250" s="829" t="str">
        <f t="shared" si="194"/>
        <v>-</v>
      </c>
      <c r="BY250" s="830" t="str">
        <f t="shared" ca="1" si="195"/>
        <v>-</v>
      </c>
      <c r="BZ250" s="831">
        <v>42887</v>
      </c>
      <c r="CA250" s="832">
        <v>5</v>
      </c>
      <c r="CB250" s="833">
        <f t="shared" ca="1" si="196"/>
        <v>247</v>
      </c>
      <c r="CC250" s="834" t="str">
        <f t="shared" ca="1" si="197"/>
        <v>-</v>
      </c>
      <c r="CD250" s="835">
        <f t="shared" si="198"/>
        <v>42908</v>
      </c>
      <c r="CE250" s="831">
        <v>42908</v>
      </c>
      <c r="CF250" s="832">
        <v>5</v>
      </c>
      <c r="CG250" s="833">
        <f t="shared" ca="1" si="199"/>
        <v>226</v>
      </c>
      <c r="CH250" s="836">
        <f t="shared" si="200"/>
        <v>0</v>
      </c>
      <c r="CI250" s="837" t="str">
        <f t="shared" si="201"/>
        <v>УСПЕШНО</v>
      </c>
      <c r="CJ250" s="838" t="str">
        <f t="shared" ca="1" si="202"/>
        <v>-</v>
      </c>
      <c r="CK250" s="831"/>
      <c r="CL250" s="832"/>
      <c r="CM250" s="833" t="str">
        <f t="shared" si="203"/>
        <v>-</v>
      </c>
      <c r="CN250" s="834" t="str">
        <f t="shared" si="204"/>
        <v>-</v>
      </c>
      <c r="CO250" s="830" t="str">
        <f t="shared" ca="1" si="205"/>
        <v>-</v>
      </c>
      <c r="CP250" s="839"/>
      <c r="CQ250" s="832"/>
      <c r="CR250" s="833" t="str">
        <f t="shared" si="206"/>
        <v>-</v>
      </c>
      <c r="CS250" s="833" t="str">
        <f t="shared" si="207"/>
        <v>-</v>
      </c>
      <c r="CT250" s="834" t="str">
        <f t="shared" si="208"/>
        <v>-</v>
      </c>
      <c r="CU250" s="835" t="str">
        <f t="shared" si="209"/>
        <v>-</v>
      </c>
      <c r="CV250" s="839"/>
      <c r="CW250" s="832"/>
      <c r="CX250" s="833" t="str">
        <f t="shared" si="210"/>
        <v>-</v>
      </c>
      <c r="CY250" s="840" t="str">
        <f t="shared" si="211"/>
        <v>-</v>
      </c>
      <c r="CZ250" s="833" t="str">
        <f t="shared" si="212"/>
        <v>-</v>
      </c>
      <c r="DA250" s="838" t="str">
        <f t="shared" ca="1" si="213"/>
        <v>-</v>
      </c>
      <c r="DB250" s="841"/>
      <c r="DC250" s="832"/>
    </row>
    <row r="251" spans="1:107" s="842" customFormat="1" ht="15.95" customHeight="1" x14ac:dyDescent="0.25">
      <c r="A251" s="790">
        <v>252</v>
      </c>
      <c r="B251" s="791">
        <f t="shared" ca="1" si="162"/>
        <v>43134</v>
      </c>
      <c r="C251" s="792" t="s">
        <v>613</v>
      </c>
      <c r="D251" s="793" t="s">
        <v>3202</v>
      </c>
      <c r="E251" s="794" t="s">
        <v>1113</v>
      </c>
      <c r="F251" s="795" t="s">
        <v>1026</v>
      </c>
      <c r="G251" s="796">
        <f>SUMIFS(МОЛОКО!L8:L6958,МОЛОКО!F8:F6958,"2512",МОЛОКО!L8:L6958,"&gt;0")</f>
        <v>21</v>
      </c>
      <c r="H251" s="797" t="s">
        <v>603</v>
      </c>
      <c r="I251" s="798">
        <v>42032</v>
      </c>
      <c r="J251" s="799">
        <f t="shared" ca="1" si="163"/>
        <v>3.0191780821917806</v>
      </c>
      <c r="K251" s="799">
        <f t="shared" ca="1" si="164"/>
        <v>36.733333333333334</v>
      </c>
      <c r="L251" s="800">
        <f t="shared" ca="1" si="165"/>
        <v>1102</v>
      </c>
      <c r="M251" s="801">
        <v>42751</v>
      </c>
      <c r="N251" s="802">
        <v>42751</v>
      </c>
      <c r="O251" s="803">
        <f t="shared" ca="1" si="166"/>
        <v>383</v>
      </c>
      <c r="P251" s="804">
        <v>1</v>
      </c>
      <c r="Q251" s="805" t="s">
        <v>1451</v>
      </c>
      <c r="R251" s="806" t="s">
        <v>2962</v>
      </c>
      <c r="S251" s="807">
        <v>42817</v>
      </c>
      <c r="T251" s="798">
        <v>43016</v>
      </c>
      <c r="U251" s="798" t="str">
        <f t="shared" si="167"/>
        <v>-</v>
      </c>
      <c r="V251" s="804" t="str">
        <f t="shared" ca="1" si="168"/>
        <v>-</v>
      </c>
      <c r="W251" s="808">
        <v>6</v>
      </c>
      <c r="X251" s="794">
        <f t="shared" si="214"/>
        <v>265</v>
      </c>
      <c r="Y251" s="794">
        <v>0</v>
      </c>
      <c r="Z251" s="809" t="str">
        <f t="shared" ca="1" si="169"/>
        <v>-----</v>
      </c>
      <c r="AA251" s="810">
        <f t="shared" ca="1" si="170"/>
        <v>118</v>
      </c>
      <c r="AB251" s="804"/>
      <c r="AC251" s="811" t="str">
        <f t="shared" ca="1" si="171"/>
        <v>-----</v>
      </c>
      <c r="AD251" s="798"/>
      <c r="AE251" s="794" t="str">
        <f t="shared" ca="1" si="172"/>
        <v>яловая</v>
      </c>
      <c r="AF251" s="798" t="str">
        <f t="shared" si="173"/>
        <v>-</v>
      </c>
      <c r="AG251" s="812" t="str">
        <f t="shared" si="174"/>
        <v>---------</v>
      </c>
      <c r="AH251" s="807">
        <v>43052</v>
      </c>
      <c r="AI251" s="807" t="str">
        <f t="shared" si="175"/>
        <v>-</v>
      </c>
      <c r="AJ251" s="807" t="str">
        <f t="shared" si="176"/>
        <v>-</v>
      </c>
      <c r="AK251" s="813"/>
      <c r="AL251" s="807" t="str">
        <f t="shared" si="177"/>
        <v>-</v>
      </c>
      <c r="AM251" s="807" t="str">
        <f t="shared" si="178"/>
        <v>-</v>
      </c>
      <c r="AN251" s="814" t="str">
        <f t="shared" ca="1" si="179"/>
        <v>-</v>
      </c>
      <c r="AO251" s="815">
        <v>1</v>
      </c>
      <c r="AP251" s="816" t="str">
        <f t="shared" ca="1" si="180"/>
        <v>БРАК</v>
      </c>
      <c r="AQ251" s="817"/>
      <c r="AR251" s="794" t="str">
        <f t="shared" si="181"/>
        <v>-</v>
      </c>
      <c r="AS251" s="818"/>
      <c r="AT251" s="794" t="str">
        <f t="shared" si="182"/>
        <v>-</v>
      </c>
      <c r="AU251" s="819"/>
      <c r="AV251" s="820"/>
      <c r="AW251" s="821"/>
      <c r="AX251" s="821"/>
      <c r="AY251" s="969" t="str">
        <f t="shared" si="183"/>
        <v>-</v>
      </c>
      <c r="AZ251" s="966" t="str">
        <f t="shared" si="184"/>
        <v>-</v>
      </c>
      <c r="BA251" s="971" t="str">
        <f t="shared" si="185"/>
        <v>-</v>
      </c>
      <c r="BB251" s="975"/>
      <c r="BC251" s="821"/>
      <c r="BD251" s="821"/>
      <c r="BE251" s="963" t="str">
        <f t="shared" si="186"/>
        <v>-</v>
      </c>
      <c r="BF251" s="984"/>
      <c r="BG251" s="988"/>
      <c r="BH251" s="982"/>
      <c r="BI251" s="991"/>
      <c r="BJ251" s="991"/>
      <c r="BK251" s="993" t="str">
        <f t="shared" si="187"/>
        <v>-</v>
      </c>
      <c r="BL251" s="820">
        <v>42981</v>
      </c>
      <c r="BM251" s="821">
        <v>5</v>
      </c>
      <c r="BN251" s="822">
        <f t="shared" ca="1" si="188"/>
        <v>153</v>
      </c>
      <c r="BO251" s="823">
        <f t="shared" si="189"/>
        <v>31.633333333333333</v>
      </c>
      <c r="BP251" s="824">
        <v>43001</v>
      </c>
      <c r="BQ251" s="821">
        <v>2</v>
      </c>
      <c r="BR251" s="822">
        <f t="shared" ca="1" si="190"/>
        <v>133</v>
      </c>
      <c r="BS251" s="823">
        <f t="shared" si="191"/>
        <v>8.3333333333333339</v>
      </c>
      <c r="BT251" s="825" t="str">
        <f t="shared" ca="1" si="192"/>
        <v>-</v>
      </c>
      <c r="BU251" s="826"/>
      <c r="BV251" s="827"/>
      <c r="BW251" s="828" t="str">
        <f t="shared" si="193"/>
        <v>Ж-Е НЕ ВАКЦ.</v>
      </c>
      <c r="BX251" s="829" t="str">
        <f t="shared" si="194"/>
        <v>-</v>
      </c>
      <c r="BY251" s="830" t="str">
        <f t="shared" ca="1" si="195"/>
        <v>-</v>
      </c>
      <c r="BZ251" s="831">
        <v>42887</v>
      </c>
      <c r="CA251" s="832">
        <v>5</v>
      </c>
      <c r="CB251" s="833">
        <f t="shared" ca="1" si="196"/>
        <v>247</v>
      </c>
      <c r="CC251" s="834" t="str">
        <f t="shared" ca="1" si="197"/>
        <v>-</v>
      </c>
      <c r="CD251" s="835">
        <f t="shared" si="198"/>
        <v>42908</v>
      </c>
      <c r="CE251" s="831">
        <v>42908</v>
      </c>
      <c r="CF251" s="832">
        <v>5</v>
      </c>
      <c r="CG251" s="833">
        <f t="shared" ca="1" si="199"/>
        <v>226</v>
      </c>
      <c r="CH251" s="836">
        <f t="shared" si="200"/>
        <v>0</v>
      </c>
      <c r="CI251" s="837" t="str">
        <f t="shared" si="201"/>
        <v>УСПЕШНО</v>
      </c>
      <c r="CJ251" s="838" t="str">
        <f t="shared" ca="1" si="202"/>
        <v>-</v>
      </c>
      <c r="CK251" s="831"/>
      <c r="CL251" s="832"/>
      <c r="CM251" s="833" t="str">
        <f t="shared" si="203"/>
        <v>-</v>
      </c>
      <c r="CN251" s="834" t="str">
        <f t="shared" si="204"/>
        <v>-</v>
      </c>
      <c r="CO251" s="830" t="str">
        <f t="shared" ca="1" si="205"/>
        <v>-</v>
      </c>
      <c r="CP251" s="839"/>
      <c r="CQ251" s="832"/>
      <c r="CR251" s="833" t="str">
        <f t="shared" si="206"/>
        <v>-</v>
      </c>
      <c r="CS251" s="833" t="str">
        <f t="shared" si="207"/>
        <v>-</v>
      </c>
      <c r="CT251" s="834" t="str">
        <f t="shared" si="208"/>
        <v>-</v>
      </c>
      <c r="CU251" s="835" t="str">
        <f t="shared" si="209"/>
        <v>-</v>
      </c>
      <c r="CV251" s="839"/>
      <c r="CW251" s="832"/>
      <c r="CX251" s="833" t="str">
        <f t="shared" si="210"/>
        <v>-</v>
      </c>
      <c r="CY251" s="840" t="str">
        <f t="shared" si="211"/>
        <v>-</v>
      </c>
      <c r="CZ251" s="833" t="str">
        <f t="shared" si="212"/>
        <v>-</v>
      </c>
      <c r="DA251" s="838" t="str">
        <f t="shared" ca="1" si="213"/>
        <v>-</v>
      </c>
      <c r="DB251" s="841"/>
      <c r="DC251" s="832"/>
    </row>
    <row r="252" spans="1:107" s="842" customFormat="1" ht="15.95" customHeight="1" x14ac:dyDescent="0.25">
      <c r="A252" s="790">
        <v>253</v>
      </c>
      <c r="B252" s="791">
        <f t="shared" ca="1" si="162"/>
        <v>43134</v>
      </c>
      <c r="C252" s="29" t="s">
        <v>613</v>
      </c>
      <c r="D252" s="59" t="s">
        <v>3202</v>
      </c>
      <c r="E252" s="794" t="s">
        <v>1497</v>
      </c>
      <c r="F252" s="795" t="s">
        <v>1479</v>
      </c>
      <c r="G252" s="796">
        <f>SUMIFS(МОЛОКО!L8:L6958,МОЛОКО!F8:F6958,"2520",МОЛОКО!L8:L6958,"&gt;0")</f>
        <v>10</v>
      </c>
      <c r="H252" s="797" t="s">
        <v>603</v>
      </c>
      <c r="I252" s="798">
        <v>42038</v>
      </c>
      <c r="J252" s="799">
        <f t="shared" ca="1" si="163"/>
        <v>3.0027397260273974</v>
      </c>
      <c r="K252" s="799">
        <f t="shared" ca="1" si="164"/>
        <v>36.533333333333331</v>
      </c>
      <c r="L252" s="800">
        <f t="shared" ca="1" si="165"/>
        <v>1096</v>
      </c>
      <c r="M252" s="801">
        <v>42884</v>
      </c>
      <c r="N252" s="802">
        <v>42884</v>
      </c>
      <c r="O252" s="803">
        <f t="shared" ca="1" si="166"/>
        <v>250</v>
      </c>
      <c r="P252" s="804">
        <v>1</v>
      </c>
      <c r="Q252" s="805" t="s">
        <v>2366</v>
      </c>
      <c r="R252" s="806" t="s">
        <v>3020</v>
      </c>
      <c r="S252" s="807">
        <v>42943</v>
      </c>
      <c r="T252" s="798">
        <v>42986</v>
      </c>
      <c r="U252" s="798" t="str">
        <f t="shared" si="167"/>
        <v>-</v>
      </c>
      <c r="V252" s="804" t="str">
        <f t="shared" ca="1" si="168"/>
        <v>-</v>
      </c>
      <c r="W252" s="808">
        <v>2</v>
      </c>
      <c r="X252" s="794">
        <f t="shared" si="214"/>
        <v>102</v>
      </c>
      <c r="Y252" s="794">
        <v>1</v>
      </c>
      <c r="Z252" s="809" t="str">
        <f t="shared" ca="1" si="169"/>
        <v>-----</v>
      </c>
      <c r="AA252" s="810" t="str">
        <f t="shared" ca="1" si="170"/>
        <v>-----</v>
      </c>
      <c r="AB252" s="804">
        <v>1</v>
      </c>
      <c r="AC252" s="811" t="str">
        <f t="shared" ca="1" si="171"/>
        <v>-----</v>
      </c>
      <c r="AD252" s="798">
        <v>43055</v>
      </c>
      <c r="AE252" s="794" t="str">
        <f t="shared" ca="1" si="172"/>
        <v>-</v>
      </c>
      <c r="AF252" s="798" t="str">
        <f t="shared" si="173"/>
        <v>-</v>
      </c>
      <c r="AG252" s="812" t="str">
        <f t="shared" si="174"/>
        <v>---------</v>
      </c>
      <c r="AH252" s="807">
        <v>43017</v>
      </c>
      <c r="AI252" s="807">
        <f t="shared" si="175"/>
        <v>43176</v>
      </c>
      <c r="AJ252" s="807">
        <f t="shared" si="176"/>
        <v>43206</v>
      </c>
      <c r="AK252" s="813"/>
      <c r="AL252" s="807">
        <f t="shared" si="177"/>
        <v>43245</v>
      </c>
      <c r="AM252" s="807">
        <f t="shared" si="178"/>
        <v>43266</v>
      </c>
      <c r="AN252" s="814">
        <f t="shared" ca="1" si="179"/>
        <v>-132</v>
      </c>
      <c r="AO252" s="815">
        <v>1</v>
      </c>
      <c r="AP252" s="816" t="str">
        <f t="shared" ca="1" si="180"/>
        <v>-</v>
      </c>
      <c r="AQ252" s="817"/>
      <c r="AR252" s="794" t="str">
        <f t="shared" si="181"/>
        <v>-</v>
      </c>
      <c r="AS252" s="818"/>
      <c r="AT252" s="794" t="str">
        <f t="shared" si="182"/>
        <v>-</v>
      </c>
      <c r="AU252" s="819"/>
      <c r="AV252" s="820"/>
      <c r="AW252" s="821"/>
      <c r="AX252" s="821"/>
      <c r="AY252" s="969" t="str">
        <f t="shared" si="183"/>
        <v>-</v>
      </c>
      <c r="AZ252" s="966" t="str">
        <f t="shared" si="184"/>
        <v>-</v>
      </c>
      <c r="BA252" s="971" t="str">
        <f t="shared" si="185"/>
        <v>-</v>
      </c>
      <c r="BB252" s="975"/>
      <c r="BC252" s="821"/>
      <c r="BD252" s="821"/>
      <c r="BE252" s="963" t="str">
        <f t="shared" si="186"/>
        <v>-</v>
      </c>
      <c r="BF252" s="984"/>
      <c r="BG252" s="988"/>
      <c r="BH252" s="982"/>
      <c r="BI252" s="991"/>
      <c r="BJ252" s="991"/>
      <c r="BK252" s="993" t="str">
        <f t="shared" si="187"/>
        <v>-</v>
      </c>
      <c r="BL252" s="820">
        <v>42980</v>
      </c>
      <c r="BM252" s="821">
        <v>5</v>
      </c>
      <c r="BN252" s="822">
        <f t="shared" ca="1" si="188"/>
        <v>154</v>
      </c>
      <c r="BO252" s="823">
        <f t="shared" si="189"/>
        <v>31.4</v>
      </c>
      <c r="BP252" s="824">
        <v>43001</v>
      </c>
      <c r="BQ252" s="821">
        <v>2</v>
      </c>
      <c r="BR252" s="822">
        <f t="shared" ca="1" si="190"/>
        <v>133</v>
      </c>
      <c r="BS252" s="823">
        <f t="shared" si="191"/>
        <v>3.9</v>
      </c>
      <c r="BT252" s="825" t="str">
        <f t="shared" ca="1" si="192"/>
        <v>-</v>
      </c>
      <c r="BU252" s="826"/>
      <c r="BV252" s="827"/>
      <c r="BW252" s="828" t="str">
        <f t="shared" si="193"/>
        <v>Ж-Е НЕ ВАКЦ.</v>
      </c>
      <c r="BX252" s="829" t="str">
        <f t="shared" si="194"/>
        <v>-</v>
      </c>
      <c r="BY252" s="830" t="str">
        <f t="shared" ca="1" si="195"/>
        <v>-</v>
      </c>
      <c r="BZ252" s="831">
        <v>42916</v>
      </c>
      <c r="CA252" s="832">
        <v>5</v>
      </c>
      <c r="CB252" s="833">
        <f t="shared" ca="1" si="196"/>
        <v>218</v>
      </c>
      <c r="CC252" s="834" t="str">
        <f t="shared" ca="1" si="197"/>
        <v>-</v>
      </c>
      <c r="CD252" s="835">
        <f t="shared" si="198"/>
        <v>42937</v>
      </c>
      <c r="CE252" s="831">
        <v>42937</v>
      </c>
      <c r="CF252" s="832">
        <v>5</v>
      </c>
      <c r="CG252" s="833">
        <f t="shared" ca="1" si="199"/>
        <v>197</v>
      </c>
      <c r="CH252" s="836">
        <f t="shared" si="200"/>
        <v>0</v>
      </c>
      <c r="CI252" s="837" t="str">
        <f t="shared" si="201"/>
        <v>УСПЕШНО</v>
      </c>
      <c r="CJ252" s="838" t="str">
        <f t="shared" ca="1" si="202"/>
        <v>-</v>
      </c>
      <c r="CK252" s="831"/>
      <c r="CL252" s="832"/>
      <c r="CM252" s="833" t="str">
        <f t="shared" si="203"/>
        <v>-</v>
      </c>
      <c r="CN252" s="834" t="str">
        <f t="shared" si="204"/>
        <v>-</v>
      </c>
      <c r="CO252" s="830" t="str">
        <f t="shared" ca="1" si="205"/>
        <v>-</v>
      </c>
      <c r="CP252" s="839"/>
      <c r="CQ252" s="832"/>
      <c r="CR252" s="833" t="str">
        <f t="shared" si="206"/>
        <v>-</v>
      </c>
      <c r="CS252" s="833" t="str">
        <f t="shared" si="207"/>
        <v>-</v>
      </c>
      <c r="CT252" s="834" t="str">
        <f t="shared" si="208"/>
        <v>-</v>
      </c>
      <c r="CU252" s="835" t="str">
        <f t="shared" si="209"/>
        <v>-</v>
      </c>
      <c r="CV252" s="839"/>
      <c r="CW252" s="832"/>
      <c r="CX252" s="833" t="str">
        <f t="shared" si="210"/>
        <v>-</v>
      </c>
      <c r="CY252" s="840" t="str">
        <f t="shared" si="211"/>
        <v>-</v>
      </c>
      <c r="CZ252" s="833" t="str">
        <f t="shared" si="212"/>
        <v>-</v>
      </c>
      <c r="DA252" s="838" t="str">
        <f t="shared" ca="1" si="213"/>
        <v>-</v>
      </c>
      <c r="DB252" s="841"/>
      <c r="DC252" s="832"/>
    </row>
    <row r="253" spans="1:107" s="842" customFormat="1" ht="15.95" customHeight="1" x14ac:dyDescent="0.25">
      <c r="A253" s="790">
        <v>254</v>
      </c>
      <c r="B253" s="791">
        <f t="shared" ca="1" si="162"/>
        <v>43134</v>
      </c>
      <c r="C253" s="792" t="s">
        <v>613</v>
      </c>
      <c r="D253" s="793" t="s">
        <v>3202</v>
      </c>
      <c r="E253" s="794" t="s">
        <v>720</v>
      </c>
      <c r="F253" s="854" t="s">
        <v>1466</v>
      </c>
      <c r="G253" s="796">
        <f>SUMIFS(МОЛОКО!L8:L6958,МОЛОКО!F8:F6958,"2585",МОЛОКО!L8:L6958,"&gt;0")</f>
        <v>9</v>
      </c>
      <c r="H253" s="797" t="s">
        <v>603</v>
      </c>
      <c r="I253" s="798">
        <v>42100</v>
      </c>
      <c r="J253" s="799">
        <f t="shared" ca="1" si="163"/>
        <v>2.8328767123287673</v>
      </c>
      <c r="K253" s="799">
        <f t="shared" ca="1" si="164"/>
        <v>34.466666666666669</v>
      </c>
      <c r="L253" s="800">
        <f t="shared" ca="1" si="165"/>
        <v>1034</v>
      </c>
      <c r="M253" s="801">
        <v>42806</v>
      </c>
      <c r="N253" s="802">
        <v>42806</v>
      </c>
      <c r="O253" s="803">
        <f t="shared" ca="1" si="166"/>
        <v>328</v>
      </c>
      <c r="P253" s="804">
        <v>1</v>
      </c>
      <c r="Q253" s="805" t="s">
        <v>1451</v>
      </c>
      <c r="R253" s="806" t="s">
        <v>2663</v>
      </c>
      <c r="S253" s="807">
        <v>42866</v>
      </c>
      <c r="T253" s="798">
        <v>42866</v>
      </c>
      <c r="U253" s="798" t="str">
        <f t="shared" si="167"/>
        <v>-</v>
      </c>
      <c r="V253" s="804" t="str">
        <f t="shared" ca="1" si="168"/>
        <v>-</v>
      </c>
      <c r="W253" s="808">
        <v>1</v>
      </c>
      <c r="X253" s="794">
        <f t="shared" si="214"/>
        <v>60</v>
      </c>
      <c r="Y253" s="794">
        <v>1</v>
      </c>
      <c r="Z253" s="809" t="str">
        <f t="shared" ca="1" si="169"/>
        <v>-----</v>
      </c>
      <c r="AA253" s="810" t="str">
        <f t="shared" ca="1" si="170"/>
        <v>-----</v>
      </c>
      <c r="AB253" s="804">
        <v>1</v>
      </c>
      <c r="AC253" s="811" t="str">
        <f t="shared" ca="1" si="171"/>
        <v>-----</v>
      </c>
      <c r="AD253" s="798">
        <v>42932</v>
      </c>
      <c r="AE253" s="794" t="str">
        <f t="shared" ca="1" si="172"/>
        <v>-</v>
      </c>
      <c r="AF253" s="798" t="str">
        <f t="shared" si="173"/>
        <v>-</v>
      </c>
      <c r="AG253" s="812" t="str">
        <f t="shared" si="174"/>
        <v>---------</v>
      </c>
      <c r="AH253" s="807">
        <v>42900</v>
      </c>
      <c r="AI253" s="807">
        <f t="shared" si="175"/>
        <v>43056</v>
      </c>
      <c r="AJ253" s="807">
        <f t="shared" si="176"/>
        <v>43086</v>
      </c>
      <c r="AK253" s="813"/>
      <c r="AL253" s="807">
        <f t="shared" si="177"/>
        <v>43125</v>
      </c>
      <c r="AM253" s="807">
        <f t="shared" si="178"/>
        <v>43146</v>
      </c>
      <c r="AN253" s="814">
        <f t="shared" ca="1" si="179"/>
        <v>-12</v>
      </c>
      <c r="AO253" s="815">
        <v>1</v>
      </c>
      <c r="AP253" s="816" t="str">
        <f t="shared" ca="1" si="180"/>
        <v>-</v>
      </c>
      <c r="AQ253" s="817"/>
      <c r="AR253" s="794" t="str">
        <f t="shared" si="181"/>
        <v>-</v>
      </c>
      <c r="AS253" s="818"/>
      <c r="AT253" s="794" t="str">
        <f t="shared" si="182"/>
        <v>-</v>
      </c>
      <c r="AU253" s="819">
        <v>1</v>
      </c>
      <c r="AV253" s="820"/>
      <c r="AW253" s="821"/>
      <c r="AX253" s="821"/>
      <c r="AY253" s="969" t="str">
        <f t="shared" si="183"/>
        <v>-</v>
      </c>
      <c r="AZ253" s="966" t="str">
        <f t="shared" si="184"/>
        <v>-</v>
      </c>
      <c r="BA253" s="971" t="str">
        <f t="shared" si="185"/>
        <v>-</v>
      </c>
      <c r="BB253" s="975"/>
      <c r="BC253" s="821"/>
      <c r="BD253" s="821"/>
      <c r="BE253" s="963" t="str">
        <f t="shared" si="186"/>
        <v>-</v>
      </c>
      <c r="BF253" s="984"/>
      <c r="BG253" s="988"/>
      <c r="BH253" s="982"/>
      <c r="BI253" s="991"/>
      <c r="BJ253" s="991"/>
      <c r="BK253" s="993" t="str">
        <f t="shared" si="187"/>
        <v>-</v>
      </c>
      <c r="BL253" s="820">
        <v>42981</v>
      </c>
      <c r="BM253" s="821">
        <v>5</v>
      </c>
      <c r="BN253" s="822">
        <f t="shared" ca="1" si="188"/>
        <v>153</v>
      </c>
      <c r="BO253" s="823">
        <f t="shared" si="189"/>
        <v>29.366666666666667</v>
      </c>
      <c r="BP253" s="824">
        <v>43001</v>
      </c>
      <c r="BQ253" s="821">
        <v>2</v>
      </c>
      <c r="BR253" s="822">
        <f t="shared" ca="1" si="190"/>
        <v>133</v>
      </c>
      <c r="BS253" s="823">
        <f t="shared" si="191"/>
        <v>6.5</v>
      </c>
      <c r="BT253" s="825" t="str">
        <f t="shared" ca="1" si="192"/>
        <v>-</v>
      </c>
      <c r="BU253" s="826"/>
      <c r="BV253" s="827"/>
      <c r="BW253" s="828" t="str">
        <f t="shared" si="193"/>
        <v>Ж-Е НЕ ВАКЦ.</v>
      </c>
      <c r="BX253" s="829" t="str">
        <f t="shared" si="194"/>
        <v>-</v>
      </c>
      <c r="BY253" s="830" t="str">
        <f t="shared" ca="1" si="195"/>
        <v>-</v>
      </c>
      <c r="BZ253" s="831">
        <v>42887</v>
      </c>
      <c r="CA253" s="832">
        <v>5</v>
      </c>
      <c r="CB253" s="833">
        <f t="shared" ca="1" si="196"/>
        <v>247</v>
      </c>
      <c r="CC253" s="834" t="str">
        <f t="shared" ca="1" si="197"/>
        <v>-</v>
      </c>
      <c r="CD253" s="835">
        <f t="shared" si="198"/>
        <v>42908</v>
      </c>
      <c r="CE253" s="831">
        <v>42908</v>
      </c>
      <c r="CF253" s="832">
        <v>5</v>
      </c>
      <c r="CG253" s="833">
        <f t="shared" ca="1" si="199"/>
        <v>226</v>
      </c>
      <c r="CH253" s="836">
        <f t="shared" si="200"/>
        <v>0</v>
      </c>
      <c r="CI253" s="837" t="str">
        <f t="shared" si="201"/>
        <v>УСПЕШНО</v>
      </c>
      <c r="CJ253" s="838" t="str">
        <f t="shared" ca="1" si="202"/>
        <v>-</v>
      </c>
      <c r="CK253" s="831"/>
      <c r="CL253" s="832"/>
      <c r="CM253" s="833" t="str">
        <f t="shared" si="203"/>
        <v>-</v>
      </c>
      <c r="CN253" s="834" t="str">
        <f t="shared" si="204"/>
        <v>-</v>
      </c>
      <c r="CO253" s="830" t="str">
        <f t="shared" ca="1" si="205"/>
        <v>ТРЕБУЕТСЯ ВАКЦИНАЦИЯ</v>
      </c>
      <c r="CP253" s="839"/>
      <c r="CQ253" s="832"/>
      <c r="CR253" s="833" t="str">
        <f t="shared" si="206"/>
        <v>-</v>
      </c>
      <c r="CS253" s="833" t="str">
        <f t="shared" si="207"/>
        <v>-</v>
      </c>
      <c r="CT253" s="834" t="str">
        <f t="shared" si="208"/>
        <v>-</v>
      </c>
      <c r="CU253" s="835" t="str">
        <f t="shared" si="209"/>
        <v>-</v>
      </c>
      <c r="CV253" s="839"/>
      <c r="CW253" s="832"/>
      <c r="CX253" s="833" t="str">
        <f t="shared" si="210"/>
        <v>-</v>
      </c>
      <c r="CY253" s="840" t="str">
        <f t="shared" si="211"/>
        <v>-</v>
      </c>
      <c r="CZ253" s="833" t="str">
        <f t="shared" si="212"/>
        <v>-</v>
      </c>
      <c r="DA253" s="838" t="str">
        <f t="shared" ca="1" si="213"/>
        <v>-</v>
      </c>
      <c r="DB253" s="841"/>
      <c r="DC253" s="832"/>
    </row>
    <row r="254" spans="1:107" s="842" customFormat="1" ht="15.95" customHeight="1" x14ac:dyDescent="0.25">
      <c r="A254" s="790">
        <v>255</v>
      </c>
      <c r="B254" s="791">
        <f t="shared" ca="1" si="162"/>
        <v>43134</v>
      </c>
      <c r="C254" s="792" t="s">
        <v>613</v>
      </c>
      <c r="D254" s="793" t="s">
        <v>3202</v>
      </c>
      <c r="E254" s="794" t="s">
        <v>1489</v>
      </c>
      <c r="F254" s="854" t="s">
        <v>1467</v>
      </c>
      <c r="G254" s="796">
        <f>SUMIFS(МОЛОКО!L8:L6958,МОЛОКО!F8:F6958,"2605",МОЛОКО!L8:L6958,"&gt;0")</f>
        <v>12.5</v>
      </c>
      <c r="H254" s="797" t="s">
        <v>603</v>
      </c>
      <c r="I254" s="798">
        <v>42114</v>
      </c>
      <c r="J254" s="799">
        <f t="shared" ca="1" si="163"/>
        <v>2.7945205479452055</v>
      </c>
      <c r="K254" s="799">
        <f t="shared" ca="1" si="164"/>
        <v>34</v>
      </c>
      <c r="L254" s="800">
        <f t="shared" ca="1" si="165"/>
        <v>1020</v>
      </c>
      <c r="M254" s="801">
        <v>42793</v>
      </c>
      <c r="N254" s="802">
        <v>42793</v>
      </c>
      <c r="O254" s="803">
        <f t="shared" ca="1" si="166"/>
        <v>341</v>
      </c>
      <c r="P254" s="804">
        <v>1</v>
      </c>
      <c r="Q254" s="805" t="s">
        <v>2366</v>
      </c>
      <c r="R254" s="806" t="s">
        <v>2966</v>
      </c>
      <c r="S254" s="807">
        <v>42855</v>
      </c>
      <c r="T254" s="855">
        <v>42945</v>
      </c>
      <c r="U254" s="798" t="str">
        <f t="shared" si="167"/>
        <v>-</v>
      </c>
      <c r="V254" s="804" t="str">
        <f t="shared" ca="1" si="168"/>
        <v>-</v>
      </c>
      <c r="W254" s="808">
        <v>3</v>
      </c>
      <c r="X254" s="794">
        <f t="shared" si="214"/>
        <v>152</v>
      </c>
      <c r="Y254" s="857">
        <v>1</v>
      </c>
      <c r="Z254" s="809" t="str">
        <f t="shared" ca="1" si="169"/>
        <v>-----</v>
      </c>
      <c r="AA254" s="810" t="str">
        <f t="shared" ca="1" si="170"/>
        <v>-----</v>
      </c>
      <c r="AB254" s="804">
        <v>1</v>
      </c>
      <c r="AC254" s="811" t="str">
        <f t="shared" ca="1" si="171"/>
        <v>-----</v>
      </c>
      <c r="AD254" s="798">
        <v>43030</v>
      </c>
      <c r="AE254" s="794" t="str">
        <f t="shared" ca="1" si="172"/>
        <v>-</v>
      </c>
      <c r="AF254" s="798" t="str">
        <f t="shared" si="173"/>
        <v>-</v>
      </c>
      <c r="AG254" s="812" t="str">
        <f t="shared" si="174"/>
        <v>---------</v>
      </c>
      <c r="AH254" s="807">
        <v>42975</v>
      </c>
      <c r="AI254" s="807">
        <f t="shared" si="175"/>
        <v>43135</v>
      </c>
      <c r="AJ254" s="807">
        <f t="shared" si="176"/>
        <v>43165</v>
      </c>
      <c r="AK254" s="813"/>
      <c r="AL254" s="807">
        <f t="shared" si="177"/>
        <v>43204</v>
      </c>
      <c r="AM254" s="807">
        <f t="shared" si="178"/>
        <v>43225</v>
      </c>
      <c r="AN254" s="814">
        <f t="shared" ca="1" si="179"/>
        <v>-91</v>
      </c>
      <c r="AO254" s="815">
        <v>1</v>
      </c>
      <c r="AP254" s="816" t="str">
        <f t="shared" ca="1" si="180"/>
        <v>-</v>
      </c>
      <c r="AQ254" s="817"/>
      <c r="AR254" s="794" t="str">
        <f t="shared" si="181"/>
        <v>-</v>
      </c>
      <c r="AS254" s="818"/>
      <c r="AT254" s="794" t="str">
        <f t="shared" si="182"/>
        <v>-</v>
      </c>
      <c r="AU254" s="819">
        <v>1</v>
      </c>
      <c r="AV254" s="820"/>
      <c r="AW254" s="821"/>
      <c r="AX254" s="821"/>
      <c r="AY254" s="969" t="str">
        <f t="shared" si="183"/>
        <v>-</v>
      </c>
      <c r="AZ254" s="966" t="str">
        <f t="shared" si="184"/>
        <v>-</v>
      </c>
      <c r="BA254" s="971" t="str">
        <f t="shared" si="185"/>
        <v>-</v>
      </c>
      <c r="BB254" s="975"/>
      <c r="BC254" s="821"/>
      <c r="BD254" s="821"/>
      <c r="BE254" s="963" t="str">
        <f t="shared" si="186"/>
        <v>-</v>
      </c>
      <c r="BF254" s="984"/>
      <c r="BG254" s="988"/>
      <c r="BH254" s="982"/>
      <c r="BI254" s="991"/>
      <c r="BJ254" s="991"/>
      <c r="BK254" s="993" t="str">
        <f t="shared" si="187"/>
        <v>-</v>
      </c>
      <c r="BL254" s="820">
        <v>42981</v>
      </c>
      <c r="BM254" s="821">
        <v>5</v>
      </c>
      <c r="BN254" s="822">
        <f t="shared" ca="1" si="188"/>
        <v>153</v>
      </c>
      <c r="BO254" s="823">
        <f t="shared" si="189"/>
        <v>28.9</v>
      </c>
      <c r="BP254" s="824">
        <v>43001</v>
      </c>
      <c r="BQ254" s="821">
        <v>2</v>
      </c>
      <c r="BR254" s="822">
        <f t="shared" ca="1" si="190"/>
        <v>133</v>
      </c>
      <c r="BS254" s="823">
        <f t="shared" si="191"/>
        <v>6.9333333333333336</v>
      </c>
      <c r="BT254" s="825" t="str">
        <f t="shared" ca="1" si="192"/>
        <v>-</v>
      </c>
      <c r="BU254" s="826"/>
      <c r="BV254" s="827"/>
      <c r="BW254" s="828" t="str">
        <f t="shared" si="193"/>
        <v>Ж-Е НЕ ВАКЦ.</v>
      </c>
      <c r="BX254" s="829" t="str">
        <f t="shared" si="194"/>
        <v>-</v>
      </c>
      <c r="BY254" s="830" t="str">
        <f t="shared" ca="1" si="195"/>
        <v>-</v>
      </c>
      <c r="BZ254" s="831">
        <v>42887</v>
      </c>
      <c r="CA254" s="832">
        <v>5</v>
      </c>
      <c r="CB254" s="833">
        <f t="shared" ca="1" si="196"/>
        <v>247</v>
      </c>
      <c r="CC254" s="834" t="str">
        <f t="shared" ca="1" si="197"/>
        <v>-</v>
      </c>
      <c r="CD254" s="835">
        <f t="shared" si="198"/>
        <v>42908</v>
      </c>
      <c r="CE254" s="831">
        <v>42908</v>
      </c>
      <c r="CF254" s="832">
        <v>5</v>
      </c>
      <c r="CG254" s="833">
        <f t="shared" ca="1" si="199"/>
        <v>226</v>
      </c>
      <c r="CH254" s="836">
        <f t="shared" si="200"/>
        <v>0</v>
      </c>
      <c r="CI254" s="837" t="str">
        <f t="shared" si="201"/>
        <v>УСПЕШНО</v>
      </c>
      <c r="CJ254" s="838" t="str">
        <f t="shared" ca="1" si="202"/>
        <v>-</v>
      </c>
      <c r="CK254" s="831"/>
      <c r="CL254" s="832"/>
      <c r="CM254" s="833" t="str">
        <f t="shared" si="203"/>
        <v>-</v>
      </c>
      <c r="CN254" s="834" t="str">
        <f t="shared" si="204"/>
        <v>-</v>
      </c>
      <c r="CO254" s="830" t="str">
        <f t="shared" ca="1" si="205"/>
        <v>-</v>
      </c>
      <c r="CP254" s="839"/>
      <c r="CQ254" s="832"/>
      <c r="CR254" s="833" t="str">
        <f t="shared" si="206"/>
        <v>-</v>
      </c>
      <c r="CS254" s="833" t="str">
        <f t="shared" si="207"/>
        <v>-</v>
      </c>
      <c r="CT254" s="834" t="str">
        <f t="shared" si="208"/>
        <v>-</v>
      </c>
      <c r="CU254" s="835" t="str">
        <f t="shared" si="209"/>
        <v>-</v>
      </c>
      <c r="CV254" s="839"/>
      <c r="CW254" s="832"/>
      <c r="CX254" s="833" t="str">
        <f t="shared" si="210"/>
        <v>-</v>
      </c>
      <c r="CY254" s="840" t="str">
        <f t="shared" si="211"/>
        <v>-</v>
      </c>
      <c r="CZ254" s="833" t="str">
        <f t="shared" si="212"/>
        <v>-</v>
      </c>
      <c r="DA254" s="838" t="str">
        <f t="shared" ca="1" si="213"/>
        <v>-</v>
      </c>
      <c r="DB254" s="841"/>
      <c r="DC254" s="832"/>
    </row>
    <row r="255" spans="1:107" s="842" customFormat="1" ht="15.95" customHeight="1" x14ac:dyDescent="0.25">
      <c r="A255" s="790">
        <v>256</v>
      </c>
      <c r="B255" s="791">
        <f t="shared" ca="1" si="162"/>
        <v>43134</v>
      </c>
      <c r="C255" s="792" t="s">
        <v>613</v>
      </c>
      <c r="D255" s="793" t="s">
        <v>3202</v>
      </c>
      <c r="E255" s="794" t="s">
        <v>1491</v>
      </c>
      <c r="F255" s="854" t="s">
        <v>1477</v>
      </c>
      <c r="G255" s="796">
        <f>SUMIFS(МОЛОКО!L8:L6958,МОЛОКО!F8:F6958,"2616",МОЛОКО!L8:L6958,"&gt;0")</f>
        <v>18.5</v>
      </c>
      <c r="H255" s="797" t="s">
        <v>603</v>
      </c>
      <c r="I255" s="798">
        <v>42121</v>
      </c>
      <c r="J255" s="799">
        <f t="shared" ca="1" si="163"/>
        <v>2.7753424657534245</v>
      </c>
      <c r="K255" s="799">
        <f t="shared" ca="1" si="164"/>
        <v>33.766666666666666</v>
      </c>
      <c r="L255" s="800">
        <f t="shared" ca="1" si="165"/>
        <v>1013</v>
      </c>
      <c r="M255" s="801">
        <v>42789</v>
      </c>
      <c r="N255" s="802">
        <v>42789</v>
      </c>
      <c r="O255" s="803">
        <f t="shared" ca="1" si="166"/>
        <v>345</v>
      </c>
      <c r="P255" s="804">
        <v>1</v>
      </c>
      <c r="Q255" s="805" t="s">
        <v>2366</v>
      </c>
      <c r="R255" s="806" t="s">
        <v>2335</v>
      </c>
      <c r="S255" s="807">
        <v>42859</v>
      </c>
      <c r="T255" s="798">
        <v>42859</v>
      </c>
      <c r="U255" s="798" t="str">
        <f t="shared" si="167"/>
        <v>-</v>
      </c>
      <c r="V255" s="804" t="str">
        <f t="shared" ca="1" si="168"/>
        <v>-</v>
      </c>
      <c r="W255" s="808">
        <v>1</v>
      </c>
      <c r="X255" s="794">
        <f t="shared" si="214"/>
        <v>70</v>
      </c>
      <c r="Y255" s="794">
        <v>1</v>
      </c>
      <c r="Z255" s="809" t="str">
        <f t="shared" ca="1" si="169"/>
        <v>ПОДЛЕЖИТ ПЕРЕПРОВЕРКЕ</v>
      </c>
      <c r="AA255" s="810">
        <f t="shared" ca="1" si="170"/>
        <v>275</v>
      </c>
      <c r="AB255" s="804"/>
      <c r="AC255" s="811">
        <f t="shared" ca="1" si="171"/>
        <v>42931</v>
      </c>
      <c r="AD255" s="798"/>
      <c r="AE255" s="794" t="str">
        <f t="shared" ca="1" si="172"/>
        <v>-</v>
      </c>
      <c r="AF255" s="798" t="str">
        <f t="shared" si="173"/>
        <v>-</v>
      </c>
      <c r="AG255" s="812" t="str">
        <f t="shared" si="174"/>
        <v>---------</v>
      </c>
      <c r="AH255" s="807">
        <v>42940</v>
      </c>
      <c r="AI255" s="807">
        <f t="shared" si="175"/>
        <v>43049</v>
      </c>
      <c r="AJ255" s="807">
        <f t="shared" si="176"/>
        <v>43079</v>
      </c>
      <c r="AK255" s="813"/>
      <c r="AL255" s="807">
        <f t="shared" si="177"/>
        <v>43118</v>
      </c>
      <c r="AM255" s="807">
        <f t="shared" si="178"/>
        <v>43139</v>
      </c>
      <c r="AN255" s="814">
        <f t="shared" ca="1" si="179"/>
        <v>-5</v>
      </c>
      <c r="AO255" s="815">
        <v>1</v>
      </c>
      <c r="AP255" s="816" t="str">
        <f t="shared" ca="1" si="180"/>
        <v>-</v>
      </c>
      <c r="AQ255" s="817"/>
      <c r="AR255" s="794" t="str">
        <f t="shared" si="181"/>
        <v>-</v>
      </c>
      <c r="AS255" s="818"/>
      <c r="AT255" s="794" t="str">
        <f t="shared" si="182"/>
        <v>-</v>
      </c>
      <c r="AU255" s="819">
        <v>1</v>
      </c>
      <c r="AV255" s="820"/>
      <c r="AW255" s="821"/>
      <c r="AX255" s="821"/>
      <c r="AY255" s="969" t="str">
        <f t="shared" si="183"/>
        <v>-</v>
      </c>
      <c r="AZ255" s="966" t="str">
        <f t="shared" si="184"/>
        <v>-</v>
      </c>
      <c r="BA255" s="971" t="str">
        <f t="shared" si="185"/>
        <v>-</v>
      </c>
      <c r="BB255" s="975"/>
      <c r="BC255" s="821"/>
      <c r="BD255" s="821"/>
      <c r="BE255" s="963" t="str">
        <f t="shared" si="186"/>
        <v>-</v>
      </c>
      <c r="BF255" s="984"/>
      <c r="BG255" s="988"/>
      <c r="BH255" s="982"/>
      <c r="BI255" s="991"/>
      <c r="BJ255" s="991"/>
      <c r="BK255" s="993" t="str">
        <f t="shared" si="187"/>
        <v>-</v>
      </c>
      <c r="BL255" s="820">
        <v>42981</v>
      </c>
      <c r="BM255" s="821">
        <v>5</v>
      </c>
      <c r="BN255" s="822">
        <f t="shared" ca="1" si="188"/>
        <v>153</v>
      </c>
      <c r="BO255" s="823">
        <f t="shared" si="189"/>
        <v>28.666666666666668</v>
      </c>
      <c r="BP255" s="824">
        <v>43001</v>
      </c>
      <c r="BQ255" s="821">
        <v>2</v>
      </c>
      <c r="BR255" s="822">
        <f t="shared" ca="1" si="190"/>
        <v>133</v>
      </c>
      <c r="BS255" s="823">
        <f t="shared" si="191"/>
        <v>7.0666666666666664</v>
      </c>
      <c r="BT255" s="825" t="str">
        <f t="shared" ca="1" si="192"/>
        <v>-</v>
      </c>
      <c r="BU255" s="826"/>
      <c r="BV255" s="827"/>
      <c r="BW255" s="828" t="str">
        <f t="shared" si="193"/>
        <v>Ж-Е НЕ ВАКЦ.</v>
      </c>
      <c r="BX255" s="829" t="str">
        <f t="shared" si="194"/>
        <v>-</v>
      </c>
      <c r="BY255" s="830" t="str">
        <f t="shared" ca="1" si="195"/>
        <v>-</v>
      </c>
      <c r="BZ255" s="831">
        <v>42887</v>
      </c>
      <c r="CA255" s="832">
        <v>5</v>
      </c>
      <c r="CB255" s="833">
        <f t="shared" ca="1" si="196"/>
        <v>247</v>
      </c>
      <c r="CC255" s="834" t="str">
        <f t="shared" ca="1" si="197"/>
        <v>-</v>
      </c>
      <c r="CD255" s="835">
        <f t="shared" si="198"/>
        <v>42908</v>
      </c>
      <c r="CE255" s="831">
        <v>42908</v>
      </c>
      <c r="CF255" s="832">
        <v>5</v>
      </c>
      <c r="CG255" s="833">
        <f t="shared" ca="1" si="199"/>
        <v>226</v>
      </c>
      <c r="CH255" s="836">
        <f t="shared" si="200"/>
        <v>0</v>
      </c>
      <c r="CI255" s="837" t="str">
        <f t="shared" si="201"/>
        <v>УСПЕШНО</v>
      </c>
      <c r="CJ255" s="838" t="str">
        <f t="shared" ca="1" si="202"/>
        <v>-</v>
      </c>
      <c r="CK255" s="831"/>
      <c r="CL255" s="832"/>
      <c r="CM255" s="833" t="str">
        <f t="shared" si="203"/>
        <v>-</v>
      </c>
      <c r="CN255" s="834" t="str">
        <f t="shared" si="204"/>
        <v>-</v>
      </c>
      <c r="CO255" s="830" t="str">
        <f t="shared" ca="1" si="205"/>
        <v>ТРЕБУЕТСЯ ВАКЦИНАЦИЯ</v>
      </c>
      <c r="CP255" s="839"/>
      <c r="CQ255" s="832"/>
      <c r="CR255" s="833" t="str">
        <f t="shared" si="206"/>
        <v>-</v>
      </c>
      <c r="CS255" s="833" t="str">
        <f t="shared" si="207"/>
        <v>-</v>
      </c>
      <c r="CT255" s="834" t="str">
        <f t="shared" si="208"/>
        <v>-</v>
      </c>
      <c r="CU255" s="835" t="str">
        <f t="shared" si="209"/>
        <v>-</v>
      </c>
      <c r="CV255" s="839"/>
      <c r="CW255" s="832"/>
      <c r="CX255" s="833" t="str">
        <f t="shared" si="210"/>
        <v>-</v>
      </c>
      <c r="CY255" s="840" t="str">
        <f t="shared" si="211"/>
        <v>-</v>
      </c>
      <c r="CZ255" s="833" t="str">
        <f t="shared" si="212"/>
        <v>-</v>
      </c>
      <c r="DA255" s="838" t="str">
        <f t="shared" ca="1" si="213"/>
        <v>-</v>
      </c>
      <c r="DB255" s="841"/>
      <c r="DC255" s="832"/>
    </row>
    <row r="256" spans="1:107" s="842" customFormat="1" ht="15.95" customHeight="1" x14ac:dyDescent="0.25">
      <c r="A256" s="790">
        <v>257</v>
      </c>
      <c r="B256" s="791">
        <f t="shared" ca="1" si="162"/>
        <v>43134</v>
      </c>
      <c r="C256" s="792" t="s">
        <v>613</v>
      </c>
      <c r="D256" s="793" t="s">
        <v>3202</v>
      </c>
      <c r="E256" s="794" t="s">
        <v>1495</v>
      </c>
      <c r="F256" s="854" t="s">
        <v>1464</v>
      </c>
      <c r="G256" s="796">
        <f>SUMIFS(МОЛОКО!L8:L6958,МОЛОКО!F8:F6958,"2645",МОЛОКО!L8:L6958,"&gt;0")</f>
        <v>19.100000000000001</v>
      </c>
      <c r="H256" s="797" t="s">
        <v>603</v>
      </c>
      <c r="I256" s="798">
        <v>42161</v>
      </c>
      <c r="J256" s="799">
        <f t="shared" ca="1" si="163"/>
        <v>2.6657534246575341</v>
      </c>
      <c r="K256" s="799">
        <f t="shared" ca="1" si="164"/>
        <v>32.43333333333333</v>
      </c>
      <c r="L256" s="800">
        <f t="shared" ca="1" si="165"/>
        <v>973</v>
      </c>
      <c r="M256" s="801">
        <v>42793</v>
      </c>
      <c r="N256" s="802">
        <v>42793</v>
      </c>
      <c r="O256" s="803">
        <f t="shared" ca="1" si="166"/>
        <v>341</v>
      </c>
      <c r="P256" s="804">
        <v>1</v>
      </c>
      <c r="Q256" s="805" t="s">
        <v>2366</v>
      </c>
      <c r="R256" s="806" t="s">
        <v>2962</v>
      </c>
      <c r="S256" s="807">
        <v>42855</v>
      </c>
      <c r="T256" s="798">
        <v>42943</v>
      </c>
      <c r="U256" s="798" t="str">
        <f t="shared" si="167"/>
        <v>-</v>
      </c>
      <c r="V256" s="804" t="str">
        <f t="shared" ca="1" si="168"/>
        <v>-</v>
      </c>
      <c r="W256" s="808">
        <v>3</v>
      </c>
      <c r="X256" s="794">
        <f t="shared" si="214"/>
        <v>150</v>
      </c>
      <c r="Y256" s="794">
        <v>1</v>
      </c>
      <c r="Z256" s="809" t="str">
        <f t="shared" ca="1" si="169"/>
        <v>-----</v>
      </c>
      <c r="AA256" s="810" t="str">
        <f t="shared" ca="1" si="170"/>
        <v>-----</v>
      </c>
      <c r="AB256" s="804">
        <v>1</v>
      </c>
      <c r="AC256" s="811" t="str">
        <f t="shared" ca="1" si="171"/>
        <v>-----</v>
      </c>
      <c r="AD256" s="798">
        <v>43030</v>
      </c>
      <c r="AE256" s="794" t="str">
        <f t="shared" ca="1" si="172"/>
        <v>-</v>
      </c>
      <c r="AF256" s="798" t="str">
        <f t="shared" si="173"/>
        <v>-</v>
      </c>
      <c r="AG256" s="812" t="str">
        <f t="shared" si="174"/>
        <v>---------</v>
      </c>
      <c r="AH256" s="807">
        <v>42975</v>
      </c>
      <c r="AI256" s="807">
        <f t="shared" si="175"/>
        <v>43133</v>
      </c>
      <c r="AJ256" s="807">
        <f t="shared" si="176"/>
        <v>43163</v>
      </c>
      <c r="AK256" s="813"/>
      <c r="AL256" s="807">
        <f t="shared" si="177"/>
        <v>43202</v>
      </c>
      <c r="AM256" s="807">
        <f t="shared" si="178"/>
        <v>43223</v>
      </c>
      <c r="AN256" s="814">
        <f t="shared" ca="1" si="179"/>
        <v>-89</v>
      </c>
      <c r="AO256" s="815">
        <v>1</v>
      </c>
      <c r="AP256" s="816" t="str">
        <f t="shared" ca="1" si="180"/>
        <v>-</v>
      </c>
      <c r="AQ256" s="817"/>
      <c r="AR256" s="794" t="str">
        <f t="shared" si="181"/>
        <v>-</v>
      </c>
      <c r="AS256" s="818"/>
      <c r="AT256" s="794" t="str">
        <f t="shared" si="182"/>
        <v>-</v>
      </c>
      <c r="AU256" s="819">
        <v>1</v>
      </c>
      <c r="AV256" s="820"/>
      <c r="AW256" s="821"/>
      <c r="AX256" s="821"/>
      <c r="AY256" s="969" t="str">
        <f t="shared" si="183"/>
        <v>-</v>
      </c>
      <c r="AZ256" s="966" t="str">
        <f t="shared" si="184"/>
        <v>-</v>
      </c>
      <c r="BA256" s="971" t="str">
        <f t="shared" si="185"/>
        <v>-</v>
      </c>
      <c r="BB256" s="975"/>
      <c r="BC256" s="821"/>
      <c r="BD256" s="821"/>
      <c r="BE256" s="963" t="str">
        <f t="shared" si="186"/>
        <v>-</v>
      </c>
      <c r="BF256" s="984"/>
      <c r="BG256" s="988"/>
      <c r="BH256" s="982"/>
      <c r="BI256" s="991"/>
      <c r="BJ256" s="991"/>
      <c r="BK256" s="993" t="str">
        <f t="shared" si="187"/>
        <v>-</v>
      </c>
      <c r="BL256" s="820">
        <v>42981</v>
      </c>
      <c r="BM256" s="821">
        <v>5</v>
      </c>
      <c r="BN256" s="822">
        <f t="shared" ca="1" si="188"/>
        <v>153</v>
      </c>
      <c r="BO256" s="823">
        <f t="shared" si="189"/>
        <v>27.333333333333332</v>
      </c>
      <c r="BP256" s="824">
        <v>43001</v>
      </c>
      <c r="BQ256" s="821">
        <v>2</v>
      </c>
      <c r="BR256" s="822">
        <f t="shared" ca="1" si="190"/>
        <v>133</v>
      </c>
      <c r="BS256" s="823">
        <f t="shared" si="191"/>
        <v>6.9333333333333336</v>
      </c>
      <c r="BT256" s="825" t="str">
        <f t="shared" ca="1" si="192"/>
        <v>-</v>
      </c>
      <c r="BU256" s="826"/>
      <c r="BV256" s="827"/>
      <c r="BW256" s="828" t="str">
        <f t="shared" si="193"/>
        <v>Ж-Е НЕ ВАКЦ.</v>
      </c>
      <c r="BX256" s="829" t="str">
        <f t="shared" si="194"/>
        <v>-</v>
      </c>
      <c r="BY256" s="830" t="str">
        <f t="shared" ca="1" si="195"/>
        <v>-</v>
      </c>
      <c r="BZ256" s="831">
        <v>42887</v>
      </c>
      <c r="CA256" s="832">
        <v>5</v>
      </c>
      <c r="CB256" s="833">
        <f t="shared" ca="1" si="196"/>
        <v>247</v>
      </c>
      <c r="CC256" s="834" t="str">
        <f t="shared" ca="1" si="197"/>
        <v>-</v>
      </c>
      <c r="CD256" s="835">
        <f t="shared" si="198"/>
        <v>42908</v>
      </c>
      <c r="CE256" s="831">
        <v>42908</v>
      </c>
      <c r="CF256" s="832">
        <v>5</v>
      </c>
      <c r="CG256" s="833">
        <f t="shared" ca="1" si="199"/>
        <v>226</v>
      </c>
      <c r="CH256" s="836">
        <f t="shared" si="200"/>
        <v>0</v>
      </c>
      <c r="CI256" s="837" t="str">
        <f t="shared" si="201"/>
        <v>УСПЕШНО</v>
      </c>
      <c r="CJ256" s="838" t="str">
        <f t="shared" ca="1" si="202"/>
        <v>-</v>
      </c>
      <c r="CK256" s="831"/>
      <c r="CL256" s="832"/>
      <c r="CM256" s="833" t="str">
        <f t="shared" si="203"/>
        <v>-</v>
      </c>
      <c r="CN256" s="834" t="str">
        <f t="shared" si="204"/>
        <v>-</v>
      </c>
      <c r="CO256" s="830" t="str">
        <f t="shared" ca="1" si="205"/>
        <v>-</v>
      </c>
      <c r="CP256" s="839"/>
      <c r="CQ256" s="832"/>
      <c r="CR256" s="833" t="str">
        <f t="shared" si="206"/>
        <v>-</v>
      </c>
      <c r="CS256" s="833" t="str">
        <f t="shared" si="207"/>
        <v>-</v>
      </c>
      <c r="CT256" s="834" t="str">
        <f t="shared" si="208"/>
        <v>-</v>
      </c>
      <c r="CU256" s="835" t="str">
        <f t="shared" si="209"/>
        <v>-</v>
      </c>
      <c r="CV256" s="839"/>
      <c r="CW256" s="832"/>
      <c r="CX256" s="833" t="str">
        <f t="shared" si="210"/>
        <v>-</v>
      </c>
      <c r="CY256" s="840" t="str">
        <f t="shared" si="211"/>
        <v>-</v>
      </c>
      <c r="CZ256" s="833" t="str">
        <f t="shared" si="212"/>
        <v>-</v>
      </c>
      <c r="DA256" s="838" t="str">
        <f t="shared" ca="1" si="213"/>
        <v>-</v>
      </c>
      <c r="DB256" s="841"/>
      <c r="DC256" s="832"/>
    </row>
    <row r="257" spans="1:107" s="842" customFormat="1" ht="15.95" customHeight="1" x14ac:dyDescent="0.25">
      <c r="A257" s="790">
        <v>258</v>
      </c>
      <c r="B257" s="791">
        <f t="shared" ca="1" si="162"/>
        <v>43134</v>
      </c>
      <c r="C257" s="29" t="s">
        <v>613</v>
      </c>
      <c r="D257" s="59" t="s">
        <v>3202</v>
      </c>
      <c r="E257" s="794" t="s">
        <v>556</v>
      </c>
      <c r="F257" s="795" t="s">
        <v>1544</v>
      </c>
      <c r="G257" s="796">
        <f>SUMIFS(МОЛОКО!L8:L6958,МОЛОКО!F8:F6958,"2655",МОЛОКО!L8:L6958,"&gt;0")</f>
        <v>17.600000000000001</v>
      </c>
      <c r="H257" s="797" t="s">
        <v>603</v>
      </c>
      <c r="I257" s="798">
        <v>42183</v>
      </c>
      <c r="J257" s="799">
        <f t="shared" ca="1" si="163"/>
        <v>2.6054794520547944</v>
      </c>
      <c r="K257" s="799">
        <f t="shared" ca="1" si="164"/>
        <v>31.7</v>
      </c>
      <c r="L257" s="800">
        <f t="shared" ca="1" si="165"/>
        <v>951</v>
      </c>
      <c r="M257" s="801">
        <v>42910</v>
      </c>
      <c r="N257" s="802">
        <v>42910</v>
      </c>
      <c r="O257" s="803">
        <f t="shared" ca="1" si="166"/>
        <v>224</v>
      </c>
      <c r="P257" s="804">
        <v>1</v>
      </c>
      <c r="Q257" s="805" t="s">
        <v>2366</v>
      </c>
      <c r="R257" s="806" t="s">
        <v>2962</v>
      </c>
      <c r="S257" s="807">
        <v>42971</v>
      </c>
      <c r="T257" s="798">
        <v>42971</v>
      </c>
      <c r="U257" s="798" t="str">
        <f t="shared" si="167"/>
        <v>-</v>
      </c>
      <c r="V257" s="804" t="str">
        <f t="shared" ca="1" si="168"/>
        <v>-</v>
      </c>
      <c r="W257" s="808">
        <v>1</v>
      </c>
      <c r="X257" s="794">
        <f t="shared" si="214"/>
        <v>61</v>
      </c>
      <c r="Y257" s="794">
        <v>1</v>
      </c>
      <c r="Z257" s="809" t="str">
        <f t="shared" ca="1" si="169"/>
        <v>-----</v>
      </c>
      <c r="AA257" s="810" t="str">
        <f t="shared" ca="1" si="170"/>
        <v>-----</v>
      </c>
      <c r="AB257" s="804">
        <v>1</v>
      </c>
      <c r="AC257" s="811" t="str">
        <f t="shared" ca="1" si="171"/>
        <v>-----</v>
      </c>
      <c r="AD257" s="798">
        <v>43047</v>
      </c>
      <c r="AE257" s="794" t="str">
        <f t="shared" ca="1" si="172"/>
        <v>-</v>
      </c>
      <c r="AF257" s="798" t="str">
        <f t="shared" si="173"/>
        <v>-</v>
      </c>
      <c r="AG257" s="812" t="str">
        <f t="shared" si="174"/>
        <v>---------</v>
      </c>
      <c r="AH257" s="807">
        <v>43003</v>
      </c>
      <c r="AI257" s="807">
        <f t="shared" si="175"/>
        <v>43161</v>
      </c>
      <c r="AJ257" s="807">
        <f t="shared" si="176"/>
        <v>43191</v>
      </c>
      <c r="AK257" s="813"/>
      <c r="AL257" s="807">
        <f t="shared" si="177"/>
        <v>43230</v>
      </c>
      <c r="AM257" s="807">
        <f t="shared" si="178"/>
        <v>43251</v>
      </c>
      <c r="AN257" s="814">
        <f t="shared" ca="1" si="179"/>
        <v>-117</v>
      </c>
      <c r="AO257" s="815">
        <v>1</v>
      </c>
      <c r="AP257" s="816" t="str">
        <f t="shared" ca="1" si="180"/>
        <v>-</v>
      </c>
      <c r="AQ257" s="817"/>
      <c r="AR257" s="794" t="str">
        <f t="shared" si="181"/>
        <v>-</v>
      </c>
      <c r="AS257" s="818"/>
      <c r="AT257" s="794" t="str">
        <f t="shared" si="182"/>
        <v>-</v>
      </c>
      <c r="AU257" s="819"/>
      <c r="AV257" s="820"/>
      <c r="AW257" s="821"/>
      <c r="AX257" s="821"/>
      <c r="AY257" s="969" t="str">
        <f t="shared" si="183"/>
        <v>-</v>
      </c>
      <c r="AZ257" s="966" t="str">
        <f t="shared" si="184"/>
        <v>-</v>
      </c>
      <c r="BA257" s="971" t="str">
        <f t="shared" si="185"/>
        <v>-</v>
      </c>
      <c r="BB257" s="975"/>
      <c r="BC257" s="821"/>
      <c r="BD257" s="821"/>
      <c r="BE257" s="963" t="str">
        <f t="shared" si="186"/>
        <v>-</v>
      </c>
      <c r="BF257" s="984">
        <v>43033</v>
      </c>
      <c r="BG257" s="988" t="s">
        <v>3353</v>
      </c>
      <c r="BH257" s="986" t="s">
        <v>3354</v>
      </c>
      <c r="BI257" s="991">
        <v>5</v>
      </c>
      <c r="BJ257" s="991" t="s">
        <v>3356</v>
      </c>
      <c r="BK257" s="993">
        <f t="shared" ca="1" si="187"/>
        <v>101</v>
      </c>
      <c r="BL257" s="820">
        <v>42980</v>
      </c>
      <c r="BM257" s="821">
        <v>5</v>
      </c>
      <c r="BN257" s="822">
        <f t="shared" ca="1" si="188"/>
        <v>154</v>
      </c>
      <c r="BO257" s="823">
        <f t="shared" si="189"/>
        <v>26.566666666666666</v>
      </c>
      <c r="BP257" s="824">
        <v>43001</v>
      </c>
      <c r="BQ257" s="821">
        <v>2</v>
      </c>
      <c r="BR257" s="822">
        <f t="shared" ca="1" si="190"/>
        <v>133</v>
      </c>
      <c r="BS257" s="823">
        <f t="shared" si="191"/>
        <v>3.0333333333333332</v>
      </c>
      <c r="BT257" s="825" t="str">
        <f t="shared" ca="1" si="192"/>
        <v>-</v>
      </c>
      <c r="BU257" s="826"/>
      <c r="BV257" s="827"/>
      <c r="BW257" s="828" t="str">
        <f t="shared" si="193"/>
        <v>Ж-Е НЕ ВАКЦ.</v>
      </c>
      <c r="BX257" s="829" t="str">
        <f t="shared" si="194"/>
        <v>-</v>
      </c>
      <c r="BY257" s="830" t="str">
        <f t="shared" ca="1" si="195"/>
        <v>-</v>
      </c>
      <c r="BZ257" s="831">
        <v>42894</v>
      </c>
      <c r="CA257" s="832">
        <v>5</v>
      </c>
      <c r="CB257" s="833">
        <f t="shared" ca="1" si="196"/>
        <v>240</v>
      </c>
      <c r="CC257" s="834" t="str">
        <f t="shared" ca="1" si="197"/>
        <v>-</v>
      </c>
      <c r="CD257" s="835">
        <f t="shared" si="198"/>
        <v>42915</v>
      </c>
      <c r="CE257" s="831">
        <v>42915</v>
      </c>
      <c r="CF257" s="832">
        <v>5</v>
      </c>
      <c r="CG257" s="833">
        <f t="shared" ca="1" si="199"/>
        <v>219</v>
      </c>
      <c r="CH257" s="836">
        <f t="shared" si="200"/>
        <v>0</v>
      </c>
      <c r="CI257" s="837" t="str">
        <f t="shared" si="201"/>
        <v>УСПЕШНО</v>
      </c>
      <c r="CJ257" s="838" t="str">
        <f t="shared" ca="1" si="202"/>
        <v>-</v>
      </c>
      <c r="CK257" s="831"/>
      <c r="CL257" s="832"/>
      <c r="CM257" s="833" t="str">
        <f t="shared" si="203"/>
        <v>-</v>
      </c>
      <c r="CN257" s="834" t="str">
        <f t="shared" si="204"/>
        <v>-</v>
      </c>
      <c r="CO257" s="830" t="str">
        <f t="shared" ca="1" si="205"/>
        <v>-</v>
      </c>
      <c r="CP257" s="839"/>
      <c r="CQ257" s="832"/>
      <c r="CR257" s="833" t="str">
        <f t="shared" si="206"/>
        <v>-</v>
      </c>
      <c r="CS257" s="833" t="str">
        <f t="shared" si="207"/>
        <v>-</v>
      </c>
      <c r="CT257" s="834" t="str">
        <f t="shared" si="208"/>
        <v>-</v>
      </c>
      <c r="CU257" s="835" t="str">
        <f t="shared" si="209"/>
        <v>-</v>
      </c>
      <c r="CV257" s="839"/>
      <c r="CW257" s="832"/>
      <c r="CX257" s="833" t="str">
        <f t="shared" si="210"/>
        <v>-</v>
      </c>
      <c r="CY257" s="840" t="str">
        <f t="shared" si="211"/>
        <v>-</v>
      </c>
      <c r="CZ257" s="833" t="str">
        <f t="shared" si="212"/>
        <v>-</v>
      </c>
      <c r="DA257" s="838" t="str">
        <f t="shared" ca="1" si="213"/>
        <v>-</v>
      </c>
      <c r="DB257" s="841"/>
      <c r="DC257" s="832"/>
    </row>
    <row r="258" spans="1:107" s="842" customFormat="1" ht="15.95" customHeight="1" x14ac:dyDescent="0.25">
      <c r="A258" s="790">
        <v>259</v>
      </c>
      <c r="B258" s="791">
        <f t="shared" ca="1" si="162"/>
        <v>43134</v>
      </c>
      <c r="C258" s="29" t="s">
        <v>613</v>
      </c>
      <c r="D258" s="59" t="s">
        <v>3202</v>
      </c>
      <c r="E258" s="794" t="s">
        <v>1550</v>
      </c>
      <c r="F258" s="795" t="s">
        <v>1541</v>
      </c>
      <c r="G258" s="796">
        <f>SUMIFS(МОЛОКО!L8:L6958,МОЛОКО!F8:F6958,"2668",МОЛОКО!L8:L6958,"&gt;0")</f>
        <v>14.5</v>
      </c>
      <c r="H258" s="797" t="s">
        <v>603</v>
      </c>
      <c r="I258" s="798">
        <v>42222</v>
      </c>
      <c r="J258" s="799">
        <f t="shared" ca="1" si="163"/>
        <v>2.4986301369863013</v>
      </c>
      <c r="K258" s="799">
        <f t="shared" ca="1" si="164"/>
        <v>30.4</v>
      </c>
      <c r="L258" s="800">
        <f t="shared" ca="1" si="165"/>
        <v>912</v>
      </c>
      <c r="M258" s="801">
        <v>42886</v>
      </c>
      <c r="N258" s="802">
        <v>42886</v>
      </c>
      <c r="O258" s="803">
        <f t="shared" ca="1" si="166"/>
        <v>248</v>
      </c>
      <c r="P258" s="804">
        <v>1</v>
      </c>
      <c r="Q258" s="805" t="s">
        <v>2366</v>
      </c>
      <c r="R258" s="806" t="s">
        <v>2962</v>
      </c>
      <c r="S258" s="807">
        <v>42943</v>
      </c>
      <c r="T258" s="798">
        <v>42943</v>
      </c>
      <c r="U258" s="798" t="str">
        <f t="shared" si="167"/>
        <v>-</v>
      </c>
      <c r="V258" s="804" t="str">
        <f t="shared" ca="1" si="168"/>
        <v>-</v>
      </c>
      <c r="W258" s="808">
        <v>1</v>
      </c>
      <c r="X258" s="794">
        <f t="shared" si="214"/>
        <v>57</v>
      </c>
      <c r="Y258" s="794">
        <v>0</v>
      </c>
      <c r="Z258" s="809" t="str">
        <f t="shared" ca="1" si="169"/>
        <v>-----</v>
      </c>
      <c r="AA258" s="810">
        <f t="shared" ca="1" si="170"/>
        <v>191</v>
      </c>
      <c r="AB258" s="804"/>
      <c r="AC258" s="811" t="str">
        <f t="shared" ca="1" si="171"/>
        <v>-----</v>
      </c>
      <c r="AD258" s="798"/>
      <c r="AE258" s="794" t="str">
        <f t="shared" ca="1" si="172"/>
        <v>яловая</v>
      </c>
      <c r="AF258" s="798" t="str">
        <f t="shared" si="173"/>
        <v>-</v>
      </c>
      <c r="AG258" s="812" t="str">
        <f t="shared" si="174"/>
        <v>---------</v>
      </c>
      <c r="AH258" s="807">
        <v>42979</v>
      </c>
      <c r="AI258" s="807" t="str">
        <f t="shared" si="175"/>
        <v>-</v>
      </c>
      <c r="AJ258" s="807" t="str">
        <f t="shared" si="176"/>
        <v>-</v>
      </c>
      <c r="AK258" s="813"/>
      <c r="AL258" s="807" t="str">
        <f t="shared" si="177"/>
        <v>-</v>
      </c>
      <c r="AM258" s="807" t="str">
        <f t="shared" si="178"/>
        <v>-</v>
      </c>
      <c r="AN258" s="814" t="str">
        <f t="shared" ca="1" si="179"/>
        <v>-</v>
      </c>
      <c r="AO258" s="815">
        <v>1</v>
      </c>
      <c r="AP258" s="816" t="str">
        <f t="shared" ca="1" si="180"/>
        <v>-</v>
      </c>
      <c r="AQ258" s="817"/>
      <c r="AR258" s="794" t="str">
        <f t="shared" si="181"/>
        <v>-</v>
      </c>
      <c r="AS258" s="818"/>
      <c r="AT258" s="794" t="str">
        <f t="shared" si="182"/>
        <v>-</v>
      </c>
      <c r="AU258" s="819"/>
      <c r="AV258" s="820"/>
      <c r="AW258" s="821"/>
      <c r="AX258" s="821"/>
      <c r="AY258" s="969" t="str">
        <f t="shared" si="183"/>
        <v>-</v>
      </c>
      <c r="AZ258" s="966" t="str">
        <f t="shared" si="184"/>
        <v>-</v>
      </c>
      <c r="BA258" s="971" t="str">
        <f t="shared" si="185"/>
        <v>-</v>
      </c>
      <c r="BB258" s="975"/>
      <c r="BC258" s="821"/>
      <c r="BD258" s="821"/>
      <c r="BE258" s="963" t="str">
        <f t="shared" si="186"/>
        <v>-</v>
      </c>
      <c r="BF258" s="984"/>
      <c r="BG258" s="988"/>
      <c r="BH258" s="982"/>
      <c r="BI258" s="991"/>
      <c r="BJ258" s="991"/>
      <c r="BK258" s="993" t="str">
        <f t="shared" si="187"/>
        <v>-</v>
      </c>
      <c r="BL258" s="820">
        <v>42980</v>
      </c>
      <c r="BM258" s="821">
        <v>5</v>
      </c>
      <c r="BN258" s="822">
        <f t="shared" ca="1" si="188"/>
        <v>154</v>
      </c>
      <c r="BO258" s="823">
        <f t="shared" si="189"/>
        <v>25.266666666666666</v>
      </c>
      <c r="BP258" s="824">
        <v>43001</v>
      </c>
      <c r="BQ258" s="821">
        <v>2</v>
      </c>
      <c r="BR258" s="822">
        <f t="shared" ca="1" si="190"/>
        <v>133</v>
      </c>
      <c r="BS258" s="823">
        <f t="shared" si="191"/>
        <v>3.8333333333333335</v>
      </c>
      <c r="BT258" s="825" t="str">
        <f t="shared" ca="1" si="192"/>
        <v>-</v>
      </c>
      <c r="BU258" s="826"/>
      <c r="BV258" s="827"/>
      <c r="BW258" s="828" t="str">
        <f t="shared" si="193"/>
        <v>Ж-Е НЕ ВАКЦ.</v>
      </c>
      <c r="BX258" s="829" t="str">
        <f t="shared" si="194"/>
        <v>-</v>
      </c>
      <c r="BY258" s="830" t="str">
        <f t="shared" ca="1" si="195"/>
        <v>-</v>
      </c>
      <c r="BZ258" s="831">
        <v>42916</v>
      </c>
      <c r="CA258" s="832">
        <v>5</v>
      </c>
      <c r="CB258" s="833">
        <f t="shared" ca="1" si="196"/>
        <v>218</v>
      </c>
      <c r="CC258" s="834" t="str">
        <f t="shared" ca="1" si="197"/>
        <v>-</v>
      </c>
      <c r="CD258" s="835">
        <f t="shared" si="198"/>
        <v>42937</v>
      </c>
      <c r="CE258" s="831">
        <v>42937</v>
      </c>
      <c r="CF258" s="832">
        <v>5</v>
      </c>
      <c r="CG258" s="833">
        <f t="shared" ca="1" si="199"/>
        <v>197</v>
      </c>
      <c r="CH258" s="836">
        <f t="shared" si="200"/>
        <v>0</v>
      </c>
      <c r="CI258" s="837" t="str">
        <f t="shared" si="201"/>
        <v>УСПЕШНО</v>
      </c>
      <c r="CJ258" s="838" t="str">
        <f t="shared" ca="1" si="202"/>
        <v>-</v>
      </c>
      <c r="CK258" s="831"/>
      <c r="CL258" s="832"/>
      <c r="CM258" s="833" t="str">
        <f t="shared" si="203"/>
        <v>-</v>
      </c>
      <c r="CN258" s="834" t="str">
        <f t="shared" si="204"/>
        <v>-</v>
      </c>
      <c r="CO258" s="830" t="str">
        <f t="shared" ca="1" si="205"/>
        <v>-</v>
      </c>
      <c r="CP258" s="839"/>
      <c r="CQ258" s="832"/>
      <c r="CR258" s="833" t="str">
        <f t="shared" si="206"/>
        <v>-</v>
      </c>
      <c r="CS258" s="833" t="str">
        <f t="shared" si="207"/>
        <v>-</v>
      </c>
      <c r="CT258" s="834" t="str">
        <f t="shared" si="208"/>
        <v>-</v>
      </c>
      <c r="CU258" s="835" t="str">
        <f t="shared" si="209"/>
        <v>-</v>
      </c>
      <c r="CV258" s="839"/>
      <c r="CW258" s="832"/>
      <c r="CX258" s="833" t="str">
        <f t="shared" si="210"/>
        <v>-</v>
      </c>
      <c r="CY258" s="840" t="str">
        <f t="shared" si="211"/>
        <v>-</v>
      </c>
      <c r="CZ258" s="833" t="str">
        <f t="shared" si="212"/>
        <v>-</v>
      </c>
      <c r="DA258" s="838" t="str">
        <f t="shared" ca="1" si="213"/>
        <v>-</v>
      </c>
      <c r="DB258" s="841"/>
      <c r="DC258" s="832"/>
    </row>
    <row r="259" spans="1:107" s="842" customFormat="1" ht="15.95" customHeight="1" x14ac:dyDescent="0.25">
      <c r="A259" s="790">
        <v>260</v>
      </c>
      <c r="B259" s="791">
        <f t="shared" ref="B259:B322" ca="1" si="215">TODAY()</f>
        <v>43134</v>
      </c>
      <c r="C259" s="29" t="s">
        <v>613</v>
      </c>
      <c r="D259" s="793" t="s">
        <v>3202</v>
      </c>
      <c r="E259" s="794" t="s">
        <v>116</v>
      </c>
      <c r="F259" s="795" t="s">
        <v>531</v>
      </c>
      <c r="G259" s="796">
        <f>SUMIFS(МОЛОКО!L8:L6958,МОЛОКО!F8:F6958,"13330",МОЛОКО!L8:L6958,"&gt;0")</f>
        <v>18.399999999999999</v>
      </c>
      <c r="H259" s="797" t="s">
        <v>620</v>
      </c>
      <c r="I259" s="798">
        <v>41608</v>
      </c>
      <c r="J259" s="799">
        <f t="shared" ref="J259:J322" ca="1" si="216">(B259-I259)/365</f>
        <v>4.1808219178082195</v>
      </c>
      <c r="K259" s="799">
        <f t="shared" ref="K259:K322" ca="1" si="217">(B259-I259)/30</f>
        <v>50.866666666666667</v>
      </c>
      <c r="L259" s="800">
        <f t="shared" ref="L259:L322" ca="1" si="218">B259-I259</f>
        <v>1526</v>
      </c>
      <c r="M259" s="801">
        <v>42396</v>
      </c>
      <c r="N259" s="802">
        <v>42805</v>
      </c>
      <c r="O259" s="803">
        <f t="shared" ref="O259:O322" ca="1" si="219">IF(AND(B259&gt;0,N259&gt;0),B259-N259,"-")</f>
        <v>329</v>
      </c>
      <c r="P259" s="804">
        <v>2</v>
      </c>
      <c r="Q259" s="805" t="s">
        <v>2366</v>
      </c>
      <c r="R259" s="806" t="s">
        <v>1876</v>
      </c>
      <c r="S259" s="807">
        <v>42901</v>
      </c>
      <c r="T259" s="798">
        <v>42901</v>
      </c>
      <c r="U259" s="798" t="str">
        <f t="shared" ref="U259:U322" si="220">IF(AND(Y259&gt;1,T259&gt;0),T259+18,"-")</f>
        <v>-</v>
      </c>
      <c r="V259" s="804" t="str">
        <f t="shared" ref="V259:V322" ca="1" si="221">IF(AND(U259&gt;0,B259&gt;0,Y259&gt;1),B259-U259,"-")</f>
        <v>-</v>
      </c>
      <c r="W259" s="808">
        <v>1</v>
      </c>
      <c r="X259" s="794">
        <f t="shared" si="214"/>
        <v>96</v>
      </c>
      <c r="Y259" s="794">
        <v>1</v>
      </c>
      <c r="Z259" s="809" t="str">
        <f t="shared" ref="Z259:Z322" ca="1" si="222">IF(AND(Y259=1,AA259&gt;71,OR(ISBLANK(AB259),AB259=2)),"ПОДЛЕЖИТ ПЕРЕПРОВЕРКЕ","-----")</f>
        <v>-----</v>
      </c>
      <c r="AA259" s="810" t="str">
        <f t="shared" ref="AA259:AA322" ca="1" si="223">IF(AND(O259&gt;-1,W259&gt;0,Y259=1,AB259=1),"-----",B259-T259)</f>
        <v>-----</v>
      </c>
      <c r="AB259" s="804">
        <v>1</v>
      </c>
      <c r="AC259" s="811" t="str">
        <f t="shared" ref="AC259:AC322" ca="1" si="224">IF(AND(AB259&lt;1,Z259="ПОДЛЕЖИТ ПЕРЕПРОВЕРКЕ",Y259=1),T259+72,"-----")</f>
        <v>-----</v>
      </c>
      <c r="AD259" s="798"/>
      <c r="AE259" s="794" t="str">
        <f t="shared" ref="AE259:AE322" ca="1" si="225">IF(AND(O259&gt;120,Y259=0,N259&gt;0),"яловая","-")</f>
        <v>-</v>
      </c>
      <c r="AF259" s="798" t="str">
        <f t="shared" ref="AF259:AF322" si="226">IF(AND(T259&gt;0,OR(Y259=3,Y259=2)),T259+35,"-")</f>
        <v>-</v>
      </c>
      <c r="AG259" s="812" t="str">
        <f t="shared" ref="AG259:AG322" si="227">IF(AND(T259&gt;0,W259&gt;0,Q259&gt;0,OR(Y259=3,Y259=2)),B259-AF259,"---------")</f>
        <v>---------</v>
      </c>
      <c r="AH259" s="807">
        <v>42974</v>
      </c>
      <c r="AI259" s="807">
        <f t="shared" ref="AI259:AI322" si="228">IF(AND($T259&gt;0,$N259&gt;0,$Y259=1),$T259+280-90,"-")</f>
        <v>43091</v>
      </c>
      <c r="AJ259" s="807">
        <f t="shared" ref="AJ259:AJ322" si="229">IF(AND(T259&gt;0,Y259=1,N259&gt;0),T259+280-60,"-")</f>
        <v>43121</v>
      </c>
      <c r="AK259" s="813"/>
      <c r="AL259" s="807">
        <f t="shared" ref="AL259:AL322" si="230">IF(AND($T259&gt;0,$Y259=1),$T259+280-21,"-")</f>
        <v>43160</v>
      </c>
      <c r="AM259" s="807">
        <f t="shared" ref="AM259:AM322" si="231">IF(AND(T259&gt;0,Y259=1),T259+280,"-")</f>
        <v>43181</v>
      </c>
      <c r="AN259" s="814">
        <f t="shared" ref="AN259:AN322" ca="1" si="232">IF(AND(B259&gt;0,AM259&gt;0,AH259&gt;0,Y259=1),B259-AM259,"-")</f>
        <v>-47</v>
      </c>
      <c r="AO259" s="815">
        <v>1</v>
      </c>
      <c r="AP259" s="816" t="str">
        <f t="shared" ref="AP259:AP322" ca="1" si="233">IF(AND(AE259="яловая",O259&gt;300),"БРАК","-")</f>
        <v>-</v>
      </c>
      <c r="AQ259" s="817"/>
      <c r="AR259" s="794" t="str">
        <f t="shared" ref="AR259:AR322" si="234">IF(AND(Y259=1,P259=0),"НЕТЕЛЬ","-")</f>
        <v>-</v>
      </c>
      <c r="AS259" s="818"/>
      <c r="AT259" s="794" t="str">
        <f t="shared" ref="AT259:AT322" si="235">IF(AND(N259&gt;0,T259&gt;0,W259&gt;0,Y259=1,AH259&gt;0,AK259&gt;0),"DRY COW","-")</f>
        <v>-</v>
      </c>
      <c r="AU259" s="819"/>
      <c r="AV259" s="820"/>
      <c r="AW259" s="821"/>
      <c r="AX259" s="821"/>
      <c r="AY259" s="969" t="str">
        <f t="shared" ref="AY259:AY322" si="236">IF(AND(AV259&gt;0,AW259&gt;0,AX259&gt;0),B259-AV259,"-")</f>
        <v>-</v>
      </c>
      <c r="AZ259" s="966" t="str">
        <f t="shared" ref="AZ259:AZ322" si="237">IF(AND(AV259&gt;0,AW259&gt;0,AX259&gt;0,AY259&gt;10,BB259=0,BC259=0,BD259=0),"РЕВАКЦИНАЦИЯ","-")</f>
        <v>-</v>
      </c>
      <c r="BA259" s="971" t="str">
        <f t="shared" ref="BA259:BA322" si="238">IF(AND(AV259&gt;0,AW259&gt;0,AX259&gt;0),AV259+10,"-")</f>
        <v>-</v>
      </c>
      <c r="BB259" s="975"/>
      <c r="BC259" s="821"/>
      <c r="BD259" s="821"/>
      <c r="BE259" s="963" t="str">
        <f t="shared" ref="BE259:BE322" si="239">IF(AND(BB259&gt;0,BC259&gt;0,BD259&gt;0),B259-BB259,"-")</f>
        <v>-</v>
      </c>
      <c r="BF259" s="984"/>
      <c r="BG259" s="988"/>
      <c r="BH259" s="982"/>
      <c r="BI259" s="991"/>
      <c r="BJ259" s="991"/>
      <c r="BK259" s="993" t="str">
        <f t="shared" ref="BK259:BK322" si="240">IF(AND(BF259&gt;0,BG259&gt;0,BH259&gt;0,BI259&gt;0,BJ259&gt;0),B259-BF259,"-")</f>
        <v>-</v>
      </c>
      <c r="BL259" s="820">
        <v>42980</v>
      </c>
      <c r="BM259" s="821">
        <v>5</v>
      </c>
      <c r="BN259" s="822">
        <f t="shared" ref="BN259:BN322" ca="1" si="241">IF(AND(BL259&gt;0,BM259&gt;0),B259-BL259,"-")</f>
        <v>154</v>
      </c>
      <c r="BO259" s="823">
        <f t="shared" ref="BO259:BO322" si="242">IF(AND(BL259&gt;0,BM259&gt;0),(BL259-I259)/30,"-")</f>
        <v>45.733333333333334</v>
      </c>
      <c r="BP259" s="824">
        <v>43001</v>
      </c>
      <c r="BQ259" s="821">
        <v>2</v>
      </c>
      <c r="BR259" s="822">
        <f t="shared" ref="BR259:BR322" ca="1" si="243">IF(AND(BP259&gt;0,BQ259&gt;0),B259-BP259,"-")</f>
        <v>133</v>
      </c>
      <c r="BS259" s="823">
        <f t="shared" ref="BS259:BS322" si="244">IF(AND(BP259&gt;0,BQ259&gt;0),(BP259-M259)/30,"-")</f>
        <v>20.166666666666668</v>
      </c>
      <c r="BT259" s="825" t="str">
        <f t="shared" ref="BT259:BT322" ca="1" si="245">IF(AND(OR(E259="тёлочка",E259="бычок"),L259&gt;0,BV259&lt;2,L259&lt;60),"ПОДЛЕЖИТ ВАКЦИНАЦИИ","-")</f>
        <v>-</v>
      </c>
      <c r="BU259" s="826"/>
      <c r="BV259" s="827"/>
      <c r="BW259" s="828" t="str">
        <f t="shared" ref="BW259:BW322" si="246">IF(AND(BU259&gt;0,BV259=2),BU259-I259,"Ж-Е НЕ ВАКЦ.")</f>
        <v>Ж-Е НЕ ВАКЦ.</v>
      </c>
      <c r="BX259" s="829" t="str">
        <f t="shared" ref="BX259:BX322" si="247">IF(AND(BU259&gt;0,BV259=2),B259-BU259,"-")</f>
        <v>-</v>
      </c>
      <c r="BY259" s="830" t="str">
        <f t="shared" ref="BY259:BY322" ca="1" si="248">IF(AND(L259&gt;42,CA259&lt;5),"ПОДЛЕЖИТ ВАКЦИНАЦИИ","-")</f>
        <v>-</v>
      </c>
      <c r="BZ259" s="831">
        <v>42887</v>
      </c>
      <c r="CA259" s="832">
        <v>5</v>
      </c>
      <c r="CB259" s="833">
        <f t="shared" ref="CB259:CB322" ca="1" si="249">IF(AND(BZ259&gt;0,CA259=5),B259-BZ259,"-")</f>
        <v>247</v>
      </c>
      <c r="CC259" s="834" t="str">
        <f t="shared" ref="CC259:CC322" ca="1" si="250">IF(AND(CA259=5,CB259&gt;20,CF259&lt;5),"ТРЕБУЕТСЯ БУСТЕРНАЯ ДОЗА","-")</f>
        <v>-</v>
      </c>
      <c r="CD259" s="835">
        <f t="shared" ref="CD259:CD322" si="251">IF(AND(BZ259&gt;0,CA259=5),BZ259+21,"-")</f>
        <v>42908</v>
      </c>
      <c r="CE259" s="831">
        <v>42908</v>
      </c>
      <c r="CF259" s="832">
        <v>5</v>
      </c>
      <c r="CG259" s="833">
        <f t="shared" ref="CG259:CG322" ca="1" si="252">IF(AND(CE259&gt;0,CF259=5),B259-CE259,"-")</f>
        <v>226</v>
      </c>
      <c r="CH259" s="836">
        <f t="shared" ref="CH259:CH322" si="253">IF(AND(CD259&gt;0,CE259&gt;0,CF259=5),CD259-CE259,"-")</f>
        <v>0</v>
      </c>
      <c r="CI259" s="837" t="str">
        <f t="shared" ref="CI259:CI322" si="254">IF(AND(CF259=5,CH259=0),"УСПЕШНО","-")</f>
        <v>УСПЕШНО</v>
      </c>
      <c r="CJ259" s="838" t="str">
        <f t="shared" ref="CJ259:CJ322" ca="1" si="255">IF(AND(BZ259&gt;0,CA259=5,CE259&gt;0,CF259=5,CG259&gt;240,CL259&lt;5),"НЕОБХОДИМА РЕВАКЦИНАЦИЯ","-")</f>
        <v>-</v>
      </c>
      <c r="CK259" s="831"/>
      <c r="CL259" s="832"/>
      <c r="CM259" s="833" t="str">
        <f t="shared" ref="CM259:CM322" si="256">IF(AND(CK259&gt;0,CL259=5),N259-CK259,"-")</f>
        <v>-</v>
      </c>
      <c r="CN259" s="834" t="str">
        <f t="shared" ref="CN259:CN322" si="257">IF(AND(CK259&gt;0,CL259=5,CM259&gt;240),"НЕОБХОДИМА РЕВАКЦИНАЦИЯ","-")</f>
        <v>-</v>
      </c>
      <c r="CO259" s="830" t="str">
        <f t="shared" ref="CO259:CO322" ca="1" si="258">IF(AND(Y259=1,AN259&gt;-70,CQ259&lt;2),"ТРЕБУЕТСЯ ВАКЦИНАЦИЯ","-")</f>
        <v>ТРЕБУЕТСЯ ВАКЦИНАЦИЯ</v>
      </c>
      <c r="CP259" s="839"/>
      <c r="CQ259" s="832"/>
      <c r="CR259" s="833" t="str">
        <f t="shared" ref="CR259:CR322" si="259">IF(AND(CP259&gt;0,CQ259=2),CP259-T259,"-")</f>
        <v>-</v>
      </c>
      <c r="CS259" s="833" t="str">
        <f t="shared" ref="CS259:CS322" si="260">IF(AND(CP259&gt;0,CQ259=2),B259-CP259,"-")</f>
        <v>-</v>
      </c>
      <c r="CT259" s="834" t="str">
        <f t="shared" ref="CT259:CT322" si="261">IF(AND(CQ259=2,CS259&gt;20,CW259&lt;2),"ТРЕБУЕТСЯ БУСТЕРНАЯ ДОЗА","-")</f>
        <v>-</v>
      </c>
      <c r="CU259" s="835" t="str">
        <f t="shared" ref="CU259:CU322" si="262">IF(AND(CP259&gt;0,CQ259=2),CP259+21,"-")</f>
        <v>-</v>
      </c>
      <c r="CV259" s="839"/>
      <c r="CW259" s="832"/>
      <c r="CX259" s="833" t="str">
        <f t="shared" ref="CX259:CX322" si="263">IF(AND(CU259&gt;0,CV259&gt;0,CW259=2),CV259-CU259,"-")</f>
        <v>-</v>
      </c>
      <c r="CY259" s="840" t="str">
        <f t="shared" ref="CY259:CY322" si="264">IF(AND(CW259=2,CX259=0),"УСПЕШНО","-")</f>
        <v>-</v>
      </c>
      <c r="CZ259" s="833" t="str">
        <f t="shared" ref="CZ259:CZ322" si="265">IF(AND(CV259&gt;0,CW259=2),CV259-T259,"-")</f>
        <v>-</v>
      </c>
      <c r="DA259" s="838" t="str">
        <f t="shared" ref="DA259:DA322" ca="1" si="266">IF(AND(CP259&gt;0,CQ259=2,CV259&gt;0,CW259=2,Y259=1,AN259&gt;-50,DC259&lt;2),"ТРЕБУЕТСЯ РЕВАКЦИНАЦИЯ","-")</f>
        <v>-</v>
      </c>
      <c r="DB259" s="841"/>
      <c r="DC259" s="832"/>
    </row>
    <row r="260" spans="1:107" s="842" customFormat="1" ht="15.95" customHeight="1" x14ac:dyDescent="0.25">
      <c r="A260" s="790">
        <v>261</v>
      </c>
      <c r="B260" s="791">
        <f t="shared" ca="1" si="215"/>
        <v>43134</v>
      </c>
      <c r="C260" s="792" t="s">
        <v>613</v>
      </c>
      <c r="D260" s="793" t="s">
        <v>3202</v>
      </c>
      <c r="E260" s="858" t="s">
        <v>1395</v>
      </c>
      <c r="F260" s="854" t="s">
        <v>677</v>
      </c>
      <c r="G260" s="796">
        <f>SUMIFS(МОЛОКО!L8:L6958,МОЛОКО!E8:E6958,"Зозуля",МОЛОКО!F8:F6958,"13343",МОЛОКО!L8:L6958,"&gt;0")</f>
        <v>12</v>
      </c>
      <c r="H260" s="797" t="s">
        <v>87</v>
      </c>
      <c r="I260" s="798">
        <v>41640</v>
      </c>
      <c r="J260" s="799">
        <f t="shared" ca="1" si="216"/>
        <v>4.0931506849315067</v>
      </c>
      <c r="K260" s="799">
        <f t="shared" ca="1" si="217"/>
        <v>49.8</v>
      </c>
      <c r="L260" s="800">
        <f t="shared" ca="1" si="218"/>
        <v>1494</v>
      </c>
      <c r="M260" s="801">
        <v>42475</v>
      </c>
      <c r="N260" s="802">
        <v>42841</v>
      </c>
      <c r="O260" s="803">
        <f t="shared" ca="1" si="219"/>
        <v>293</v>
      </c>
      <c r="P260" s="804">
        <v>2</v>
      </c>
      <c r="Q260" s="805" t="s">
        <v>2366</v>
      </c>
      <c r="R260" s="806" t="s">
        <v>2335</v>
      </c>
      <c r="S260" s="807">
        <v>42901</v>
      </c>
      <c r="T260" s="798">
        <v>42901</v>
      </c>
      <c r="U260" s="798" t="str">
        <f t="shared" si="220"/>
        <v>-</v>
      </c>
      <c r="V260" s="804" t="str">
        <f t="shared" ca="1" si="221"/>
        <v>-</v>
      </c>
      <c r="W260" s="808">
        <v>1</v>
      </c>
      <c r="X260" s="794">
        <f t="shared" si="214"/>
        <v>60</v>
      </c>
      <c r="Y260" s="794">
        <v>1</v>
      </c>
      <c r="Z260" s="809" t="str">
        <f t="shared" ca="1" si="222"/>
        <v>ПОДЛЕЖИТ ПЕРЕПРОВЕРКЕ</v>
      </c>
      <c r="AA260" s="810">
        <f t="shared" ca="1" si="223"/>
        <v>233</v>
      </c>
      <c r="AB260" s="804"/>
      <c r="AC260" s="811">
        <f t="shared" ca="1" si="224"/>
        <v>42973</v>
      </c>
      <c r="AD260" s="798"/>
      <c r="AE260" s="794" t="str">
        <f t="shared" ca="1" si="225"/>
        <v>-</v>
      </c>
      <c r="AF260" s="798" t="str">
        <f t="shared" si="226"/>
        <v>-</v>
      </c>
      <c r="AG260" s="812" t="str">
        <f t="shared" si="227"/>
        <v>---------</v>
      </c>
      <c r="AH260" s="807">
        <v>42949</v>
      </c>
      <c r="AI260" s="807">
        <f t="shared" si="228"/>
        <v>43091</v>
      </c>
      <c r="AJ260" s="807">
        <f t="shared" si="229"/>
        <v>43121</v>
      </c>
      <c r="AK260" s="813"/>
      <c r="AL260" s="807">
        <f t="shared" si="230"/>
        <v>43160</v>
      </c>
      <c r="AM260" s="807">
        <f t="shared" si="231"/>
        <v>43181</v>
      </c>
      <c r="AN260" s="814">
        <f t="shared" ca="1" si="232"/>
        <v>-47</v>
      </c>
      <c r="AO260" s="815">
        <v>1</v>
      </c>
      <c r="AP260" s="816" t="str">
        <f t="shared" ca="1" si="233"/>
        <v>-</v>
      </c>
      <c r="AQ260" s="817"/>
      <c r="AR260" s="794" t="str">
        <f t="shared" si="234"/>
        <v>-</v>
      </c>
      <c r="AS260" s="818"/>
      <c r="AT260" s="794" t="str">
        <f t="shared" si="235"/>
        <v>-</v>
      </c>
      <c r="AU260" s="819">
        <v>1</v>
      </c>
      <c r="AV260" s="820"/>
      <c r="AW260" s="821"/>
      <c r="AX260" s="821"/>
      <c r="AY260" s="969" t="str">
        <f t="shared" si="236"/>
        <v>-</v>
      </c>
      <c r="AZ260" s="966" t="str">
        <f t="shared" si="237"/>
        <v>-</v>
      </c>
      <c r="BA260" s="971" t="str">
        <f t="shared" si="238"/>
        <v>-</v>
      </c>
      <c r="BB260" s="975"/>
      <c r="BC260" s="821"/>
      <c r="BD260" s="821"/>
      <c r="BE260" s="963" t="str">
        <f t="shared" si="239"/>
        <v>-</v>
      </c>
      <c r="BF260" s="984"/>
      <c r="BG260" s="988"/>
      <c r="BH260" s="982"/>
      <c r="BI260" s="991"/>
      <c r="BJ260" s="991"/>
      <c r="BK260" s="993" t="str">
        <f t="shared" si="240"/>
        <v>-</v>
      </c>
      <c r="BL260" s="820">
        <v>42979</v>
      </c>
      <c r="BM260" s="821">
        <v>5</v>
      </c>
      <c r="BN260" s="822">
        <f t="shared" ca="1" si="241"/>
        <v>155</v>
      </c>
      <c r="BO260" s="823">
        <f t="shared" si="242"/>
        <v>44.633333333333333</v>
      </c>
      <c r="BP260" s="824">
        <v>43001</v>
      </c>
      <c r="BQ260" s="821">
        <v>2</v>
      </c>
      <c r="BR260" s="822">
        <f t="shared" ca="1" si="243"/>
        <v>133</v>
      </c>
      <c r="BS260" s="823">
        <f t="shared" si="244"/>
        <v>17.533333333333335</v>
      </c>
      <c r="BT260" s="825" t="str">
        <f t="shared" ca="1" si="245"/>
        <v>-</v>
      </c>
      <c r="BU260" s="826"/>
      <c r="BV260" s="827"/>
      <c r="BW260" s="828" t="str">
        <f t="shared" si="246"/>
        <v>Ж-Е НЕ ВАКЦ.</v>
      </c>
      <c r="BX260" s="829" t="str">
        <f t="shared" si="247"/>
        <v>-</v>
      </c>
      <c r="BY260" s="830" t="str">
        <f t="shared" ca="1" si="248"/>
        <v>-</v>
      </c>
      <c r="BZ260" s="831">
        <v>42887</v>
      </c>
      <c r="CA260" s="832">
        <v>5</v>
      </c>
      <c r="CB260" s="833">
        <f t="shared" ca="1" si="249"/>
        <v>247</v>
      </c>
      <c r="CC260" s="834" t="str">
        <f t="shared" ca="1" si="250"/>
        <v>-</v>
      </c>
      <c r="CD260" s="835">
        <f t="shared" si="251"/>
        <v>42908</v>
      </c>
      <c r="CE260" s="831">
        <v>42908</v>
      </c>
      <c r="CF260" s="832">
        <v>5</v>
      </c>
      <c r="CG260" s="833">
        <f t="shared" ca="1" si="252"/>
        <v>226</v>
      </c>
      <c r="CH260" s="836">
        <f t="shared" si="253"/>
        <v>0</v>
      </c>
      <c r="CI260" s="837" t="str">
        <f t="shared" si="254"/>
        <v>УСПЕШНО</v>
      </c>
      <c r="CJ260" s="838" t="str">
        <f t="shared" ca="1" si="255"/>
        <v>-</v>
      </c>
      <c r="CK260" s="831"/>
      <c r="CL260" s="832"/>
      <c r="CM260" s="833" t="str">
        <f t="shared" si="256"/>
        <v>-</v>
      </c>
      <c r="CN260" s="834" t="str">
        <f t="shared" si="257"/>
        <v>-</v>
      </c>
      <c r="CO260" s="830" t="str">
        <f t="shared" ca="1" si="258"/>
        <v>ТРЕБУЕТСЯ ВАКЦИНАЦИЯ</v>
      </c>
      <c r="CP260" s="839"/>
      <c r="CQ260" s="832"/>
      <c r="CR260" s="833" t="str">
        <f t="shared" si="259"/>
        <v>-</v>
      </c>
      <c r="CS260" s="833" t="str">
        <f t="shared" si="260"/>
        <v>-</v>
      </c>
      <c r="CT260" s="834" t="str">
        <f t="shared" si="261"/>
        <v>-</v>
      </c>
      <c r="CU260" s="835" t="str">
        <f t="shared" si="262"/>
        <v>-</v>
      </c>
      <c r="CV260" s="839"/>
      <c r="CW260" s="832"/>
      <c r="CX260" s="833" t="str">
        <f t="shared" si="263"/>
        <v>-</v>
      </c>
      <c r="CY260" s="840" t="str">
        <f t="shared" si="264"/>
        <v>-</v>
      </c>
      <c r="CZ260" s="833" t="str">
        <f t="shared" si="265"/>
        <v>-</v>
      </c>
      <c r="DA260" s="838" t="str">
        <f t="shared" ca="1" si="266"/>
        <v>-</v>
      </c>
      <c r="DB260" s="841"/>
      <c r="DC260" s="832"/>
    </row>
    <row r="261" spans="1:107" s="842" customFormat="1" ht="15.95" customHeight="1" x14ac:dyDescent="0.25">
      <c r="A261" s="790">
        <v>262</v>
      </c>
      <c r="B261" s="791">
        <f t="shared" ca="1" si="215"/>
        <v>43134</v>
      </c>
      <c r="C261" s="792" t="s">
        <v>613</v>
      </c>
      <c r="D261" s="793" t="s">
        <v>3202</v>
      </c>
      <c r="E261" s="858" t="s">
        <v>667</v>
      </c>
      <c r="F261" s="859" t="s">
        <v>534</v>
      </c>
      <c r="G261" s="796">
        <f>SUMIFS(МОЛОКО!L8:L6958,МОЛОКО!E8:E6958,"Сметанка",МОЛОКО!F8:F6958,"13350",МОЛОКО!L8:L6958,"&gt;0")</f>
        <v>9</v>
      </c>
      <c r="H261" s="797" t="s">
        <v>620</v>
      </c>
      <c r="I261" s="798">
        <v>41557</v>
      </c>
      <c r="J261" s="799">
        <f t="shared" ca="1" si="216"/>
        <v>4.3205479452054796</v>
      </c>
      <c r="K261" s="799">
        <f t="shared" ca="1" si="217"/>
        <v>52.56666666666667</v>
      </c>
      <c r="L261" s="800">
        <f t="shared" ca="1" si="218"/>
        <v>1577</v>
      </c>
      <c r="M261" s="801">
        <v>42391</v>
      </c>
      <c r="N261" s="802">
        <v>42796</v>
      </c>
      <c r="O261" s="803">
        <f t="shared" ca="1" si="219"/>
        <v>338</v>
      </c>
      <c r="P261" s="804">
        <v>2</v>
      </c>
      <c r="Q261" s="805" t="s">
        <v>1451</v>
      </c>
      <c r="R261" s="806" t="s">
        <v>2663</v>
      </c>
      <c r="S261" s="807">
        <v>42859</v>
      </c>
      <c r="T261" s="798">
        <v>42859</v>
      </c>
      <c r="U261" s="798" t="str">
        <f t="shared" si="220"/>
        <v>-</v>
      </c>
      <c r="V261" s="804" t="str">
        <f t="shared" ca="1" si="221"/>
        <v>-</v>
      </c>
      <c r="W261" s="808">
        <v>1</v>
      </c>
      <c r="X261" s="794">
        <f t="shared" si="214"/>
        <v>63</v>
      </c>
      <c r="Y261" s="794">
        <v>1</v>
      </c>
      <c r="Z261" s="809" t="str">
        <f t="shared" ca="1" si="222"/>
        <v>-----</v>
      </c>
      <c r="AA261" s="810" t="str">
        <f t="shared" ca="1" si="223"/>
        <v>-----</v>
      </c>
      <c r="AB261" s="804">
        <v>1</v>
      </c>
      <c r="AC261" s="811" t="str">
        <f t="shared" ca="1" si="224"/>
        <v>-----</v>
      </c>
      <c r="AD261" s="798">
        <v>42930</v>
      </c>
      <c r="AE261" s="794" t="str">
        <f t="shared" ca="1" si="225"/>
        <v>-</v>
      </c>
      <c r="AF261" s="798" t="str">
        <f t="shared" si="226"/>
        <v>-</v>
      </c>
      <c r="AG261" s="812" t="str">
        <f t="shared" si="227"/>
        <v>---------</v>
      </c>
      <c r="AH261" s="807">
        <v>42898</v>
      </c>
      <c r="AI261" s="807">
        <f t="shared" si="228"/>
        <v>43049</v>
      </c>
      <c r="AJ261" s="807">
        <f t="shared" si="229"/>
        <v>43079</v>
      </c>
      <c r="AK261" s="813"/>
      <c r="AL261" s="807">
        <f t="shared" si="230"/>
        <v>43118</v>
      </c>
      <c r="AM261" s="807">
        <f t="shared" si="231"/>
        <v>43139</v>
      </c>
      <c r="AN261" s="814">
        <f t="shared" ca="1" si="232"/>
        <v>-5</v>
      </c>
      <c r="AO261" s="815">
        <v>1</v>
      </c>
      <c r="AP261" s="816" t="str">
        <f t="shared" ca="1" si="233"/>
        <v>-</v>
      </c>
      <c r="AQ261" s="817"/>
      <c r="AR261" s="794" t="str">
        <f t="shared" si="234"/>
        <v>-</v>
      </c>
      <c r="AS261" s="818"/>
      <c r="AT261" s="794" t="str">
        <f t="shared" si="235"/>
        <v>-</v>
      </c>
      <c r="AU261" s="819">
        <v>1</v>
      </c>
      <c r="AV261" s="820"/>
      <c r="AW261" s="821"/>
      <c r="AX261" s="821"/>
      <c r="AY261" s="969" t="str">
        <f t="shared" si="236"/>
        <v>-</v>
      </c>
      <c r="AZ261" s="966" t="str">
        <f t="shared" si="237"/>
        <v>-</v>
      </c>
      <c r="BA261" s="971" t="str">
        <f t="shared" si="238"/>
        <v>-</v>
      </c>
      <c r="BB261" s="975"/>
      <c r="BC261" s="821"/>
      <c r="BD261" s="821"/>
      <c r="BE261" s="963" t="str">
        <f t="shared" si="239"/>
        <v>-</v>
      </c>
      <c r="BF261" s="984"/>
      <c r="BG261" s="988"/>
      <c r="BH261" s="982"/>
      <c r="BI261" s="991"/>
      <c r="BJ261" s="991"/>
      <c r="BK261" s="993" t="str">
        <f t="shared" si="240"/>
        <v>-</v>
      </c>
      <c r="BL261" s="820">
        <v>42981</v>
      </c>
      <c r="BM261" s="821">
        <v>5</v>
      </c>
      <c r="BN261" s="822">
        <f t="shared" ca="1" si="241"/>
        <v>153</v>
      </c>
      <c r="BO261" s="823">
        <f t="shared" si="242"/>
        <v>47.466666666666669</v>
      </c>
      <c r="BP261" s="824">
        <v>43001</v>
      </c>
      <c r="BQ261" s="821">
        <v>2</v>
      </c>
      <c r="BR261" s="822">
        <f t="shared" ca="1" si="243"/>
        <v>133</v>
      </c>
      <c r="BS261" s="823">
        <f t="shared" si="244"/>
        <v>20.333333333333332</v>
      </c>
      <c r="BT261" s="825" t="str">
        <f t="shared" ca="1" si="245"/>
        <v>-</v>
      </c>
      <c r="BU261" s="826"/>
      <c r="BV261" s="827"/>
      <c r="BW261" s="828" t="str">
        <f t="shared" si="246"/>
        <v>Ж-Е НЕ ВАКЦ.</v>
      </c>
      <c r="BX261" s="829" t="str">
        <f t="shared" si="247"/>
        <v>-</v>
      </c>
      <c r="BY261" s="830" t="str">
        <f t="shared" ca="1" si="248"/>
        <v>-</v>
      </c>
      <c r="BZ261" s="831">
        <v>42887</v>
      </c>
      <c r="CA261" s="832">
        <v>5</v>
      </c>
      <c r="CB261" s="833">
        <f t="shared" ca="1" si="249"/>
        <v>247</v>
      </c>
      <c r="CC261" s="834" t="str">
        <f t="shared" ca="1" si="250"/>
        <v>-</v>
      </c>
      <c r="CD261" s="835">
        <f t="shared" si="251"/>
        <v>42908</v>
      </c>
      <c r="CE261" s="831">
        <v>42908</v>
      </c>
      <c r="CF261" s="832">
        <v>5</v>
      </c>
      <c r="CG261" s="833">
        <f t="shared" ca="1" si="252"/>
        <v>226</v>
      </c>
      <c r="CH261" s="836">
        <f t="shared" si="253"/>
        <v>0</v>
      </c>
      <c r="CI261" s="837" t="str">
        <f t="shared" si="254"/>
        <v>УСПЕШНО</v>
      </c>
      <c r="CJ261" s="838" t="str">
        <f t="shared" ca="1" si="255"/>
        <v>-</v>
      </c>
      <c r="CK261" s="831"/>
      <c r="CL261" s="832"/>
      <c r="CM261" s="833" t="str">
        <f t="shared" si="256"/>
        <v>-</v>
      </c>
      <c r="CN261" s="834" t="str">
        <f t="shared" si="257"/>
        <v>-</v>
      </c>
      <c r="CO261" s="830" t="str">
        <f t="shared" ca="1" si="258"/>
        <v>ТРЕБУЕТСЯ ВАКЦИНАЦИЯ</v>
      </c>
      <c r="CP261" s="839"/>
      <c r="CQ261" s="832"/>
      <c r="CR261" s="833" t="str">
        <f t="shared" si="259"/>
        <v>-</v>
      </c>
      <c r="CS261" s="833" t="str">
        <f t="shared" si="260"/>
        <v>-</v>
      </c>
      <c r="CT261" s="834" t="str">
        <f t="shared" si="261"/>
        <v>-</v>
      </c>
      <c r="CU261" s="835" t="str">
        <f t="shared" si="262"/>
        <v>-</v>
      </c>
      <c r="CV261" s="839"/>
      <c r="CW261" s="832"/>
      <c r="CX261" s="833" t="str">
        <f t="shared" si="263"/>
        <v>-</v>
      </c>
      <c r="CY261" s="840" t="str">
        <f t="shared" si="264"/>
        <v>-</v>
      </c>
      <c r="CZ261" s="833" t="str">
        <f t="shared" si="265"/>
        <v>-</v>
      </c>
      <c r="DA261" s="838" t="str">
        <f t="shared" ca="1" si="266"/>
        <v>-</v>
      </c>
      <c r="DB261" s="841"/>
      <c r="DC261" s="832"/>
    </row>
    <row r="262" spans="1:107" s="842" customFormat="1" ht="15.95" customHeight="1" x14ac:dyDescent="0.25">
      <c r="A262" s="790">
        <v>263</v>
      </c>
      <c r="B262" s="791">
        <f t="shared" ca="1" si="215"/>
        <v>43134</v>
      </c>
      <c r="C262" s="792" t="s">
        <v>613</v>
      </c>
      <c r="D262" s="793" t="s">
        <v>3202</v>
      </c>
      <c r="E262" s="794" t="s">
        <v>369</v>
      </c>
      <c r="F262" s="854" t="s">
        <v>1389</v>
      </c>
      <c r="G262" s="796">
        <f>SUMIFS(МОЛОКО!L8:L6958,МОЛОКО!F8:F6958,"13352",МОЛОКО!L8:L6958,"&gt;0")</f>
        <v>7.8</v>
      </c>
      <c r="H262" s="797" t="s">
        <v>87</v>
      </c>
      <c r="I262" s="798">
        <v>41594</v>
      </c>
      <c r="J262" s="799">
        <f t="shared" ca="1" si="216"/>
        <v>4.2191780821917808</v>
      </c>
      <c r="K262" s="799">
        <f t="shared" ca="1" si="217"/>
        <v>51.333333333333336</v>
      </c>
      <c r="L262" s="800">
        <f t="shared" ca="1" si="218"/>
        <v>1540</v>
      </c>
      <c r="M262" s="801">
        <v>42474</v>
      </c>
      <c r="N262" s="802">
        <v>42474</v>
      </c>
      <c r="O262" s="803">
        <f t="shared" ca="1" si="219"/>
        <v>660</v>
      </c>
      <c r="P262" s="804">
        <v>1</v>
      </c>
      <c r="Q262" s="805" t="s">
        <v>1451</v>
      </c>
      <c r="R262" s="806" t="s">
        <v>1820</v>
      </c>
      <c r="S262" s="807">
        <v>42578</v>
      </c>
      <c r="T262" s="798">
        <v>42659</v>
      </c>
      <c r="U262" s="798" t="str">
        <f t="shared" si="220"/>
        <v>-</v>
      </c>
      <c r="V262" s="804" t="str">
        <f t="shared" ca="1" si="221"/>
        <v>-</v>
      </c>
      <c r="W262" s="808">
        <v>2</v>
      </c>
      <c r="X262" s="794">
        <f t="shared" si="214"/>
        <v>185</v>
      </c>
      <c r="Y262" s="794">
        <v>0</v>
      </c>
      <c r="Z262" s="809" t="str">
        <f t="shared" ca="1" si="222"/>
        <v>-----</v>
      </c>
      <c r="AA262" s="810">
        <f t="shared" ca="1" si="223"/>
        <v>475</v>
      </c>
      <c r="AB262" s="804"/>
      <c r="AC262" s="811" t="str">
        <f t="shared" ca="1" si="224"/>
        <v>-----</v>
      </c>
      <c r="AD262" s="798"/>
      <c r="AE262" s="794" t="str">
        <f t="shared" ca="1" si="225"/>
        <v>яловая</v>
      </c>
      <c r="AF262" s="798" t="str">
        <f t="shared" si="226"/>
        <v>-</v>
      </c>
      <c r="AG262" s="812" t="str">
        <f t="shared" si="227"/>
        <v>---------</v>
      </c>
      <c r="AH262" s="807">
        <v>42704</v>
      </c>
      <c r="AI262" s="807" t="str">
        <f t="shared" si="228"/>
        <v>-</v>
      </c>
      <c r="AJ262" s="807" t="str">
        <f t="shared" si="229"/>
        <v>-</v>
      </c>
      <c r="AK262" s="813"/>
      <c r="AL262" s="807" t="str">
        <f t="shared" si="230"/>
        <v>-</v>
      </c>
      <c r="AM262" s="807" t="str">
        <f t="shared" si="231"/>
        <v>-</v>
      </c>
      <c r="AN262" s="814" t="str">
        <f t="shared" ca="1" si="232"/>
        <v>-</v>
      </c>
      <c r="AO262" s="815">
        <v>1</v>
      </c>
      <c r="AP262" s="816" t="str">
        <f t="shared" ca="1" si="233"/>
        <v>БРАК</v>
      </c>
      <c r="AQ262" s="817" t="s">
        <v>1863</v>
      </c>
      <c r="AR262" s="794" t="str">
        <f t="shared" si="234"/>
        <v>-</v>
      </c>
      <c r="AS262" s="818"/>
      <c r="AT262" s="794" t="str">
        <f t="shared" si="235"/>
        <v>-</v>
      </c>
      <c r="AU262" s="819">
        <v>1</v>
      </c>
      <c r="AV262" s="820"/>
      <c r="AW262" s="821"/>
      <c r="AX262" s="821"/>
      <c r="AY262" s="969" t="str">
        <f t="shared" si="236"/>
        <v>-</v>
      </c>
      <c r="AZ262" s="966" t="str">
        <f t="shared" si="237"/>
        <v>-</v>
      </c>
      <c r="BA262" s="971" t="str">
        <f t="shared" si="238"/>
        <v>-</v>
      </c>
      <c r="BB262" s="975"/>
      <c r="BC262" s="821"/>
      <c r="BD262" s="821"/>
      <c r="BE262" s="963" t="str">
        <f t="shared" si="239"/>
        <v>-</v>
      </c>
      <c r="BF262" s="984"/>
      <c r="BG262" s="988"/>
      <c r="BH262" s="982"/>
      <c r="BI262" s="991"/>
      <c r="BJ262" s="991"/>
      <c r="BK262" s="993" t="str">
        <f t="shared" si="240"/>
        <v>-</v>
      </c>
      <c r="BL262" s="820">
        <v>42981</v>
      </c>
      <c r="BM262" s="821">
        <v>5</v>
      </c>
      <c r="BN262" s="822">
        <f t="shared" ca="1" si="241"/>
        <v>153</v>
      </c>
      <c r="BO262" s="823">
        <f t="shared" si="242"/>
        <v>46.233333333333334</v>
      </c>
      <c r="BP262" s="824">
        <v>43001</v>
      </c>
      <c r="BQ262" s="821">
        <v>2</v>
      </c>
      <c r="BR262" s="822">
        <f t="shared" ca="1" si="243"/>
        <v>133</v>
      </c>
      <c r="BS262" s="823">
        <f t="shared" si="244"/>
        <v>17.566666666666666</v>
      </c>
      <c r="BT262" s="825" t="str">
        <f t="shared" ca="1" si="245"/>
        <v>-</v>
      </c>
      <c r="BU262" s="826"/>
      <c r="BV262" s="827"/>
      <c r="BW262" s="828" t="str">
        <f t="shared" si="246"/>
        <v>Ж-Е НЕ ВАКЦ.</v>
      </c>
      <c r="BX262" s="829" t="str">
        <f t="shared" si="247"/>
        <v>-</v>
      </c>
      <c r="BY262" s="830" t="str">
        <f t="shared" ca="1" si="248"/>
        <v>-</v>
      </c>
      <c r="BZ262" s="831">
        <v>42887</v>
      </c>
      <c r="CA262" s="832">
        <v>5</v>
      </c>
      <c r="CB262" s="833">
        <f t="shared" ca="1" si="249"/>
        <v>247</v>
      </c>
      <c r="CC262" s="834" t="str">
        <f t="shared" ca="1" si="250"/>
        <v>-</v>
      </c>
      <c r="CD262" s="835">
        <f t="shared" si="251"/>
        <v>42908</v>
      </c>
      <c r="CE262" s="831">
        <v>42908</v>
      </c>
      <c r="CF262" s="832">
        <v>5</v>
      </c>
      <c r="CG262" s="833">
        <f t="shared" ca="1" si="252"/>
        <v>226</v>
      </c>
      <c r="CH262" s="836">
        <f t="shared" si="253"/>
        <v>0</v>
      </c>
      <c r="CI262" s="837" t="str">
        <f t="shared" si="254"/>
        <v>УСПЕШНО</v>
      </c>
      <c r="CJ262" s="838" t="str">
        <f t="shared" ca="1" si="255"/>
        <v>-</v>
      </c>
      <c r="CK262" s="831"/>
      <c r="CL262" s="832"/>
      <c r="CM262" s="833" t="str">
        <f t="shared" si="256"/>
        <v>-</v>
      </c>
      <c r="CN262" s="834" t="str">
        <f t="shared" si="257"/>
        <v>-</v>
      </c>
      <c r="CO262" s="830" t="str">
        <f t="shared" ca="1" si="258"/>
        <v>-</v>
      </c>
      <c r="CP262" s="839"/>
      <c r="CQ262" s="832"/>
      <c r="CR262" s="833" t="str">
        <f t="shared" si="259"/>
        <v>-</v>
      </c>
      <c r="CS262" s="833" t="str">
        <f t="shared" si="260"/>
        <v>-</v>
      </c>
      <c r="CT262" s="834" t="str">
        <f t="shared" si="261"/>
        <v>-</v>
      </c>
      <c r="CU262" s="835" t="str">
        <f t="shared" si="262"/>
        <v>-</v>
      </c>
      <c r="CV262" s="839"/>
      <c r="CW262" s="832"/>
      <c r="CX262" s="833" t="str">
        <f t="shared" si="263"/>
        <v>-</v>
      </c>
      <c r="CY262" s="840" t="str">
        <f t="shared" si="264"/>
        <v>-</v>
      </c>
      <c r="CZ262" s="833" t="str">
        <f t="shared" si="265"/>
        <v>-</v>
      </c>
      <c r="DA262" s="838" t="str">
        <f t="shared" ca="1" si="266"/>
        <v>-</v>
      </c>
      <c r="DB262" s="841"/>
      <c r="DC262" s="832"/>
    </row>
    <row r="263" spans="1:107" s="842" customFormat="1" ht="15.95" customHeight="1" x14ac:dyDescent="0.25">
      <c r="A263" s="790">
        <v>264</v>
      </c>
      <c r="B263" s="791">
        <f t="shared" ca="1" si="215"/>
        <v>43134</v>
      </c>
      <c r="C263" s="792" t="s">
        <v>613</v>
      </c>
      <c r="D263" s="793" t="s">
        <v>3202</v>
      </c>
      <c r="E263" s="794" t="s">
        <v>1392</v>
      </c>
      <c r="F263" s="854" t="s">
        <v>1393</v>
      </c>
      <c r="G263" s="796">
        <f>SUMIFS(МОЛОКО!L8:L6958,МОЛОКО!F8:F6958,"13394",МОЛОКО!L8:L6958,"&gt;0")</f>
        <v>11</v>
      </c>
      <c r="H263" s="797" t="s">
        <v>87</v>
      </c>
      <c r="I263" s="798">
        <v>41623</v>
      </c>
      <c r="J263" s="799">
        <f t="shared" ca="1" si="216"/>
        <v>4.13972602739726</v>
      </c>
      <c r="K263" s="799">
        <f t="shared" ca="1" si="217"/>
        <v>50.366666666666667</v>
      </c>
      <c r="L263" s="800">
        <f t="shared" ca="1" si="218"/>
        <v>1511</v>
      </c>
      <c r="M263" s="801">
        <v>42465</v>
      </c>
      <c r="N263" s="802">
        <v>42816</v>
      </c>
      <c r="O263" s="803">
        <f t="shared" ca="1" si="219"/>
        <v>318</v>
      </c>
      <c r="P263" s="804">
        <v>2</v>
      </c>
      <c r="Q263" s="805" t="s">
        <v>1451</v>
      </c>
      <c r="R263" s="806" t="s">
        <v>2966</v>
      </c>
      <c r="S263" s="807">
        <v>42873</v>
      </c>
      <c r="T263" s="798">
        <v>42959</v>
      </c>
      <c r="U263" s="798" t="str">
        <f t="shared" si="220"/>
        <v>-</v>
      </c>
      <c r="V263" s="804" t="str">
        <f t="shared" ca="1" si="221"/>
        <v>-</v>
      </c>
      <c r="W263" s="808">
        <v>3</v>
      </c>
      <c r="X263" s="794">
        <f t="shared" si="214"/>
        <v>143</v>
      </c>
      <c r="Y263" s="794">
        <v>1</v>
      </c>
      <c r="Z263" s="809" t="str">
        <f t="shared" ca="1" si="222"/>
        <v>-----</v>
      </c>
      <c r="AA263" s="810" t="str">
        <f t="shared" ca="1" si="223"/>
        <v>-----</v>
      </c>
      <c r="AB263" s="804">
        <v>1</v>
      </c>
      <c r="AC263" s="811" t="str">
        <f t="shared" ca="1" si="224"/>
        <v>-----</v>
      </c>
      <c r="AD263" s="798">
        <v>43042</v>
      </c>
      <c r="AE263" s="794" t="str">
        <f t="shared" ca="1" si="225"/>
        <v>-</v>
      </c>
      <c r="AF263" s="798" t="str">
        <f t="shared" si="226"/>
        <v>-</v>
      </c>
      <c r="AG263" s="812" t="str">
        <f t="shared" si="227"/>
        <v>---------</v>
      </c>
      <c r="AH263" s="807">
        <v>42989</v>
      </c>
      <c r="AI263" s="807">
        <f t="shared" si="228"/>
        <v>43149</v>
      </c>
      <c r="AJ263" s="807">
        <f t="shared" si="229"/>
        <v>43179</v>
      </c>
      <c r="AK263" s="813"/>
      <c r="AL263" s="807">
        <f t="shared" si="230"/>
        <v>43218</v>
      </c>
      <c r="AM263" s="807">
        <f t="shared" si="231"/>
        <v>43239</v>
      </c>
      <c r="AN263" s="814">
        <f t="shared" ca="1" si="232"/>
        <v>-105</v>
      </c>
      <c r="AO263" s="815">
        <v>1</v>
      </c>
      <c r="AP263" s="816" t="str">
        <f t="shared" ca="1" si="233"/>
        <v>-</v>
      </c>
      <c r="AQ263" s="817"/>
      <c r="AR263" s="794" t="str">
        <f t="shared" si="234"/>
        <v>-</v>
      </c>
      <c r="AS263" s="818"/>
      <c r="AT263" s="794" t="str">
        <f t="shared" si="235"/>
        <v>-</v>
      </c>
      <c r="AU263" s="819">
        <v>1</v>
      </c>
      <c r="AV263" s="820"/>
      <c r="AW263" s="821"/>
      <c r="AX263" s="821"/>
      <c r="AY263" s="969" t="str">
        <f t="shared" si="236"/>
        <v>-</v>
      </c>
      <c r="AZ263" s="966" t="str">
        <f t="shared" si="237"/>
        <v>-</v>
      </c>
      <c r="BA263" s="971" t="str">
        <f t="shared" si="238"/>
        <v>-</v>
      </c>
      <c r="BB263" s="975"/>
      <c r="BC263" s="821"/>
      <c r="BD263" s="821"/>
      <c r="BE263" s="963" t="str">
        <f t="shared" si="239"/>
        <v>-</v>
      </c>
      <c r="BF263" s="984"/>
      <c r="BG263" s="988"/>
      <c r="BH263" s="982"/>
      <c r="BI263" s="991"/>
      <c r="BJ263" s="991"/>
      <c r="BK263" s="993" t="str">
        <f t="shared" si="240"/>
        <v>-</v>
      </c>
      <c r="BL263" s="820">
        <v>42981</v>
      </c>
      <c r="BM263" s="821">
        <v>5</v>
      </c>
      <c r="BN263" s="822">
        <f t="shared" ca="1" si="241"/>
        <v>153</v>
      </c>
      <c r="BO263" s="823">
        <f t="shared" si="242"/>
        <v>45.266666666666666</v>
      </c>
      <c r="BP263" s="824">
        <v>43001</v>
      </c>
      <c r="BQ263" s="821">
        <v>2</v>
      </c>
      <c r="BR263" s="822">
        <f t="shared" ca="1" si="243"/>
        <v>133</v>
      </c>
      <c r="BS263" s="823">
        <f t="shared" si="244"/>
        <v>17.866666666666667</v>
      </c>
      <c r="BT263" s="825" t="str">
        <f t="shared" ca="1" si="245"/>
        <v>-</v>
      </c>
      <c r="BU263" s="826"/>
      <c r="BV263" s="827"/>
      <c r="BW263" s="828" t="str">
        <f t="shared" si="246"/>
        <v>Ж-Е НЕ ВАКЦ.</v>
      </c>
      <c r="BX263" s="829" t="str">
        <f t="shared" si="247"/>
        <v>-</v>
      </c>
      <c r="BY263" s="830" t="str">
        <f t="shared" ca="1" si="248"/>
        <v>-</v>
      </c>
      <c r="BZ263" s="831">
        <v>42887</v>
      </c>
      <c r="CA263" s="832">
        <v>5</v>
      </c>
      <c r="CB263" s="833">
        <f t="shared" ca="1" si="249"/>
        <v>247</v>
      </c>
      <c r="CC263" s="834" t="str">
        <f t="shared" ca="1" si="250"/>
        <v>-</v>
      </c>
      <c r="CD263" s="835">
        <f t="shared" si="251"/>
        <v>42908</v>
      </c>
      <c r="CE263" s="831">
        <v>42908</v>
      </c>
      <c r="CF263" s="832">
        <v>5</v>
      </c>
      <c r="CG263" s="833">
        <f t="shared" ca="1" si="252"/>
        <v>226</v>
      </c>
      <c r="CH263" s="836">
        <f t="shared" si="253"/>
        <v>0</v>
      </c>
      <c r="CI263" s="837" t="str">
        <f t="shared" si="254"/>
        <v>УСПЕШНО</v>
      </c>
      <c r="CJ263" s="838" t="str">
        <f t="shared" ca="1" si="255"/>
        <v>-</v>
      </c>
      <c r="CK263" s="831"/>
      <c r="CL263" s="832"/>
      <c r="CM263" s="833" t="str">
        <f t="shared" si="256"/>
        <v>-</v>
      </c>
      <c r="CN263" s="834" t="str">
        <f t="shared" si="257"/>
        <v>-</v>
      </c>
      <c r="CO263" s="830" t="str">
        <f t="shared" ca="1" si="258"/>
        <v>-</v>
      </c>
      <c r="CP263" s="839"/>
      <c r="CQ263" s="832"/>
      <c r="CR263" s="833" t="str">
        <f t="shared" si="259"/>
        <v>-</v>
      </c>
      <c r="CS263" s="833" t="str">
        <f t="shared" si="260"/>
        <v>-</v>
      </c>
      <c r="CT263" s="834" t="str">
        <f t="shared" si="261"/>
        <v>-</v>
      </c>
      <c r="CU263" s="835" t="str">
        <f t="shared" si="262"/>
        <v>-</v>
      </c>
      <c r="CV263" s="839"/>
      <c r="CW263" s="832"/>
      <c r="CX263" s="833" t="str">
        <f t="shared" si="263"/>
        <v>-</v>
      </c>
      <c r="CY263" s="840" t="str">
        <f t="shared" si="264"/>
        <v>-</v>
      </c>
      <c r="CZ263" s="833" t="str">
        <f t="shared" si="265"/>
        <v>-</v>
      </c>
      <c r="DA263" s="838" t="str">
        <f t="shared" ca="1" si="266"/>
        <v>-</v>
      </c>
      <c r="DB263" s="841"/>
      <c r="DC263" s="832"/>
    </row>
    <row r="264" spans="1:107" s="842" customFormat="1" ht="15.95" customHeight="1" x14ac:dyDescent="0.25">
      <c r="A264" s="790">
        <v>265</v>
      </c>
      <c r="B264" s="791">
        <f t="shared" ca="1" si="215"/>
        <v>43134</v>
      </c>
      <c r="C264" s="29" t="s">
        <v>613</v>
      </c>
      <c r="D264" s="793" t="s">
        <v>3202</v>
      </c>
      <c r="E264" s="794" t="s">
        <v>29</v>
      </c>
      <c r="F264" s="795" t="s">
        <v>30</v>
      </c>
      <c r="G264" s="796">
        <f>SUMIFS(МОЛОКО!L8:L6958,МОЛОКО!F8:F6958,"55097",МОЛОКО!L8:L6958,"&gt;0")</f>
        <v>16.600000000000001</v>
      </c>
      <c r="H264" s="797" t="s">
        <v>78</v>
      </c>
      <c r="I264" s="798">
        <v>40360</v>
      </c>
      <c r="J264" s="799">
        <f t="shared" ca="1" si="216"/>
        <v>7.6</v>
      </c>
      <c r="K264" s="799">
        <f t="shared" ca="1" si="217"/>
        <v>92.466666666666669</v>
      </c>
      <c r="L264" s="800">
        <f t="shared" ca="1" si="218"/>
        <v>2774</v>
      </c>
      <c r="M264" s="801">
        <v>41112</v>
      </c>
      <c r="N264" s="802">
        <v>42896</v>
      </c>
      <c r="O264" s="803">
        <f t="shared" ca="1" si="219"/>
        <v>238</v>
      </c>
      <c r="P264" s="804">
        <v>5</v>
      </c>
      <c r="Q264" s="805" t="s">
        <v>2366</v>
      </c>
      <c r="R264" s="806" t="s">
        <v>3020</v>
      </c>
      <c r="S264" s="807">
        <v>42957</v>
      </c>
      <c r="T264" s="798">
        <v>42957</v>
      </c>
      <c r="U264" s="798" t="str">
        <f t="shared" si="220"/>
        <v>-</v>
      </c>
      <c r="V264" s="804" t="str">
        <f t="shared" ca="1" si="221"/>
        <v>-</v>
      </c>
      <c r="W264" s="808">
        <v>1</v>
      </c>
      <c r="X264" s="794">
        <f t="shared" si="214"/>
        <v>61</v>
      </c>
      <c r="Y264" s="794">
        <v>1</v>
      </c>
      <c r="Z264" s="809" t="str">
        <f t="shared" ca="1" si="222"/>
        <v>-----</v>
      </c>
      <c r="AA264" s="810" t="str">
        <f t="shared" ca="1" si="223"/>
        <v>-----</v>
      </c>
      <c r="AB264" s="804">
        <v>1</v>
      </c>
      <c r="AC264" s="811" t="str">
        <f t="shared" ca="1" si="224"/>
        <v>-----</v>
      </c>
      <c r="AD264" s="798">
        <v>43042</v>
      </c>
      <c r="AE264" s="794" t="str">
        <f t="shared" ca="1" si="225"/>
        <v>-</v>
      </c>
      <c r="AF264" s="798" t="str">
        <f t="shared" si="226"/>
        <v>-</v>
      </c>
      <c r="AG264" s="812" t="str">
        <f t="shared" si="227"/>
        <v>---------</v>
      </c>
      <c r="AH264" s="807">
        <v>42989</v>
      </c>
      <c r="AI264" s="807">
        <f t="shared" si="228"/>
        <v>43147</v>
      </c>
      <c r="AJ264" s="807">
        <f t="shared" si="229"/>
        <v>43177</v>
      </c>
      <c r="AK264" s="813"/>
      <c r="AL264" s="807">
        <f t="shared" si="230"/>
        <v>43216</v>
      </c>
      <c r="AM264" s="807">
        <f t="shared" si="231"/>
        <v>43237</v>
      </c>
      <c r="AN264" s="814">
        <f t="shared" ca="1" si="232"/>
        <v>-103</v>
      </c>
      <c r="AO264" s="815">
        <v>1</v>
      </c>
      <c r="AP264" s="816" t="str">
        <f t="shared" ca="1" si="233"/>
        <v>-</v>
      </c>
      <c r="AQ264" s="817"/>
      <c r="AR264" s="794" t="str">
        <f t="shared" si="234"/>
        <v>-</v>
      </c>
      <c r="AS264" s="818"/>
      <c r="AT264" s="794" t="str">
        <f t="shared" si="235"/>
        <v>-</v>
      </c>
      <c r="AU264" s="819"/>
      <c r="AV264" s="820"/>
      <c r="AW264" s="821"/>
      <c r="AX264" s="821"/>
      <c r="AY264" s="969" t="str">
        <f t="shared" si="236"/>
        <v>-</v>
      </c>
      <c r="AZ264" s="966" t="str">
        <f t="shared" si="237"/>
        <v>-</v>
      </c>
      <c r="BA264" s="971" t="str">
        <f t="shared" si="238"/>
        <v>-</v>
      </c>
      <c r="BB264" s="975"/>
      <c r="BC264" s="821"/>
      <c r="BD264" s="821"/>
      <c r="BE264" s="963" t="str">
        <f t="shared" si="239"/>
        <v>-</v>
      </c>
      <c r="BF264" s="984">
        <v>43033</v>
      </c>
      <c r="BG264" s="988" t="s">
        <v>3353</v>
      </c>
      <c r="BH264" s="986" t="s">
        <v>3354</v>
      </c>
      <c r="BI264" s="991">
        <v>5</v>
      </c>
      <c r="BJ264" s="991" t="s">
        <v>3356</v>
      </c>
      <c r="BK264" s="993">
        <f t="shared" ca="1" si="240"/>
        <v>101</v>
      </c>
      <c r="BL264" s="820">
        <v>42980</v>
      </c>
      <c r="BM264" s="821">
        <v>5</v>
      </c>
      <c r="BN264" s="822">
        <f t="shared" ca="1" si="241"/>
        <v>154</v>
      </c>
      <c r="BO264" s="823">
        <f t="shared" si="242"/>
        <v>87.333333333333329</v>
      </c>
      <c r="BP264" s="824"/>
      <c r="BQ264" s="821"/>
      <c r="BR264" s="822" t="str">
        <f t="shared" si="243"/>
        <v>-</v>
      </c>
      <c r="BS264" s="823" t="str">
        <f t="shared" si="244"/>
        <v>-</v>
      </c>
      <c r="BT264" s="825" t="str">
        <f t="shared" ca="1" si="245"/>
        <v>-</v>
      </c>
      <c r="BU264" s="826"/>
      <c r="BV264" s="827"/>
      <c r="BW264" s="828" t="str">
        <f t="shared" si="246"/>
        <v>Ж-Е НЕ ВАКЦ.</v>
      </c>
      <c r="BX264" s="829" t="str">
        <f t="shared" si="247"/>
        <v>-</v>
      </c>
      <c r="BY264" s="830" t="str">
        <f t="shared" ca="1" si="248"/>
        <v>-</v>
      </c>
      <c r="BZ264" s="831">
        <v>42916</v>
      </c>
      <c r="CA264" s="832">
        <v>5</v>
      </c>
      <c r="CB264" s="833">
        <f t="shared" ca="1" si="249"/>
        <v>218</v>
      </c>
      <c r="CC264" s="834" t="str">
        <f t="shared" ca="1" si="250"/>
        <v>-</v>
      </c>
      <c r="CD264" s="835">
        <f t="shared" si="251"/>
        <v>42937</v>
      </c>
      <c r="CE264" s="831">
        <v>42937</v>
      </c>
      <c r="CF264" s="832">
        <v>5</v>
      </c>
      <c r="CG264" s="833">
        <f t="shared" ca="1" si="252"/>
        <v>197</v>
      </c>
      <c r="CH264" s="836">
        <f t="shared" si="253"/>
        <v>0</v>
      </c>
      <c r="CI264" s="837" t="str">
        <f t="shared" si="254"/>
        <v>УСПЕШНО</v>
      </c>
      <c r="CJ264" s="838" t="str">
        <f t="shared" ca="1" si="255"/>
        <v>-</v>
      </c>
      <c r="CK264" s="831"/>
      <c r="CL264" s="832"/>
      <c r="CM264" s="833" t="str">
        <f t="shared" si="256"/>
        <v>-</v>
      </c>
      <c r="CN264" s="834" t="str">
        <f t="shared" si="257"/>
        <v>-</v>
      </c>
      <c r="CO264" s="830" t="str">
        <f t="shared" ca="1" si="258"/>
        <v>-</v>
      </c>
      <c r="CP264" s="839"/>
      <c r="CQ264" s="832"/>
      <c r="CR264" s="833" t="str">
        <f t="shared" si="259"/>
        <v>-</v>
      </c>
      <c r="CS264" s="833" t="str">
        <f t="shared" si="260"/>
        <v>-</v>
      </c>
      <c r="CT264" s="834" t="str">
        <f t="shared" si="261"/>
        <v>-</v>
      </c>
      <c r="CU264" s="835" t="str">
        <f t="shared" si="262"/>
        <v>-</v>
      </c>
      <c r="CV264" s="839"/>
      <c r="CW264" s="832"/>
      <c r="CX264" s="833" t="str">
        <f t="shared" si="263"/>
        <v>-</v>
      </c>
      <c r="CY264" s="840" t="str">
        <f t="shared" si="264"/>
        <v>-</v>
      </c>
      <c r="CZ264" s="833" t="str">
        <f t="shared" si="265"/>
        <v>-</v>
      </c>
      <c r="DA264" s="838" t="str">
        <f t="shared" ca="1" si="266"/>
        <v>-</v>
      </c>
      <c r="DB264" s="841"/>
      <c r="DC264" s="832"/>
    </row>
    <row r="265" spans="1:107" s="842" customFormat="1" ht="15.95" customHeight="1" x14ac:dyDescent="0.25">
      <c r="A265" s="790">
        <v>266</v>
      </c>
      <c r="B265" s="791">
        <f t="shared" ca="1" si="215"/>
        <v>43134</v>
      </c>
      <c r="C265" s="792" t="s">
        <v>613</v>
      </c>
      <c r="D265" s="793" t="s">
        <v>3202</v>
      </c>
      <c r="E265" s="794" t="s">
        <v>41</v>
      </c>
      <c r="F265" s="854" t="s">
        <v>42</v>
      </c>
      <c r="G265" s="796">
        <f>SUMIFS(МОЛОКО!L8:L6958,МОЛОКО!F8:F6958,"83336",МОЛОКО!L8:L6958,"&gt;0")</f>
        <v>21.4</v>
      </c>
      <c r="H265" s="797" t="s">
        <v>78</v>
      </c>
      <c r="I265" s="798">
        <v>40270</v>
      </c>
      <c r="J265" s="799">
        <f t="shared" ca="1" si="216"/>
        <v>7.8465753424657532</v>
      </c>
      <c r="K265" s="799">
        <f t="shared" ca="1" si="217"/>
        <v>95.466666666666669</v>
      </c>
      <c r="L265" s="800">
        <f t="shared" ca="1" si="218"/>
        <v>2864</v>
      </c>
      <c r="M265" s="801">
        <v>41041</v>
      </c>
      <c r="N265" s="802">
        <v>42628</v>
      </c>
      <c r="O265" s="803">
        <f t="shared" ca="1" si="219"/>
        <v>506</v>
      </c>
      <c r="P265" s="804">
        <v>4</v>
      </c>
      <c r="Q265" s="805" t="s">
        <v>2366</v>
      </c>
      <c r="R265" s="806" t="s">
        <v>2491</v>
      </c>
      <c r="S265" s="807">
        <v>42806</v>
      </c>
      <c r="T265" s="798">
        <v>42806</v>
      </c>
      <c r="U265" s="798" t="str">
        <f t="shared" si="220"/>
        <v>-</v>
      </c>
      <c r="V265" s="804" t="str">
        <f t="shared" ca="1" si="221"/>
        <v>-</v>
      </c>
      <c r="W265" s="808">
        <v>1</v>
      </c>
      <c r="X265" s="794">
        <f t="shared" si="214"/>
        <v>178</v>
      </c>
      <c r="Y265" s="794">
        <v>0</v>
      </c>
      <c r="Z265" s="809" t="str">
        <f t="shared" ca="1" si="222"/>
        <v>-----</v>
      </c>
      <c r="AA265" s="810">
        <f t="shared" ca="1" si="223"/>
        <v>328</v>
      </c>
      <c r="AB265" s="804"/>
      <c r="AC265" s="811" t="str">
        <f t="shared" ca="1" si="224"/>
        <v>-----</v>
      </c>
      <c r="AD265" s="798"/>
      <c r="AE265" s="794" t="str">
        <f t="shared" ca="1" si="225"/>
        <v>яловая</v>
      </c>
      <c r="AF265" s="798" t="str">
        <f t="shared" si="226"/>
        <v>-</v>
      </c>
      <c r="AG265" s="812" t="str">
        <f t="shared" si="227"/>
        <v>---------</v>
      </c>
      <c r="AH265" s="807">
        <v>42849</v>
      </c>
      <c r="AI265" s="807" t="str">
        <f t="shared" si="228"/>
        <v>-</v>
      </c>
      <c r="AJ265" s="807" t="str">
        <f t="shared" si="229"/>
        <v>-</v>
      </c>
      <c r="AK265" s="813"/>
      <c r="AL265" s="807" t="str">
        <f t="shared" si="230"/>
        <v>-</v>
      </c>
      <c r="AM265" s="807" t="str">
        <f t="shared" si="231"/>
        <v>-</v>
      </c>
      <c r="AN265" s="814" t="str">
        <f t="shared" ca="1" si="232"/>
        <v>-</v>
      </c>
      <c r="AO265" s="815">
        <v>1</v>
      </c>
      <c r="AP265" s="816" t="str">
        <f t="shared" ca="1" si="233"/>
        <v>БРАК</v>
      </c>
      <c r="AQ265" s="817" t="s">
        <v>1863</v>
      </c>
      <c r="AR265" s="794" t="str">
        <f t="shared" si="234"/>
        <v>-</v>
      </c>
      <c r="AS265" s="818"/>
      <c r="AT265" s="794" t="str">
        <f t="shared" si="235"/>
        <v>-</v>
      </c>
      <c r="AU265" s="819">
        <v>1</v>
      </c>
      <c r="AV265" s="820"/>
      <c r="AW265" s="821"/>
      <c r="AX265" s="821"/>
      <c r="AY265" s="969" t="str">
        <f t="shared" si="236"/>
        <v>-</v>
      </c>
      <c r="AZ265" s="966" t="str">
        <f t="shared" si="237"/>
        <v>-</v>
      </c>
      <c r="BA265" s="971" t="str">
        <f t="shared" si="238"/>
        <v>-</v>
      </c>
      <c r="BB265" s="975"/>
      <c r="BC265" s="821"/>
      <c r="BD265" s="821"/>
      <c r="BE265" s="963" t="str">
        <f t="shared" si="239"/>
        <v>-</v>
      </c>
      <c r="BF265" s="984"/>
      <c r="BG265" s="988"/>
      <c r="BH265" s="982"/>
      <c r="BI265" s="991"/>
      <c r="BJ265" s="991"/>
      <c r="BK265" s="993" t="str">
        <f t="shared" si="240"/>
        <v>-</v>
      </c>
      <c r="BL265" s="820">
        <v>42981</v>
      </c>
      <c r="BM265" s="821">
        <v>5</v>
      </c>
      <c r="BN265" s="822">
        <f t="shared" ca="1" si="241"/>
        <v>153</v>
      </c>
      <c r="BO265" s="823">
        <f t="shared" si="242"/>
        <v>90.36666666666666</v>
      </c>
      <c r="BP265" s="824"/>
      <c r="BQ265" s="821"/>
      <c r="BR265" s="822" t="str">
        <f t="shared" si="243"/>
        <v>-</v>
      </c>
      <c r="BS265" s="823" t="str">
        <f t="shared" si="244"/>
        <v>-</v>
      </c>
      <c r="BT265" s="825" t="str">
        <f t="shared" ca="1" si="245"/>
        <v>-</v>
      </c>
      <c r="BU265" s="826"/>
      <c r="BV265" s="827"/>
      <c r="BW265" s="828" t="str">
        <f t="shared" si="246"/>
        <v>Ж-Е НЕ ВАКЦ.</v>
      </c>
      <c r="BX265" s="829" t="str">
        <f t="shared" si="247"/>
        <v>-</v>
      </c>
      <c r="BY265" s="830" t="str">
        <f t="shared" ca="1" si="248"/>
        <v>-</v>
      </c>
      <c r="BZ265" s="831">
        <v>42887</v>
      </c>
      <c r="CA265" s="832">
        <v>5</v>
      </c>
      <c r="CB265" s="833">
        <f t="shared" ca="1" si="249"/>
        <v>247</v>
      </c>
      <c r="CC265" s="834" t="str">
        <f t="shared" ca="1" si="250"/>
        <v>-</v>
      </c>
      <c r="CD265" s="835">
        <f t="shared" si="251"/>
        <v>42908</v>
      </c>
      <c r="CE265" s="831">
        <v>42908</v>
      </c>
      <c r="CF265" s="832">
        <v>5</v>
      </c>
      <c r="CG265" s="833">
        <f t="shared" ca="1" si="252"/>
        <v>226</v>
      </c>
      <c r="CH265" s="836">
        <f t="shared" si="253"/>
        <v>0</v>
      </c>
      <c r="CI265" s="837" t="str">
        <f t="shared" si="254"/>
        <v>УСПЕШНО</v>
      </c>
      <c r="CJ265" s="838" t="str">
        <f t="shared" ca="1" si="255"/>
        <v>-</v>
      </c>
      <c r="CK265" s="831"/>
      <c r="CL265" s="832"/>
      <c r="CM265" s="833" t="str">
        <f t="shared" si="256"/>
        <v>-</v>
      </c>
      <c r="CN265" s="834" t="str">
        <f t="shared" si="257"/>
        <v>-</v>
      </c>
      <c r="CO265" s="830" t="str">
        <f t="shared" ca="1" si="258"/>
        <v>-</v>
      </c>
      <c r="CP265" s="839"/>
      <c r="CQ265" s="832"/>
      <c r="CR265" s="833" t="str">
        <f t="shared" si="259"/>
        <v>-</v>
      </c>
      <c r="CS265" s="833" t="str">
        <f t="shared" si="260"/>
        <v>-</v>
      </c>
      <c r="CT265" s="834" t="str">
        <f t="shared" si="261"/>
        <v>-</v>
      </c>
      <c r="CU265" s="835" t="str">
        <f t="shared" si="262"/>
        <v>-</v>
      </c>
      <c r="CV265" s="839"/>
      <c r="CW265" s="832"/>
      <c r="CX265" s="833" t="str">
        <f t="shared" si="263"/>
        <v>-</v>
      </c>
      <c r="CY265" s="840" t="str">
        <f t="shared" si="264"/>
        <v>-</v>
      </c>
      <c r="CZ265" s="833" t="str">
        <f t="shared" si="265"/>
        <v>-</v>
      </c>
      <c r="DA265" s="838" t="str">
        <f t="shared" ca="1" si="266"/>
        <v>-</v>
      </c>
      <c r="DB265" s="841"/>
      <c r="DC265" s="832"/>
    </row>
    <row r="266" spans="1:107" s="842" customFormat="1" ht="15.95" customHeight="1" x14ac:dyDescent="0.25">
      <c r="A266" s="790">
        <v>267</v>
      </c>
      <c r="B266" s="791">
        <f t="shared" ca="1" si="215"/>
        <v>43134</v>
      </c>
      <c r="C266" s="792" t="s">
        <v>613</v>
      </c>
      <c r="D266" s="793" t="s">
        <v>3202</v>
      </c>
      <c r="E266" s="794" t="s">
        <v>187</v>
      </c>
      <c r="F266" s="854" t="s">
        <v>450</v>
      </c>
      <c r="G266" s="796">
        <f>SUMIFS(МОЛОКО!L8:L6958,МОЛОКО!F8:F6958,"277329",МОЛОКО!L8:L6958,"&gt;0")</f>
        <v>16.600000000000001</v>
      </c>
      <c r="H266" s="797" t="s">
        <v>78</v>
      </c>
      <c r="I266" s="798">
        <v>41421</v>
      </c>
      <c r="J266" s="799">
        <f t="shared" ca="1" si="216"/>
        <v>4.6931506849315072</v>
      </c>
      <c r="K266" s="799">
        <f t="shared" ca="1" si="217"/>
        <v>57.1</v>
      </c>
      <c r="L266" s="800">
        <f t="shared" ca="1" si="218"/>
        <v>1713</v>
      </c>
      <c r="M266" s="801">
        <v>42231</v>
      </c>
      <c r="N266" s="802">
        <v>42594</v>
      </c>
      <c r="O266" s="803">
        <f t="shared" ca="1" si="219"/>
        <v>540</v>
      </c>
      <c r="P266" s="804">
        <v>2</v>
      </c>
      <c r="Q266" s="805" t="s">
        <v>1451</v>
      </c>
      <c r="R266" s="806" t="s">
        <v>1875</v>
      </c>
      <c r="S266" s="807">
        <v>42757</v>
      </c>
      <c r="T266" s="798">
        <v>42896</v>
      </c>
      <c r="U266" s="798" t="str">
        <f t="shared" si="220"/>
        <v>-</v>
      </c>
      <c r="V266" s="804" t="str">
        <f t="shared" ca="1" si="221"/>
        <v>-</v>
      </c>
      <c r="W266" s="808">
        <v>3</v>
      </c>
      <c r="X266" s="794">
        <f t="shared" si="214"/>
        <v>302</v>
      </c>
      <c r="Y266" s="794">
        <v>1</v>
      </c>
      <c r="Z266" s="809" t="str">
        <f t="shared" ca="1" si="222"/>
        <v>-----</v>
      </c>
      <c r="AA266" s="810" t="str">
        <f t="shared" ca="1" si="223"/>
        <v>-----</v>
      </c>
      <c r="AB266" s="804">
        <v>1</v>
      </c>
      <c r="AC266" s="811" t="str">
        <f t="shared" ca="1" si="224"/>
        <v>-----</v>
      </c>
      <c r="AD266" s="798"/>
      <c r="AE266" s="794" t="str">
        <f t="shared" ca="1" si="225"/>
        <v>-</v>
      </c>
      <c r="AF266" s="798" t="str">
        <f t="shared" si="226"/>
        <v>-</v>
      </c>
      <c r="AG266" s="812" t="str">
        <f t="shared" si="227"/>
        <v>---------</v>
      </c>
      <c r="AH266" s="807">
        <v>42964</v>
      </c>
      <c r="AI266" s="807">
        <f t="shared" si="228"/>
        <v>43086</v>
      </c>
      <c r="AJ266" s="807">
        <f t="shared" si="229"/>
        <v>43116</v>
      </c>
      <c r="AK266" s="813"/>
      <c r="AL266" s="807">
        <f t="shared" si="230"/>
        <v>43155</v>
      </c>
      <c r="AM266" s="807">
        <f t="shared" si="231"/>
        <v>43176</v>
      </c>
      <c r="AN266" s="814">
        <f t="shared" ca="1" si="232"/>
        <v>-42</v>
      </c>
      <c r="AO266" s="815">
        <v>1</v>
      </c>
      <c r="AP266" s="816" t="str">
        <f t="shared" ca="1" si="233"/>
        <v>-</v>
      </c>
      <c r="AQ266" s="817"/>
      <c r="AR266" s="794" t="str">
        <f t="shared" si="234"/>
        <v>-</v>
      </c>
      <c r="AS266" s="818"/>
      <c r="AT266" s="794" t="str">
        <f t="shared" si="235"/>
        <v>-</v>
      </c>
      <c r="AU266" s="819">
        <v>1</v>
      </c>
      <c r="AV266" s="820"/>
      <c r="AW266" s="821"/>
      <c r="AX266" s="821"/>
      <c r="AY266" s="969" t="str">
        <f t="shared" si="236"/>
        <v>-</v>
      </c>
      <c r="AZ266" s="966" t="str">
        <f t="shared" si="237"/>
        <v>-</v>
      </c>
      <c r="BA266" s="971" t="str">
        <f t="shared" si="238"/>
        <v>-</v>
      </c>
      <c r="BB266" s="975"/>
      <c r="BC266" s="821"/>
      <c r="BD266" s="821"/>
      <c r="BE266" s="963" t="str">
        <f t="shared" si="239"/>
        <v>-</v>
      </c>
      <c r="BF266" s="984"/>
      <c r="BG266" s="988"/>
      <c r="BH266" s="982"/>
      <c r="BI266" s="991"/>
      <c r="BJ266" s="991"/>
      <c r="BK266" s="993" t="str">
        <f t="shared" si="240"/>
        <v>-</v>
      </c>
      <c r="BL266" s="820">
        <v>42981</v>
      </c>
      <c r="BM266" s="821">
        <v>5</v>
      </c>
      <c r="BN266" s="822">
        <f t="shared" ca="1" si="241"/>
        <v>153</v>
      </c>
      <c r="BO266" s="823">
        <f t="shared" si="242"/>
        <v>52</v>
      </c>
      <c r="BP266" s="824"/>
      <c r="BQ266" s="821"/>
      <c r="BR266" s="822" t="str">
        <f t="shared" si="243"/>
        <v>-</v>
      </c>
      <c r="BS266" s="823" t="str">
        <f t="shared" si="244"/>
        <v>-</v>
      </c>
      <c r="BT266" s="825" t="str">
        <f t="shared" ca="1" si="245"/>
        <v>-</v>
      </c>
      <c r="BU266" s="826"/>
      <c r="BV266" s="827"/>
      <c r="BW266" s="828" t="str">
        <f t="shared" si="246"/>
        <v>Ж-Е НЕ ВАКЦ.</v>
      </c>
      <c r="BX266" s="829" t="str">
        <f t="shared" si="247"/>
        <v>-</v>
      </c>
      <c r="BY266" s="830" t="str">
        <f t="shared" ca="1" si="248"/>
        <v>-</v>
      </c>
      <c r="BZ266" s="831">
        <v>42887</v>
      </c>
      <c r="CA266" s="832">
        <v>5</v>
      </c>
      <c r="CB266" s="833">
        <f t="shared" ca="1" si="249"/>
        <v>247</v>
      </c>
      <c r="CC266" s="834" t="str">
        <f t="shared" ca="1" si="250"/>
        <v>-</v>
      </c>
      <c r="CD266" s="835">
        <f t="shared" si="251"/>
        <v>42908</v>
      </c>
      <c r="CE266" s="831">
        <v>42908</v>
      </c>
      <c r="CF266" s="832">
        <v>5</v>
      </c>
      <c r="CG266" s="833">
        <f t="shared" ca="1" si="252"/>
        <v>226</v>
      </c>
      <c r="CH266" s="836">
        <f t="shared" si="253"/>
        <v>0</v>
      </c>
      <c r="CI266" s="837" t="str">
        <f t="shared" si="254"/>
        <v>УСПЕШНО</v>
      </c>
      <c r="CJ266" s="838" t="str">
        <f t="shared" ca="1" si="255"/>
        <v>-</v>
      </c>
      <c r="CK266" s="831"/>
      <c r="CL266" s="832"/>
      <c r="CM266" s="833" t="str">
        <f t="shared" si="256"/>
        <v>-</v>
      </c>
      <c r="CN266" s="834" t="str">
        <f t="shared" si="257"/>
        <v>-</v>
      </c>
      <c r="CO266" s="830" t="str">
        <f t="shared" ca="1" si="258"/>
        <v>ТРЕБУЕТСЯ ВАКЦИНАЦИЯ</v>
      </c>
      <c r="CP266" s="839"/>
      <c r="CQ266" s="832"/>
      <c r="CR266" s="833" t="str">
        <f t="shared" si="259"/>
        <v>-</v>
      </c>
      <c r="CS266" s="833" t="str">
        <f t="shared" si="260"/>
        <v>-</v>
      </c>
      <c r="CT266" s="834" t="str">
        <f t="shared" si="261"/>
        <v>-</v>
      </c>
      <c r="CU266" s="835" t="str">
        <f t="shared" si="262"/>
        <v>-</v>
      </c>
      <c r="CV266" s="839"/>
      <c r="CW266" s="832"/>
      <c r="CX266" s="833" t="str">
        <f t="shared" si="263"/>
        <v>-</v>
      </c>
      <c r="CY266" s="840" t="str">
        <f t="shared" si="264"/>
        <v>-</v>
      </c>
      <c r="CZ266" s="833" t="str">
        <f t="shared" si="265"/>
        <v>-</v>
      </c>
      <c r="DA266" s="838" t="str">
        <f t="shared" ca="1" si="266"/>
        <v>-</v>
      </c>
      <c r="DB266" s="841"/>
      <c r="DC266" s="832"/>
    </row>
    <row r="267" spans="1:107" s="842" customFormat="1" ht="15.95" customHeight="1" x14ac:dyDescent="0.25">
      <c r="A267" s="790">
        <v>268</v>
      </c>
      <c r="B267" s="791">
        <f t="shared" ca="1" si="215"/>
        <v>43134</v>
      </c>
      <c r="C267" s="792" t="s">
        <v>613</v>
      </c>
      <c r="D267" s="793" t="s">
        <v>3203</v>
      </c>
      <c r="E267" s="794" t="s">
        <v>327</v>
      </c>
      <c r="F267" s="795" t="s">
        <v>328</v>
      </c>
      <c r="G267" s="796">
        <f>SUMIFS(МОЛОКО!L8:L6958,МОЛОКО!F8:F6958,"24",МОЛОКО!L8:L6958,"&gt;0")</f>
        <v>18</v>
      </c>
      <c r="H267" s="797" t="s">
        <v>603</v>
      </c>
      <c r="I267" s="798">
        <v>39748</v>
      </c>
      <c r="J267" s="799">
        <f t="shared" ca="1" si="216"/>
        <v>9.2767123287671236</v>
      </c>
      <c r="K267" s="799">
        <f t="shared" ca="1" si="217"/>
        <v>112.86666666666666</v>
      </c>
      <c r="L267" s="800">
        <f t="shared" ca="1" si="218"/>
        <v>3386</v>
      </c>
      <c r="M267" s="801">
        <v>40767</v>
      </c>
      <c r="N267" s="802">
        <v>42786</v>
      </c>
      <c r="O267" s="803">
        <f t="shared" ca="1" si="219"/>
        <v>348</v>
      </c>
      <c r="P267" s="804">
        <v>5</v>
      </c>
      <c r="Q267" s="805" t="s">
        <v>1448</v>
      </c>
      <c r="R267" s="806" t="s">
        <v>2491</v>
      </c>
      <c r="S267" s="807">
        <v>42865</v>
      </c>
      <c r="T267" s="798">
        <v>43007</v>
      </c>
      <c r="U267" s="798" t="str">
        <f t="shared" si="220"/>
        <v>-</v>
      </c>
      <c r="V267" s="804" t="str">
        <f t="shared" ca="1" si="221"/>
        <v>-</v>
      </c>
      <c r="W267" s="808">
        <v>4</v>
      </c>
      <c r="X267" s="794">
        <f t="shared" si="214"/>
        <v>221</v>
      </c>
      <c r="Y267" s="794">
        <v>1</v>
      </c>
      <c r="Z267" s="809" t="str">
        <f t="shared" ca="1" si="222"/>
        <v>ПОДЛЕЖИТ ПЕРЕПРОВЕРКЕ</v>
      </c>
      <c r="AA267" s="810">
        <f t="shared" ca="1" si="223"/>
        <v>127</v>
      </c>
      <c r="AB267" s="804"/>
      <c r="AC267" s="811">
        <f t="shared" ca="1" si="224"/>
        <v>43079</v>
      </c>
      <c r="AD267" s="798"/>
      <c r="AE267" s="794" t="str">
        <f t="shared" ca="1" si="225"/>
        <v>-</v>
      </c>
      <c r="AF267" s="798" t="str">
        <f t="shared" si="226"/>
        <v>-</v>
      </c>
      <c r="AG267" s="812" t="str">
        <f t="shared" si="227"/>
        <v>---------</v>
      </c>
      <c r="AH267" s="807">
        <v>43042</v>
      </c>
      <c r="AI267" s="807">
        <f t="shared" si="228"/>
        <v>43197</v>
      </c>
      <c r="AJ267" s="807">
        <f t="shared" si="229"/>
        <v>43227</v>
      </c>
      <c r="AK267" s="813"/>
      <c r="AL267" s="807">
        <f t="shared" si="230"/>
        <v>43266</v>
      </c>
      <c r="AM267" s="807">
        <f t="shared" si="231"/>
        <v>43287</v>
      </c>
      <c r="AN267" s="814">
        <f t="shared" ca="1" si="232"/>
        <v>-153</v>
      </c>
      <c r="AO267" s="815">
        <v>1</v>
      </c>
      <c r="AP267" s="816" t="str">
        <f t="shared" ca="1" si="233"/>
        <v>-</v>
      </c>
      <c r="AQ267" s="817"/>
      <c r="AR267" s="794" t="str">
        <f t="shared" si="234"/>
        <v>-</v>
      </c>
      <c r="AS267" s="818"/>
      <c r="AT267" s="794" t="str">
        <f t="shared" si="235"/>
        <v>-</v>
      </c>
      <c r="AU267" s="819"/>
      <c r="AV267" s="820"/>
      <c r="AW267" s="821"/>
      <c r="AX267" s="821"/>
      <c r="AY267" s="969" t="str">
        <f t="shared" si="236"/>
        <v>-</v>
      </c>
      <c r="AZ267" s="966" t="str">
        <f t="shared" si="237"/>
        <v>-</v>
      </c>
      <c r="BA267" s="971" t="str">
        <f t="shared" si="238"/>
        <v>-</v>
      </c>
      <c r="BB267" s="975"/>
      <c r="BC267" s="821"/>
      <c r="BD267" s="821"/>
      <c r="BE267" s="963" t="str">
        <f t="shared" si="239"/>
        <v>-</v>
      </c>
      <c r="BF267" s="984"/>
      <c r="BG267" s="988"/>
      <c r="BH267" s="982"/>
      <c r="BI267" s="991"/>
      <c r="BJ267" s="991"/>
      <c r="BK267" s="993" t="str">
        <f t="shared" si="240"/>
        <v>-</v>
      </c>
      <c r="BL267" s="820">
        <v>42980</v>
      </c>
      <c r="BM267" s="821">
        <v>5</v>
      </c>
      <c r="BN267" s="822">
        <f t="shared" ca="1" si="241"/>
        <v>154</v>
      </c>
      <c r="BO267" s="823">
        <f t="shared" si="242"/>
        <v>107.73333333333333</v>
      </c>
      <c r="BP267" s="824"/>
      <c r="BQ267" s="821"/>
      <c r="BR267" s="822" t="str">
        <f t="shared" si="243"/>
        <v>-</v>
      </c>
      <c r="BS267" s="823" t="str">
        <f t="shared" si="244"/>
        <v>-</v>
      </c>
      <c r="BT267" s="825" t="str">
        <f t="shared" ca="1" si="245"/>
        <v>-</v>
      </c>
      <c r="BU267" s="826"/>
      <c r="BV267" s="827"/>
      <c r="BW267" s="828" t="str">
        <f t="shared" si="246"/>
        <v>Ж-Е НЕ ВАКЦ.</v>
      </c>
      <c r="BX267" s="829" t="str">
        <f t="shared" si="247"/>
        <v>-</v>
      </c>
      <c r="BY267" s="830" t="str">
        <f t="shared" ca="1" si="248"/>
        <v>-</v>
      </c>
      <c r="BZ267" s="831">
        <v>42887</v>
      </c>
      <c r="CA267" s="832">
        <v>5</v>
      </c>
      <c r="CB267" s="833">
        <f t="shared" ca="1" si="249"/>
        <v>247</v>
      </c>
      <c r="CC267" s="834" t="str">
        <f t="shared" ca="1" si="250"/>
        <v>-</v>
      </c>
      <c r="CD267" s="835">
        <f t="shared" si="251"/>
        <v>42908</v>
      </c>
      <c r="CE267" s="831">
        <v>42908</v>
      </c>
      <c r="CF267" s="832">
        <v>5</v>
      </c>
      <c r="CG267" s="833">
        <f t="shared" ca="1" si="252"/>
        <v>226</v>
      </c>
      <c r="CH267" s="836">
        <f t="shared" si="253"/>
        <v>0</v>
      </c>
      <c r="CI267" s="837" t="str">
        <f t="shared" si="254"/>
        <v>УСПЕШНО</v>
      </c>
      <c r="CJ267" s="838" t="str">
        <f t="shared" ca="1" si="255"/>
        <v>-</v>
      </c>
      <c r="CK267" s="831"/>
      <c r="CL267" s="832"/>
      <c r="CM267" s="833" t="str">
        <f t="shared" si="256"/>
        <v>-</v>
      </c>
      <c r="CN267" s="834" t="str">
        <f t="shared" si="257"/>
        <v>-</v>
      </c>
      <c r="CO267" s="830" t="str">
        <f t="shared" ca="1" si="258"/>
        <v>-</v>
      </c>
      <c r="CP267" s="839"/>
      <c r="CQ267" s="832"/>
      <c r="CR267" s="833" t="str">
        <f t="shared" si="259"/>
        <v>-</v>
      </c>
      <c r="CS267" s="833" t="str">
        <f t="shared" si="260"/>
        <v>-</v>
      </c>
      <c r="CT267" s="834" t="str">
        <f t="shared" si="261"/>
        <v>-</v>
      </c>
      <c r="CU267" s="835" t="str">
        <f t="shared" si="262"/>
        <v>-</v>
      </c>
      <c r="CV267" s="839"/>
      <c r="CW267" s="832"/>
      <c r="CX267" s="833" t="str">
        <f t="shared" si="263"/>
        <v>-</v>
      </c>
      <c r="CY267" s="840" t="str">
        <f t="shared" si="264"/>
        <v>-</v>
      </c>
      <c r="CZ267" s="833" t="str">
        <f t="shared" si="265"/>
        <v>-</v>
      </c>
      <c r="DA267" s="838" t="str">
        <f t="shared" ca="1" si="266"/>
        <v>-</v>
      </c>
      <c r="DB267" s="841"/>
      <c r="DC267" s="832"/>
    </row>
    <row r="268" spans="1:107" s="842" customFormat="1" ht="15.95" customHeight="1" x14ac:dyDescent="0.25">
      <c r="A268" s="790">
        <v>269</v>
      </c>
      <c r="B268" s="791">
        <f t="shared" ca="1" si="215"/>
        <v>43134</v>
      </c>
      <c r="C268" s="792" t="s">
        <v>613</v>
      </c>
      <c r="D268" s="793" t="s">
        <v>3203</v>
      </c>
      <c r="E268" s="794" t="s">
        <v>688</v>
      </c>
      <c r="F268" s="795" t="s">
        <v>801</v>
      </c>
      <c r="G268" s="796">
        <f>SUMIFS(МОЛОКО!L8:L6958,МОЛОКО!F8:F6958,"56",МОЛОКО!L8:L6958,"&gt;0")</f>
        <v>19</v>
      </c>
      <c r="H268" s="797" t="s">
        <v>603</v>
      </c>
      <c r="I268" s="798">
        <v>40945</v>
      </c>
      <c r="J268" s="799">
        <f t="shared" ca="1" si="216"/>
        <v>5.9972602739726026</v>
      </c>
      <c r="K268" s="799">
        <f t="shared" ca="1" si="217"/>
        <v>72.966666666666669</v>
      </c>
      <c r="L268" s="800">
        <f t="shared" ca="1" si="218"/>
        <v>2189</v>
      </c>
      <c r="M268" s="801">
        <v>41759</v>
      </c>
      <c r="N268" s="802">
        <v>42860</v>
      </c>
      <c r="O268" s="803">
        <f t="shared" ca="1" si="219"/>
        <v>274</v>
      </c>
      <c r="P268" s="804">
        <v>4</v>
      </c>
      <c r="Q268" s="68" t="s">
        <v>1451</v>
      </c>
      <c r="R268" s="118" t="s">
        <v>2966</v>
      </c>
      <c r="S268" s="807">
        <v>43028</v>
      </c>
      <c r="T268" s="798">
        <v>43028</v>
      </c>
      <c r="U268" s="798">
        <f t="shared" si="220"/>
        <v>43046</v>
      </c>
      <c r="V268" s="804">
        <f t="shared" ca="1" si="221"/>
        <v>88</v>
      </c>
      <c r="W268" s="808">
        <v>1</v>
      </c>
      <c r="X268" s="794">
        <f t="shared" si="214"/>
        <v>168</v>
      </c>
      <c r="Y268" s="794">
        <v>3</v>
      </c>
      <c r="Z268" s="809" t="str">
        <f t="shared" ca="1" si="222"/>
        <v>-----</v>
      </c>
      <c r="AA268" s="810">
        <f t="shared" ca="1" si="223"/>
        <v>106</v>
      </c>
      <c r="AB268" s="804"/>
      <c r="AC268" s="811" t="str">
        <f t="shared" ca="1" si="224"/>
        <v>-----</v>
      </c>
      <c r="AD268" s="798"/>
      <c r="AE268" s="794" t="str">
        <f t="shared" ca="1" si="225"/>
        <v>-</v>
      </c>
      <c r="AF268" s="798">
        <f t="shared" si="226"/>
        <v>43063</v>
      </c>
      <c r="AG268" s="812">
        <f t="shared" ca="1" si="227"/>
        <v>71</v>
      </c>
      <c r="AH268" s="807"/>
      <c r="AI268" s="807" t="str">
        <f t="shared" si="228"/>
        <v>-</v>
      </c>
      <c r="AJ268" s="807" t="str">
        <f t="shared" si="229"/>
        <v>-</v>
      </c>
      <c r="AK268" s="813"/>
      <c r="AL268" s="807" t="str">
        <f t="shared" si="230"/>
        <v>-</v>
      </c>
      <c r="AM268" s="807" t="str">
        <f t="shared" si="231"/>
        <v>-</v>
      </c>
      <c r="AN268" s="814" t="str">
        <f t="shared" ca="1" si="232"/>
        <v>-</v>
      </c>
      <c r="AO268" s="815">
        <v>1</v>
      </c>
      <c r="AP268" s="816" t="str">
        <f t="shared" ca="1" si="233"/>
        <v>-</v>
      </c>
      <c r="AQ268" s="817"/>
      <c r="AR268" s="794" t="str">
        <f t="shared" si="234"/>
        <v>-</v>
      </c>
      <c r="AS268" s="818"/>
      <c r="AT268" s="794" t="str">
        <f t="shared" si="235"/>
        <v>-</v>
      </c>
      <c r="AU268" s="819"/>
      <c r="AV268" s="820"/>
      <c r="AW268" s="821"/>
      <c r="AX268" s="821"/>
      <c r="AY268" s="969" t="str">
        <f t="shared" si="236"/>
        <v>-</v>
      </c>
      <c r="AZ268" s="966" t="str">
        <f t="shared" si="237"/>
        <v>-</v>
      </c>
      <c r="BA268" s="971" t="str">
        <f t="shared" si="238"/>
        <v>-</v>
      </c>
      <c r="BB268" s="975"/>
      <c r="BC268" s="821"/>
      <c r="BD268" s="821"/>
      <c r="BE268" s="963" t="str">
        <f t="shared" si="239"/>
        <v>-</v>
      </c>
      <c r="BF268" s="984"/>
      <c r="BG268" s="988"/>
      <c r="BH268" s="982"/>
      <c r="BI268" s="991"/>
      <c r="BJ268" s="991"/>
      <c r="BK268" s="993" t="str">
        <f t="shared" si="240"/>
        <v>-</v>
      </c>
      <c r="BL268" s="820">
        <v>42980</v>
      </c>
      <c r="BM268" s="821">
        <v>5</v>
      </c>
      <c r="BN268" s="822">
        <f t="shared" ca="1" si="241"/>
        <v>154</v>
      </c>
      <c r="BO268" s="823">
        <f t="shared" si="242"/>
        <v>67.833333333333329</v>
      </c>
      <c r="BP268" s="824"/>
      <c r="BQ268" s="821"/>
      <c r="BR268" s="822" t="str">
        <f t="shared" si="243"/>
        <v>-</v>
      </c>
      <c r="BS268" s="823" t="str">
        <f t="shared" si="244"/>
        <v>-</v>
      </c>
      <c r="BT268" s="825" t="str">
        <f t="shared" ca="1" si="245"/>
        <v>-</v>
      </c>
      <c r="BU268" s="826"/>
      <c r="BV268" s="827"/>
      <c r="BW268" s="828" t="str">
        <f t="shared" si="246"/>
        <v>Ж-Е НЕ ВАКЦ.</v>
      </c>
      <c r="BX268" s="829" t="str">
        <f t="shared" si="247"/>
        <v>-</v>
      </c>
      <c r="BY268" s="830" t="str">
        <f t="shared" ca="1" si="248"/>
        <v>-</v>
      </c>
      <c r="BZ268" s="831">
        <v>42888</v>
      </c>
      <c r="CA268" s="832">
        <v>5</v>
      </c>
      <c r="CB268" s="833">
        <f t="shared" ca="1" si="249"/>
        <v>246</v>
      </c>
      <c r="CC268" s="834" t="str">
        <f t="shared" ca="1" si="250"/>
        <v>-</v>
      </c>
      <c r="CD268" s="835">
        <f t="shared" si="251"/>
        <v>42909</v>
      </c>
      <c r="CE268" s="831">
        <v>42909</v>
      </c>
      <c r="CF268" s="832">
        <v>5</v>
      </c>
      <c r="CG268" s="833">
        <f t="shared" ca="1" si="252"/>
        <v>225</v>
      </c>
      <c r="CH268" s="836">
        <f t="shared" si="253"/>
        <v>0</v>
      </c>
      <c r="CI268" s="837" t="str">
        <f t="shared" si="254"/>
        <v>УСПЕШНО</v>
      </c>
      <c r="CJ268" s="838" t="str">
        <f t="shared" ca="1" si="255"/>
        <v>-</v>
      </c>
      <c r="CK268" s="831"/>
      <c r="CL268" s="832"/>
      <c r="CM268" s="833" t="str">
        <f t="shared" si="256"/>
        <v>-</v>
      </c>
      <c r="CN268" s="834" t="str">
        <f t="shared" si="257"/>
        <v>-</v>
      </c>
      <c r="CO268" s="830" t="str">
        <f t="shared" ca="1" si="258"/>
        <v>-</v>
      </c>
      <c r="CP268" s="839"/>
      <c r="CQ268" s="832"/>
      <c r="CR268" s="833" t="str">
        <f t="shared" si="259"/>
        <v>-</v>
      </c>
      <c r="CS268" s="833" t="str">
        <f t="shared" si="260"/>
        <v>-</v>
      </c>
      <c r="CT268" s="834" t="str">
        <f t="shared" si="261"/>
        <v>-</v>
      </c>
      <c r="CU268" s="835" t="str">
        <f t="shared" si="262"/>
        <v>-</v>
      </c>
      <c r="CV268" s="839"/>
      <c r="CW268" s="832"/>
      <c r="CX268" s="833" t="str">
        <f t="shared" si="263"/>
        <v>-</v>
      </c>
      <c r="CY268" s="840" t="str">
        <f t="shared" si="264"/>
        <v>-</v>
      </c>
      <c r="CZ268" s="833" t="str">
        <f t="shared" si="265"/>
        <v>-</v>
      </c>
      <c r="DA268" s="838" t="str">
        <f t="shared" ca="1" si="266"/>
        <v>-</v>
      </c>
      <c r="DB268" s="841"/>
      <c r="DC268" s="832"/>
    </row>
    <row r="269" spans="1:107" s="842" customFormat="1" ht="15.95" customHeight="1" x14ac:dyDescent="0.25">
      <c r="A269" s="790">
        <v>270</v>
      </c>
      <c r="B269" s="791">
        <f t="shared" ca="1" si="215"/>
        <v>43134</v>
      </c>
      <c r="C269" s="792" t="s">
        <v>613</v>
      </c>
      <c r="D269" s="793" t="s">
        <v>3203</v>
      </c>
      <c r="E269" s="794" t="s">
        <v>305</v>
      </c>
      <c r="F269" s="795" t="s">
        <v>306</v>
      </c>
      <c r="G269" s="796">
        <f>SUMIFS(МОЛОКО!L8:L6958,МОЛОКО!F8:F6958,"71",МОЛОКО!L8:L6958,"&gt;0")</f>
        <v>10.899999999999999</v>
      </c>
      <c r="H269" s="797" t="s">
        <v>603</v>
      </c>
      <c r="I269" s="798">
        <v>40909</v>
      </c>
      <c r="J269" s="799">
        <f t="shared" ca="1" si="216"/>
        <v>6.095890410958904</v>
      </c>
      <c r="K269" s="799">
        <f t="shared" ca="1" si="217"/>
        <v>74.166666666666671</v>
      </c>
      <c r="L269" s="800">
        <f t="shared" ca="1" si="218"/>
        <v>2225</v>
      </c>
      <c r="M269" s="801">
        <v>42066</v>
      </c>
      <c r="N269" s="802">
        <v>42525</v>
      </c>
      <c r="O269" s="803">
        <f t="shared" ca="1" si="219"/>
        <v>609</v>
      </c>
      <c r="P269" s="804">
        <v>2</v>
      </c>
      <c r="Q269" s="805" t="s">
        <v>2366</v>
      </c>
      <c r="R269" s="806" t="s">
        <v>2294</v>
      </c>
      <c r="S269" s="807">
        <v>42589</v>
      </c>
      <c r="T269" s="798">
        <v>42800</v>
      </c>
      <c r="U269" s="798" t="str">
        <f t="shared" si="220"/>
        <v>-</v>
      </c>
      <c r="V269" s="804" t="str">
        <f t="shared" ca="1" si="221"/>
        <v>-</v>
      </c>
      <c r="W269" s="808">
        <v>5</v>
      </c>
      <c r="X269" s="794">
        <f t="shared" si="214"/>
        <v>275</v>
      </c>
      <c r="Y269" s="794">
        <v>0</v>
      </c>
      <c r="Z269" s="809" t="str">
        <f t="shared" ca="1" si="222"/>
        <v>-----</v>
      </c>
      <c r="AA269" s="810">
        <f t="shared" ca="1" si="223"/>
        <v>334</v>
      </c>
      <c r="AB269" s="804"/>
      <c r="AC269" s="811" t="str">
        <f t="shared" ca="1" si="224"/>
        <v>-----</v>
      </c>
      <c r="AD269" s="798"/>
      <c r="AE269" s="794" t="str">
        <f t="shared" ca="1" si="225"/>
        <v>яловая</v>
      </c>
      <c r="AF269" s="798" t="str">
        <f t="shared" si="226"/>
        <v>-</v>
      </c>
      <c r="AG269" s="812" t="str">
        <f t="shared" si="227"/>
        <v>---------</v>
      </c>
      <c r="AH269" s="807">
        <v>42842</v>
      </c>
      <c r="AI269" s="807" t="str">
        <f t="shared" si="228"/>
        <v>-</v>
      </c>
      <c r="AJ269" s="807" t="str">
        <f t="shared" si="229"/>
        <v>-</v>
      </c>
      <c r="AK269" s="813"/>
      <c r="AL269" s="807" t="str">
        <f t="shared" si="230"/>
        <v>-</v>
      </c>
      <c r="AM269" s="807" t="str">
        <f t="shared" si="231"/>
        <v>-</v>
      </c>
      <c r="AN269" s="814" t="str">
        <f t="shared" ca="1" si="232"/>
        <v>-</v>
      </c>
      <c r="AO269" s="815">
        <v>1</v>
      </c>
      <c r="AP269" s="816" t="str">
        <f t="shared" ca="1" si="233"/>
        <v>БРАК</v>
      </c>
      <c r="AQ269" s="817" t="s">
        <v>1863</v>
      </c>
      <c r="AR269" s="794" t="str">
        <f t="shared" si="234"/>
        <v>-</v>
      </c>
      <c r="AS269" s="818"/>
      <c r="AT269" s="794" t="str">
        <f t="shared" si="235"/>
        <v>-</v>
      </c>
      <c r="AU269" s="819"/>
      <c r="AV269" s="820"/>
      <c r="AW269" s="821"/>
      <c r="AX269" s="821"/>
      <c r="AY269" s="969" t="str">
        <f t="shared" si="236"/>
        <v>-</v>
      </c>
      <c r="AZ269" s="966" t="str">
        <f t="shared" si="237"/>
        <v>-</v>
      </c>
      <c r="BA269" s="971" t="str">
        <f t="shared" si="238"/>
        <v>-</v>
      </c>
      <c r="BB269" s="975"/>
      <c r="BC269" s="821"/>
      <c r="BD269" s="821"/>
      <c r="BE269" s="963" t="str">
        <f t="shared" si="239"/>
        <v>-</v>
      </c>
      <c r="BF269" s="984"/>
      <c r="BG269" s="988"/>
      <c r="BH269" s="982"/>
      <c r="BI269" s="991"/>
      <c r="BJ269" s="991"/>
      <c r="BK269" s="993" t="str">
        <f t="shared" si="240"/>
        <v>-</v>
      </c>
      <c r="BL269" s="820">
        <v>42981</v>
      </c>
      <c r="BM269" s="821">
        <v>5</v>
      </c>
      <c r="BN269" s="822">
        <f t="shared" ca="1" si="241"/>
        <v>153</v>
      </c>
      <c r="BO269" s="823">
        <f t="shared" si="242"/>
        <v>69.066666666666663</v>
      </c>
      <c r="BP269" s="824"/>
      <c r="BQ269" s="821"/>
      <c r="BR269" s="822" t="str">
        <f t="shared" si="243"/>
        <v>-</v>
      </c>
      <c r="BS269" s="823" t="str">
        <f t="shared" si="244"/>
        <v>-</v>
      </c>
      <c r="BT269" s="825" t="str">
        <f t="shared" ca="1" si="245"/>
        <v>-</v>
      </c>
      <c r="BU269" s="826"/>
      <c r="BV269" s="827"/>
      <c r="BW269" s="828" t="str">
        <f t="shared" si="246"/>
        <v>Ж-Е НЕ ВАКЦ.</v>
      </c>
      <c r="BX269" s="829" t="str">
        <f t="shared" si="247"/>
        <v>-</v>
      </c>
      <c r="BY269" s="830" t="str">
        <f t="shared" ca="1" si="248"/>
        <v>-</v>
      </c>
      <c r="BZ269" s="831">
        <v>42887</v>
      </c>
      <c r="CA269" s="832">
        <v>5</v>
      </c>
      <c r="CB269" s="833">
        <f t="shared" ca="1" si="249"/>
        <v>247</v>
      </c>
      <c r="CC269" s="834" t="str">
        <f t="shared" ca="1" si="250"/>
        <v>-</v>
      </c>
      <c r="CD269" s="835">
        <f t="shared" si="251"/>
        <v>42908</v>
      </c>
      <c r="CE269" s="831">
        <v>42908</v>
      </c>
      <c r="CF269" s="832">
        <v>5</v>
      </c>
      <c r="CG269" s="833">
        <f t="shared" ca="1" si="252"/>
        <v>226</v>
      </c>
      <c r="CH269" s="836">
        <f t="shared" si="253"/>
        <v>0</v>
      </c>
      <c r="CI269" s="837" t="str">
        <f t="shared" si="254"/>
        <v>УСПЕШНО</v>
      </c>
      <c r="CJ269" s="838" t="str">
        <f t="shared" ca="1" si="255"/>
        <v>-</v>
      </c>
      <c r="CK269" s="831"/>
      <c r="CL269" s="832"/>
      <c r="CM269" s="833" t="str">
        <f t="shared" si="256"/>
        <v>-</v>
      </c>
      <c r="CN269" s="834" t="str">
        <f t="shared" si="257"/>
        <v>-</v>
      </c>
      <c r="CO269" s="830" t="str">
        <f t="shared" ca="1" si="258"/>
        <v>-</v>
      </c>
      <c r="CP269" s="839"/>
      <c r="CQ269" s="832"/>
      <c r="CR269" s="833" t="str">
        <f t="shared" si="259"/>
        <v>-</v>
      </c>
      <c r="CS269" s="833" t="str">
        <f t="shared" si="260"/>
        <v>-</v>
      </c>
      <c r="CT269" s="834" t="str">
        <f t="shared" si="261"/>
        <v>-</v>
      </c>
      <c r="CU269" s="835" t="str">
        <f t="shared" si="262"/>
        <v>-</v>
      </c>
      <c r="CV269" s="839"/>
      <c r="CW269" s="832"/>
      <c r="CX269" s="833" t="str">
        <f t="shared" si="263"/>
        <v>-</v>
      </c>
      <c r="CY269" s="840" t="str">
        <f t="shared" si="264"/>
        <v>-</v>
      </c>
      <c r="CZ269" s="833" t="str">
        <f t="shared" si="265"/>
        <v>-</v>
      </c>
      <c r="DA269" s="838" t="str">
        <f t="shared" ca="1" si="266"/>
        <v>-</v>
      </c>
      <c r="DB269" s="841"/>
      <c r="DC269" s="832"/>
    </row>
    <row r="270" spans="1:107" s="842" customFormat="1" ht="15.95" customHeight="1" x14ac:dyDescent="0.25">
      <c r="A270" s="790">
        <v>271</v>
      </c>
      <c r="B270" s="791">
        <f t="shared" ca="1" si="215"/>
        <v>43134</v>
      </c>
      <c r="C270" s="792" t="s">
        <v>613</v>
      </c>
      <c r="D270" s="793" t="s">
        <v>3203</v>
      </c>
      <c r="E270" s="794" t="s">
        <v>394</v>
      </c>
      <c r="F270" s="795" t="s">
        <v>395</v>
      </c>
      <c r="G270" s="796">
        <f>SUMIFS(МОЛОКО!L8:L6958,МОЛОКО!F8:F6958,"73",МОЛОКО!L8:L6958,"&gt;0")</f>
        <v>17</v>
      </c>
      <c r="H270" s="797" t="s">
        <v>603</v>
      </c>
      <c r="I270" s="798">
        <v>41238</v>
      </c>
      <c r="J270" s="799">
        <f t="shared" ca="1" si="216"/>
        <v>5.1945205479452055</v>
      </c>
      <c r="K270" s="799">
        <f t="shared" ca="1" si="217"/>
        <v>63.2</v>
      </c>
      <c r="L270" s="800">
        <f t="shared" ca="1" si="218"/>
        <v>1896</v>
      </c>
      <c r="M270" s="801">
        <v>42328</v>
      </c>
      <c r="N270" s="802">
        <v>42827</v>
      </c>
      <c r="O270" s="803">
        <f t="shared" ca="1" si="219"/>
        <v>307</v>
      </c>
      <c r="P270" s="804">
        <v>2</v>
      </c>
      <c r="Q270" s="805" t="s">
        <v>1451</v>
      </c>
      <c r="R270" s="806" t="s">
        <v>2335</v>
      </c>
      <c r="S270" s="807">
        <v>42887</v>
      </c>
      <c r="T270" s="798">
        <v>42887</v>
      </c>
      <c r="U270" s="798" t="str">
        <f t="shared" si="220"/>
        <v>-</v>
      </c>
      <c r="V270" s="804" t="str">
        <f t="shared" ca="1" si="221"/>
        <v>-</v>
      </c>
      <c r="W270" s="808">
        <v>1</v>
      </c>
      <c r="X270" s="794">
        <f t="shared" si="214"/>
        <v>60</v>
      </c>
      <c r="Y270" s="794">
        <v>1</v>
      </c>
      <c r="Z270" s="809" t="str">
        <f t="shared" ca="1" si="222"/>
        <v>-----</v>
      </c>
      <c r="AA270" s="810" t="str">
        <f t="shared" ca="1" si="223"/>
        <v>-----</v>
      </c>
      <c r="AB270" s="804">
        <v>1</v>
      </c>
      <c r="AC270" s="811" t="str">
        <f t="shared" ca="1" si="224"/>
        <v>-----</v>
      </c>
      <c r="AD270" s="798">
        <v>42955</v>
      </c>
      <c r="AE270" s="794" t="str">
        <f t="shared" ca="1" si="225"/>
        <v>-</v>
      </c>
      <c r="AF270" s="798" t="str">
        <f t="shared" si="226"/>
        <v>-</v>
      </c>
      <c r="AG270" s="812" t="str">
        <f t="shared" si="227"/>
        <v>---------</v>
      </c>
      <c r="AH270" s="807">
        <v>42919</v>
      </c>
      <c r="AI270" s="807">
        <f t="shared" si="228"/>
        <v>43077</v>
      </c>
      <c r="AJ270" s="807">
        <f t="shared" si="229"/>
        <v>43107</v>
      </c>
      <c r="AK270" s="813"/>
      <c r="AL270" s="807">
        <f t="shared" si="230"/>
        <v>43146</v>
      </c>
      <c r="AM270" s="807">
        <f t="shared" si="231"/>
        <v>43167</v>
      </c>
      <c r="AN270" s="814">
        <f t="shared" ca="1" si="232"/>
        <v>-33</v>
      </c>
      <c r="AO270" s="815">
        <v>1</v>
      </c>
      <c r="AP270" s="816" t="str">
        <f t="shared" ca="1" si="233"/>
        <v>-</v>
      </c>
      <c r="AQ270" s="817"/>
      <c r="AR270" s="794" t="str">
        <f t="shared" si="234"/>
        <v>-</v>
      </c>
      <c r="AS270" s="818"/>
      <c r="AT270" s="794" t="str">
        <f t="shared" si="235"/>
        <v>-</v>
      </c>
      <c r="AU270" s="819"/>
      <c r="AV270" s="820"/>
      <c r="AW270" s="821"/>
      <c r="AX270" s="821"/>
      <c r="AY270" s="969" t="str">
        <f t="shared" si="236"/>
        <v>-</v>
      </c>
      <c r="AZ270" s="966" t="str">
        <f t="shared" si="237"/>
        <v>-</v>
      </c>
      <c r="BA270" s="971" t="str">
        <f t="shared" si="238"/>
        <v>-</v>
      </c>
      <c r="BB270" s="975"/>
      <c r="BC270" s="821"/>
      <c r="BD270" s="821"/>
      <c r="BE270" s="963" t="str">
        <f t="shared" si="239"/>
        <v>-</v>
      </c>
      <c r="BF270" s="984"/>
      <c r="BG270" s="988"/>
      <c r="BH270" s="982"/>
      <c r="BI270" s="991"/>
      <c r="BJ270" s="991"/>
      <c r="BK270" s="993" t="str">
        <f t="shared" si="240"/>
        <v>-</v>
      </c>
      <c r="BL270" s="820">
        <v>42980</v>
      </c>
      <c r="BM270" s="821">
        <v>5</v>
      </c>
      <c r="BN270" s="822">
        <f t="shared" ca="1" si="241"/>
        <v>154</v>
      </c>
      <c r="BO270" s="823">
        <f t="shared" si="242"/>
        <v>58.06666666666667</v>
      </c>
      <c r="BP270" s="824"/>
      <c r="BQ270" s="821"/>
      <c r="BR270" s="822" t="str">
        <f t="shared" si="243"/>
        <v>-</v>
      </c>
      <c r="BS270" s="823" t="str">
        <f t="shared" si="244"/>
        <v>-</v>
      </c>
      <c r="BT270" s="825" t="str">
        <f t="shared" ca="1" si="245"/>
        <v>-</v>
      </c>
      <c r="BU270" s="860"/>
      <c r="BV270" s="827"/>
      <c r="BW270" s="828" t="str">
        <f t="shared" si="246"/>
        <v>Ж-Е НЕ ВАКЦ.</v>
      </c>
      <c r="BX270" s="829" t="str">
        <f t="shared" si="247"/>
        <v>-</v>
      </c>
      <c r="BY270" s="830" t="str">
        <f t="shared" ca="1" si="248"/>
        <v>-</v>
      </c>
      <c r="BZ270" s="831">
        <v>42887</v>
      </c>
      <c r="CA270" s="832">
        <v>5</v>
      </c>
      <c r="CB270" s="833">
        <f t="shared" ca="1" si="249"/>
        <v>247</v>
      </c>
      <c r="CC270" s="834" t="str">
        <f t="shared" ca="1" si="250"/>
        <v>-</v>
      </c>
      <c r="CD270" s="835">
        <f t="shared" si="251"/>
        <v>42908</v>
      </c>
      <c r="CE270" s="831">
        <v>42908</v>
      </c>
      <c r="CF270" s="832">
        <v>5</v>
      </c>
      <c r="CG270" s="833">
        <f t="shared" ca="1" si="252"/>
        <v>226</v>
      </c>
      <c r="CH270" s="836">
        <f t="shared" si="253"/>
        <v>0</v>
      </c>
      <c r="CI270" s="837" t="str">
        <f t="shared" si="254"/>
        <v>УСПЕШНО</v>
      </c>
      <c r="CJ270" s="838" t="str">
        <f t="shared" ca="1" si="255"/>
        <v>-</v>
      </c>
      <c r="CK270" s="831"/>
      <c r="CL270" s="832"/>
      <c r="CM270" s="833" t="str">
        <f t="shared" si="256"/>
        <v>-</v>
      </c>
      <c r="CN270" s="834" t="str">
        <f t="shared" si="257"/>
        <v>-</v>
      </c>
      <c r="CO270" s="830" t="str">
        <f t="shared" ca="1" si="258"/>
        <v>ТРЕБУЕТСЯ ВАКЦИНАЦИЯ</v>
      </c>
      <c r="CP270" s="839"/>
      <c r="CQ270" s="832"/>
      <c r="CR270" s="833" t="str">
        <f t="shared" si="259"/>
        <v>-</v>
      </c>
      <c r="CS270" s="833" t="str">
        <f t="shared" si="260"/>
        <v>-</v>
      </c>
      <c r="CT270" s="834" t="str">
        <f t="shared" si="261"/>
        <v>-</v>
      </c>
      <c r="CU270" s="835" t="str">
        <f t="shared" si="262"/>
        <v>-</v>
      </c>
      <c r="CV270" s="839"/>
      <c r="CW270" s="832"/>
      <c r="CX270" s="833" t="str">
        <f t="shared" si="263"/>
        <v>-</v>
      </c>
      <c r="CY270" s="840" t="str">
        <f t="shared" si="264"/>
        <v>-</v>
      </c>
      <c r="CZ270" s="833" t="str">
        <f t="shared" si="265"/>
        <v>-</v>
      </c>
      <c r="DA270" s="838" t="str">
        <f t="shared" ca="1" si="266"/>
        <v>-</v>
      </c>
      <c r="DB270" s="841"/>
      <c r="DC270" s="832"/>
    </row>
    <row r="271" spans="1:107" s="842" customFormat="1" ht="15.95" customHeight="1" x14ac:dyDescent="0.25">
      <c r="A271" s="790">
        <v>272</v>
      </c>
      <c r="B271" s="791">
        <f t="shared" ca="1" si="215"/>
        <v>43134</v>
      </c>
      <c r="C271" s="792" t="s">
        <v>613</v>
      </c>
      <c r="D271" s="793" t="s">
        <v>3203</v>
      </c>
      <c r="E271" s="794" t="s">
        <v>367</v>
      </c>
      <c r="F271" s="795" t="s">
        <v>368</v>
      </c>
      <c r="G271" s="796">
        <f>SUMIFS(МОЛОКО!L8:L6958,МОЛОКО!F8:F6958,"330",МОЛОКО!L8:L6958,"&gt;0")</f>
        <v>13.2</v>
      </c>
      <c r="H271" s="797" t="s">
        <v>603</v>
      </c>
      <c r="I271" s="798">
        <v>39631</v>
      </c>
      <c r="J271" s="799">
        <f t="shared" ca="1" si="216"/>
        <v>9.5972602739726032</v>
      </c>
      <c r="K271" s="799">
        <f t="shared" ca="1" si="217"/>
        <v>116.76666666666667</v>
      </c>
      <c r="L271" s="800">
        <f t="shared" ca="1" si="218"/>
        <v>3503</v>
      </c>
      <c r="M271" s="801">
        <v>40865</v>
      </c>
      <c r="N271" s="802">
        <v>42855</v>
      </c>
      <c r="O271" s="803">
        <f t="shared" ca="1" si="219"/>
        <v>279</v>
      </c>
      <c r="P271" s="804">
        <v>6</v>
      </c>
      <c r="Q271" s="68" t="s">
        <v>2366</v>
      </c>
      <c r="R271" s="118" t="s">
        <v>2966</v>
      </c>
      <c r="S271" s="807">
        <v>42915</v>
      </c>
      <c r="T271" s="798">
        <v>43028</v>
      </c>
      <c r="U271" s="798">
        <f t="shared" si="220"/>
        <v>43046</v>
      </c>
      <c r="V271" s="804">
        <f t="shared" ca="1" si="221"/>
        <v>88</v>
      </c>
      <c r="W271" s="808">
        <v>2</v>
      </c>
      <c r="X271" s="794">
        <f t="shared" si="214"/>
        <v>173</v>
      </c>
      <c r="Y271" s="794">
        <v>3</v>
      </c>
      <c r="Z271" s="809" t="str">
        <f t="shared" ca="1" si="222"/>
        <v>-----</v>
      </c>
      <c r="AA271" s="810">
        <f t="shared" ca="1" si="223"/>
        <v>106</v>
      </c>
      <c r="AB271" s="804"/>
      <c r="AC271" s="811" t="str">
        <f t="shared" ca="1" si="224"/>
        <v>-----</v>
      </c>
      <c r="AD271" s="798"/>
      <c r="AE271" s="794" t="str">
        <f t="shared" ca="1" si="225"/>
        <v>-</v>
      </c>
      <c r="AF271" s="798">
        <f t="shared" si="226"/>
        <v>43063</v>
      </c>
      <c r="AG271" s="812">
        <f t="shared" ca="1" si="227"/>
        <v>71</v>
      </c>
      <c r="AH271" s="807">
        <v>42951</v>
      </c>
      <c r="AI271" s="807" t="str">
        <f t="shared" si="228"/>
        <v>-</v>
      </c>
      <c r="AJ271" s="807" t="str">
        <f t="shared" si="229"/>
        <v>-</v>
      </c>
      <c r="AK271" s="813"/>
      <c r="AL271" s="807" t="str">
        <f t="shared" si="230"/>
        <v>-</v>
      </c>
      <c r="AM271" s="807" t="str">
        <f t="shared" si="231"/>
        <v>-</v>
      </c>
      <c r="AN271" s="814" t="str">
        <f t="shared" ca="1" si="232"/>
        <v>-</v>
      </c>
      <c r="AO271" s="815">
        <v>1</v>
      </c>
      <c r="AP271" s="816" t="str">
        <f t="shared" ca="1" si="233"/>
        <v>-</v>
      </c>
      <c r="AQ271" s="817"/>
      <c r="AR271" s="794" t="str">
        <f t="shared" si="234"/>
        <v>-</v>
      </c>
      <c r="AS271" s="818"/>
      <c r="AT271" s="794" t="str">
        <f t="shared" si="235"/>
        <v>-</v>
      </c>
      <c r="AU271" s="819"/>
      <c r="AV271" s="820"/>
      <c r="AW271" s="821"/>
      <c r="AX271" s="821"/>
      <c r="AY271" s="969" t="str">
        <f t="shared" si="236"/>
        <v>-</v>
      </c>
      <c r="AZ271" s="966" t="str">
        <f t="shared" si="237"/>
        <v>-</v>
      </c>
      <c r="BA271" s="971" t="str">
        <f t="shared" si="238"/>
        <v>-</v>
      </c>
      <c r="BB271" s="975"/>
      <c r="BC271" s="821"/>
      <c r="BD271" s="821"/>
      <c r="BE271" s="963" t="str">
        <f t="shared" si="239"/>
        <v>-</v>
      </c>
      <c r="BF271" s="984"/>
      <c r="BG271" s="988"/>
      <c r="BH271" s="982"/>
      <c r="BI271" s="991"/>
      <c r="BJ271" s="991"/>
      <c r="BK271" s="993" t="str">
        <f t="shared" si="240"/>
        <v>-</v>
      </c>
      <c r="BL271" s="820">
        <v>42980</v>
      </c>
      <c r="BM271" s="821">
        <v>5</v>
      </c>
      <c r="BN271" s="822">
        <f t="shared" ca="1" si="241"/>
        <v>154</v>
      </c>
      <c r="BO271" s="823">
        <f t="shared" si="242"/>
        <v>111.63333333333334</v>
      </c>
      <c r="BP271" s="824"/>
      <c r="BQ271" s="821"/>
      <c r="BR271" s="822" t="str">
        <f t="shared" si="243"/>
        <v>-</v>
      </c>
      <c r="BS271" s="823" t="str">
        <f t="shared" si="244"/>
        <v>-</v>
      </c>
      <c r="BT271" s="825" t="str">
        <f t="shared" ca="1" si="245"/>
        <v>-</v>
      </c>
      <c r="BU271" s="826"/>
      <c r="BV271" s="827"/>
      <c r="BW271" s="828" t="str">
        <f t="shared" si="246"/>
        <v>Ж-Е НЕ ВАКЦ.</v>
      </c>
      <c r="BX271" s="829" t="str">
        <f t="shared" si="247"/>
        <v>-</v>
      </c>
      <c r="BY271" s="830" t="str">
        <f t="shared" ca="1" si="248"/>
        <v>-</v>
      </c>
      <c r="BZ271" s="831">
        <v>42887</v>
      </c>
      <c r="CA271" s="832">
        <v>5</v>
      </c>
      <c r="CB271" s="833">
        <f t="shared" ca="1" si="249"/>
        <v>247</v>
      </c>
      <c r="CC271" s="834" t="str">
        <f t="shared" ca="1" si="250"/>
        <v>-</v>
      </c>
      <c r="CD271" s="835">
        <f t="shared" si="251"/>
        <v>42908</v>
      </c>
      <c r="CE271" s="831">
        <v>42908</v>
      </c>
      <c r="CF271" s="832">
        <v>5</v>
      </c>
      <c r="CG271" s="833">
        <f t="shared" ca="1" si="252"/>
        <v>226</v>
      </c>
      <c r="CH271" s="836">
        <f t="shared" si="253"/>
        <v>0</v>
      </c>
      <c r="CI271" s="837" t="str">
        <f t="shared" si="254"/>
        <v>УСПЕШНО</v>
      </c>
      <c r="CJ271" s="838" t="str">
        <f t="shared" ca="1" si="255"/>
        <v>-</v>
      </c>
      <c r="CK271" s="831"/>
      <c r="CL271" s="832"/>
      <c r="CM271" s="833" t="str">
        <f t="shared" si="256"/>
        <v>-</v>
      </c>
      <c r="CN271" s="834" t="str">
        <f t="shared" si="257"/>
        <v>-</v>
      </c>
      <c r="CO271" s="830" t="str">
        <f t="shared" ca="1" si="258"/>
        <v>-</v>
      </c>
      <c r="CP271" s="839"/>
      <c r="CQ271" s="832"/>
      <c r="CR271" s="833" t="str">
        <f t="shared" si="259"/>
        <v>-</v>
      </c>
      <c r="CS271" s="833" t="str">
        <f t="shared" si="260"/>
        <v>-</v>
      </c>
      <c r="CT271" s="834" t="str">
        <f t="shared" si="261"/>
        <v>-</v>
      </c>
      <c r="CU271" s="835" t="str">
        <f t="shared" si="262"/>
        <v>-</v>
      </c>
      <c r="CV271" s="839"/>
      <c r="CW271" s="832"/>
      <c r="CX271" s="833" t="str">
        <f t="shared" si="263"/>
        <v>-</v>
      </c>
      <c r="CY271" s="840" t="str">
        <f t="shared" si="264"/>
        <v>-</v>
      </c>
      <c r="CZ271" s="833" t="str">
        <f t="shared" si="265"/>
        <v>-</v>
      </c>
      <c r="DA271" s="838" t="str">
        <f t="shared" ca="1" si="266"/>
        <v>-</v>
      </c>
      <c r="DB271" s="841"/>
      <c r="DC271" s="832"/>
    </row>
    <row r="272" spans="1:107" s="842" customFormat="1" ht="15.95" customHeight="1" x14ac:dyDescent="0.25">
      <c r="A272" s="790">
        <v>273</v>
      </c>
      <c r="B272" s="791">
        <f t="shared" ca="1" si="215"/>
        <v>43134</v>
      </c>
      <c r="C272" s="792" t="s">
        <v>613</v>
      </c>
      <c r="D272" s="793" t="s">
        <v>3203</v>
      </c>
      <c r="E272" s="794" t="s">
        <v>377</v>
      </c>
      <c r="F272" s="795" t="s">
        <v>378</v>
      </c>
      <c r="G272" s="796">
        <f>SUMIFS(МОЛОКО!L8:L6958,МОЛОКО!F8:F6958,"844",МОЛОКО!L8:L6958,"&gt;0")</f>
        <v>18</v>
      </c>
      <c r="H272" s="797" t="s">
        <v>603</v>
      </c>
      <c r="I272" s="798">
        <v>40181</v>
      </c>
      <c r="J272" s="799">
        <f t="shared" ca="1" si="216"/>
        <v>8.0904109589041102</v>
      </c>
      <c r="K272" s="799">
        <f t="shared" ca="1" si="217"/>
        <v>98.433333333333337</v>
      </c>
      <c r="L272" s="800">
        <f t="shared" ca="1" si="218"/>
        <v>2953</v>
      </c>
      <c r="M272" s="801">
        <v>41230</v>
      </c>
      <c r="N272" s="802">
        <v>42677</v>
      </c>
      <c r="O272" s="803">
        <f t="shared" ca="1" si="219"/>
        <v>457</v>
      </c>
      <c r="P272" s="804">
        <v>4</v>
      </c>
      <c r="Q272" s="68" t="s">
        <v>2366</v>
      </c>
      <c r="R272" s="118" t="s">
        <v>2962</v>
      </c>
      <c r="S272" s="807">
        <v>42741</v>
      </c>
      <c r="T272" s="798">
        <v>43042</v>
      </c>
      <c r="U272" s="798">
        <f t="shared" si="220"/>
        <v>43060</v>
      </c>
      <c r="V272" s="804">
        <f t="shared" ca="1" si="221"/>
        <v>74</v>
      </c>
      <c r="W272" s="808">
        <v>8</v>
      </c>
      <c r="X272" s="794">
        <f t="shared" si="214"/>
        <v>365</v>
      </c>
      <c r="Y272" s="794">
        <v>3</v>
      </c>
      <c r="Z272" s="809" t="str">
        <f t="shared" ca="1" si="222"/>
        <v>-----</v>
      </c>
      <c r="AA272" s="810">
        <f t="shared" ca="1" si="223"/>
        <v>92</v>
      </c>
      <c r="AB272" s="804">
        <v>0</v>
      </c>
      <c r="AC272" s="811" t="str">
        <f t="shared" ca="1" si="224"/>
        <v>-----</v>
      </c>
      <c r="AD272" s="798"/>
      <c r="AE272" s="794" t="str">
        <f t="shared" ca="1" si="225"/>
        <v>-</v>
      </c>
      <c r="AF272" s="798">
        <f t="shared" si="226"/>
        <v>43077</v>
      </c>
      <c r="AG272" s="812">
        <f t="shared" ca="1" si="227"/>
        <v>57</v>
      </c>
      <c r="AH272" s="807">
        <v>43028</v>
      </c>
      <c r="AI272" s="807" t="str">
        <f t="shared" si="228"/>
        <v>-</v>
      </c>
      <c r="AJ272" s="807" t="str">
        <f t="shared" si="229"/>
        <v>-</v>
      </c>
      <c r="AK272" s="813"/>
      <c r="AL272" s="807" t="str">
        <f t="shared" si="230"/>
        <v>-</v>
      </c>
      <c r="AM272" s="807" t="str">
        <f t="shared" si="231"/>
        <v>-</v>
      </c>
      <c r="AN272" s="814" t="str">
        <f t="shared" ca="1" si="232"/>
        <v>-</v>
      </c>
      <c r="AO272" s="815">
        <v>1</v>
      </c>
      <c r="AP272" s="816" t="str">
        <f t="shared" ca="1" si="233"/>
        <v>-</v>
      </c>
      <c r="AQ272" s="817"/>
      <c r="AR272" s="794" t="str">
        <f t="shared" si="234"/>
        <v>-</v>
      </c>
      <c r="AS272" s="818"/>
      <c r="AT272" s="794" t="str">
        <f t="shared" si="235"/>
        <v>-</v>
      </c>
      <c r="AU272" s="819"/>
      <c r="AV272" s="820"/>
      <c r="AW272" s="821"/>
      <c r="AX272" s="821"/>
      <c r="AY272" s="969" t="str">
        <f t="shared" si="236"/>
        <v>-</v>
      </c>
      <c r="AZ272" s="966" t="str">
        <f t="shared" si="237"/>
        <v>-</v>
      </c>
      <c r="BA272" s="971" t="str">
        <f t="shared" si="238"/>
        <v>-</v>
      </c>
      <c r="BB272" s="975"/>
      <c r="BC272" s="821"/>
      <c r="BD272" s="821"/>
      <c r="BE272" s="963" t="str">
        <f t="shared" si="239"/>
        <v>-</v>
      </c>
      <c r="BF272" s="984"/>
      <c r="BG272" s="988"/>
      <c r="BH272" s="982"/>
      <c r="BI272" s="991"/>
      <c r="BJ272" s="991"/>
      <c r="BK272" s="993" t="str">
        <f t="shared" si="240"/>
        <v>-</v>
      </c>
      <c r="BL272" s="820">
        <v>42980</v>
      </c>
      <c r="BM272" s="821">
        <v>5</v>
      </c>
      <c r="BN272" s="822">
        <f t="shared" ca="1" si="241"/>
        <v>154</v>
      </c>
      <c r="BO272" s="823">
        <f t="shared" si="242"/>
        <v>93.3</v>
      </c>
      <c r="BP272" s="824"/>
      <c r="BQ272" s="821"/>
      <c r="BR272" s="822" t="str">
        <f t="shared" si="243"/>
        <v>-</v>
      </c>
      <c r="BS272" s="823" t="str">
        <f t="shared" si="244"/>
        <v>-</v>
      </c>
      <c r="BT272" s="825" t="str">
        <f t="shared" ca="1" si="245"/>
        <v>-</v>
      </c>
      <c r="BU272" s="826"/>
      <c r="BV272" s="827"/>
      <c r="BW272" s="828" t="str">
        <f t="shared" si="246"/>
        <v>Ж-Е НЕ ВАКЦ.</v>
      </c>
      <c r="BX272" s="829" t="str">
        <f t="shared" si="247"/>
        <v>-</v>
      </c>
      <c r="BY272" s="830" t="str">
        <f t="shared" ca="1" si="248"/>
        <v>-</v>
      </c>
      <c r="BZ272" s="831">
        <v>42887</v>
      </c>
      <c r="CA272" s="832">
        <v>5</v>
      </c>
      <c r="CB272" s="833">
        <f t="shared" ca="1" si="249"/>
        <v>247</v>
      </c>
      <c r="CC272" s="834" t="str">
        <f t="shared" ca="1" si="250"/>
        <v>-</v>
      </c>
      <c r="CD272" s="835">
        <f t="shared" si="251"/>
        <v>42908</v>
      </c>
      <c r="CE272" s="831">
        <v>42908</v>
      </c>
      <c r="CF272" s="832">
        <v>5</v>
      </c>
      <c r="CG272" s="833">
        <f t="shared" ca="1" si="252"/>
        <v>226</v>
      </c>
      <c r="CH272" s="836">
        <f t="shared" si="253"/>
        <v>0</v>
      </c>
      <c r="CI272" s="837" t="str">
        <f t="shared" si="254"/>
        <v>УСПЕШНО</v>
      </c>
      <c r="CJ272" s="838" t="str">
        <f t="shared" ca="1" si="255"/>
        <v>-</v>
      </c>
      <c r="CK272" s="831"/>
      <c r="CL272" s="832"/>
      <c r="CM272" s="833" t="str">
        <f t="shared" si="256"/>
        <v>-</v>
      </c>
      <c r="CN272" s="834" t="str">
        <f t="shared" si="257"/>
        <v>-</v>
      </c>
      <c r="CO272" s="830" t="str">
        <f t="shared" ca="1" si="258"/>
        <v>-</v>
      </c>
      <c r="CP272" s="839"/>
      <c r="CQ272" s="832"/>
      <c r="CR272" s="833" t="str">
        <f t="shared" si="259"/>
        <v>-</v>
      </c>
      <c r="CS272" s="833" t="str">
        <f t="shared" si="260"/>
        <v>-</v>
      </c>
      <c r="CT272" s="834" t="str">
        <f t="shared" si="261"/>
        <v>-</v>
      </c>
      <c r="CU272" s="835" t="str">
        <f t="shared" si="262"/>
        <v>-</v>
      </c>
      <c r="CV272" s="839"/>
      <c r="CW272" s="832"/>
      <c r="CX272" s="833" t="str">
        <f t="shared" si="263"/>
        <v>-</v>
      </c>
      <c r="CY272" s="840" t="str">
        <f t="shared" si="264"/>
        <v>-</v>
      </c>
      <c r="CZ272" s="833" t="str">
        <f t="shared" si="265"/>
        <v>-</v>
      </c>
      <c r="DA272" s="838" t="str">
        <f t="shared" ca="1" si="266"/>
        <v>-</v>
      </c>
      <c r="DB272" s="841"/>
      <c r="DC272" s="832"/>
    </row>
    <row r="273" spans="1:107" s="842" customFormat="1" ht="15.95" customHeight="1" x14ac:dyDescent="0.25">
      <c r="A273" s="790">
        <v>274</v>
      </c>
      <c r="B273" s="791">
        <f t="shared" ca="1" si="215"/>
        <v>43134</v>
      </c>
      <c r="C273" s="29" t="s">
        <v>613</v>
      </c>
      <c r="D273" s="59" t="s">
        <v>3203</v>
      </c>
      <c r="E273" s="794" t="s">
        <v>264</v>
      </c>
      <c r="F273" s="795" t="s">
        <v>318</v>
      </c>
      <c r="G273" s="796">
        <f>SUMIFS(МОЛОКО!L8:L6958,МОЛОКО!F8:F6958,"1057",МОЛОКО!L8:L6958,"&gt;0")</f>
        <v>16.2</v>
      </c>
      <c r="H273" s="797" t="s">
        <v>603</v>
      </c>
      <c r="I273" s="798">
        <v>40415</v>
      </c>
      <c r="J273" s="799">
        <f t="shared" ca="1" si="216"/>
        <v>7.4493150684931511</v>
      </c>
      <c r="K273" s="799">
        <f t="shared" ca="1" si="217"/>
        <v>90.63333333333334</v>
      </c>
      <c r="L273" s="800">
        <f t="shared" ca="1" si="218"/>
        <v>2719</v>
      </c>
      <c r="M273" s="801">
        <v>41285</v>
      </c>
      <c r="N273" s="802">
        <v>42750</v>
      </c>
      <c r="O273" s="803">
        <f t="shared" ca="1" si="219"/>
        <v>384</v>
      </c>
      <c r="P273" s="804">
        <v>4</v>
      </c>
      <c r="Q273" s="805" t="s">
        <v>1451</v>
      </c>
      <c r="R273" s="806" t="s">
        <v>3020</v>
      </c>
      <c r="S273" s="807">
        <v>42810</v>
      </c>
      <c r="T273" s="798">
        <v>43022</v>
      </c>
      <c r="U273" s="798" t="str">
        <f t="shared" si="220"/>
        <v>-</v>
      </c>
      <c r="V273" s="804" t="str">
        <f t="shared" ca="1" si="221"/>
        <v>-</v>
      </c>
      <c r="W273" s="808">
        <v>4</v>
      </c>
      <c r="X273" s="794">
        <f t="shared" si="214"/>
        <v>272</v>
      </c>
      <c r="Y273" s="794">
        <v>1</v>
      </c>
      <c r="Z273" s="809" t="str">
        <f t="shared" ca="1" si="222"/>
        <v>-----</v>
      </c>
      <c r="AA273" s="810">
        <f t="shared" ca="1" si="223"/>
        <v>112</v>
      </c>
      <c r="AB273" s="804">
        <v>0</v>
      </c>
      <c r="AC273" s="811" t="str">
        <f t="shared" ca="1" si="224"/>
        <v>-----</v>
      </c>
      <c r="AD273" s="798">
        <v>42912</v>
      </c>
      <c r="AE273" s="794" t="str">
        <f t="shared" ca="1" si="225"/>
        <v>-</v>
      </c>
      <c r="AF273" s="798" t="str">
        <f t="shared" si="226"/>
        <v>-</v>
      </c>
      <c r="AG273" s="812" t="str">
        <f t="shared" si="227"/>
        <v>---------</v>
      </c>
      <c r="AH273" s="807">
        <v>43052</v>
      </c>
      <c r="AI273" s="807">
        <f t="shared" si="228"/>
        <v>43212</v>
      </c>
      <c r="AJ273" s="807">
        <f t="shared" si="229"/>
        <v>43242</v>
      </c>
      <c r="AK273" s="813"/>
      <c r="AL273" s="807">
        <f t="shared" si="230"/>
        <v>43281</v>
      </c>
      <c r="AM273" s="807">
        <f t="shared" si="231"/>
        <v>43302</v>
      </c>
      <c r="AN273" s="814">
        <f t="shared" ca="1" si="232"/>
        <v>-168</v>
      </c>
      <c r="AO273" s="815">
        <v>1</v>
      </c>
      <c r="AP273" s="816" t="str">
        <f t="shared" ca="1" si="233"/>
        <v>-</v>
      </c>
      <c r="AQ273" s="817"/>
      <c r="AR273" s="794" t="str">
        <f t="shared" si="234"/>
        <v>-</v>
      </c>
      <c r="AS273" s="818"/>
      <c r="AT273" s="794" t="str">
        <f t="shared" si="235"/>
        <v>-</v>
      </c>
      <c r="AU273" s="819"/>
      <c r="AV273" s="820"/>
      <c r="AW273" s="821"/>
      <c r="AX273" s="821"/>
      <c r="AY273" s="969" t="str">
        <f t="shared" si="236"/>
        <v>-</v>
      </c>
      <c r="AZ273" s="966" t="str">
        <f t="shared" si="237"/>
        <v>-</v>
      </c>
      <c r="BA273" s="971" t="str">
        <f t="shared" si="238"/>
        <v>-</v>
      </c>
      <c r="BB273" s="975"/>
      <c r="BC273" s="821"/>
      <c r="BD273" s="821"/>
      <c r="BE273" s="963" t="str">
        <f t="shared" si="239"/>
        <v>-</v>
      </c>
      <c r="BF273" s="984">
        <v>43033</v>
      </c>
      <c r="BG273" s="988" t="s">
        <v>3353</v>
      </c>
      <c r="BH273" s="986" t="s">
        <v>3354</v>
      </c>
      <c r="BI273" s="991">
        <v>5</v>
      </c>
      <c r="BJ273" s="991" t="s">
        <v>3356</v>
      </c>
      <c r="BK273" s="993">
        <f t="shared" ca="1" si="240"/>
        <v>101</v>
      </c>
      <c r="BL273" s="820">
        <v>42980</v>
      </c>
      <c r="BM273" s="821">
        <v>5</v>
      </c>
      <c r="BN273" s="822">
        <f t="shared" ca="1" si="241"/>
        <v>154</v>
      </c>
      <c r="BO273" s="823">
        <f t="shared" si="242"/>
        <v>85.5</v>
      </c>
      <c r="BP273" s="824"/>
      <c r="BQ273" s="821"/>
      <c r="BR273" s="822" t="str">
        <f t="shared" si="243"/>
        <v>-</v>
      </c>
      <c r="BS273" s="823" t="str">
        <f t="shared" si="244"/>
        <v>-</v>
      </c>
      <c r="BT273" s="825" t="str">
        <f t="shared" ca="1" si="245"/>
        <v>-</v>
      </c>
      <c r="BU273" s="826"/>
      <c r="BV273" s="827"/>
      <c r="BW273" s="828" t="str">
        <f t="shared" si="246"/>
        <v>Ж-Е НЕ ВАКЦ.</v>
      </c>
      <c r="BX273" s="829" t="str">
        <f t="shared" si="247"/>
        <v>-</v>
      </c>
      <c r="BY273" s="830" t="str">
        <f t="shared" ca="1" si="248"/>
        <v>-</v>
      </c>
      <c r="BZ273" s="831">
        <v>42887</v>
      </c>
      <c r="CA273" s="832">
        <v>5</v>
      </c>
      <c r="CB273" s="833">
        <f t="shared" ca="1" si="249"/>
        <v>247</v>
      </c>
      <c r="CC273" s="834" t="str">
        <f t="shared" ca="1" si="250"/>
        <v>-</v>
      </c>
      <c r="CD273" s="835">
        <f t="shared" si="251"/>
        <v>42908</v>
      </c>
      <c r="CE273" s="831">
        <v>42908</v>
      </c>
      <c r="CF273" s="832">
        <v>5</v>
      </c>
      <c r="CG273" s="833">
        <f t="shared" ca="1" si="252"/>
        <v>226</v>
      </c>
      <c r="CH273" s="836">
        <f t="shared" si="253"/>
        <v>0</v>
      </c>
      <c r="CI273" s="837" t="str">
        <f t="shared" si="254"/>
        <v>УСПЕШНО</v>
      </c>
      <c r="CJ273" s="838" t="str">
        <f t="shared" ca="1" si="255"/>
        <v>-</v>
      </c>
      <c r="CK273" s="831"/>
      <c r="CL273" s="832"/>
      <c r="CM273" s="833" t="str">
        <f t="shared" si="256"/>
        <v>-</v>
      </c>
      <c r="CN273" s="834" t="str">
        <f t="shared" si="257"/>
        <v>-</v>
      </c>
      <c r="CO273" s="830" t="str">
        <f t="shared" ca="1" si="258"/>
        <v>-</v>
      </c>
      <c r="CP273" s="839"/>
      <c r="CQ273" s="832"/>
      <c r="CR273" s="833" t="str">
        <f t="shared" si="259"/>
        <v>-</v>
      </c>
      <c r="CS273" s="833" t="str">
        <f t="shared" si="260"/>
        <v>-</v>
      </c>
      <c r="CT273" s="834" t="str">
        <f t="shared" si="261"/>
        <v>-</v>
      </c>
      <c r="CU273" s="835" t="str">
        <f t="shared" si="262"/>
        <v>-</v>
      </c>
      <c r="CV273" s="839"/>
      <c r="CW273" s="832"/>
      <c r="CX273" s="833" t="str">
        <f t="shared" si="263"/>
        <v>-</v>
      </c>
      <c r="CY273" s="840" t="str">
        <f t="shared" si="264"/>
        <v>-</v>
      </c>
      <c r="CZ273" s="833" t="str">
        <f t="shared" si="265"/>
        <v>-</v>
      </c>
      <c r="DA273" s="838" t="str">
        <f t="shared" ca="1" si="266"/>
        <v>-</v>
      </c>
      <c r="DB273" s="841"/>
      <c r="DC273" s="832"/>
    </row>
    <row r="274" spans="1:107" s="842" customFormat="1" ht="15.95" customHeight="1" x14ac:dyDescent="0.25">
      <c r="A274" s="790">
        <v>275</v>
      </c>
      <c r="B274" s="791">
        <f t="shared" ca="1" si="215"/>
        <v>43134</v>
      </c>
      <c r="C274" s="792" t="s">
        <v>613</v>
      </c>
      <c r="D274" s="793" t="s">
        <v>3203</v>
      </c>
      <c r="E274" s="794" t="s">
        <v>512</v>
      </c>
      <c r="F274" s="795" t="s">
        <v>513</v>
      </c>
      <c r="G274" s="796">
        <f>SUMIFS(МОЛОКО!L8:L6958,МОЛОКО!F8:F6958,"1270",МОЛОКО!L8:L6958,"&gt;0")</f>
        <v>22</v>
      </c>
      <c r="H274" s="797" t="s">
        <v>603</v>
      </c>
      <c r="I274" s="798">
        <v>40651</v>
      </c>
      <c r="J274" s="799">
        <f t="shared" ca="1" si="216"/>
        <v>6.8027397260273972</v>
      </c>
      <c r="K274" s="799">
        <f t="shared" ca="1" si="217"/>
        <v>82.766666666666666</v>
      </c>
      <c r="L274" s="800">
        <f t="shared" ca="1" si="218"/>
        <v>2483</v>
      </c>
      <c r="M274" s="801">
        <v>41605</v>
      </c>
      <c r="N274" s="802">
        <v>42865</v>
      </c>
      <c r="O274" s="803">
        <f t="shared" ca="1" si="219"/>
        <v>269</v>
      </c>
      <c r="P274" s="804">
        <v>4</v>
      </c>
      <c r="Q274" s="805" t="s">
        <v>2366</v>
      </c>
      <c r="R274" s="806" t="s">
        <v>2269</v>
      </c>
      <c r="S274" s="807">
        <v>42929</v>
      </c>
      <c r="T274" s="798">
        <v>42929</v>
      </c>
      <c r="U274" s="798" t="str">
        <f t="shared" si="220"/>
        <v>-</v>
      </c>
      <c r="V274" s="804" t="str">
        <f t="shared" ca="1" si="221"/>
        <v>-</v>
      </c>
      <c r="W274" s="808">
        <v>1</v>
      </c>
      <c r="X274" s="794">
        <f t="shared" si="214"/>
        <v>64</v>
      </c>
      <c r="Y274" s="794">
        <v>1</v>
      </c>
      <c r="Z274" s="809" t="str">
        <f t="shared" ca="1" si="222"/>
        <v>-----</v>
      </c>
      <c r="AA274" s="810" t="str">
        <f t="shared" ca="1" si="223"/>
        <v>-----</v>
      </c>
      <c r="AB274" s="804">
        <v>1</v>
      </c>
      <c r="AC274" s="811" t="str">
        <f t="shared" ca="1" si="224"/>
        <v>-----</v>
      </c>
      <c r="AD274" s="798">
        <v>43043</v>
      </c>
      <c r="AE274" s="794" t="str">
        <f t="shared" ca="1" si="225"/>
        <v>-</v>
      </c>
      <c r="AF274" s="798" t="str">
        <f t="shared" si="226"/>
        <v>-</v>
      </c>
      <c r="AG274" s="812" t="str">
        <f t="shared" si="227"/>
        <v>---------</v>
      </c>
      <c r="AH274" s="807">
        <v>42961</v>
      </c>
      <c r="AI274" s="807">
        <f t="shared" si="228"/>
        <v>43119</v>
      </c>
      <c r="AJ274" s="807">
        <f t="shared" si="229"/>
        <v>43149</v>
      </c>
      <c r="AK274" s="813"/>
      <c r="AL274" s="807">
        <f t="shared" si="230"/>
        <v>43188</v>
      </c>
      <c r="AM274" s="807">
        <f t="shared" si="231"/>
        <v>43209</v>
      </c>
      <c r="AN274" s="814">
        <f t="shared" ca="1" si="232"/>
        <v>-75</v>
      </c>
      <c r="AO274" s="815">
        <v>1</v>
      </c>
      <c r="AP274" s="816" t="str">
        <f t="shared" ca="1" si="233"/>
        <v>-</v>
      </c>
      <c r="AQ274" s="817"/>
      <c r="AR274" s="794" t="str">
        <f t="shared" si="234"/>
        <v>-</v>
      </c>
      <c r="AS274" s="818"/>
      <c r="AT274" s="794" t="str">
        <f t="shared" si="235"/>
        <v>-</v>
      </c>
      <c r="AU274" s="819"/>
      <c r="AV274" s="820"/>
      <c r="AW274" s="821"/>
      <c r="AX274" s="821"/>
      <c r="AY274" s="969" t="str">
        <f t="shared" si="236"/>
        <v>-</v>
      </c>
      <c r="AZ274" s="966" t="str">
        <f t="shared" si="237"/>
        <v>-</v>
      </c>
      <c r="BA274" s="971" t="str">
        <f t="shared" si="238"/>
        <v>-</v>
      </c>
      <c r="BB274" s="975"/>
      <c r="BC274" s="821"/>
      <c r="BD274" s="821"/>
      <c r="BE274" s="963" t="str">
        <f t="shared" si="239"/>
        <v>-</v>
      </c>
      <c r="BF274" s="984"/>
      <c r="BG274" s="988"/>
      <c r="BH274" s="982"/>
      <c r="BI274" s="991"/>
      <c r="BJ274" s="991"/>
      <c r="BK274" s="993" t="str">
        <f t="shared" si="240"/>
        <v>-</v>
      </c>
      <c r="BL274" s="820">
        <v>42980</v>
      </c>
      <c r="BM274" s="821">
        <v>5</v>
      </c>
      <c r="BN274" s="822">
        <f t="shared" ca="1" si="241"/>
        <v>154</v>
      </c>
      <c r="BO274" s="823">
        <f t="shared" si="242"/>
        <v>77.63333333333334</v>
      </c>
      <c r="BP274" s="824"/>
      <c r="BQ274" s="821"/>
      <c r="BR274" s="822" t="str">
        <f t="shared" si="243"/>
        <v>-</v>
      </c>
      <c r="BS274" s="823" t="str">
        <f t="shared" si="244"/>
        <v>-</v>
      </c>
      <c r="BT274" s="825" t="str">
        <f t="shared" ca="1" si="245"/>
        <v>-</v>
      </c>
      <c r="BU274" s="826"/>
      <c r="BV274" s="827"/>
      <c r="BW274" s="828" t="str">
        <f t="shared" si="246"/>
        <v>Ж-Е НЕ ВАКЦ.</v>
      </c>
      <c r="BX274" s="829" t="str">
        <f t="shared" si="247"/>
        <v>-</v>
      </c>
      <c r="BY274" s="830" t="str">
        <f t="shared" ca="1" si="248"/>
        <v>-</v>
      </c>
      <c r="BZ274" s="831">
        <v>42888</v>
      </c>
      <c r="CA274" s="832">
        <v>5</v>
      </c>
      <c r="CB274" s="833">
        <f t="shared" ca="1" si="249"/>
        <v>246</v>
      </c>
      <c r="CC274" s="834" t="str">
        <f t="shared" ca="1" si="250"/>
        <v>-</v>
      </c>
      <c r="CD274" s="835">
        <f t="shared" si="251"/>
        <v>42909</v>
      </c>
      <c r="CE274" s="831">
        <v>42909</v>
      </c>
      <c r="CF274" s="832">
        <v>5</v>
      </c>
      <c r="CG274" s="833">
        <f t="shared" ca="1" si="252"/>
        <v>225</v>
      </c>
      <c r="CH274" s="836">
        <f t="shared" si="253"/>
        <v>0</v>
      </c>
      <c r="CI274" s="837" t="str">
        <f t="shared" si="254"/>
        <v>УСПЕШНО</v>
      </c>
      <c r="CJ274" s="838" t="str">
        <f t="shared" ca="1" si="255"/>
        <v>-</v>
      </c>
      <c r="CK274" s="831"/>
      <c r="CL274" s="832"/>
      <c r="CM274" s="833" t="str">
        <f t="shared" si="256"/>
        <v>-</v>
      </c>
      <c r="CN274" s="834" t="str">
        <f t="shared" si="257"/>
        <v>-</v>
      </c>
      <c r="CO274" s="830" t="str">
        <f t="shared" ca="1" si="258"/>
        <v>-</v>
      </c>
      <c r="CP274" s="839"/>
      <c r="CQ274" s="832"/>
      <c r="CR274" s="833" t="str">
        <f t="shared" si="259"/>
        <v>-</v>
      </c>
      <c r="CS274" s="833" t="str">
        <f t="shared" si="260"/>
        <v>-</v>
      </c>
      <c r="CT274" s="834" t="str">
        <f t="shared" si="261"/>
        <v>-</v>
      </c>
      <c r="CU274" s="835" t="str">
        <f t="shared" si="262"/>
        <v>-</v>
      </c>
      <c r="CV274" s="839"/>
      <c r="CW274" s="832"/>
      <c r="CX274" s="833" t="str">
        <f t="shared" si="263"/>
        <v>-</v>
      </c>
      <c r="CY274" s="840" t="str">
        <f t="shared" si="264"/>
        <v>-</v>
      </c>
      <c r="CZ274" s="833" t="str">
        <f t="shared" si="265"/>
        <v>-</v>
      </c>
      <c r="DA274" s="838" t="str">
        <f t="shared" ca="1" si="266"/>
        <v>-</v>
      </c>
      <c r="DB274" s="841"/>
      <c r="DC274" s="832"/>
    </row>
    <row r="275" spans="1:107" s="842" customFormat="1" ht="15.95" customHeight="1" x14ac:dyDescent="0.25">
      <c r="A275" s="790">
        <v>276</v>
      </c>
      <c r="B275" s="791">
        <f t="shared" ca="1" si="215"/>
        <v>43134</v>
      </c>
      <c r="C275" s="792" t="s">
        <v>613</v>
      </c>
      <c r="D275" s="793" t="s">
        <v>3203</v>
      </c>
      <c r="E275" s="794" t="s">
        <v>754</v>
      </c>
      <c r="F275" s="795" t="s">
        <v>1844</v>
      </c>
      <c r="G275" s="796">
        <f>SUMIFS(МОЛОКО!L8:L6958,МОЛОКО!F8:F6958,"1331",МОЛОКО!L8:L6958,"&gt;0")</f>
        <v>9.8000000000000007</v>
      </c>
      <c r="H275" s="797" t="s">
        <v>603</v>
      </c>
      <c r="I275" s="798">
        <v>40725</v>
      </c>
      <c r="J275" s="799">
        <f t="shared" ca="1" si="216"/>
        <v>6.6</v>
      </c>
      <c r="K275" s="799">
        <f t="shared" ca="1" si="217"/>
        <v>80.3</v>
      </c>
      <c r="L275" s="800">
        <f t="shared" ca="1" si="218"/>
        <v>2409</v>
      </c>
      <c r="M275" s="801">
        <v>41612</v>
      </c>
      <c r="N275" s="802">
        <v>42823</v>
      </c>
      <c r="O275" s="803">
        <f t="shared" ca="1" si="219"/>
        <v>311</v>
      </c>
      <c r="P275" s="804">
        <v>4</v>
      </c>
      <c r="Q275" s="805" t="s">
        <v>2366</v>
      </c>
      <c r="R275" s="806" t="s">
        <v>1810</v>
      </c>
      <c r="S275" s="807">
        <v>42880</v>
      </c>
      <c r="T275" s="798">
        <v>42880</v>
      </c>
      <c r="U275" s="798" t="str">
        <f t="shared" si="220"/>
        <v>-</v>
      </c>
      <c r="V275" s="804" t="str">
        <f t="shared" ca="1" si="221"/>
        <v>-</v>
      </c>
      <c r="W275" s="808">
        <v>1</v>
      </c>
      <c r="X275" s="794">
        <f t="shared" si="214"/>
        <v>57</v>
      </c>
      <c r="Y275" s="794">
        <v>1</v>
      </c>
      <c r="Z275" s="809" t="str">
        <f t="shared" ca="1" si="222"/>
        <v>-----</v>
      </c>
      <c r="AA275" s="810" t="str">
        <f t="shared" ca="1" si="223"/>
        <v>-----</v>
      </c>
      <c r="AB275" s="804">
        <v>1</v>
      </c>
      <c r="AC275" s="811" t="str">
        <f t="shared" ca="1" si="224"/>
        <v>-----</v>
      </c>
      <c r="AD275" s="798">
        <v>42955</v>
      </c>
      <c r="AE275" s="794" t="str">
        <f t="shared" ca="1" si="225"/>
        <v>-</v>
      </c>
      <c r="AF275" s="798" t="str">
        <f t="shared" si="226"/>
        <v>-</v>
      </c>
      <c r="AG275" s="812" t="str">
        <f t="shared" si="227"/>
        <v>---------</v>
      </c>
      <c r="AH275" s="807">
        <v>42917</v>
      </c>
      <c r="AI275" s="807">
        <f t="shared" si="228"/>
        <v>43070</v>
      </c>
      <c r="AJ275" s="807">
        <f t="shared" si="229"/>
        <v>43100</v>
      </c>
      <c r="AK275" s="813"/>
      <c r="AL275" s="807">
        <f t="shared" si="230"/>
        <v>43139</v>
      </c>
      <c r="AM275" s="807">
        <f t="shared" si="231"/>
        <v>43160</v>
      </c>
      <c r="AN275" s="814">
        <f t="shared" ca="1" si="232"/>
        <v>-26</v>
      </c>
      <c r="AO275" s="815">
        <v>1</v>
      </c>
      <c r="AP275" s="816" t="str">
        <f t="shared" ca="1" si="233"/>
        <v>-</v>
      </c>
      <c r="AQ275" s="817"/>
      <c r="AR275" s="794" t="str">
        <f t="shared" si="234"/>
        <v>-</v>
      </c>
      <c r="AS275" s="818"/>
      <c r="AT275" s="794" t="str">
        <f t="shared" si="235"/>
        <v>-</v>
      </c>
      <c r="AU275" s="819"/>
      <c r="AV275" s="820"/>
      <c r="AW275" s="821"/>
      <c r="AX275" s="821"/>
      <c r="AY275" s="969" t="str">
        <f t="shared" si="236"/>
        <v>-</v>
      </c>
      <c r="AZ275" s="966" t="str">
        <f t="shared" si="237"/>
        <v>-</v>
      </c>
      <c r="BA275" s="971" t="str">
        <f t="shared" si="238"/>
        <v>-</v>
      </c>
      <c r="BB275" s="975"/>
      <c r="BC275" s="821"/>
      <c r="BD275" s="821"/>
      <c r="BE275" s="963" t="str">
        <f t="shared" si="239"/>
        <v>-</v>
      </c>
      <c r="BF275" s="984"/>
      <c r="BG275" s="988"/>
      <c r="BH275" s="982"/>
      <c r="BI275" s="991"/>
      <c r="BJ275" s="991"/>
      <c r="BK275" s="993" t="str">
        <f t="shared" si="240"/>
        <v>-</v>
      </c>
      <c r="BL275" s="820">
        <v>42981</v>
      </c>
      <c r="BM275" s="821">
        <v>5</v>
      </c>
      <c r="BN275" s="822">
        <f t="shared" ca="1" si="241"/>
        <v>153</v>
      </c>
      <c r="BO275" s="823">
        <f t="shared" si="242"/>
        <v>75.2</v>
      </c>
      <c r="BP275" s="824"/>
      <c r="BQ275" s="821"/>
      <c r="BR275" s="822" t="str">
        <f t="shared" si="243"/>
        <v>-</v>
      </c>
      <c r="BS275" s="823" t="str">
        <f t="shared" si="244"/>
        <v>-</v>
      </c>
      <c r="BT275" s="825" t="str">
        <f t="shared" ca="1" si="245"/>
        <v>-</v>
      </c>
      <c r="BU275" s="826"/>
      <c r="BV275" s="827"/>
      <c r="BW275" s="828" t="str">
        <f t="shared" si="246"/>
        <v>Ж-Е НЕ ВАКЦ.</v>
      </c>
      <c r="BX275" s="829" t="str">
        <f t="shared" si="247"/>
        <v>-</v>
      </c>
      <c r="BY275" s="830" t="str">
        <f t="shared" ca="1" si="248"/>
        <v>-</v>
      </c>
      <c r="BZ275" s="831">
        <v>42887</v>
      </c>
      <c r="CA275" s="832">
        <v>5</v>
      </c>
      <c r="CB275" s="833">
        <f t="shared" ca="1" si="249"/>
        <v>247</v>
      </c>
      <c r="CC275" s="834" t="str">
        <f t="shared" ca="1" si="250"/>
        <v>-</v>
      </c>
      <c r="CD275" s="835">
        <f t="shared" si="251"/>
        <v>42908</v>
      </c>
      <c r="CE275" s="831">
        <v>42908</v>
      </c>
      <c r="CF275" s="832">
        <v>5</v>
      </c>
      <c r="CG275" s="833">
        <f t="shared" ca="1" si="252"/>
        <v>226</v>
      </c>
      <c r="CH275" s="836">
        <f t="shared" si="253"/>
        <v>0</v>
      </c>
      <c r="CI275" s="837" t="str">
        <f t="shared" si="254"/>
        <v>УСПЕШНО</v>
      </c>
      <c r="CJ275" s="838" t="str">
        <f t="shared" ca="1" si="255"/>
        <v>-</v>
      </c>
      <c r="CK275" s="831"/>
      <c r="CL275" s="832"/>
      <c r="CM275" s="833" t="str">
        <f t="shared" si="256"/>
        <v>-</v>
      </c>
      <c r="CN275" s="834" t="str">
        <f t="shared" si="257"/>
        <v>-</v>
      </c>
      <c r="CO275" s="830" t="str">
        <f t="shared" ca="1" si="258"/>
        <v>ТРЕБУЕТСЯ ВАКЦИНАЦИЯ</v>
      </c>
      <c r="CP275" s="839"/>
      <c r="CQ275" s="832"/>
      <c r="CR275" s="833" t="str">
        <f t="shared" si="259"/>
        <v>-</v>
      </c>
      <c r="CS275" s="833" t="str">
        <f t="shared" si="260"/>
        <v>-</v>
      </c>
      <c r="CT275" s="834" t="str">
        <f t="shared" si="261"/>
        <v>-</v>
      </c>
      <c r="CU275" s="835" t="str">
        <f t="shared" si="262"/>
        <v>-</v>
      </c>
      <c r="CV275" s="839"/>
      <c r="CW275" s="832"/>
      <c r="CX275" s="833" t="str">
        <f t="shared" si="263"/>
        <v>-</v>
      </c>
      <c r="CY275" s="840" t="str">
        <f t="shared" si="264"/>
        <v>-</v>
      </c>
      <c r="CZ275" s="833" t="str">
        <f t="shared" si="265"/>
        <v>-</v>
      </c>
      <c r="DA275" s="838" t="str">
        <f t="shared" ca="1" si="266"/>
        <v>-</v>
      </c>
      <c r="DB275" s="841"/>
      <c r="DC275" s="832"/>
    </row>
    <row r="276" spans="1:107" s="842" customFormat="1" ht="15.95" customHeight="1" x14ac:dyDescent="0.25">
      <c r="A276" s="790">
        <v>277</v>
      </c>
      <c r="B276" s="791">
        <f t="shared" ca="1" si="215"/>
        <v>43134</v>
      </c>
      <c r="C276" s="792" t="s">
        <v>613</v>
      </c>
      <c r="D276" s="793" t="s">
        <v>3203</v>
      </c>
      <c r="E276" s="794" t="s">
        <v>146</v>
      </c>
      <c r="F276" s="795" t="s">
        <v>808</v>
      </c>
      <c r="G276" s="796">
        <f>SUMIFS(МОЛОКО!L8:L6958,МОЛОКО!F8:F6958,"1340",МОЛОКО!L8:L6958,"&gt;0")</f>
        <v>14</v>
      </c>
      <c r="H276" s="797" t="s">
        <v>603</v>
      </c>
      <c r="I276" s="798">
        <v>40747</v>
      </c>
      <c r="J276" s="799">
        <f t="shared" ca="1" si="216"/>
        <v>6.5397260273972604</v>
      </c>
      <c r="K276" s="799">
        <f t="shared" ca="1" si="217"/>
        <v>79.566666666666663</v>
      </c>
      <c r="L276" s="800">
        <f t="shared" ca="1" si="218"/>
        <v>2387</v>
      </c>
      <c r="M276" s="801">
        <v>41702</v>
      </c>
      <c r="N276" s="802">
        <v>42532</v>
      </c>
      <c r="O276" s="803">
        <f t="shared" ca="1" si="219"/>
        <v>602</v>
      </c>
      <c r="P276" s="804">
        <v>3</v>
      </c>
      <c r="Q276" s="805" t="s">
        <v>2170</v>
      </c>
      <c r="R276" s="806" t="s">
        <v>1874</v>
      </c>
      <c r="S276" s="807">
        <v>42617</v>
      </c>
      <c r="T276" s="798">
        <v>42684</v>
      </c>
      <c r="U276" s="798" t="str">
        <f t="shared" si="220"/>
        <v>-</v>
      </c>
      <c r="V276" s="804" t="str">
        <f t="shared" ca="1" si="221"/>
        <v>-</v>
      </c>
      <c r="W276" s="808">
        <v>4</v>
      </c>
      <c r="X276" s="794">
        <f t="shared" si="214"/>
        <v>152</v>
      </c>
      <c r="Y276" s="794">
        <v>0</v>
      </c>
      <c r="Z276" s="809" t="str">
        <f t="shared" ca="1" si="222"/>
        <v>-----</v>
      </c>
      <c r="AA276" s="810">
        <f t="shared" ca="1" si="223"/>
        <v>450</v>
      </c>
      <c r="AB276" s="804"/>
      <c r="AC276" s="811" t="str">
        <f t="shared" ca="1" si="224"/>
        <v>-----</v>
      </c>
      <c r="AD276" s="798"/>
      <c r="AE276" s="794" t="str">
        <f t="shared" ca="1" si="225"/>
        <v>яловая</v>
      </c>
      <c r="AF276" s="798" t="str">
        <f t="shared" si="226"/>
        <v>-</v>
      </c>
      <c r="AG276" s="812" t="str">
        <f t="shared" si="227"/>
        <v>---------</v>
      </c>
      <c r="AH276" s="807">
        <v>42726</v>
      </c>
      <c r="AI276" s="807" t="str">
        <f t="shared" si="228"/>
        <v>-</v>
      </c>
      <c r="AJ276" s="807" t="str">
        <f t="shared" si="229"/>
        <v>-</v>
      </c>
      <c r="AK276" s="813"/>
      <c r="AL276" s="807" t="str">
        <f t="shared" si="230"/>
        <v>-</v>
      </c>
      <c r="AM276" s="807" t="str">
        <f t="shared" si="231"/>
        <v>-</v>
      </c>
      <c r="AN276" s="814" t="str">
        <f t="shared" ca="1" si="232"/>
        <v>-</v>
      </c>
      <c r="AO276" s="815">
        <v>1</v>
      </c>
      <c r="AP276" s="816" t="str">
        <f t="shared" ca="1" si="233"/>
        <v>БРАК</v>
      </c>
      <c r="AQ276" s="817" t="s">
        <v>1863</v>
      </c>
      <c r="AR276" s="794" t="str">
        <f t="shared" si="234"/>
        <v>-</v>
      </c>
      <c r="AS276" s="818"/>
      <c r="AT276" s="794" t="str">
        <f t="shared" si="235"/>
        <v>-</v>
      </c>
      <c r="AU276" s="819"/>
      <c r="AV276" s="820"/>
      <c r="AW276" s="821"/>
      <c r="AX276" s="821"/>
      <c r="AY276" s="969" t="str">
        <f t="shared" si="236"/>
        <v>-</v>
      </c>
      <c r="AZ276" s="966" t="str">
        <f t="shared" si="237"/>
        <v>-</v>
      </c>
      <c r="BA276" s="971" t="str">
        <f t="shared" si="238"/>
        <v>-</v>
      </c>
      <c r="BB276" s="975"/>
      <c r="BC276" s="821"/>
      <c r="BD276" s="821"/>
      <c r="BE276" s="963" t="str">
        <f t="shared" si="239"/>
        <v>-</v>
      </c>
      <c r="BF276" s="984"/>
      <c r="BG276" s="988"/>
      <c r="BH276" s="982"/>
      <c r="BI276" s="991"/>
      <c r="BJ276" s="991"/>
      <c r="BK276" s="993" t="str">
        <f t="shared" si="240"/>
        <v>-</v>
      </c>
      <c r="BL276" s="820">
        <v>42981</v>
      </c>
      <c r="BM276" s="821">
        <v>5</v>
      </c>
      <c r="BN276" s="822">
        <f t="shared" ca="1" si="241"/>
        <v>153</v>
      </c>
      <c r="BO276" s="823">
        <f t="shared" si="242"/>
        <v>74.466666666666669</v>
      </c>
      <c r="BP276" s="824"/>
      <c r="BQ276" s="821"/>
      <c r="BR276" s="822" t="str">
        <f t="shared" si="243"/>
        <v>-</v>
      </c>
      <c r="BS276" s="823" t="str">
        <f t="shared" si="244"/>
        <v>-</v>
      </c>
      <c r="BT276" s="825" t="str">
        <f t="shared" ca="1" si="245"/>
        <v>-</v>
      </c>
      <c r="BU276" s="826"/>
      <c r="BV276" s="827"/>
      <c r="BW276" s="828" t="str">
        <f t="shared" si="246"/>
        <v>Ж-Е НЕ ВАКЦ.</v>
      </c>
      <c r="BX276" s="829" t="str">
        <f t="shared" si="247"/>
        <v>-</v>
      </c>
      <c r="BY276" s="830" t="str">
        <f t="shared" ca="1" si="248"/>
        <v>-</v>
      </c>
      <c r="BZ276" s="831">
        <v>42887</v>
      </c>
      <c r="CA276" s="832">
        <v>5</v>
      </c>
      <c r="CB276" s="833">
        <f t="shared" ca="1" si="249"/>
        <v>247</v>
      </c>
      <c r="CC276" s="834" t="str">
        <f t="shared" ca="1" si="250"/>
        <v>-</v>
      </c>
      <c r="CD276" s="835">
        <f t="shared" si="251"/>
        <v>42908</v>
      </c>
      <c r="CE276" s="831">
        <v>42908</v>
      </c>
      <c r="CF276" s="832">
        <v>5</v>
      </c>
      <c r="CG276" s="833">
        <f t="shared" ca="1" si="252"/>
        <v>226</v>
      </c>
      <c r="CH276" s="836">
        <f t="shared" si="253"/>
        <v>0</v>
      </c>
      <c r="CI276" s="837" t="str">
        <f t="shared" si="254"/>
        <v>УСПЕШНО</v>
      </c>
      <c r="CJ276" s="838" t="str">
        <f t="shared" ca="1" si="255"/>
        <v>-</v>
      </c>
      <c r="CK276" s="831"/>
      <c r="CL276" s="832"/>
      <c r="CM276" s="833" t="str">
        <f t="shared" si="256"/>
        <v>-</v>
      </c>
      <c r="CN276" s="834" t="str">
        <f t="shared" si="257"/>
        <v>-</v>
      </c>
      <c r="CO276" s="830" t="str">
        <f t="shared" ca="1" si="258"/>
        <v>-</v>
      </c>
      <c r="CP276" s="839"/>
      <c r="CQ276" s="832"/>
      <c r="CR276" s="833" t="str">
        <f t="shared" si="259"/>
        <v>-</v>
      </c>
      <c r="CS276" s="833" t="str">
        <f t="shared" si="260"/>
        <v>-</v>
      </c>
      <c r="CT276" s="834" t="str">
        <f t="shared" si="261"/>
        <v>-</v>
      </c>
      <c r="CU276" s="835" t="str">
        <f t="shared" si="262"/>
        <v>-</v>
      </c>
      <c r="CV276" s="839"/>
      <c r="CW276" s="832"/>
      <c r="CX276" s="833" t="str">
        <f t="shared" si="263"/>
        <v>-</v>
      </c>
      <c r="CY276" s="840" t="str">
        <f t="shared" si="264"/>
        <v>-</v>
      </c>
      <c r="CZ276" s="833" t="str">
        <f t="shared" si="265"/>
        <v>-</v>
      </c>
      <c r="DA276" s="838" t="str">
        <f t="shared" ca="1" si="266"/>
        <v>-</v>
      </c>
      <c r="DB276" s="841"/>
      <c r="DC276" s="832"/>
    </row>
    <row r="277" spans="1:107" s="842" customFormat="1" ht="15.95" customHeight="1" x14ac:dyDescent="0.25">
      <c r="A277" s="790">
        <v>278</v>
      </c>
      <c r="B277" s="791">
        <f t="shared" ca="1" si="215"/>
        <v>43134</v>
      </c>
      <c r="C277" s="792" t="s">
        <v>613</v>
      </c>
      <c r="D277" s="793" t="s">
        <v>3203</v>
      </c>
      <c r="E277" s="794" t="s">
        <v>358</v>
      </c>
      <c r="F277" s="795" t="s">
        <v>726</v>
      </c>
      <c r="G277" s="796">
        <f>SUMIFS(МОЛОКО!L8:L6958,МОЛОКО!F8:F6958,"1519",МОЛОКО!L8:L6958,"&gt;0")</f>
        <v>14</v>
      </c>
      <c r="H277" s="797" t="s">
        <v>603</v>
      </c>
      <c r="I277" s="798">
        <v>41011</v>
      </c>
      <c r="J277" s="799">
        <f t="shared" ca="1" si="216"/>
        <v>5.816438356164384</v>
      </c>
      <c r="K277" s="799">
        <f t="shared" ca="1" si="217"/>
        <v>70.766666666666666</v>
      </c>
      <c r="L277" s="800">
        <f t="shared" ca="1" si="218"/>
        <v>2123</v>
      </c>
      <c r="M277" s="801">
        <v>41734</v>
      </c>
      <c r="N277" s="802">
        <v>42516</v>
      </c>
      <c r="O277" s="803">
        <f t="shared" ca="1" si="219"/>
        <v>618</v>
      </c>
      <c r="P277" s="804">
        <v>3</v>
      </c>
      <c r="Q277" s="805" t="s">
        <v>2366</v>
      </c>
      <c r="R277" s="806" t="s">
        <v>1875</v>
      </c>
      <c r="S277" s="807">
        <v>42593</v>
      </c>
      <c r="T277" s="798">
        <v>42934</v>
      </c>
      <c r="U277" s="798" t="str">
        <f t="shared" si="220"/>
        <v>-</v>
      </c>
      <c r="V277" s="804" t="str">
        <f t="shared" ca="1" si="221"/>
        <v>-</v>
      </c>
      <c r="W277" s="808">
        <v>7</v>
      </c>
      <c r="X277" s="794">
        <f t="shared" si="214"/>
        <v>418</v>
      </c>
      <c r="Y277" s="794">
        <v>0</v>
      </c>
      <c r="Z277" s="809" t="str">
        <f t="shared" ca="1" si="222"/>
        <v>-----</v>
      </c>
      <c r="AA277" s="810">
        <f t="shared" ca="1" si="223"/>
        <v>200</v>
      </c>
      <c r="AB277" s="804"/>
      <c r="AC277" s="811" t="str">
        <f t="shared" ca="1" si="224"/>
        <v>-----</v>
      </c>
      <c r="AD277" s="798"/>
      <c r="AE277" s="794" t="str">
        <f t="shared" ca="1" si="225"/>
        <v>яловая</v>
      </c>
      <c r="AF277" s="798" t="str">
        <f t="shared" si="226"/>
        <v>-</v>
      </c>
      <c r="AG277" s="812" t="str">
        <f t="shared" si="227"/>
        <v>---------</v>
      </c>
      <c r="AH277" s="807">
        <v>42972</v>
      </c>
      <c r="AI277" s="807" t="str">
        <f t="shared" si="228"/>
        <v>-</v>
      </c>
      <c r="AJ277" s="807" t="str">
        <f t="shared" si="229"/>
        <v>-</v>
      </c>
      <c r="AK277" s="813"/>
      <c r="AL277" s="807" t="str">
        <f t="shared" si="230"/>
        <v>-</v>
      </c>
      <c r="AM277" s="807" t="str">
        <f t="shared" si="231"/>
        <v>-</v>
      </c>
      <c r="AN277" s="814" t="str">
        <f t="shared" ca="1" si="232"/>
        <v>-</v>
      </c>
      <c r="AO277" s="815">
        <v>1</v>
      </c>
      <c r="AP277" s="816" t="str">
        <f t="shared" ca="1" si="233"/>
        <v>БРАК</v>
      </c>
      <c r="AQ277" s="817" t="s">
        <v>3092</v>
      </c>
      <c r="AR277" s="794" t="str">
        <f t="shared" si="234"/>
        <v>-</v>
      </c>
      <c r="AS277" s="818"/>
      <c r="AT277" s="794" t="str">
        <f t="shared" si="235"/>
        <v>-</v>
      </c>
      <c r="AU277" s="819"/>
      <c r="AV277" s="820"/>
      <c r="AW277" s="821"/>
      <c r="AX277" s="821"/>
      <c r="AY277" s="969" t="str">
        <f t="shared" si="236"/>
        <v>-</v>
      </c>
      <c r="AZ277" s="966" t="str">
        <f t="shared" si="237"/>
        <v>-</v>
      </c>
      <c r="BA277" s="971" t="str">
        <f t="shared" si="238"/>
        <v>-</v>
      </c>
      <c r="BB277" s="975"/>
      <c r="BC277" s="821"/>
      <c r="BD277" s="821"/>
      <c r="BE277" s="963" t="str">
        <f t="shared" si="239"/>
        <v>-</v>
      </c>
      <c r="BF277" s="984"/>
      <c r="BG277" s="988"/>
      <c r="BH277" s="982"/>
      <c r="BI277" s="991"/>
      <c r="BJ277" s="991"/>
      <c r="BK277" s="993" t="str">
        <f t="shared" si="240"/>
        <v>-</v>
      </c>
      <c r="BL277" s="820">
        <v>42981</v>
      </c>
      <c r="BM277" s="821">
        <v>5</v>
      </c>
      <c r="BN277" s="822">
        <f t="shared" ca="1" si="241"/>
        <v>153</v>
      </c>
      <c r="BO277" s="823">
        <f t="shared" si="242"/>
        <v>65.666666666666671</v>
      </c>
      <c r="BP277" s="824"/>
      <c r="BQ277" s="821"/>
      <c r="BR277" s="822" t="str">
        <f t="shared" si="243"/>
        <v>-</v>
      </c>
      <c r="BS277" s="823" t="str">
        <f t="shared" si="244"/>
        <v>-</v>
      </c>
      <c r="BT277" s="825" t="str">
        <f t="shared" ca="1" si="245"/>
        <v>-</v>
      </c>
      <c r="BU277" s="826"/>
      <c r="BV277" s="827"/>
      <c r="BW277" s="828" t="str">
        <f t="shared" si="246"/>
        <v>Ж-Е НЕ ВАКЦ.</v>
      </c>
      <c r="BX277" s="829" t="str">
        <f t="shared" si="247"/>
        <v>-</v>
      </c>
      <c r="BY277" s="830" t="str">
        <f t="shared" ca="1" si="248"/>
        <v>-</v>
      </c>
      <c r="BZ277" s="831">
        <v>42887</v>
      </c>
      <c r="CA277" s="832">
        <v>5</v>
      </c>
      <c r="CB277" s="833">
        <f t="shared" ca="1" si="249"/>
        <v>247</v>
      </c>
      <c r="CC277" s="834" t="str">
        <f t="shared" ca="1" si="250"/>
        <v>-</v>
      </c>
      <c r="CD277" s="835">
        <f t="shared" si="251"/>
        <v>42908</v>
      </c>
      <c r="CE277" s="831">
        <v>42908</v>
      </c>
      <c r="CF277" s="832">
        <v>5</v>
      </c>
      <c r="CG277" s="833">
        <f t="shared" ca="1" si="252"/>
        <v>226</v>
      </c>
      <c r="CH277" s="836">
        <f t="shared" si="253"/>
        <v>0</v>
      </c>
      <c r="CI277" s="837" t="str">
        <f t="shared" si="254"/>
        <v>УСПЕШНО</v>
      </c>
      <c r="CJ277" s="838" t="str">
        <f t="shared" ca="1" si="255"/>
        <v>-</v>
      </c>
      <c r="CK277" s="831"/>
      <c r="CL277" s="832"/>
      <c r="CM277" s="833" t="str">
        <f t="shared" si="256"/>
        <v>-</v>
      </c>
      <c r="CN277" s="834" t="str">
        <f t="shared" si="257"/>
        <v>-</v>
      </c>
      <c r="CO277" s="830" t="str">
        <f t="shared" ca="1" si="258"/>
        <v>-</v>
      </c>
      <c r="CP277" s="839"/>
      <c r="CQ277" s="832"/>
      <c r="CR277" s="833" t="str">
        <f t="shared" si="259"/>
        <v>-</v>
      </c>
      <c r="CS277" s="833" t="str">
        <f t="shared" si="260"/>
        <v>-</v>
      </c>
      <c r="CT277" s="834" t="str">
        <f t="shared" si="261"/>
        <v>-</v>
      </c>
      <c r="CU277" s="835" t="str">
        <f t="shared" si="262"/>
        <v>-</v>
      </c>
      <c r="CV277" s="839"/>
      <c r="CW277" s="832"/>
      <c r="CX277" s="833" t="str">
        <f t="shared" si="263"/>
        <v>-</v>
      </c>
      <c r="CY277" s="840" t="str">
        <f t="shared" si="264"/>
        <v>-</v>
      </c>
      <c r="CZ277" s="833" t="str">
        <f t="shared" si="265"/>
        <v>-</v>
      </c>
      <c r="DA277" s="838" t="str">
        <f t="shared" ca="1" si="266"/>
        <v>-</v>
      </c>
      <c r="DB277" s="841"/>
      <c r="DC277" s="832"/>
    </row>
    <row r="278" spans="1:107" s="842" customFormat="1" ht="15.95" customHeight="1" x14ac:dyDescent="0.25">
      <c r="A278" s="790">
        <v>279</v>
      </c>
      <c r="B278" s="791">
        <f t="shared" ca="1" si="215"/>
        <v>43134</v>
      </c>
      <c r="C278" s="792" t="s">
        <v>613</v>
      </c>
      <c r="D278" s="793" t="s">
        <v>3203</v>
      </c>
      <c r="E278" s="794" t="s">
        <v>599</v>
      </c>
      <c r="F278" s="795" t="s">
        <v>600</v>
      </c>
      <c r="G278" s="796">
        <f>SUMIFS(МОЛОКО!L8:L6958,МОЛОКО!F8:F6958,"1523",МОЛОКО!L8:L6958,"&gt;0")</f>
        <v>19.600000000000001</v>
      </c>
      <c r="H278" s="797" t="s">
        <v>603</v>
      </c>
      <c r="I278" s="798">
        <v>41019</v>
      </c>
      <c r="J278" s="799">
        <f t="shared" ca="1" si="216"/>
        <v>5.7945205479452051</v>
      </c>
      <c r="K278" s="799">
        <f t="shared" ca="1" si="217"/>
        <v>70.5</v>
      </c>
      <c r="L278" s="800">
        <f t="shared" ca="1" si="218"/>
        <v>2115</v>
      </c>
      <c r="M278" s="801">
        <v>41741</v>
      </c>
      <c r="N278" s="802">
        <v>42797</v>
      </c>
      <c r="O278" s="803">
        <f t="shared" ca="1" si="219"/>
        <v>337</v>
      </c>
      <c r="P278" s="804">
        <v>3</v>
      </c>
      <c r="Q278" s="805" t="s">
        <v>2366</v>
      </c>
      <c r="R278" s="806" t="s">
        <v>3020</v>
      </c>
      <c r="S278" s="807">
        <v>42859</v>
      </c>
      <c r="T278" s="798">
        <v>42952</v>
      </c>
      <c r="U278" s="798" t="str">
        <f t="shared" si="220"/>
        <v>-</v>
      </c>
      <c r="V278" s="804" t="str">
        <f t="shared" ca="1" si="221"/>
        <v>-</v>
      </c>
      <c r="W278" s="808">
        <v>2</v>
      </c>
      <c r="X278" s="794">
        <f t="shared" si="214"/>
        <v>155</v>
      </c>
      <c r="Y278" s="794">
        <v>1</v>
      </c>
      <c r="Z278" s="809" t="str">
        <f t="shared" ca="1" si="222"/>
        <v>-----</v>
      </c>
      <c r="AA278" s="810" t="str">
        <f t="shared" ca="1" si="223"/>
        <v>-----</v>
      </c>
      <c r="AB278" s="804">
        <v>1</v>
      </c>
      <c r="AC278" s="811" t="str">
        <f t="shared" ca="1" si="224"/>
        <v>-----</v>
      </c>
      <c r="AD278" s="798">
        <v>43030</v>
      </c>
      <c r="AE278" s="794" t="str">
        <f t="shared" ca="1" si="225"/>
        <v>-</v>
      </c>
      <c r="AF278" s="798" t="str">
        <f t="shared" si="226"/>
        <v>-</v>
      </c>
      <c r="AG278" s="812" t="str">
        <f t="shared" si="227"/>
        <v>---------</v>
      </c>
      <c r="AH278" s="807">
        <v>42982</v>
      </c>
      <c r="AI278" s="807">
        <f t="shared" si="228"/>
        <v>43142</v>
      </c>
      <c r="AJ278" s="807">
        <f t="shared" si="229"/>
        <v>43172</v>
      </c>
      <c r="AK278" s="813"/>
      <c r="AL278" s="807">
        <f t="shared" si="230"/>
        <v>43211</v>
      </c>
      <c r="AM278" s="807">
        <f t="shared" si="231"/>
        <v>43232</v>
      </c>
      <c r="AN278" s="814">
        <f t="shared" ca="1" si="232"/>
        <v>-98</v>
      </c>
      <c r="AO278" s="815">
        <v>1</v>
      </c>
      <c r="AP278" s="816" t="str">
        <f t="shared" ca="1" si="233"/>
        <v>-</v>
      </c>
      <c r="AQ278" s="817"/>
      <c r="AR278" s="794" t="str">
        <f t="shared" si="234"/>
        <v>-</v>
      </c>
      <c r="AS278" s="818"/>
      <c r="AT278" s="794" t="str">
        <f t="shared" si="235"/>
        <v>-</v>
      </c>
      <c r="AU278" s="819"/>
      <c r="AV278" s="820"/>
      <c r="AW278" s="821"/>
      <c r="AX278" s="821"/>
      <c r="AY278" s="969" t="str">
        <f t="shared" si="236"/>
        <v>-</v>
      </c>
      <c r="AZ278" s="966" t="str">
        <f t="shared" si="237"/>
        <v>-</v>
      </c>
      <c r="BA278" s="971" t="str">
        <f t="shared" si="238"/>
        <v>-</v>
      </c>
      <c r="BB278" s="975"/>
      <c r="BC278" s="821"/>
      <c r="BD278" s="821"/>
      <c r="BE278" s="963" t="str">
        <f t="shared" si="239"/>
        <v>-</v>
      </c>
      <c r="BF278" s="984"/>
      <c r="BG278" s="988"/>
      <c r="BH278" s="982"/>
      <c r="BI278" s="991"/>
      <c r="BJ278" s="991"/>
      <c r="BK278" s="993" t="str">
        <f t="shared" si="240"/>
        <v>-</v>
      </c>
      <c r="BL278" s="820">
        <v>42980</v>
      </c>
      <c r="BM278" s="821">
        <v>5</v>
      </c>
      <c r="BN278" s="822">
        <f t="shared" ca="1" si="241"/>
        <v>154</v>
      </c>
      <c r="BO278" s="823">
        <f t="shared" si="242"/>
        <v>65.36666666666666</v>
      </c>
      <c r="BP278" s="824"/>
      <c r="BQ278" s="821"/>
      <c r="BR278" s="822" t="str">
        <f t="shared" si="243"/>
        <v>-</v>
      </c>
      <c r="BS278" s="823" t="str">
        <f t="shared" si="244"/>
        <v>-</v>
      </c>
      <c r="BT278" s="825" t="str">
        <f t="shared" ca="1" si="245"/>
        <v>-</v>
      </c>
      <c r="BU278" s="826"/>
      <c r="BV278" s="827"/>
      <c r="BW278" s="828" t="str">
        <f t="shared" si="246"/>
        <v>Ж-Е НЕ ВАКЦ.</v>
      </c>
      <c r="BX278" s="829" t="str">
        <f t="shared" si="247"/>
        <v>-</v>
      </c>
      <c r="BY278" s="830" t="str">
        <f t="shared" ca="1" si="248"/>
        <v>-</v>
      </c>
      <c r="BZ278" s="831">
        <v>42887</v>
      </c>
      <c r="CA278" s="832">
        <v>5</v>
      </c>
      <c r="CB278" s="833">
        <f t="shared" ca="1" si="249"/>
        <v>247</v>
      </c>
      <c r="CC278" s="834" t="str">
        <f t="shared" ca="1" si="250"/>
        <v>-</v>
      </c>
      <c r="CD278" s="835">
        <f t="shared" si="251"/>
        <v>42908</v>
      </c>
      <c r="CE278" s="831">
        <v>42908</v>
      </c>
      <c r="CF278" s="832">
        <v>5</v>
      </c>
      <c r="CG278" s="833">
        <f t="shared" ca="1" si="252"/>
        <v>226</v>
      </c>
      <c r="CH278" s="836">
        <f t="shared" si="253"/>
        <v>0</v>
      </c>
      <c r="CI278" s="837" t="str">
        <f t="shared" si="254"/>
        <v>УСПЕШНО</v>
      </c>
      <c r="CJ278" s="838" t="str">
        <f t="shared" ca="1" si="255"/>
        <v>-</v>
      </c>
      <c r="CK278" s="831"/>
      <c r="CL278" s="832"/>
      <c r="CM278" s="833" t="str">
        <f t="shared" si="256"/>
        <v>-</v>
      </c>
      <c r="CN278" s="834" t="str">
        <f t="shared" si="257"/>
        <v>-</v>
      </c>
      <c r="CO278" s="830" t="str">
        <f t="shared" ca="1" si="258"/>
        <v>-</v>
      </c>
      <c r="CP278" s="839"/>
      <c r="CQ278" s="832"/>
      <c r="CR278" s="833" t="str">
        <f t="shared" si="259"/>
        <v>-</v>
      </c>
      <c r="CS278" s="833" t="str">
        <f t="shared" si="260"/>
        <v>-</v>
      </c>
      <c r="CT278" s="834" t="str">
        <f t="shared" si="261"/>
        <v>-</v>
      </c>
      <c r="CU278" s="835" t="str">
        <f t="shared" si="262"/>
        <v>-</v>
      </c>
      <c r="CV278" s="839"/>
      <c r="CW278" s="832"/>
      <c r="CX278" s="833" t="str">
        <f t="shared" si="263"/>
        <v>-</v>
      </c>
      <c r="CY278" s="840" t="str">
        <f t="shared" si="264"/>
        <v>-</v>
      </c>
      <c r="CZ278" s="833" t="str">
        <f t="shared" si="265"/>
        <v>-</v>
      </c>
      <c r="DA278" s="838" t="str">
        <f t="shared" ca="1" si="266"/>
        <v>-</v>
      </c>
      <c r="DB278" s="841"/>
      <c r="DC278" s="832"/>
    </row>
    <row r="279" spans="1:107" s="842" customFormat="1" ht="15.95" customHeight="1" x14ac:dyDescent="0.25">
      <c r="A279" s="790">
        <v>280</v>
      </c>
      <c r="B279" s="791">
        <f t="shared" ca="1" si="215"/>
        <v>43134</v>
      </c>
      <c r="C279" s="792" t="s">
        <v>613</v>
      </c>
      <c r="D279" s="793" t="s">
        <v>3203</v>
      </c>
      <c r="E279" s="794" t="s">
        <v>695</v>
      </c>
      <c r="F279" s="795" t="s">
        <v>696</v>
      </c>
      <c r="G279" s="796">
        <f>SUMIFS(МОЛОКО!L8:L6958,МОЛОКО!F8:F6958,"1531",МОЛОКО!L8:L6958,"&gt;0")</f>
        <v>12</v>
      </c>
      <c r="H279" s="797" t="s">
        <v>603</v>
      </c>
      <c r="I279" s="798">
        <v>41026</v>
      </c>
      <c r="J279" s="799">
        <f t="shared" ca="1" si="216"/>
        <v>5.7753424657534245</v>
      </c>
      <c r="K279" s="799">
        <f t="shared" ca="1" si="217"/>
        <v>70.266666666666666</v>
      </c>
      <c r="L279" s="800">
        <f t="shared" ca="1" si="218"/>
        <v>2108</v>
      </c>
      <c r="M279" s="801">
        <v>41803</v>
      </c>
      <c r="N279" s="802">
        <v>42814</v>
      </c>
      <c r="O279" s="803">
        <f t="shared" ca="1" si="219"/>
        <v>320</v>
      </c>
      <c r="P279" s="804">
        <v>3</v>
      </c>
      <c r="Q279" s="805" t="s">
        <v>2366</v>
      </c>
      <c r="R279" s="806" t="s">
        <v>2962</v>
      </c>
      <c r="S279" s="807">
        <v>42874</v>
      </c>
      <c r="T279" s="798">
        <v>42992</v>
      </c>
      <c r="U279" s="798" t="str">
        <f t="shared" si="220"/>
        <v>-</v>
      </c>
      <c r="V279" s="804" t="str">
        <f t="shared" ca="1" si="221"/>
        <v>-</v>
      </c>
      <c r="W279" s="808">
        <v>4</v>
      </c>
      <c r="X279" s="794">
        <f t="shared" si="214"/>
        <v>178</v>
      </c>
      <c r="Y279" s="794">
        <v>1</v>
      </c>
      <c r="Z279" s="809" t="str">
        <f t="shared" ca="1" si="222"/>
        <v>ПОДЛЕЖИТ ПЕРЕПРОВЕРКЕ</v>
      </c>
      <c r="AA279" s="810">
        <f t="shared" ca="1" si="223"/>
        <v>142</v>
      </c>
      <c r="AB279" s="804"/>
      <c r="AC279" s="811">
        <f t="shared" ca="1" si="224"/>
        <v>43064</v>
      </c>
      <c r="AD279" s="798"/>
      <c r="AE279" s="794" t="str">
        <f t="shared" ca="1" si="225"/>
        <v>-</v>
      </c>
      <c r="AF279" s="798" t="str">
        <f t="shared" si="226"/>
        <v>-</v>
      </c>
      <c r="AG279" s="812" t="str">
        <f t="shared" si="227"/>
        <v>---------</v>
      </c>
      <c r="AH279" s="807">
        <v>43028</v>
      </c>
      <c r="AI279" s="807">
        <f t="shared" si="228"/>
        <v>43182</v>
      </c>
      <c r="AJ279" s="807">
        <f t="shared" si="229"/>
        <v>43212</v>
      </c>
      <c r="AK279" s="813"/>
      <c r="AL279" s="807">
        <f t="shared" si="230"/>
        <v>43251</v>
      </c>
      <c r="AM279" s="807">
        <f t="shared" si="231"/>
        <v>43272</v>
      </c>
      <c r="AN279" s="814">
        <f t="shared" ca="1" si="232"/>
        <v>-138</v>
      </c>
      <c r="AO279" s="815">
        <v>1</v>
      </c>
      <c r="AP279" s="816" t="str">
        <f t="shared" ca="1" si="233"/>
        <v>-</v>
      </c>
      <c r="AQ279" s="817"/>
      <c r="AR279" s="794" t="str">
        <f t="shared" si="234"/>
        <v>-</v>
      </c>
      <c r="AS279" s="818"/>
      <c r="AT279" s="794" t="str">
        <f t="shared" si="235"/>
        <v>-</v>
      </c>
      <c r="AU279" s="819"/>
      <c r="AV279" s="820"/>
      <c r="AW279" s="821"/>
      <c r="AX279" s="821"/>
      <c r="AY279" s="969" t="str">
        <f t="shared" si="236"/>
        <v>-</v>
      </c>
      <c r="AZ279" s="966" t="str">
        <f t="shared" si="237"/>
        <v>-</v>
      </c>
      <c r="BA279" s="971" t="str">
        <f t="shared" si="238"/>
        <v>-</v>
      </c>
      <c r="BB279" s="975"/>
      <c r="BC279" s="821"/>
      <c r="BD279" s="821"/>
      <c r="BE279" s="963" t="str">
        <f t="shared" si="239"/>
        <v>-</v>
      </c>
      <c r="BF279" s="984"/>
      <c r="BG279" s="988"/>
      <c r="BH279" s="982"/>
      <c r="BI279" s="991"/>
      <c r="BJ279" s="991"/>
      <c r="BK279" s="993" t="str">
        <f t="shared" si="240"/>
        <v>-</v>
      </c>
      <c r="BL279" s="820">
        <v>42981</v>
      </c>
      <c r="BM279" s="821">
        <v>5</v>
      </c>
      <c r="BN279" s="822">
        <f t="shared" ca="1" si="241"/>
        <v>153</v>
      </c>
      <c r="BO279" s="823">
        <f t="shared" si="242"/>
        <v>65.166666666666671</v>
      </c>
      <c r="BP279" s="824"/>
      <c r="BQ279" s="821"/>
      <c r="BR279" s="822" t="str">
        <f t="shared" si="243"/>
        <v>-</v>
      </c>
      <c r="BS279" s="823" t="str">
        <f t="shared" si="244"/>
        <v>-</v>
      </c>
      <c r="BT279" s="825" t="str">
        <f t="shared" ca="1" si="245"/>
        <v>-</v>
      </c>
      <c r="BU279" s="826"/>
      <c r="BV279" s="827"/>
      <c r="BW279" s="828" t="str">
        <f t="shared" si="246"/>
        <v>Ж-Е НЕ ВАКЦ.</v>
      </c>
      <c r="BX279" s="829" t="str">
        <f t="shared" si="247"/>
        <v>-</v>
      </c>
      <c r="BY279" s="830" t="str">
        <f t="shared" ca="1" si="248"/>
        <v>-</v>
      </c>
      <c r="BZ279" s="831">
        <v>42887</v>
      </c>
      <c r="CA279" s="832">
        <v>5</v>
      </c>
      <c r="CB279" s="833">
        <f t="shared" ca="1" si="249"/>
        <v>247</v>
      </c>
      <c r="CC279" s="834" t="str">
        <f t="shared" ca="1" si="250"/>
        <v>-</v>
      </c>
      <c r="CD279" s="835">
        <f t="shared" si="251"/>
        <v>42908</v>
      </c>
      <c r="CE279" s="831">
        <v>42908</v>
      </c>
      <c r="CF279" s="832">
        <v>5</v>
      </c>
      <c r="CG279" s="833">
        <f t="shared" ca="1" si="252"/>
        <v>226</v>
      </c>
      <c r="CH279" s="836">
        <f t="shared" si="253"/>
        <v>0</v>
      </c>
      <c r="CI279" s="837" t="str">
        <f t="shared" si="254"/>
        <v>УСПЕШНО</v>
      </c>
      <c r="CJ279" s="838" t="str">
        <f t="shared" ca="1" si="255"/>
        <v>-</v>
      </c>
      <c r="CK279" s="831"/>
      <c r="CL279" s="832"/>
      <c r="CM279" s="833" t="str">
        <f t="shared" si="256"/>
        <v>-</v>
      </c>
      <c r="CN279" s="834" t="str">
        <f t="shared" si="257"/>
        <v>-</v>
      </c>
      <c r="CO279" s="830" t="str">
        <f t="shared" ca="1" si="258"/>
        <v>-</v>
      </c>
      <c r="CP279" s="839"/>
      <c r="CQ279" s="832"/>
      <c r="CR279" s="833" t="str">
        <f t="shared" si="259"/>
        <v>-</v>
      </c>
      <c r="CS279" s="833" t="str">
        <f t="shared" si="260"/>
        <v>-</v>
      </c>
      <c r="CT279" s="834" t="str">
        <f t="shared" si="261"/>
        <v>-</v>
      </c>
      <c r="CU279" s="835" t="str">
        <f t="shared" si="262"/>
        <v>-</v>
      </c>
      <c r="CV279" s="839"/>
      <c r="CW279" s="832"/>
      <c r="CX279" s="833" t="str">
        <f t="shared" si="263"/>
        <v>-</v>
      </c>
      <c r="CY279" s="840" t="str">
        <f t="shared" si="264"/>
        <v>-</v>
      </c>
      <c r="CZ279" s="833" t="str">
        <f t="shared" si="265"/>
        <v>-</v>
      </c>
      <c r="DA279" s="838" t="str">
        <f t="shared" ca="1" si="266"/>
        <v>-</v>
      </c>
      <c r="DB279" s="841"/>
      <c r="DC279" s="832"/>
    </row>
    <row r="280" spans="1:107" s="842" customFormat="1" ht="15.95" customHeight="1" x14ac:dyDescent="0.25">
      <c r="A280" s="790">
        <v>281</v>
      </c>
      <c r="B280" s="791">
        <f t="shared" ca="1" si="215"/>
        <v>43134</v>
      </c>
      <c r="C280" s="29" t="s">
        <v>613</v>
      </c>
      <c r="D280" s="59" t="s">
        <v>3203</v>
      </c>
      <c r="E280" s="794" t="s">
        <v>211</v>
      </c>
      <c r="F280" s="795" t="s">
        <v>212</v>
      </c>
      <c r="G280" s="796">
        <f>SUMIFS(МОЛОКО!L8:L6958,МОЛОКО!F8:F6958,"1566",МОЛОКО!L8:L6958,"&gt;0")</f>
        <v>10.6</v>
      </c>
      <c r="H280" s="797" t="s">
        <v>603</v>
      </c>
      <c r="I280" s="798">
        <v>41047</v>
      </c>
      <c r="J280" s="799">
        <f t="shared" ca="1" si="216"/>
        <v>5.7178082191780826</v>
      </c>
      <c r="K280" s="799">
        <f t="shared" ca="1" si="217"/>
        <v>69.566666666666663</v>
      </c>
      <c r="L280" s="800">
        <f t="shared" ca="1" si="218"/>
        <v>2087</v>
      </c>
      <c r="M280" s="801">
        <v>42061</v>
      </c>
      <c r="N280" s="802">
        <v>42862</v>
      </c>
      <c r="O280" s="803">
        <f t="shared" ca="1" si="219"/>
        <v>272</v>
      </c>
      <c r="P280" s="804">
        <v>3</v>
      </c>
      <c r="Q280" s="805" t="s">
        <v>1451</v>
      </c>
      <c r="R280" s="806" t="s">
        <v>2966</v>
      </c>
      <c r="S280" s="807">
        <v>42922</v>
      </c>
      <c r="T280" s="798">
        <v>43014</v>
      </c>
      <c r="U280" s="798" t="str">
        <f t="shared" si="220"/>
        <v>-</v>
      </c>
      <c r="V280" s="804" t="str">
        <f t="shared" ca="1" si="221"/>
        <v>-</v>
      </c>
      <c r="W280" s="808">
        <v>3</v>
      </c>
      <c r="X280" s="794">
        <f t="shared" si="214"/>
        <v>152</v>
      </c>
      <c r="Y280" s="794">
        <v>1</v>
      </c>
      <c r="Z280" s="809" t="str">
        <f t="shared" ca="1" si="222"/>
        <v>ПОДЛЕЖИТ ПЕРЕПРОВЕРКЕ</v>
      </c>
      <c r="AA280" s="810">
        <f t="shared" ca="1" si="223"/>
        <v>120</v>
      </c>
      <c r="AB280" s="804"/>
      <c r="AC280" s="811">
        <f t="shared" ca="1" si="224"/>
        <v>43086</v>
      </c>
      <c r="AD280" s="798"/>
      <c r="AE280" s="794" t="str">
        <f t="shared" ca="1" si="225"/>
        <v>-</v>
      </c>
      <c r="AF280" s="798" t="str">
        <f t="shared" si="226"/>
        <v>-</v>
      </c>
      <c r="AG280" s="812" t="str">
        <f t="shared" si="227"/>
        <v>---------</v>
      </c>
      <c r="AH280" s="807">
        <v>43052</v>
      </c>
      <c r="AI280" s="807">
        <f t="shared" si="228"/>
        <v>43204</v>
      </c>
      <c r="AJ280" s="807">
        <f t="shared" si="229"/>
        <v>43234</v>
      </c>
      <c r="AK280" s="813"/>
      <c r="AL280" s="807">
        <f t="shared" si="230"/>
        <v>43273</v>
      </c>
      <c r="AM280" s="807">
        <f t="shared" si="231"/>
        <v>43294</v>
      </c>
      <c r="AN280" s="814">
        <f t="shared" ca="1" si="232"/>
        <v>-160</v>
      </c>
      <c r="AO280" s="815">
        <v>1</v>
      </c>
      <c r="AP280" s="816" t="str">
        <f t="shared" ca="1" si="233"/>
        <v>-</v>
      </c>
      <c r="AQ280" s="817"/>
      <c r="AR280" s="794" t="str">
        <f t="shared" si="234"/>
        <v>-</v>
      </c>
      <c r="AS280" s="818"/>
      <c r="AT280" s="794" t="str">
        <f t="shared" si="235"/>
        <v>-</v>
      </c>
      <c r="AU280" s="819"/>
      <c r="AV280" s="820"/>
      <c r="AW280" s="821"/>
      <c r="AX280" s="821"/>
      <c r="AY280" s="969" t="str">
        <f t="shared" si="236"/>
        <v>-</v>
      </c>
      <c r="AZ280" s="966" t="str">
        <f t="shared" si="237"/>
        <v>-</v>
      </c>
      <c r="BA280" s="971" t="str">
        <f t="shared" si="238"/>
        <v>-</v>
      </c>
      <c r="BB280" s="975"/>
      <c r="BC280" s="821"/>
      <c r="BD280" s="821"/>
      <c r="BE280" s="963" t="str">
        <f t="shared" si="239"/>
        <v>-</v>
      </c>
      <c r="BF280" s="984">
        <v>43033</v>
      </c>
      <c r="BG280" s="988" t="s">
        <v>3353</v>
      </c>
      <c r="BH280" s="986" t="s">
        <v>3354</v>
      </c>
      <c r="BI280" s="991">
        <v>5</v>
      </c>
      <c r="BJ280" s="991" t="s">
        <v>3356</v>
      </c>
      <c r="BK280" s="993">
        <f t="shared" ca="1" si="240"/>
        <v>101</v>
      </c>
      <c r="BL280" s="820">
        <v>42980</v>
      </c>
      <c r="BM280" s="821">
        <v>5</v>
      </c>
      <c r="BN280" s="822">
        <f t="shared" ca="1" si="241"/>
        <v>154</v>
      </c>
      <c r="BO280" s="823">
        <f t="shared" si="242"/>
        <v>64.433333333333337</v>
      </c>
      <c r="BP280" s="824"/>
      <c r="BQ280" s="821"/>
      <c r="BR280" s="822" t="str">
        <f t="shared" si="243"/>
        <v>-</v>
      </c>
      <c r="BS280" s="823" t="str">
        <f t="shared" si="244"/>
        <v>-</v>
      </c>
      <c r="BT280" s="825" t="str">
        <f t="shared" ca="1" si="245"/>
        <v>-</v>
      </c>
      <c r="BU280" s="826"/>
      <c r="BV280" s="827"/>
      <c r="BW280" s="828" t="str">
        <f t="shared" si="246"/>
        <v>Ж-Е НЕ ВАКЦ.</v>
      </c>
      <c r="BX280" s="829" t="str">
        <f t="shared" si="247"/>
        <v>-</v>
      </c>
      <c r="BY280" s="830" t="str">
        <f t="shared" ca="1" si="248"/>
        <v>-</v>
      </c>
      <c r="BZ280" s="831">
        <v>42888</v>
      </c>
      <c r="CA280" s="832">
        <v>5</v>
      </c>
      <c r="CB280" s="833">
        <f t="shared" ca="1" si="249"/>
        <v>246</v>
      </c>
      <c r="CC280" s="834" t="str">
        <f t="shared" ca="1" si="250"/>
        <v>-</v>
      </c>
      <c r="CD280" s="835">
        <f t="shared" si="251"/>
        <v>42909</v>
      </c>
      <c r="CE280" s="831">
        <v>42909</v>
      </c>
      <c r="CF280" s="832">
        <v>5</v>
      </c>
      <c r="CG280" s="833">
        <f t="shared" ca="1" si="252"/>
        <v>225</v>
      </c>
      <c r="CH280" s="836">
        <f t="shared" si="253"/>
        <v>0</v>
      </c>
      <c r="CI280" s="837" t="str">
        <f t="shared" si="254"/>
        <v>УСПЕШНО</v>
      </c>
      <c r="CJ280" s="838" t="str">
        <f t="shared" ca="1" si="255"/>
        <v>-</v>
      </c>
      <c r="CK280" s="831"/>
      <c r="CL280" s="832"/>
      <c r="CM280" s="833" t="str">
        <f t="shared" si="256"/>
        <v>-</v>
      </c>
      <c r="CN280" s="834" t="str">
        <f t="shared" si="257"/>
        <v>-</v>
      </c>
      <c r="CO280" s="830" t="str">
        <f t="shared" ca="1" si="258"/>
        <v>-</v>
      </c>
      <c r="CP280" s="839"/>
      <c r="CQ280" s="832"/>
      <c r="CR280" s="833" t="str">
        <f t="shared" si="259"/>
        <v>-</v>
      </c>
      <c r="CS280" s="833" t="str">
        <f t="shared" si="260"/>
        <v>-</v>
      </c>
      <c r="CT280" s="834" t="str">
        <f t="shared" si="261"/>
        <v>-</v>
      </c>
      <c r="CU280" s="835" t="str">
        <f t="shared" si="262"/>
        <v>-</v>
      </c>
      <c r="CV280" s="839"/>
      <c r="CW280" s="832"/>
      <c r="CX280" s="833" t="str">
        <f t="shared" si="263"/>
        <v>-</v>
      </c>
      <c r="CY280" s="840" t="str">
        <f t="shared" si="264"/>
        <v>-</v>
      </c>
      <c r="CZ280" s="833" t="str">
        <f t="shared" si="265"/>
        <v>-</v>
      </c>
      <c r="DA280" s="838" t="str">
        <f t="shared" ca="1" si="266"/>
        <v>-</v>
      </c>
      <c r="DB280" s="841"/>
      <c r="DC280" s="832"/>
    </row>
    <row r="281" spans="1:107" s="842" customFormat="1" ht="15.95" customHeight="1" x14ac:dyDescent="0.25">
      <c r="A281" s="790">
        <v>282</v>
      </c>
      <c r="B281" s="791">
        <f t="shared" ca="1" si="215"/>
        <v>43134</v>
      </c>
      <c r="C281" s="792" t="s">
        <v>613</v>
      </c>
      <c r="D281" s="793" t="s">
        <v>3203</v>
      </c>
      <c r="E281" s="794" t="s">
        <v>1356</v>
      </c>
      <c r="F281" s="795" t="s">
        <v>1240</v>
      </c>
      <c r="G281" s="796">
        <f>SUMIFS(МОЛОКО!L8:L6958,МОЛОКО!F8:F6958,"1742",МОЛОКО!L8:L6958,"&gt;0")</f>
        <v>13</v>
      </c>
      <c r="H281" s="797" t="s">
        <v>603</v>
      </c>
      <c r="I281" s="798">
        <v>41129</v>
      </c>
      <c r="J281" s="799">
        <f t="shared" ca="1" si="216"/>
        <v>5.493150684931507</v>
      </c>
      <c r="K281" s="799">
        <f t="shared" ca="1" si="217"/>
        <v>66.833333333333329</v>
      </c>
      <c r="L281" s="800">
        <f t="shared" ca="1" si="218"/>
        <v>2005</v>
      </c>
      <c r="M281" s="801">
        <v>42471</v>
      </c>
      <c r="N281" s="802">
        <v>42829</v>
      </c>
      <c r="O281" s="803">
        <f t="shared" ca="1" si="219"/>
        <v>305</v>
      </c>
      <c r="P281" s="804">
        <v>2</v>
      </c>
      <c r="Q281" s="805" t="s">
        <v>1451</v>
      </c>
      <c r="R281" s="806" t="s">
        <v>2962</v>
      </c>
      <c r="S281" s="807">
        <v>42903</v>
      </c>
      <c r="T281" s="798">
        <v>43020</v>
      </c>
      <c r="U281" s="798">
        <f t="shared" si="220"/>
        <v>43038</v>
      </c>
      <c r="V281" s="804">
        <f t="shared" ca="1" si="221"/>
        <v>96</v>
      </c>
      <c r="W281" s="808">
        <v>4</v>
      </c>
      <c r="X281" s="794">
        <f t="shared" si="214"/>
        <v>191</v>
      </c>
      <c r="Y281" s="794">
        <v>2</v>
      </c>
      <c r="Z281" s="809" t="str">
        <f t="shared" ca="1" si="222"/>
        <v>-----</v>
      </c>
      <c r="AA281" s="810">
        <f t="shared" ca="1" si="223"/>
        <v>114</v>
      </c>
      <c r="AB281" s="804"/>
      <c r="AC281" s="811" t="str">
        <f t="shared" ca="1" si="224"/>
        <v>-----</v>
      </c>
      <c r="AD281" s="798"/>
      <c r="AE281" s="794" t="str">
        <f t="shared" ca="1" si="225"/>
        <v>-</v>
      </c>
      <c r="AF281" s="798">
        <f t="shared" si="226"/>
        <v>43055</v>
      </c>
      <c r="AG281" s="812">
        <f t="shared" ca="1" si="227"/>
        <v>79</v>
      </c>
      <c r="AH281" s="807">
        <v>43052</v>
      </c>
      <c r="AI281" s="807" t="str">
        <f t="shared" si="228"/>
        <v>-</v>
      </c>
      <c r="AJ281" s="807" t="str">
        <f t="shared" si="229"/>
        <v>-</v>
      </c>
      <c r="AK281" s="813"/>
      <c r="AL281" s="807" t="str">
        <f t="shared" si="230"/>
        <v>-</v>
      </c>
      <c r="AM281" s="807" t="str">
        <f t="shared" si="231"/>
        <v>-</v>
      </c>
      <c r="AN281" s="814" t="str">
        <f t="shared" ca="1" si="232"/>
        <v>-</v>
      </c>
      <c r="AO281" s="815">
        <v>1</v>
      </c>
      <c r="AP281" s="816" t="str">
        <f t="shared" ca="1" si="233"/>
        <v>-</v>
      </c>
      <c r="AQ281" s="817"/>
      <c r="AR281" s="794" t="str">
        <f t="shared" si="234"/>
        <v>-</v>
      </c>
      <c r="AS281" s="818"/>
      <c r="AT281" s="794" t="str">
        <f t="shared" si="235"/>
        <v>-</v>
      </c>
      <c r="AU281" s="819"/>
      <c r="AV281" s="820"/>
      <c r="AW281" s="821"/>
      <c r="AX281" s="821"/>
      <c r="AY281" s="969" t="str">
        <f t="shared" si="236"/>
        <v>-</v>
      </c>
      <c r="AZ281" s="966" t="str">
        <f t="shared" si="237"/>
        <v>-</v>
      </c>
      <c r="BA281" s="971" t="str">
        <f t="shared" si="238"/>
        <v>-</v>
      </c>
      <c r="BB281" s="975"/>
      <c r="BC281" s="821"/>
      <c r="BD281" s="821"/>
      <c r="BE281" s="963" t="str">
        <f t="shared" si="239"/>
        <v>-</v>
      </c>
      <c r="BF281" s="984"/>
      <c r="BG281" s="988"/>
      <c r="BH281" s="982"/>
      <c r="BI281" s="991"/>
      <c r="BJ281" s="991"/>
      <c r="BK281" s="993" t="str">
        <f t="shared" si="240"/>
        <v>-</v>
      </c>
      <c r="BL281" s="820">
        <v>42981</v>
      </c>
      <c r="BM281" s="821">
        <v>5</v>
      </c>
      <c r="BN281" s="822">
        <f t="shared" ca="1" si="241"/>
        <v>153</v>
      </c>
      <c r="BO281" s="823">
        <f t="shared" si="242"/>
        <v>61.733333333333334</v>
      </c>
      <c r="BP281" s="824"/>
      <c r="BQ281" s="821"/>
      <c r="BR281" s="822" t="str">
        <f t="shared" si="243"/>
        <v>-</v>
      </c>
      <c r="BS281" s="823" t="str">
        <f t="shared" si="244"/>
        <v>-</v>
      </c>
      <c r="BT281" s="825" t="str">
        <f t="shared" ca="1" si="245"/>
        <v>-</v>
      </c>
      <c r="BU281" s="826"/>
      <c r="BV281" s="827"/>
      <c r="BW281" s="828" t="str">
        <f t="shared" si="246"/>
        <v>Ж-Е НЕ ВАКЦ.</v>
      </c>
      <c r="BX281" s="829" t="str">
        <f t="shared" si="247"/>
        <v>-</v>
      </c>
      <c r="BY281" s="830" t="str">
        <f t="shared" ca="1" si="248"/>
        <v>-</v>
      </c>
      <c r="BZ281" s="831">
        <v>42887</v>
      </c>
      <c r="CA281" s="832">
        <v>5</v>
      </c>
      <c r="CB281" s="833">
        <f t="shared" ca="1" si="249"/>
        <v>247</v>
      </c>
      <c r="CC281" s="834" t="str">
        <f t="shared" ca="1" si="250"/>
        <v>-</v>
      </c>
      <c r="CD281" s="835">
        <f t="shared" si="251"/>
        <v>42908</v>
      </c>
      <c r="CE281" s="831">
        <v>42908</v>
      </c>
      <c r="CF281" s="832">
        <v>5</v>
      </c>
      <c r="CG281" s="833">
        <f t="shared" ca="1" si="252"/>
        <v>226</v>
      </c>
      <c r="CH281" s="836">
        <f t="shared" si="253"/>
        <v>0</v>
      </c>
      <c r="CI281" s="837" t="str">
        <f t="shared" si="254"/>
        <v>УСПЕШНО</v>
      </c>
      <c r="CJ281" s="838" t="str">
        <f t="shared" ca="1" si="255"/>
        <v>-</v>
      </c>
      <c r="CK281" s="831"/>
      <c r="CL281" s="832"/>
      <c r="CM281" s="833" t="str">
        <f t="shared" si="256"/>
        <v>-</v>
      </c>
      <c r="CN281" s="834" t="str">
        <f t="shared" si="257"/>
        <v>-</v>
      </c>
      <c r="CO281" s="830" t="str">
        <f t="shared" ca="1" si="258"/>
        <v>-</v>
      </c>
      <c r="CP281" s="839"/>
      <c r="CQ281" s="832"/>
      <c r="CR281" s="833" t="str">
        <f t="shared" si="259"/>
        <v>-</v>
      </c>
      <c r="CS281" s="833" t="str">
        <f t="shared" si="260"/>
        <v>-</v>
      </c>
      <c r="CT281" s="834" t="str">
        <f t="shared" si="261"/>
        <v>-</v>
      </c>
      <c r="CU281" s="835" t="str">
        <f t="shared" si="262"/>
        <v>-</v>
      </c>
      <c r="CV281" s="839"/>
      <c r="CW281" s="832"/>
      <c r="CX281" s="833" t="str">
        <f t="shared" si="263"/>
        <v>-</v>
      </c>
      <c r="CY281" s="840" t="str">
        <f t="shared" si="264"/>
        <v>-</v>
      </c>
      <c r="CZ281" s="833" t="str">
        <f t="shared" si="265"/>
        <v>-</v>
      </c>
      <c r="DA281" s="838" t="str">
        <f t="shared" ca="1" si="266"/>
        <v>-</v>
      </c>
      <c r="DB281" s="841"/>
      <c r="DC281" s="832"/>
    </row>
    <row r="282" spans="1:107" s="842" customFormat="1" ht="15.95" customHeight="1" x14ac:dyDescent="0.25">
      <c r="A282" s="790">
        <v>283</v>
      </c>
      <c r="B282" s="791">
        <f t="shared" ca="1" si="215"/>
        <v>43134</v>
      </c>
      <c r="C282" s="792" t="s">
        <v>613</v>
      </c>
      <c r="D282" s="793" t="s">
        <v>3203</v>
      </c>
      <c r="E282" s="794" t="s">
        <v>266</v>
      </c>
      <c r="F282" s="795" t="s">
        <v>267</v>
      </c>
      <c r="G282" s="796">
        <f>SUMIFS(МОЛОКО!L8:L6958,МОЛОКО!F8:F6958,"1801",МОЛОКО!L8:L6958,"&gt;0")</f>
        <v>19</v>
      </c>
      <c r="H282" s="797" t="s">
        <v>603</v>
      </c>
      <c r="I282" s="798">
        <v>41325</v>
      </c>
      <c r="J282" s="799">
        <f t="shared" ca="1" si="216"/>
        <v>4.956164383561644</v>
      </c>
      <c r="K282" s="799">
        <f t="shared" ca="1" si="217"/>
        <v>60.3</v>
      </c>
      <c r="L282" s="800">
        <f t="shared" ca="1" si="218"/>
        <v>1809</v>
      </c>
      <c r="M282" s="801">
        <v>41996</v>
      </c>
      <c r="N282" s="802">
        <v>42852</v>
      </c>
      <c r="O282" s="803">
        <f t="shared" ca="1" si="219"/>
        <v>282</v>
      </c>
      <c r="P282" s="804">
        <v>3</v>
      </c>
      <c r="Q282" s="805" t="s">
        <v>1451</v>
      </c>
      <c r="R282" s="806" t="s">
        <v>3020</v>
      </c>
      <c r="S282" s="807">
        <v>42915</v>
      </c>
      <c r="T282" s="798">
        <v>43000</v>
      </c>
      <c r="U282" s="798" t="str">
        <f t="shared" si="220"/>
        <v>-</v>
      </c>
      <c r="V282" s="804" t="str">
        <f t="shared" ca="1" si="221"/>
        <v>-</v>
      </c>
      <c r="W282" s="808">
        <v>3</v>
      </c>
      <c r="X282" s="794">
        <f t="shared" si="214"/>
        <v>148</v>
      </c>
      <c r="Y282" s="794">
        <v>1</v>
      </c>
      <c r="Z282" s="809" t="str">
        <f t="shared" ca="1" si="222"/>
        <v>ПОДЛЕЖИТ ПЕРЕПРОВЕРКЕ</v>
      </c>
      <c r="AA282" s="810">
        <f t="shared" ca="1" si="223"/>
        <v>134</v>
      </c>
      <c r="AB282" s="804"/>
      <c r="AC282" s="811">
        <f t="shared" ca="1" si="224"/>
        <v>43072</v>
      </c>
      <c r="AD282" s="798"/>
      <c r="AE282" s="794" t="str">
        <f t="shared" ca="1" si="225"/>
        <v>-</v>
      </c>
      <c r="AF282" s="798" t="str">
        <f t="shared" si="226"/>
        <v>-</v>
      </c>
      <c r="AG282" s="812" t="str">
        <f t="shared" si="227"/>
        <v>---------</v>
      </c>
      <c r="AH282" s="807">
        <v>43035</v>
      </c>
      <c r="AI282" s="807">
        <f t="shared" si="228"/>
        <v>43190</v>
      </c>
      <c r="AJ282" s="807">
        <f t="shared" si="229"/>
        <v>43220</v>
      </c>
      <c r="AK282" s="813"/>
      <c r="AL282" s="807">
        <f t="shared" si="230"/>
        <v>43259</v>
      </c>
      <c r="AM282" s="807">
        <f t="shared" si="231"/>
        <v>43280</v>
      </c>
      <c r="AN282" s="814">
        <f t="shared" ca="1" si="232"/>
        <v>-146</v>
      </c>
      <c r="AO282" s="815">
        <v>1</v>
      </c>
      <c r="AP282" s="816" t="str">
        <f t="shared" ca="1" si="233"/>
        <v>-</v>
      </c>
      <c r="AQ282" s="817"/>
      <c r="AR282" s="794" t="str">
        <f t="shared" si="234"/>
        <v>-</v>
      </c>
      <c r="AS282" s="818"/>
      <c r="AT282" s="794" t="str">
        <f t="shared" si="235"/>
        <v>-</v>
      </c>
      <c r="AU282" s="819"/>
      <c r="AV282" s="820"/>
      <c r="AW282" s="821"/>
      <c r="AX282" s="821"/>
      <c r="AY282" s="969" t="str">
        <f t="shared" si="236"/>
        <v>-</v>
      </c>
      <c r="AZ282" s="966" t="str">
        <f t="shared" si="237"/>
        <v>-</v>
      </c>
      <c r="BA282" s="971" t="str">
        <f t="shared" si="238"/>
        <v>-</v>
      </c>
      <c r="BB282" s="975"/>
      <c r="BC282" s="821"/>
      <c r="BD282" s="821"/>
      <c r="BE282" s="963" t="str">
        <f t="shared" si="239"/>
        <v>-</v>
      </c>
      <c r="BF282" s="984"/>
      <c r="BG282" s="988"/>
      <c r="BH282" s="982"/>
      <c r="BI282" s="991"/>
      <c r="BJ282" s="991"/>
      <c r="BK282" s="993" t="str">
        <f t="shared" si="240"/>
        <v>-</v>
      </c>
      <c r="BL282" s="820">
        <v>42980</v>
      </c>
      <c r="BM282" s="821">
        <v>5</v>
      </c>
      <c r="BN282" s="822">
        <f t="shared" ca="1" si="241"/>
        <v>154</v>
      </c>
      <c r="BO282" s="823">
        <f t="shared" si="242"/>
        <v>55.166666666666664</v>
      </c>
      <c r="BP282" s="824"/>
      <c r="BQ282" s="821"/>
      <c r="BR282" s="822" t="str">
        <f t="shared" si="243"/>
        <v>-</v>
      </c>
      <c r="BS282" s="823" t="str">
        <f t="shared" si="244"/>
        <v>-</v>
      </c>
      <c r="BT282" s="825" t="str">
        <f t="shared" ca="1" si="245"/>
        <v>-</v>
      </c>
      <c r="BU282" s="826"/>
      <c r="BV282" s="827"/>
      <c r="BW282" s="828" t="str">
        <f t="shared" si="246"/>
        <v>Ж-Е НЕ ВАКЦ.</v>
      </c>
      <c r="BX282" s="829" t="str">
        <f t="shared" si="247"/>
        <v>-</v>
      </c>
      <c r="BY282" s="830" t="str">
        <f t="shared" ca="1" si="248"/>
        <v>-</v>
      </c>
      <c r="BZ282" s="831">
        <v>42887</v>
      </c>
      <c r="CA282" s="832">
        <v>5</v>
      </c>
      <c r="CB282" s="833">
        <f t="shared" ca="1" si="249"/>
        <v>247</v>
      </c>
      <c r="CC282" s="834" t="str">
        <f t="shared" ca="1" si="250"/>
        <v>-</v>
      </c>
      <c r="CD282" s="835">
        <f t="shared" si="251"/>
        <v>42908</v>
      </c>
      <c r="CE282" s="831">
        <v>42908</v>
      </c>
      <c r="CF282" s="832">
        <v>5</v>
      </c>
      <c r="CG282" s="833">
        <f t="shared" ca="1" si="252"/>
        <v>226</v>
      </c>
      <c r="CH282" s="836">
        <f t="shared" si="253"/>
        <v>0</v>
      </c>
      <c r="CI282" s="837" t="str">
        <f t="shared" si="254"/>
        <v>УСПЕШНО</v>
      </c>
      <c r="CJ282" s="838" t="str">
        <f t="shared" ca="1" si="255"/>
        <v>-</v>
      </c>
      <c r="CK282" s="831"/>
      <c r="CL282" s="832"/>
      <c r="CM282" s="833" t="str">
        <f t="shared" si="256"/>
        <v>-</v>
      </c>
      <c r="CN282" s="834" t="str">
        <f t="shared" si="257"/>
        <v>-</v>
      </c>
      <c r="CO282" s="830" t="str">
        <f t="shared" ca="1" si="258"/>
        <v>-</v>
      </c>
      <c r="CP282" s="839"/>
      <c r="CQ282" s="832"/>
      <c r="CR282" s="833" t="str">
        <f t="shared" si="259"/>
        <v>-</v>
      </c>
      <c r="CS282" s="833" t="str">
        <f t="shared" si="260"/>
        <v>-</v>
      </c>
      <c r="CT282" s="834" t="str">
        <f t="shared" si="261"/>
        <v>-</v>
      </c>
      <c r="CU282" s="835" t="str">
        <f t="shared" si="262"/>
        <v>-</v>
      </c>
      <c r="CV282" s="839"/>
      <c r="CW282" s="832"/>
      <c r="CX282" s="833" t="str">
        <f t="shared" si="263"/>
        <v>-</v>
      </c>
      <c r="CY282" s="840" t="str">
        <f t="shared" si="264"/>
        <v>-</v>
      </c>
      <c r="CZ282" s="833" t="str">
        <f t="shared" si="265"/>
        <v>-</v>
      </c>
      <c r="DA282" s="838" t="str">
        <f t="shared" ca="1" si="266"/>
        <v>-</v>
      </c>
      <c r="DB282" s="841"/>
      <c r="DC282" s="832"/>
    </row>
    <row r="283" spans="1:107" s="842" customFormat="1" ht="15.95" customHeight="1" x14ac:dyDescent="0.25">
      <c r="A283" s="790">
        <v>284</v>
      </c>
      <c r="B283" s="791">
        <f t="shared" ca="1" si="215"/>
        <v>43134</v>
      </c>
      <c r="C283" s="792" t="s">
        <v>613</v>
      </c>
      <c r="D283" s="793" t="s">
        <v>3203</v>
      </c>
      <c r="E283" s="861" t="s">
        <v>633</v>
      </c>
      <c r="F283" s="859" t="s">
        <v>634</v>
      </c>
      <c r="G283" s="796">
        <f>SUMIFS(МОЛОКО!L8:L6958,МОЛОКО!F8:F6958,"1872",МОЛОКО!L8:L6958,"&gt;0")</f>
        <v>16.399999999999999</v>
      </c>
      <c r="H283" s="797" t="s">
        <v>603</v>
      </c>
      <c r="I283" s="798">
        <v>41416</v>
      </c>
      <c r="J283" s="799">
        <f t="shared" ca="1" si="216"/>
        <v>4.7068493150684931</v>
      </c>
      <c r="K283" s="799">
        <f t="shared" ca="1" si="217"/>
        <v>57.266666666666666</v>
      </c>
      <c r="L283" s="800">
        <f t="shared" ca="1" si="218"/>
        <v>1718</v>
      </c>
      <c r="M283" s="801">
        <v>42393</v>
      </c>
      <c r="N283" s="802">
        <v>42828</v>
      </c>
      <c r="O283" s="803">
        <f t="shared" ca="1" si="219"/>
        <v>306</v>
      </c>
      <c r="P283" s="804">
        <v>2</v>
      </c>
      <c r="Q283" s="68" t="s">
        <v>2366</v>
      </c>
      <c r="R283" s="118" t="s">
        <v>2962</v>
      </c>
      <c r="S283" s="807">
        <v>42887</v>
      </c>
      <c r="T283" s="798">
        <v>43035</v>
      </c>
      <c r="U283" s="798">
        <f t="shared" si="220"/>
        <v>43053</v>
      </c>
      <c r="V283" s="804">
        <f t="shared" ca="1" si="221"/>
        <v>81</v>
      </c>
      <c r="W283" s="808">
        <v>5</v>
      </c>
      <c r="X283" s="794">
        <f t="shared" si="214"/>
        <v>207</v>
      </c>
      <c r="Y283" s="794">
        <v>3</v>
      </c>
      <c r="Z283" s="809" t="str">
        <f t="shared" ca="1" si="222"/>
        <v>-----</v>
      </c>
      <c r="AA283" s="810">
        <f t="shared" ca="1" si="223"/>
        <v>99</v>
      </c>
      <c r="AB283" s="804"/>
      <c r="AC283" s="811" t="str">
        <f t="shared" ca="1" si="224"/>
        <v>-----</v>
      </c>
      <c r="AD283" s="798"/>
      <c r="AE283" s="794" t="str">
        <f t="shared" ca="1" si="225"/>
        <v>-</v>
      </c>
      <c r="AF283" s="798">
        <f t="shared" si="226"/>
        <v>43070</v>
      </c>
      <c r="AG283" s="812">
        <f t="shared" ca="1" si="227"/>
        <v>64</v>
      </c>
      <c r="AH283" s="807">
        <v>43020</v>
      </c>
      <c r="AI283" s="807" t="str">
        <f t="shared" si="228"/>
        <v>-</v>
      </c>
      <c r="AJ283" s="807" t="str">
        <f t="shared" si="229"/>
        <v>-</v>
      </c>
      <c r="AK283" s="813"/>
      <c r="AL283" s="807" t="str">
        <f t="shared" si="230"/>
        <v>-</v>
      </c>
      <c r="AM283" s="807" t="str">
        <f t="shared" si="231"/>
        <v>-</v>
      </c>
      <c r="AN283" s="814" t="str">
        <f t="shared" ca="1" si="232"/>
        <v>-</v>
      </c>
      <c r="AO283" s="815">
        <v>1</v>
      </c>
      <c r="AP283" s="816" t="str">
        <f t="shared" ca="1" si="233"/>
        <v>-</v>
      </c>
      <c r="AQ283" s="817"/>
      <c r="AR283" s="794" t="str">
        <f t="shared" si="234"/>
        <v>-</v>
      </c>
      <c r="AS283" s="818"/>
      <c r="AT283" s="794" t="str">
        <f t="shared" si="235"/>
        <v>-</v>
      </c>
      <c r="AU283" s="819"/>
      <c r="AV283" s="820"/>
      <c r="AW283" s="821"/>
      <c r="AX283" s="821"/>
      <c r="AY283" s="969" t="str">
        <f t="shared" si="236"/>
        <v>-</v>
      </c>
      <c r="AZ283" s="966" t="str">
        <f t="shared" si="237"/>
        <v>-</v>
      </c>
      <c r="BA283" s="971" t="str">
        <f t="shared" si="238"/>
        <v>-</v>
      </c>
      <c r="BB283" s="975"/>
      <c r="BC283" s="821"/>
      <c r="BD283" s="821"/>
      <c r="BE283" s="963" t="str">
        <f t="shared" si="239"/>
        <v>-</v>
      </c>
      <c r="BF283" s="984"/>
      <c r="BG283" s="988"/>
      <c r="BH283" s="982"/>
      <c r="BI283" s="991"/>
      <c r="BJ283" s="991"/>
      <c r="BK283" s="993" t="str">
        <f t="shared" si="240"/>
        <v>-</v>
      </c>
      <c r="BL283" s="820">
        <v>42981</v>
      </c>
      <c r="BM283" s="821">
        <v>5</v>
      </c>
      <c r="BN283" s="822">
        <f t="shared" ca="1" si="241"/>
        <v>153</v>
      </c>
      <c r="BO283" s="823">
        <f t="shared" si="242"/>
        <v>52.166666666666664</v>
      </c>
      <c r="BP283" s="824"/>
      <c r="BQ283" s="821"/>
      <c r="BR283" s="822" t="str">
        <f t="shared" si="243"/>
        <v>-</v>
      </c>
      <c r="BS283" s="823" t="str">
        <f t="shared" si="244"/>
        <v>-</v>
      </c>
      <c r="BT283" s="825" t="str">
        <f t="shared" ca="1" si="245"/>
        <v>-</v>
      </c>
      <c r="BU283" s="826"/>
      <c r="BV283" s="827"/>
      <c r="BW283" s="828" t="str">
        <f t="shared" si="246"/>
        <v>Ж-Е НЕ ВАКЦ.</v>
      </c>
      <c r="BX283" s="829" t="str">
        <f t="shared" si="247"/>
        <v>-</v>
      </c>
      <c r="BY283" s="830" t="str">
        <f t="shared" ca="1" si="248"/>
        <v>-</v>
      </c>
      <c r="BZ283" s="831">
        <v>42887</v>
      </c>
      <c r="CA283" s="832">
        <v>5</v>
      </c>
      <c r="CB283" s="833">
        <f t="shared" ca="1" si="249"/>
        <v>247</v>
      </c>
      <c r="CC283" s="834" t="str">
        <f t="shared" ca="1" si="250"/>
        <v>-</v>
      </c>
      <c r="CD283" s="835">
        <f t="shared" si="251"/>
        <v>42908</v>
      </c>
      <c r="CE283" s="831">
        <v>42908</v>
      </c>
      <c r="CF283" s="832">
        <v>5</v>
      </c>
      <c r="CG283" s="833">
        <f t="shared" ca="1" si="252"/>
        <v>226</v>
      </c>
      <c r="CH283" s="836">
        <f t="shared" si="253"/>
        <v>0</v>
      </c>
      <c r="CI283" s="837" t="str">
        <f t="shared" si="254"/>
        <v>УСПЕШНО</v>
      </c>
      <c r="CJ283" s="838" t="str">
        <f t="shared" ca="1" si="255"/>
        <v>-</v>
      </c>
      <c r="CK283" s="831"/>
      <c r="CL283" s="832"/>
      <c r="CM283" s="833" t="str">
        <f t="shared" si="256"/>
        <v>-</v>
      </c>
      <c r="CN283" s="834" t="str">
        <f t="shared" si="257"/>
        <v>-</v>
      </c>
      <c r="CO283" s="830" t="str">
        <f t="shared" ca="1" si="258"/>
        <v>-</v>
      </c>
      <c r="CP283" s="839"/>
      <c r="CQ283" s="832"/>
      <c r="CR283" s="833" t="str">
        <f t="shared" si="259"/>
        <v>-</v>
      </c>
      <c r="CS283" s="833" t="str">
        <f t="shared" si="260"/>
        <v>-</v>
      </c>
      <c r="CT283" s="834" t="str">
        <f t="shared" si="261"/>
        <v>-</v>
      </c>
      <c r="CU283" s="835" t="str">
        <f t="shared" si="262"/>
        <v>-</v>
      </c>
      <c r="CV283" s="839"/>
      <c r="CW283" s="832"/>
      <c r="CX283" s="833" t="str">
        <f t="shared" si="263"/>
        <v>-</v>
      </c>
      <c r="CY283" s="840" t="str">
        <f t="shared" si="264"/>
        <v>-</v>
      </c>
      <c r="CZ283" s="833" t="str">
        <f t="shared" si="265"/>
        <v>-</v>
      </c>
      <c r="DA283" s="838" t="str">
        <f t="shared" ca="1" si="266"/>
        <v>-</v>
      </c>
      <c r="DB283" s="841"/>
      <c r="DC283" s="832"/>
    </row>
    <row r="284" spans="1:107" s="842" customFormat="1" ht="15.95" customHeight="1" x14ac:dyDescent="0.25">
      <c r="A284" s="790">
        <v>285</v>
      </c>
      <c r="B284" s="791">
        <f t="shared" ca="1" si="215"/>
        <v>43134</v>
      </c>
      <c r="C284" s="792" t="s">
        <v>613</v>
      </c>
      <c r="D284" s="793" t="s">
        <v>3203</v>
      </c>
      <c r="E284" s="794" t="s">
        <v>542</v>
      </c>
      <c r="F284" s="795" t="s">
        <v>543</v>
      </c>
      <c r="G284" s="796">
        <f>SUMIFS(МОЛОКО!L8:L6958,МОЛОКО!F8:F6958,"1952",МОЛОКО!L8:L6958,"&gt;0")</f>
        <v>21</v>
      </c>
      <c r="H284" s="797" t="s">
        <v>603</v>
      </c>
      <c r="I284" s="798">
        <v>41523</v>
      </c>
      <c r="J284" s="799">
        <f t="shared" ca="1" si="216"/>
        <v>4.4136986301369863</v>
      </c>
      <c r="K284" s="799">
        <f t="shared" ca="1" si="217"/>
        <v>53.7</v>
      </c>
      <c r="L284" s="800">
        <f t="shared" ca="1" si="218"/>
        <v>1611</v>
      </c>
      <c r="M284" s="801">
        <v>42434</v>
      </c>
      <c r="N284" s="802">
        <v>42838</v>
      </c>
      <c r="O284" s="803">
        <f t="shared" ca="1" si="219"/>
        <v>296</v>
      </c>
      <c r="P284" s="804">
        <v>2</v>
      </c>
      <c r="Q284" s="68" t="s">
        <v>1451</v>
      </c>
      <c r="R284" s="806" t="s">
        <v>2962</v>
      </c>
      <c r="S284" s="807">
        <v>42901</v>
      </c>
      <c r="T284" s="798">
        <v>43028</v>
      </c>
      <c r="U284" s="798">
        <f t="shared" si="220"/>
        <v>43046</v>
      </c>
      <c r="V284" s="804">
        <f t="shared" ca="1" si="221"/>
        <v>88</v>
      </c>
      <c r="W284" s="808">
        <v>3</v>
      </c>
      <c r="X284" s="794">
        <f t="shared" si="214"/>
        <v>190</v>
      </c>
      <c r="Y284" s="794">
        <v>3</v>
      </c>
      <c r="Z284" s="809" t="str">
        <f t="shared" ca="1" si="222"/>
        <v>-----</v>
      </c>
      <c r="AA284" s="810">
        <f t="shared" ca="1" si="223"/>
        <v>106</v>
      </c>
      <c r="AB284" s="804"/>
      <c r="AC284" s="811" t="str">
        <f t="shared" ca="1" si="224"/>
        <v>-----</v>
      </c>
      <c r="AD284" s="798"/>
      <c r="AE284" s="794" t="str">
        <f t="shared" ca="1" si="225"/>
        <v>-</v>
      </c>
      <c r="AF284" s="798">
        <f t="shared" si="226"/>
        <v>43063</v>
      </c>
      <c r="AG284" s="812">
        <f t="shared" ca="1" si="227"/>
        <v>71</v>
      </c>
      <c r="AH284" s="807">
        <v>42979</v>
      </c>
      <c r="AI284" s="807" t="str">
        <f t="shared" si="228"/>
        <v>-</v>
      </c>
      <c r="AJ284" s="807" t="str">
        <f t="shared" si="229"/>
        <v>-</v>
      </c>
      <c r="AK284" s="813"/>
      <c r="AL284" s="807" t="str">
        <f t="shared" si="230"/>
        <v>-</v>
      </c>
      <c r="AM284" s="807" t="str">
        <f t="shared" si="231"/>
        <v>-</v>
      </c>
      <c r="AN284" s="814" t="str">
        <f t="shared" ca="1" si="232"/>
        <v>-</v>
      </c>
      <c r="AO284" s="815">
        <v>1</v>
      </c>
      <c r="AP284" s="816" t="str">
        <f t="shared" ca="1" si="233"/>
        <v>-</v>
      </c>
      <c r="AQ284" s="817"/>
      <c r="AR284" s="794" t="str">
        <f t="shared" si="234"/>
        <v>-</v>
      </c>
      <c r="AS284" s="818"/>
      <c r="AT284" s="794" t="str">
        <f t="shared" si="235"/>
        <v>-</v>
      </c>
      <c r="AU284" s="819"/>
      <c r="AV284" s="820"/>
      <c r="AW284" s="821"/>
      <c r="AX284" s="821"/>
      <c r="AY284" s="969" t="str">
        <f t="shared" si="236"/>
        <v>-</v>
      </c>
      <c r="AZ284" s="966" t="str">
        <f t="shared" si="237"/>
        <v>-</v>
      </c>
      <c r="BA284" s="971" t="str">
        <f t="shared" si="238"/>
        <v>-</v>
      </c>
      <c r="BB284" s="975"/>
      <c r="BC284" s="821"/>
      <c r="BD284" s="821"/>
      <c r="BE284" s="963" t="str">
        <f t="shared" si="239"/>
        <v>-</v>
      </c>
      <c r="BF284" s="984"/>
      <c r="BG284" s="988"/>
      <c r="BH284" s="982"/>
      <c r="BI284" s="991"/>
      <c r="BJ284" s="991"/>
      <c r="BK284" s="993" t="str">
        <f t="shared" si="240"/>
        <v>-</v>
      </c>
      <c r="BL284" s="820">
        <v>42980</v>
      </c>
      <c r="BM284" s="821">
        <v>5</v>
      </c>
      <c r="BN284" s="822">
        <f t="shared" ca="1" si="241"/>
        <v>154</v>
      </c>
      <c r="BO284" s="823">
        <f t="shared" si="242"/>
        <v>48.56666666666667</v>
      </c>
      <c r="BP284" s="824">
        <v>43001</v>
      </c>
      <c r="BQ284" s="821">
        <v>2</v>
      </c>
      <c r="BR284" s="822">
        <f t="shared" ca="1" si="243"/>
        <v>133</v>
      </c>
      <c r="BS284" s="823">
        <f t="shared" si="244"/>
        <v>18.899999999999999</v>
      </c>
      <c r="BT284" s="825" t="str">
        <f t="shared" ca="1" si="245"/>
        <v>-</v>
      </c>
      <c r="BU284" s="826"/>
      <c r="BV284" s="827"/>
      <c r="BW284" s="828" t="str">
        <f t="shared" si="246"/>
        <v>Ж-Е НЕ ВАКЦ.</v>
      </c>
      <c r="BX284" s="829" t="str">
        <f t="shared" si="247"/>
        <v>-</v>
      </c>
      <c r="BY284" s="830" t="str">
        <f t="shared" ca="1" si="248"/>
        <v>-</v>
      </c>
      <c r="BZ284" s="831">
        <v>42887</v>
      </c>
      <c r="CA284" s="832">
        <v>5</v>
      </c>
      <c r="CB284" s="833">
        <f t="shared" ca="1" si="249"/>
        <v>247</v>
      </c>
      <c r="CC284" s="834" t="str">
        <f t="shared" ca="1" si="250"/>
        <v>-</v>
      </c>
      <c r="CD284" s="835">
        <f t="shared" si="251"/>
        <v>42908</v>
      </c>
      <c r="CE284" s="831">
        <v>42908</v>
      </c>
      <c r="CF284" s="832">
        <v>5</v>
      </c>
      <c r="CG284" s="833">
        <f t="shared" ca="1" si="252"/>
        <v>226</v>
      </c>
      <c r="CH284" s="836">
        <f t="shared" si="253"/>
        <v>0</v>
      </c>
      <c r="CI284" s="837" t="str">
        <f t="shared" si="254"/>
        <v>УСПЕШНО</v>
      </c>
      <c r="CJ284" s="838" t="str">
        <f t="shared" ca="1" si="255"/>
        <v>-</v>
      </c>
      <c r="CK284" s="831"/>
      <c r="CL284" s="832"/>
      <c r="CM284" s="833" t="str">
        <f t="shared" si="256"/>
        <v>-</v>
      </c>
      <c r="CN284" s="834" t="str">
        <f t="shared" si="257"/>
        <v>-</v>
      </c>
      <c r="CO284" s="830" t="str">
        <f t="shared" ca="1" si="258"/>
        <v>-</v>
      </c>
      <c r="CP284" s="839"/>
      <c r="CQ284" s="832"/>
      <c r="CR284" s="833" t="str">
        <f t="shared" si="259"/>
        <v>-</v>
      </c>
      <c r="CS284" s="833" t="str">
        <f t="shared" si="260"/>
        <v>-</v>
      </c>
      <c r="CT284" s="834" t="str">
        <f t="shared" si="261"/>
        <v>-</v>
      </c>
      <c r="CU284" s="835" t="str">
        <f t="shared" si="262"/>
        <v>-</v>
      </c>
      <c r="CV284" s="839"/>
      <c r="CW284" s="832"/>
      <c r="CX284" s="833" t="str">
        <f t="shared" si="263"/>
        <v>-</v>
      </c>
      <c r="CY284" s="840" t="str">
        <f t="shared" si="264"/>
        <v>-</v>
      </c>
      <c r="CZ284" s="833" t="str">
        <f t="shared" si="265"/>
        <v>-</v>
      </c>
      <c r="DA284" s="838" t="str">
        <f t="shared" ca="1" si="266"/>
        <v>-</v>
      </c>
      <c r="DB284" s="841"/>
      <c r="DC284" s="832"/>
    </row>
    <row r="285" spans="1:107" s="842" customFormat="1" ht="15.95" customHeight="1" x14ac:dyDescent="0.25">
      <c r="A285" s="790">
        <v>286</v>
      </c>
      <c r="B285" s="791">
        <f t="shared" ca="1" si="215"/>
        <v>43134</v>
      </c>
      <c r="C285" s="792" t="s">
        <v>613</v>
      </c>
      <c r="D285" s="793" t="s">
        <v>3203</v>
      </c>
      <c r="E285" s="794" t="s">
        <v>1363</v>
      </c>
      <c r="F285" s="795" t="s">
        <v>1248</v>
      </c>
      <c r="G285" s="796">
        <f>SUMIFS(МОЛОКО!L8:L6958,МОЛОКО!F8:F6958,"2057",МОЛОКО!L8:L6958,"&gt;0")</f>
        <v>17</v>
      </c>
      <c r="H285" s="797" t="s">
        <v>603</v>
      </c>
      <c r="I285" s="798">
        <v>41611</v>
      </c>
      <c r="J285" s="799">
        <f t="shared" ca="1" si="216"/>
        <v>4.1726027397260275</v>
      </c>
      <c r="K285" s="799">
        <f t="shared" ca="1" si="217"/>
        <v>50.766666666666666</v>
      </c>
      <c r="L285" s="800">
        <f t="shared" ca="1" si="218"/>
        <v>1523</v>
      </c>
      <c r="M285" s="801">
        <v>42478</v>
      </c>
      <c r="N285" s="802">
        <v>42807</v>
      </c>
      <c r="O285" s="803">
        <f t="shared" ca="1" si="219"/>
        <v>327</v>
      </c>
      <c r="P285" s="804">
        <v>2</v>
      </c>
      <c r="Q285" s="805" t="s">
        <v>1451</v>
      </c>
      <c r="R285" s="806" t="s">
        <v>2664</v>
      </c>
      <c r="S285" s="807">
        <v>42873</v>
      </c>
      <c r="T285" s="798">
        <v>42873</v>
      </c>
      <c r="U285" s="798" t="str">
        <f t="shared" si="220"/>
        <v>-</v>
      </c>
      <c r="V285" s="804" t="str">
        <f t="shared" ca="1" si="221"/>
        <v>-</v>
      </c>
      <c r="W285" s="808">
        <v>1</v>
      </c>
      <c r="X285" s="794">
        <f t="shared" si="214"/>
        <v>66</v>
      </c>
      <c r="Y285" s="794">
        <v>1</v>
      </c>
      <c r="Z285" s="809" t="str">
        <f t="shared" ca="1" si="222"/>
        <v>-----</v>
      </c>
      <c r="AA285" s="810" t="str">
        <f t="shared" ca="1" si="223"/>
        <v>-----</v>
      </c>
      <c r="AB285" s="804">
        <v>1</v>
      </c>
      <c r="AC285" s="811" t="str">
        <f t="shared" ca="1" si="224"/>
        <v>-----</v>
      </c>
      <c r="AD285" s="798">
        <v>42935</v>
      </c>
      <c r="AE285" s="794" t="str">
        <f t="shared" ca="1" si="225"/>
        <v>-</v>
      </c>
      <c r="AF285" s="798" t="str">
        <f t="shared" si="226"/>
        <v>-</v>
      </c>
      <c r="AG285" s="812" t="str">
        <f t="shared" si="227"/>
        <v>---------</v>
      </c>
      <c r="AH285" s="807">
        <v>42908</v>
      </c>
      <c r="AI285" s="807">
        <f t="shared" si="228"/>
        <v>43063</v>
      </c>
      <c r="AJ285" s="807">
        <f t="shared" si="229"/>
        <v>43093</v>
      </c>
      <c r="AK285" s="813"/>
      <c r="AL285" s="807">
        <f t="shared" si="230"/>
        <v>43132</v>
      </c>
      <c r="AM285" s="807">
        <f t="shared" si="231"/>
        <v>43153</v>
      </c>
      <c r="AN285" s="814">
        <f t="shared" ca="1" si="232"/>
        <v>-19</v>
      </c>
      <c r="AO285" s="815">
        <v>1</v>
      </c>
      <c r="AP285" s="816" t="str">
        <f t="shared" ca="1" si="233"/>
        <v>-</v>
      </c>
      <c r="AQ285" s="817"/>
      <c r="AR285" s="794" t="str">
        <f t="shared" si="234"/>
        <v>-</v>
      </c>
      <c r="AS285" s="818"/>
      <c r="AT285" s="794" t="str">
        <f t="shared" si="235"/>
        <v>-</v>
      </c>
      <c r="AU285" s="819"/>
      <c r="AV285" s="820"/>
      <c r="AW285" s="821"/>
      <c r="AX285" s="821"/>
      <c r="AY285" s="969" t="str">
        <f t="shared" si="236"/>
        <v>-</v>
      </c>
      <c r="AZ285" s="966" t="str">
        <f t="shared" si="237"/>
        <v>-</v>
      </c>
      <c r="BA285" s="971" t="str">
        <f t="shared" si="238"/>
        <v>-</v>
      </c>
      <c r="BB285" s="975"/>
      <c r="BC285" s="821"/>
      <c r="BD285" s="821"/>
      <c r="BE285" s="963" t="str">
        <f t="shared" si="239"/>
        <v>-</v>
      </c>
      <c r="BF285" s="984"/>
      <c r="BG285" s="988"/>
      <c r="BH285" s="982"/>
      <c r="BI285" s="991"/>
      <c r="BJ285" s="991"/>
      <c r="BK285" s="993" t="str">
        <f t="shared" si="240"/>
        <v>-</v>
      </c>
      <c r="BL285" s="820">
        <v>42981</v>
      </c>
      <c r="BM285" s="821">
        <v>5</v>
      </c>
      <c r="BN285" s="822">
        <f t="shared" ca="1" si="241"/>
        <v>153</v>
      </c>
      <c r="BO285" s="823">
        <f t="shared" si="242"/>
        <v>45.666666666666664</v>
      </c>
      <c r="BP285" s="824">
        <v>43001</v>
      </c>
      <c r="BQ285" s="821">
        <v>2</v>
      </c>
      <c r="BR285" s="822">
        <f t="shared" ca="1" si="243"/>
        <v>133</v>
      </c>
      <c r="BS285" s="823">
        <f t="shared" si="244"/>
        <v>17.433333333333334</v>
      </c>
      <c r="BT285" s="825" t="str">
        <f t="shared" ca="1" si="245"/>
        <v>-</v>
      </c>
      <c r="BU285" s="826"/>
      <c r="BV285" s="827"/>
      <c r="BW285" s="828" t="str">
        <f t="shared" si="246"/>
        <v>Ж-Е НЕ ВАКЦ.</v>
      </c>
      <c r="BX285" s="829" t="str">
        <f t="shared" si="247"/>
        <v>-</v>
      </c>
      <c r="BY285" s="830" t="str">
        <f t="shared" ca="1" si="248"/>
        <v>-</v>
      </c>
      <c r="BZ285" s="831">
        <v>42887</v>
      </c>
      <c r="CA285" s="832">
        <v>5</v>
      </c>
      <c r="CB285" s="833">
        <f t="shared" ca="1" si="249"/>
        <v>247</v>
      </c>
      <c r="CC285" s="834" t="str">
        <f t="shared" ca="1" si="250"/>
        <v>-</v>
      </c>
      <c r="CD285" s="835">
        <f t="shared" si="251"/>
        <v>42908</v>
      </c>
      <c r="CE285" s="831">
        <v>42908</v>
      </c>
      <c r="CF285" s="832">
        <v>5</v>
      </c>
      <c r="CG285" s="833">
        <f t="shared" ca="1" si="252"/>
        <v>226</v>
      </c>
      <c r="CH285" s="836">
        <f t="shared" si="253"/>
        <v>0</v>
      </c>
      <c r="CI285" s="837" t="str">
        <f t="shared" si="254"/>
        <v>УСПЕШНО</v>
      </c>
      <c r="CJ285" s="838" t="str">
        <f t="shared" ca="1" si="255"/>
        <v>-</v>
      </c>
      <c r="CK285" s="831"/>
      <c r="CL285" s="832"/>
      <c r="CM285" s="833" t="str">
        <f t="shared" si="256"/>
        <v>-</v>
      </c>
      <c r="CN285" s="834" t="str">
        <f t="shared" si="257"/>
        <v>-</v>
      </c>
      <c r="CO285" s="830" t="str">
        <f t="shared" ca="1" si="258"/>
        <v>ТРЕБУЕТСЯ ВАКЦИНАЦИЯ</v>
      </c>
      <c r="CP285" s="839"/>
      <c r="CQ285" s="832"/>
      <c r="CR285" s="833" t="str">
        <f t="shared" si="259"/>
        <v>-</v>
      </c>
      <c r="CS285" s="833" t="str">
        <f t="shared" si="260"/>
        <v>-</v>
      </c>
      <c r="CT285" s="834" t="str">
        <f t="shared" si="261"/>
        <v>-</v>
      </c>
      <c r="CU285" s="835" t="str">
        <f t="shared" si="262"/>
        <v>-</v>
      </c>
      <c r="CV285" s="839"/>
      <c r="CW285" s="832"/>
      <c r="CX285" s="833" t="str">
        <f t="shared" si="263"/>
        <v>-</v>
      </c>
      <c r="CY285" s="840" t="str">
        <f t="shared" si="264"/>
        <v>-</v>
      </c>
      <c r="CZ285" s="833" t="str">
        <f t="shared" si="265"/>
        <v>-</v>
      </c>
      <c r="DA285" s="838" t="str">
        <f t="shared" ca="1" si="266"/>
        <v>-</v>
      </c>
      <c r="DB285" s="841"/>
      <c r="DC285" s="832"/>
    </row>
    <row r="286" spans="1:107" s="842" customFormat="1" ht="15.95" customHeight="1" x14ac:dyDescent="0.25">
      <c r="A286" s="790">
        <v>287</v>
      </c>
      <c r="B286" s="791">
        <f t="shared" ca="1" si="215"/>
        <v>43134</v>
      </c>
      <c r="C286" s="29" t="s">
        <v>613</v>
      </c>
      <c r="D286" s="793" t="s">
        <v>3203</v>
      </c>
      <c r="E286" s="794" t="s">
        <v>1083</v>
      </c>
      <c r="F286" s="795" t="s">
        <v>1249</v>
      </c>
      <c r="G286" s="796">
        <f>SUMIFS(МОЛОКО!L8:L6958,МОЛОКО!F8:F6958,"2060",МОЛОКО!L8:L6958,"&gt;0")</f>
        <v>18.2</v>
      </c>
      <c r="H286" s="797" t="s">
        <v>603</v>
      </c>
      <c r="I286" s="798">
        <v>41612</v>
      </c>
      <c r="J286" s="799">
        <f t="shared" ca="1" si="216"/>
        <v>4.1698630136986301</v>
      </c>
      <c r="K286" s="799">
        <f t="shared" ca="1" si="217"/>
        <v>50.733333333333334</v>
      </c>
      <c r="L286" s="800">
        <f t="shared" ca="1" si="218"/>
        <v>1522</v>
      </c>
      <c r="M286" s="801">
        <v>42471</v>
      </c>
      <c r="N286" s="802">
        <v>42819</v>
      </c>
      <c r="O286" s="803">
        <f t="shared" ca="1" si="219"/>
        <v>315</v>
      </c>
      <c r="P286" s="804">
        <v>2</v>
      </c>
      <c r="Q286" s="805" t="s">
        <v>2366</v>
      </c>
      <c r="R286" s="806" t="s">
        <v>1876</v>
      </c>
      <c r="S286" s="807">
        <v>42880</v>
      </c>
      <c r="T286" s="798">
        <v>42900</v>
      </c>
      <c r="U286" s="798" t="str">
        <f t="shared" si="220"/>
        <v>-</v>
      </c>
      <c r="V286" s="804" t="str">
        <f t="shared" ca="1" si="221"/>
        <v>-</v>
      </c>
      <c r="W286" s="808">
        <v>2</v>
      </c>
      <c r="X286" s="794">
        <f t="shared" si="214"/>
        <v>81</v>
      </c>
      <c r="Y286" s="794">
        <v>1</v>
      </c>
      <c r="Z286" s="809" t="str">
        <f t="shared" ca="1" si="222"/>
        <v>-----</v>
      </c>
      <c r="AA286" s="810" t="str">
        <f t="shared" ca="1" si="223"/>
        <v>-----</v>
      </c>
      <c r="AB286" s="804">
        <v>1</v>
      </c>
      <c r="AC286" s="811" t="str">
        <f t="shared" ca="1" si="224"/>
        <v>-----</v>
      </c>
      <c r="AD286" s="798"/>
      <c r="AE286" s="794" t="str">
        <f t="shared" ca="1" si="225"/>
        <v>-</v>
      </c>
      <c r="AF286" s="798" t="str">
        <f t="shared" si="226"/>
        <v>-</v>
      </c>
      <c r="AG286" s="812" t="str">
        <f t="shared" si="227"/>
        <v>---------</v>
      </c>
      <c r="AH286" s="807">
        <v>42971</v>
      </c>
      <c r="AI286" s="807">
        <f t="shared" si="228"/>
        <v>43090</v>
      </c>
      <c r="AJ286" s="807">
        <f t="shared" si="229"/>
        <v>43120</v>
      </c>
      <c r="AK286" s="813"/>
      <c r="AL286" s="807">
        <f t="shared" si="230"/>
        <v>43159</v>
      </c>
      <c r="AM286" s="807">
        <f t="shared" si="231"/>
        <v>43180</v>
      </c>
      <c r="AN286" s="814">
        <f t="shared" ca="1" si="232"/>
        <v>-46</v>
      </c>
      <c r="AO286" s="815">
        <v>1</v>
      </c>
      <c r="AP286" s="816" t="str">
        <f t="shared" ca="1" si="233"/>
        <v>-</v>
      </c>
      <c r="AQ286" s="817"/>
      <c r="AR286" s="794" t="str">
        <f t="shared" si="234"/>
        <v>-</v>
      </c>
      <c r="AS286" s="818"/>
      <c r="AT286" s="794" t="str">
        <f t="shared" si="235"/>
        <v>-</v>
      </c>
      <c r="AU286" s="819"/>
      <c r="AV286" s="820"/>
      <c r="AW286" s="821"/>
      <c r="AX286" s="821"/>
      <c r="AY286" s="969" t="str">
        <f t="shared" si="236"/>
        <v>-</v>
      </c>
      <c r="AZ286" s="966" t="str">
        <f t="shared" si="237"/>
        <v>-</v>
      </c>
      <c r="BA286" s="971" t="str">
        <f t="shared" si="238"/>
        <v>-</v>
      </c>
      <c r="BB286" s="975"/>
      <c r="BC286" s="821"/>
      <c r="BD286" s="821"/>
      <c r="BE286" s="963" t="str">
        <f t="shared" si="239"/>
        <v>-</v>
      </c>
      <c r="BF286" s="984"/>
      <c r="BG286" s="988"/>
      <c r="BH286" s="982"/>
      <c r="BI286" s="991"/>
      <c r="BJ286" s="991"/>
      <c r="BK286" s="993" t="str">
        <f t="shared" si="240"/>
        <v>-</v>
      </c>
      <c r="BL286" s="820">
        <v>42980</v>
      </c>
      <c r="BM286" s="821">
        <v>5</v>
      </c>
      <c r="BN286" s="822">
        <f t="shared" ca="1" si="241"/>
        <v>154</v>
      </c>
      <c r="BO286" s="823">
        <f t="shared" si="242"/>
        <v>45.6</v>
      </c>
      <c r="BP286" s="824">
        <v>43001</v>
      </c>
      <c r="BQ286" s="821">
        <v>2</v>
      </c>
      <c r="BR286" s="822">
        <f t="shared" ca="1" si="243"/>
        <v>133</v>
      </c>
      <c r="BS286" s="823">
        <f t="shared" si="244"/>
        <v>17.666666666666668</v>
      </c>
      <c r="BT286" s="825" t="str">
        <f t="shared" ca="1" si="245"/>
        <v>-</v>
      </c>
      <c r="BU286" s="826"/>
      <c r="BV286" s="827"/>
      <c r="BW286" s="828" t="str">
        <f t="shared" si="246"/>
        <v>Ж-Е НЕ ВАКЦ.</v>
      </c>
      <c r="BX286" s="829" t="str">
        <f t="shared" si="247"/>
        <v>-</v>
      </c>
      <c r="BY286" s="830" t="str">
        <f t="shared" ca="1" si="248"/>
        <v>-</v>
      </c>
      <c r="BZ286" s="831">
        <v>42887</v>
      </c>
      <c r="CA286" s="832">
        <v>5</v>
      </c>
      <c r="CB286" s="833">
        <f t="shared" ca="1" si="249"/>
        <v>247</v>
      </c>
      <c r="CC286" s="834" t="str">
        <f t="shared" ca="1" si="250"/>
        <v>-</v>
      </c>
      <c r="CD286" s="835">
        <f t="shared" si="251"/>
        <v>42908</v>
      </c>
      <c r="CE286" s="831">
        <v>42908</v>
      </c>
      <c r="CF286" s="832">
        <v>5</v>
      </c>
      <c r="CG286" s="833">
        <f t="shared" ca="1" si="252"/>
        <v>226</v>
      </c>
      <c r="CH286" s="836">
        <f t="shared" si="253"/>
        <v>0</v>
      </c>
      <c r="CI286" s="837" t="str">
        <f t="shared" si="254"/>
        <v>УСПЕШНО</v>
      </c>
      <c r="CJ286" s="838" t="str">
        <f t="shared" ca="1" si="255"/>
        <v>-</v>
      </c>
      <c r="CK286" s="831"/>
      <c r="CL286" s="832"/>
      <c r="CM286" s="833" t="str">
        <f t="shared" si="256"/>
        <v>-</v>
      </c>
      <c r="CN286" s="834" t="str">
        <f t="shared" si="257"/>
        <v>-</v>
      </c>
      <c r="CO286" s="830" t="str">
        <f t="shared" ca="1" si="258"/>
        <v>ТРЕБУЕТСЯ ВАКЦИНАЦИЯ</v>
      </c>
      <c r="CP286" s="839"/>
      <c r="CQ286" s="832"/>
      <c r="CR286" s="833" t="str">
        <f t="shared" si="259"/>
        <v>-</v>
      </c>
      <c r="CS286" s="833" t="str">
        <f t="shared" si="260"/>
        <v>-</v>
      </c>
      <c r="CT286" s="834" t="str">
        <f t="shared" si="261"/>
        <v>-</v>
      </c>
      <c r="CU286" s="835" t="str">
        <f t="shared" si="262"/>
        <v>-</v>
      </c>
      <c r="CV286" s="839"/>
      <c r="CW286" s="832"/>
      <c r="CX286" s="833" t="str">
        <f t="shared" si="263"/>
        <v>-</v>
      </c>
      <c r="CY286" s="840" t="str">
        <f t="shared" si="264"/>
        <v>-</v>
      </c>
      <c r="CZ286" s="833" t="str">
        <f t="shared" si="265"/>
        <v>-</v>
      </c>
      <c r="DA286" s="838" t="str">
        <f t="shared" ca="1" si="266"/>
        <v>-</v>
      </c>
      <c r="DB286" s="841"/>
      <c r="DC286" s="832"/>
    </row>
    <row r="287" spans="1:107" s="842" customFormat="1" ht="15.95" customHeight="1" x14ac:dyDescent="0.25">
      <c r="A287" s="790">
        <v>288</v>
      </c>
      <c r="B287" s="791">
        <f t="shared" ca="1" si="215"/>
        <v>43134</v>
      </c>
      <c r="C287" s="792" t="s">
        <v>613</v>
      </c>
      <c r="D287" s="793" t="s">
        <v>3203</v>
      </c>
      <c r="E287" s="794" t="s">
        <v>648</v>
      </c>
      <c r="F287" s="795" t="s">
        <v>649</v>
      </c>
      <c r="G287" s="796">
        <f>SUMIFS(МОЛОКО!L8:L6958,МОЛОКО!F8:F6958,"2112",МОЛОКО!L8:L6958,"&gt;0")</f>
        <v>15.899999999999999</v>
      </c>
      <c r="H287" s="797" t="s">
        <v>603</v>
      </c>
      <c r="I287" s="798">
        <v>41663</v>
      </c>
      <c r="J287" s="799">
        <f t="shared" ca="1" si="216"/>
        <v>4.0301369863013701</v>
      </c>
      <c r="K287" s="799">
        <f t="shared" ca="1" si="217"/>
        <v>49.033333333333331</v>
      </c>
      <c r="L287" s="800">
        <f t="shared" ca="1" si="218"/>
        <v>1471</v>
      </c>
      <c r="M287" s="801">
        <v>42407</v>
      </c>
      <c r="N287" s="802">
        <v>42801</v>
      </c>
      <c r="O287" s="803">
        <f t="shared" ca="1" si="219"/>
        <v>333</v>
      </c>
      <c r="P287" s="804">
        <v>2</v>
      </c>
      <c r="Q287" s="805" t="s">
        <v>1451</v>
      </c>
      <c r="R287" s="806" t="s">
        <v>2663</v>
      </c>
      <c r="S287" s="807">
        <v>42866</v>
      </c>
      <c r="T287" s="798">
        <v>42866</v>
      </c>
      <c r="U287" s="798" t="str">
        <f t="shared" si="220"/>
        <v>-</v>
      </c>
      <c r="V287" s="804" t="str">
        <f t="shared" ca="1" si="221"/>
        <v>-</v>
      </c>
      <c r="W287" s="808">
        <v>1</v>
      </c>
      <c r="X287" s="794">
        <f t="shared" si="214"/>
        <v>65</v>
      </c>
      <c r="Y287" s="794">
        <v>1</v>
      </c>
      <c r="Z287" s="809" t="str">
        <f t="shared" ca="1" si="222"/>
        <v>-----</v>
      </c>
      <c r="AA287" s="810" t="str">
        <f t="shared" ca="1" si="223"/>
        <v>-----</v>
      </c>
      <c r="AB287" s="804">
        <v>1</v>
      </c>
      <c r="AC287" s="811" t="str">
        <f t="shared" ca="1" si="224"/>
        <v>-----</v>
      </c>
      <c r="AD287" s="798">
        <v>42935</v>
      </c>
      <c r="AE287" s="794" t="str">
        <f t="shared" ca="1" si="225"/>
        <v>-</v>
      </c>
      <c r="AF287" s="798" t="str">
        <f t="shared" si="226"/>
        <v>-</v>
      </c>
      <c r="AG287" s="812" t="str">
        <f t="shared" si="227"/>
        <v>---------</v>
      </c>
      <c r="AH287" s="807">
        <v>42900</v>
      </c>
      <c r="AI287" s="807">
        <f t="shared" si="228"/>
        <v>43056</v>
      </c>
      <c r="AJ287" s="807">
        <f t="shared" si="229"/>
        <v>43086</v>
      </c>
      <c r="AK287" s="813"/>
      <c r="AL287" s="807">
        <f t="shared" si="230"/>
        <v>43125</v>
      </c>
      <c r="AM287" s="807">
        <f t="shared" si="231"/>
        <v>43146</v>
      </c>
      <c r="AN287" s="814">
        <f t="shared" ca="1" si="232"/>
        <v>-12</v>
      </c>
      <c r="AO287" s="815">
        <v>1</v>
      </c>
      <c r="AP287" s="816" t="str">
        <f t="shared" ca="1" si="233"/>
        <v>-</v>
      </c>
      <c r="AQ287" s="817"/>
      <c r="AR287" s="794" t="str">
        <f t="shared" si="234"/>
        <v>-</v>
      </c>
      <c r="AS287" s="818"/>
      <c r="AT287" s="794" t="str">
        <f t="shared" si="235"/>
        <v>-</v>
      </c>
      <c r="AU287" s="819"/>
      <c r="AV287" s="820"/>
      <c r="AW287" s="821"/>
      <c r="AX287" s="821"/>
      <c r="AY287" s="969" t="str">
        <f t="shared" si="236"/>
        <v>-</v>
      </c>
      <c r="AZ287" s="966" t="str">
        <f t="shared" si="237"/>
        <v>-</v>
      </c>
      <c r="BA287" s="971" t="str">
        <f t="shared" si="238"/>
        <v>-</v>
      </c>
      <c r="BB287" s="975"/>
      <c r="BC287" s="821"/>
      <c r="BD287" s="821"/>
      <c r="BE287" s="963" t="str">
        <f t="shared" si="239"/>
        <v>-</v>
      </c>
      <c r="BF287" s="984"/>
      <c r="BG287" s="988"/>
      <c r="BH287" s="982"/>
      <c r="BI287" s="991"/>
      <c r="BJ287" s="991"/>
      <c r="BK287" s="993" t="str">
        <f t="shared" si="240"/>
        <v>-</v>
      </c>
      <c r="BL287" s="820">
        <v>42980</v>
      </c>
      <c r="BM287" s="821">
        <v>5</v>
      </c>
      <c r="BN287" s="822">
        <f t="shared" ca="1" si="241"/>
        <v>154</v>
      </c>
      <c r="BO287" s="823">
        <f t="shared" si="242"/>
        <v>43.9</v>
      </c>
      <c r="BP287" s="824">
        <v>43001</v>
      </c>
      <c r="BQ287" s="821">
        <v>2</v>
      </c>
      <c r="BR287" s="822">
        <f t="shared" ca="1" si="243"/>
        <v>133</v>
      </c>
      <c r="BS287" s="823">
        <f t="shared" si="244"/>
        <v>19.8</v>
      </c>
      <c r="BT287" s="825" t="str">
        <f t="shared" ca="1" si="245"/>
        <v>-</v>
      </c>
      <c r="BU287" s="826"/>
      <c r="BV287" s="827"/>
      <c r="BW287" s="828" t="str">
        <f t="shared" si="246"/>
        <v>Ж-Е НЕ ВАКЦ.</v>
      </c>
      <c r="BX287" s="829" t="str">
        <f t="shared" si="247"/>
        <v>-</v>
      </c>
      <c r="BY287" s="830" t="str">
        <f t="shared" ca="1" si="248"/>
        <v>-</v>
      </c>
      <c r="BZ287" s="831">
        <v>42887</v>
      </c>
      <c r="CA287" s="832">
        <v>5</v>
      </c>
      <c r="CB287" s="833">
        <f t="shared" ca="1" si="249"/>
        <v>247</v>
      </c>
      <c r="CC287" s="834" t="str">
        <f t="shared" ca="1" si="250"/>
        <v>-</v>
      </c>
      <c r="CD287" s="835">
        <f t="shared" si="251"/>
        <v>42908</v>
      </c>
      <c r="CE287" s="831">
        <v>42908</v>
      </c>
      <c r="CF287" s="832">
        <v>5</v>
      </c>
      <c r="CG287" s="833">
        <f t="shared" ca="1" si="252"/>
        <v>226</v>
      </c>
      <c r="CH287" s="836">
        <f t="shared" si="253"/>
        <v>0</v>
      </c>
      <c r="CI287" s="837" t="str">
        <f t="shared" si="254"/>
        <v>УСПЕШНО</v>
      </c>
      <c r="CJ287" s="838" t="str">
        <f t="shared" ca="1" si="255"/>
        <v>-</v>
      </c>
      <c r="CK287" s="831"/>
      <c r="CL287" s="832"/>
      <c r="CM287" s="833" t="str">
        <f t="shared" si="256"/>
        <v>-</v>
      </c>
      <c r="CN287" s="834" t="str">
        <f t="shared" si="257"/>
        <v>-</v>
      </c>
      <c r="CO287" s="830" t="str">
        <f t="shared" ca="1" si="258"/>
        <v>ТРЕБУЕТСЯ ВАКЦИНАЦИЯ</v>
      </c>
      <c r="CP287" s="839"/>
      <c r="CQ287" s="832"/>
      <c r="CR287" s="833" t="str">
        <f t="shared" si="259"/>
        <v>-</v>
      </c>
      <c r="CS287" s="833" t="str">
        <f t="shared" si="260"/>
        <v>-</v>
      </c>
      <c r="CT287" s="834" t="str">
        <f t="shared" si="261"/>
        <v>-</v>
      </c>
      <c r="CU287" s="835" t="str">
        <f t="shared" si="262"/>
        <v>-</v>
      </c>
      <c r="CV287" s="839"/>
      <c r="CW287" s="832"/>
      <c r="CX287" s="833" t="str">
        <f t="shared" si="263"/>
        <v>-</v>
      </c>
      <c r="CY287" s="840" t="str">
        <f t="shared" si="264"/>
        <v>-</v>
      </c>
      <c r="CZ287" s="833" t="str">
        <f t="shared" si="265"/>
        <v>-</v>
      </c>
      <c r="DA287" s="838" t="str">
        <f t="shared" ca="1" si="266"/>
        <v>-</v>
      </c>
      <c r="DB287" s="841"/>
      <c r="DC287" s="832"/>
    </row>
    <row r="288" spans="1:107" s="842" customFormat="1" ht="15.95" customHeight="1" x14ac:dyDescent="0.25">
      <c r="A288" s="790">
        <v>289</v>
      </c>
      <c r="B288" s="791">
        <f t="shared" ca="1" si="215"/>
        <v>43134</v>
      </c>
      <c r="C288" s="792" t="s">
        <v>613</v>
      </c>
      <c r="D288" s="793" t="s">
        <v>3203</v>
      </c>
      <c r="E288" s="794" t="s">
        <v>946</v>
      </c>
      <c r="F288" s="795" t="s">
        <v>947</v>
      </c>
      <c r="G288" s="796">
        <f>SUMIFS(МОЛОКО!L8:L6958,МОЛОКО!F8:F6958,"2138",МОЛОКО!L8:L6958,"&gt;0")</f>
        <v>17</v>
      </c>
      <c r="H288" s="797" t="s">
        <v>603</v>
      </c>
      <c r="I288" s="798">
        <v>41687</v>
      </c>
      <c r="J288" s="799">
        <f t="shared" ca="1" si="216"/>
        <v>3.9643835616438357</v>
      </c>
      <c r="K288" s="799">
        <f t="shared" ca="1" si="217"/>
        <v>48.233333333333334</v>
      </c>
      <c r="L288" s="800">
        <f t="shared" ca="1" si="218"/>
        <v>1447</v>
      </c>
      <c r="M288" s="846">
        <v>42457</v>
      </c>
      <c r="N288" s="802">
        <v>42813</v>
      </c>
      <c r="O288" s="803">
        <f t="shared" ca="1" si="219"/>
        <v>321</v>
      </c>
      <c r="P288" s="804">
        <v>2</v>
      </c>
      <c r="Q288" s="805" t="s">
        <v>2366</v>
      </c>
      <c r="R288" s="806" t="s">
        <v>2966</v>
      </c>
      <c r="S288" s="807">
        <v>42873</v>
      </c>
      <c r="T288" s="798">
        <v>42963</v>
      </c>
      <c r="U288" s="798" t="str">
        <f t="shared" si="220"/>
        <v>-</v>
      </c>
      <c r="V288" s="804" t="str">
        <f t="shared" ca="1" si="221"/>
        <v>-</v>
      </c>
      <c r="W288" s="808">
        <v>4</v>
      </c>
      <c r="X288" s="794">
        <f t="shared" si="214"/>
        <v>150</v>
      </c>
      <c r="Y288" s="794">
        <v>1</v>
      </c>
      <c r="Z288" s="809" t="str">
        <f t="shared" ca="1" si="222"/>
        <v>-----</v>
      </c>
      <c r="AA288" s="810" t="str">
        <f t="shared" ca="1" si="223"/>
        <v>-----</v>
      </c>
      <c r="AB288" s="804">
        <v>1</v>
      </c>
      <c r="AC288" s="811" t="str">
        <f t="shared" ca="1" si="224"/>
        <v>-----</v>
      </c>
      <c r="AD288" s="798">
        <v>43042</v>
      </c>
      <c r="AE288" s="794" t="str">
        <f t="shared" ca="1" si="225"/>
        <v>-</v>
      </c>
      <c r="AF288" s="798" t="str">
        <f t="shared" si="226"/>
        <v>-</v>
      </c>
      <c r="AG288" s="812" t="str">
        <f t="shared" si="227"/>
        <v>---------</v>
      </c>
      <c r="AH288" s="807">
        <v>42937</v>
      </c>
      <c r="AI288" s="807">
        <f t="shared" si="228"/>
        <v>43153</v>
      </c>
      <c r="AJ288" s="807">
        <f t="shared" si="229"/>
        <v>43183</v>
      </c>
      <c r="AK288" s="813"/>
      <c r="AL288" s="807">
        <f t="shared" si="230"/>
        <v>43222</v>
      </c>
      <c r="AM288" s="807">
        <f t="shared" si="231"/>
        <v>43243</v>
      </c>
      <c r="AN288" s="814">
        <f t="shared" ca="1" si="232"/>
        <v>-109</v>
      </c>
      <c r="AO288" s="815">
        <v>1</v>
      </c>
      <c r="AP288" s="816" t="str">
        <f t="shared" ca="1" si="233"/>
        <v>-</v>
      </c>
      <c r="AQ288" s="817"/>
      <c r="AR288" s="794" t="str">
        <f t="shared" si="234"/>
        <v>-</v>
      </c>
      <c r="AS288" s="818"/>
      <c r="AT288" s="794" t="str">
        <f t="shared" si="235"/>
        <v>-</v>
      </c>
      <c r="AU288" s="819"/>
      <c r="AV288" s="820"/>
      <c r="AW288" s="821"/>
      <c r="AX288" s="821"/>
      <c r="AY288" s="969" t="str">
        <f t="shared" si="236"/>
        <v>-</v>
      </c>
      <c r="AZ288" s="966" t="str">
        <f t="shared" si="237"/>
        <v>-</v>
      </c>
      <c r="BA288" s="971" t="str">
        <f t="shared" si="238"/>
        <v>-</v>
      </c>
      <c r="BB288" s="975"/>
      <c r="BC288" s="821"/>
      <c r="BD288" s="821"/>
      <c r="BE288" s="963" t="str">
        <f t="shared" si="239"/>
        <v>-</v>
      </c>
      <c r="BF288" s="984"/>
      <c r="BG288" s="988"/>
      <c r="BH288" s="982"/>
      <c r="BI288" s="991"/>
      <c r="BJ288" s="991"/>
      <c r="BK288" s="993" t="str">
        <f t="shared" si="240"/>
        <v>-</v>
      </c>
      <c r="BL288" s="820">
        <v>42980</v>
      </c>
      <c r="BM288" s="821">
        <v>5</v>
      </c>
      <c r="BN288" s="822">
        <f t="shared" ca="1" si="241"/>
        <v>154</v>
      </c>
      <c r="BO288" s="823">
        <f t="shared" si="242"/>
        <v>43.1</v>
      </c>
      <c r="BP288" s="824">
        <v>43001</v>
      </c>
      <c r="BQ288" s="821">
        <v>2</v>
      </c>
      <c r="BR288" s="822">
        <f t="shared" ca="1" si="243"/>
        <v>133</v>
      </c>
      <c r="BS288" s="823">
        <f t="shared" si="244"/>
        <v>18.133333333333333</v>
      </c>
      <c r="BT288" s="825" t="str">
        <f t="shared" ca="1" si="245"/>
        <v>-</v>
      </c>
      <c r="BU288" s="826"/>
      <c r="BV288" s="827"/>
      <c r="BW288" s="828" t="str">
        <f t="shared" si="246"/>
        <v>Ж-Е НЕ ВАКЦ.</v>
      </c>
      <c r="BX288" s="829" t="str">
        <f t="shared" si="247"/>
        <v>-</v>
      </c>
      <c r="BY288" s="830" t="str">
        <f t="shared" ca="1" si="248"/>
        <v>-</v>
      </c>
      <c r="BZ288" s="831">
        <v>42887</v>
      </c>
      <c r="CA288" s="832">
        <v>5</v>
      </c>
      <c r="CB288" s="833">
        <f t="shared" ca="1" si="249"/>
        <v>247</v>
      </c>
      <c r="CC288" s="834" t="str">
        <f t="shared" ca="1" si="250"/>
        <v>-</v>
      </c>
      <c r="CD288" s="835">
        <f t="shared" si="251"/>
        <v>42908</v>
      </c>
      <c r="CE288" s="831">
        <v>42908</v>
      </c>
      <c r="CF288" s="832">
        <v>5</v>
      </c>
      <c r="CG288" s="833">
        <f t="shared" ca="1" si="252"/>
        <v>226</v>
      </c>
      <c r="CH288" s="836">
        <f t="shared" si="253"/>
        <v>0</v>
      </c>
      <c r="CI288" s="837" t="str">
        <f t="shared" si="254"/>
        <v>УСПЕШНО</v>
      </c>
      <c r="CJ288" s="838" t="str">
        <f t="shared" ca="1" si="255"/>
        <v>-</v>
      </c>
      <c r="CK288" s="831"/>
      <c r="CL288" s="832"/>
      <c r="CM288" s="833" t="str">
        <f t="shared" si="256"/>
        <v>-</v>
      </c>
      <c r="CN288" s="834" t="str">
        <f t="shared" si="257"/>
        <v>-</v>
      </c>
      <c r="CO288" s="830" t="str">
        <f t="shared" ca="1" si="258"/>
        <v>-</v>
      </c>
      <c r="CP288" s="839"/>
      <c r="CQ288" s="832"/>
      <c r="CR288" s="833" t="str">
        <f t="shared" si="259"/>
        <v>-</v>
      </c>
      <c r="CS288" s="833" t="str">
        <f t="shared" si="260"/>
        <v>-</v>
      </c>
      <c r="CT288" s="834" t="str">
        <f t="shared" si="261"/>
        <v>-</v>
      </c>
      <c r="CU288" s="835" t="str">
        <f t="shared" si="262"/>
        <v>-</v>
      </c>
      <c r="CV288" s="839"/>
      <c r="CW288" s="832"/>
      <c r="CX288" s="833" t="str">
        <f t="shared" si="263"/>
        <v>-</v>
      </c>
      <c r="CY288" s="840" t="str">
        <f t="shared" si="264"/>
        <v>-</v>
      </c>
      <c r="CZ288" s="833" t="str">
        <f t="shared" si="265"/>
        <v>-</v>
      </c>
      <c r="DA288" s="838" t="str">
        <f t="shared" ca="1" si="266"/>
        <v>-</v>
      </c>
      <c r="DB288" s="841"/>
      <c r="DC288" s="832"/>
    </row>
    <row r="289" spans="1:107" s="842" customFormat="1" ht="15.95" customHeight="1" x14ac:dyDescent="0.25">
      <c r="A289" s="790">
        <v>290</v>
      </c>
      <c r="B289" s="791">
        <f t="shared" ca="1" si="215"/>
        <v>43134</v>
      </c>
      <c r="C289" s="29" t="s">
        <v>613</v>
      </c>
      <c r="D289" s="59" t="s">
        <v>3203</v>
      </c>
      <c r="E289" s="794" t="s">
        <v>493</v>
      </c>
      <c r="F289" s="795" t="s">
        <v>1153</v>
      </c>
      <c r="G289" s="796">
        <f>SUMIFS(МОЛОКО!L8:L6958,МОЛОКО!F8:F6958,"2151",МОЛОКО!L8:L6958,"&gt;0")</f>
        <v>13.700000000000001</v>
      </c>
      <c r="H289" s="797" t="s">
        <v>603</v>
      </c>
      <c r="I289" s="798">
        <v>41701</v>
      </c>
      <c r="J289" s="799">
        <f t="shared" ca="1" si="216"/>
        <v>3.9260273972602739</v>
      </c>
      <c r="K289" s="799">
        <f t="shared" ca="1" si="217"/>
        <v>47.766666666666666</v>
      </c>
      <c r="L289" s="800">
        <f t="shared" ca="1" si="218"/>
        <v>1433</v>
      </c>
      <c r="M289" s="801">
        <v>42493</v>
      </c>
      <c r="N289" s="802">
        <v>42816</v>
      </c>
      <c r="O289" s="803">
        <f t="shared" ca="1" si="219"/>
        <v>318</v>
      </c>
      <c r="P289" s="804">
        <v>2</v>
      </c>
      <c r="Q289" s="805" t="s">
        <v>2366</v>
      </c>
      <c r="R289" s="806" t="s">
        <v>1876</v>
      </c>
      <c r="S289" s="807">
        <v>42880</v>
      </c>
      <c r="T289" s="798">
        <v>42903</v>
      </c>
      <c r="U289" s="798" t="str">
        <f t="shared" si="220"/>
        <v>-</v>
      </c>
      <c r="V289" s="804" t="str">
        <f t="shared" ca="1" si="221"/>
        <v>-</v>
      </c>
      <c r="W289" s="808">
        <v>2</v>
      </c>
      <c r="X289" s="794">
        <f t="shared" si="214"/>
        <v>87</v>
      </c>
      <c r="Y289" s="794">
        <v>1</v>
      </c>
      <c r="Z289" s="809" t="str">
        <f t="shared" ca="1" si="222"/>
        <v>-----</v>
      </c>
      <c r="AA289" s="810" t="str">
        <f t="shared" ca="1" si="223"/>
        <v>-----</v>
      </c>
      <c r="AB289" s="804">
        <v>1</v>
      </c>
      <c r="AC289" s="811" t="str">
        <f t="shared" ca="1" si="224"/>
        <v>-----</v>
      </c>
      <c r="AD289" s="798"/>
      <c r="AE289" s="794" t="str">
        <f t="shared" ca="1" si="225"/>
        <v>-</v>
      </c>
      <c r="AF289" s="798" t="str">
        <f t="shared" si="226"/>
        <v>-</v>
      </c>
      <c r="AG289" s="812" t="str">
        <f t="shared" si="227"/>
        <v>---------</v>
      </c>
      <c r="AH289" s="807">
        <v>42971</v>
      </c>
      <c r="AI289" s="807">
        <f t="shared" si="228"/>
        <v>43093</v>
      </c>
      <c r="AJ289" s="807">
        <f t="shared" si="229"/>
        <v>43123</v>
      </c>
      <c r="AK289" s="813"/>
      <c r="AL289" s="807">
        <f t="shared" si="230"/>
        <v>43162</v>
      </c>
      <c r="AM289" s="807">
        <f t="shared" si="231"/>
        <v>43183</v>
      </c>
      <c r="AN289" s="814">
        <f t="shared" ca="1" si="232"/>
        <v>-49</v>
      </c>
      <c r="AO289" s="815">
        <v>1</v>
      </c>
      <c r="AP289" s="816" t="str">
        <f t="shared" ca="1" si="233"/>
        <v>-</v>
      </c>
      <c r="AQ289" s="817"/>
      <c r="AR289" s="794" t="str">
        <f t="shared" si="234"/>
        <v>-</v>
      </c>
      <c r="AS289" s="818"/>
      <c r="AT289" s="794" t="str">
        <f t="shared" si="235"/>
        <v>-</v>
      </c>
      <c r="AU289" s="819"/>
      <c r="AV289" s="820"/>
      <c r="AW289" s="821"/>
      <c r="AX289" s="821"/>
      <c r="AY289" s="969" t="str">
        <f t="shared" si="236"/>
        <v>-</v>
      </c>
      <c r="AZ289" s="966" t="str">
        <f t="shared" si="237"/>
        <v>-</v>
      </c>
      <c r="BA289" s="971" t="str">
        <f t="shared" si="238"/>
        <v>-</v>
      </c>
      <c r="BB289" s="975"/>
      <c r="BC289" s="821"/>
      <c r="BD289" s="821"/>
      <c r="BE289" s="963" t="str">
        <f t="shared" si="239"/>
        <v>-</v>
      </c>
      <c r="BF289" s="984"/>
      <c r="BG289" s="988"/>
      <c r="BH289" s="982"/>
      <c r="BI289" s="991"/>
      <c r="BJ289" s="991"/>
      <c r="BK289" s="993" t="str">
        <f t="shared" si="240"/>
        <v>-</v>
      </c>
      <c r="BL289" s="820">
        <v>42981</v>
      </c>
      <c r="BM289" s="821">
        <v>5</v>
      </c>
      <c r="BN289" s="822">
        <f t="shared" ca="1" si="241"/>
        <v>153</v>
      </c>
      <c r="BO289" s="823">
        <f t="shared" si="242"/>
        <v>42.666666666666664</v>
      </c>
      <c r="BP289" s="824">
        <v>43001</v>
      </c>
      <c r="BQ289" s="821">
        <v>2</v>
      </c>
      <c r="BR289" s="822">
        <f t="shared" ca="1" si="243"/>
        <v>133</v>
      </c>
      <c r="BS289" s="823">
        <f t="shared" si="244"/>
        <v>16.933333333333334</v>
      </c>
      <c r="BT289" s="825" t="str">
        <f t="shared" ca="1" si="245"/>
        <v>-</v>
      </c>
      <c r="BU289" s="826"/>
      <c r="BV289" s="827"/>
      <c r="BW289" s="828" t="str">
        <f t="shared" si="246"/>
        <v>Ж-Е НЕ ВАКЦ.</v>
      </c>
      <c r="BX289" s="829" t="str">
        <f t="shared" si="247"/>
        <v>-</v>
      </c>
      <c r="BY289" s="830" t="str">
        <f t="shared" ca="1" si="248"/>
        <v>-</v>
      </c>
      <c r="BZ289" s="831">
        <v>42887</v>
      </c>
      <c r="CA289" s="832">
        <v>5</v>
      </c>
      <c r="CB289" s="833">
        <f t="shared" ca="1" si="249"/>
        <v>247</v>
      </c>
      <c r="CC289" s="834" t="str">
        <f t="shared" ca="1" si="250"/>
        <v>-</v>
      </c>
      <c r="CD289" s="835">
        <f t="shared" si="251"/>
        <v>42908</v>
      </c>
      <c r="CE289" s="831">
        <v>42908</v>
      </c>
      <c r="CF289" s="832">
        <v>5</v>
      </c>
      <c r="CG289" s="833">
        <f t="shared" ca="1" si="252"/>
        <v>226</v>
      </c>
      <c r="CH289" s="836">
        <f t="shared" si="253"/>
        <v>0</v>
      </c>
      <c r="CI289" s="837" t="str">
        <f t="shared" si="254"/>
        <v>УСПЕШНО</v>
      </c>
      <c r="CJ289" s="838" t="str">
        <f t="shared" ca="1" si="255"/>
        <v>-</v>
      </c>
      <c r="CK289" s="831"/>
      <c r="CL289" s="832"/>
      <c r="CM289" s="833" t="str">
        <f t="shared" si="256"/>
        <v>-</v>
      </c>
      <c r="CN289" s="834" t="str">
        <f t="shared" si="257"/>
        <v>-</v>
      </c>
      <c r="CO289" s="830" t="str">
        <f t="shared" ca="1" si="258"/>
        <v>ТРЕБУЕТСЯ ВАКЦИНАЦИЯ</v>
      </c>
      <c r="CP289" s="839"/>
      <c r="CQ289" s="832"/>
      <c r="CR289" s="833" t="str">
        <f t="shared" si="259"/>
        <v>-</v>
      </c>
      <c r="CS289" s="833" t="str">
        <f t="shared" si="260"/>
        <v>-</v>
      </c>
      <c r="CT289" s="834" t="str">
        <f t="shared" si="261"/>
        <v>-</v>
      </c>
      <c r="CU289" s="835" t="str">
        <f t="shared" si="262"/>
        <v>-</v>
      </c>
      <c r="CV289" s="839"/>
      <c r="CW289" s="832"/>
      <c r="CX289" s="833" t="str">
        <f t="shared" si="263"/>
        <v>-</v>
      </c>
      <c r="CY289" s="840" t="str">
        <f t="shared" si="264"/>
        <v>-</v>
      </c>
      <c r="CZ289" s="833" t="str">
        <f t="shared" si="265"/>
        <v>-</v>
      </c>
      <c r="DA289" s="838" t="str">
        <f t="shared" ca="1" si="266"/>
        <v>-</v>
      </c>
      <c r="DB289" s="841"/>
      <c r="DC289" s="832"/>
    </row>
    <row r="290" spans="1:107" s="842" customFormat="1" ht="15.95" customHeight="1" x14ac:dyDescent="0.25">
      <c r="A290" s="790">
        <v>291</v>
      </c>
      <c r="B290" s="791">
        <f t="shared" ca="1" si="215"/>
        <v>43134</v>
      </c>
      <c r="C290" s="792" t="s">
        <v>613</v>
      </c>
      <c r="D290" s="793" t="s">
        <v>3203</v>
      </c>
      <c r="E290" s="794" t="s">
        <v>714</v>
      </c>
      <c r="F290" s="795" t="s">
        <v>934</v>
      </c>
      <c r="G290" s="796">
        <f>SUMIFS(МОЛОКО!L8:L6958,МОЛОКО!F8:F6958,"2159",МОЛОКО!L8:L6958,"&gt;0")</f>
        <v>16</v>
      </c>
      <c r="H290" s="797" t="s">
        <v>603</v>
      </c>
      <c r="I290" s="798">
        <v>41709</v>
      </c>
      <c r="J290" s="799">
        <f t="shared" ca="1" si="216"/>
        <v>3.904109589041096</v>
      </c>
      <c r="K290" s="799">
        <f t="shared" ca="1" si="217"/>
        <v>47.5</v>
      </c>
      <c r="L290" s="800">
        <f t="shared" ca="1" si="218"/>
        <v>1425</v>
      </c>
      <c r="M290" s="846">
        <v>42439</v>
      </c>
      <c r="N290" s="802">
        <v>42805</v>
      </c>
      <c r="O290" s="803">
        <f t="shared" ca="1" si="219"/>
        <v>329</v>
      </c>
      <c r="P290" s="804">
        <v>2</v>
      </c>
      <c r="Q290" s="68" t="s">
        <v>2366</v>
      </c>
      <c r="R290" s="118" t="s">
        <v>2962</v>
      </c>
      <c r="S290" s="807">
        <v>42866</v>
      </c>
      <c r="T290" s="798">
        <v>43042</v>
      </c>
      <c r="U290" s="798">
        <f t="shared" si="220"/>
        <v>43060</v>
      </c>
      <c r="V290" s="804">
        <f t="shared" ca="1" si="221"/>
        <v>74</v>
      </c>
      <c r="W290" s="808">
        <v>3</v>
      </c>
      <c r="X290" s="794">
        <f t="shared" si="214"/>
        <v>237</v>
      </c>
      <c r="Y290" s="794">
        <v>3</v>
      </c>
      <c r="Z290" s="809" t="str">
        <f t="shared" ca="1" si="222"/>
        <v>-----</v>
      </c>
      <c r="AA290" s="810">
        <f t="shared" ca="1" si="223"/>
        <v>92</v>
      </c>
      <c r="AB290" s="804">
        <v>0</v>
      </c>
      <c r="AC290" s="811" t="str">
        <f t="shared" ca="1" si="224"/>
        <v>-----</v>
      </c>
      <c r="AD290" s="798">
        <v>43030</v>
      </c>
      <c r="AE290" s="794" t="str">
        <f t="shared" ca="1" si="225"/>
        <v>-</v>
      </c>
      <c r="AF290" s="798">
        <f t="shared" si="226"/>
        <v>43077</v>
      </c>
      <c r="AG290" s="812">
        <f t="shared" ca="1" si="227"/>
        <v>57</v>
      </c>
      <c r="AH290" s="807">
        <v>42982</v>
      </c>
      <c r="AI290" s="807" t="str">
        <f t="shared" si="228"/>
        <v>-</v>
      </c>
      <c r="AJ290" s="807" t="str">
        <f t="shared" si="229"/>
        <v>-</v>
      </c>
      <c r="AK290" s="813"/>
      <c r="AL290" s="807" t="str">
        <f t="shared" si="230"/>
        <v>-</v>
      </c>
      <c r="AM290" s="807" t="str">
        <f t="shared" si="231"/>
        <v>-</v>
      </c>
      <c r="AN290" s="814" t="str">
        <f t="shared" ca="1" si="232"/>
        <v>-</v>
      </c>
      <c r="AO290" s="815">
        <v>1</v>
      </c>
      <c r="AP290" s="816" t="str">
        <f t="shared" ca="1" si="233"/>
        <v>-</v>
      </c>
      <c r="AQ290" s="817"/>
      <c r="AR290" s="794" t="str">
        <f t="shared" si="234"/>
        <v>-</v>
      </c>
      <c r="AS290" s="818"/>
      <c r="AT290" s="794" t="str">
        <f t="shared" si="235"/>
        <v>-</v>
      </c>
      <c r="AU290" s="819"/>
      <c r="AV290" s="820"/>
      <c r="AW290" s="821"/>
      <c r="AX290" s="821"/>
      <c r="AY290" s="969" t="str">
        <f t="shared" si="236"/>
        <v>-</v>
      </c>
      <c r="AZ290" s="966" t="str">
        <f t="shared" si="237"/>
        <v>-</v>
      </c>
      <c r="BA290" s="971" t="str">
        <f t="shared" si="238"/>
        <v>-</v>
      </c>
      <c r="BB290" s="975"/>
      <c r="BC290" s="821"/>
      <c r="BD290" s="821"/>
      <c r="BE290" s="963" t="str">
        <f t="shared" si="239"/>
        <v>-</v>
      </c>
      <c r="BF290" s="984"/>
      <c r="BG290" s="988"/>
      <c r="BH290" s="982"/>
      <c r="BI290" s="991"/>
      <c r="BJ290" s="991"/>
      <c r="BK290" s="993" t="str">
        <f t="shared" si="240"/>
        <v>-</v>
      </c>
      <c r="BL290" s="820">
        <v>42980</v>
      </c>
      <c r="BM290" s="821">
        <v>5</v>
      </c>
      <c r="BN290" s="822">
        <f t="shared" ca="1" si="241"/>
        <v>154</v>
      </c>
      <c r="BO290" s="823">
        <f t="shared" si="242"/>
        <v>42.366666666666667</v>
      </c>
      <c r="BP290" s="824">
        <v>43001</v>
      </c>
      <c r="BQ290" s="821">
        <v>2</v>
      </c>
      <c r="BR290" s="822">
        <f t="shared" ca="1" si="243"/>
        <v>133</v>
      </c>
      <c r="BS290" s="823">
        <f t="shared" si="244"/>
        <v>18.733333333333334</v>
      </c>
      <c r="BT290" s="825" t="str">
        <f t="shared" ca="1" si="245"/>
        <v>-</v>
      </c>
      <c r="BU290" s="826"/>
      <c r="BV290" s="827"/>
      <c r="BW290" s="828" t="str">
        <f t="shared" si="246"/>
        <v>Ж-Е НЕ ВАКЦ.</v>
      </c>
      <c r="BX290" s="829" t="str">
        <f t="shared" si="247"/>
        <v>-</v>
      </c>
      <c r="BY290" s="830" t="str">
        <f t="shared" ca="1" si="248"/>
        <v>-</v>
      </c>
      <c r="BZ290" s="831">
        <v>42887</v>
      </c>
      <c r="CA290" s="832">
        <v>5</v>
      </c>
      <c r="CB290" s="833">
        <f t="shared" ca="1" si="249"/>
        <v>247</v>
      </c>
      <c r="CC290" s="834" t="str">
        <f t="shared" ca="1" si="250"/>
        <v>-</v>
      </c>
      <c r="CD290" s="835">
        <f t="shared" si="251"/>
        <v>42908</v>
      </c>
      <c r="CE290" s="831">
        <v>42908</v>
      </c>
      <c r="CF290" s="832">
        <v>5</v>
      </c>
      <c r="CG290" s="833">
        <f t="shared" ca="1" si="252"/>
        <v>226</v>
      </c>
      <c r="CH290" s="836">
        <f t="shared" si="253"/>
        <v>0</v>
      </c>
      <c r="CI290" s="837" t="str">
        <f t="shared" si="254"/>
        <v>УСПЕШНО</v>
      </c>
      <c r="CJ290" s="838" t="str">
        <f t="shared" ca="1" si="255"/>
        <v>-</v>
      </c>
      <c r="CK290" s="831"/>
      <c r="CL290" s="832"/>
      <c r="CM290" s="833" t="str">
        <f t="shared" si="256"/>
        <v>-</v>
      </c>
      <c r="CN290" s="834" t="str">
        <f t="shared" si="257"/>
        <v>-</v>
      </c>
      <c r="CO290" s="830" t="str">
        <f t="shared" ca="1" si="258"/>
        <v>-</v>
      </c>
      <c r="CP290" s="839"/>
      <c r="CQ290" s="832"/>
      <c r="CR290" s="833" t="str">
        <f t="shared" si="259"/>
        <v>-</v>
      </c>
      <c r="CS290" s="833" t="str">
        <f t="shared" si="260"/>
        <v>-</v>
      </c>
      <c r="CT290" s="834" t="str">
        <f t="shared" si="261"/>
        <v>-</v>
      </c>
      <c r="CU290" s="835" t="str">
        <f t="shared" si="262"/>
        <v>-</v>
      </c>
      <c r="CV290" s="839"/>
      <c r="CW290" s="832"/>
      <c r="CX290" s="833" t="str">
        <f t="shared" si="263"/>
        <v>-</v>
      </c>
      <c r="CY290" s="840" t="str">
        <f t="shared" si="264"/>
        <v>-</v>
      </c>
      <c r="CZ290" s="833" t="str">
        <f t="shared" si="265"/>
        <v>-</v>
      </c>
      <c r="DA290" s="838" t="str">
        <f t="shared" ca="1" si="266"/>
        <v>-</v>
      </c>
      <c r="DB290" s="841"/>
      <c r="DC290" s="832"/>
    </row>
    <row r="291" spans="1:107" s="842" customFormat="1" ht="15.95" customHeight="1" x14ac:dyDescent="0.25">
      <c r="A291" s="790">
        <v>292</v>
      </c>
      <c r="B291" s="791">
        <f t="shared" ca="1" si="215"/>
        <v>43134</v>
      </c>
      <c r="C291" s="792" t="s">
        <v>613</v>
      </c>
      <c r="D291" s="793" t="s">
        <v>3203</v>
      </c>
      <c r="E291" s="794" t="s">
        <v>1293</v>
      </c>
      <c r="F291" s="795" t="s">
        <v>1169</v>
      </c>
      <c r="G291" s="796">
        <f>SUMIFS(МОЛОКО!L8:L6958,МОЛОКО!F8:F6958,"2190",МОЛОКО!L8:L6958,"&gt;0")</f>
        <v>11</v>
      </c>
      <c r="H291" s="797" t="s">
        <v>603</v>
      </c>
      <c r="I291" s="798">
        <v>41747</v>
      </c>
      <c r="J291" s="799">
        <f t="shared" ca="1" si="216"/>
        <v>3.8</v>
      </c>
      <c r="K291" s="799">
        <f t="shared" ca="1" si="217"/>
        <v>46.233333333333334</v>
      </c>
      <c r="L291" s="800">
        <f t="shared" ca="1" si="218"/>
        <v>1387</v>
      </c>
      <c r="M291" s="801">
        <v>42516</v>
      </c>
      <c r="N291" s="802">
        <v>42516</v>
      </c>
      <c r="O291" s="803">
        <f t="shared" ca="1" si="219"/>
        <v>618</v>
      </c>
      <c r="P291" s="804">
        <v>1</v>
      </c>
      <c r="Q291" s="805" t="s">
        <v>1451</v>
      </c>
      <c r="R291" s="806" t="s">
        <v>1820</v>
      </c>
      <c r="S291" s="807">
        <v>42586</v>
      </c>
      <c r="T291" s="798">
        <v>42734</v>
      </c>
      <c r="U291" s="798" t="str">
        <f t="shared" si="220"/>
        <v>-</v>
      </c>
      <c r="V291" s="804" t="str">
        <f t="shared" ca="1" si="221"/>
        <v>-</v>
      </c>
      <c r="W291" s="808">
        <v>4</v>
      </c>
      <c r="X291" s="794">
        <f t="shared" si="214"/>
        <v>218</v>
      </c>
      <c r="Y291" s="794">
        <v>0</v>
      </c>
      <c r="Z291" s="809" t="str">
        <f t="shared" ca="1" si="222"/>
        <v>-----</v>
      </c>
      <c r="AA291" s="810">
        <f t="shared" ca="1" si="223"/>
        <v>400</v>
      </c>
      <c r="AB291" s="804"/>
      <c r="AC291" s="811" t="str">
        <f t="shared" ca="1" si="224"/>
        <v>-----</v>
      </c>
      <c r="AD291" s="798"/>
      <c r="AE291" s="794" t="str">
        <f t="shared" ca="1" si="225"/>
        <v>яловая</v>
      </c>
      <c r="AF291" s="798" t="str">
        <f t="shared" si="226"/>
        <v>-</v>
      </c>
      <c r="AG291" s="812" t="str">
        <f t="shared" si="227"/>
        <v>---------</v>
      </c>
      <c r="AH291" s="807">
        <v>42776</v>
      </c>
      <c r="AI291" s="807" t="str">
        <f t="shared" si="228"/>
        <v>-</v>
      </c>
      <c r="AJ291" s="807" t="str">
        <f t="shared" si="229"/>
        <v>-</v>
      </c>
      <c r="AK291" s="813"/>
      <c r="AL291" s="807" t="str">
        <f t="shared" si="230"/>
        <v>-</v>
      </c>
      <c r="AM291" s="807" t="str">
        <f t="shared" si="231"/>
        <v>-</v>
      </c>
      <c r="AN291" s="814" t="str">
        <f t="shared" ca="1" si="232"/>
        <v>-</v>
      </c>
      <c r="AO291" s="815">
        <v>1</v>
      </c>
      <c r="AP291" s="816" t="str">
        <f t="shared" ca="1" si="233"/>
        <v>БРАК</v>
      </c>
      <c r="AQ291" s="817" t="s">
        <v>1863</v>
      </c>
      <c r="AR291" s="794" t="str">
        <f t="shared" si="234"/>
        <v>-</v>
      </c>
      <c r="AS291" s="818"/>
      <c r="AT291" s="794" t="str">
        <f t="shared" si="235"/>
        <v>-</v>
      </c>
      <c r="AU291" s="819"/>
      <c r="AV291" s="820"/>
      <c r="AW291" s="821"/>
      <c r="AX291" s="821"/>
      <c r="AY291" s="969" t="str">
        <f t="shared" si="236"/>
        <v>-</v>
      </c>
      <c r="AZ291" s="966" t="str">
        <f t="shared" si="237"/>
        <v>-</v>
      </c>
      <c r="BA291" s="971" t="str">
        <f t="shared" si="238"/>
        <v>-</v>
      </c>
      <c r="BB291" s="975"/>
      <c r="BC291" s="821"/>
      <c r="BD291" s="821"/>
      <c r="BE291" s="963" t="str">
        <f t="shared" si="239"/>
        <v>-</v>
      </c>
      <c r="BF291" s="984"/>
      <c r="BG291" s="988"/>
      <c r="BH291" s="982"/>
      <c r="BI291" s="991"/>
      <c r="BJ291" s="991"/>
      <c r="BK291" s="993" t="str">
        <f t="shared" si="240"/>
        <v>-</v>
      </c>
      <c r="BL291" s="820">
        <v>42981</v>
      </c>
      <c r="BM291" s="821">
        <v>5</v>
      </c>
      <c r="BN291" s="822">
        <f t="shared" ca="1" si="241"/>
        <v>153</v>
      </c>
      <c r="BO291" s="823">
        <f t="shared" si="242"/>
        <v>41.133333333333333</v>
      </c>
      <c r="BP291" s="824">
        <v>43001</v>
      </c>
      <c r="BQ291" s="821">
        <v>2</v>
      </c>
      <c r="BR291" s="822">
        <f t="shared" ca="1" si="243"/>
        <v>133</v>
      </c>
      <c r="BS291" s="823">
        <f t="shared" si="244"/>
        <v>16.166666666666668</v>
      </c>
      <c r="BT291" s="825" t="str">
        <f t="shared" ca="1" si="245"/>
        <v>-</v>
      </c>
      <c r="BU291" s="826"/>
      <c r="BV291" s="827"/>
      <c r="BW291" s="828" t="str">
        <f t="shared" si="246"/>
        <v>Ж-Е НЕ ВАКЦ.</v>
      </c>
      <c r="BX291" s="829" t="str">
        <f t="shared" si="247"/>
        <v>-</v>
      </c>
      <c r="BY291" s="830" t="str">
        <f t="shared" ca="1" si="248"/>
        <v>-</v>
      </c>
      <c r="BZ291" s="831">
        <v>42887</v>
      </c>
      <c r="CA291" s="832">
        <v>5</v>
      </c>
      <c r="CB291" s="833">
        <f t="shared" ca="1" si="249"/>
        <v>247</v>
      </c>
      <c r="CC291" s="834" t="str">
        <f t="shared" ca="1" si="250"/>
        <v>-</v>
      </c>
      <c r="CD291" s="835">
        <f t="shared" si="251"/>
        <v>42908</v>
      </c>
      <c r="CE291" s="831">
        <v>42908</v>
      </c>
      <c r="CF291" s="832">
        <v>5</v>
      </c>
      <c r="CG291" s="833">
        <f t="shared" ca="1" si="252"/>
        <v>226</v>
      </c>
      <c r="CH291" s="836">
        <f t="shared" si="253"/>
        <v>0</v>
      </c>
      <c r="CI291" s="837" t="str">
        <f t="shared" si="254"/>
        <v>УСПЕШНО</v>
      </c>
      <c r="CJ291" s="838" t="str">
        <f t="shared" ca="1" si="255"/>
        <v>-</v>
      </c>
      <c r="CK291" s="831"/>
      <c r="CL291" s="832"/>
      <c r="CM291" s="833" t="str">
        <f t="shared" si="256"/>
        <v>-</v>
      </c>
      <c r="CN291" s="834" t="str">
        <f t="shared" si="257"/>
        <v>-</v>
      </c>
      <c r="CO291" s="830" t="str">
        <f t="shared" ca="1" si="258"/>
        <v>-</v>
      </c>
      <c r="CP291" s="839"/>
      <c r="CQ291" s="832"/>
      <c r="CR291" s="833" t="str">
        <f t="shared" si="259"/>
        <v>-</v>
      </c>
      <c r="CS291" s="833" t="str">
        <f t="shared" si="260"/>
        <v>-</v>
      </c>
      <c r="CT291" s="834" t="str">
        <f t="shared" si="261"/>
        <v>-</v>
      </c>
      <c r="CU291" s="835" t="str">
        <f t="shared" si="262"/>
        <v>-</v>
      </c>
      <c r="CV291" s="839"/>
      <c r="CW291" s="832"/>
      <c r="CX291" s="833" t="str">
        <f t="shared" si="263"/>
        <v>-</v>
      </c>
      <c r="CY291" s="840" t="str">
        <f t="shared" si="264"/>
        <v>-</v>
      </c>
      <c r="CZ291" s="833" t="str">
        <f t="shared" si="265"/>
        <v>-</v>
      </c>
      <c r="DA291" s="838" t="str">
        <f t="shared" ca="1" si="266"/>
        <v>-</v>
      </c>
      <c r="DB291" s="841"/>
      <c r="DC291" s="832"/>
    </row>
    <row r="292" spans="1:107" s="842" customFormat="1" ht="15.95" customHeight="1" x14ac:dyDescent="0.25">
      <c r="A292" s="790">
        <v>293</v>
      </c>
      <c r="B292" s="791">
        <f t="shared" ca="1" si="215"/>
        <v>43134</v>
      </c>
      <c r="C292" s="29" t="s">
        <v>613</v>
      </c>
      <c r="D292" s="59" t="s">
        <v>3203</v>
      </c>
      <c r="E292" s="794" t="s">
        <v>1112</v>
      </c>
      <c r="F292" s="795" t="s">
        <v>1181</v>
      </c>
      <c r="G292" s="796">
        <f>SUMIFS(МОЛОКО!L8:L6958,МОЛОКО!F8:F6958,"2213",МОЛОКО!L8:L6958,"&gt;0")</f>
        <v>16.600000000000001</v>
      </c>
      <c r="H292" s="797" t="s">
        <v>603</v>
      </c>
      <c r="I292" s="798">
        <v>41765</v>
      </c>
      <c r="J292" s="799">
        <f t="shared" ca="1" si="216"/>
        <v>3.7506849315068491</v>
      </c>
      <c r="K292" s="799">
        <f t="shared" ca="1" si="217"/>
        <v>45.633333333333333</v>
      </c>
      <c r="L292" s="800">
        <f t="shared" ca="1" si="218"/>
        <v>1369</v>
      </c>
      <c r="M292" s="801">
        <v>42554</v>
      </c>
      <c r="N292" s="802">
        <v>42896</v>
      </c>
      <c r="O292" s="803">
        <f t="shared" ca="1" si="219"/>
        <v>238</v>
      </c>
      <c r="P292" s="804">
        <v>2</v>
      </c>
      <c r="Q292" s="805"/>
      <c r="R292" s="806"/>
      <c r="S292" s="807"/>
      <c r="T292" s="798"/>
      <c r="U292" s="798" t="str">
        <f t="shared" si="220"/>
        <v>-</v>
      </c>
      <c r="V292" s="804" t="str">
        <f t="shared" ca="1" si="221"/>
        <v>-</v>
      </c>
      <c r="W292" s="808">
        <v>0</v>
      </c>
      <c r="X292" s="794" t="str">
        <f t="shared" si="214"/>
        <v>-</v>
      </c>
      <c r="Y292" s="794">
        <v>0</v>
      </c>
      <c r="Z292" s="809" t="str">
        <f t="shared" ca="1" si="222"/>
        <v>-----</v>
      </c>
      <c r="AA292" s="810">
        <f t="shared" ca="1" si="223"/>
        <v>43134</v>
      </c>
      <c r="AB292" s="804"/>
      <c r="AC292" s="811" t="str">
        <f t="shared" ca="1" si="224"/>
        <v>-----</v>
      </c>
      <c r="AD292" s="798"/>
      <c r="AE292" s="794" t="str">
        <f t="shared" ca="1" si="225"/>
        <v>яловая</v>
      </c>
      <c r="AF292" s="798" t="str">
        <f t="shared" si="226"/>
        <v>-</v>
      </c>
      <c r="AG292" s="812" t="str">
        <f t="shared" si="227"/>
        <v>---------</v>
      </c>
      <c r="AH292" s="807"/>
      <c r="AI292" s="807" t="str">
        <f t="shared" si="228"/>
        <v>-</v>
      </c>
      <c r="AJ292" s="807" t="str">
        <f t="shared" si="229"/>
        <v>-</v>
      </c>
      <c r="AK292" s="813"/>
      <c r="AL292" s="807" t="str">
        <f t="shared" si="230"/>
        <v>-</v>
      </c>
      <c r="AM292" s="807" t="str">
        <f t="shared" si="231"/>
        <v>-</v>
      </c>
      <c r="AN292" s="814" t="str">
        <f t="shared" ca="1" si="232"/>
        <v>-</v>
      </c>
      <c r="AO292" s="815">
        <v>1</v>
      </c>
      <c r="AP292" s="816" t="str">
        <f t="shared" ca="1" si="233"/>
        <v>-</v>
      </c>
      <c r="AQ292" s="817"/>
      <c r="AR292" s="794" t="str">
        <f t="shared" si="234"/>
        <v>-</v>
      </c>
      <c r="AS292" s="818"/>
      <c r="AT292" s="794" t="str">
        <f t="shared" si="235"/>
        <v>-</v>
      </c>
      <c r="AU292" s="819"/>
      <c r="AV292" s="820"/>
      <c r="AW292" s="821"/>
      <c r="AX292" s="821"/>
      <c r="AY292" s="969" t="str">
        <f t="shared" si="236"/>
        <v>-</v>
      </c>
      <c r="AZ292" s="966" t="str">
        <f t="shared" si="237"/>
        <v>-</v>
      </c>
      <c r="BA292" s="971" t="str">
        <f t="shared" si="238"/>
        <v>-</v>
      </c>
      <c r="BB292" s="975"/>
      <c r="BC292" s="821"/>
      <c r="BD292" s="821"/>
      <c r="BE292" s="963" t="str">
        <f t="shared" si="239"/>
        <v>-</v>
      </c>
      <c r="BF292" s="984">
        <v>43033</v>
      </c>
      <c r="BG292" s="988" t="s">
        <v>3353</v>
      </c>
      <c r="BH292" s="986" t="s">
        <v>3354</v>
      </c>
      <c r="BI292" s="991">
        <v>5</v>
      </c>
      <c r="BJ292" s="991" t="s">
        <v>3356</v>
      </c>
      <c r="BK292" s="993">
        <f t="shared" ca="1" si="240"/>
        <v>101</v>
      </c>
      <c r="BL292" s="820">
        <v>42980</v>
      </c>
      <c r="BM292" s="821">
        <v>5</v>
      </c>
      <c r="BN292" s="822">
        <f t="shared" ca="1" si="241"/>
        <v>154</v>
      </c>
      <c r="BO292" s="823">
        <f t="shared" si="242"/>
        <v>40.5</v>
      </c>
      <c r="BP292" s="824">
        <v>43001</v>
      </c>
      <c r="BQ292" s="821">
        <v>2</v>
      </c>
      <c r="BR292" s="822">
        <f t="shared" ca="1" si="243"/>
        <v>133</v>
      </c>
      <c r="BS292" s="823">
        <f t="shared" si="244"/>
        <v>14.9</v>
      </c>
      <c r="BT292" s="825" t="str">
        <f t="shared" ca="1" si="245"/>
        <v>-</v>
      </c>
      <c r="BU292" s="826"/>
      <c r="BV292" s="827"/>
      <c r="BW292" s="828" t="str">
        <f t="shared" si="246"/>
        <v>Ж-Е НЕ ВАКЦ.</v>
      </c>
      <c r="BX292" s="829" t="str">
        <f t="shared" si="247"/>
        <v>-</v>
      </c>
      <c r="BY292" s="830" t="str">
        <f t="shared" ca="1" si="248"/>
        <v>-</v>
      </c>
      <c r="BZ292" s="831">
        <v>42916</v>
      </c>
      <c r="CA292" s="832">
        <v>5</v>
      </c>
      <c r="CB292" s="833">
        <f t="shared" ca="1" si="249"/>
        <v>218</v>
      </c>
      <c r="CC292" s="834" t="str">
        <f t="shared" ca="1" si="250"/>
        <v>-</v>
      </c>
      <c r="CD292" s="835">
        <f t="shared" si="251"/>
        <v>42937</v>
      </c>
      <c r="CE292" s="831">
        <v>42937</v>
      </c>
      <c r="CF292" s="832">
        <v>5</v>
      </c>
      <c r="CG292" s="833">
        <f t="shared" ca="1" si="252"/>
        <v>197</v>
      </c>
      <c r="CH292" s="836">
        <f t="shared" si="253"/>
        <v>0</v>
      </c>
      <c r="CI292" s="837" t="str">
        <f t="shared" si="254"/>
        <v>УСПЕШНО</v>
      </c>
      <c r="CJ292" s="838" t="str">
        <f t="shared" ca="1" si="255"/>
        <v>-</v>
      </c>
      <c r="CK292" s="831"/>
      <c r="CL292" s="832"/>
      <c r="CM292" s="833" t="str">
        <f t="shared" si="256"/>
        <v>-</v>
      </c>
      <c r="CN292" s="834" t="str">
        <f t="shared" si="257"/>
        <v>-</v>
      </c>
      <c r="CO292" s="830" t="str">
        <f t="shared" ca="1" si="258"/>
        <v>-</v>
      </c>
      <c r="CP292" s="839"/>
      <c r="CQ292" s="832"/>
      <c r="CR292" s="833" t="str">
        <f t="shared" si="259"/>
        <v>-</v>
      </c>
      <c r="CS292" s="833" t="str">
        <f t="shared" si="260"/>
        <v>-</v>
      </c>
      <c r="CT292" s="834" t="str">
        <f t="shared" si="261"/>
        <v>-</v>
      </c>
      <c r="CU292" s="835" t="str">
        <f t="shared" si="262"/>
        <v>-</v>
      </c>
      <c r="CV292" s="839"/>
      <c r="CW292" s="832"/>
      <c r="CX292" s="833" t="str">
        <f t="shared" si="263"/>
        <v>-</v>
      </c>
      <c r="CY292" s="840" t="str">
        <f t="shared" si="264"/>
        <v>-</v>
      </c>
      <c r="CZ292" s="833" t="str">
        <f t="shared" si="265"/>
        <v>-</v>
      </c>
      <c r="DA292" s="838" t="str">
        <f t="shared" ca="1" si="266"/>
        <v>-</v>
      </c>
      <c r="DB292" s="841"/>
      <c r="DC292" s="832"/>
    </row>
    <row r="293" spans="1:107" s="842" customFormat="1" ht="15.95" customHeight="1" x14ac:dyDescent="0.25">
      <c r="A293" s="790">
        <v>294</v>
      </c>
      <c r="B293" s="791">
        <f t="shared" ca="1" si="215"/>
        <v>43134</v>
      </c>
      <c r="C293" s="29" t="s">
        <v>613</v>
      </c>
      <c r="D293" s="59" t="s">
        <v>3203</v>
      </c>
      <c r="E293" s="794" t="s">
        <v>1309</v>
      </c>
      <c r="F293" s="795" t="s">
        <v>1190</v>
      </c>
      <c r="G293" s="796">
        <f>SUMIFS(МОЛОКО!L8:L6958,МОЛОКО!F8:F6958,"2239",МОЛОКО!L8:L6958,"&gt;0")</f>
        <v>15</v>
      </c>
      <c r="H293" s="797" t="s">
        <v>603</v>
      </c>
      <c r="I293" s="798">
        <v>41787</v>
      </c>
      <c r="J293" s="799">
        <f t="shared" ca="1" si="216"/>
        <v>3.6904109589041094</v>
      </c>
      <c r="K293" s="799">
        <f t="shared" ca="1" si="217"/>
        <v>44.9</v>
      </c>
      <c r="L293" s="800">
        <f t="shared" ca="1" si="218"/>
        <v>1347</v>
      </c>
      <c r="M293" s="801">
        <v>42546</v>
      </c>
      <c r="N293" s="802">
        <v>42888</v>
      </c>
      <c r="O293" s="803">
        <f t="shared" ca="1" si="219"/>
        <v>246</v>
      </c>
      <c r="P293" s="804">
        <v>2</v>
      </c>
      <c r="Q293" s="805" t="s">
        <v>2366</v>
      </c>
      <c r="R293" s="118" t="s">
        <v>3020</v>
      </c>
      <c r="S293" s="807">
        <v>42950</v>
      </c>
      <c r="T293" s="798">
        <v>43035</v>
      </c>
      <c r="U293" s="798">
        <f t="shared" si="220"/>
        <v>43053</v>
      </c>
      <c r="V293" s="804">
        <f t="shared" ca="1" si="221"/>
        <v>81</v>
      </c>
      <c r="W293" s="808">
        <v>3</v>
      </c>
      <c r="X293" s="794">
        <f t="shared" si="214"/>
        <v>147</v>
      </c>
      <c r="Y293" s="794">
        <v>3</v>
      </c>
      <c r="Z293" s="809" t="str">
        <f t="shared" ca="1" si="222"/>
        <v>-----</v>
      </c>
      <c r="AA293" s="810">
        <f t="shared" ca="1" si="223"/>
        <v>99</v>
      </c>
      <c r="AB293" s="804"/>
      <c r="AC293" s="811" t="str">
        <f t="shared" ca="1" si="224"/>
        <v>-----</v>
      </c>
      <c r="AD293" s="798"/>
      <c r="AE293" s="794" t="str">
        <f t="shared" ca="1" si="225"/>
        <v>-</v>
      </c>
      <c r="AF293" s="798">
        <f t="shared" si="226"/>
        <v>43070</v>
      </c>
      <c r="AG293" s="812">
        <f t="shared" ca="1" si="227"/>
        <v>64</v>
      </c>
      <c r="AH293" s="807">
        <v>43028</v>
      </c>
      <c r="AI293" s="807" t="str">
        <f t="shared" si="228"/>
        <v>-</v>
      </c>
      <c r="AJ293" s="807" t="str">
        <f t="shared" si="229"/>
        <v>-</v>
      </c>
      <c r="AK293" s="813"/>
      <c r="AL293" s="807" t="str">
        <f t="shared" si="230"/>
        <v>-</v>
      </c>
      <c r="AM293" s="807" t="str">
        <f t="shared" si="231"/>
        <v>-</v>
      </c>
      <c r="AN293" s="814" t="str">
        <f t="shared" ca="1" si="232"/>
        <v>-</v>
      </c>
      <c r="AO293" s="815">
        <v>1</v>
      </c>
      <c r="AP293" s="816" t="str">
        <f t="shared" ca="1" si="233"/>
        <v>-</v>
      </c>
      <c r="AQ293" s="817"/>
      <c r="AR293" s="794" t="str">
        <f t="shared" si="234"/>
        <v>-</v>
      </c>
      <c r="AS293" s="818"/>
      <c r="AT293" s="794" t="str">
        <f t="shared" si="235"/>
        <v>-</v>
      </c>
      <c r="AU293" s="819"/>
      <c r="AV293" s="820"/>
      <c r="AW293" s="821"/>
      <c r="AX293" s="821"/>
      <c r="AY293" s="969" t="str">
        <f t="shared" si="236"/>
        <v>-</v>
      </c>
      <c r="AZ293" s="966" t="str">
        <f t="shared" si="237"/>
        <v>-</v>
      </c>
      <c r="BA293" s="971" t="str">
        <f t="shared" si="238"/>
        <v>-</v>
      </c>
      <c r="BB293" s="975"/>
      <c r="BC293" s="821"/>
      <c r="BD293" s="821"/>
      <c r="BE293" s="963" t="str">
        <f t="shared" si="239"/>
        <v>-</v>
      </c>
      <c r="BF293" s="984"/>
      <c r="BG293" s="988"/>
      <c r="BH293" s="982"/>
      <c r="BI293" s="991"/>
      <c r="BJ293" s="991"/>
      <c r="BK293" s="993" t="str">
        <f t="shared" si="240"/>
        <v>-</v>
      </c>
      <c r="BL293" s="820">
        <v>42980</v>
      </c>
      <c r="BM293" s="821">
        <v>5</v>
      </c>
      <c r="BN293" s="822">
        <f t="shared" ca="1" si="241"/>
        <v>154</v>
      </c>
      <c r="BO293" s="823">
        <f t="shared" si="242"/>
        <v>39.766666666666666</v>
      </c>
      <c r="BP293" s="824">
        <v>43001</v>
      </c>
      <c r="BQ293" s="821">
        <v>2</v>
      </c>
      <c r="BR293" s="822">
        <f t="shared" ca="1" si="243"/>
        <v>133</v>
      </c>
      <c r="BS293" s="823">
        <f t="shared" si="244"/>
        <v>15.166666666666666</v>
      </c>
      <c r="BT293" s="825" t="str">
        <f t="shared" ca="1" si="245"/>
        <v>-</v>
      </c>
      <c r="BU293" s="826"/>
      <c r="BV293" s="827"/>
      <c r="BW293" s="828" t="str">
        <f t="shared" si="246"/>
        <v>Ж-Е НЕ ВАКЦ.</v>
      </c>
      <c r="BX293" s="829" t="str">
        <f t="shared" si="247"/>
        <v>-</v>
      </c>
      <c r="BY293" s="830" t="str">
        <f t="shared" ca="1" si="248"/>
        <v>-</v>
      </c>
      <c r="BZ293" s="831">
        <v>42916</v>
      </c>
      <c r="CA293" s="832">
        <v>5</v>
      </c>
      <c r="CB293" s="833">
        <f t="shared" ca="1" si="249"/>
        <v>218</v>
      </c>
      <c r="CC293" s="834" t="str">
        <f t="shared" ca="1" si="250"/>
        <v>-</v>
      </c>
      <c r="CD293" s="835">
        <f t="shared" si="251"/>
        <v>42937</v>
      </c>
      <c r="CE293" s="831">
        <v>42937</v>
      </c>
      <c r="CF293" s="832">
        <v>5</v>
      </c>
      <c r="CG293" s="833">
        <f t="shared" ca="1" si="252"/>
        <v>197</v>
      </c>
      <c r="CH293" s="836">
        <f t="shared" si="253"/>
        <v>0</v>
      </c>
      <c r="CI293" s="837" t="str">
        <f t="shared" si="254"/>
        <v>УСПЕШНО</v>
      </c>
      <c r="CJ293" s="838" t="str">
        <f t="shared" ca="1" si="255"/>
        <v>-</v>
      </c>
      <c r="CK293" s="831"/>
      <c r="CL293" s="832"/>
      <c r="CM293" s="833" t="str">
        <f t="shared" si="256"/>
        <v>-</v>
      </c>
      <c r="CN293" s="834" t="str">
        <f t="shared" si="257"/>
        <v>-</v>
      </c>
      <c r="CO293" s="830" t="str">
        <f t="shared" ca="1" si="258"/>
        <v>-</v>
      </c>
      <c r="CP293" s="839"/>
      <c r="CQ293" s="832"/>
      <c r="CR293" s="833" t="str">
        <f t="shared" si="259"/>
        <v>-</v>
      </c>
      <c r="CS293" s="833" t="str">
        <f t="shared" si="260"/>
        <v>-</v>
      </c>
      <c r="CT293" s="834" t="str">
        <f t="shared" si="261"/>
        <v>-</v>
      </c>
      <c r="CU293" s="835" t="str">
        <f t="shared" si="262"/>
        <v>-</v>
      </c>
      <c r="CV293" s="839"/>
      <c r="CW293" s="832"/>
      <c r="CX293" s="833" t="str">
        <f t="shared" si="263"/>
        <v>-</v>
      </c>
      <c r="CY293" s="840" t="str">
        <f t="shared" si="264"/>
        <v>-</v>
      </c>
      <c r="CZ293" s="833" t="str">
        <f t="shared" si="265"/>
        <v>-</v>
      </c>
      <c r="DA293" s="838" t="str">
        <f t="shared" ca="1" si="266"/>
        <v>-</v>
      </c>
      <c r="DB293" s="841"/>
      <c r="DC293" s="832"/>
    </row>
    <row r="294" spans="1:107" s="842" customFormat="1" ht="15.95" customHeight="1" x14ac:dyDescent="0.25">
      <c r="A294" s="790">
        <v>295</v>
      </c>
      <c r="B294" s="791">
        <f t="shared" ca="1" si="215"/>
        <v>43134</v>
      </c>
      <c r="C294" s="792" t="s">
        <v>613</v>
      </c>
      <c r="D294" s="793" t="s">
        <v>3203</v>
      </c>
      <c r="E294" s="861" t="s">
        <v>1096</v>
      </c>
      <c r="F294" s="859" t="s">
        <v>1202</v>
      </c>
      <c r="G294" s="796">
        <f>SUMIFS(МОЛОКО!L8:L6958,МОЛОКО!F8:F6958,"2280",МОЛОКО!L8:L6958,"&gt;0")</f>
        <v>8.4</v>
      </c>
      <c r="H294" s="797" t="s">
        <v>603</v>
      </c>
      <c r="I294" s="798">
        <v>41827</v>
      </c>
      <c r="J294" s="799">
        <f t="shared" ca="1" si="216"/>
        <v>3.580821917808219</v>
      </c>
      <c r="K294" s="799">
        <f t="shared" ca="1" si="217"/>
        <v>43.56666666666667</v>
      </c>
      <c r="L294" s="800">
        <f t="shared" ca="1" si="218"/>
        <v>1307</v>
      </c>
      <c r="M294" s="801">
        <v>42490</v>
      </c>
      <c r="N294" s="802">
        <v>42785</v>
      </c>
      <c r="O294" s="803">
        <f t="shared" ca="1" si="219"/>
        <v>349</v>
      </c>
      <c r="P294" s="804">
        <v>2</v>
      </c>
      <c r="Q294" s="805" t="s">
        <v>2366</v>
      </c>
      <c r="R294" s="806" t="s">
        <v>1810</v>
      </c>
      <c r="S294" s="807">
        <v>42902</v>
      </c>
      <c r="T294" s="798">
        <v>42902</v>
      </c>
      <c r="U294" s="798" t="str">
        <f t="shared" si="220"/>
        <v>-</v>
      </c>
      <c r="V294" s="804" t="str">
        <f t="shared" ca="1" si="221"/>
        <v>-</v>
      </c>
      <c r="W294" s="808">
        <v>1</v>
      </c>
      <c r="X294" s="794">
        <f t="shared" si="214"/>
        <v>117</v>
      </c>
      <c r="Y294" s="794">
        <v>1</v>
      </c>
      <c r="Z294" s="809" t="str">
        <f t="shared" ca="1" si="222"/>
        <v>-----</v>
      </c>
      <c r="AA294" s="810" t="str">
        <f t="shared" ca="1" si="223"/>
        <v>-----</v>
      </c>
      <c r="AB294" s="804">
        <v>1</v>
      </c>
      <c r="AC294" s="811" t="str">
        <f t="shared" ca="1" si="224"/>
        <v>-----</v>
      </c>
      <c r="AD294" s="798"/>
      <c r="AE294" s="794" t="str">
        <f t="shared" ca="1" si="225"/>
        <v>-</v>
      </c>
      <c r="AF294" s="798" t="str">
        <f t="shared" si="226"/>
        <v>-</v>
      </c>
      <c r="AG294" s="812" t="str">
        <f t="shared" si="227"/>
        <v>---------</v>
      </c>
      <c r="AH294" s="807">
        <v>42971</v>
      </c>
      <c r="AI294" s="807">
        <f t="shared" si="228"/>
        <v>43092</v>
      </c>
      <c r="AJ294" s="807">
        <f t="shared" si="229"/>
        <v>43122</v>
      </c>
      <c r="AK294" s="813"/>
      <c r="AL294" s="807">
        <f t="shared" si="230"/>
        <v>43161</v>
      </c>
      <c r="AM294" s="807">
        <f t="shared" si="231"/>
        <v>43182</v>
      </c>
      <c r="AN294" s="814">
        <f t="shared" ca="1" si="232"/>
        <v>-48</v>
      </c>
      <c r="AO294" s="815">
        <v>1</v>
      </c>
      <c r="AP294" s="816" t="str">
        <f t="shared" ca="1" si="233"/>
        <v>-</v>
      </c>
      <c r="AQ294" s="817"/>
      <c r="AR294" s="794" t="str">
        <f t="shared" si="234"/>
        <v>-</v>
      </c>
      <c r="AS294" s="818"/>
      <c r="AT294" s="794" t="str">
        <f t="shared" si="235"/>
        <v>-</v>
      </c>
      <c r="AU294" s="819"/>
      <c r="AV294" s="820"/>
      <c r="AW294" s="821"/>
      <c r="AX294" s="821"/>
      <c r="AY294" s="969" t="str">
        <f t="shared" si="236"/>
        <v>-</v>
      </c>
      <c r="AZ294" s="966" t="str">
        <f t="shared" si="237"/>
        <v>-</v>
      </c>
      <c r="BA294" s="971" t="str">
        <f t="shared" si="238"/>
        <v>-</v>
      </c>
      <c r="BB294" s="975"/>
      <c r="BC294" s="821"/>
      <c r="BD294" s="821"/>
      <c r="BE294" s="963" t="str">
        <f t="shared" si="239"/>
        <v>-</v>
      </c>
      <c r="BF294" s="984"/>
      <c r="BG294" s="988"/>
      <c r="BH294" s="982"/>
      <c r="BI294" s="991"/>
      <c r="BJ294" s="991"/>
      <c r="BK294" s="993" t="str">
        <f t="shared" si="240"/>
        <v>-</v>
      </c>
      <c r="BL294" s="820">
        <v>42981</v>
      </c>
      <c r="BM294" s="821">
        <v>5</v>
      </c>
      <c r="BN294" s="822">
        <f t="shared" ca="1" si="241"/>
        <v>153</v>
      </c>
      <c r="BO294" s="823">
        <f t="shared" si="242"/>
        <v>38.466666666666669</v>
      </c>
      <c r="BP294" s="824">
        <v>43001</v>
      </c>
      <c r="BQ294" s="821">
        <v>2</v>
      </c>
      <c r="BR294" s="822">
        <f t="shared" ca="1" si="243"/>
        <v>133</v>
      </c>
      <c r="BS294" s="823">
        <f t="shared" si="244"/>
        <v>17.033333333333335</v>
      </c>
      <c r="BT294" s="825" t="str">
        <f t="shared" ca="1" si="245"/>
        <v>-</v>
      </c>
      <c r="BU294" s="826"/>
      <c r="BV294" s="827"/>
      <c r="BW294" s="828" t="str">
        <f t="shared" si="246"/>
        <v>Ж-Е НЕ ВАКЦ.</v>
      </c>
      <c r="BX294" s="829" t="str">
        <f t="shared" si="247"/>
        <v>-</v>
      </c>
      <c r="BY294" s="830" t="str">
        <f t="shared" ca="1" si="248"/>
        <v>-</v>
      </c>
      <c r="BZ294" s="831">
        <v>42887</v>
      </c>
      <c r="CA294" s="832">
        <v>5</v>
      </c>
      <c r="CB294" s="833">
        <f t="shared" ca="1" si="249"/>
        <v>247</v>
      </c>
      <c r="CC294" s="834" t="str">
        <f t="shared" ca="1" si="250"/>
        <v>-</v>
      </c>
      <c r="CD294" s="835">
        <f t="shared" si="251"/>
        <v>42908</v>
      </c>
      <c r="CE294" s="831">
        <v>42908</v>
      </c>
      <c r="CF294" s="832">
        <v>5</v>
      </c>
      <c r="CG294" s="833">
        <f t="shared" ca="1" si="252"/>
        <v>226</v>
      </c>
      <c r="CH294" s="836">
        <f t="shared" si="253"/>
        <v>0</v>
      </c>
      <c r="CI294" s="837" t="str">
        <f t="shared" si="254"/>
        <v>УСПЕШНО</v>
      </c>
      <c r="CJ294" s="838" t="str">
        <f t="shared" ca="1" si="255"/>
        <v>-</v>
      </c>
      <c r="CK294" s="831"/>
      <c r="CL294" s="832"/>
      <c r="CM294" s="833" t="str">
        <f t="shared" si="256"/>
        <v>-</v>
      </c>
      <c r="CN294" s="834" t="str">
        <f t="shared" si="257"/>
        <v>-</v>
      </c>
      <c r="CO294" s="830" t="str">
        <f t="shared" ca="1" si="258"/>
        <v>ТРЕБУЕТСЯ ВАКЦИНАЦИЯ</v>
      </c>
      <c r="CP294" s="839"/>
      <c r="CQ294" s="832"/>
      <c r="CR294" s="833" t="str">
        <f t="shared" si="259"/>
        <v>-</v>
      </c>
      <c r="CS294" s="833" t="str">
        <f t="shared" si="260"/>
        <v>-</v>
      </c>
      <c r="CT294" s="834" t="str">
        <f t="shared" si="261"/>
        <v>-</v>
      </c>
      <c r="CU294" s="835" t="str">
        <f t="shared" si="262"/>
        <v>-</v>
      </c>
      <c r="CV294" s="839"/>
      <c r="CW294" s="832"/>
      <c r="CX294" s="833" t="str">
        <f t="shared" si="263"/>
        <v>-</v>
      </c>
      <c r="CY294" s="840" t="str">
        <f t="shared" si="264"/>
        <v>-</v>
      </c>
      <c r="CZ294" s="833" t="str">
        <f t="shared" si="265"/>
        <v>-</v>
      </c>
      <c r="DA294" s="838" t="str">
        <f t="shared" ca="1" si="266"/>
        <v>-</v>
      </c>
      <c r="DB294" s="841"/>
      <c r="DC294" s="832"/>
    </row>
    <row r="295" spans="1:107" s="842" customFormat="1" ht="15.95" customHeight="1" x14ac:dyDescent="0.25">
      <c r="A295" s="790">
        <v>296</v>
      </c>
      <c r="B295" s="791">
        <f t="shared" ca="1" si="215"/>
        <v>43134</v>
      </c>
      <c r="C295" s="792" t="s">
        <v>613</v>
      </c>
      <c r="D295" s="793" t="s">
        <v>3203</v>
      </c>
      <c r="E295" s="794" t="s">
        <v>1050</v>
      </c>
      <c r="F295" s="795" t="s">
        <v>955</v>
      </c>
      <c r="G295" s="796">
        <f>SUMIFS(МОЛОКО!L8:L6958,МОЛОКО!F8:F6958,"2304",МОЛОКО!L8:L6958,"&gt;0")</f>
        <v>13.2</v>
      </c>
      <c r="H295" s="797" t="s">
        <v>603</v>
      </c>
      <c r="I295" s="798">
        <v>41852</v>
      </c>
      <c r="J295" s="799">
        <f t="shared" ca="1" si="216"/>
        <v>3.5123287671232877</v>
      </c>
      <c r="K295" s="799">
        <f t="shared" ca="1" si="217"/>
        <v>42.733333333333334</v>
      </c>
      <c r="L295" s="800">
        <f t="shared" ca="1" si="218"/>
        <v>1282</v>
      </c>
      <c r="M295" s="801">
        <v>42576</v>
      </c>
      <c r="N295" s="802">
        <v>42576</v>
      </c>
      <c r="O295" s="803">
        <f t="shared" ca="1" si="219"/>
        <v>558</v>
      </c>
      <c r="P295" s="804">
        <v>1</v>
      </c>
      <c r="Q295" s="805" t="s">
        <v>2366</v>
      </c>
      <c r="R295" s="806" t="s">
        <v>1875</v>
      </c>
      <c r="S295" s="807">
        <v>42633</v>
      </c>
      <c r="T295" s="798">
        <v>42902</v>
      </c>
      <c r="U295" s="798" t="str">
        <f t="shared" si="220"/>
        <v>-</v>
      </c>
      <c r="V295" s="804" t="str">
        <f t="shared" ca="1" si="221"/>
        <v>-</v>
      </c>
      <c r="W295" s="808">
        <v>5</v>
      </c>
      <c r="X295" s="794">
        <f t="shared" si="214"/>
        <v>326</v>
      </c>
      <c r="Y295" s="794">
        <v>1</v>
      </c>
      <c r="Z295" s="809" t="str">
        <f t="shared" ca="1" si="222"/>
        <v>-----</v>
      </c>
      <c r="AA295" s="810" t="str">
        <f t="shared" ca="1" si="223"/>
        <v>-----</v>
      </c>
      <c r="AB295" s="804">
        <v>1</v>
      </c>
      <c r="AC295" s="811" t="str">
        <f t="shared" ca="1" si="224"/>
        <v>-----</v>
      </c>
      <c r="AD295" s="798"/>
      <c r="AE295" s="794" t="str">
        <f t="shared" ca="1" si="225"/>
        <v>-</v>
      </c>
      <c r="AF295" s="798" t="str">
        <f t="shared" si="226"/>
        <v>-</v>
      </c>
      <c r="AG295" s="812" t="str">
        <f t="shared" si="227"/>
        <v>---------</v>
      </c>
      <c r="AH295" s="807">
        <v>42971</v>
      </c>
      <c r="AI295" s="807">
        <f t="shared" si="228"/>
        <v>43092</v>
      </c>
      <c r="AJ295" s="807">
        <f t="shared" si="229"/>
        <v>43122</v>
      </c>
      <c r="AK295" s="813"/>
      <c r="AL295" s="807">
        <f t="shared" si="230"/>
        <v>43161</v>
      </c>
      <c r="AM295" s="807">
        <f t="shared" si="231"/>
        <v>43182</v>
      </c>
      <c r="AN295" s="814">
        <f t="shared" ca="1" si="232"/>
        <v>-48</v>
      </c>
      <c r="AO295" s="815">
        <v>1</v>
      </c>
      <c r="AP295" s="816" t="str">
        <f t="shared" ca="1" si="233"/>
        <v>-</v>
      </c>
      <c r="AQ295" s="817"/>
      <c r="AR295" s="794" t="str">
        <f t="shared" si="234"/>
        <v>-</v>
      </c>
      <c r="AS295" s="818"/>
      <c r="AT295" s="794" t="str">
        <f t="shared" si="235"/>
        <v>-</v>
      </c>
      <c r="AU295" s="819"/>
      <c r="AV295" s="820"/>
      <c r="AW295" s="821"/>
      <c r="AX295" s="821"/>
      <c r="AY295" s="969" t="str">
        <f t="shared" si="236"/>
        <v>-</v>
      </c>
      <c r="AZ295" s="966" t="str">
        <f t="shared" si="237"/>
        <v>-</v>
      </c>
      <c r="BA295" s="971" t="str">
        <f t="shared" si="238"/>
        <v>-</v>
      </c>
      <c r="BB295" s="975"/>
      <c r="BC295" s="821"/>
      <c r="BD295" s="821"/>
      <c r="BE295" s="963" t="str">
        <f t="shared" si="239"/>
        <v>-</v>
      </c>
      <c r="BF295" s="984"/>
      <c r="BG295" s="988"/>
      <c r="BH295" s="982"/>
      <c r="BI295" s="991"/>
      <c r="BJ295" s="991"/>
      <c r="BK295" s="993" t="str">
        <f t="shared" si="240"/>
        <v>-</v>
      </c>
      <c r="BL295" s="820">
        <v>42981</v>
      </c>
      <c r="BM295" s="821">
        <v>5</v>
      </c>
      <c r="BN295" s="822">
        <f t="shared" ca="1" si="241"/>
        <v>153</v>
      </c>
      <c r="BO295" s="823">
        <f t="shared" si="242"/>
        <v>37.633333333333333</v>
      </c>
      <c r="BP295" s="824">
        <v>43001</v>
      </c>
      <c r="BQ295" s="821">
        <v>2</v>
      </c>
      <c r="BR295" s="822">
        <f t="shared" ca="1" si="243"/>
        <v>133</v>
      </c>
      <c r="BS295" s="823">
        <f t="shared" si="244"/>
        <v>14.166666666666666</v>
      </c>
      <c r="BT295" s="825" t="str">
        <f t="shared" ca="1" si="245"/>
        <v>-</v>
      </c>
      <c r="BU295" s="826"/>
      <c r="BV295" s="827"/>
      <c r="BW295" s="828" t="str">
        <f t="shared" si="246"/>
        <v>Ж-Е НЕ ВАКЦ.</v>
      </c>
      <c r="BX295" s="829" t="str">
        <f t="shared" si="247"/>
        <v>-</v>
      </c>
      <c r="BY295" s="830" t="str">
        <f t="shared" ca="1" si="248"/>
        <v>-</v>
      </c>
      <c r="BZ295" s="831">
        <v>42887</v>
      </c>
      <c r="CA295" s="832">
        <v>5</v>
      </c>
      <c r="CB295" s="833">
        <f t="shared" ca="1" si="249"/>
        <v>247</v>
      </c>
      <c r="CC295" s="834" t="str">
        <f t="shared" ca="1" si="250"/>
        <v>-</v>
      </c>
      <c r="CD295" s="835">
        <f t="shared" si="251"/>
        <v>42908</v>
      </c>
      <c r="CE295" s="831">
        <v>42908</v>
      </c>
      <c r="CF295" s="832">
        <v>5</v>
      </c>
      <c r="CG295" s="833">
        <f t="shared" ca="1" si="252"/>
        <v>226</v>
      </c>
      <c r="CH295" s="836">
        <f t="shared" si="253"/>
        <v>0</v>
      </c>
      <c r="CI295" s="837" t="str">
        <f t="shared" si="254"/>
        <v>УСПЕШНО</v>
      </c>
      <c r="CJ295" s="838" t="str">
        <f t="shared" ca="1" si="255"/>
        <v>-</v>
      </c>
      <c r="CK295" s="831"/>
      <c r="CL295" s="832"/>
      <c r="CM295" s="833" t="str">
        <f t="shared" si="256"/>
        <v>-</v>
      </c>
      <c r="CN295" s="834" t="str">
        <f t="shared" si="257"/>
        <v>-</v>
      </c>
      <c r="CO295" s="830" t="str">
        <f t="shared" ca="1" si="258"/>
        <v>ТРЕБУЕТСЯ ВАКЦИНАЦИЯ</v>
      </c>
      <c r="CP295" s="839"/>
      <c r="CQ295" s="832"/>
      <c r="CR295" s="833" t="str">
        <f t="shared" si="259"/>
        <v>-</v>
      </c>
      <c r="CS295" s="833" t="str">
        <f t="shared" si="260"/>
        <v>-</v>
      </c>
      <c r="CT295" s="834" t="str">
        <f t="shared" si="261"/>
        <v>-</v>
      </c>
      <c r="CU295" s="835" t="str">
        <f t="shared" si="262"/>
        <v>-</v>
      </c>
      <c r="CV295" s="839"/>
      <c r="CW295" s="832"/>
      <c r="CX295" s="833" t="str">
        <f t="shared" si="263"/>
        <v>-</v>
      </c>
      <c r="CY295" s="840" t="str">
        <f t="shared" si="264"/>
        <v>-</v>
      </c>
      <c r="CZ295" s="833" t="str">
        <f t="shared" si="265"/>
        <v>-</v>
      </c>
      <c r="DA295" s="838" t="str">
        <f t="shared" ca="1" si="266"/>
        <v>-</v>
      </c>
      <c r="DB295" s="841"/>
      <c r="DC295" s="832"/>
    </row>
    <row r="296" spans="1:107" s="842" customFormat="1" ht="15.95" customHeight="1" x14ac:dyDescent="0.25">
      <c r="A296" s="790">
        <v>297</v>
      </c>
      <c r="B296" s="791">
        <f t="shared" ca="1" si="215"/>
        <v>43134</v>
      </c>
      <c r="C296" s="792" t="s">
        <v>613</v>
      </c>
      <c r="D296" s="793" t="s">
        <v>3203</v>
      </c>
      <c r="E296" s="794" t="s">
        <v>1056</v>
      </c>
      <c r="F296" s="795" t="s">
        <v>967</v>
      </c>
      <c r="G296" s="796">
        <f>SUMIFS(МОЛОКО!L8:L6958,МОЛОКО!F8:F6958,"2343",МОЛОКО!L8:L6958,"&gt;0")</f>
        <v>12</v>
      </c>
      <c r="H296" s="797" t="s">
        <v>603</v>
      </c>
      <c r="I296" s="798">
        <v>41884</v>
      </c>
      <c r="J296" s="799">
        <f t="shared" ca="1" si="216"/>
        <v>3.4246575342465753</v>
      </c>
      <c r="K296" s="799">
        <f t="shared" ca="1" si="217"/>
        <v>41.666666666666664</v>
      </c>
      <c r="L296" s="800">
        <f t="shared" ca="1" si="218"/>
        <v>1250</v>
      </c>
      <c r="M296" s="801">
        <v>42668</v>
      </c>
      <c r="N296" s="802">
        <v>42668</v>
      </c>
      <c r="O296" s="803">
        <f t="shared" ca="1" si="219"/>
        <v>466</v>
      </c>
      <c r="P296" s="804">
        <v>1</v>
      </c>
      <c r="Q296" s="805" t="s">
        <v>1451</v>
      </c>
      <c r="R296" s="806" t="s">
        <v>2664</v>
      </c>
      <c r="S296" s="807">
        <v>42733</v>
      </c>
      <c r="T296" s="798">
        <v>42846</v>
      </c>
      <c r="U296" s="798" t="str">
        <f t="shared" si="220"/>
        <v>-</v>
      </c>
      <c r="V296" s="804" t="str">
        <f t="shared" ca="1" si="221"/>
        <v>-</v>
      </c>
      <c r="W296" s="808">
        <v>4</v>
      </c>
      <c r="X296" s="794">
        <f t="shared" si="214"/>
        <v>178</v>
      </c>
      <c r="Y296" s="794">
        <v>1</v>
      </c>
      <c r="Z296" s="809" t="str">
        <f t="shared" ca="1" si="222"/>
        <v>-----</v>
      </c>
      <c r="AA296" s="810" t="str">
        <f t="shared" ca="1" si="223"/>
        <v>-----</v>
      </c>
      <c r="AB296" s="804">
        <v>1</v>
      </c>
      <c r="AC296" s="811" t="str">
        <f t="shared" ca="1" si="224"/>
        <v>-----</v>
      </c>
      <c r="AD296" s="798">
        <v>42930</v>
      </c>
      <c r="AE296" s="794" t="str">
        <f t="shared" ca="1" si="225"/>
        <v>-</v>
      </c>
      <c r="AF296" s="798" t="str">
        <f t="shared" si="226"/>
        <v>-</v>
      </c>
      <c r="AG296" s="812" t="str">
        <f t="shared" si="227"/>
        <v>---------</v>
      </c>
      <c r="AH296" s="807">
        <v>42883</v>
      </c>
      <c r="AI296" s="807">
        <f t="shared" si="228"/>
        <v>43036</v>
      </c>
      <c r="AJ296" s="807">
        <f t="shared" si="229"/>
        <v>43066</v>
      </c>
      <c r="AK296" s="813"/>
      <c r="AL296" s="807">
        <f t="shared" si="230"/>
        <v>43105</v>
      </c>
      <c r="AM296" s="807">
        <f t="shared" si="231"/>
        <v>43126</v>
      </c>
      <c r="AN296" s="814">
        <f t="shared" ca="1" si="232"/>
        <v>8</v>
      </c>
      <c r="AO296" s="815">
        <v>1</v>
      </c>
      <c r="AP296" s="816" t="str">
        <f t="shared" ca="1" si="233"/>
        <v>-</v>
      </c>
      <c r="AQ296" s="817"/>
      <c r="AR296" s="794" t="str">
        <f t="shared" si="234"/>
        <v>-</v>
      </c>
      <c r="AS296" s="818"/>
      <c r="AT296" s="794" t="str">
        <f t="shared" si="235"/>
        <v>-</v>
      </c>
      <c r="AU296" s="819"/>
      <c r="AV296" s="820"/>
      <c r="AW296" s="821"/>
      <c r="AX296" s="821"/>
      <c r="AY296" s="969" t="str">
        <f t="shared" si="236"/>
        <v>-</v>
      </c>
      <c r="AZ296" s="966" t="str">
        <f t="shared" si="237"/>
        <v>-</v>
      </c>
      <c r="BA296" s="971" t="str">
        <f t="shared" si="238"/>
        <v>-</v>
      </c>
      <c r="BB296" s="975"/>
      <c r="BC296" s="821"/>
      <c r="BD296" s="821"/>
      <c r="BE296" s="963" t="str">
        <f t="shared" si="239"/>
        <v>-</v>
      </c>
      <c r="BF296" s="984"/>
      <c r="BG296" s="988"/>
      <c r="BH296" s="982"/>
      <c r="BI296" s="991"/>
      <c r="BJ296" s="991"/>
      <c r="BK296" s="993" t="str">
        <f t="shared" si="240"/>
        <v>-</v>
      </c>
      <c r="BL296" s="820">
        <v>42981</v>
      </c>
      <c r="BM296" s="821">
        <v>5</v>
      </c>
      <c r="BN296" s="822">
        <f t="shared" ca="1" si="241"/>
        <v>153</v>
      </c>
      <c r="BO296" s="823">
        <f t="shared" si="242"/>
        <v>36.56666666666667</v>
      </c>
      <c r="BP296" s="824">
        <v>43001</v>
      </c>
      <c r="BQ296" s="821">
        <v>2</v>
      </c>
      <c r="BR296" s="822">
        <f t="shared" ca="1" si="243"/>
        <v>133</v>
      </c>
      <c r="BS296" s="823">
        <f t="shared" si="244"/>
        <v>11.1</v>
      </c>
      <c r="BT296" s="825" t="str">
        <f t="shared" ca="1" si="245"/>
        <v>-</v>
      </c>
      <c r="BU296" s="826"/>
      <c r="BV296" s="827"/>
      <c r="BW296" s="828" t="str">
        <f t="shared" si="246"/>
        <v>Ж-Е НЕ ВАКЦ.</v>
      </c>
      <c r="BX296" s="829" t="str">
        <f t="shared" si="247"/>
        <v>-</v>
      </c>
      <c r="BY296" s="830" t="str">
        <f t="shared" ca="1" si="248"/>
        <v>-</v>
      </c>
      <c r="BZ296" s="831">
        <v>42887</v>
      </c>
      <c r="CA296" s="832">
        <v>5</v>
      </c>
      <c r="CB296" s="833">
        <f t="shared" ca="1" si="249"/>
        <v>247</v>
      </c>
      <c r="CC296" s="834" t="str">
        <f t="shared" ca="1" si="250"/>
        <v>-</v>
      </c>
      <c r="CD296" s="835">
        <f t="shared" si="251"/>
        <v>42908</v>
      </c>
      <c r="CE296" s="831">
        <v>42908</v>
      </c>
      <c r="CF296" s="832">
        <v>5</v>
      </c>
      <c r="CG296" s="833">
        <f t="shared" ca="1" si="252"/>
        <v>226</v>
      </c>
      <c r="CH296" s="836">
        <f t="shared" si="253"/>
        <v>0</v>
      </c>
      <c r="CI296" s="837" t="str">
        <f t="shared" si="254"/>
        <v>УСПЕШНО</v>
      </c>
      <c r="CJ296" s="838" t="str">
        <f t="shared" ca="1" si="255"/>
        <v>-</v>
      </c>
      <c r="CK296" s="831"/>
      <c r="CL296" s="832"/>
      <c r="CM296" s="833" t="str">
        <f t="shared" si="256"/>
        <v>-</v>
      </c>
      <c r="CN296" s="834" t="str">
        <f t="shared" si="257"/>
        <v>-</v>
      </c>
      <c r="CO296" s="830" t="str">
        <f t="shared" ca="1" si="258"/>
        <v>ТРЕБУЕТСЯ ВАКЦИНАЦИЯ</v>
      </c>
      <c r="CP296" s="839"/>
      <c r="CQ296" s="832"/>
      <c r="CR296" s="833" t="str">
        <f t="shared" si="259"/>
        <v>-</v>
      </c>
      <c r="CS296" s="833" t="str">
        <f t="shared" si="260"/>
        <v>-</v>
      </c>
      <c r="CT296" s="834" t="str">
        <f t="shared" si="261"/>
        <v>-</v>
      </c>
      <c r="CU296" s="835" t="str">
        <f t="shared" si="262"/>
        <v>-</v>
      </c>
      <c r="CV296" s="839"/>
      <c r="CW296" s="832"/>
      <c r="CX296" s="833" t="str">
        <f t="shared" si="263"/>
        <v>-</v>
      </c>
      <c r="CY296" s="840" t="str">
        <f t="shared" si="264"/>
        <v>-</v>
      </c>
      <c r="CZ296" s="833" t="str">
        <f t="shared" si="265"/>
        <v>-</v>
      </c>
      <c r="DA296" s="838" t="str">
        <f t="shared" ca="1" si="266"/>
        <v>-</v>
      </c>
      <c r="DB296" s="841"/>
      <c r="DC296" s="832"/>
    </row>
    <row r="297" spans="1:107" s="842" customFormat="1" ht="15.95" customHeight="1" x14ac:dyDescent="0.25">
      <c r="A297" s="790">
        <v>298</v>
      </c>
      <c r="B297" s="791">
        <f t="shared" ca="1" si="215"/>
        <v>43134</v>
      </c>
      <c r="C297" s="792" t="s">
        <v>613</v>
      </c>
      <c r="D297" s="793" t="s">
        <v>3203</v>
      </c>
      <c r="E297" s="794" t="s">
        <v>1336</v>
      </c>
      <c r="F297" s="795" t="s">
        <v>1220</v>
      </c>
      <c r="G297" s="796">
        <f>SUMIFS(МОЛОКО!L8:L6958,МОЛОКО!F8:F6958,"2344",МОЛОКО!L8:L6958,"&gt;0")</f>
        <v>9</v>
      </c>
      <c r="H297" s="797" t="s">
        <v>603</v>
      </c>
      <c r="I297" s="798">
        <v>41885</v>
      </c>
      <c r="J297" s="799">
        <f t="shared" ca="1" si="216"/>
        <v>3.4219178082191779</v>
      </c>
      <c r="K297" s="799">
        <f t="shared" ca="1" si="217"/>
        <v>41.633333333333333</v>
      </c>
      <c r="L297" s="800">
        <f t="shared" ca="1" si="218"/>
        <v>1249</v>
      </c>
      <c r="M297" s="801">
        <v>42602</v>
      </c>
      <c r="N297" s="802">
        <v>42602</v>
      </c>
      <c r="O297" s="803">
        <f t="shared" ca="1" si="219"/>
        <v>532</v>
      </c>
      <c r="P297" s="804">
        <v>1</v>
      </c>
      <c r="Q297" s="805" t="s">
        <v>1451</v>
      </c>
      <c r="R297" s="806" t="s">
        <v>2294</v>
      </c>
      <c r="S297" s="807">
        <v>42684</v>
      </c>
      <c r="T297" s="798">
        <v>42768</v>
      </c>
      <c r="U297" s="798" t="str">
        <f t="shared" si="220"/>
        <v>-</v>
      </c>
      <c r="V297" s="804" t="str">
        <f t="shared" ca="1" si="221"/>
        <v>-</v>
      </c>
      <c r="W297" s="808">
        <v>3</v>
      </c>
      <c r="X297" s="794">
        <f t="shared" si="214"/>
        <v>166</v>
      </c>
      <c r="Y297" s="794">
        <v>0</v>
      </c>
      <c r="Z297" s="809" t="str">
        <f t="shared" ca="1" si="222"/>
        <v>-----</v>
      </c>
      <c r="AA297" s="810">
        <f t="shared" ca="1" si="223"/>
        <v>366</v>
      </c>
      <c r="AB297" s="804"/>
      <c r="AC297" s="811" t="str">
        <f t="shared" ca="1" si="224"/>
        <v>-----</v>
      </c>
      <c r="AD297" s="798"/>
      <c r="AE297" s="794" t="str">
        <f t="shared" ca="1" si="225"/>
        <v>яловая</v>
      </c>
      <c r="AF297" s="798" t="str">
        <f t="shared" si="226"/>
        <v>-</v>
      </c>
      <c r="AG297" s="812" t="str">
        <f t="shared" si="227"/>
        <v>---------</v>
      </c>
      <c r="AH297" s="807">
        <v>42811</v>
      </c>
      <c r="AI297" s="807" t="str">
        <f t="shared" si="228"/>
        <v>-</v>
      </c>
      <c r="AJ297" s="807" t="str">
        <f t="shared" si="229"/>
        <v>-</v>
      </c>
      <c r="AK297" s="813"/>
      <c r="AL297" s="807" t="str">
        <f t="shared" si="230"/>
        <v>-</v>
      </c>
      <c r="AM297" s="807" t="str">
        <f t="shared" si="231"/>
        <v>-</v>
      </c>
      <c r="AN297" s="814" t="str">
        <f t="shared" ca="1" si="232"/>
        <v>-</v>
      </c>
      <c r="AO297" s="815">
        <v>1</v>
      </c>
      <c r="AP297" s="816" t="str">
        <f t="shared" ca="1" si="233"/>
        <v>БРАК</v>
      </c>
      <c r="AQ297" s="817" t="s">
        <v>1863</v>
      </c>
      <c r="AR297" s="794" t="str">
        <f t="shared" si="234"/>
        <v>-</v>
      </c>
      <c r="AS297" s="818"/>
      <c r="AT297" s="794" t="str">
        <f t="shared" si="235"/>
        <v>-</v>
      </c>
      <c r="AU297" s="819"/>
      <c r="AV297" s="820"/>
      <c r="AW297" s="821"/>
      <c r="AX297" s="821"/>
      <c r="AY297" s="969" t="str">
        <f t="shared" si="236"/>
        <v>-</v>
      </c>
      <c r="AZ297" s="966" t="str">
        <f t="shared" si="237"/>
        <v>-</v>
      </c>
      <c r="BA297" s="971" t="str">
        <f t="shared" si="238"/>
        <v>-</v>
      </c>
      <c r="BB297" s="975"/>
      <c r="BC297" s="821"/>
      <c r="BD297" s="821"/>
      <c r="BE297" s="963" t="str">
        <f t="shared" si="239"/>
        <v>-</v>
      </c>
      <c r="BF297" s="984"/>
      <c r="BG297" s="988"/>
      <c r="BH297" s="982"/>
      <c r="BI297" s="991"/>
      <c r="BJ297" s="991"/>
      <c r="BK297" s="993" t="str">
        <f t="shared" si="240"/>
        <v>-</v>
      </c>
      <c r="BL297" s="820">
        <v>42981</v>
      </c>
      <c r="BM297" s="821">
        <v>5</v>
      </c>
      <c r="BN297" s="822">
        <f t="shared" ca="1" si="241"/>
        <v>153</v>
      </c>
      <c r="BO297" s="823">
        <f t="shared" si="242"/>
        <v>36.533333333333331</v>
      </c>
      <c r="BP297" s="824">
        <v>43001</v>
      </c>
      <c r="BQ297" s="821">
        <v>2</v>
      </c>
      <c r="BR297" s="822">
        <f t="shared" ca="1" si="243"/>
        <v>133</v>
      </c>
      <c r="BS297" s="823">
        <f t="shared" si="244"/>
        <v>13.3</v>
      </c>
      <c r="BT297" s="825" t="str">
        <f t="shared" ca="1" si="245"/>
        <v>-</v>
      </c>
      <c r="BU297" s="826"/>
      <c r="BV297" s="827"/>
      <c r="BW297" s="828" t="str">
        <f t="shared" si="246"/>
        <v>Ж-Е НЕ ВАКЦ.</v>
      </c>
      <c r="BX297" s="829" t="str">
        <f t="shared" si="247"/>
        <v>-</v>
      </c>
      <c r="BY297" s="830" t="str">
        <f t="shared" ca="1" si="248"/>
        <v>-</v>
      </c>
      <c r="BZ297" s="831">
        <v>42887</v>
      </c>
      <c r="CA297" s="832">
        <v>5</v>
      </c>
      <c r="CB297" s="833">
        <f t="shared" ca="1" si="249"/>
        <v>247</v>
      </c>
      <c r="CC297" s="834" t="str">
        <f t="shared" ca="1" si="250"/>
        <v>-</v>
      </c>
      <c r="CD297" s="835">
        <f t="shared" si="251"/>
        <v>42908</v>
      </c>
      <c r="CE297" s="831">
        <v>42908</v>
      </c>
      <c r="CF297" s="832">
        <v>5</v>
      </c>
      <c r="CG297" s="833">
        <f t="shared" ca="1" si="252"/>
        <v>226</v>
      </c>
      <c r="CH297" s="836">
        <f t="shared" si="253"/>
        <v>0</v>
      </c>
      <c r="CI297" s="837" t="str">
        <f t="shared" si="254"/>
        <v>УСПЕШНО</v>
      </c>
      <c r="CJ297" s="838" t="str">
        <f t="shared" ca="1" si="255"/>
        <v>-</v>
      </c>
      <c r="CK297" s="831"/>
      <c r="CL297" s="832"/>
      <c r="CM297" s="833" t="str">
        <f t="shared" si="256"/>
        <v>-</v>
      </c>
      <c r="CN297" s="834" t="str">
        <f t="shared" si="257"/>
        <v>-</v>
      </c>
      <c r="CO297" s="830" t="str">
        <f t="shared" ca="1" si="258"/>
        <v>-</v>
      </c>
      <c r="CP297" s="839"/>
      <c r="CQ297" s="832"/>
      <c r="CR297" s="833" t="str">
        <f t="shared" si="259"/>
        <v>-</v>
      </c>
      <c r="CS297" s="833" t="str">
        <f t="shared" si="260"/>
        <v>-</v>
      </c>
      <c r="CT297" s="834" t="str">
        <f t="shared" si="261"/>
        <v>-</v>
      </c>
      <c r="CU297" s="835" t="str">
        <f t="shared" si="262"/>
        <v>-</v>
      </c>
      <c r="CV297" s="839"/>
      <c r="CW297" s="832"/>
      <c r="CX297" s="833" t="str">
        <f t="shared" si="263"/>
        <v>-</v>
      </c>
      <c r="CY297" s="840" t="str">
        <f t="shared" si="264"/>
        <v>-</v>
      </c>
      <c r="CZ297" s="833" t="str">
        <f t="shared" si="265"/>
        <v>-</v>
      </c>
      <c r="DA297" s="838" t="str">
        <f t="shared" ca="1" si="266"/>
        <v>-</v>
      </c>
      <c r="DB297" s="841"/>
      <c r="DC297" s="832"/>
    </row>
    <row r="298" spans="1:107" s="842" customFormat="1" ht="15.95" customHeight="1" x14ac:dyDescent="0.25">
      <c r="A298" s="790">
        <v>299</v>
      </c>
      <c r="B298" s="791">
        <f t="shared" ca="1" si="215"/>
        <v>43134</v>
      </c>
      <c r="C298" s="792" t="s">
        <v>613</v>
      </c>
      <c r="D298" s="793" t="s">
        <v>3203</v>
      </c>
      <c r="E298" s="794" t="s">
        <v>1083</v>
      </c>
      <c r="F298" s="795" t="s">
        <v>980</v>
      </c>
      <c r="G298" s="796">
        <f>SUMIFS(МОЛОКО!L8:L6958,МОЛОКО!F8:F6958,"2423",МОЛОКО!L8:L6958,"&gt;0")</f>
        <v>9</v>
      </c>
      <c r="H298" s="797" t="s">
        <v>603</v>
      </c>
      <c r="I298" s="798">
        <v>41971</v>
      </c>
      <c r="J298" s="799">
        <f t="shared" ca="1" si="216"/>
        <v>3.1863013698630138</v>
      </c>
      <c r="K298" s="799">
        <f t="shared" ca="1" si="217"/>
        <v>38.766666666666666</v>
      </c>
      <c r="L298" s="800">
        <f t="shared" ca="1" si="218"/>
        <v>1163</v>
      </c>
      <c r="M298" s="801">
        <v>42731</v>
      </c>
      <c r="N298" s="802">
        <v>42731</v>
      </c>
      <c r="O298" s="803">
        <f t="shared" ca="1" si="219"/>
        <v>403</v>
      </c>
      <c r="P298" s="804">
        <v>1</v>
      </c>
      <c r="Q298" s="805"/>
      <c r="R298" s="806"/>
      <c r="S298" s="807"/>
      <c r="T298" s="798"/>
      <c r="U298" s="798" t="str">
        <f t="shared" si="220"/>
        <v>-</v>
      </c>
      <c r="V298" s="804" t="str">
        <f t="shared" ca="1" si="221"/>
        <v>-</v>
      </c>
      <c r="W298" s="808">
        <v>0</v>
      </c>
      <c r="X298" s="794" t="str">
        <f t="shared" si="214"/>
        <v>-</v>
      </c>
      <c r="Y298" s="794">
        <v>0</v>
      </c>
      <c r="Z298" s="809" t="str">
        <f t="shared" ca="1" si="222"/>
        <v>-----</v>
      </c>
      <c r="AA298" s="810">
        <f t="shared" ca="1" si="223"/>
        <v>43134</v>
      </c>
      <c r="AB298" s="804"/>
      <c r="AC298" s="811" t="str">
        <f t="shared" ca="1" si="224"/>
        <v>-----</v>
      </c>
      <c r="AD298" s="798"/>
      <c r="AE298" s="794" t="str">
        <f t="shared" ca="1" si="225"/>
        <v>яловая</v>
      </c>
      <c r="AF298" s="798" t="str">
        <f t="shared" si="226"/>
        <v>-</v>
      </c>
      <c r="AG298" s="812" t="str">
        <f t="shared" si="227"/>
        <v>---------</v>
      </c>
      <c r="AH298" s="807"/>
      <c r="AI298" s="807" t="str">
        <f t="shared" si="228"/>
        <v>-</v>
      </c>
      <c r="AJ298" s="807" t="str">
        <f t="shared" si="229"/>
        <v>-</v>
      </c>
      <c r="AK298" s="813"/>
      <c r="AL298" s="807" t="str">
        <f t="shared" si="230"/>
        <v>-</v>
      </c>
      <c r="AM298" s="807" t="str">
        <f t="shared" si="231"/>
        <v>-</v>
      </c>
      <c r="AN298" s="814" t="str">
        <f t="shared" ca="1" si="232"/>
        <v>-</v>
      </c>
      <c r="AO298" s="815">
        <v>1</v>
      </c>
      <c r="AP298" s="816" t="str">
        <f t="shared" ca="1" si="233"/>
        <v>БРАК</v>
      </c>
      <c r="AQ298" s="817" t="s">
        <v>1863</v>
      </c>
      <c r="AR298" s="794" t="str">
        <f t="shared" si="234"/>
        <v>-</v>
      </c>
      <c r="AS298" s="818"/>
      <c r="AT298" s="794" t="str">
        <f t="shared" si="235"/>
        <v>-</v>
      </c>
      <c r="AU298" s="819"/>
      <c r="AV298" s="820"/>
      <c r="AW298" s="821"/>
      <c r="AX298" s="821"/>
      <c r="AY298" s="969" t="str">
        <f t="shared" si="236"/>
        <v>-</v>
      </c>
      <c r="AZ298" s="966" t="str">
        <f t="shared" si="237"/>
        <v>-</v>
      </c>
      <c r="BA298" s="971" t="str">
        <f t="shared" si="238"/>
        <v>-</v>
      </c>
      <c r="BB298" s="975"/>
      <c r="BC298" s="821"/>
      <c r="BD298" s="821"/>
      <c r="BE298" s="963" t="str">
        <f t="shared" si="239"/>
        <v>-</v>
      </c>
      <c r="BF298" s="984"/>
      <c r="BG298" s="988"/>
      <c r="BH298" s="982"/>
      <c r="BI298" s="991"/>
      <c r="BJ298" s="991"/>
      <c r="BK298" s="993" t="str">
        <f t="shared" si="240"/>
        <v>-</v>
      </c>
      <c r="BL298" s="820">
        <v>42981</v>
      </c>
      <c r="BM298" s="821">
        <v>5</v>
      </c>
      <c r="BN298" s="822">
        <f t="shared" ca="1" si="241"/>
        <v>153</v>
      </c>
      <c r="BO298" s="823">
        <f t="shared" si="242"/>
        <v>33.666666666666664</v>
      </c>
      <c r="BP298" s="824">
        <v>43001</v>
      </c>
      <c r="BQ298" s="821">
        <v>2</v>
      </c>
      <c r="BR298" s="822">
        <f t="shared" ca="1" si="243"/>
        <v>133</v>
      </c>
      <c r="BS298" s="823">
        <f t="shared" si="244"/>
        <v>9</v>
      </c>
      <c r="BT298" s="825" t="str">
        <f t="shared" ca="1" si="245"/>
        <v>-</v>
      </c>
      <c r="BU298" s="826"/>
      <c r="BV298" s="827"/>
      <c r="BW298" s="828" t="str">
        <f t="shared" si="246"/>
        <v>Ж-Е НЕ ВАКЦ.</v>
      </c>
      <c r="BX298" s="829" t="str">
        <f t="shared" si="247"/>
        <v>-</v>
      </c>
      <c r="BY298" s="830" t="str">
        <f t="shared" ca="1" si="248"/>
        <v>-</v>
      </c>
      <c r="BZ298" s="831">
        <v>42887</v>
      </c>
      <c r="CA298" s="832">
        <v>5</v>
      </c>
      <c r="CB298" s="833">
        <f t="shared" ca="1" si="249"/>
        <v>247</v>
      </c>
      <c r="CC298" s="834" t="str">
        <f t="shared" ca="1" si="250"/>
        <v>-</v>
      </c>
      <c r="CD298" s="835">
        <f t="shared" si="251"/>
        <v>42908</v>
      </c>
      <c r="CE298" s="831">
        <v>42908</v>
      </c>
      <c r="CF298" s="832">
        <v>5</v>
      </c>
      <c r="CG298" s="833">
        <f t="shared" ca="1" si="252"/>
        <v>226</v>
      </c>
      <c r="CH298" s="836">
        <f t="shared" si="253"/>
        <v>0</v>
      </c>
      <c r="CI298" s="837" t="str">
        <f t="shared" si="254"/>
        <v>УСПЕШНО</v>
      </c>
      <c r="CJ298" s="838" t="str">
        <f t="shared" ca="1" si="255"/>
        <v>-</v>
      </c>
      <c r="CK298" s="831"/>
      <c r="CL298" s="832"/>
      <c r="CM298" s="833" t="str">
        <f t="shared" si="256"/>
        <v>-</v>
      </c>
      <c r="CN298" s="834" t="str">
        <f t="shared" si="257"/>
        <v>-</v>
      </c>
      <c r="CO298" s="830" t="str">
        <f t="shared" ca="1" si="258"/>
        <v>-</v>
      </c>
      <c r="CP298" s="839"/>
      <c r="CQ298" s="832"/>
      <c r="CR298" s="833" t="str">
        <f t="shared" si="259"/>
        <v>-</v>
      </c>
      <c r="CS298" s="833" t="str">
        <f t="shared" si="260"/>
        <v>-</v>
      </c>
      <c r="CT298" s="834" t="str">
        <f t="shared" si="261"/>
        <v>-</v>
      </c>
      <c r="CU298" s="835" t="str">
        <f t="shared" si="262"/>
        <v>-</v>
      </c>
      <c r="CV298" s="839"/>
      <c r="CW298" s="832"/>
      <c r="CX298" s="833" t="str">
        <f t="shared" si="263"/>
        <v>-</v>
      </c>
      <c r="CY298" s="840" t="str">
        <f t="shared" si="264"/>
        <v>-</v>
      </c>
      <c r="CZ298" s="833" t="str">
        <f t="shared" si="265"/>
        <v>-</v>
      </c>
      <c r="DA298" s="838" t="str">
        <f t="shared" ca="1" si="266"/>
        <v>-</v>
      </c>
      <c r="DB298" s="841"/>
      <c r="DC298" s="832"/>
    </row>
    <row r="299" spans="1:107" s="842" customFormat="1" ht="15.95" customHeight="1" x14ac:dyDescent="0.25">
      <c r="A299" s="790">
        <v>300</v>
      </c>
      <c r="B299" s="791">
        <f t="shared" ca="1" si="215"/>
        <v>43134</v>
      </c>
      <c r="C299" s="792" t="s">
        <v>613</v>
      </c>
      <c r="D299" s="59" t="s">
        <v>3203</v>
      </c>
      <c r="E299" s="794" t="s">
        <v>1077</v>
      </c>
      <c r="F299" s="795" t="s">
        <v>977</v>
      </c>
      <c r="G299" s="796">
        <f>SUMIFS(МОЛОКО!L8:L6958,МОЛОКО!F8:F6958,"2429",МОЛОКО!L8:L6958,"&gt;0")</f>
        <v>10</v>
      </c>
      <c r="H299" s="797" t="s">
        <v>603</v>
      </c>
      <c r="I299" s="798">
        <v>41976</v>
      </c>
      <c r="J299" s="799">
        <f t="shared" ca="1" si="216"/>
        <v>3.1726027397260275</v>
      </c>
      <c r="K299" s="799">
        <f t="shared" ca="1" si="217"/>
        <v>38.6</v>
      </c>
      <c r="L299" s="800">
        <f t="shared" ca="1" si="218"/>
        <v>1158</v>
      </c>
      <c r="M299" s="801">
        <v>42712</v>
      </c>
      <c r="N299" s="802">
        <v>42712</v>
      </c>
      <c r="O299" s="803">
        <f t="shared" ca="1" si="219"/>
        <v>422</v>
      </c>
      <c r="P299" s="804">
        <v>1</v>
      </c>
      <c r="Q299" s="805" t="s">
        <v>1451</v>
      </c>
      <c r="R299" s="806" t="s">
        <v>2966</v>
      </c>
      <c r="S299" s="807">
        <v>42775</v>
      </c>
      <c r="T299" s="798">
        <v>42986</v>
      </c>
      <c r="U299" s="798" t="str">
        <f t="shared" si="220"/>
        <v>-</v>
      </c>
      <c r="V299" s="804" t="str">
        <f t="shared" ca="1" si="221"/>
        <v>-</v>
      </c>
      <c r="W299" s="808">
        <v>7</v>
      </c>
      <c r="X299" s="794">
        <f t="shared" si="214"/>
        <v>274</v>
      </c>
      <c r="Y299" s="794">
        <v>1</v>
      </c>
      <c r="Z299" s="809" t="str">
        <f t="shared" ca="1" si="222"/>
        <v>-----</v>
      </c>
      <c r="AA299" s="810" t="str">
        <f t="shared" ca="1" si="223"/>
        <v>-----</v>
      </c>
      <c r="AB299" s="804">
        <v>1</v>
      </c>
      <c r="AC299" s="811" t="str">
        <f t="shared" ca="1" si="224"/>
        <v>-----</v>
      </c>
      <c r="AD299" s="798">
        <v>43055</v>
      </c>
      <c r="AE299" s="794" t="str">
        <f t="shared" ca="1" si="225"/>
        <v>-</v>
      </c>
      <c r="AF299" s="798" t="str">
        <f t="shared" si="226"/>
        <v>-</v>
      </c>
      <c r="AG299" s="812" t="str">
        <f t="shared" si="227"/>
        <v>---------</v>
      </c>
      <c r="AH299" s="807">
        <v>43017</v>
      </c>
      <c r="AI299" s="807">
        <f t="shared" si="228"/>
        <v>43176</v>
      </c>
      <c r="AJ299" s="807">
        <f t="shared" si="229"/>
        <v>43206</v>
      </c>
      <c r="AK299" s="813"/>
      <c r="AL299" s="807">
        <f t="shared" si="230"/>
        <v>43245</v>
      </c>
      <c r="AM299" s="807">
        <f t="shared" si="231"/>
        <v>43266</v>
      </c>
      <c r="AN299" s="814">
        <f t="shared" ca="1" si="232"/>
        <v>-132</v>
      </c>
      <c r="AO299" s="815">
        <v>1</v>
      </c>
      <c r="AP299" s="816" t="str">
        <f t="shared" ca="1" si="233"/>
        <v>-</v>
      </c>
      <c r="AQ299" s="817"/>
      <c r="AR299" s="794" t="str">
        <f t="shared" si="234"/>
        <v>-</v>
      </c>
      <c r="AS299" s="818"/>
      <c r="AT299" s="794" t="str">
        <f t="shared" si="235"/>
        <v>-</v>
      </c>
      <c r="AU299" s="819"/>
      <c r="AV299" s="820"/>
      <c r="AW299" s="821"/>
      <c r="AX299" s="821"/>
      <c r="AY299" s="969" t="str">
        <f t="shared" si="236"/>
        <v>-</v>
      </c>
      <c r="AZ299" s="966" t="str">
        <f t="shared" si="237"/>
        <v>-</v>
      </c>
      <c r="BA299" s="971" t="str">
        <f t="shared" si="238"/>
        <v>-</v>
      </c>
      <c r="BB299" s="975"/>
      <c r="BC299" s="821"/>
      <c r="BD299" s="821"/>
      <c r="BE299" s="963" t="str">
        <f t="shared" si="239"/>
        <v>-</v>
      </c>
      <c r="BF299" s="984"/>
      <c r="BG299" s="988"/>
      <c r="BH299" s="982"/>
      <c r="BI299" s="991"/>
      <c r="BJ299" s="991"/>
      <c r="BK299" s="993" t="str">
        <f t="shared" si="240"/>
        <v>-</v>
      </c>
      <c r="BL299" s="820">
        <v>42981</v>
      </c>
      <c r="BM299" s="821">
        <v>5</v>
      </c>
      <c r="BN299" s="822">
        <f t="shared" ca="1" si="241"/>
        <v>153</v>
      </c>
      <c r="BO299" s="823">
        <f t="shared" si="242"/>
        <v>33.5</v>
      </c>
      <c r="BP299" s="824">
        <v>43001</v>
      </c>
      <c r="BQ299" s="821">
        <v>2</v>
      </c>
      <c r="BR299" s="822">
        <f t="shared" ca="1" si="243"/>
        <v>133</v>
      </c>
      <c r="BS299" s="823">
        <f t="shared" si="244"/>
        <v>9.6333333333333329</v>
      </c>
      <c r="BT299" s="825" t="str">
        <f t="shared" ca="1" si="245"/>
        <v>-</v>
      </c>
      <c r="BU299" s="826"/>
      <c r="BV299" s="827"/>
      <c r="BW299" s="828" t="str">
        <f t="shared" si="246"/>
        <v>Ж-Е НЕ ВАКЦ.</v>
      </c>
      <c r="BX299" s="829" t="str">
        <f t="shared" si="247"/>
        <v>-</v>
      </c>
      <c r="BY299" s="830" t="str">
        <f t="shared" ca="1" si="248"/>
        <v>-</v>
      </c>
      <c r="BZ299" s="831">
        <v>42887</v>
      </c>
      <c r="CA299" s="832">
        <v>5</v>
      </c>
      <c r="CB299" s="833">
        <f t="shared" ca="1" si="249"/>
        <v>247</v>
      </c>
      <c r="CC299" s="834" t="str">
        <f t="shared" ca="1" si="250"/>
        <v>-</v>
      </c>
      <c r="CD299" s="835">
        <f t="shared" si="251"/>
        <v>42908</v>
      </c>
      <c r="CE299" s="831">
        <v>42908</v>
      </c>
      <c r="CF299" s="832">
        <v>5</v>
      </c>
      <c r="CG299" s="833">
        <f t="shared" ca="1" si="252"/>
        <v>226</v>
      </c>
      <c r="CH299" s="836">
        <f t="shared" si="253"/>
        <v>0</v>
      </c>
      <c r="CI299" s="837" t="str">
        <f t="shared" si="254"/>
        <v>УСПЕШНО</v>
      </c>
      <c r="CJ299" s="838" t="str">
        <f t="shared" ca="1" si="255"/>
        <v>-</v>
      </c>
      <c r="CK299" s="831"/>
      <c r="CL299" s="832"/>
      <c r="CM299" s="833" t="str">
        <f t="shared" si="256"/>
        <v>-</v>
      </c>
      <c r="CN299" s="834" t="str">
        <f t="shared" si="257"/>
        <v>-</v>
      </c>
      <c r="CO299" s="830" t="str">
        <f t="shared" ca="1" si="258"/>
        <v>-</v>
      </c>
      <c r="CP299" s="839"/>
      <c r="CQ299" s="832"/>
      <c r="CR299" s="833" t="str">
        <f t="shared" si="259"/>
        <v>-</v>
      </c>
      <c r="CS299" s="833" t="str">
        <f t="shared" si="260"/>
        <v>-</v>
      </c>
      <c r="CT299" s="834" t="str">
        <f t="shared" si="261"/>
        <v>-</v>
      </c>
      <c r="CU299" s="835" t="str">
        <f t="shared" si="262"/>
        <v>-</v>
      </c>
      <c r="CV299" s="839"/>
      <c r="CW299" s="832"/>
      <c r="CX299" s="833" t="str">
        <f t="shared" si="263"/>
        <v>-</v>
      </c>
      <c r="CY299" s="840" t="str">
        <f t="shared" si="264"/>
        <v>-</v>
      </c>
      <c r="CZ299" s="833" t="str">
        <f t="shared" si="265"/>
        <v>-</v>
      </c>
      <c r="DA299" s="838" t="str">
        <f t="shared" ca="1" si="266"/>
        <v>-</v>
      </c>
      <c r="DB299" s="841"/>
      <c r="DC299" s="832"/>
    </row>
    <row r="300" spans="1:107" s="842" customFormat="1" ht="15.95" customHeight="1" x14ac:dyDescent="0.25">
      <c r="A300" s="790">
        <v>301</v>
      </c>
      <c r="B300" s="791">
        <f t="shared" ca="1" si="215"/>
        <v>43134</v>
      </c>
      <c r="C300" s="792" t="s">
        <v>613</v>
      </c>
      <c r="D300" s="793" t="s">
        <v>3203</v>
      </c>
      <c r="E300" s="794" t="s">
        <v>1065</v>
      </c>
      <c r="F300" s="795" t="s">
        <v>974</v>
      </c>
      <c r="G300" s="796">
        <f>SUMIFS(МОЛОКО!L8:L6958,МОЛОКО!F8:F6958,"2460",МОЛОКО!L8:L6958,"&gt;0")</f>
        <v>6.3</v>
      </c>
      <c r="H300" s="797" t="s">
        <v>603</v>
      </c>
      <c r="I300" s="798">
        <v>41999</v>
      </c>
      <c r="J300" s="799">
        <f t="shared" ca="1" si="216"/>
        <v>3.1095890410958904</v>
      </c>
      <c r="K300" s="799">
        <f t="shared" ca="1" si="217"/>
        <v>37.833333333333336</v>
      </c>
      <c r="L300" s="800">
        <f t="shared" ca="1" si="218"/>
        <v>1135</v>
      </c>
      <c r="M300" s="801">
        <v>42666</v>
      </c>
      <c r="N300" s="802">
        <v>42666</v>
      </c>
      <c r="O300" s="803">
        <f t="shared" ca="1" si="219"/>
        <v>468</v>
      </c>
      <c r="P300" s="804">
        <v>1</v>
      </c>
      <c r="Q300" s="805" t="s">
        <v>1451</v>
      </c>
      <c r="R300" s="806" t="s">
        <v>2670</v>
      </c>
      <c r="S300" s="807">
        <v>42726</v>
      </c>
      <c r="T300" s="798">
        <v>42841</v>
      </c>
      <c r="U300" s="798" t="str">
        <f t="shared" si="220"/>
        <v>-</v>
      </c>
      <c r="V300" s="804" t="str">
        <f t="shared" ca="1" si="221"/>
        <v>-</v>
      </c>
      <c r="W300" s="808">
        <v>3</v>
      </c>
      <c r="X300" s="794">
        <f t="shared" si="214"/>
        <v>175</v>
      </c>
      <c r="Y300" s="794">
        <v>1</v>
      </c>
      <c r="Z300" s="809" t="str">
        <f t="shared" ca="1" si="222"/>
        <v>-----</v>
      </c>
      <c r="AA300" s="810" t="str">
        <f t="shared" ca="1" si="223"/>
        <v>-----</v>
      </c>
      <c r="AB300" s="804">
        <v>1</v>
      </c>
      <c r="AC300" s="811" t="str">
        <f t="shared" ca="1" si="224"/>
        <v>-----</v>
      </c>
      <c r="AD300" s="798">
        <v>42930</v>
      </c>
      <c r="AE300" s="794" t="str">
        <f t="shared" ca="1" si="225"/>
        <v>-</v>
      </c>
      <c r="AF300" s="798" t="str">
        <f t="shared" si="226"/>
        <v>-</v>
      </c>
      <c r="AG300" s="812" t="str">
        <f t="shared" si="227"/>
        <v>---------</v>
      </c>
      <c r="AH300" s="807">
        <v>42876</v>
      </c>
      <c r="AI300" s="807">
        <f t="shared" si="228"/>
        <v>43031</v>
      </c>
      <c r="AJ300" s="807">
        <f t="shared" si="229"/>
        <v>43061</v>
      </c>
      <c r="AK300" s="813"/>
      <c r="AL300" s="807">
        <f t="shared" si="230"/>
        <v>43100</v>
      </c>
      <c r="AM300" s="807">
        <f t="shared" si="231"/>
        <v>43121</v>
      </c>
      <c r="AN300" s="814">
        <f t="shared" ca="1" si="232"/>
        <v>13</v>
      </c>
      <c r="AO300" s="815">
        <v>1</v>
      </c>
      <c r="AP300" s="816" t="str">
        <f t="shared" ca="1" si="233"/>
        <v>-</v>
      </c>
      <c r="AQ300" s="817"/>
      <c r="AR300" s="794" t="str">
        <f t="shared" si="234"/>
        <v>-</v>
      </c>
      <c r="AS300" s="818"/>
      <c r="AT300" s="794" t="str">
        <f t="shared" si="235"/>
        <v>-</v>
      </c>
      <c r="AU300" s="819"/>
      <c r="AV300" s="820"/>
      <c r="AW300" s="821"/>
      <c r="AX300" s="821"/>
      <c r="AY300" s="969" t="str">
        <f t="shared" si="236"/>
        <v>-</v>
      </c>
      <c r="AZ300" s="966" t="str">
        <f t="shared" si="237"/>
        <v>-</v>
      </c>
      <c r="BA300" s="971" t="str">
        <f t="shared" si="238"/>
        <v>-</v>
      </c>
      <c r="BB300" s="975"/>
      <c r="BC300" s="821"/>
      <c r="BD300" s="821"/>
      <c r="BE300" s="963" t="str">
        <f t="shared" si="239"/>
        <v>-</v>
      </c>
      <c r="BF300" s="984"/>
      <c r="BG300" s="988"/>
      <c r="BH300" s="982"/>
      <c r="BI300" s="991"/>
      <c r="BJ300" s="991"/>
      <c r="BK300" s="993" t="str">
        <f t="shared" si="240"/>
        <v>-</v>
      </c>
      <c r="BL300" s="820">
        <v>42981</v>
      </c>
      <c r="BM300" s="821">
        <v>5</v>
      </c>
      <c r="BN300" s="822">
        <f t="shared" ca="1" si="241"/>
        <v>153</v>
      </c>
      <c r="BO300" s="823">
        <f t="shared" si="242"/>
        <v>32.733333333333334</v>
      </c>
      <c r="BP300" s="824">
        <v>43001</v>
      </c>
      <c r="BQ300" s="821">
        <v>2</v>
      </c>
      <c r="BR300" s="822">
        <f t="shared" ca="1" si="243"/>
        <v>133</v>
      </c>
      <c r="BS300" s="823">
        <f t="shared" si="244"/>
        <v>11.166666666666666</v>
      </c>
      <c r="BT300" s="825" t="str">
        <f t="shared" ca="1" si="245"/>
        <v>-</v>
      </c>
      <c r="BU300" s="826"/>
      <c r="BV300" s="827"/>
      <c r="BW300" s="828" t="str">
        <f t="shared" si="246"/>
        <v>Ж-Е НЕ ВАКЦ.</v>
      </c>
      <c r="BX300" s="829" t="str">
        <f t="shared" si="247"/>
        <v>-</v>
      </c>
      <c r="BY300" s="830" t="str">
        <f t="shared" ca="1" si="248"/>
        <v>-</v>
      </c>
      <c r="BZ300" s="831">
        <v>42887</v>
      </c>
      <c r="CA300" s="832">
        <v>5</v>
      </c>
      <c r="CB300" s="833">
        <f t="shared" ca="1" si="249"/>
        <v>247</v>
      </c>
      <c r="CC300" s="834" t="str">
        <f t="shared" ca="1" si="250"/>
        <v>-</v>
      </c>
      <c r="CD300" s="835">
        <f t="shared" si="251"/>
        <v>42908</v>
      </c>
      <c r="CE300" s="831">
        <v>42908</v>
      </c>
      <c r="CF300" s="832">
        <v>5</v>
      </c>
      <c r="CG300" s="833">
        <f t="shared" ca="1" si="252"/>
        <v>226</v>
      </c>
      <c r="CH300" s="836">
        <f t="shared" si="253"/>
        <v>0</v>
      </c>
      <c r="CI300" s="837" t="str">
        <f t="shared" si="254"/>
        <v>УСПЕШНО</v>
      </c>
      <c r="CJ300" s="838" t="str">
        <f t="shared" ca="1" si="255"/>
        <v>-</v>
      </c>
      <c r="CK300" s="831"/>
      <c r="CL300" s="832"/>
      <c r="CM300" s="833" t="str">
        <f t="shared" si="256"/>
        <v>-</v>
      </c>
      <c r="CN300" s="834" t="str">
        <f t="shared" si="257"/>
        <v>-</v>
      </c>
      <c r="CO300" s="830" t="str">
        <f t="shared" ca="1" si="258"/>
        <v>ТРЕБУЕТСЯ ВАКЦИНАЦИЯ</v>
      </c>
      <c r="CP300" s="839"/>
      <c r="CQ300" s="832"/>
      <c r="CR300" s="833" t="str">
        <f t="shared" si="259"/>
        <v>-</v>
      </c>
      <c r="CS300" s="833" t="str">
        <f t="shared" si="260"/>
        <v>-</v>
      </c>
      <c r="CT300" s="834" t="str">
        <f t="shared" si="261"/>
        <v>-</v>
      </c>
      <c r="CU300" s="835" t="str">
        <f t="shared" si="262"/>
        <v>-</v>
      </c>
      <c r="CV300" s="839"/>
      <c r="CW300" s="832"/>
      <c r="CX300" s="833" t="str">
        <f t="shared" si="263"/>
        <v>-</v>
      </c>
      <c r="CY300" s="840" t="str">
        <f t="shared" si="264"/>
        <v>-</v>
      </c>
      <c r="CZ300" s="833" t="str">
        <f t="shared" si="265"/>
        <v>-</v>
      </c>
      <c r="DA300" s="838" t="str">
        <f t="shared" ca="1" si="266"/>
        <v>-</v>
      </c>
      <c r="DB300" s="841"/>
      <c r="DC300" s="832"/>
    </row>
    <row r="301" spans="1:107" s="842" customFormat="1" ht="15.95" customHeight="1" x14ac:dyDescent="0.25">
      <c r="A301" s="790">
        <v>302</v>
      </c>
      <c r="B301" s="791">
        <f t="shared" ca="1" si="215"/>
        <v>43134</v>
      </c>
      <c r="C301" s="792" t="s">
        <v>613</v>
      </c>
      <c r="D301" s="793" t="s">
        <v>3203</v>
      </c>
      <c r="E301" s="794" t="s">
        <v>1075</v>
      </c>
      <c r="F301" s="795" t="s">
        <v>993</v>
      </c>
      <c r="G301" s="796">
        <f>SUMIFS(МОЛОКО!L8:L6958,МОЛОКО!F8:F6958,"2461",МОЛОКО!L8:L6958,"&gt;0")</f>
        <v>7</v>
      </c>
      <c r="H301" s="797" t="s">
        <v>603</v>
      </c>
      <c r="I301" s="798">
        <v>41999</v>
      </c>
      <c r="J301" s="799">
        <f t="shared" ca="1" si="216"/>
        <v>3.1095890410958904</v>
      </c>
      <c r="K301" s="799">
        <f t="shared" ca="1" si="217"/>
        <v>37.833333333333336</v>
      </c>
      <c r="L301" s="800">
        <f t="shared" ca="1" si="218"/>
        <v>1135</v>
      </c>
      <c r="M301" s="801">
        <v>42741</v>
      </c>
      <c r="N301" s="802">
        <v>42741</v>
      </c>
      <c r="O301" s="803">
        <f t="shared" ca="1" si="219"/>
        <v>393</v>
      </c>
      <c r="P301" s="804">
        <v>1</v>
      </c>
      <c r="Q301" s="805" t="s">
        <v>1451</v>
      </c>
      <c r="R301" s="806" t="s">
        <v>2663</v>
      </c>
      <c r="S301" s="807">
        <v>42803</v>
      </c>
      <c r="T301" s="798">
        <v>42845</v>
      </c>
      <c r="U301" s="798" t="str">
        <f t="shared" si="220"/>
        <v>-</v>
      </c>
      <c r="V301" s="804" t="str">
        <f t="shared" ca="1" si="221"/>
        <v>-</v>
      </c>
      <c r="W301" s="808">
        <v>2</v>
      </c>
      <c r="X301" s="794">
        <f t="shared" si="214"/>
        <v>104</v>
      </c>
      <c r="Y301" s="794">
        <v>1</v>
      </c>
      <c r="Z301" s="809" t="str">
        <f t="shared" ca="1" si="222"/>
        <v>-----</v>
      </c>
      <c r="AA301" s="810" t="str">
        <f t="shared" ca="1" si="223"/>
        <v>-----</v>
      </c>
      <c r="AB301" s="804">
        <v>1</v>
      </c>
      <c r="AC301" s="811" t="str">
        <f t="shared" ca="1" si="224"/>
        <v>-----</v>
      </c>
      <c r="AD301" s="798">
        <v>42930</v>
      </c>
      <c r="AE301" s="794" t="str">
        <f t="shared" ca="1" si="225"/>
        <v>-</v>
      </c>
      <c r="AF301" s="798" t="str">
        <f t="shared" si="226"/>
        <v>-</v>
      </c>
      <c r="AG301" s="812" t="str">
        <f t="shared" si="227"/>
        <v>---------</v>
      </c>
      <c r="AH301" s="807">
        <v>42881</v>
      </c>
      <c r="AI301" s="807">
        <f t="shared" si="228"/>
        <v>43035</v>
      </c>
      <c r="AJ301" s="807">
        <f t="shared" si="229"/>
        <v>43065</v>
      </c>
      <c r="AK301" s="813"/>
      <c r="AL301" s="807">
        <f t="shared" si="230"/>
        <v>43104</v>
      </c>
      <c r="AM301" s="807">
        <f t="shared" si="231"/>
        <v>43125</v>
      </c>
      <c r="AN301" s="814">
        <f t="shared" ca="1" si="232"/>
        <v>9</v>
      </c>
      <c r="AO301" s="815">
        <v>1</v>
      </c>
      <c r="AP301" s="816" t="str">
        <f t="shared" ca="1" si="233"/>
        <v>-</v>
      </c>
      <c r="AQ301" s="817"/>
      <c r="AR301" s="794" t="str">
        <f t="shared" si="234"/>
        <v>-</v>
      </c>
      <c r="AS301" s="818"/>
      <c r="AT301" s="794" t="str">
        <f t="shared" si="235"/>
        <v>-</v>
      </c>
      <c r="AU301" s="819"/>
      <c r="AV301" s="820"/>
      <c r="AW301" s="821"/>
      <c r="AX301" s="821"/>
      <c r="AY301" s="969" t="str">
        <f t="shared" si="236"/>
        <v>-</v>
      </c>
      <c r="AZ301" s="966" t="str">
        <f t="shared" si="237"/>
        <v>-</v>
      </c>
      <c r="BA301" s="971" t="str">
        <f t="shared" si="238"/>
        <v>-</v>
      </c>
      <c r="BB301" s="975"/>
      <c r="BC301" s="821"/>
      <c r="BD301" s="821"/>
      <c r="BE301" s="963" t="str">
        <f t="shared" si="239"/>
        <v>-</v>
      </c>
      <c r="BF301" s="984"/>
      <c r="BG301" s="988"/>
      <c r="BH301" s="982"/>
      <c r="BI301" s="991"/>
      <c r="BJ301" s="991"/>
      <c r="BK301" s="993" t="str">
        <f t="shared" si="240"/>
        <v>-</v>
      </c>
      <c r="BL301" s="820">
        <v>42981</v>
      </c>
      <c r="BM301" s="821">
        <v>5</v>
      </c>
      <c r="BN301" s="822">
        <f t="shared" ca="1" si="241"/>
        <v>153</v>
      </c>
      <c r="BO301" s="823">
        <f t="shared" si="242"/>
        <v>32.733333333333334</v>
      </c>
      <c r="BP301" s="824">
        <v>43001</v>
      </c>
      <c r="BQ301" s="821">
        <v>2</v>
      </c>
      <c r="BR301" s="822">
        <f t="shared" ca="1" si="243"/>
        <v>133</v>
      </c>
      <c r="BS301" s="823">
        <f t="shared" si="244"/>
        <v>8.6666666666666661</v>
      </c>
      <c r="BT301" s="825" t="str">
        <f t="shared" ca="1" si="245"/>
        <v>-</v>
      </c>
      <c r="BU301" s="826"/>
      <c r="BV301" s="827"/>
      <c r="BW301" s="828" t="str">
        <f t="shared" si="246"/>
        <v>Ж-Е НЕ ВАКЦ.</v>
      </c>
      <c r="BX301" s="829" t="str">
        <f t="shared" si="247"/>
        <v>-</v>
      </c>
      <c r="BY301" s="830" t="str">
        <f t="shared" ca="1" si="248"/>
        <v>-</v>
      </c>
      <c r="BZ301" s="831">
        <v>42887</v>
      </c>
      <c r="CA301" s="832">
        <v>5</v>
      </c>
      <c r="CB301" s="833">
        <f t="shared" ca="1" si="249"/>
        <v>247</v>
      </c>
      <c r="CC301" s="834" t="str">
        <f t="shared" ca="1" si="250"/>
        <v>-</v>
      </c>
      <c r="CD301" s="835">
        <f t="shared" si="251"/>
        <v>42908</v>
      </c>
      <c r="CE301" s="831">
        <v>42908</v>
      </c>
      <c r="CF301" s="832">
        <v>5</v>
      </c>
      <c r="CG301" s="833">
        <f t="shared" ca="1" si="252"/>
        <v>226</v>
      </c>
      <c r="CH301" s="836">
        <f t="shared" si="253"/>
        <v>0</v>
      </c>
      <c r="CI301" s="837" t="str">
        <f t="shared" si="254"/>
        <v>УСПЕШНО</v>
      </c>
      <c r="CJ301" s="838" t="str">
        <f t="shared" ca="1" si="255"/>
        <v>-</v>
      </c>
      <c r="CK301" s="831"/>
      <c r="CL301" s="832"/>
      <c r="CM301" s="833" t="str">
        <f t="shared" si="256"/>
        <v>-</v>
      </c>
      <c r="CN301" s="834" t="str">
        <f t="shared" si="257"/>
        <v>-</v>
      </c>
      <c r="CO301" s="830" t="str">
        <f t="shared" ca="1" si="258"/>
        <v>ТРЕБУЕТСЯ ВАКЦИНАЦИЯ</v>
      </c>
      <c r="CP301" s="839"/>
      <c r="CQ301" s="832"/>
      <c r="CR301" s="833" t="str">
        <f t="shared" si="259"/>
        <v>-</v>
      </c>
      <c r="CS301" s="833" t="str">
        <f t="shared" si="260"/>
        <v>-</v>
      </c>
      <c r="CT301" s="834" t="str">
        <f t="shared" si="261"/>
        <v>-</v>
      </c>
      <c r="CU301" s="835" t="str">
        <f t="shared" si="262"/>
        <v>-</v>
      </c>
      <c r="CV301" s="839"/>
      <c r="CW301" s="832"/>
      <c r="CX301" s="833" t="str">
        <f t="shared" si="263"/>
        <v>-</v>
      </c>
      <c r="CY301" s="840" t="str">
        <f t="shared" si="264"/>
        <v>-</v>
      </c>
      <c r="CZ301" s="833" t="str">
        <f t="shared" si="265"/>
        <v>-</v>
      </c>
      <c r="DA301" s="838" t="str">
        <f t="shared" ca="1" si="266"/>
        <v>-</v>
      </c>
      <c r="DB301" s="841"/>
      <c r="DC301" s="832"/>
    </row>
    <row r="302" spans="1:107" s="842" customFormat="1" ht="15.95" customHeight="1" x14ac:dyDescent="0.25">
      <c r="A302" s="790">
        <v>303</v>
      </c>
      <c r="B302" s="791">
        <f t="shared" ca="1" si="215"/>
        <v>43134</v>
      </c>
      <c r="C302" s="792" t="s">
        <v>613</v>
      </c>
      <c r="D302" s="793" t="s">
        <v>3203</v>
      </c>
      <c r="E302" s="794" t="s">
        <v>1094</v>
      </c>
      <c r="F302" s="795" t="s">
        <v>1009</v>
      </c>
      <c r="G302" s="796">
        <f>SUMIFS(МОЛОКО!L8:L6958,МОЛОКО!F8:F6958,"2500",МОЛОКО!L8:L6958,"&gt;0")</f>
        <v>15.4</v>
      </c>
      <c r="H302" s="797" t="s">
        <v>603</v>
      </c>
      <c r="I302" s="798">
        <v>42026</v>
      </c>
      <c r="J302" s="799">
        <f t="shared" ca="1" si="216"/>
        <v>3.0356164383561643</v>
      </c>
      <c r="K302" s="799">
        <f t="shared" ca="1" si="217"/>
        <v>36.93333333333333</v>
      </c>
      <c r="L302" s="800">
        <f t="shared" ca="1" si="218"/>
        <v>1108</v>
      </c>
      <c r="M302" s="801">
        <v>42753</v>
      </c>
      <c r="N302" s="802">
        <v>42753</v>
      </c>
      <c r="O302" s="803">
        <f t="shared" ca="1" si="219"/>
        <v>381</v>
      </c>
      <c r="P302" s="804">
        <v>1</v>
      </c>
      <c r="Q302" s="805" t="s">
        <v>1451</v>
      </c>
      <c r="R302" s="806" t="s">
        <v>1810</v>
      </c>
      <c r="S302" s="807">
        <v>42817</v>
      </c>
      <c r="T302" s="798">
        <v>42909</v>
      </c>
      <c r="U302" s="798" t="str">
        <f t="shared" si="220"/>
        <v>-</v>
      </c>
      <c r="V302" s="804" t="str">
        <f t="shared" ca="1" si="221"/>
        <v>-</v>
      </c>
      <c r="W302" s="808">
        <v>3</v>
      </c>
      <c r="X302" s="794">
        <f t="shared" si="214"/>
        <v>156</v>
      </c>
      <c r="Y302" s="794">
        <v>0</v>
      </c>
      <c r="Z302" s="809" t="str">
        <f t="shared" ca="1" si="222"/>
        <v>-----</v>
      </c>
      <c r="AA302" s="810">
        <f t="shared" ca="1" si="223"/>
        <v>225</v>
      </c>
      <c r="AB302" s="804"/>
      <c r="AC302" s="811" t="str">
        <f t="shared" ca="1" si="224"/>
        <v>-----</v>
      </c>
      <c r="AD302" s="798"/>
      <c r="AE302" s="794" t="str">
        <f t="shared" ca="1" si="225"/>
        <v>яловая</v>
      </c>
      <c r="AF302" s="798" t="str">
        <f t="shared" si="226"/>
        <v>-</v>
      </c>
      <c r="AG302" s="812" t="str">
        <f t="shared" si="227"/>
        <v>---------</v>
      </c>
      <c r="AH302" s="807">
        <v>42940</v>
      </c>
      <c r="AI302" s="807" t="str">
        <f t="shared" si="228"/>
        <v>-</v>
      </c>
      <c r="AJ302" s="807" t="str">
        <f t="shared" si="229"/>
        <v>-</v>
      </c>
      <c r="AK302" s="813"/>
      <c r="AL302" s="807" t="str">
        <f t="shared" si="230"/>
        <v>-</v>
      </c>
      <c r="AM302" s="807" t="str">
        <f t="shared" si="231"/>
        <v>-</v>
      </c>
      <c r="AN302" s="814" t="str">
        <f t="shared" ca="1" si="232"/>
        <v>-</v>
      </c>
      <c r="AO302" s="815">
        <v>1</v>
      </c>
      <c r="AP302" s="816" t="str">
        <f t="shared" ca="1" si="233"/>
        <v>БРАК</v>
      </c>
      <c r="AQ302" s="817"/>
      <c r="AR302" s="794" t="str">
        <f t="shared" si="234"/>
        <v>-</v>
      </c>
      <c r="AS302" s="818" t="s">
        <v>3061</v>
      </c>
      <c r="AT302" s="794" t="str">
        <f t="shared" si="235"/>
        <v>-</v>
      </c>
      <c r="AU302" s="819"/>
      <c r="AV302" s="820"/>
      <c r="AW302" s="821"/>
      <c r="AX302" s="821"/>
      <c r="AY302" s="969" t="str">
        <f t="shared" si="236"/>
        <v>-</v>
      </c>
      <c r="AZ302" s="966" t="str">
        <f t="shared" si="237"/>
        <v>-</v>
      </c>
      <c r="BA302" s="971" t="str">
        <f t="shared" si="238"/>
        <v>-</v>
      </c>
      <c r="BB302" s="975"/>
      <c r="BC302" s="821"/>
      <c r="BD302" s="821"/>
      <c r="BE302" s="963" t="str">
        <f t="shared" si="239"/>
        <v>-</v>
      </c>
      <c r="BF302" s="984"/>
      <c r="BG302" s="988"/>
      <c r="BH302" s="982"/>
      <c r="BI302" s="991"/>
      <c r="BJ302" s="991"/>
      <c r="BK302" s="993" t="str">
        <f t="shared" si="240"/>
        <v>-</v>
      </c>
      <c r="BL302" s="820">
        <v>42981</v>
      </c>
      <c r="BM302" s="821">
        <v>5</v>
      </c>
      <c r="BN302" s="822">
        <f t="shared" ca="1" si="241"/>
        <v>153</v>
      </c>
      <c r="BO302" s="823">
        <f t="shared" si="242"/>
        <v>31.833333333333332</v>
      </c>
      <c r="BP302" s="824">
        <v>43001</v>
      </c>
      <c r="BQ302" s="821">
        <v>2</v>
      </c>
      <c r="BR302" s="822">
        <f t="shared" ca="1" si="243"/>
        <v>133</v>
      </c>
      <c r="BS302" s="823">
        <f t="shared" si="244"/>
        <v>8.2666666666666675</v>
      </c>
      <c r="BT302" s="825" t="str">
        <f t="shared" ca="1" si="245"/>
        <v>-</v>
      </c>
      <c r="BU302" s="826"/>
      <c r="BV302" s="827"/>
      <c r="BW302" s="828" t="str">
        <f t="shared" si="246"/>
        <v>Ж-Е НЕ ВАКЦ.</v>
      </c>
      <c r="BX302" s="829" t="str">
        <f t="shared" si="247"/>
        <v>-</v>
      </c>
      <c r="BY302" s="830" t="str">
        <f t="shared" ca="1" si="248"/>
        <v>-</v>
      </c>
      <c r="BZ302" s="831">
        <v>42887</v>
      </c>
      <c r="CA302" s="832">
        <v>5</v>
      </c>
      <c r="CB302" s="833">
        <f t="shared" ca="1" si="249"/>
        <v>247</v>
      </c>
      <c r="CC302" s="834" t="str">
        <f t="shared" ca="1" si="250"/>
        <v>-</v>
      </c>
      <c r="CD302" s="835">
        <f t="shared" si="251"/>
        <v>42908</v>
      </c>
      <c r="CE302" s="831">
        <v>42908</v>
      </c>
      <c r="CF302" s="832">
        <v>5</v>
      </c>
      <c r="CG302" s="833">
        <f t="shared" ca="1" si="252"/>
        <v>226</v>
      </c>
      <c r="CH302" s="836">
        <f t="shared" si="253"/>
        <v>0</v>
      </c>
      <c r="CI302" s="837" t="str">
        <f t="shared" si="254"/>
        <v>УСПЕШНО</v>
      </c>
      <c r="CJ302" s="838" t="str">
        <f t="shared" ca="1" si="255"/>
        <v>-</v>
      </c>
      <c r="CK302" s="831"/>
      <c r="CL302" s="832"/>
      <c r="CM302" s="833" t="str">
        <f t="shared" si="256"/>
        <v>-</v>
      </c>
      <c r="CN302" s="834" t="str">
        <f t="shared" si="257"/>
        <v>-</v>
      </c>
      <c r="CO302" s="830" t="str">
        <f t="shared" ca="1" si="258"/>
        <v>-</v>
      </c>
      <c r="CP302" s="839"/>
      <c r="CQ302" s="832"/>
      <c r="CR302" s="833" t="str">
        <f t="shared" si="259"/>
        <v>-</v>
      </c>
      <c r="CS302" s="833" t="str">
        <f t="shared" si="260"/>
        <v>-</v>
      </c>
      <c r="CT302" s="834" t="str">
        <f t="shared" si="261"/>
        <v>-</v>
      </c>
      <c r="CU302" s="835" t="str">
        <f t="shared" si="262"/>
        <v>-</v>
      </c>
      <c r="CV302" s="839"/>
      <c r="CW302" s="832"/>
      <c r="CX302" s="833" t="str">
        <f t="shared" si="263"/>
        <v>-</v>
      </c>
      <c r="CY302" s="840" t="str">
        <f t="shared" si="264"/>
        <v>-</v>
      </c>
      <c r="CZ302" s="833" t="str">
        <f t="shared" si="265"/>
        <v>-</v>
      </c>
      <c r="DA302" s="838" t="str">
        <f t="shared" ca="1" si="266"/>
        <v>-</v>
      </c>
      <c r="DB302" s="841"/>
      <c r="DC302" s="832"/>
    </row>
    <row r="303" spans="1:107" s="842" customFormat="1" ht="15.95" customHeight="1" x14ac:dyDescent="0.25">
      <c r="A303" s="790">
        <v>304</v>
      </c>
      <c r="B303" s="791">
        <f t="shared" ca="1" si="215"/>
        <v>43134</v>
      </c>
      <c r="C303" s="792" t="s">
        <v>613</v>
      </c>
      <c r="D303" s="793" t="s">
        <v>3203</v>
      </c>
      <c r="E303" s="794" t="s">
        <v>1115</v>
      </c>
      <c r="F303" s="795" t="s">
        <v>1033</v>
      </c>
      <c r="G303" s="796">
        <f>SUMIFS(МОЛОКО!L8:L6958,МОЛОКО!F8:F6958,"2502",МОЛОКО!L8:L6958,"&gt;0")</f>
        <v>17</v>
      </c>
      <c r="H303" s="797" t="s">
        <v>603</v>
      </c>
      <c r="I303" s="798">
        <v>42028</v>
      </c>
      <c r="J303" s="799">
        <f t="shared" ca="1" si="216"/>
        <v>3.0301369863013701</v>
      </c>
      <c r="K303" s="799">
        <f t="shared" ca="1" si="217"/>
        <v>36.866666666666667</v>
      </c>
      <c r="L303" s="800">
        <f t="shared" ca="1" si="218"/>
        <v>1106</v>
      </c>
      <c r="M303" s="801">
        <v>42783</v>
      </c>
      <c r="N303" s="802">
        <v>42783</v>
      </c>
      <c r="O303" s="803">
        <f t="shared" ca="1" si="219"/>
        <v>351</v>
      </c>
      <c r="P303" s="804">
        <v>1</v>
      </c>
      <c r="Q303" s="805" t="s">
        <v>2366</v>
      </c>
      <c r="R303" s="806" t="s">
        <v>2966</v>
      </c>
      <c r="S303" s="807">
        <v>42845</v>
      </c>
      <c r="T303" s="798">
        <v>42979</v>
      </c>
      <c r="U303" s="798" t="str">
        <f t="shared" si="220"/>
        <v>-</v>
      </c>
      <c r="V303" s="804" t="str">
        <f t="shared" ca="1" si="221"/>
        <v>-</v>
      </c>
      <c r="W303" s="808">
        <v>4</v>
      </c>
      <c r="X303" s="794">
        <f t="shared" si="214"/>
        <v>196</v>
      </c>
      <c r="Y303" s="794">
        <v>1</v>
      </c>
      <c r="Z303" s="809" t="str">
        <f t="shared" ca="1" si="222"/>
        <v>-----</v>
      </c>
      <c r="AA303" s="810" t="str">
        <f t="shared" ca="1" si="223"/>
        <v>-----</v>
      </c>
      <c r="AB303" s="804">
        <v>1</v>
      </c>
      <c r="AC303" s="811" t="str">
        <f t="shared" ca="1" si="224"/>
        <v>-----</v>
      </c>
      <c r="AD303" s="798">
        <v>43047</v>
      </c>
      <c r="AE303" s="794" t="str">
        <f t="shared" ca="1" si="225"/>
        <v>-</v>
      </c>
      <c r="AF303" s="798" t="str">
        <f t="shared" si="226"/>
        <v>-</v>
      </c>
      <c r="AG303" s="812" t="str">
        <f t="shared" si="227"/>
        <v>---------</v>
      </c>
      <c r="AH303" s="807">
        <v>43010</v>
      </c>
      <c r="AI303" s="807">
        <f t="shared" si="228"/>
        <v>43169</v>
      </c>
      <c r="AJ303" s="807">
        <f t="shared" si="229"/>
        <v>43199</v>
      </c>
      <c r="AK303" s="813"/>
      <c r="AL303" s="807">
        <f t="shared" si="230"/>
        <v>43238</v>
      </c>
      <c r="AM303" s="807">
        <f t="shared" si="231"/>
        <v>43259</v>
      </c>
      <c r="AN303" s="814">
        <f t="shared" ca="1" si="232"/>
        <v>-125</v>
      </c>
      <c r="AO303" s="815">
        <v>1</v>
      </c>
      <c r="AP303" s="816" t="str">
        <f t="shared" ca="1" si="233"/>
        <v>-</v>
      </c>
      <c r="AQ303" s="817"/>
      <c r="AR303" s="794" t="str">
        <f t="shared" si="234"/>
        <v>-</v>
      </c>
      <c r="AS303" s="818"/>
      <c r="AT303" s="794" t="str">
        <f t="shared" si="235"/>
        <v>-</v>
      </c>
      <c r="AU303" s="819"/>
      <c r="AV303" s="820"/>
      <c r="AW303" s="821"/>
      <c r="AX303" s="821"/>
      <c r="AY303" s="969" t="str">
        <f t="shared" si="236"/>
        <v>-</v>
      </c>
      <c r="AZ303" s="966" t="str">
        <f t="shared" si="237"/>
        <v>-</v>
      </c>
      <c r="BA303" s="971" t="str">
        <f t="shared" si="238"/>
        <v>-</v>
      </c>
      <c r="BB303" s="975"/>
      <c r="BC303" s="821"/>
      <c r="BD303" s="821"/>
      <c r="BE303" s="963" t="str">
        <f t="shared" si="239"/>
        <v>-</v>
      </c>
      <c r="BF303" s="984"/>
      <c r="BG303" s="988"/>
      <c r="BH303" s="982"/>
      <c r="BI303" s="991"/>
      <c r="BJ303" s="991"/>
      <c r="BK303" s="993" t="str">
        <f t="shared" si="240"/>
        <v>-</v>
      </c>
      <c r="BL303" s="820">
        <v>42981</v>
      </c>
      <c r="BM303" s="821">
        <v>5</v>
      </c>
      <c r="BN303" s="822">
        <f t="shared" ca="1" si="241"/>
        <v>153</v>
      </c>
      <c r="BO303" s="823">
        <f t="shared" si="242"/>
        <v>31.766666666666666</v>
      </c>
      <c r="BP303" s="824">
        <v>43001</v>
      </c>
      <c r="BQ303" s="821">
        <v>2</v>
      </c>
      <c r="BR303" s="822">
        <f t="shared" ca="1" si="243"/>
        <v>133</v>
      </c>
      <c r="BS303" s="823">
        <f t="shared" si="244"/>
        <v>7.2666666666666666</v>
      </c>
      <c r="BT303" s="825" t="str">
        <f t="shared" ca="1" si="245"/>
        <v>-</v>
      </c>
      <c r="BU303" s="826"/>
      <c r="BV303" s="827"/>
      <c r="BW303" s="828" t="str">
        <f t="shared" si="246"/>
        <v>Ж-Е НЕ ВАКЦ.</v>
      </c>
      <c r="BX303" s="829" t="str">
        <f t="shared" si="247"/>
        <v>-</v>
      </c>
      <c r="BY303" s="830" t="str">
        <f t="shared" ca="1" si="248"/>
        <v>-</v>
      </c>
      <c r="BZ303" s="831">
        <v>42887</v>
      </c>
      <c r="CA303" s="832">
        <v>5</v>
      </c>
      <c r="CB303" s="833">
        <f t="shared" ca="1" si="249"/>
        <v>247</v>
      </c>
      <c r="CC303" s="834" t="str">
        <f t="shared" ca="1" si="250"/>
        <v>-</v>
      </c>
      <c r="CD303" s="835">
        <f t="shared" si="251"/>
        <v>42908</v>
      </c>
      <c r="CE303" s="831">
        <v>42908</v>
      </c>
      <c r="CF303" s="832">
        <v>5</v>
      </c>
      <c r="CG303" s="833">
        <f t="shared" ca="1" si="252"/>
        <v>226</v>
      </c>
      <c r="CH303" s="836">
        <f t="shared" si="253"/>
        <v>0</v>
      </c>
      <c r="CI303" s="837" t="str">
        <f t="shared" si="254"/>
        <v>УСПЕШНО</v>
      </c>
      <c r="CJ303" s="838" t="str">
        <f t="shared" ca="1" si="255"/>
        <v>-</v>
      </c>
      <c r="CK303" s="831"/>
      <c r="CL303" s="832"/>
      <c r="CM303" s="833" t="str">
        <f t="shared" si="256"/>
        <v>-</v>
      </c>
      <c r="CN303" s="834" t="str">
        <f t="shared" si="257"/>
        <v>-</v>
      </c>
      <c r="CO303" s="830" t="str">
        <f t="shared" ca="1" si="258"/>
        <v>-</v>
      </c>
      <c r="CP303" s="839"/>
      <c r="CQ303" s="832"/>
      <c r="CR303" s="833" t="str">
        <f t="shared" si="259"/>
        <v>-</v>
      </c>
      <c r="CS303" s="833" t="str">
        <f t="shared" si="260"/>
        <v>-</v>
      </c>
      <c r="CT303" s="834" t="str">
        <f t="shared" si="261"/>
        <v>-</v>
      </c>
      <c r="CU303" s="835" t="str">
        <f t="shared" si="262"/>
        <v>-</v>
      </c>
      <c r="CV303" s="839"/>
      <c r="CW303" s="832"/>
      <c r="CX303" s="833" t="str">
        <f t="shared" si="263"/>
        <v>-</v>
      </c>
      <c r="CY303" s="840" t="str">
        <f t="shared" si="264"/>
        <v>-</v>
      </c>
      <c r="CZ303" s="833" t="str">
        <f t="shared" si="265"/>
        <v>-</v>
      </c>
      <c r="DA303" s="838" t="str">
        <f t="shared" ca="1" si="266"/>
        <v>-</v>
      </c>
      <c r="DB303" s="841"/>
      <c r="DC303" s="832"/>
    </row>
    <row r="304" spans="1:107" s="842" customFormat="1" ht="15.95" customHeight="1" x14ac:dyDescent="0.25">
      <c r="A304" s="790">
        <v>305</v>
      </c>
      <c r="B304" s="791">
        <f t="shared" ca="1" si="215"/>
        <v>43134</v>
      </c>
      <c r="C304" s="792" t="s">
        <v>613</v>
      </c>
      <c r="D304" s="793" t="s">
        <v>3203</v>
      </c>
      <c r="E304" s="794" t="s">
        <v>1104</v>
      </c>
      <c r="F304" s="795" t="s">
        <v>1024</v>
      </c>
      <c r="G304" s="796">
        <f>SUMIFS(МОЛОКО!L8:L6958,МОЛОКО!F8:F6958,"2523",МОЛОКО!L8:L6958,"&gt;0")</f>
        <v>13</v>
      </c>
      <c r="H304" s="797" t="s">
        <v>603</v>
      </c>
      <c r="I304" s="798">
        <v>42038</v>
      </c>
      <c r="J304" s="799">
        <f t="shared" ca="1" si="216"/>
        <v>3.0027397260273974</v>
      </c>
      <c r="K304" s="799">
        <f t="shared" ca="1" si="217"/>
        <v>36.533333333333331</v>
      </c>
      <c r="L304" s="800">
        <f t="shared" ca="1" si="218"/>
        <v>1096</v>
      </c>
      <c r="M304" s="801">
        <v>42780</v>
      </c>
      <c r="N304" s="802">
        <v>42780</v>
      </c>
      <c r="O304" s="803">
        <f t="shared" ca="1" si="219"/>
        <v>354</v>
      </c>
      <c r="P304" s="804">
        <v>1</v>
      </c>
      <c r="Q304" s="805" t="s">
        <v>1451</v>
      </c>
      <c r="R304" s="806" t="s">
        <v>2335</v>
      </c>
      <c r="S304" s="807">
        <v>42838</v>
      </c>
      <c r="T304" s="798">
        <v>42886</v>
      </c>
      <c r="U304" s="798" t="str">
        <f t="shared" si="220"/>
        <v>-</v>
      </c>
      <c r="V304" s="804" t="str">
        <f t="shared" ca="1" si="221"/>
        <v>-</v>
      </c>
      <c r="W304" s="808">
        <v>2</v>
      </c>
      <c r="X304" s="794">
        <f t="shared" si="214"/>
        <v>106</v>
      </c>
      <c r="Y304" s="794">
        <v>1</v>
      </c>
      <c r="Z304" s="809" t="str">
        <f t="shared" ca="1" si="222"/>
        <v>-----</v>
      </c>
      <c r="AA304" s="810" t="str">
        <f t="shared" ca="1" si="223"/>
        <v>-----</v>
      </c>
      <c r="AB304" s="804">
        <v>1</v>
      </c>
      <c r="AC304" s="811" t="str">
        <f t="shared" ca="1" si="224"/>
        <v>-----</v>
      </c>
      <c r="AD304" s="798"/>
      <c r="AE304" s="794" t="str">
        <f t="shared" ca="1" si="225"/>
        <v>-</v>
      </c>
      <c r="AF304" s="798" t="str">
        <f t="shared" si="226"/>
        <v>-</v>
      </c>
      <c r="AG304" s="812" t="str">
        <f t="shared" si="227"/>
        <v>---------</v>
      </c>
      <c r="AH304" s="807">
        <v>42971</v>
      </c>
      <c r="AI304" s="807">
        <f t="shared" si="228"/>
        <v>43076</v>
      </c>
      <c r="AJ304" s="807">
        <f t="shared" si="229"/>
        <v>43106</v>
      </c>
      <c r="AK304" s="813"/>
      <c r="AL304" s="807">
        <f t="shared" si="230"/>
        <v>43145</v>
      </c>
      <c r="AM304" s="807">
        <f t="shared" si="231"/>
        <v>43166</v>
      </c>
      <c r="AN304" s="814">
        <f t="shared" ca="1" si="232"/>
        <v>-32</v>
      </c>
      <c r="AO304" s="815">
        <v>1</v>
      </c>
      <c r="AP304" s="816" t="str">
        <f t="shared" ca="1" si="233"/>
        <v>-</v>
      </c>
      <c r="AQ304" s="817"/>
      <c r="AR304" s="794" t="str">
        <f t="shared" si="234"/>
        <v>-</v>
      </c>
      <c r="AS304" s="818"/>
      <c r="AT304" s="794" t="str">
        <f t="shared" si="235"/>
        <v>-</v>
      </c>
      <c r="AU304" s="819"/>
      <c r="AV304" s="820"/>
      <c r="AW304" s="821"/>
      <c r="AX304" s="821"/>
      <c r="AY304" s="969" t="str">
        <f t="shared" si="236"/>
        <v>-</v>
      </c>
      <c r="AZ304" s="966" t="str">
        <f t="shared" si="237"/>
        <v>-</v>
      </c>
      <c r="BA304" s="971" t="str">
        <f t="shared" si="238"/>
        <v>-</v>
      </c>
      <c r="BB304" s="975"/>
      <c r="BC304" s="821"/>
      <c r="BD304" s="821"/>
      <c r="BE304" s="963" t="str">
        <f t="shared" si="239"/>
        <v>-</v>
      </c>
      <c r="BF304" s="984"/>
      <c r="BG304" s="988"/>
      <c r="BH304" s="982"/>
      <c r="BI304" s="991"/>
      <c r="BJ304" s="991"/>
      <c r="BK304" s="993" t="str">
        <f t="shared" si="240"/>
        <v>-</v>
      </c>
      <c r="BL304" s="820">
        <v>42981</v>
      </c>
      <c r="BM304" s="821">
        <v>5</v>
      </c>
      <c r="BN304" s="822">
        <f t="shared" ca="1" si="241"/>
        <v>153</v>
      </c>
      <c r="BO304" s="823">
        <f t="shared" si="242"/>
        <v>31.433333333333334</v>
      </c>
      <c r="BP304" s="824">
        <v>43001</v>
      </c>
      <c r="BQ304" s="821">
        <v>2</v>
      </c>
      <c r="BR304" s="822">
        <f t="shared" ca="1" si="243"/>
        <v>133</v>
      </c>
      <c r="BS304" s="823">
        <f t="shared" si="244"/>
        <v>7.3666666666666663</v>
      </c>
      <c r="BT304" s="825" t="str">
        <f t="shared" ca="1" si="245"/>
        <v>-</v>
      </c>
      <c r="BU304" s="826"/>
      <c r="BV304" s="827"/>
      <c r="BW304" s="828" t="str">
        <f t="shared" si="246"/>
        <v>Ж-Е НЕ ВАКЦ.</v>
      </c>
      <c r="BX304" s="829" t="str">
        <f t="shared" si="247"/>
        <v>-</v>
      </c>
      <c r="BY304" s="830" t="str">
        <f t="shared" ca="1" si="248"/>
        <v>-</v>
      </c>
      <c r="BZ304" s="831">
        <v>42887</v>
      </c>
      <c r="CA304" s="832">
        <v>5</v>
      </c>
      <c r="CB304" s="833">
        <f t="shared" ca="1" si="249"/>
        <v>247</v>
      </c>
      <c r="CC304" s="834" t="str">
        <f t="shared" ca="1" si="250"/>
        <v>-</v>
      </c>
      <c r="CD304" s="835">
        <f t="shared" si="251"/>
        <v>42908</v>
      </c>
      <c r="CE304" s="831">
        <v>42908</v>
      </c>
      <c r="CF304" s="832">
        <v>5</v>
      </c>
      <c r="CG304" s="833">
        <f t="shared" ca="1" si="252"/>
        <v>226</v>
      </c>
      <c r="CH304" s="836">
        <f t="shared" si="253"/>
        <v>0</v>
      </c>
      <c r="CI304" s="837" t="str">
        <f t="shared" si="254"/>
        <v>УСПЕШНО</v>
      </c>
      <c r="CJ304" s="838" t="str">
        <f t="shared" ca="1" si="255"/>
        <v>-</v>
      </c>
      <c r="CK304" s="831"/>
      <c r="CL304" s="832"/>
      <c r="CM304" s="833" t="str">
        <f t="shared" si="256"/>
        <v>-</v>
      </c>
      <c r="CN304" s="834" t="str">
        <f t="shared" si="257"/>
        <v>-</v>
      </c>
      <c r="CO304" s="830" t="str">
        <f t="shared" ca="1" si="258"/>
        <v>ТРЕБУЕТСЯ ВАКЦИНАЦИЯ</v>
      </c>
      <c r="CP304" s="839"/>
      <c r="CQ304" s="832"/>
      <c r="CR304" s="833" t="str">
        <f t="shared" si="259"/>
        <v>-</v>
      </c>
      <c r="CS304" s="833" t="str">
        <f t="shared" si="260"/>
        <v>-</v>
      </c>
      <c r="CT304" s="834" t="str">
        <f t="shared" si="261"/>
        <v>-</v>
      </c>
      <c r="CU304" s="835" t="str">
        <f t="shared" si="262"/>
        <v>-</v>
      </c>
      <c r="CV304" s="839"/>
      <c r="CW304" s="832"/>
      <c r="CX304" s="833" t="str">
        <f t="shared" si="263"/>
        <v>-</v>
      </c>
      <c r="CY304" s="840" t="str">
        <f t="shared" si="264"/>
        <v>-</v>
      </c>
      <c r="CZ304" s="833" t="str">
        <f t="shared" si="265"/>
        <v>-</v>
      </c>
      <c r="DA304" s="838" t="str">
        <f t="shared" ca="1" si="266"/>
        <v>-</v>
      </c>
      <c r="DB304" s="841"/>
      <c r="DC304" s="832"/>
    </row>
    <row r="305" spans="1:107" s="842" customFormat="1" ht="15.95" customHeight="1" x14ac:dyDescent="0.25">
      <c r="A305" s="790">
        <v>306</v>
      </c>
      <c r="B305" s="791">
        <f t="shared" ca="1" si="215"/>
        <v>43134</v>
      </c>
      <c r="C305" s="792" t="s">
        <v>613</v>
      </c>
      <c r="D305" s="59" t="s">
        <v>3203</v>
      </c>
      <c r="E305" s="794" t="s">
        <v>1124</v>
      </c>
      <c r="F305" s="795" t="s">
        <v>1040</v>
      </c>
      <c r="G305" s="796">
        <f>SUMIFS(МОЛОКО!L8:L6958,МОЛОКО!F8:F6958,"2548",МОЛОКО!L8:L6958,"&gt;0")</f>
        <v>17</v>
      </c>
      <c r="H305" s="797" t="s">
        <v>603</v>
      </c>
      <c r="I305" s="798">
        <v>42066</v>
      </c>
      <c r="J305" s="799">
        <f t="shared" ca="1" si="216"/>
        <v>2.9260273972602739</v>
      </c>
      <c r="K305" s="799">
        <f t="shared" ca="1" si="217"/>
        <v>35.6</v>
      </c>
      <c r="L305" s="800">
        <f t="shared" ca="1" si="218"/>
        <v>1068</v>
      </c>
      <c r="M305" s="801">
        <v>42760</v>
      </c>
      <c r="N305" s="802">
        <v>42760</v>
      </c>
      <c r="O305" s="803">
        <f t="shared" ca="1" si="219"/>
        <v>374</v>
      </c>
      <c r="P305" s="804">
        <v>1</v>
      </c>
      <c r="Q305" s="805" t="s">
        <v>2366</v>
      </c>
      <c r="R305" s="806" t="s">
        <v>1875</v>
      </c>
      <c r="S305" s="807">
        <v>42824</v>
      </c>
      <c r="T305" s="798">
        <v>43007</v>
      </c>
      <c r="U305" s="798" t="str">
        <f t="shared" si="220"/>
        <v>-</v>
      </c>
      <c r="V305" s="804" t="str">
        <f t="shared" ca="1" si="221"/>
        <v>-</v>
      </c>
      <c r="W305" s="808">
        <v>5</v>
      </c>
      <c r="X305" s="794">
        <f t="shared" si="214"/>
        <v>247</v>
      </c>
      <c r="Y305" s="794">
        <v>1</v>
      </c>
      <c r="Z305" s="809" t="str">
        <f t="shared" ca="1" si="222"/>
        <v>ПОДЛЕЖИТ ПЕРЕПРОВЕРКЕ</v>
      </c>
      <c r="AA305" s="810">
        <f t="shared" ca="1" si="223"/>
        <v>127</v>
      </c>
      <c r="AB305" s="804"/>
      <c r="AC305" s="811">
        <f t="shared" ca="1" si="224"/>
        <v>43079</v>
      </c>
      <c r="AD305" s="798"/>
      <c r="AE305" s="794" t="str">
        <f t="shared" ca="1" si="225"/>
        <v>-</v>
      </c>
      <c r="AF305" s="798" t="str">
        <f t="shared" si="226"/>
        <v>-</v>
      </c>
      <c r="AG305" s="812" t="str">
        <f t="shared" si="227"/>
        <v>---------</v>
      </c>
      <c r="AH305" s="807">
        <v>43038</v>
      </c>
      <c r="AI305" s="807">
        <f t="shared" si="228"/>
        <v>43197</v>
      </c>
      <c r="AJ305" s="807">
        <f t="shared" si="229"/>
        <v>43227</v>
      </c>
      <c r="AK305" s="813"/>
      <c r="AL305" s="807">
        <f t="shared" si="230"/>
        <v>43266</v>
      </c>
      <c r="AM305" s="807">
        <f t="shared" si="231"/>
        <v>43287</v>
      </c>
      <c r="AN305" s="814">
        <f t="shared" ca="1" si="232"/>
        <v>-153</v>
      </c>
      <c r="AO305" s="815">
        <v>1</v>
      </c>
      <c r="AP305" s="816" t="str">
        <f t="shared" ca="1" si="233"/>
        <v>-</v>
      </c>
      <c r="AQ305" s="817"/>
      <c r="AR305" s="794" t="str">
        <f t="shared" si="234"/>
        <v>-</v>
      </c>
      <c r="AS305" s="818"/>
      <c r="AT305" s="794" t="str">
        <f t="shared" si="235"/>
        <v>-</v>
      </c>
      <c r="AU305" s="819"/>
      <c r="AV305" s="820"/>
      <c r="AW305" s="821"/>
      <c r="AX305" s="821"/>
      <c r="AY305" s="969" t="str">
        <f t="shared" si="236"/>
        <v>-</v>
      </c>
      <c r="AZ305" s="966" t="str">
        <f t="shared" si="237"/>
        <v>-</v>
      </c>
      <c r="BA305" s="971" t="str">
        <f t="shared" si="238"/>
        <v>-</v>
      </c>
      <c r="BB305" s="975"/>
      <c r="BC305" s="821"/>
      <c r="BD305" s="821"/>
      <c r="BE305" s="963" t="str">
        <f t="shared" si="239"/>
        <v>-</v>
      </c>
      <c r="BF305" s="984"/>
      <c r="BG305" s="988"/>
      <c r="BH305" s="982"/>
      <c r="BI305" s="991"/>
      <c r="BJ305" s="991"/>
      <c r="BK305" s="993" t="str">
        <f t="shared" si="240"/>
        <v>-</v>
      </c>
      <c r="BL305" s="820">
        <v>42981</v>
      </c>
      <c r="BM305" s="821">
        <v>5</v>
      </c>
      <c r="BN305" s="822">
        <f t="shared" ca="1" si="241"/>
        <v>153</v>
      </c>
      <c r="BO305" s="823">
        <f t="shared" si="242"/>
        <v>30.5</v>
      </c>
      <c r="BP305" s="824">
        <v>43001</v>
      </c>
      <c r="BQ305" s="821">
        <v>2</v>
      </c>
      <c r="BR305" s="822">
        <f t="shared" ca="1" si="243"/>
        <v>133</v>
      </c>
      <c r="BS305" s="823">
        <f t="shared" si="244"/>
        <v>8.0333333333333332</v>
      </c>
      <c r="BT305" s="825" t="str">
        <f t="shared" ca="1" si="245"/>
        <v>-</v>
      </c>
      <c r="BU305" s="826"/>
      <c r="BV305" s="827"/>
      <c r="BW305" s="828" t="str">
        <f t="shared" si="246"/>
        <v>Ж-Е НЕ ВАКЦ.</v>
      </c>
      <c r="BX305" s="829" t="str">
        <f t="shared" si="247"/>
        <v>-</v>
      </c>
      <c r="BY305" s="830" t="str">
        <f t="shared" ca="1" si="248"/>
        <v>-</v>
      </c>
      <c r="BZ305" s="831">
        <v>42887</v>
      </c>
      <c r="CA305" s="832">
        <v>5</v>
      </c>
      <c r="CB305" s="833">
        <f t="shared" ca="1" si="249"/>
        <v>247</v>
      </c>
      <c r="CC305" s="834" t="str">
        <f t="shared" ca="1" si="250"/>
        <v>-</v>
      </c>
      <c r="CD305" s="835">
        <f t="shared" si="251"/>
        <v>42908</v>
      </c>
      <c r="CE305" s="831">
        <v>42908</v>
      </c>
      <c r="CF305" s="832">
        <v>5</v>
      </c>
      <c r="CG305" s="833">
        <f t="shared" ca="1" si="252"/>
        <v>226</v>
      </c>
      <c r="CH305" s="836">
        <f t="shared" si="253"/>
        <v>0</v>
      </c>
      <c r="CI305" s="837" t="str">
        <f t="shared" si="254"/>
        <v>УСПЕШНО</v>
      </c>
      <c r="CJ305" s="838" t="str">
        <f t="shared" ca="1" si="255"/>
        <v>-</v>
      </c>
      <c r="CK305" s="831"/>
      <c r="CL305" s="832"/>
      <c r="CM305" s="833" t="str">
        <f t="shared" si="256"/>
        <v>-</v>
      </c>
      <c r="CN305" s="834" t="str">
        <f t="shared" si="257"/>
        <v>-</v>
      </c>
      <c r="CO305" s="830" t="str">
        <f t="shared" ca="1" si="258"/>
        <v>-</v>
      </c>
      <c r="CP305" s="839"/>
      <c r="CQ305" s="832"/>
      <c r="CR305" s="833" t="str">
        <f t="shared" si="259"/>
        <v>-</v>
      </c>
      <c r="CS305" s="833" t="str">
        <f t="shared" si="260"/>
        <v>-</v>
      </c>
      <c r="CT305" s="834" t="str">
        <f t="shared" si="261"/>
        <v>-</v>
      </c>
      <c r="CU305" s="835" t="str">
        <f t="shared" si="262"/>
        <v>-</v>
      </c>
      <c r="CV305" s="839"/>
      <c r="CW305" s="832"/>
      <c r="CX305" s="833" t="str">
        <f t="shared" si="263"/>
        <v>-</v>
      </c>
      <c r="CY305" s="840" t="str">
        <f t="shared" si="264"/>
        <v>-</v>
      </c>
      <c r="CZ305" s="833" t="str">
        <f t="shared" si="265"/>
        <v>-</v>
      </c>
      <c r="DA305" s="838" t="str">
        <f t="shared" ca="1" si="266"/>
        <v>-</v>
      </c>
      <c r="DB305" s="841"/>
      <c r="DC305" s="832"/>
    </row>
    <row r="306" spans="1:107" s="842" customFormat="1" ht="15.95" customHeight="1" x14ac:dyDescent="0.25">
      <c r="A306" s="790">
        <v>307</v>
      </c>
      <c r="B306" s="791">
        <f t="shared" ca="1" si="215"/>
        <v>43134</v>
      </c>
      <c r="C306" s="792" t="s">
        <v>613</v>
      </c>
      <c r="D306" s="793" t="s">
        <v>3203</v>
      </c>
      <c r="E306" s="794" t="s">
        <v>1103</v>
      </c>
      <c r="F306" s="795" t="s">
        <v>1010</v>
      </c>
      <c r="G306" s="796">
        <f>SUMIFS(МОЛОКО!L8:L6958,МОЛОКО!F8:F6958,"2550",МОЛОКО!L8:L6958,"&gt;0")</f>
        <v>14.3</v>
      </c>
      <c r="H306" s="797" t="s">
        <v>603</v>
      </c>
      <c r="I306" s="798">
        <v>42067</v>
      </c>
      <c r="J306" s="799">
        <f t="shared" ca="1" si="216"/>
        <v>2.9232876712328766</v>
      </c>
      <c r="K306" s="799">
        <f t="shared" ca="1" si="217"/>
        <v>35.56666666666667</v>
      </c>
      <c r="L306" s="800">
        <f t="shared" ca="1" si="218"/>
        <v>1067</v>
      </c>
      <c r="M306" s="801">
        <v>42731</v>
      </c>
      <c r="N306" s="802">
        <v>42731</v>
      </c>
      <c r="O306" s="803">
        <f t="shared" ca="1" si="219"/>
        <v>403</v>
      </c>
      <c r="P306" s="804">
        <v>1</v>
      </c>
      <c r="Q306" s="805"/>
      <c r="R306" s="806"/>
      <c r="S306" s="807"/>
      <c r="T306" s="798"/>
      <c r="U306" s="798" t="str">
        <f t="shared" si="220"/>
        <v>-</v>
      </c>
      <c r="V306" s="804" t="str">
        <f t="shared" ca="1" si="221"/>
        <v>-</v>
      </c>
      <c r="W306" s="808">
        <v>0</v>
      </c>
      <c r="X306" s="794" t="str">
        <f t="shared" si="214"/>
        <v>-</v>
      </c>
      <c r="Y306" s="794">
        <v>0</v>
      </c>
      <c r="Z306" s="809" t="str">
        <f t="shared" ca="1" si="222"/>
        <v>-----</v>
      </c>
      <c r="AA306" s="810">
        <f t="shared" ca="1" si="223"/>
        <v>43134</v>
      </c>
      <c r="AB306" s="804"/>
      <c r="AC306" s="811" t="str">
        <f t="shared" ca="1" si="224"/>
        <v>-----</v>
      </c>
      <c r="AD306" s="798"/>
      <c r="AE306" s="794" t="str">
        <f t="shared" ca="1" si="225"/>
        <v>яловая</v>
      </c>
      <c r="AF306" s="798" t="str">
        <f t="shared" si="226"/>
        <v>-</v>
      </c>
      <c r="AG306" s="812" t="str">
        <f t="shared" si="227"/>
        <v>---------</v>
      </c>
      <c r="AH306" s="807"/>
      <c r="AI306" s="807" t="str">
        <f t="shared" si="228"/>
        <v>-</v>
      </c>
      <c r="AJ306" s="807" t="str">
        <f t="shared" si="229"/>
        <v>-</v>
      </c>
      <c r="AK306" s="813"/>
      <c r="AL306" s="807" t="str">
        <f t="shared" si="230"/>
        <v>-</v>
      </c>
      <c r="AM306" s="807" t="str">
        <f t="shared" si="231"/>
        <v>-</v>
      </c>
      <c r="AN306" s="814" t="str">
        <f t="shared" ca="1" si="232"/>
        <v>-</v>
      </c>
      <c r="AO306" s="815">
        <v>1</v>
      </c>
      <c r="AP306" s="816" t="str">
        <f t="shared" ca="1" si="233"/>
        <v>БРАК</v>
      </c>
      <c r="AQ306" s="817" t="s">
        <v>1863</v>
      </c>
      <c r="AR306" s="794" t="str">
        <f t="shared" si="234"/>
        <v>-</v>
      </c>
      <c r="AS306" s="818"/>
      <c r="AT306" s="794" t="str">
        <f t="shared" si="235"/>
        <v>-</v>
      </c>
      <c r="AU306" s="819"/>
      <c r="AV306" s="820"/>
      <c r="AW306" s="821"/>
      <c r="AX306" s="821"/>
      <c r="AY306" s="969" t="str">
        <f t="shared" si="236"/>
        <v>-</v>
      </c>
      <c r="AZ306" s="966" t="str">
        <f t="shared" si="237"/>
        <v>-</v>
      </c>
      <c r="BA306" s="971" t="str">
        <f t="shared" si="238"/>
        <v>-</v>
      </c>
      <c r="BB306" s="975"/>
      <c r="BC306" s="821"/>
      <c r="BD306" s="821"/>
      <c r="BE306" s="963" t="str">
        <f t="shared" si="239"/>
        <v>-</v>
      </c>
      <c r="BF306" s="984"/>
      <c r="BG306" s="988"/>
      <c r="BH306" s="982"/>
      <c r="BI306" s="991"/>
      <c r="BJ306" s="991"/>
      <c r="BK306" s="993" t="str">
        <f t="shared" si="240"/>
        <v>-</v>
      </c>
      <c r="BL306" s="820">
        <v>42981</v>
      </c>
      <c r="BM306" s="821">
        <v>5</v>
      </c>
      <c r="BN306" s="822">
        <f t="shared" ca="1" si="241"/>
        <v>153</v>
      </c>
      <c r="BO306" s="823">
        <f t="shared" si="242"/>
        <v>30.466666666666665</v>
      </c>
      <c r="BP306" s="824">
        <v>43001</v>
      </c>
      <c r="BQ306" s="821">
        <v>2</v>
      </c>
      <c r="BR306" s="822">
        <f t="shared" ca="1" si="243"/>
        <v>133</v>
      </c>
      <c r="BS306" s="823">
        <f t="shared" si="244"/>
        <v>9</v>
      </c>
      <c r="BT306" s="825" t="str">
        <f t="shared" ca="1" si="245"/>
        <v>-</v>
      </c>
      <c r="BU306" s="826"/>
      <c r="BV306" s="827"/>
      <c r="BW306" s="828" t="str">
        <f t="shared" si="246"/>
        <v>Ж-Е НЕ ВАКЦ.</v>
      </c>
      <c r="BX306" s="829" t="str">
        <f t="shared" si="247"/>
        <v>-</v>
      </c>
      <c r="BY306" s="830" t="str">
        <f t="shared" ca="1" si="248"/>
        <v>-</v>
      </c>
      <c r="BZ306" s="831">
        <v>42887</v>
      </c>
      <c r="CA306" s="832">
        <v>5</v>
      </c>
      <c r="CB306" s="833">
        <f t="shared" ca="1" si="249"/>
        <v>247</v>
      </c>
      <c r="CC306" s="834" t="str">
        <f t="shared" ca="1" si="250"/>
        <v>-</v>
      </c>
      <c r="CD306" s="835">
        <f t="shared" si="251"/>
        <v>42908</v>
      </c>
      <c r="CE306" s="831">
        <v>42908</v>
      </c>
      <c r="CF306" s="832">
        <v>5</v>
      </c>
      <c r="CG306" s="833">
        <f t="shared" ca="1" si="252"/>
        <v>226</v>
      </c>
      <c r="CH306" s="836">
        <f t="shared" si="253"/>
        <v>0</v>
      </c>
      <c r="CI306" s="837" t="str">
        <f t="shared" si="254"/>
        <v>УСПЕШНО</v>
      </c>
      <c r="CJ306" s="838" t="str">
        <f t="shared" ca="1" si="255"/>
        <v>-</v>
      </c>
      <c r="CK306" s="831"/>
      <c r="CL306" s="832"/>
      <c r="CM306" s="833" t="str">
        <f t="shared" si="256"/>
        <v>-</v>
      </c>
      <c r="CN306" s="834" t="str">
        <f t="shared" si="257"/>
        <v>-</v>
      </c>
      <c r="CO306" s="830" t="str">
        <f t="shared" ca="1" si="258"/>
        <v>-</v>
      </c>
      <c r="CP306" s="839"/>
      <c r="CQ306" s="832"/>
      <c r="CR306" s="833" t="str">
        <f t="shared" si="259"/>
        <v>-</v>
      </c>
      <c r="CS306" s="833" t="str">
        <f t="shared" si="260"/>
        <v>-</v>
      </c>
      <c r="CT306" s="834" t="str">
        <f t="shared" si="261"/>
        <v>-</v>
      </c>
      <c r="CU306" s="835" t="str">
        <f t="shared" si="262"/>
        <v>-</v>
      </c>
      <c r="CV306" s="839"/>
      <c r="CW306" s="832"/>
      <c r="CX306" s="833" t="str">
        <f t="shared" si="263"/>
        <v>-</v>
      </c>
      <c r="CY306" s="840" t="str">
        <f t="shared" si="264"/>
        <v>-</v>
      </c>
      <c r="CZ306" s="833" t="str">
        <f t="shared" si="265"/>
        <v>-</v>
      </c>
      <c r="DA306" s="838" t="str">
        <f t="shared" ca="1" si="266"/>
        <v>-</v>
      </c>
      <c r="DB306" s="841"/>
      <c r="DC306" s="832"/>
    </row>
    <row r="307" spans="1:107" s="842" customFormat="1" ht="15.95" customHeight="1" x14ac:dyDescent="0.25">
      <c r="A307" s="790">
        <v>308</v>
      </c>
      <c r="B307" s="791">
        <f t="shared" ca="1" si="215"/>
        <v>43134</v>
      </c>
      <c r="C307" s="792" t="s">
        <v>613</v>
      </c>
      <c r="D307" s="793" t="s">
        <v>3203</v>
      </c>
      <c r="E307" s="794" t="s">
        <v>633</v>
      </c>
      <c r="F307" s="795" t="s">
        <v>1028</v>
      </c>
      <c r="G307" s="796">
        <f>SUMIFS(МОЛОКО!L8:L6958,МОЛОКО!F8:F6958,"2565",МОЛОКО!L8:L6958,"&gt;0")</f>
        <v>6</v>
      </c>
      <c r="H307" s="797" t="s">
        <v>603</v>
      </c>
      <c r="I307" s="798">
        <v>42083</v>
      </c>
      <c r="J307" s="799">
        <f t="shared" ca="1" si="216"/>
        <v>2.8794520547945206</v>
      </c>
      <c r="K307" s="799">
        <f t="shared" ca="1" si="217"/>
        <v>35.033333333333331</v>
      </c>
      <c r="L307" s="800">
        <f t="shared" ca="1" si="218"/>
        <v>1051</v>
      </c>
      <c r="M307" s="801">
        <v>42752</v>
      </c>
      <c r="N307" s="802">
        <v>42752</v>
      </c>
      <c r="O307" s="803">
        <f t="shared" ca="1" si="219"/>
        <v>382</v>
      </c>
      <c r="P307" s="804">
        <v>1</v>
      </c>
      <c r="Q307" s="805" t="s">
        <v>1451</v>
      </c>
      <c r="R307" s="806" t="s">
        <v>2663</v>
      </c>
      <c r="S307" s="807">
        <v>42817</v>
      </c>
      <c r="T307" s="798">
        <v>42863</v>
      </c>
      <c r="U307" s="798" t="str">
        <f t="shared" si="220"/>
        <v>-</v>
      </c>
      <c r="V307" s="804" t="str">
        <f t="shared" ca="1" si="221"/>
        <v>-</v>
      </c>
      <c r="W307" s="808">
        <v>2</v>
      </c>
      <c r="X307" s="794">
        <f t="shared" si="214"/>
        <v>111</v>
      </c>
      <c r="Y307" s="794">
        <v>1</v>
      </c>
      <c r="Z307" s="809" t="str">
        <f t="shared" ca="1" si="222"/>
        <v>-----</v>
      </c>
      <c r="AA307" s="810" t="str">
        <f t="shared" ca="1" si="223"/>
        <v>-----</v>
      </c>
      <c r="AB307" s="804">
        <v>1</v>
      </c>
      <c r="AC307" s="811" t="str">
        <f t="shared" ca="1" si="224"/>
        <v>-----</v>
      </c>
      <c r="AD307" s="798">
        <v>42930</v>
      </c>
      <c r="AE307" s="794" t="str">
        <f t="shared" ca="1" si="225"/>
        <v>-</v>
      </c>
      <c r="AF307" s="798" t="str">
        <f t="shared" si="226"/>
        <v>-</v>
      </c>
      <c r="AG307" s="812" t="str">
        <f t="shared" si="227"/>
        <v>---------</v>
      </c>
      <c r="AH307" s="807">
        <v>42898</v>
      </c>
      <c r="AI307" s="807">
        <f t="shared" si="228"/>
        <v>43053</v>
      </c>
      <c r="AJ307" s="807">
        <f t="shared" si="229"/>
        <v>43083</v>
      </c>
      <c r="AK307" s="813"/>
      <c r="AL307" s="807">
        <f t="shared" si="230"/>
        <v>43122</v>
      </c>
      <c r="AM307" s="807">
        <f t="shared" si="231"/>
        <v>43143</v>
      </c>
      <c r="AN307" s="814">
        <f t="shared" ca="1" si="232"/>
        <v>-9</v>
      </c>
      <c r="AO307" s="815">
        <v>1</v>
      </c>
      <c r="AP307" s="816" t="str">
        <f t="shared" ca="1" si="233"/>
        <v>-</v>
      </c>
      <c r="AQ307" s="817"/>
      <c r="AR307" s="794" t="str">
        <f t="shared" si="234"/>
        <v>-</v>
      </c>
      <c r="AS307" s="818"/>
      <c r="AT307" s="794" t="str">
        <f t="shared" si="235"/>
        <v>-</v>
      </c>
      <c r="AU307" s="819"/>
      <c r="AV307" s="820"/>
      <c r="AW307" s="821"/>
      <c r="AX307" s="821"/>
      <c r="AY307" s="969" t="str">
        <f t="shared" si="236"/>
        <v>-</v>
      </c>
      <c r="AZ307" s="966" t="str">
        <f t="shared" si="237"/>
        <v>-</v>
      </c>
      <c r="BA307" s="971" t="str">
        <f t="shared" si="238"/>
        <v>-</v>
      </c>
      <c r="BB307" s="975"/>
      <c r="BC307" s="821"/>
      <c r="BD307" s="821"/>
      <c r="BE307" s="963" t="str">
        <f t="shared" si="239"/>
        <v>-</v>
      </c>
      <c r="BF307" s="984"/>
      <c r="BG307" s="988"/>
      <c r="BH307" s="982"/>
      <c r="BI307" s="991"/>
      <c r="BJ307" s="991"/>
      <c r="BK307" s="993" t="str">
        <f t="shared" si="240"/>
        <v>-</v>
      </c>
      <c r="BL307" s="820">
        <v>42981</v>
      </c>
      <c r="BM307" s="821">
        <v>5</v>
      </c>
      <c r="BN307" s="822">
        <f t="shared" ca="1" si="241"/>
        <v>153</v>
      </c>
      <c r="BO307" s="823">
        <f t="shared" si="242"/>
        <v>29.933333333333334</v>
      </c>
      <c r="BP307" s="824">
        <v>43001</v>
      </c>
      <c r="BQ307" s="821">
        <v>2</v>
      </c>
      <c r="BR307" s="822">
        <f t="shared" ca="1" si="243"/>
        <v>133</v>
      </c>
      <c r="BS307" s="823">
        <f t="shared" si="244"/>
        <v>8.3000000000000007</v>
      </c>
      <c r="BT307" s="825" t="str">
        <f t="shared" ca="1" si="245"/>
        <v>-</v>
      </c>
      <c r="BU307" s="826"/>
      <c r="BV307" s="827"/>
      <c r="BW307" s="828" t="str">
        <f t="shared" si="246"/>
        <v>Ж-Е НЕ ВАКЦ.</v>
      </c>
      <c r="BX307" s="829" t="str">
        <f t="shared" si="247"/>
        <v>-</v>
      </c>
      <c r="BY307" s="830" t="str">
        <f t="shared" ca="1" si="248"/>
        <v>-</v>
      </c>
      <c r="BZ307" s="831">
        <v>42887</v>
      </c>
      <c r="CA307" s="832">
        <v>5</v>
      </c>
      <c r="CB307" s="833">
        <f t="shared" ca="1" si="249"/>
        <v>247</v>
      </c>
      <c r="CC307" s="834" t="str">
        <f t="shared" ca="1" si="250"/>
        <v>-</v>
      </c>
      <c r="CD307" s="835">
        <f t="shared" si="251"/>
        <v>42908</v>
      </c>
      <c r="CE307" s="831">
        <v>42908</v>
      </c>
      <c r="CF307" s="832">
        <v>5</v>
      </c>
      <c r="CG307" s="833">
        <f t="shared" ca="1" si="252"/>
        <v>226</v>
      </c>
      <c r="CH307" s="836">
        <f t="shared" si="253"/>
        <v>0</v>
      </c>
      <c r="CI307" s="837" t="str">
        <f t="shared" si="254"/>
        <v>УСПЕШНО</v>
      </c>
      <c r="CJ307" s="838" t="str">
        <f t="shared" ca="1" si="255"/>
        <v>-</v>
      </c>
      <c r="CK307" s="831"/>
      <c r="CL307" s="832"/>
      <c r="CM307" s="833" t="str">
        <f t="shared" si="256"/>
        <v>-</v>
      </c>
      <c r="CN307" s="834" t="str">
        <f t="shared" si="257"/>
        <v>-</v>
      </c>
      <c r="CO307" s="830" t="str">
        <f t="shared" ca="1" si="258"/>
        <v>ТРЕБУЕТСЯ ВАКЦИНАЦИЯ</v>
      </c>
      <c r="CP307" s="839"/>
      <c r="CQ307" s="832"/>
      <c r="CR307" s="833" t="str">
        <f t="shared" si="259"/>
        <v>-</v>
      </c>
      <c r="CS307" s="833" t="str">
        <f t="shared" si="260"/>
        <v>-</v>
      </c>
      <c r="CT307" s="834" t="str">
        <f t="shared" si="261"/>
        <v>-</v>
      </c>
      <c r="CU307" s="835" t="str">
        <f t="shared" si="262"/>
        <v>-</v>
      </c>
      <c r="CV307" s="839"/>
      <c r="CW307" s="832"/>
      <c r="CX307" s="833" t="str">
        <f t="shared" si="263"/>
        <v>-</v>
      </c>
      <c r="CY307" s="840" t="str">
        <f t="shared" si="264"/>
        <v>-</v>
      </c>
      <c r="CZ307" s="833" t="str">
        <f t="shared" si="265"/>
        <v>-</v>
      </c>
      <c r="DA307" s="838" t="str">
        <f t="shared" ca="1" si="266"/>
        <v>-</v>
      </c>
      <c r="DB307" s="841"/>
      <c r="DC307" s="832"/>
    </row>
    <row r="308" spans="1:107" s="842" customFormat="1" ht="15.95" customHeight="1" x14ac:dyDescent="0.25">
      <c r="A308" s="790">
        <v>309</v>
      </c>
      <c r="B308" s="791">
        <f t="shared" ca="1" si="215"/>
        <v>43134</v>
      </c>
      <c r="C308" s="792" t="s">
        <v>613</v>
      </c>
      <c r="D308" s="793" t="s">
        <v>3203</v>
      </c>
      <c r="E308" s="794" t="s">
        <v>1126</v>
      </c>
      <c r="F308" s="795" t="s">
        <v>1044</v>
      </c>
      <c r="G308" s="796">
        <f>SUMIFS(МОЛОКО!L8:L6958,МОЛОКО!F8:F6958,"2625",МОЛОКО!L8:L6958,"&gt;0")</f>
        <v>9.4</v>
      </c>
      <c r="H308" s="797" t="s">
        <v>603</v>
      </c>
      <c r="I308" s="798">
        <v>42136</v>
      </c>
      <c r="J308" s="799">
        <f t="shared" ca="1" si="216"/>
        <v>2.7342465753424658</v>
      </c>
      <c r="K308" s="799">
        <f t="shared" ca="1" si="217"/>
        <v>33.266666666666666</v>
      </c>
      <c r="L308" s="800">
        <f t="shared" ca="1" si="218"/>
        <v>998</v>
      </c>
      <c r="M308" s="801">
        <v>42752</v>
      </c>
      <c r="N308" s="802">
        <v>42752</v>
      </c>
      <c r="O308" s="803">
        <f t="shared" ca="1" si="219"/>
        <v>382</v>
      </c>
      <c r="P308" s="804">
        <v>1</v>
      </c>
      <c r="Q308" s="805" t="s">
        <v>1451</v>
      </c>
      <c r="R308" s="806" t="s">
        <v>3020</v>
      </c>
      <c r="S308" s="807">
        <v>42817</v>
      </c>
      <c r="T308" s="798">
        <v>43022</v>
      </c>
      <c r="U308" s="798">
        <f t="shared" si="220"/>
        <v>43040</v>
      </c>
      <c r="V308" s="804">
        <f t="shared" ca="1" si="221"/>
        <v>94</v>
      </c>
      <c r="W308" s="808">
        <v>5</v>
      </c>
      <c r="X308" s="794">
        <f t="shared" si="214"/>
        <v>270</v>
      </c>
      <c r="Y308" s="794">
        <v>2</v>
      </c>
      <c r="Z308" s="809" t="str">
        <f t="shared" ca="1" si="222"/>
        <v>-----</v>
      </c>
      <c r="AA308" s="810">
        <f t="shared" ca="1" si="223"/>
        <v>112</v>
      </c>
      <c r="AB308" s="804"/>
      <c r="AC308" s="811" t="str">
        <f t="shared" ca="1" si="224"/>
        <v>-----</v>
      </c>
      <c r="AD308" s="798"/>
      <c r="AE308" s="794" t="str">
        <f t="shared" ca="1" si="225"/>
        <v>-</v>
      </c>
      <c r="AF308" s="798">
        <f t="shared" si="226"/>
        <v>43057</v>
      </c>
      <c r="AG308" s="812">
        <f t="shared" ca="1" si="227"/>
        <v>77</v>
      </c>
      <c r="AH308" s="807">
        <v>43052</v>
      </c>
      <c r="AI308" s="807" t="str">
        <f t="shared" si="228"/>
        <v>-</v>
      </c>
      <c r="AJ308" s="807" t="str">
        <f t="shared" si="229"/>
        <v>-</v>
      </c>
      <c r="AK308" s="813"/>
      <c r="AL308" s="807" t="str">
        <f t="shared" si="230"/>
        <v>-</v>
      </c>
      <c r="AM308" s="807" t="str">
        <f t="shared" si="231"/>
        <v>-</v>
      </c>
      <c r="AN308" s="814" t="str">
        <f t="shared" ca="1" si="232"/>
        <v>-</v>
      </c>
      <c r="AO308" s="815">
        <v>1</v>
      </c>
      <c r="AP308" s="816" t="str">
        <f t="shared" ca="1" si="233"/>
        <v>-</v>
      </c>
      <c r="AQ308" s="817"/>
      <c r="AR308" s="794" t="str">
        <f t="shared" si="234"/>
        <v>-</v>
      </c>
      <c r="AS308" s="818"/>
      <c r="AT308" s="794" t="str">
        <f t="shared" si="235"/>
        <v>-</v>
      </c>
      <c r="AU308" s="819"/>
      <c r="AV308" s="820"/>
      <c r="AW308" s="821"/>
      <c r="AX308" s="821"/>
      <c r="AY308" s="969" t="str">
        <f t="shared" si="236"/>
        <v>-</v>
      </c>
      <c r="AZ308" s="966" t="str">
        <f t="shared" si="237"/>
        <v>-</v>
      </c>
      <c r="BA308" s="971" t="str">
        <f t="shared" si="238"/>
        <v>-</v>
      </c>
      <c r="BB308" s="975"/>
      <c r="BC308" s="821"/>
      <c r="BD308" s="821"/>
      <c r="BE308" s="963" t="str">
        <f t="shared" si="239"/>
        <v>-</v>
      </c>
      <c r="BF308" s="984"/>
      <c r="BG308" s="988"/>
      <c r="BH308" s="982"/>
      <c r="BI308" s="991"/>
      <c r="BJ308" s="991"/>
      <c r="BK308" s="993" t="str">
        <f t="shared" si="240"/>
        <v>-</v>
      </c>
      <c r="BL308" s="820">
        <v>42981</v>
      </c>
      <c r="BM308" s="821">
        <v>5</v>
      </c>
      <c r="BN308" s="822">
        <f t="shared" ca="1" si="241"/>
        <v>153</v>
      </c>
      <c r="BO308" s="823">
        <f t="shared" si="242"/>
        <v>28.166666666666668</v>
      </c>
      <c r="BP308" s="824">
        <v>43001</v>
      </c>
      <c r="BQ308" s="821">
        <v>2</v>
      </c>
      <c r="BR308" s="822">
        <f t="shared" ca="1" si="243"/>
        <v>133</v>
      </c>
      <c r="BS308" s="823">
        <f t="shared" si="244"/>
        <v>8.3000000000000007</v>
      </c>
      <c r="BT308" s="825" t="str">
        <f t="shared" ca="1" si="245"/>
        <v>-</v>
      </c>
      <c r="BU308" s="826"/>
      <c r="BV308" s="827"/>
      <c r="BW308" s="828" t="str">
        <f t="shared" si="246"/>
        <v>Ж-Е НЕ ВАКЦ.</v>
      </c>
      <c r="BX308" s="829" t="str">
        <f t="shared" si="247"/>
        <v>-</v>
      </c>
      <c r="BY308" s="830" t="str">
        <f t="shared" ca="1" si="248"/>
        <v>-</v>
      </c>
      <c r="BZ308" s="831">
        <v>42887</v>
      </c>
      <c r="CA308" s="832">
        <v>5</v>
      </c>
      <c r="CB308" s="833">
        <f t="shared" ca="1" si="249"/>
        <v>247</v>
      </c>
      <c r="CC308" s="834" t="str">
        <f t="shared" ca="1" si="250"/>
        <v>-</v>
      </c>
      <c r="CD308" s="835">
        <f t="shared" si="251"/>
        <v>42908</v>
      </c>
      <c r="CE308" s="831">
        <v>42908</v>
      </c>
      <c r="CF308" s="832">
        <v>5</v>
      </c>
      <c r="CG308" s="833">
        <f t="shared" ca="1" si="252"/>
        <v>226</v>
      </c>
      <c r="CH308" s="836">
        <f t="shared" si="253"/>
        <v>0</v>
      </c>
      <c r="CI308" s="837" t="str">
        <f t="shared" si="254"/>
        <v>УСПЕШНО</v>
      </c>
      <c r="CJ308" s="838" t="str">
        <f t="shared" ca="1" si="255"/>
        <v>-</v>
      </c>
      <c r="CK308" s="831"/>
      <c r="CL308" s="832"/>
      <c r="CM308" s="833" t="str">
        <f t="shared" si="256"/>
        <v>-</v>
      </c>
      <c r="CN308" s="834" t="str">
        <f t="shared" si="257"/>
        <v>-</v>
      </c>
      <c r="CO308" s="830" t="str">
        <f t="shared" ca="1" si="258"/>
        <v>-</v>
      </c>
      <c r="CP308" s="839"/>
      <c r="CQ308" s="832"/>
      <c r="CR308" s="833" t="str">
        <f t="shared" si="259"/>
        <v>-</v>
      </c>
      <c r="CS308" s="833" t="str">
        <f t="shared" si="260"/>
        <v>-</v>
      </c>
      <c r="CT308" s="834" t="str">
        <f t="shared" si="261"/>
        <v>-</v>
      </c>
      <c r="CU308" s="835" t="str">
        <f t="shared" si="262"/>
        <v>-</v>
      </c>
      <c r="CV308" s="839"/>
      <c r="CW308" s="832"/>
      <c r="CX308" s="833" t="str">
        <f t="shared" si="263"/>
        <v>-</v>
      </c>
      <c r="CY308" s="840" t="str">
        <f t="shared" si="264"/>
        <v>-</v>
      </c>
      <c r="CZ308" s="833" t="str">
        <f t="shared" si="265"/>
        <v>-</v>
      </c>
      <c r="DA308" s="838" t="str">
        <f t="shared" ca="1" si="266"/>
        <v>-</v>
      </c>
      <c r="DB308" s="841"/>
      <c r="DC308" s="832"/>
    </row>
    <row r="309" spans="1:107" s="842" customFormat="1" ht="15.95" customHeight="1" x14ac:dyDescent="0.25">
      <c r="A309" s="790">
        <v>310</v>
      </c>
      <c r="B309" s="791">
        <f t="shared" ca="1" si="215"/>
        <v>43134</v>
      </c>
      <c r="C309" s="792" t="s">
        <v>613</v>
      </c>
      <c r="D309" s="793" t="s">
        <v>3203</v>
      </c>
      <c r="E309" s="794" t="s">
        <v>1827</v>
      </c>
      <c r="F309" s="862" t="s">
        <v>1825</v>
      </c>
      <c r="G309" s="796">
        <f>SUMIFS(МОЛОКО!L8:L6958,МОЛОКО!F8:F6958,"2659",МОЛОКО!L8:L6958,"&gt;0")</f>
        <v>14.6</v>
      </c>
      <c r="H309" s="797" t="s">
        <v>603</v>
      </c>
      <c r="I309" s="798">
        <v>42199</v>
      </c>
      <c r="J309" s="799">
        <f t="shared" ca="1" si="216"/>
        <v>2.5616438356164384</v>
      </c>
      <c r="K309" s="799">
        <f t="shared" ca="1" si="217"/>
        <v>31.166666666666668</v>
      </c>
      <c r="L309" s="800">
        <f t="shared" ca="1" si="218"/>
        <v>935</v>
      </c>
      <c r="M309" s="801">
        <v>42865</v>
      </c>
      <c r="N309" s="802">
        <v>42865</v>
      </c>
      <c r="O309" s="803">
        <f t="shared" ca="1" si="219"/>
        <v>269</v>
      </c>
      <c r="P309" s="804">
        <v>1</v>
      </c>
      <c r="Q309" s="805"/>
      <c r="R309" s="806"/>
      <c r="S309" s="807"/>
      <c r="T309" s="798"/>
      <c r="U309" s="798" t="str">
        <f t="shared" si="220"/>
        <v>-</v>
      </c>
      <c r="V309" s="804" t="str">
        <f t="shared" ca="1" si="221"/>
        <v>-</v>
      </c>
      <c r="W309" s="808">
        <v>0</v>
      </c>
      <c r="X309" s="794" t="str">
        <f t="shared" si="214"/>
        <v>-</v>
      </c>
      <c r="Y309" s="794">
        <v>0</v>
      </c>
      <c r="Z309" s="809" t="str">
        <f t="shared" ca="1" si="222"/>
        <v>-----</v>
      </c>
      <c r="AA309" s="810">
        <f t="shared" ca="1" si="223"/>
        <v>43134</v>
      </c>
      <c r="AB309" s="804"/>
      <c r="AC309" s="811" t="str">
        <f t="shared" ca="1" si="224"/>
        <v>-----</v>
      </c>
      <c r="AD309" s="798"/>
      <c r="AE309" s="794" t="str">
        <f t="shared" ca="1" si="225"/>
        <v>яловая</v>
      </c>
      <c r="AF309" s="798" t="str">
        <f t="shared" si="226"/>
        <v>-</v>
      </c>
      <c r="AG309" s="812" t="str">
        <f t="shared" si="227"/>
        <v>---------</v>
      </c>
      <c r="AH309" s="807"/>
      <c r="AI309" s="807" t="str">
        <f t="shared" si="228"/>
        <v>-</v>
      </c>
      <c r="AJ309" s="807" t="str">
        <f t="shared" si="229"/>
        <v>-</v>
      </c>
      <c r="AK309" s="813"/>
      <c r="AL309" s="807" t="str">
        <f t="shared" si="230"/>
        <v>-</v>
      </c>
      <c r="AM309" s="807" t="str">
        <f t="shared" si="231"/>
        <v>-</v>
      </c>
      <c r="AN309" s="814" t="str">
        <f t="shared" ca="1" si="232"/>
        <v>-</v>
      </c>
      <c r="AO309" s="815">
        <v>1</v>
      </c>
      <c r="AP309" s="816" t="str">
        <f t="shared" ca="1" si="233"/>
        <v>-</v>
      </c>
      <c r="AQ309" s="817" t="s">
        <v>1863</v>
      </c>
      <c r="AR309" s="794" t="str">
        <f t="shared" si="234"/>
        <v>-</v>
      </c>
      <c r="AS309" s="818"/>
      <c r="AT309" s="794" t="str">
        <f t="shared" si="235"/>
        <v>-</v>
      </c>
      <c r="AU309" s="819"/>
      <c r="AV309" s="820"/>
      <c r="AW309" s="821"/>
      <c r="AX309" s="821"/>
      <c r="AY309" s="969" t="str">
        <f t="shared" si="236"/>
        <v>-</v>
      </c>
      <c r="AZ309" s="966" t="str">
        <f t="shared" si="237"/>
        <v>-</v>
      </c>
      <c r="BA309" s="971" t="str">
        <f t="shared" si="238"/>
        <v>-</v>
      </c>
      <c r="BB309" s="975"/>
      <c r="BC309" s="821"/>
      <c r="BD309" s="821"/>
      <c r="BE309" s="963" t="str">
        <f t="shared" si="239"/>
        <v>-</v>
      </c>
      <c r="BF309" s="984"/>
      <c r="BG309" s="988"/>
      <c r="BH309" s="982"/>
      <c r="BI309" s="991"/>
      <c r="BJ309" s="991"/>
      <c r="BK309" s="993" t="str">
        <f t="shared" si="240"/>
        <v>-</v>
      </c>
      <c r="BL309" s="820">
        <v>42980</v>
      </c>
      <c r="BM309" s="821">
        <v>5</v>
      </c>
      <c r="BN309" s="822">
        <f t="shared" ca="1" si="241"/>
        <v>154</v>
      </c>
      <c r="BO309" s="823">
        <f t="shared" si="242"/>
        <v>26.033333333333335</v>
      </c>
      <c r="BP309" s="824">
        <v>43001</v>
      </c>
      <c r="BQ309" s="821">
        <v>2</v>
      </c>
      <c r="BR309" s="822">
        <f t="shared" ca="1" si="243"/>
        <v>133</v>
      </c>
      <c r="BS309" s="823">
        <f t="shared" si="244"/>
        <v>4.5333333333333332</v>
      </c>
      <c r="BT309" s="825" t="str">
        <f t="shared" ca="1" si="245"/>
        <v>-</v>
      </c>
      <c r="BU309" s="826"/>
      <c r="BV309" s="827"/>
      <c r="BW309" s="828" t="str">
        <f t="shared" si="246"/>
        <v>Ж-Е НЕ ВАКЦ.</v>
      </c>
      <c r="BX309" s="829" t="str">
        <f t="shared" si="247"/>
        <v>-</v>
      </c>
      <c r="BY309" s="830" t="str">
        <f t="shared" ca="1" si="248"/>
        <v>-</v>
      </c>
      <c r="BZ309" s="831">
        <v>42888</v>
      </c>
      <c r="CA309" s="832">
        <v>5</v>
      </c>
      <c r="CB309" s="833">
        <f t="shared" ca="1" si="249"/>
        <v>246</v>
      </c>
      <c r="CC309" s="834" t="str">
        <f t="shared" ca="1" si="250"/>
        <v>-</v>
      </c>
      <c r="CD309" s="835">
        <f t="shared" si="251"/>
        <v>42909</v>
      </c>
      <c r="CE309" s="831">
        <v>42909</v>
      </c>
      <c r="CF309" s="832">
        <v>5</v>
      </c>
      <c r="CG309" s="833">
        <f t="shared" ca="1" si="252"/>
        <v>225</v>
      </c>
      <c r="CH309" s="836">
        <f t="shared" si="253"/>
        <v>0</v>
      </c>
      <c r="CI309" s="837" t="str">
        <f t="shared" si="254"/>
        <v>УСПЕШНО</v>
      </c>
      <c r="CJ309" s="838" t="str">
        <f t="shared" ca="1" si="255"/>
        <v>-</v>
      </c>
      <c r="CK309" s="831"/>
      <c r="CL309" s="832"/>
      <c r="CM309" s="833" t="str">
        <f t="shared" si="256"/>
        <v>-</v>
      </c>
      <c r="CN309" s="834" t="str">
        <f t="shared" si="257"/>
        <v>-</v>
      </c>
      <c r="CO309" s="830" t="str">
        <f t="shared" ca="1" si="258"/>
        <v>-</v>
      </c>
      <c r="CP309" s="839"/>
      <c r="CQ309" s="832"/>
      <c r="CR309" s="833" t="str">
        <f t="shared" si="259"/>
        <v>-</v>
      </c>
      <c r="CS309" s="833" t="str">
        <f t="shared" si="260"/>
        <v>-</v>
      </c>
      <c r="CT309" s="834" t="str">
        <f t="shared" si="261"/>
        <v>-</v>
      </c>
      <c r="CU309" s="835" t="str">
        <f t="shared" si="262"/>
        <v>-</v>
      </c>
      <c r="CV309" s="839"/>
      <c r="CW309" s="832"/>
      <c r="CX309" s="833" t="str">
        <f t="shared" si="263"/>
        <v>-</v>
      </c>
      <c r="CY309" s="840" t="str">
        <f t="shared" si="264"/>
        <v>-</v>
      </c>
      <c r="CZ309" s="833" t="str">
        <f t="shared" si="265"/>
        <v>-</v>
      </c>
      <c r="DA309" s="838" t="str">
        <f t="shared" ca="1" si="266"/>
        <v>-</v>
      </c>
      <c r="DB309" s="841"/>
      <c r="DC309" s="832"/>
    </row>
    <row r="310" spans="1:107" s="842" customFormat="1" ht="15.95" customHeight="1" x14ac:dyDescent="0.25">
      <c r="A310" s="790">
        <v>311</v>
      </c>
      <c r="B310" s="791">
        <f t="shared" ca="1" si="215"/>
        <v>43134</v>
      </c>
      <c r="C310" s="29" t="s">
        <v>613</v>
      </c>
      <c r="D310" s="59" t="s">
        <v>3203</v>
      </c>
      <c r="E310" s="794" t="s">
        <v>1449</v>
      </c>
      <c r="F310" s="795" t="s">
        <v>1821</v>
      </c>
      <c r="G310" s="796">
        <f>SUMIFS(МОЛОКО!L8:L6958,МОЛОКО!F8:F6958,"2707",МОЛОКО!L8:L6958,"&gt;0")</f>
        <v>15.9</v>
      </c>
      <c r="H310" s="797" t="s">
        <v>603</v>
      </c>
      <c r="I310" s="798">
        <v>42273</v>
      </c>
      <c r="J310" s="799">
        <f t="shared" ca="1" si="216"/>
        <v>2.3589041095890413</v>
      </c>
      <c r="K310" s="799">
        <f t="shared" ca="1" si="217"/>
        <v>28.7</v>
      </c>
      <c r="L310" s="800">
        <f t="shared" ca="1" si="218"/>
        <v>861</v>
      </c>
      <c r="M310" s="801">
        <v>42864</v>
      </c>
      <c r="N310" s="802">
        <v>42864</v>
      </c>
      <c r="O310" s="803">
        <f t="shared" ca="1" si="219"/>
        <v>270</v>
      </c>
      <c r="P310" s="804">
        <v>1</v>
      </c>
      <c r="Q310" s="805" t="s">
        <v>2366</v>
      </c>
      <c r="R310" s="806" t="s">
        <v>2269</v>
      </c>
      <c r="S310" s="807">
        <v>42922</v>
      </c>
      <c r="T310" s="798">
        <v>42922</v>
      </c>
      <c r="U310" s="798" t="str">
        <f t="shared" si="220"/>
        <v>-</v>
      </c>
      <c r="V310" s="804" t="str">
        <f t="shared" ca="1" si="221"/>
        <v>-</v>
      </c>
      <c r="W310" s="808">
        <v>1</v>
      </c>
      <c r="X310" s="794">
        <f t="shared" ref="X310:X373" si="267">IF(AND(N310&gt;0,T310&gt;0),T310-N310,"-")</f>
        <v>58</v>
      </c>
      <c r="Y310" s="794">
        <v>1</v>
      </c>
      <c r="Z310" s="809" t="str">
        <f t="shared" ca="1" si="222"/>
        <v>-----</v>
      </c>
      <c r="AA310" s="810" t="str">
        <f t="shared" ca="1" si="223"/>
        <v>-----</v>
      </c>
      <c r="AB310" s="804">
        <v>1</v>
      </c>
      <c r="AC310" s="811" t="str">
        <f t="shared" ca="1" si="224"/>
        <v>-----</v>
      </c>
      <c r="AD310" s="798">
        <v>42995</v>
      </c>
      <c r="AE310" s="794" t="str">
        <f t="shared" ca="1" si="225"/>
        <v>-</v>
      </c>
      <c r="AF310" s="798" t="str">
        <f t="shared" si="226"/>
        <v>-</v>
      </c>
      <c r="AG310" s="812" t="str">
        <f t="shared" si="227"/>
        <v>---------</v>
      </c>
      <c r="AH310" s="807">
        <v>42958</v>
      </c>
      <c r="AI310" s="807">
        <f t="shared" si="228"/>
        <v>43112</v>
      </c>
      <c r="AJ310" s="807">
        <f t="shared" si="229"/>
        <v>43142</v>
      </c>
      <c r="AK310" s="813"/>
      <c r="AL310" s="807">
        <f t="shared" si="230"/>
        <v>43181</v>
      </c>
      <c r="AM310" s="807">
        <f t="shared" si="231"/>
        <v>43202</v>
      </c>
      <c r="AN310" s="814">
        <f t="shared" ca="1" si="232"/>
        <v>-68</v>
      </c>
      <c r="AO310" s="815">
        <v>1</v>
      </c>
      <c r="AP310" s="816" t="str">
        <f t="shared" ca="1" si="233"/>
        <v>-</v>
      </c>
      <c r="AQ310" s="817"/>
      <c r="AR310" s="794" t="str">
        <f t="shared" si="234"/>
        <v>-</v>
      </c>
      <c r="AS310" s="818"/>
      <c r="AT310" s="794" t="str">
        <f t="shared" si="235"/>
        <v>-</v>
      </c>
      <c r="AU310" s="819"/>
      <c r="AV310" s="820"/>
      <c r="AW310" s="821"/>
      <c r="AX310" s="821"/>
      <c r="AY310" s="969" t="str">
        <f t="shared" si="236"/>
        <v>-</v>
      </c>
      <c r="AZ310" s="966" t="str">
        <f t="shared" si="237"/>
        <v>-</v>
      </c>
      <c r="BA310" s="971" t="str">
        <f t="shared" si="238"/>
        <v>-</v>
      </c>
      <c r="BB310" s="975"/>
      <c r="BC310" s="821"/>
      <c r="BD310" s="821"/>
      <c r="BE310" s="963" t="str">
        <f t="shared" si="239"/>
        <v>-</v>
      </c>
      <c r="BF310" s="984"/>
      <c r="BG310" s="988"/>
      <c r="BH310" s="982"/>
      <c r="BI310" s="991"/>
      <c r="BJ310" s="991"/>
      <c r="BK310" s="993" t="str">
        <f t="shared" si="240"/>
        <v>-</v>
      </c>
      <c r="BL310" s="820">
        <v>42980</v>
      </c>
      <c r="BM310" s="821">
        <v>5</v>
      </c>
      <c r="BN310" s="822">
        <f t="shared" ca="1" si="241"/>
        <v>154</v>
      </c>
      <c r="BO310" s="823">
        <f t="shared" si="242"/>
        <v>23.566666666666666</v>
      </c>
      <c r="BP310" s="824">
        <v>43001</v>
      </c>
      <c r="BQ310" s="821">
        <v>2</v>
      </c>
      <c r="BR310" s="822">
        <f t="shared" ca="1" si="243"/>
        <v>133</v>
      </c>
      <c r="BS310" s="823">
        <f t="shared" si="244"/>
        <v>4.5666666666666664</v>
      </c>
      <c r="BT310" s="825" t="str">
        <f t="shared" ca="1" si="245"/>
        <v>-</v>
      </c>
      <c r="BU310" s="826"/>
      <c r="BV310" s="827"/>
      <c r="BW310" s="828" t="str">
        <f t="shared" si="246"/>
        <v>Ж-Е НЕ ВАКЦ.</v>
      </c>
      <c r="BX310" s="829" t="str">
        <f t="shared" si="247"/>
        <v>-</v>
      </c>
      <c r="BY310" s="830" t="str">
        <f t="shared" ca="1" si="248"/>
        <v>-</v>
      </c>
      <c r="BZ310" s="831">
        <v>42888</v>
      </c>
      <c r="CA310" s="832">
        <v>5</v>
      </c>
      <c r="CB310" s="833">
        <f t="shared" ca="1" si="249"/>
        <v>246</v>
      </c>
      <c r="CC310" s="834" t="str">
        <f t="shared" ca="1" si="250"/>
        <v>-</v>
      </c>
      <c r="CD310" s="835">
        <f t="shared" si="251"/>
        <v>42909</v>
      </c>
      <c r="CE310" s="831">
        <v>42909</v>
      </c>
      <c r="CF310" s="832">
        <v>5</v>
      </c>
      <c r="CG310" s="833">
        <f t="shared" ca="1" si="252"/>
        <v>225</v>
      </c>
      <c r="CH310" s="836">
        <f t="shared" si="253"/>
        <v>0</v>
      </c>
      <c r="CI310" s="837" t="str">
        <f t="shared" si="254"/>
        <v>УСПЕШНО</v>
      </c>
      <c r="CJ310" s="838" t="str">
        <f t="shared" ca="1" si="255"/>
        <v>-</v>
      </c>
      <c r="CK310" s="831"/>
      <c r="CL310" s="832"/>
      <c r="CM310" s="833" t="str">
        <f t="shared" si="256"/>
        <v>-</v>
      </c>
      <c r="CN310" s="834" t="str">
        <f t="shared" si="257"/>
        <v>-</v>
      </c>
      <c r="CO310" s="830" t="str">
        <f t="shared" ca="1" si="258"/>
        <v>ТРЕБУЕТСЯ ВАКЦИНАЦИЯ</v>
      </c>
      <c r="CP310" s="839"/>
      <c r="CQ310" s="832"/>
      <c r="CR310" s="833" t="str">
        <f t="shared" si="259"/>
        <v>-</v>
      </c>
      <c r="CS310" s="833" t="str">
        <f t="shared" si="260"/>
        <v>-</v>
      </c>
      <c r="CT310" s="834" t="str">
        <f t="shared" si="261"/>
        <v>-</v>
      </c>
      <c r="CU310" s="835" t="str">
        <f t="shared" si="262"/>
        <v>-</v>
      </c>
      <c r="CV310" s="839"/>
      <c r="CW310" s="832"/>
      <c r="CX310" s="833" t="str">
        <f t="shared" si="263"/>
        <v>-</v>
      </c>
      <c r="CY310" s="840" t="str">
        <f t="shared" si="264"/>
        <v>-</v>
      </c>
      <c r="CZ310" s="833" t="str">
        <f t="shared" si="265"/>
        <v>-</v>
      </c>
      <c r="DA310" s="838" t="str">
        <f t="shared" ca="1" si="266"/>
        <v>-</v>
      </c>
      <c r="DB310" s="841"/>
      <c r="DC310" s="832"/>
    </row>
    <row r="311" spans="1:107" s="842" customFormat="1" ht="15.95" customHeight="1" x14ac:dyDescent="0.25">
      <c r="A311" s="790">
        <v>312</v>
      </c>
      <c r="B311" s="791">
        <f t="shared" ca="1" si="215"/>
        <v>43134</v>
      </c>
      <c r="C311" s="792" t="s">
        <v>613</v>
      </c>
      <c r="D311" s="793" t="s">
        <v>3203</v>
      </c>
      <c r="E311" s="794" t="s">
        <v>375</v>
      </c>
      <c r="F311" s="795" t="s">
        <v>1379</v>
      </c>
      <c r="G311" s="796">
        <f>SUMIFS(МОЛОКО!L8:L6958,МОЛОКО!F8:F6958,"13213",МОЛОКО!L8:L6958,"&gt;0")</f>
        <v>11.1</v>
      </c>
      <c r="H311" s="797" t="s">
        <v>87</v>
      </c>
      <c r="I311" s="798">
        <v>41467</v>
      </c>
      <c r="J311" s="799">
        <f t="shared" ca="1" si="216"/>
        <v>4.5671232876712331</v>
      </c>
      <c r="K311" s="799">
        <f t="shared" ca="1" si="217"/>
        <v>55.56666666666667</v>
      </c>
      <c r="L311" s="800">
        <f t="shared" ca="1" si="218"/>
        <v>1667</v>
      </c>
      <c r="M311" s="801">
        <v>42473</v>
      </c>
      <c r="N311" s="802">
        <v>42473</v>
      </c>
      <c r="O311" s="803">
        <f t="shared" ca="1" si="219"/>
        <v>661</v>
      </c>
      <c r="P311" s="804">
        <v>1</v>
      </c>
      <c r="Q311" s="805" t="s">
        <v>1451</v>
      </c>
      <c r="R311" s="806" t="s">
        <v>1820</v>
      </c>
      <c r="S311" s="807">
        <v>42573</v>
      </c>
      <c r="T311" s="798">
        <v>42677</v>
      </c>
      <c r="U311" s="798" t="str">
        <f t="shared" si="220"/>
        <v>-</v>
      </c>
      <c r="V311" s="804" t="str">
        <f t="shared" ca="1" si="221"/>
        <v>-</v>
      </c>
      <c r="W311" s="808">
        <v>3</v>
      </c>
      <c r="X311" s="794">
        <f t="shared" si="267"/>
        <v>204</v>
      </c>
      <c r="Y311" s="794">
        <v>0</v>
      </c>
      <c r="Z311" s="809" t="str">
        <f t="shared" ca="1" si="222"/>
        <v>-----</v>
      </c>
      <c r="AA311" s="810">
        <f t="shared" ca="1" si="223"/>
        <v>457</v>
      </c>
      <c r="AB311" s="804"/>
      <c r="AC311" s="811" t="str">
        <f t="shared" ca="1" si="224"/>
        <v>-----</v>
      </c>
      <c r="AD311" s="798"/>
      <c r="AE311" s="794" t="str">
        <f t="shared" ca="1" si="225"/>
        <v>яловая</v>
      </c>
      <c r="AF311" s="798" t="str">
        <f t="shared" si="226"/>
        <v>-</v>
      </c>
      <c r="AG311" s="812" t="str">
        <f t="shared" si="227"/>
        <v>---------</v>
      </c>
      <c r="AH311" s="807">
        <v>42803</v>
      </c>
      <c r="AI311" s="807" t="str">
        <f t="shared" si="228"/>
        <v>-</v>
      </c>
      <c r="AJ311" s="807" t="str">
        <f t="shared" si="229"/>
        <v>-</v>
      </c>
      <c r="AK311" s="813"/>
      <c r="AL311" s="807" t="str">
        <f t="shared" si="230"/>
        <v>-</v>
      </c>
      <c r="AM311" s="807" t="str">
        <f t="shared" si="231"/>
        <v>-</v>
      </c>
      <c r="AN311" s="814" t="str">
        <f t="shared" ca="1" si="232"/>
        <v>-</v>
      </c>
      <c r="AO311" s="815">
        <v>1</v>
      </c>
      <c r="AP311" s="816" t="str">
        <f t="shared" ca="1" si="233"/>
        <v>БРАК</v>
      </c>
      <c r="AQ311" s="817" t="s">
        <v>1863</v>
      </c>
      <c r="AR311" s="794" t="str">
        <f t="shared" si="234"/>
        <v>-</v>
      </c>
      <c r="AS311" s="818"/>
      <c r="AT311" s="794" t="str">
        <f t="shared" si="235"/>
        <v>-</v>
      </c>
      <c r="AU311" s="819"/>
      <c r="AV311" s="820"/>
      <c r="AW311" s="821"/>
      <c r="AX311" s="821"/>
      <c r="AY311" s="969" t="str">
        <f t="shared" si="236"/>
        <v>-</v>
      </c>
      <c r="AZ311" s="966" t="str">
        <f t="shared" si="237"/>
        <v>-</v>
      </c>
      <c r="BA311" s="971" t="str">
        <f t="shared" si="238"/>
        <v>-</v>
      </c>
      <c r="BB311" s="975"/>
      <c r="BC311" s="821"/>
      <c r="BD311" s="821"/>
      <c r="BE311" s="963" t="str">
        <f t="shared" si="239"/>
        <v>-</v>
      </c>
      <c r="BF311" s="984"/>
      <c r="BG311" s="988"/>
      <c r="BH311" s="982"/>
      <c r="BI311" s="991"/>
      <c r="BJ311" s="991"/>
      <c r="BK311" s="993" t="str">
        <f t="shared" si="240"/>
        <v>-</v>
      </c>
      <c r="BL311" s="820">
        <v>42981</v>
      </c>
      <c r="BM311" s="821">
        <v>5</v>
      </c>
      <c r="BN311" s="822">
        <f t="shared" ca="1" si="241"/>
        <v>153</v>
      </c>
      <c r="BO311" s="823">
        <f t="shared" si="242"/>
        <v>50.466666666666669</v>
      </c>
      <c r="BP311" s="824"/>
      <c r="BQ311" s="821"/>
      <c r="BR311" s="822" t="str">
        <f t="shared" si="243"/>
        <v>-</v>
      </c>
      <c r="BS311" s="823" t="str">
        <f t="shared" si="244"/>
        <v>-</v>
      </c>
      <c r="BT311" s="825" t="str">
        <f t="shared" ca="1" si="245"/>
        <v>-</v>
      </c>
      <c r="BU311" s="826"/>
      <c r="BV311" s="827"/>
      <c r="BW311" s="828" t="str">
        <f t="shared" si="246"/>
        <v>Ж-Е НЕ ВАКЦ.</v>
      </c>
      <c r="BX311" s="829" t="str">
        <f t="shared" si="247"/>
        <v>-</v>
      </c>
      <c r="BY311" s="830" t="str">
        <f t="shared" ca="1" si="248"/>
        <v>-</v>
      </c>
      <c r="BZ311" s="831">
        <v>42887</v>
      </c>
      <c r="CA311" s="832">
        <v>5</v>
      </c>
      <c r="CB311" s="833">
        <f t="shared" ca="1" si="249"/>
        <v>247</v>
      </c>
      <c r="CC311" s="834" t="str">
        <f t="shared" ca="1" si="250"/>
        <v>-</v>
      </c>
      <c r="CD311" s="835">
        <f t="shared" si="251"/>
        <v>42908</v>
      </c>
      <c r="CE311" s="831">
        <v>42908</v>
      </c>
      <c r="CF311" s="832">
        <v>5</v>
      </c>
      <c r="CG311" s="833">
        <f t="shared" ca="1" si="252"/>
        <v>226</v>
      </c>
      <c r="CH311" s="836">
        <f t="shared" si="253"/>
        <v>0</v>
      </c>
      <c r="CI311" s="837" t="str">
        <f t="shared" si="254"/>
        <v>УСПЕШНО</v>
      </c>
      <c r="CJ311" s="838" t="str">
        <f t="shared" ca="1" si="255"/>
        <v>-</v>
      </c>
      <c r="CK311" s="831"/>
      <c r="CL311" s="832"/>
      <c r="CM311" s="833" t="str">
        <f t="shared" si="256"/>
        <v>-</v>
      </c>
      <c r="CN311" s="834" t="str">
        <f t="shared" si="257"/>
        <v>-</v>
      </c>
      <c r="CO311" s="830" t="str">
        <f t="shared" ca="1" si="258"/>
        <v>-</v>
      </c>
      <c r="CP311" s="839"/>
      <c r="CQ311" s="832"/>
      <c r="CR311" s="833" t="str">
        <f t="shared" si="259"/>
        <v>-</v>
      </c>
      <c r="CS311" s="833" t="str">
        <f t="shared" si="260"/>
        <v>-</v>
      </c>
      <c r="CT311" s="834" t="str">
        <f t="shared" si="261"/>
        <v>-</v>
      </c>
      <c r="CU311" s="835" t="str">
        <f t="shared" si="262"/>
        <v>-</v>
      </c>
      <c r="CV311" s="839"/>
      <c r="CW311" s="832"/>
      <c r="CX311" s="833" t="str">
        <f t="shared" si="263"/>
        <v>-</v>
      </c>
      <c r="CY311" s="840" t="str">
        <f t="shared" si="264"/>
        <v>-</v>
      </c>
      <c r="CZ311" s="833" t="str">
        <f t="shared" si="265"/>
        <v>-</v>
      </c>
      <c r="DA311" s="838" t="str">
        <f t="shared" ca="1" si="266"/>
        <v>-</v>
      </c>
      <c r="DB311" s="841"/>
      <c r="DC311" s="832"/>
    </row>
    <row r="312" spans="1:107" s="842" customFormat="1" ht="15.95" customHeight="1" x14ac:dyDescent="0.25">
      <c r="A312" s="790">
        <v>313</v>
      </c>
      <c r="B312" s="791">
        <f t="shared" ca="1" si="215"/>
        <v>43134</v>
      </c>
      <c r="C312" s="792" t="s">
        <v>613</v>
      </c>
      <c r="D312" s="793" t="s">
        <v>3203</v>
      </c>
      <c r="E312" s="794" t="s">
        <v>574</v>
      </c>
      <c r="F312" s="795" t="s">
        <v>936</v>
      </c>
      <c r="G312" s="796">
        <f>SUMIFS(МОЛОКО!L8:L6958,МОЛОКО!F8:F6958,"13311",МОЛОКО!L8:L6958,"&gt;0")</f>
        <v>8.6000000000000014</v>
      </c>
      <c r="H312" s="797" t="s">
        <v>620</v>
      </c>
      <c r="I312" s="798">
        <v>41520</v>
      </c>
      <c r="J312" s="799">
        <f t="shared" ca="1" si="216"/>
        <v>4.4219178082191783</v>
      </c>
      <c r="K312" s="799">
        <f t="shared" ca="1" si="217"/>
        <v>53.8</v>
      </c>
      <c r="L312" s="800">
        <f t="shared" ca="1" si="218"/>
        <v>1614</v>
      </c>
      <c r="M312" s="846">
        <v>42442</v>
      </c>
      <c r="N312" s="802">
        <v>42789</v>
      </c>
      <c r="O312" s="803">
        <f t="shared" ca="1" si="219"/>
        <v>345</v>
      </c>
      <c r="P312" s="804">
        <v>2</v>
      </c>
      <c r="Q312" s="805" t="s">
        <v>2366</v>
      </c>
      <c r="R312" s="806" t="s">
        <v>2335</v>
      </c>
      <c r="S312" s="807">
        <v>42859</v>
      </c>
      <c r="T312" s="798">
        <v>42859</v>
      </c>
      <c r="U312" s="798" t="str">
        <f t="shared" si="220"/>
        <v>-</v>
      </c>
      <c r="V312" s="804" t="str">
        <f t="shared" ca="1" si="221"/>
        <v>-</v>
      </c>
      <c r="W312" s="808">
        <v>1</v>
      </c>
      <c r="X312" s="794">
        <f t="shared" si="267"/>
        <v>70</v>
      </c>
      <c r="Y312" s="794">
        <v>1</v>
      </c>
      <c r="Z312" s="809" t="str">
        <f t="shared" ca="1" si="222"/>
        <v>-----</v>
      </c>
      <c r="AA312" s="810" t="str">
        <f t="shared" ca="1" si="223"/>
        <v>-----</v>
      </c>
      <c r="AB312" s="804">
        <v>1</v>
      </c>
      <c r="AC312" s="811" t="str">
        <f t="shared" ca="1" si="224"/>
        <v>-----</v>
      </c>
      <c r="AD312" s="798">
        <v>42930</v>
      </c>
      <c r="AE312" s="794" t="str">
        <f t="shared" ca="1" si="225"/>
        <v>-</v>
      </c>
      <c r="AF312" s="798" t="str">
        <f t="shared" si="226"/>
        <v>-</v>
      </c>
      <c r="AG312" s="812" t="str">
        <f t="shared" si="227"/>
        <v>---------</v>
      </c>
      <c r="AH312" s="807">
        <v>42893</v>
      </c>
      <c r="AI312" s="807">
        <f t="shared" si="228"/>
        <v>43049</v>
      </c>
      <c r="AJ312" s="807">
        <f t="shared" si="229"/>
        <v>43079</v>
      </c>
      <c r="AK312" s="813"/>
      <c r="AL312" s="807">
        <f t="shared" si="230"/>
        <v>43118</v>
      </c>
      <c r="AM312" s="807">
        <f t="shared" si="231"/>
        <v>43139</v>
      </c>
      <c r="AN312" s="814">
        <f t="shared" ca="1" si="232"/>
        <v>-5</v>
      </c>
      <c r="AO312" s="815">
        <v>1</v>
      </c>
      <c r="AP312" s="816" t="str">
        <f t="shared" ca="1" si="233"/>
        <v>-</v>
      </c>
      <c r="AQ312" s="817"/>
      <c r="AR312" s="794" t="str">
        <f t="shared" si="234"/>
        <v>-</v>
      </c>
      <c r="AS312" s="818"/>
      <c r="AT312" s="794" t="str">
        <f t="shared" si="235"/>
        <v>-</v>
      </c>
      <c r="AU312" s="819"/>
      <c r="AV312" s="820"/>
      <c r="AW312" s="821"/>
      <c r="AX312" s="821"/>
      <c r="AY312" s="969" t="str">
        <f t="shared" si="236"/>
        <v>-</v>
      </c>
      <c r="AZ312" s="966" t="str">
        <f t="shared" si="237"/>
        <v>-</v>
      </c>
      <c r="BA312" s="971" t="str">
        <f t="shared" si="238"/>
        <v>-</v>
      </c>
      <c r="BB312" s="975"/>
      <c r="BC312" s="821"/>
      <c r="BD312" s="821"/>
      <c r="BE312" s="963" t="str">
        <f t="shared" si="239"/>
        <v>-</v>
      </c>
      <c r="BF312" s="984"/>
      <c r="BG312" s="988"/>
      <c r="BH312" s="982"/>
      <c r="BI312" s="991"/>
      <c r="BJ312" s="991"/>
      <c r="BK312" s="993" t="str">
        <f t="shared" si="240"/>
        <v>-</v>
      </c>
      <c r="BL312" s="820">
        <v>42981</v>
      </c>
      <c r="BM312" s="821">
        <v>5</v>
      </c>
      <c r="BN312" s="822">
        <f t="shared" ca="1" si="241"/>
        <v>153</v>
      </c>
      <c r="BO312" s="823">
        <f t="shared" si="242"/>
        <v>48.7</v>
      </c>
      <c r="BP312" s="824">
        <v>43001</v>
      </c>
      <c r="BQ312" s="821">
        <v>2</v>
      </c>
      <c r="BR312" s="822">
        <f t="shared" ca="1" si="243"/>
        <v>133</v>
      </c>
      <c r="BS312" s="823">
        <f t="shared" si="244"/>
        <v>18.633333333333333</v>
      </c>
      <c r="BT312" s="825" t="str">
        <f t="shared" ca="1" si="245"/>
        <v>-</v>
      </c>
      <c r="BU312" s="826"/>
      <c r="BV312" s="827"/>
      <c r="BW312" s="828" t="str">
        <f t="shared" si="246"/>
        <v>Ж-Е НЕ ВАКЦ.</v>
      </c>
      <c r="BX312" s="829" t="str">
        <f t="shared" si="247"/>
        <v>-</v>
      </c>
      <c r="BY312" s="830" t="str">
        <f t="shared" ca="1" si="248"/>
        <v>-</v>
      </c>
      <c r="BZ312" s="831">
        <v>42887</v>
      </c>
      <c r="CA312" s="832">
        <v>5</v>
      </c>
      <c r="CB312" s="833">
        <f t="shared" ca="1" si="249"/>
        <v>247</v>
      </c>
      <c r="CC312" s="834" t="str">
        <f t="shared" ca="1" si="250"/>
        <v>-</v>
      </c>
      <c r="CD312" s="835">
        <f t="shared" si="251"/>
        <v>42908</v>
      </c>
      <c r="CE312" s="831">
        <v>42908</v>
      </c>
      <c r="CF312" s="832">
        <v>5</v>
      </c>
      <c r="CG312" s="833">
        <f t="shared" ca="1" si="252"/>
        <v>226</v>
      </c>
      <c r="CH312" s="836">
        <f t="shared" si="253"/>
        <v>0</v>
      </c>
      <c r="CI312" s="837" t="str">
        <f t="shared" si="254"/>
        <v>УСПЕШНО</v>
      </c>
      <c r="CJ312" s="838" t="str">
        <f t="shared" ca="1" si="255"/>
        <v>-</v>
      </c>
      <c r="CK312" s="831"/>
      <c r="CL312" s="832"/>
      <c r="CM312" s="833" t="str">
        <f t="shared" si="256"/>
        <v>-</v>
      </c>
      <c r="CN312" s="834" t="str">
        <f t="shared" si="257"/>
        <v>-</v>
      </c>
      <c r="CO312" s="830" t="str">
        <f t="shared" ca="1" si="258"/>
        <v>ТРЕБУЕТСЯ ВАКЦИНАЦИЯ</v>
      </c>
      <c r="CP312" s="839"/>
      <c r="CQ312" s="832"/>
      <c r="CR312" s="833" t="str">
        <f t="shared" si="259"/>
        <v>-</v>
      </c>
      <c r="CS312" s="833" t="str">
        <f t="shared" si="260"/>
        <v>-</v>
      </c>
      <c r="CT312" s="834" t="str">
        <f t="shared" si="261"/>
        <v>-</v>
      </c>
      <c r="CU312" s="835" t="str">
        <f t="shared" si="262"/>
        <v>-</v>
      </c>
      <c r="CV312" s="839"/>
      <c r="CW312" s="832"/>
      <c r="CX312" s="833" t="str">
        <f t="shared" si="263"/>
        <v>-</v>
      </c>
      <c r="CY312" s="840" t="str">
        <f t="shared" si="264"/>
        <v>-</v>
      </c>
      <c r="CZ312" s="833" t="str">
        <f t="shared" si="265"/>
        <v>-</v>
      </c>
      <c r="DA312" s="838" t="str">
        <f t="shared" ca="1" si="266"/>
        <v>-</v>
      </c>
      <c r="DB312" s="841"/>
      <c r="DC312" s="832"/>
    </row>
    <row r="313" spans="1:107" s="842" customFormat="1" ht="15.95" customHeight="1" x14ac:dyDescent="0.25">
      <c r="A313" s="790">
        <v>314</v>
      </c>
      <c r="B313" s="791">
        <f t="shared" ca="1" si="215"/>
        <v>43134</v>
      </c>
      <c r="C313" s="792" t="s">
        <v>613</v>
      </c>
      <c r="D313" s="59" t="s">
        <v>3203</v>
      </c>
      <c r="E313" s="794" t="s">
        <v>680</v>
      </c>
      <c r="F313" s="795" t="s">
        <v>681</v>
      </c>
      <c r="G313" s="796">
        <f>SUMIFS(МОЛОКО!L8:L6958,МОЛОКО!F8:F6958,"13360",МОЛОКО!L8:L6958,"&gt;0")</f>
        <v>16</v>
      </c>
      <c r="H313" s="797" t="s">
        <v>603</v>
      </c>
      <c r="I313" s="798">
        <v>41564</v>
      </c>
      <c r="J313" s="799">
        <f t="shared" ca="1" si="216"/>
        <v>4.3013698630136989</v>
      </c>
      <c r="K313" s="799">
        <f t="shared" ca="1" si="217"/>
        <v>52.333333333333336</v>
      </c>
      <c r="L313" s="800">
        <f t="shared" ca="1" si="218"/>
        <v>1570</v>
      </c>
      <c r="M313" s="801">
        <v>42402</v>
      </c>
      <c r="N313" s="802">
        <v>42793</v>
      </c>
      <c r="O313" s="803">
        <f t="shared" ca="1" si="219"/>
        <v>341</v>
      </c>
      <c r="P313" s="804">
        <v>2</v>
      </c>
      <c r="Q313" s="805" t="s">
        <v>1451</v>
      </c>
      <c r="R313" s="806" t="s">
        <v>2663</v>
      </c>
      <c r="S313" s="807">
        <v>42855</v>
      </c>
      <c r="T313" s="798">
        <v>42855</v>
      </c>
      <c r="U313" s="798" t="str">
        <f t="shared" si="220"/>
        <v>-</v>
      </c>
      <c r="V313" s="804" t="str">
        <f t="shared" ca="1" si="221"/>
        <v>-</v>
      </c>
      <c r="W313" s="808">
        <v>1</v>
      </c>
      <c r="X313" s="794">
        <f t="shared" si="267"/>
        <v>62</v>
      </c>
      <c r="Y313" s="794">
        <v>1</v>
      </c>
      <c r="Z313" s="809" t="str">
        <f t="shared" ca="1" si="222"/>
        <v>-----</v>
      </c>
      <c r="AA313" s="810" t="str">
        <f t="shared" ca="1" si="223"/>
        <v>-----</v>
      </c>
      <c r="AB313" s="804">
        <v>1</v>
      </c>
      <c r="AC313" s="811" t="str">
        <f t="shared" ca="1" si="224"/>
        <v>-----</v>
      </c>
      <c r="AD313" s="798">
        <v>42935</v>
      </c>
      <c r="AE313" s="794" t="str">
        <f t="shared" ca="1" si="225"/>
        <v>-</v>
      </c>
      <c r="AF313" s="798" t="str">
        <f t="shared" si="226"/>
        <v>-</v>
      </c>
      <c r="AG313" s="812" t="str">
        <f t="shared" si="227"/>
        <v>---------</v>
      </c>
      <c r="AH313" s="807">
        <v>42890</v>
      </c>
      <c r="AI313" s="807">
        <f t="shared" si="228"/>
        <v>43045</v>
      </c>
      <c r="AJ313" s="807">
        <f t="shared" si="229"/>
        <v>43075</v>
      </c>
      <c r="AK313" s="813"/>
      <c r="AL313" s="807">
        <f t="shared" si="230"/>
        <v>43114</v>
      </c>
      <c r="AM313" s="807">
        <f t="shared" si="231"/>
        <v>43135</v>
      </c>
      <c r="AN313" s="814">
        <f t="shared" ca="1" si="232"/>
        <v>-1</v>
      </c>
      <c r="AO313" s="815">
        <v>1</v>
      </c>
      <c r="AP313" s="816" t="str">
        <f t="shared" ca="1" si="233"/>
        <v>-</v>
      </c>
      <c r="AQ313" s="817"/>
      <c r="AR313" s="794" t="str">
        <f t="shared" si="234"/>
        <v>-</v>
      </c>
      <c r="AS313" s="818"/>
      <c r="AT313" s="794" t="str">
        <f t="shared" si="235"/>
        <v>-</v>
      </c>
      <c r="AU313" s="819"/>
      <c r="AV313" s="820"/>
      <c r="AW313" s="821"/>
      <c r="AX313" s="821"/>
      <c r="AY313" s="969" t="str">
        <f t="shared" si="236"/>
        <v>-</v>
      </c>
      <c r="AZ313" s="966" t="str">
        <f t="shared" si="237"/>
        <v>-</v>
      </c>
      <c r="BA313" s="971" t="str">
        <f t="shared" si="238"/>
        <v>-</v>
      </c>
      <c r="BB313" s="975"/>
      <c r="BC313" s="821"/>
      <c r="BD313" s="821"/>
      <c r="BE313" s="963" t="str">
        <f t="shared" si="239"/>
        <v>-</v>
      </c>
      <c r="BF313" s="984"/>
      <c r="BG313" s="988"/>
      <c r="BH313" s="982"/>
      <c r="BI313" s="991"/>
      <c r="BJ313" s="991"/>
      <c r="BK313" s="993" t="str">
        <f t="shared" si="240"/>
        <v>-</v>
      </c>
      <c r="BL313" s="820">
        <v>42980</v>
      </c>
      <c r="BM313" s="821">
        <v>5</v>
      </c>
      <c r="BN313" s="822">
        <f t="shared" ca="1" si="241"/>
        <v>154</v>
      </c>
      <c r="BO313" s="823">
        <f t="shared" si="242"/>
        <v>47.2</v>
      </c>
      <c r="BP313" s="824">
        <v>43001</v>
      </c>
      <c r="BQ313" s="821">
        <v>2</v>
      </c>
      <c r="BR313" s="822">
        <f t="shared" ca="1" si="243"/>
        <v>133</v>
      </c>
      <c r="BS313" s="823">
        <f t="shared" si="244"/>
        <v>19.966666666666665</v>
      </c>
      <c r="BT313" s="825" t="str">
        <f t="shared" ca="1" si="245"/>
        <v>-</v>
      </c>
      <c r="BU313" s="826"/>
      <c r="BV313" s="827"/>
      <c r="BW313" s="828" t="str">
        <f t="shared" si="246"/>
        <v>Ж-Е НЕ ВАКЦ.</v>
      </c>
      <c r="BX313" s="829" t="str">
        <f t="shared" si="247"/>
        <v>-</v>
      </c>
      <c r="BY313" s="830" t="str">
        <f t="shared" ca="1" si="248"/>
        <v>-</v>
      </c>
      <c r="BZ313" s="831">
        <v>42887</v>
      </c>
      <c r="CA313" s="832">
        <v>5</v>
      </c>
      <c r="CB313" s="833">
        <f t="shared" ca="1" si="249"/>
        <v>247</v>
      </c>
      <c r="CC313" s="834" t="str">
        <f t="shared" ca="1" si="250"/>
        <v>-</v>
      </c>
      <c r="CD313" s="835">
        <f t="shared" si="251"/>
        <v>42908</v>
      </c>
      <c r="CE313" s="831">
        <v>42908</v>
      </c>
      <c r="CF313" s="832">
        <v>5</v>
      </c>
      <c r="CG313" s="833">
        <f t="shared" ca="1" si="252"/>
        <v>226</v>
      </c>
      <c r="CH313" s="836">
        <f t="shared" si="253"/>
        <v>0</v>
      </c>
      <c r="CI313" s="837" t="str">
        <f t="shared" si="254"/>
        <v>УСПЕШНО</v>
      </c>
      <c r="CJ313" s="838" t="str">
        <f t="shared" ca="1" si="255"/>
        <v>-</v>
      </c>
      <c r="CK313" s="831"/>
      <c r="CL313" s="832"/>
      <c r="CM313" s="833" t="str">
        <f t="shared" si="256"/>
        <v>-</v>
      </c>
      <c r="CN313" s="834" t="str">
        <f t="shared" si="257"/>
        <v>-</v>
      </c>
      <c r="CO313" s="830" t="str">
        <f t="shared" ca="1" si="258"/>
        <v>ТРЕБУЕТСЯ ВАКЦИНАЦИЯ</v>
      </c>
      <c r="CP313" s="839"/>
      <c r="CQ313" s="832"/>
      <c r="CR313" s="833" t="str">
        <f t="shared" si="259"/>
        <v>-</v>
      </c>
      <c r="CS313" s="833" t="str">
        <f t="shared" si="260"/>
        <v>-</v>
      </c>
      <c r="CT313" s="834" t="str">
        <f t="shared" si="261"/>
        <v>-</v>
      </c>
      <c r="CU313" s="835" t="str">
        <f t="shared" si="262"/>
        <v>-</v>
      </c>
      <c r="CV313" s="839"/>
      <c r="CW313" s="832"/>
      <c r="CX313" s="833" t="str">
        <f t="shared" si="263"/>
        <v>-</v>
      </c>
      <c r="CY313" s="840" t="str">
        <f t="shared" si="264"/>
        <v>-</v>
      </c>
      <c r="CZ313" s="833" t="str">
        <f t="shared" si="265"/>
        <v>-</v>
      </c>
      <c r="DA313" s="838" t="str">
        <f t="shared" ca="1" si="266"/>
        <v>-</v>
      </c>
      <c r="DB313" s="841"/>
      <c r="DC313" s="832"/>
    </row>
    <row r="314" spans="1:107" s="842" customFormat="1" ht="15.95" customHeight="1" x14ac:dyDescent="0.25">
      <c r="A314" s="790">
        <v>315</v>
      </c>
      <c r="B314" s="791">
        <f t="shared" ca="1" si="215"/>
        <v>43134</v>
      </c>
      <c r="C314" s="29" t="s">
        <v>613</v>
      </c>
      <c r="D314" s="59" t="s">
        <v>3203</v>
      </c>
      <c r="E314" s="794" t="s">
        <v>682</v>
      </c>
      <c r="F314" s="795" t="s">
        <v>683</v>
      </c>
      <c r="G314" s="796">
        <f>SUMIFS(МОЛОКО!L8:L6958,МОЛОКО!F8:F6958,"13392",МОЛОКО!L8:L6958,"&gt;0")</f>
        <v>7.7</v>
      </c>
      <c r="H314" s="797" t="s">
        <v>620</v>
      </c>
      <c r="I314" s="798">
        <v>41580</v>
      </c>
      <c r="J314" s="799">
        <f t="shared" ca="1" si="216"/>
        <v>4.2575342465753421</v>
      </c>
      <c r="K314" s="799">
        <f t="shared" ca="1" si="217"/>
        <v>51.8</v>
      </c>
      <c r="L314" s="800">
        <f t="shared" ca="1" si="218"/>
        <v>1554</v>
      </c>
      <c r="M314" s="801">
        <v>42406</v>
      </c>
      <c r="N314" s="802">
        <v>42800</v>
      </c>
      <c r="O314" s="803">
        <f t="shared" ca="1" si="219"/>
        <v>334</v>
      </c>
      <c r="P314" s="804">
        <v>2</v>
      </c>
      <c r="Q314" s="805" t="s">
        <v>2366</v>
      </c>
      <c r="R314" s="806" t="s">
        <v>1875</v>
      </c>
      <c r="S314" s="807">
        <v>42866</v>
      </c>
      <c r="T314" s="798">
        <v>42937</v>
      </c>
      <c r="U314" s="798" t="str">
        <f t="shared" si="220"/>
        <v>-</v>
      </c>
      <c r="V314" s="804" t="str">
        <f t="shared" ca="1" si="221"/>
        <v>-</v>
      </c>
      <c r="W314" s="808">
        <v>4</v>
      </c>
      <c r="X314" s="794">
        <f t="shared" si="267"/>
        <v>137</v>
      </c>
      <c r="Y314" s="794">
        <v>1</v>
      </c>
      <c r="Z314" s="809" t="str">
        <f t="shared" ca="1" si="222"/>
        <v>-----</v>
      </c>
      <c r="AA314" s="810" t="str">
        <f t="shared" ca="1" si="223"/>
        <v>-----</v>
      </c>
      <c r="AB314" s="804">
        <v>1</v>
      </c>
      <c r="AC314" s="811" t="str">
        <f t="shared" ca="1" si="224"/>
        <v>-----</v>
      </c>
      <c r="AD314" s="798">
        <v>43047</v>
      </c>
      <c r="AE314" s="794" t="str">
        <f t="shared" ca="1" si="225"/>
        <v>-</v>
      </c>
      <c r="AF314" s="798" t="str">
        <f t="shared" si="226"/>
        <v>-</v>
      </c>
      <c r="AG314" s="812" t="str">
        <f t="shared" si="227"/>
        <v>---------</v>
      </c>
      <c r="AH314" s="807">
        <v>42972</v>
      </c>
      <c r="AI314" s="807">
        <f t="shared" si="228"/>
        <v>43127</v>
      </c>
      <c r="AJ314" s="807">
        <f t="shared" si="229"/>
        <v>43157</v>
      </c>
      <c r="AK314" s="813"/>
      <c r="AL314" s="807">
        <f t="shared" si="230"/>
        <v>43196</v>
      </c>
      <c r="AM314" s="807">
        <f t="shared" si="231"/>
        <v>43217</v>
      </c>
      <c r="AN314" s="814">
        <f t="shared" ca="1" si="232"/>
        <v>-83</v>
      </c>
      <c r="AO314" s="815">
        <v>1</v>
      </c>
      <c r="AP314" s="816" t="str">
        <f t="shared" ca="1" si="233"/>
        <v>-</v>
      </c>
      <c r="AQ314" s="817"/>
      <c r="AR314" s="794" t="str">
        <f t="shared" si="234"/>
        <v>-</v>
      </c>
      <c r="AS314" s="818"/>
      <c r="AT314" s="794" t="str">
        <f t="shared" si="235"/>
        <v>-</v>
      </c>
      <c r="AU314" s="819"/>
      <c r="AV314" s="820"/>
      <c r="AW314" s="821"/>
      <c r="AX314" s="821"/>
      <c r="AY314" s="969" t="str">
        <f t="shared" si="236"/>
        <v>-</v>
      </c>
      <c r="AZ314" s="966" t="str">
        <f t="shared" si="237"/>
        <v>-</v>
      </c>
      <c r="BA314" s="971" t="str">
        <f t="shared" si="238"/>
        <v>-</v>
      </c>
      <c r="BB314" s="975"/>
      <c r="BC314" s="821"/>
      <c r="BD314" s="821"/>
      <c r="BE314" s="963" t="str">
        <f t="shared" si="239"/>
        <v>-</v>
      </c>
      <c r="BF314" s="984">
        <v>43033</v>
      </c>
      <c r="BG314" s="988" t="s">
        <v>3353</v>
      </c>
      <c r="BH314" s="986" t="s">
        <v>3354</v>
      </c>
      <c r="BI314" s="991">
        <v>5</v>
      </c>
      <c r="BJ314" s="991" t="s">
        <v>3356</v>
      </c>
      <c r="BK314" s="993">
        <f t="shared" ca="1" si="240"/>
        <v>101</v>
      </c>
      <c r="BL314" s="820">
        <v>42981</v>
      </c>
      <c r="BM314" s="821">
        <v>5</v>
      </c>
      <c r="BN314" s="822">
        <f t="shared" ca="1" si="241"/>
        <v>153</v>
      </c>
      <c r="BO314" s="823">
        <f t="shared" si="242"/>
        <v>46.7</v>
      </c>
      <c r="BP314" s="824">
        <v>43001</v>
      </c>
      <c r="BQ314" s="821">
        <v>2</v>
      </c>
      <c r="BR314" s="822">
        <f t="shared" ca="1" si="243"/>
        <v>133</v>
      </c>
      <c r="BS314" s="823">
        <f t="shared" si="244"/>
        <v>19.833333333333332</v>
      </c>
      <c r="BT314" s="825" t="str">
        <f t="shared" ca="1" si="245"/>
        <v>-</v>
      </c>
      <c r="BU314" s="826"/>
      <c r="BV314" s="827"/>
      <c r="BW314" s="828" t="str">
        <f t="shared" si="246"/>
        <v>Ж-Е НЕ ВАКЦ.</v>
      </c>
      <c r="BX314" s="829" t="str">
        <f t="shared" si="247"/>
        <v>-</v>
      </c>
      <c r="BY314" s="830" t="str">
        <f t="shared" ca="1" si="248"/>
        <v>-</v>
      </c>
      <c r="BZ314" s="831">
        <v>42887</v>
      </c>
      <c r="CA314" s="832">
        <v>5</v>
      </c>
      <c r="CB314" s="833">
        <f t="shared" ca="1" si="249"/>
        <v>247</v>
      </c>
      <c r="CC314" s="834" t="str">
        <f t="shared" ca="1" si="250"/>
        <v>-</v>
      </c>
      <c r="CD314" s="835">
        <f t="shared" si="251"/>
        <v>42908</v>
      </c>
      <c r="CE314" s="831">
        <v>42908</v>
      </c>
      <c r="CF314" s="832">
        <v>5</v>
      </c>
      <c r="CG314" s="833">
        <f t="shared" ca="1" si="252"/>
        <v>226</v>
      </c>
      <c r="CH314" s="836">
        <f t="shared" si="253"/>
        <v>0</v>
      </c>
      <c r="CI314" s="837" t="str">
        <f t="shared" si="254"/>
        <v>УСПЕШНО</v>
      </c>
      <c r="CJ314" s="838" t="str">
        <f t="shared" ca="1" si="255"/>
        <v>-</v>
      </c>
      <c r="CK314" s="831"/>
      <c r="CL314" s="832"/>
      <c r="CM314" s="833" t="str">
        <f t="shared" si="256"/>
        <v>-</v>
      </c>
      <c r="CN314" s="834" t="str">
        <f t="shared" si="257"/>
        <v>-</v>
      </c>
      <c r="CO314" s="830" t="str">
        <f t="shared" ca="1" si="258"/>
        <v>-</v>
      </c>
      <c r="CP314" s="839"/>
      <c r="CQ314" s="832"/>
      <c r="CR314" s="833" t="str">
        <f t="shared" si="259"/>
        <v>-</v>
      </c>
      <c r="CS314" s="833" t="str">
        <f t="shared" si="260"/>
        <v>-</v>
      </c>
      <c r="CT314" s="834" t="str">
        <f t="shared" si="261"/>
        <v>-</v>
      </c>
      <c r="CU314" s="835" t="str">
        <f t="shared" si="262"/>
        <v>-</v>
      </c>
      <c r="CV314" s="839"/>
      <c r="CW314" s="832"/>
      <c r="CX314" s="833" t="str">
        <f t="shared" si="263"/>
        <v>-</v>
      </c>
      <c r="CY314" s="840" t="str">
        <f t="shared" si="264"/>
        <v>-</v>
      </c>
      <c r="CZ314" s="833" t="str">
        <f t="shared" si="265"/>
        <v>-</v>
      </c>
      <c r="DA314" s="838" t="str">
        <f t="shared" ca="1" si="266"/>
        <v>-</v>
      </c>
      <c r="DB314" s="841"/>
      <c r="DC314" s="832"/>
    </row>
    <row r="315" spans="1:107" s="842" customFormat="1" ht="15.95" customHeight="1" x14ac:dyDescent="0.25">
      <c r="A315" s="790">
        <v>316</v>
      </c>
      <c r="B315" s="791">
        <f t="shared" ca="1" si="215"/>
        <v>43134</v>
      </c>
      <c r="C315" s="792" t="s">
        <v>613</v>
      </c>
      <c r="D315" s="793" t="s">
        <v>3203</v>
      </c>
      <c r="E315" s="794" t="s">
        <v>1397</v>
      </c>
      <c r="F315" s="795" t="s">
        <v>1398</v>
      </c>
      <c r="G315" s="796">
        <f>SUMIFS(МОЛОКО!L8:L6958,МОЛОКО!F8:F6958,"14066",МОЛОКО!L8:L6958,"&gt;0")</f>
        <v>8.3000000000000007</v>
      </c>
      <c r="H315" s="797" t="s">
        <v>87</v>
      </c>
      <c r="I315" s="798">
        <v>41694</v>
      </c>
      <c r="J315" s="799">
        <f t="shared" ca="1" si="216"/>
        <v>3.9452054794520546</v>
      </c>
      <c r="K315" s="799">
        <f t="shared" ca="1" si="217"/>
        <v>48</v>
      </c>
      <c r="L315" s="800">
        <f t="shared" ca="1" si="218"/>
        <v>1440</v>
      </c>
      <c r="M315" s="801">
        <v>42476</v>
      </c>
      <c r="N315" s="802">
        <v>42476</v>
      </c>
      <c r="O315" s="803">
        <f t="shared" ca="1" si="219"/>
        <v>658</v>
      </c>
      <c r="P315" s="804">
        <v>1</v>
      </c>
      <c r="Q315" s="805" t="s">
        <v>1448</v>
      </c>
      <c r="R315" s="806" t="s">
        <v>1816</v>
      </c>
      <c r="S315" s="807">
        <v>42568</v>
      </c>
      <c r="T315" s="798">
        <v>42660</v>
      </c>
      <c r="U315" s="798" t="str">
        <f t="shared" si="220"/>
        <v>-</v>
      </c>
      <c r="V315" s="804" t="str">
        <f t="shared" ca="1" si="221"/>
        <v>-</v>
      </c>
      <c r="W315" s="808">
        <v>3</v>
      </c>
      <c r="X315" s="794">
        <f t="shared" si="267"/>
        <v>184</v>
      </c>
      <c r="Y315" s="794">
        <v>0</v>
      </c>
      <c r="Z315" s="809" t="str">
        <f t="shared" ca="1" si="222"/>
        <v>-----</v>
      </c>
      <c r="AA315" s="810">
        <f t="shared" ca="1" si="223"/>
        <v>474</v>
      </c>
      <c r="AB315" s="804"/>
      <c r="AC315" s="811" t="str">
        <f t="shared" ca="1" si="224"/>
        <v>-----</v>
      </c>
      <c r="AD315" s="798"/>
      <c r="AE315" s="794" t="str">
        <f t="shared" ca="1" si="225"/>
        <v>яловая</v>
      </c>
      <c r="AF315" s="798" t="str">
        <f t="shared" si="226"/>
        <v>-</v>
      </c>
      <c r="AG315" s="812" t="str">
        <f t="shared" si="227"/>
        <v>---------</v>
      </c>
      <c r="AH315" s="807">
        <v>42704</v>
      </c>
      <c r="AI315" s="807" t="str">
        <f t="shared" si="228"/>
        <v>-</v>
      </c>
      <c r="AJ315" s="807" t="str">
        <f t="shared" si="229"/>
        <v>-</v>
      </c>
      <c r="AK315" s="813"/>
      <c r="AL315" s="807" t="str">
        <f t="shared" si="230"/>
        <v>-</v>
      </c>
      <c r="AM315" s="807" t="str">
        <f t="shared" si="231"/>
        <v>-</v>
      </c>
      <c r="AN315" s="814" t="str">
        <f t="shared" ca="1" si="232"/>
        <v>-</v>
      </c>
      <c r="AO315" s="815">
        <v>1</v>
      </c>
      <c r="AP315" s="816" t="str">
        <f t="shared" ca="1" si="233"/>
        <v>БРАК</v>
      </c>
      <c r="AQ315" s="817" t="s">
        <v>1863</v>
      </c>
      <c r="AR315" s="794" t="str">
        <f t="shared" si="234"/>
        <v>-</v>
      </c>
      <c r="AS315" s="818"/>
      <c r="AT315" s="794" t="str">
        <f t="shared" si="235"/>
        <v>-</v>
      </c>
      <c r="AU315" s="819"/>
      <c r="AV315" s="820"/>
      <c r="AW315" s="821"/>
      <c r="AX315" s="821"/>
      <c r="AY315" s="969" t="str">
        <f t="shared" si="236"/>
        <v>-</v>
      </c>
      <c r="AZ315" s="966" t="str">
        <f t="shared" si="237"/>
        <v>-</v>
      </c>
      <c r="BA315" s="971" t="str">
        <f t="shared" si="238"/>
        <v>-</v>
      </c>
      <c r="BB315" s="975"/>
      <c r="BC315" s="821"/>
      <c r="BD315" s="821"/>
      <c r="BE315" s="963" t="str">
        <f t="shared" si="239"/>
        <v>-</v>
      </c>
      <c r="BF315" s="984"/>
      <c r="BG315" s="988"/>
      <c r="BH315" s="982"/>
      <c r="BI315" s="991"/>
      <c r="BJ315" s="991"/>
      <c r="BK315" s="993" t="str">
        <f t="shared" si="240"/>
        <v>-</v>
      </c>
      <c r="BL315" s="820">
        <v>42981</v>
      </c>
      <c r="BM315" s="821">
        <v>5</v>
      </c>
      <c r="BN315" s="822">
        <f t="shared" ca="1" si="241"/>
        <v>153</v>
      </c>
      <c r="BO315" s="823">
        <f t="shared" si="242"/>
        <v>42.9</v>
      </c>
      <c r="BP315" s="824">
        <v>43001</v>
      </c>
      <c r="BQ315" s="821">
        <v>2</v>
      </c>
      <c r="BR315" s="822">
        <f t="shared" ca="1" si="243"/>
        <v>133</v>
      </c>
      <c r="BS315" s="823">
        <f t="shared" si="244"/>
        <v>17.5</v>
      </c>
      <c r="BT315" s="825" t="str">
        <f t="shared" ca="1" si="245"/>
        <v>-</v>
      </c>
      <c r="BU315" s="826"/>
      <c r="BV315" s="827"/>
      <c r="BW315" s="828" t="str">
        <f t="shared" si="246"/>
        <v>Ж-Е НЕ ВАКЦ.</v>
      </c>
      <c r="BX315" s="829" t="str">
        <f t="shared" si="247"/>
        <v>-</v>
      </c>
      <c r="BY315" s="830" t="str">
        <f t="shared" ca="1" si="248"/>
        <v>-</v>
      </c>
      <c r="BZ315" s="831">
        <v>42887</v>
      </c>
      <c r="CA315" s="832">
        <v>5</v>
      </c>
      <c r="CB315" s="833">
        <f t="shared" ca="1" si="249"/>
        <v>247</v>
      </c>
      <c r="CC315" s="834" t="str">
        <f t="shared" ca="1" si="250"/>
        <v>-</v>
      </c>
      <c r="CD315" s="835">
        <f t="shared" si="251"/>
        <v>42908</v>
      </c>
      <c r="CE315" s="831">
        <v>42908</v>
      </c>
      <c r="CF315" s="832">
        <v>5</v>
      </c>
      <c r="CG315" s="833">
        <f t="shared" ca="1" si="252"/>
        <v>226</v>
      </c>
      <c r="CH315" s="836">
        <f t="shared" si="253"/>
        <v>0</v>
      </c>
      <c r="CI315" s="837" t="str">
        <f t="shared" si="254"/>
        <v>УСПЕШНО</v>
      </c>
      <c r="CJ315" s="838" t="str">
        <f t="shared" ca="1" si="255"/>
        <v>-</v>
      </c>
      <c r="CK315" s="831"/>
      <c r="CL315" s="832"/>
      <c r="CM315" s="833" t="str">
        <f t="shared" si="256"/>
        <v>-</v>
      </c>
      <c r="CN315" s="834" t="str">
        <f t="shared" si="257"/>
        <v>-</v>
      </c>
      <c r="CO315" s="830" t="str">
        <f t="shared" ca="1" si="258"/>
        <v>-</v>
      </c>
      <c r="CP315" s="839"/>
      <c r="CQ315" s="832"/>
      <c r="CR315" s="833" t="str">
        <f t="shared" si="259"/>
        <v>-</v>
      </c>
      <c r="CS315" s="833" t="str">
        <f t="shared" si="260"/>
        <v>-</v>
      </c>
      <c r="CT315" s="834" t="str">
        <f t="shared" si="261"/>
        <v>-</v>
      </c>
      <c r="CU315" s="835" t="str">
        <f t="shared" si="262"/>
        <v>-</v>
      </c>
      <c r="CV315" s="839"/>
      <c r="CW315" s="832"/>
      <c r="CX315" s="833" t="str">
        <f t="shared" si="263"/>
        <v>-</v>
      </c>
      <c r="CY315" s="840" t="str">
        <f t="shared" si="264"/>
        <v>-</v>
      </c>
      <c r="CZ315" s="833" t="str">
        <f t="shared" si="265"/>
        <v>-</v>
      </c>
      <c r="DA315" s="838" t="str">
        <f t="shared" ca="1" si="266"/>
        <v>-</v>
      </c>
      <c r="DB315" s="841"/>
      <c r="DC315" s="832"/>
    </row>
    <row r="316" spans="1:107" s="842" customFormat="1" ht="15.95" customHeight="1" x14ac:dyDescent="0.25">
      <c r="A316" s="790">
        <v>317</v>
      </c>
      <c r="B316" s="791">
        <f t="shared" ca="1" si="215"/>
        <v>43134</v>
      </c>
      <c r="C316" s="792" t="s">
        <v>613</v>
      </c>
      <c r="D316" s="793" t="s">
        <v>3203</v>
      </c>
      <c r="E316" s="794" t="s">
        <v>67</v>
      </c>
      <c r="F316" s="795" t="s">
        <v>68</v>
      </c>
      <c r="G316" s="796">
        <f>SUMIFS(МОЛОКО!L8:L6958,МОЛОКО!F8:F6958,"175889",МОЛОКО!L8:L6958,"&gt;0")</f>
        <v>18.399999999999999</v>
      </c>
      <c r="H316" s="797" t="s">
        <v>78</v>
      </c>
      <c r="I316" s="798">
        <v>40280</v>
      </c>
      <c r="J316" s="799">
        <f t="shared" ca="1" si="216"/>
        <v>7.8191780821917805</v>
      </c>
      <c r="K316" s="799">
        <f t="shared" ca="1" si="217"/>
        <v>95.13333333333334</v>
      </c>
      <c r="L316" s="800">
        <f t="shared" ca="1" si="218"/>
        <v>2854</v>
      </c>
      <c r="M316" s="801">
        <v>41048</v>
      </c>
      <c r="N316" s="802">
        <v>42860</v>
      </c>
      <c r="O316" s="803">
        <f t="shared" ca="1" si="219"/>
        <v>274</v>
      </c>
      <c r="P316" s="804">
        <v>5</v>
      </c>
      <c r="Q316" s="805"/>
      <c r="R316" s="806"/>
      <c r="S316" s="807"/>
      <c r="T316" s="798"/>
      <c r="U316" s="798" t="str">
        <f t="shared" si="220"/>
        <v>-</v>
      </c>
      <c r="V316" s="804" t="str">
        <f t="shared" ca="1" si="221"/>
        <v>-</v>
      </c>
      <c r="W316" s="808">
        <v>0</v>
      </c>
      <c r="X316" s="794" t="str">
        <f t="shared" si="267"/>
        <v>-</v>
      </c>
      <c r="Y316" s="794">
        <v>0</v>
      </c>
      <c r="Z316" s="809" t="str">
        <f t="shared" ca="1" si="222"/>
        <v>-----</v>
      </c>
      <c r="AA316" s="810">
        <f t="shared" ca="1" si="223"/>
        <v>43134</v>
      </c>
      <c r="AB316" s="804"/>
      <c r="AC316" s="811" t="str">
        <f t="shared" ca="1" si="224"/>
        <v>-----</v>
      </c>
      <c r="AD316" s="798"/>
      <c r="AE316" s="794" t="str">
        <f t="shared" ca="1" si="225"/>
        <v>яловая</v>
      </c>
      <c r="AF316" s="798" t="str">
        <f t="shared" si="226"/>
        <v>-</v>
      </c>
      <c r="AG316" s="812" t="str">
        <f t="shared" si="227"/>
        <v>---------</v>
      </c>
      <c r="AH316" s="807"/>
      <c r="AI316" s="807" t="str">
        <f t="shared" si="228"/>
        <v>-</v>
      </c>
      <c r="AJ316" s="807" t="str">
        <f t="shared" si="229"/>
        <v>-</v>
      </c>
      <c r="AK316" s="813"/>
      <c r="AL316" s="807" t="str">
        <f t="shared" si="230"/>
        <v>-</v>
      </c>
      <c r="AM316" s="807" t="str">
        <f t="shared" si="231"/>
        <v>-</v>
      </c>
      <c r="AN316" s="814" t="str">
        <f t="shared" ca="1" si="232"/>
        <v>-</v>
      </c>
      <c r="AO316" s="815">
        <v>1</v>
      </c>
      <c r="AP316" s="816" t="str">
        <f t="shared" ca="1" si="233"/>
        <v>-</v>
      </c>
      <c r="AQ316" s="817" t="s">
        <v>2880</v>
      </c>
      <c r="AR316" s="794" t="str">
        <f t="shared" si="234"/>
        <v>-</v>
      </c>
      <c r="AS316" s="818"/>
      <c r="AT316" s="794" t="str">
        <f t="shared" si="235"/>
        <v>-</v>
      </c>
      <c r="AU316" s="819"/>
      <c r="AV316" s="820"/>
      <c r="AW316" s="821"/>
      <c r="AX316" s="821"/>
      <c r="AY316" s="969" t="str">
        <f t="shared" si="236"/>
        <v>-</v>
      </c>
      <c r="AZ316" s="966" t="str">
        <f t="shared" si="237"/>
        <v>-</v>
      </c>
      <c r="BA316" s="971" t="str">
        <f t="shared" si="238"/>
        <v>-</v>
      </c>
      <c r="BB316" s="975"/>
      <c r="BC316" s="821"/>
      <c r="BD316" s="821"/>
      <c r="BE316" s="963" t="str">
        <f t="shared" si="239"/>
        <v>-</v>
      </c>
      <c r="BF316" s="984"/>
      <c r="BG316" s="988"/>
      <c r="BH316" s="982"/>
      <c r="BI316" s="991"/>
      <c r="BJ316" s="991"/>
      <c r="BK316" s="993" t="str">
        <f t="shared" si="240"/>
        <v>-</v>
      </c>
      <c r="BL316" s="820">
        <v>42980</v>
      </c>
      <c r="BM316" s="821">
        <v>5</v>
      </c>
      <c r="BN316" s="822">
        <f t="shared" ca="1" si="241"/>
        <v>154</v>
      </c>
      <c r="BO316" s="823">
        <f t="shared" si="242"/>
        <v>90</v>
      </c>
      <c r="BP316" s="824"/>
      <c r="BQ316" s="821"/>
      <c r="BR316" s="822" t="str">
        <f t="shared" si="243"/>
        <v>-</v>
      </c>
      <c r="BS316" s="823" t="str">
        <f t="shared" si="244"/>
        <v>-</v>
      </c>
      <c r="BT316" s="825" t="str">
        <f t="shared" ca="1" si="245"/>
        <v>-</v>
      </c>
      <c r="BU316" s="826"/>
      <c r="BV316" s="827"/>
      <c r="BW316" s="828" t="str">
        <f t="shared" si="246"/>
        <v>Ж-Е НЕ ВАКЦ.</v>
      </c>
      <c r="BX316" s="829" t="str">
        <f t="shared" si="247"/>
        <v>-</v>
      </c>
      <c r="BY316" s="830" t="str">
        <f t="shared" ca="1" si="248"/>
        <v>-</v>
      </c>
      <c r="BZ316" s="831">
        <v>42888</v>
      </c>
      <c r="CA316" s="832">
        <v>5</v>
      </c>
      <c r="CB316" s="833">
        <f t="shared" ca="1" si="249"/>
        <v>246</v>
      </c>
      <c r="CC316" s="834" t="str">
        <f t="shared" ca="1" si="250"/>
        <v>-</v>
      </c>
      <c r="CD316" s="835">
        <f t="shared" si="251"/>
        <v>42909</v>
      </c>
      <c r="CE316" s="831">
        <v>42909</v>
      </c>
      <c r="CF316" s="832">
        <v>5</v>
      </c>
      <c r="CG316" s="833">
        <f t="shared" ca="1" si="252"/>
        <v>225</v>
      </c>
      <c r="CH316" s="836">
        <f t="shared" si="253"/>
        <v>0</v>
      </c>
      <c r="CI316" s="837" t="str">
        <f t="shared" si="254"/>
        <v>УСПЕШНО</v>
      </c>
      <c r="CJ316" s="838" t="str">
        <f t="shared" ca="1" si="255"/>
        <v>-</v>
      </c>
      <c r="CK316" s="831"/>
      <c r="CL316" s="832"/>
      <c r="CM316" s="833" t="str">
        <f t="shared" si="256"/>
        <v>-</v>
      </c>
      <c r="CN316" s="834" t="str">
        <f t="shared" si="257"/>
        <v>-</v>
      </c>
      <c r="CO316" s="830" t="str">
        <f t="shared" ca="1" si="258"/>
        <v>-</v>
      </c>
      <c r="CP316" s="839"/>
      <c r="CQ316" s="832"/>
      <c r="CR316" s="833" t="str">
        <f t="shared" si="259"/>
        <v>-</v>
      </c>
      <c r="CS316" s="833" t="str">
        <f t="shared" si="260"/>
        <v>-</v>
      </c>
      <c r="CT316" s="834" t="str">
        <f t="shared" si="261"/>
        <v>-</v>
      </c>
      <c r="CU316" s="835" t="str">
        <f t="shared" si="262"/>
        <v>-</v>
      </c>
      <c r="CV316" s="839"/>
      <c r="CW316" s="832"/>
      <c r="CX316" s="833" t="str">
        <f t="shared" si="263"/>
        <v>-</v>
      </c>
      <c r="CY316" s="840" t="str">
        <f t="shared" si="264"/>
        <v>-</v>
      </c>
      <c r="CZ316" s="833" t="str">
        <f t="shared" si="265"/>
        <v>-</v>
      </c>
      <c r="DA316" s="838" t="str">
        <f t="shared" ca="1" si="266"/>
        <v>-</v>
      </c>
      <c r="DB316" s="841"/>
      <c r="DC316" s="832"/>
    </row>
    <row r="317" spans="1:107" s="842" customFormat="1" ht="15.95" customHeight="1" x14ac:dyDescent="0.25">
      <c r="A317" s="790">
        <v>318</v>
      </c>
      <c r="B317" s="791">
        <f t="shared" ca="1" si="215"/>
        <v>43134</v>
      </c>
      <c r="C317" s="792" t="s">
        <v>613</v>
      </c>
      <c r="D317" s="793" t="s">
        <v>3204</v>
      </c>
      <c r="E317" s="794" t="s">
        <v>476</v>
      </c>
      <c r="F317" s="795" t="s">
        <v>477</v>
      </c>
      <c r="G317" s="796">
        <f>SUMIFS(МОЛОКО!L8:L6958,МОЛОКО!F8:F6958,"80",МОЛОКО!L8:L6958,"&gt;0")</f>
        <v>8.6999999999999993</v>
      </c>
      <c r="H317" s="797" t="s">
        <v>603</v>
      </c>
      <c r="I317" s="798">
        <v>41299</v>
      </c>
      <c r="J317" s="799">
        <f t="shared" ca="1" si="216"/>
        <v>5.0273972602739727</v>
      </c>
      <c r="K317" s="799">
        <f t="shared" ca="1" si="217"/>
        <v>61.166666666666664</v>
      </c>
      <c r="L317" s="800">
        <f t="shared" ca="1" si="218"/>
        <v>1835</v>
      </c>
      <c r="M317" s="801">
        <v>42326</v>
      </c>
      <c r="N317" s="802">
        <v>42765</v>
      </c>
      <c r="O317" s="803">
        <f t="shared" ca="1" si="219"/>
        <v>369</v>
      </c>
      <c r="P317" s="804">
        <v>2</v>
      </c>
      <c r="Q317" s="805" t="s">
        <v>2366</v>
      </c>
      <c r="R317" s="806" t="s">
        <v>2962</v>
      </c>
      <c r="S317" s="807">
        <v>42824</v>
      </c>
      <c r="T317" s="798">
        <v>42937</v>
      </c>
      <c r="U317" s="798" t="str">
        <f t="shared" si="220"/>
        <v>-</v>
      </c>
      <c r="V317" s="804" t="str">
        <f t="shared" ca="1" si="221"/>
        <v>-</v>
      </c>
      <c r="W317" s="808">
        <v>3</v>
      </c>
      <c r="X317" s="794">
        <f t="shared" si="267"/>
        <v>172</v>
      </c>
      <c r="Y317" s="794">
        <v>1</v>
      </c>
      <c r="Z317" s="809" t="str">
        <f t="shared" ca="1" si="222"/>
        <v>-----</v>
      </c>
      <c r="AA317" s="810" t="str">
        <f t="shared" ca="1" si="223"/>
        <v>-----</v>
      </c>
      <c r="AB317" s="804">
        <v>1</v>
      </c>
      <c r="AC317" s="811" t="str">
        <f t="shared" ca="1" si="224"/>
        <v>-----</v>
      </c>
      <c r="AD317" s="798">
        <v>43014</v>
      </c>
      <c r="AE317" s="794" t="str">
        <f t="shared" ca="1" si="225"/>
        <v>-</v>
      </c>
      <c r="AF317" s="798" t="str">
        <f t="shared" si="226"/>
        <v>-</v>
      </c>
      <c r="AG317" s="812" t="str">
        <f t="shared" si="227"/>
        <v>---------</v>
      </c>
      <c r="AH317" s="807">
        <v>42968</v>
      </c>
      <c r="AI317" s="807">
        <f t="shared" si="228"/>
        <v>43127</v>
      </c>
      <c r="AJ317" s="807">
        <f t="shared" si="229"/>
        <v>43157</v>
      </c>
      <c r="AK317" s="813"/>
      <c r="AL317" s="807">
        <f t="shared" si="230"/>
        <v>43196</v>
      </c>
      <c r="AM317" s="807">
        <f t="shared" si="231"/>
        <v>43217</v>
      </c>
      <c r="AN317" s="814">
        <f t="shared" ca="1" si="232"/>
        <v>-83</v>
      </c>
      <c r="AO317" s="815">
        <v>1</v>
      </c>
      <c r="AP317" s="816" t="str">
        <f t="shared" ca="1" si="233"/>
        <v>-</v>
      </c>
      <c r="AQ317" s="817"/>
      <c r="AR317" s="794" t="str">
        <f t="shared" si="234"/>
        <v>-</v>
      </c>
      <c r="AS317" s="818"/>
      <c r="AT317" s="794" t="str">
        <f t="shared" si="235"/>
        <v>-</v>
      </c>
      <c r="AU317" s="819"/>
      <c r="AV317" s="820"/>
      <c r="AW317" s="821"/>
      <c r="AX317" s="821"/>
      <c r="AY317" s="969" t="str">
        <f t="shared" si="236"/>
        <v>-</v>
      </c>
      <c r="AZ317" s="966" t="str">
        <f t="shared" si="237"/>
        <v>-</v>
      </c>
      <c r="BA317" s="971" t="str">
        <f t="shared" si="238"/>
        <v>-</v>
      </c>
      <c r="BB317" s="975"/>
      <c r="BC317" s="821"/>
      <c r="BD317" s="821"/>
      <c r="BE317" s="963" t="str">
        <f t="shared" si="239"/>
        <v>-</v>
      </c>
      <c r="BF317" s="984"/>
      <c r="BG317" s="988"/>
      <c r="BH317" s="982"/>
      <c r="BI317" s="991"/>
      <c r="BJ317" s="991"/>
      <c r="BK317" s="993" t="str">
        <f t="shared" si="240"/>
        <v>-</v>
      </c>
      <c r="BL317" s="820">
        <v>42981</v>
      </c>
      <c r="BM317" s="821">
        <v>5</v>
      </c>
      <c r="BN317" s="822">
        <f t="shared" ca="1" si="241"/>
        <v>153</v>
      </c>
      <c r="BO317" s="823">
        <f t="shared" si="242"/>
        <v>56.06666666666667</v>
      </c>
      <c r="BP317" s="824"/>
      <c r="BQ317" s="821"/>
      <c r="BR317" s="822" t="str">
        <f t="shared" si="243"/>
        <v>-</v>
      </c>
      <c r="BS317" s="823" t="str">
        <f t="shared" si="244"/>
        <v>-</v>
      </c>
      <c r="BT317" s="825" t="str">
        <f t="shared" ca="1" si="245"/>
        <v>-</v>
      </c>
      <c r="BU317" s="826"/>
      <c r="BV317" s="827"/>
      <c r="BW317" s="828" t="str">
        <f t="shared" si="246"/>
        <v>Ж-Е НЕ ВАКЦ.</v>
      </c>
      <c r="BX317" s="829" t="str">
        <f t="shared" si="247"/>
        <v>-</v>
      </c>
      <c r="BY317" s="830" t="str">
        <f t="shared" ca="1" si="248"/>
        <v>-</v>
      </c>
      <c r="BZ317" s="831">
        <v>42887</v>
      </c>
      <c r="CA317" s="832">
        <v>5</v>
      </c>
      <c r="CB317" s="833">
        <f t="shared" ca="1" si="249"/>
        <v>247</v>
      </c>
      <c r="CC317" s="834" t="str">
        <f t="shared" ca="1" si="250"/>
        <v>-</v>
      </c>
      <c r="CD317" s="835">
        <f t="shared" si="251"/>
        <v>42908</v>
      </c>
      <c r="CE317" s="831">
        <v>42908</v>
      </c>
      <c r="CF317" s="832">
        <v>5</v>
      </c>
      <c r="CG317" s="833">
        <f t="shared" ca="1" si="252"/>
        <v>226</v>
      </c>
      <c r="CH317" s="836">
        <f t="shared" si="253"/>
        <v>0</v>
      </c>
      <c r="CI317" s="837" t="str">
        <f t="shared" si="254"/>
        <v>УСПЕШНО</v>
      </c>
      <c r="CJ317" s="838" t="str">
        <f t="shared" ca="1" si="255"/>
        <v>-</v>
      </c>
      <c r="CK317" s="831"/>
      <c r="CL317" s="832"/>
      <c r="CM317" s="833" t="str">
        <f t="shared" si="256"/>
        <v>-</v>
      </c>
      <c r="CN317" s="834" t="str">
        <f t="shared" si="257"/>
        <v>-</v>
      </c>
      <c r="CO317" s="830" t="str">
        <f t="shared" ca="1" si="258"/>
        <v>-</v>
      </c>
      <c r="CP317" s="839"/>
      <c r="CQ317" s="832"/>
      <c r="CR317" s="833" t="str">
        <f t="shared" si="259"/>
        <v>-</v>
      </c>
      <c r="CS317" s="833" t="str">
        <f t="shared" si="260"/>
        <v>-</v>
      </c>
      <c r="CT317" s="834" t="str">
        <f t="shared" si="261"/>
        <v>-</v>
      </c>
      <c r="CU317" s="835" t="str">
        <f t="shared" si="262"/>
        <v>-</v>
      </c>
      <c r="CV317" s="839"/>
      <c r="CW317" s="832"/>
      <c r="CX317" s="833" t="str">
        <f t="shared" si="263"/>
        <v>-</v>
      </c>
      <c r="CY317" s="840" t="str">
        <f t="shared" si="264"/>
        <v>-</v>
      </c>
      <c r="CZ317" s="833" t="str">
        <f t="shared" si="265"/>
        <v>-</v>
      </c>
      <c r="DA317" s="838" t="str">
        <f t="shared" ca="1" si="266"/>
        <v>-</v>
      </c>
      <c r="DB317" s="841"/>
      <c r="DC317" s="832"/>
    </row>
    <row r="318" spans="1:107" s="842" customFormat="1" ht="15.95" customHeight="1" x14ac:dyDescent="0.25">
      <c r="A318" s="790">
        <v>319</v>
      </c>
      <c r="B318" s="791">
        <f t="shared" ca="1" si="215"/>
        <v>43134</v>
      </c>
      <c r="C318" s="792" t="s">
        <v>613</v>
      </c>
      <c r="D318" s="793" t="s">
        <v>3204</v>
      </c>
      <c r="E318" s="794" t="s">
        <v>150</v>
      </c>
      <c r="F318" s="795" t="s">
        <v>1458</v>
      </c>
      <c r="G318" s="796">
        <f>SUMIFS(МОЛОКО!L8:L6958,МОЛОКО!F8:F6958,"460",МОЛОКО!L8:L6958,"&gt;0")</f>
        <v>12.8</v>
      </c>
      <c r="H318" s="797" t="s">
        <v>603</v>
      </c>
      <c r="I318" s="798">
        <v>39811</v>
      </c>
      <c r="J318" s="799">
        <f t="shared" ca="1" si="216"/>
        <v>9.1041095890410961</v>
      </c>
      <c r="K318" s="799">
        <f t="shared" ca="1" si="217"/>
        <v>110.76666666666667</v>
      </c>
      <c r="L318" s="800">
        <f t="shared" ca="1" si="218"/>
        <v>3323</v>
      </c>
      <c r="M318" s="801">
        <v>40728</v>
      </c>
      <c r="N318" s="802">
        <v>42803</v>
      </c>
      <c r="O318" s="803">
        <f t="shared" ca="1" si="219"/>
        <v>331</v>
      </c>
      <c r="P318" s="804">
        <v>6</v>
      </c>
      <c r="Q318" s="805" t="s">
        <v>2366</v>
      </c>
      <c r="R318" s="806" t="s">
        <v>2663</v>
      </c>
      <c r="S318" s="807">
        <v>42866</v>
      </c>
      <c r="T318" s="798">
        <v>42866</v>
      </c>
      <c r="U318" s="798" t="str">
        <f t="shared" si="220"/>
        <v>-</v>
      </c>
      <c r="V318" s="804" t="str">
        <f t="shared" ca="1" si="221"/>
        <v>-</v>
      </c>
      <c r="W318" s="808">
        <v>1</v>
      </c>
      <c r="X318" s="794">
        <f t="shared" si="267"/>
        <v>63</v>
      </c>
      <c r="Y318" s="794">
        <v>1</v>
      </c>
      <c r="Z318" s="809" t="str">
        <f t="shared" ca="1" si="222"/>
        <v>-----</v>
      </c>
      <c r="AA318" s="810" t="str">
        <f t="shared" ca="1" si="223"/>
        <v>-----</v>
      </c>
      <c r="AB318" s="804">
        <v>1</v>
      </c>
      <c r="AC318" s="811" t="str">
        <f t="shared" ca="1" si="224"/>
        <v>-----</v>
      </c>
      <c r="AD318" s="798">
        <v>42935</v>
      </c>
      <c r="AE318" s="794" t="str">
        <f t="shared" ca="1" si="225"/>
        <v>-</v>
      </c>
      <c r="AF318" s="798" t="str">
        <f t="shared" si="226"/>
        <v>-</v>
      </c>
      <c r="AG318" s="812" t="str">
        <f t="shared" si="227"/>
        <v>---------</v>
      </c>
      <c r="AH318" s="807">
        <v>42900</v>
      </c>
      <c r="AI318" s="807">
        <f t="shared" si="228"/>
        <v>43056</v>
      </c>
      <c r="AJ318" s="807">
        <f t="shared" si="229"/>
        <v>43086</v>
      </c>
      <c r="AK318" s="813"/>
      <c r="AL318" s="807">
        <f t="shared" si="230"/>
        <v>43125</v>
      </c>
      <c r="AM318" s="807">
        <f t="shared" si="231"/>
        <v>43146</v>
      </c>
      <c r="AN318" s="814">
        <f t="shared" ca="1" si="232"/>
        <v>-12</v>
      </c>
      <c r="AO318" s="815">
        <v>1</v>
      </c>
      <c r="AP318" s="816" t="str">
        <f t="shared" ca="1" si="233"/>
        <v>-</v>
      </c>
      <c r="AQ318" s="817"/>
      <c r="AR318" s="794" t="str">
        <f t="shared" si="234"/>
        <v>-</v>
      </c>
      <c r="AS318" s="818"/>
      <c r="AT318" s="794" t="str">
        <f t="shared" si="235"/>
        <v>-</v>
      </c>
      <c r="AU318" s="819"/>
      <c r="AV318" s="820"/>
      <c r="AW318" s="821"/>
      <c r="AX318" s="821"/>
      <c r="AY318" s="969" t="str">
        <f t="shared" si="236"/>
        <v>-</v>
      </c>
      <c r="AZ318" s="966" t="str">
        <f t="shared" si="237"/>
        <v>-</v>
      </c>
      <c r="BA318" s="971" t="str">
        <f t="shared" si="238"/>
        <v>-</v>
      </c>
      <c r="BB318" s="975"/>
      <c r="BC318" s="821"/>
      <c r="BD318" s="821"/>
      <c r="BE318" s="963" t="str">
        <f t="shared" si="239"/>
        <v>-</v>
      </c>
      <c r="BF318" s="984"/>
      <c r="BG318" s="988"/>
      <c r="BH318" s="982"/>
      <c r="BI318" s="991"/>
      <c r="BJ318" s="991"/>
      <c r="BK318" s="993" t="str">
        <f t="shared" si="240"/>
        <v>-</v>
      </c>
      <c r="BL318" s="820">
        <v>42981</v>
      </c>
      <c r="BM318" s="821">
        <v>5</v>
      </c>
      <c r="BN318" s="822">
        <f t="shared" ca="1" si="241"/>
        <v>153</v>
      </c>
      <c r="BO318" s="823">
        <f t="shared" si="242"/>
        <v>105.66666666666667</v>
      </c>
      <c r="BP318" s="824"/>
      <c r="BQ318" s="821"/>
      <c r="BR318" s="822" t="str">
        <f t="shared" si="243"/>
        <v>-</v>
      </c>
      <c r="BS318" s="823" t="str">
        <f t="shared" si="244"/>
        <v>-</v>
      </c>
      <c r="BT318" s="825" t="str">
        <f t="shared" ca="1" si="245"/>
        <v>-</v>
      </c>
      <c r="BU318" s="826"/>
      <c r="BV318" s="827"/>
      <c r="BW318" s="828" t="str">
        <f t="shared" si="246"/>
        <v>Ж-Е НЕ ВАКЦ.</v>
      </c>
      <c r="BX318" s="829" t="str">
        <f t="shared" si="247"/>
        <v>-</v>
      </c>
      <c r="BY318" s="830" t="str">
        <f t="shared" ca="1" si="248"/>
        <v>-</v>
      </c>
      <c r="BZ318" s="831">
        <v>42887</v>
      </c>
      <c r="CA318" s="832">
        <v>5</v>
      </c>
      <c r="CB318" s="833">
        <f t="shared" ca="1" si="249"/>
        <v>247</v>
      </c>
      <c r="CC318" s="834" t="str">
        <f t="shared" ca="1" si="250"/>
        <v>-</v>
      </c>
      <c r="CD318" s="835">
        <f t="shared" si="251"/>
        <v>42908</v>
      </c>
      <c r="CE318" s="831">
        <v>42908</v>
      </c>
      <c r="CF318" s="832">
        <v>5</v>
      </c>
      <c r="CG318" s="833">
        <f t="shared" ca="1" si="252"/>
        <v>226</v>
      </c>
      <c r="CH318" s="836">
        <f t="shared" si="253"/>
        <v>0</v>
      </c>
      <c r="CI318" s="837" t="str">
        <f t="shared" si="254"/>
        <v>УСПЕШНО</v>
      </c>
      <c r="CJ318" s="838" t="str">
        <f t="shared" ca="1" si="255"/>
        <v>-</v>
      </c>
      <c r="CK318" s="831"/>
      <c r="CL318" s="832"/>
      <c r="CM318" s="833" t="str">
        <f t="shared" si="256"/>
        <v>-</v>
      </c>
      <c r="CN318" s="834" t="str">
        <f t="shared" si="257"/>
        <v>-</v>
      </c>
      <c r="CO318" s="830" t="str">
        <f t="shared" ca="1" si="258"/>
        <v>ТРЕБУЕТСЯ ВАКЦИНАЦИЯ</v>
      </c>
      <c r="CP318" s="839"/>
      <c r="CQ318" s="832"/>
      <c r="CR318" s="833" t="str">
        <f t="shared" si="259"/>
        <v>-</v>
      </c>
      <c r="CS318" s="833" t="str">
        <f t="shared" si="260"/>
        <v>-</v>
      </c>
      <c r="CT318" s="834" t="str">
        <f t="shared" si="261"/>
        <v>-</v>
      </c>
      <c r="CU318" s="835" t="str">
        <f t="shared" si="262"/>
        <v>-</v>
      </c>
      <c r="CV318" s="839"/>
      <c r="CW318" s="832"/>
      <c r="CX318" s="833" t="str">
        <f t="shared" si="263"/>
        <v>-</v>
      </c>
      <c r="CY318" s="840" t="str">
        <f t="shared" si="264"/>
        <v>-</v>
      </c>
      <c r="CZ318" s="833" t="str">
        <f t="shared" si="265"/>
        <v>-</v>
      </c>
      <c r="DA318" s="838" t="str">
        <f t="shared" ca="1" si="266"/>
        <v>-</v>
      </c>
      <c r="DB318" s="841"/>
      <c r="DC318" s="832"/>
    </row>
    <row r="319" spans="1:107" s="842" customFormat="1" ht="15.95" customHeight="1" x14ac:dyDescent="0.25">
      <c r="A319" s="790">
        <v>320</v>
      </c>
      <c r="B319" s="791">
        <f t="shared" ca="1" si="215"/>
        <v>43134</v>
      </c>
      <c r="C319" s="29" t="s">
        <v>613</v>
      </c>
      <c r="D319" s="59" t="s">
        <v>3204</v>
      </c>
      <c r="E319" s="794" t="s">
        <v>745</v>
      </c>
      <c r="F319" s="795" t="s">
        <v>746</v>
      </c>
      <c r="G319" s="796">
        <f>SUMIFS(МОЛОКО!L8:L6958,МОЛОКО!F8:F6958,"940",МОЛОКО!L8:L6958,"&gt;0")</f>
        <v>18.8</v>
      </c>
      <c r="H319" s="797" t="s">
        <v>603</v>
      </c>
      <c r="I319" s="798">
        <v>40266</v>
      </c>
      <c r="J319" s="799">
        <f t="shared" ca="1" si="216"/>
        <v>7.8575342465753426</v>
      </c>
      <c r="K319" s="799">
        <f t="shared" ca="1" si="217"/>
        <v>95.6</v>
      </c>
      <c r="L319" s="800">
        <f t="shared" ca="1" si="218"/>
        <v>2868</v>
      </c>
      <c r="M319" s="801">
        <v>41178</v>
      </c>
      <c r="N319" s="802">
        <v>42812</v>
      </c>
      <c r="O319" s="803">
        <f t="shared" ca="1" si="219"/>
        <v>322</v>
      </c>
      <c r="P319" s="804">
        <v>4</v>
      </c>
      <c r="Q319" s="805" t="s">
        <v>1451</v>
      </c>
      <c r="R319" s="806" t="s">
        <v>2269</v>
      </c>
      <c r="S319" s="807">
        <v>42873</v>
      </c>
      <c r="T319" s="798">
        <v>42919</v>
      </c>
      <c r="U319" s="798" t="str">
        <f t="shared" si="220"/>
        <v>-</v>
      </c>
      <c r="V319" s="804" t="str">
        <f t="shared" ca="1" si="221"/>
        <v>-</v>
      </c>
      <c r="W319" s="808">
        <v>2</v>
      </c>
      <c r="X319" s="794">
        <f t="shared" si="267"/>
        <v>107</v>
      </c>
      <c r="Y319" s="794">
        <v>1</v>
      </c>
      <c r="Z319" s="809" t="str">
        <f t="shared" ca="1" si="222"/>
        <v>-----</v>
      </c>
      <c r="AA319" s="810" t="str">
        <f t="shared" ca="1" si="223"/>
        <v>-----</v>
      </c>
      <c r="AB319" s="804">
        <v>1</v>
      </c>
      <c r="AC319" s="811" t="str">
        <f t="shared" ca="1" si="224"/>
        <v>-----</v>
      </c>
      <c r="AD319" s="798">
        <v>42995</v>
      </c>
      <c r="AE319" s="794" t="str">
        <f t="shared" ca="1" si="225"/>
        <v>-</v>
      </c>
      <c r="AF319" s="798" t="str">
        <f t="shared" si="226"/>
        <v>-</v>
      </c>
      <c r="AG319" s="812" t="str">
        <f t="shared" si="227"/>
        <v>---------</v>
      </c>
      <c r="AH319" s="807">
        <v>42951</v>
      </c>
      <c r="AI319" s="807">
        <f t="shared" si="228"/>
        <v>43109</v>
      </c>
      <c r="AJ319" s="807">
        <f t="shared" si="229"/>
        <v>43139</v>
      </c>
      <c r="AK319" s="813"/>
      <c r="AL319" s="807">
        <f t="shared" si="230"/>
        <v>43178</v>
      </c>
      <c r="AM319" s="807">
        <f t="shared" si="231"/>
        <v>43199</v>
      </c>
      <c r="AN319" s="814">
        <f t="shared" ca="1" si="232"/>
        <v>-65</v>
      </c>
      <c r="AO319" s="815">
        <v>1</v>
      </c>
      <c r="AP319" s="816" t="str">
        <f t="shared" ca="1" si="233"/>
        <v>-</v>
      </c>
      <c r="AQ319" s="817"/>
      <c r="AR319" s="794" t="str">
        <f t="shared" si="234"/>
        <v>-</v>
      </c>
      <c r="AS319" s="818"/>
      <c r="AT319" s="794" t="str">
        <f t="shared" si="235"/>
        <v>-</v>
      </c>
      <c r="AU319" s="819"/>
      <c r="AV319" s="820"/>
      <c r="AW319" s="821"/>
      <c r="AX319" s="821"/>
      <c r="AY319" s="969" t="str">
        <f t="shared" si="236"/>
        <v>-</v>
      </c>
      <c r="AZ319" s="966" t="str">
        <f t="shared" si="237"/>
        <v>-</v>
      </c>
      <c r="BA319" s="971" t="str">
        <f t="shared" si="238"/>
        <v>-</v>
      </c>
      <c r="BB319" s="975"/>
      <c r="BC319" s="821"/>
      <c r="BD319" s="821"/>
      <c r="BE319" s="963" t="str">
        <f t="shared" si="239"/>
        <v>-</v>
      </c>
      <c r="BF319" s="984">
        <v>43033</v>
      </c>
      <c r="BG319" s="988" t="s">
        <v>3353</v>
      </c>
      <c r="BH319" s="986" t="s">
        <v>3354</v>
      </c>
      <c r="BI319" s="991">
        <v>5</v>
      </c>
      <c r="BJ319" s="991" t="s">
        <v>3356</v>
      </c>
      <c r="BK319" s="993">
        <f t="shared" ca="1" si="240"/>
        <v>101</v>
      </c>
      <c r="BL319" s="820">
        <v>42980</v>
      </c>
      <c r="BM319" s="821">
        <v>5</v>
      </c>
      <c r="BN319" s="822">
        <f t="shared" ca="1" si="241"/>
        <v>154</v>
      </c>
      <c r="BO319" s="823">
        <f t="shared" si="242"/>
        <v>90.466666666666669</v>
      </c>
      <c r="BP319" s="824"/>
      <c r="BQ319" s="821"/>
      <c r="BR319" s="822" t="str">
        <f t="shared" si="243"/>
        <v>-</v>
      </c>
      <c r="BS319" s="823" t="str">
        <f t="shared" si="244"/>
        <v>-</v>
      </c>
      <c r="BT319" s="825" t="str">
        <f t="shared" ca="1" si="245"/>
        <v>-</v>
      </c>
      <c r="BU319" s="826"/>
      <c r="BV319" s="827"/>
      <c r="BW319" s="828" t="str">
        <f t="shared" si="246"/>
        <v>Ж-Е НЕ ВАКЦ.</v>
      </c>
      <c r="BX319" s="829" t="str">
        <f t="shared" si="247"/>
        <v>-</v>
      </c>
      <c r="BY319" s="830" t="str">
        <f t="shared" ca="1" si="248"/>
        <v>-</v>
      </c>
      <c r="BZ319" s="831">
        <v>42887</v>
      </c>
      <c r="CA319" s="832">
        <v>5</v>
      </c>
      <c r="CB319" s="833">
        <f t="shared" ca="1" si="249"/>
        <v>247</v>
      </c>
      <c r="CC319" s="834" t="str">
        <f t="shared" ca="1" si="250"/>
        <v>-</v>
      </c>
      <c r="CD319" s="835">
        <f t="shared" si="251"/>
        <v>42908</v>
      </c>
      <c r="CE319" s="831">
        <v>42908</v>
      </c>
      <c r="CF319" s="832">
        <v>5</v>
      </c>
      <c r="CG319" s="833">
        <f t="shared" ca="1" si="252"/>
        <v>226</v>
      </c>
      <c r="CH319" s="836">
        <f t="shared" si="253"/>
        <v>0</v>
      </c>
      <c r="CI319" s="837" t="str">
        <f t="shared" si="254"/>
        <v>УСПЕШНО</v>
      </c>
      <c r="CJ319" s="838" t="str">
        <f t="shared" ca="1" si="255"/>
        <v>-</v>
      </c>
      <c r="CK319" s="831"/>
      <c r="CL319" s="832"/>
      <c r="CM319" s="833" t="str">
        <f t="shared" si="256"/>
        <v>-</v>
      </c>
      <c r="CN319" s="834" t="str">
        <f t="shared" si="257"/>
        <v>-</v>
      </c>
      <c r="CO319" s="830" t="str">
        <f t="shared" ca="1" si="258"/>
        <v>ТРЕБУЕТСЯ ВАКЦИНАЦИЯ</v>
      </c>
      <c r="CP319" s="839"/>
      <c r="CQ319" s="832"/>
      <c r="CR319" s="833" t="str">
        <f t="shared" si="259"/>
        <v>-</v>
      </c>
      <c r="CS319" s="833" t="str">
        <f t="shared" si="260"/>
        <v>-</v>
      </c>
      <c r="CT319" s="834" t="str">
        <f t="shared" si="261"/>
        <v>-</v>
      </c>
      <c r="CU319" s="835" t="str">
        <f t="shared" si="262"/>
        <v>-</v>
      </c>
      <c r="CV319" s="839"/>
      <c r="CW319" s="832"/>
      <c r="CX319" s="833" t="str">
        <f t="shared" si="263"/>
        <v>-</v>
      </c>
      <c r="CY319" s="840" t="str">
        <f t="shared" si="264"/>
        <v>-</v>
      </c>
      <c r="CZ319" s="833" t="str">
        <f t="shared" si="265"/>
        <v>-</v>
      </c>
      <c r="DA319" s="838" t="str">
        <f t="shared" ca="1" si="266"/>
        <v>-</v>
      </c>
      <c r="DB319" s="841"/>
      <c r="DC319" s="832"/>
    </row>
    <row r="320" spans="1:107" s="842" customFormat="1" ht="15.95" customHeight="1" x14ac:dyDescent="0.25">
      <c r="A320" s="790">
        <v>321</v>
      </c>
      <c r="B320" s="791">
        <f t="shared" ca="1" si="215"/>
        <v>43134</v>
      </c>
      <c r="C320" s="792" t="s">
        <v>613</v>
      </c>
      <c r="D320" s="793" t="s">
        <v>3204</v>
      </c>
      <c r="E320" s="794" t="s">
        <v>338</v>
      </c>
      <c r="F320" s="795" t="s">
        <v>339</v>
      </c>
      <c r="G320" s="796">
        <f>SUMIFS(МОЛОКО!L8:L6958,МОЛОКО!F8:F6958,"1018",МОЛОКО!L8:L6958,"&gt;0")</f>
        <v>13</v>
      </c>
      <c r="H320" s="797" t="s">
        <v>603</v>
      </c>
      <c r="I320" s="798">
        <v>40352</v>
      </c>
      <c r="J320" s="799">
        <f t="shared" ca="1" si="216"/>
        <v>7.6219178082191785</v>
      </c>
      <c r="K320" s="799">
        <f t="shared" ca="1" si="217"/>
        <v>92.733333333333334</v>
      </c>
      <c r="L320" s="800">
        <f t="shared" ca="1" si="218"/>
        <v>2782</v>
      </c>
      <c r="M320" s="801">
        <v>41311</v>
      </c>
      <c r="N320" s="802">
        <v>42858</v>
      </c>
      <c r="O320" s="803">
        <f t="shared" ca="1" si="219"/>
        <v>276</v>
      </c>
      <c r="P320" s="804">
        <v>4</v>
      </c>
      <c r="Q320" s="805" t="s">
        <v>2366</v>
      </c>
      <c r="R320" s="806" t="s">
        <v>2269</v>
      </c>
      <c r="S320" s="807">
        <v>42922</v>
      </c>
      <c r="T320" s="798">
        <v>42922</v>
      </c>
      <c r="U320" s="798" t="str">
        <f t="shared" si="220"/>
        <v>-</v>
      </c>
      <c r="V320" s="804" t="str">
        <f t="shared" ca="1" si="221"/>
        <v>-</v>
      </c>
      <c r="W320" s="808">
        <v>1</v>
      </c>
      <c r="X320" s="794">
        <f t="shared" si="267"/>
        <v>64</v>
      </c>
      <c r="Y320" s="794">
        <v>1</v>
      </c>
      <c r="Z320" s="809" t="str">
        <f t="shared" ca="1" si="222"/>
        <v>-----</v>
      </c>
      <c r="AA320" s="810" t="str">
        <f t="shared" ca="1" si="223"/>
        <v>-----</v>
      </c>
      <c r="AB320" s="804">
        <v>1</v>
      </c>
      <c r="AC320" s="811" t="str">
        <f t="shared" ca="1" si="224"/>
        <v>-----</v>
      </c>
      <c r="AD320" s="798">
        <v>43043</v>
      </c>
      <c r="AE320" s="794" t="str">
        <f t="shared" ca="1" si="225"/>
        <v>-</v>
      </c>
      <c r="AF320" s="798" t="str">
        <f t="shared" si="226"/>
        <v>-</v>
      </c>
      <c r="AG320" s="812" t="str">
        <f t="shared" si="227"/>
        <v>---------</v>
      </c>
      <c r="AH320" s="807">
        <v>42954</v>
      </c>
      <c r="AI320" s="807">
        <f t="shared" si="228"/>
        <v>43112</v>
      </c>
      <c r="AJ320" s="807">
        <f t="shared" si="229"/>
        <v>43142</v>
      </c>
      <c r="AK320" s="813"/>
      <c r="AL320" s="807">
        <f t="shared" si="230"/>
        <v>43181</v>
      </c>
      <c r="AM320" s="807">
        <f t="shared" si="231"/>
        <v>43202</v>
      </c>
      <c r="AN320" s="814">
        <f t="shared" ca="1" si="232"/>
        <v>-68</v>
      </c>
      <c r="AO320" s="815">
        <v>1</v>
      </c>
      <c r="AP320" s="816" t="str">
        <f t="shared" ca="1" si="233"/>
        <v>-</v>
      </c>
      <c r="AQ320" s="441" t="s">
        <v>3491</v>
      </c>
      <c r="AR320" s="794" t="str">
        <f t="shared" si="234"/>
        <v>-</v>
      </c>
      <c r="AS320" s="818"/>
      <c r="AT320" s="794" t="str">
        <f t="shared" si="235"/>
        <v>-</v>
      </c>
      <c r="AU320" s="819"/>
      <c r="AV320" s="820"/>
      <c r="AW320" s="821"/>
      <c r="AX320" s="821"/>
      <c r="AY320" s="969" t="str">
        <f t="shared" si="236"/>
        <v>-</v>
      </c>
      <c r="AZ320" s="966" t="str">
        <f t="shared" si="237"/>
        <v>-</v>
      </c>
      <c r="BA320" s="971" t="str">
        <f t="shared" si="238"/>
        <v>-</v>
      </c>
      <c r="BB320" s="975"/>
      <c r="BC320" s="821"/>
      <c r="BD320" s="821"/>
      <c r="BE320" s="963" t="str">
        <f t="shared" si="239"/>
        <v>-</v>
      </c>
      <c r="BF320" s="984"/>
      <c r="BG320" s="988"/>
      <c r="BH320" s="982"/>
      <c r="BI320" s="991"/>
      <c r="BJ320" s="991"/>
      <c r="BK320" s="993" t="str">
        <f t="shared" si="240"/>
        <v>-</v>
      </c>
      <c r="BL320" s="820">
        <v>42980</v>
      </c>
      <c r="BM320" s="821">
        <v>5</v>
      </c>
      <c r="BN320" s="822">
        <f t="shared" ca="1" si="241"/>
        <v>154</v>
      </c>
      <c r="BO320" s="823">
        <f t="shared" si="242"/>
        <v>87.6</v>
      </c>
      <c r="BP320" s="824"/>
      <c r="BQ320" s="821"/>
      <c r="BR320" s="822" t="str">
        <f t="shared" si="243"/>
        <v>-</v>
      </c>
      <c r="BS320" s="823" t="str">
        <f t="shared" si="244"/>
        <v>-</v>
      </c>
      <c r="BT320" s="825" t="str">
        <f t="shared" ca="1" si="245"/>
        <v>-</v>
      </c>
      <c r="BU320" s="826"/>
      <c r="BV320" s="827"/>
      <c r="BW320" s="828" t="str">
        <f t="shared" si="246"/>
        <v>Ж-Е НЕ ВАКЦ.</v>
      </c>
      <c r="BX320" s="829" t="str">
        <f t="shared" si="247"/>
        <v>-</v>
      </c>
      <c r="BY320" s="830" t="str">
        <f t="shared" ca="1" si="248"/>
        <v>-</v>
      </c>
      <c r="BZ320" s="831">
        <v>42888</v>
      </c>
      <c r="CA320" s="832">
        <v>5</v>
      </c>
      <c r="CB320" s="833">
        <f t="shared" ca="1" si="249"/>
        <v>246</v>
      </c>
      <c r="CC320" s="834" t="str">
        <f t="shared" ca="1" si="250"/>
        <v>-</v>
      </c>
      <c r="CD320" s="835">
        <f t="shared" si="251"/>
        <v>42909</v>
      </c>
      <c r="CE320" s="831">
        <v>42909</v>
      </c>
      <c r="CF320" s="832">
        <v>5</v>
      </c>
      <c r="CG320" s="833">
        <f t="shared" ca="1" si="252"/>
        <v>225</v>
      </c>
      <c r="CH320" s="836">
        <f t="shared" si="253"/>
        <v>0</v>
      </c>
      <c r="CI320" s="837" t="str">
        <f t="shared" si="254"/>
        <v>УСПЕШНО</v>
      </c>
      <c r="CJ320" s="838" t="str">
        <f t="shared" ca="1" si="255"/>
        <v>-</v>
      </c>
      <c r="CK320" s="831"/>
      <c r="CL320" s="832"/>
      <c r="CM320" s="833" t="str">
        <f t="shared" si="256"/>
        <v>-</v>
      </c>
      <c r="CN320" s="834" t="str">
        <f t="shared" si="257"/>
        <v>-</v>
      </c>
      <c r="CO320" s="830" t="str">
        <f t="shared" ca="1" si="258"/>
        <v>ТРЕБУЕТСЯ ВАКЦИНАЦИЯ</v>
      </c>
      <c r="CP320" s="839"/>
      <c r="CQ320" s="832"/>
      <c r="CR320" s="833" t="str">
        <f t="shared" si="259"/>
        <v>-</v>
      </c>
      <c r="CS320" s="833" t="str">
        <f t="shared" si="260"/>
        <v>-</v>
      </c>
      <c r="CT320" s="834" t="str">
        <f t="shared" si="261"/>
        <v>-</v>
      </c>
      <c r="CU320" s="835" t="str">
        <f t="shared" si="262"/>
        <v>-</v>
      </c>
      <c r="CV320" s="839"/>
      <c r="CW320" s="832"/>
      <c r="CX320" s="833" t="str">
        <f t="shared" si="263"/>
        <v>-</v>
      </c>
      <c r="CY320" s="840" t="str">
        <f t="shared" si="264"/>
        <v>-</v>
      </c>
      <c r="CZ320" s="833" t="str">
        <f t="shared" si="265"/>
        <v>-</v>
      </c>
      <c r="DA320" s="838" t="str">
        <f t="shared" ca="1" si="266"/>
        <v>-</v>
      </c>
      <c r="DB320" s="841"/>
      <c r="DC320" s="832"/>
    </row>
    <row r="321" spans="1:107" s="842" customFormat="1" ht="15.95" customHeight="1" x14ac:dyDescent="0.25">
      <c r="A321" s="790">
        <v>322</v>
      </c>
      <c r="B321" s="791">
        <f t="shared" ca="1" si="215"/>
        <v>43134</v>
      </c>
      <c r="C321" s="792" t="s">
        <v>613</v>
      </c>
      <c r="D321" s="793" t="s">
        <v>3204</v>
      </c>
      <c r="E321" s="794" t="s">
        <v>631</v>
      </c>
      <c r="F321" s="795" t="s">
        <v>888</v>
      </c>
      <c r="G321" s="796">
        <f>SUMIFS(МОЛОКО!L8:L6958,МОЛОКО!F8:F6958,"1666",МОЛОКО!L8:L6958,"&gt;0")</f>
        <v>15.4</v>
      </c>
      <c r="H321" s="797" t="s">
        <v>603</v>
      </c>
      <c r="I321" s="798">
        <v>41148</v>
      </c>
      <c r="J321" s="799">
        <f t="shared" ca="1" si="216"/>
        <v>5.441095890410959</v>
      </c>
      <c r="K321" s="799">
        <f t="shared" ca="1" si="217"/>
        <v>66.2</v>
      </c>
      <c r="L321" s="800">
        <f t="shared" ca="1" si="218"/>
        <v>1986</v>
      </c>
      <c r="M321" s="801">
        <v>41846</v>
      </c>
      <c r="N321" s="802">
        <v>42629</v>
      </c>
      <c r="O321" s="803">
        <f t="shared" ca="1" si="219"/>
        <v>505</v>
      </c>
      <c r="P321" s="804">
        <v>3</v>
      </c>
      <c r="Q321" s="805" t="s">
        <v>2366</v>
      </c>
      <c r="R321" s="806" t="s">
        <v>2269</v>
      </c>
      <c r="S321" s="807">
        <v>42696</v>
      </c>
      <c r="T321" s="798">
        <v>42868</v>
      </c>
      <c r="U321" s="798" t="str">
        <f t="shared" si="220"/>
        <v>-</v>
      </c>
      <c r="V321" s="804" t="str">
        <f t="shared" ca="1" si="221"/>
        <v>-</v>
      </c>
      <c r="W321" s="808">
        <v>4</v>
      </c>
      <c r="X321" s="794">
        <f t="shared" si="267"/>
        <v>239</v>
      </c>
      <c r="Y321" s="794">
        <v>1</v>
      </c>
      <c r="Z321" s="809" t="str">
        <f t="shared" ca="1" si="222"/>
        <v>-----</v>
      </c>
      <c r="AA321" s="810" t="str">
        <f t="shared" ca="1" si="223"/>
        <v>-----</v>
      </c>
      <c r="AB321" s="804">
        <v>1</v>
      </c>
      <c r="AC321" s="811" t="str">
        <f t="shared" ca="1" si="224"/>
        <v>-----</v>
      </c>
      <c r="AD321" s="798">
        <v>42930</v>
      </c>
      <c r="AE321" s="794" t="str">
        <f t="shared" ca="1" si="225"/>
        <v>-</v>
      </c>
      <c r="AF321" s="798" t="str">
        <f t="shared" si="226"/>
        <v>-</v>
      </c>
      <c r="AG321" s="812" t="str">
        <f t="shared" si="227"/>
        <v>---------</v>
      </c>
      <c r="AH321" s="807">
        <v>42903</v>
      </c>
      <c r="AI321" s="807">
        <f t="shared" si="228"/>
        <v>43058</v>
      </c>
      <c r="AJ321" s="807">
        <f t="shared" si="229"/>
        <v>43088</v>
      </c>
      <c r="AK321" s="813"/>
      <c r="AL321" s="807">
        <f t="shared" si="230"/>
        <v>43127</v>
      </c>
      <c r="AM321" s="807">
        <f t="shared" si="231"/>
        <v>43148</v>
      </c>
      <c r="AN321" s="814">
        <f t="shared" ca="1" si="232"/>
        <v>-14</v>
      </c>
      <c r="AO321" s="815">
        <v>1</v>
      </c>
      <c r="AP321" s="816" t="str">
        <f t="shared" ca="1" si="233"/>
        <v>-</v>
      </c>
      <c r="AQ321" s="817"/>
      <c r="AR321" s="794" t="str">
        <f t="shared" si="234"/>
        <v>-</v>
      </c>
      <c r="AS321" s="818"/>
      <c r="AT321" s="794" t="str">
        <f t="shared" si="235"/>
        <v>-</v>
      </c>
      <c r="AU321" s="819"/>
      <c r="AV321" s="820"/>
      <c r="AW321" s="821"/>
      <c r="AX321" s="821"/>
      <c r="AY321" s="969" t="str">
        <f t="shared" si="236"/>
        <v>-</v>
      </c>
      <c r="AZ321" s="966" t="str">
        <f t="shared" si="237"/>
        <v>-</v>
      </c>
      <c r="BA321" s="971" t="str">
        <f t="shared" si="238"/>
        <v>-</v>
      </c>
      <c r="BB321" s="975"/>
      <c r="BC321" s="821"/>
      <c r="BD321" s="821"/>
      <c r="BE321" s="963" t="str">
        <f t="shared" si="239"/>
        <v>-</v>
      </c>
      <c r="BF321" s="984"/>
      <c r="BG321" s="988"/>
      <c r="BH321" s="982"/>
      <c r="BI321" s="991"/>
      <c r="BJ321" s="991"/>
      <c r="BK321" s="993" t="str">
        <f t="shared" si="240"/>
        <v>-</v>
      </c>
      <c r="BL321" s="820">
        <v>42981</v>
      </c>
      <c r="BM321" s="821">
        <v>5</v>
      </c>
      <c r="BN321" s="822">
        <f t="shared" ca="1" si="241"/>
        <v>153</v>
      </c>
      <c r="BO321" s="823">
        <f t="shared" si="242"/>
        <v>61.1</v>
      </c>
      <c r="BP321" s="824"/>
      <c r="BQ321" s="821"/>
      <c r="BR321" s="822" t="str">
        <f t="shared" si="243"/>
        <v>-</v>
      </c>
      <c r="BS321" s="823" t="str">
        <f t="shared" si="244"/>
        <v>-</v>
      </c>
      <c r="BT321" s="825" t="str">
        <f t="shared" ca="1" si="245"/>
        <v>-</v>
      </c>
      <c r="BU321" s="826"/>
      <c r="BV321" s="827"/>
      <c r="BW321" s="828" t="str">
        <f t="shared" si="246"/>
        <v>Ж-Е НЕ ВАКЦ.</v>
      </c>
      <c r="BX321" s="829" t="str">
        <f t="shared" si="247"/>
        <v>-</v>
      </c>
      <c r="BY321" s="830" t="str">
        <f t="shared" ca="1" si="248"/>
        <v>-</v>
      </c>
      <c r="BZ321" s="831">
        <v>42887</v>
      </c>
      <c r="CA321" s="832">
        <v>5</v>
      </c>
      <c r="CB321" s="833">
        <f t="shared" ca="1" si="249"/>
        <v>247</v>
      </c>
      <c r="CC321" s="834" t="str">
        <f t="shared" ca="1" si="250"/>
        <v>-</v>
      </c>
      <c r="CD321" s="835">
        <f t="shared" si="251"/>
        <v>42908</v>
      </c>
      <c r="CE321" s="831">
        <v>42908</v>
      </c>
      <c r="CF321" s="832">
        <v>5</v>
      </c>
      <c r="CG321" s="833">
        <f t="shared" ca="1" si="252"/>
        <v>226</v>
      </c>
      <c r="CH321" s="836">
        <f t="shared" si="253"/>
        <v>0</v>
      </c>
      <c r="CI321" s="837" t="str">
        <f t="shared" si="254"/>
        <v>УСПЕШНО</v>
      </c>
      <c r="CJ321" s="838" t="str">
        <f t="shared" ca="1" si="255"/>
        <v>-</v>
      </c>
      <c r="CK321" s="831"/>
      <c r="CL321" s="832"/>
      <c r="CM321" s="833" t="str">
        <f t="shared" si="256"/>
        <v>-</v>
      </c>
      <c r="CN321" s="834" t="str">
        <f t="shared" si="257"/>
        <v>-</v>
      </c>
      <c r="CO321" s="830" t="str">
        <f t="shared" ca="1" si="258"/>
        <v>ТРЕБУЕТСЯ ВАКЦИНАЦИЯ</v>
      </c>
      <c r="CP321" s="839"/>
      <c r="CQ321" s="832"/>
      <c r="CR321" s="833" t="str">
        <f t="shared" si="259"/>
        <v>-</v>
      </c>
      <c r="CS321" s="833" t="str">
        <f t="shared" si="260"/>
        <v>-</v>
      </c>
      <c r="CT321" s="834" t="str">
        <f t="shared" si="261"/>
        <v>-</v>
      </c>
      <c r="CU321" s="835" t="str">
        <f t="shared" si="262"/>
        <v>-</v>
      </c>
      <c r="CV321" s="839"/>
      <c r="CW321" s="832"/>
      <c r="CX321" s="833" t="str">
        <f t="shared" si="263"/>
        <v>-</v>
      </c>
      <c r="CY321" s="840" t="str">
        <f t="shared" si="264"/>
        <v>-</v>
      </c>
      <c r="CZ321" s="833" t="str">
        <f t="shared" si="265"/>
        <v>-</v>
      </c>
      <c r="DA321" s="838" t="str">
        <f t="shared" ca="1" si="266"/>
        <v>-</v>
      </c>
      <c r="DB321" s="841"/>
      <c r="DC321" s="832"/>
    </row>
    <row r="322" spans="1:107" s="842" customFormat="1" ht="15.95" customHeight="1" x14ac:dyDescent="0.25">
      <c r="A322" s="790">
        <v>323</v>
      </c>
      <c r="B322" s="791">
        <f t="shared" ca="1" si="215"/>
        <v>43134</v>
      </c>
      <c r="C322" s="792" t="s">
        <v>613</v>
      </c>
      <c r="D322" s="793" t="s">
        <v>3204</v>
      </c>
      <c r="E322" s="794" t="s">
        <v>784</v>
      </c>
      <c r="F322" s="795" t="s">
        <v>785</v>
      </c>
      <c r="G322" s="796">
        <f>SUMIFS(МОЛОКО!L8:L6958,МОЛОКО!F8:F6958,"1691",МОЛОКО!L8:L6958,"&gt;0")</f>
        <v>20.3</v>
      </c>
      <c r="H322" s="797" t="s">
        <v>603</v>
      </c>
      <c r="I322" s="798">
        <v>41175</v>
      </c>
      <c r="J322" s="799">
        <f t="shared" ca="1" si="216"/>
        <v>5.3671232876712329</v>
      </c>
      <c r="K322" s="799">
        <f t="shared" ca="1" si="217"/>
        <v>65.3</v>
      </c>
      <c r="L322" s="800">
        <f t="shared" ca="1" si="218"/>
        <v>1959</v>
      </c>
      <c r="M322" s="801">
        <v>41759</v>
      </c>
      <c r="N322" s="802">
        <v>42854</v>
      </c>
      <c r="O322" s="803">
        <f t="shared" ca="1" si="219"/>
        <v>280</v>
      </c>
      <c r="P322" s="804">
        <v>4</v>
      </c>
      <c r="Q322" s="805" t="s">
        <v>2366</v>
      </c>
      <c r="R322" s="806" t="s">
        <v>3020</v>
      </c>
      <c r="S322" s="807">
        <v>42915</v>
      </c>
      <c r="T322" s="798">
        <v>42977</v>
      </c>
      <c r="U322" s="798" t="str">
        <f t="shared" si="220"/>
        <v>-</v>
      </c>
      <c r="V322" s="804" t="str">
        <f t="shared" ca="1" si="221"/>
        <v>-</v>
      </c>
      <c r="W322" s="808">
        <v>2</v>
      </c>
      <c r="X322" s="794">
        <f t="shared" si="267"/>
        <v>123</v>
      </c>
      <c r="Y322" s="794">
        <v>1</v>
      </c>
      <c r="Z322" s="809" t="str">
        <f t="shared" ca="1" si="222"/>
        <v>-----</v>
      </c>
      <c r="AA322" s="810" t="str">
        <f t="shared" ca="1" si="223"/>
        <v>-----</v>
      </c>
      <c r="AB322" s="804">
        <v>1</v>
      </c>
      <c r="AC322" s="811" t="str">
        <f t="shared" ca="1" si="224"/>
        <v>-----</v>
      </c>
      <c r="AD322" s="798">
        <v>43047</v>
      </c>
      <c r="AE322" s="794" t="str">
        <f t="shared" ca="1" si="225"/>
        <v>-</v>
      </c>
      <c r="AF322" s="798" t="str">
        <f t="shared" si="226"/>
        <v>-</v>
      </c>
      <c r="AG322" s="812" t="str">
        <f t="shared" si="227"/>
        <v>---------</v>
      </c>
      <c r="AH322" s="807">
        <v>43010</v>
      </c>
      <c r="AI322" s="807">
        <f t="shared" si="228"/>
        <v>43167</v>
      </c>
      <c r="AJ322" s="807">
        <f t="shared" si="229"/>
        <v>43197</v>
      </c>
      <c r="AK322" s="813"/>
      <c r="AL322" s="807">
        <f t="shared" si="230"/>
        <v>43236</v>
      </c>
      <c r="AM322" s="807">
        <f t="shared" si="231"/>
        <v>43257</v>
      </c>
      <c r="AN322" s="814">
        <f t="shared" ca="1" si="232"/>
        <v>-123</v>
      </c>
      <c r="AO322" s="815">
        <v>1</v>
      </c>
      <c r="AP322" s="816" t="str">
        <f t="shared" ca="1" si="233"/>
        <v>-</v>
      </c>
      <c r="AQ322" s="817"/>
      <c r="AR322" s="794" t="str">
        <f t="shared" si="234"/>
        <v>-</v>
      </c>
      <c r="AS322" s="818"/>
      <c r="AT322" s="794" t="str">
        <f t="shared" si="235"/>
        <v>-</v>
      </c>
      <c r="AU322" s="819"/>
      <c r="AV322" s="820"/>
      <c r="AW322" s="821"/>
      <c r="AX322" s="821"/>
      <c r="AY322" s="969" t="str">
        <f t="shared" si="236"/>
        <v>-</v>
      </c>
      <c r="AZ322" s="966" t="str">
        <f t="shared" si="237"/>
        <v>-</v>
      </c>
      <c r="BA322" s="971" t="str">
        <f t="shared" si="238"/>
        <v>-</v>
      </c>
      <c r="BB322" s="975"/>
      <c r="BC322" s="821"/>
      <c r="BD322" s="821"/>
      <c r="BE322" s="963" t="str">
        <f t="shared" si="239"/>
        <v>-</v>
      </c>
      <c r="BF322" s="984"/>
      <c r="BG322" s="988"/>
      <c r="BH322" s="982"/>
      <c r="BI322" s="991"/>
      <c r="BJ322" s="991"/>
      <c r="BK322" s="993" t="str">
        <f t="shared" si="240"/>
        <v>-</v>
      </c>
      <c r="BL322" s="820">
        <v>42980</v>
      </c>
      <c r="BM322" s="821">
        <v>5</v>
      </c>
      <c r="BN322" s="822">
        <f t="shared" ca="1" si="241"/>
        <v>154</v>
      </c>
      <c r="BO322" s="823">
        <f t="shared" si="242"/>
        <v>60.166666666666664</v>
      </c>
      <c r="BP322" s="824"/>
      <c r="BQ322" s="821"/>
      <c r="BR322" s="822" t="str">
        <f t="shared" si="243"/>
        <v>-</v>
      </c>
      <c r="BS322" s="823" t="str">
        <f t="shared" si="244"/>
        <v>-</v>
      </c>
      <c r="BT322" s="825" t="str">
        <f t="shared" ca="1" si="245"/>
        <v>-</v>
      </c>
      <c r="BU322" s="826"/>
      <c r="BV322" s="827"/>
      <c r="BW322" s="828" t="str">
        <f t="shared" si="246"/>
        <v>Ж-Е НЕ ВАКЦ.</v>
      </c>
      <c r="BX322" s="829" t="str">
        <f t="shared" si="247"/>
        <v>-</v>
      </c>
      <c r="BY322" s="830" t="str">
        <f t="shared" ca="1" si="248"/>
        <v>-</v>
      </c>
      <c r="BZ322" s="831">
        <v>42887</v>
      </c>
      <c r="CA322" s="832">
        <v>5</v>
      </c>
      <c r="CB322" s="833">
        <f t="shared" ca="1" si="249"/>
        <v>247</v>
      </c>
      <c r="CC322" s="834" t="str">
        <f t="shared" ca="1" si="250"/>
        <v>-</v>
      </c>
      <c r="CD322" s="835">
        <f t="shared" si="251"/>
        <v>42908</v>
      </c>
      <c r="CE322" s="831">
        <v>42908</v>
      </c>
      <c r="CF322" s="832">
        <v>5</v>
      </c>
      <c r="CG322" s="833">
        <f t="shared" ca="1" si="252"/>
        <v>226</v>
      </c>
      <c r="CH322" s="836">
        <f t="shared" si="253"/>
        <v>0</v>
      </c>
      <c r="CI322" s="837" t="str">
        <f t="shared" si="254"/>
        <v>УСПЕШНО</v>
      </c>
      <c r="CJ322" s="838" t="str">
        <f t="shared" ca="1" si="255"/>
        <v>-</v>
      </c>
      <c r="CK322" s="831"/>
      <c r="CL322" s="832"/>
      <c r="CM322" s="833" t="str">
        <f t="shared" si="256"/>
        <v>-</v>
      </c>
      <c r="CN322" s="834" t="str">
        <f t="shared" si="257"/>
        <v>-</v>
      </c>
      <c r="CO322" s="830" t="str">
        <f t="shared" ca="1" si="258"/>
        <v>-</v>
      </c>
      <c r="CP322" s="839"/>
      <c r="CQ322" s="832"/>
      <c r="CR322" s="833" t="str">
        <f t="shared" si="259"/>
        <v>-</v>
      </c>
      <c r="CS322" s="833" t="str">
        <f t="shared" si="260"/>
        <v>-</v>
      </c>
      <c r="CT322" s="834" t="str">
        <f t="shared" si="261"/>
        <v>-</v>
      </c>
      <c r="CU322" s="835" t="str">
        <f t="shared" si="262"/>
        <v>-</v>
      </c>
      <c r="CV322" s="839"/>
      <c r="CW322" s="832"/>
      <c r="CX322" s="833" t="str">
        <f t="shared" si="263"/>
        <v>-</v>
      </c>
      <c r="CY322" s="840" t="str">
        <f t="shared" si="264"/>
        <v>-</v>
      </c>
      <c r="CZ322" s="833" t="str">
        <f t="shared" si="265"/>
        <v>-</v>
      </c>
      <c r="DA322" s="838" t="str">
        <f t="shared" ca="1" si="266"/>
        <v>-</v>
      </c>
      <c r="DB322" s="841"/>
      <c r="DC322" s="832"/>
    </row>
    <row r="323" spans="1:107" s="842" customFormat="1" ht="15.95" customHeight="1" x14ac:dyDescent="0.25">
      <c r="A323" s="790">
        <v>324</v>
      </c>
      <c r="B323" s="791">
        <f t="shared" ref="B323:B386" ca="1" si="268">TODAY()</f>
        <v>43134</v>
      </c>
      <c r="C323" s="29" t="s">
        <v>613</v>
      </c>
      <c r="D323" s="59" t="s">
        <v>3204</v>
      </c>
      <c r="E323" s="794" t="s">
        <v>576</v>
      </c>
      <c r="F323" s="795" t="s">
        <v>892</v>
      </c>
      <c r="G323" s="796">
        <f>SUMIFS(МОЛОКО!L8:L6958,МОЛОКО!F8:F6958,"1704",МОЛОКО!L8:L6958,"&gt;0")</f>
        <v>16.8</v>
      </c>
      <c r="H323" s="797" t="s">
        <v>603</v>
      </c>
      <c r="I323" s="798">
        <v>41191</v>
      </c>
      <c r="J323" s="799">
        <f t="shared" ref="J323:J386" ca="1" si="269">(B323-I323)/365</f>
        <v>5.3232876712328769</v>
      </c>
      <c r="K323" s="799">
        <f t="shared" ref="K323:K386" ca="1" si="270">(B323-I323)/30</f>
        <v>64.766666666666666</v>
      </c>
      <c r="L323" s="800">
        <f t="shared" ref="L323:L386" ca="1" si="271">B323-I323</f>
        <v>1943</v>
      </c>
      <c r="M323" s="801">
        <v>41872</v>
      </c>
      <c r="N323" s="802">
        <v>42836</v>
      </c>
      <c r="O323" s="803">
        <f t="shared" ref="O323:O386" ca="1" si="272">IF(AND(B323&gt;0,N323&gt;0),B323-N323,"-")</f>
        <v>298</v>
      </c>
      <c r="P323" s="804">
        <v>3</v>
      </c>
      <c r="Q323" s="805" t="s">
        <v>2366</v>
      </c>
      <c r="R323" s="806" t="s">
        <v>1816</v>
      </c>
      <c r="S323" s="807">
        <v>42916</v>
      </c>
      <c r="T323" s="798">
        <v>42916</v>
      </c>
      <c r="U323" s="798" t="str">
        <f t="shared" ref="U323:U386" si="273">IF(AND(Y323&gt;1,T323&gt;0),T323+18,"-")</f>
        <v>-</v>
      </c>
      <c r="V323" s="804" t="str">
        <f t="shared" ref="V323:V386" ca="1" si="274">IF(AND(U323&gt;0,B323&gt;0,Y323&gt;1),B323-U323,"-")</f>
        <v>-</v>
      </c>
      <c r="W323" s="808">
        <v>1</v>
      </c>
      <c r="X323" s="794">
        <f t="shared" si="267"/>
        <v>80</v>
      </c>
      <c r="Y323" s="794">
        <v>1</v>
      </c>
      <c r="Z323" s="809" t="str">
        <f t="shared" ref="Z323:Z386" ca="1" si="275">IF(AND(Y323=1,AA323&gt;71,OR(ISBLANK(AB323),AB323=2)),"ПОДЛЕЖИТ ПЕРЕПРОВЕРКЕ","-----")</f>
        <v>-----</v>
      </c>
      <c r="AA323" s="810" t="str">
        <f t="shared" ref="AA323:AA386" ca="1" si="276">IF(AND(O323&gt;-1,W323&gt;0,Y323=1,AB323=1),"-----",B323-T323)</f>
        <v>-----</v>
      </c>
      <c r="AB323" s="804">
        <v>1</v>
      </c>
      <c r="AC323" s="811" t="str">
        <f t="shared" ref="AC323:AC386" ca="1" si="277">IF(AND(AB323&lt;1,Z323="ПОДЛЕЖИТ ПЕРЕПРОВЕРКЕ",Y323=1),T323+72,"-----")</f>
        <v>-----</v>
      </c>
      <c r="AD323" s="798">
        <v>43043</v>
      </c>
      <c r="AE323" s="794" t="str">
        <f t="shared" ref="AE323:AE386" ca="1" si="278">IF(AND(O323&gt;120,Y323=0,N323&gt;0),"яловая","-")</f>
        <v>-</v>
      </c>
      <c r="AF323" s="798" t="str">
        <f t="shared" ref="AF323:AF386" si="279">IF(AND(T323&gt;0,OR(Y323=3,Y323=2)),T323+35,"-")</f>
        <v>-</v>
      </c>
      <c r="AG323" s="812" t="str">
        <f t="shared" ref="AG323:AG386" si="280">IF(AND(T323&gt;0,W323&gt;0,Q323&gt;0,OR(Y323=3,Y323=2)),B323-AF323,"---------")</f>
        <v>---------</v>
      </c>
      <c r="AH323" s="807">
        <v>42947</v>
      </c>
      <c r="AI323" s="807">
        <f t="shared" ref="AI323:AI386" si="281">IF(AND($T323&gt;0,$N323&gt;0,$Y323=1),$T323+280-90,"-")</f>
        <v>43106</v>
      </c>
      <c r="AJ323" s="807">
        <f t="shared" ref="AJ323:AJ386" si="282">IF(AND(T323&gt;0,Y323=1,N323&gt;0),T323+280-60,"-")</f>
        <v>43136</v>
      </c>
      <c r="AK323" s="813"/>
      <c r="AL323" s="807">
        <f t="shared" ref="AL323:AL386" si="283">IF(AND($T323&gt;0,$Y323=1),$T323+280-21,"-")</f>
        <v>43175</v>
      </c>
      <c r="AM323" s="807">
        <f t="shared" ref="AM323:AM386" si="284">IF(AND(T323&gt;0,Y323=1),T323+280,"-")</f>
        <v>43196</v>
      </c>
      <c r="AN323" s="814">
        <f t="shared" ref="AN323:AN386" ca="1" si="285">IF(AND(B323&gt;0,AM323&gt;0,AH323&gt;0,Y323=1),B323-AM323,"-")</f>
        <v>-62</v>
      </c>
      <c r="AO323" s="815">
        <v>1</v>
      </c>
      <c r="AP323" s="816" t="str">
        <f t="shared" ref="AP323:AP386" ca="1" si="286">IF(AND(AE323="яловая",O323&gt;300),"БРАК","-")</f>
        <v>-</v>
      </c>
      <c r="AQ323" s="817"/>
      <c r="AR323" s="794" t="str">
        <f t="shared" ref="AR323:AR386" si="287">IF(AND(Y323=1,P323=0),"НЕТЕЛЬ","-")</f>
        <v>-</v>
      </c>
      <c r="AS323" s="818"/>
      <c r="AT323" s="794" t="str">
        <f t="shared" ref="AT323:AT386" si="288">IF(AND(N323&gt;0,T323&gt;0,W323&gt;0,Y323=1,AH323&gt;0,AK323&gt;0),"DRY COW","-")</f>
        <v>-</v>
      </c>
      <c r="AU323" s="819"/>
      <c r="AV323" s="820"/>
      <c r="AW323" s="821"/>
      <c r="AX323" s="821"/>
      <c r="AY323" s="969" t="str">
        <f t="shared" ref="AY323:AY386" si="289">IF(AND(AV323&gt;0,AW323&gt;0,AX323&gt;0),B323-AV323,"-")</f>
        <v>-</v>
      </c>
      <c r="AZ323" s="966" t="str">
        <f t="shared" ref="AZ323:AZ386" si="290">IF(AND(AV323&gt;0,AW323&gt;0,AX323&gt;0,AY323&gt;10,BB323=0,BC323=0,BD323=0),"РЕВАКЦИНАЦИЯ","-")</f>
        <v>-</v>
      </c>
      <c r="BA323" s="971" t="str">
        <f t="shared" ref="BA323:BA386" si="291">IF(AND(AV323&gt;0,AW323&gt;0,AX323&gt;0),AV323+10,"-")</f>
        <v>-</v>
      </c>
      <c r="BB323" s="975"/>
      <c r="BC323" s="821"/>
      <c r="BD323" s="821"/>
      <c r="BE323" s="963" t="str">
        <f t="shared" ref="BE323:BE386" si="292">IF(AND(BB323&gt;0,BC323&gt;0,BD323&gt;0),B323-BB323,"-")</f>
        <v>-</v>
      </c>
      <c r="BF323" s="984"/>
      <c r="BG323" s="988"/>
      <c r="BH323" s="982"/>
      <c r="BI323" s="991"/>
      <c r="BJ323" s="991"/>
      <c r="BK323" s="993" t="str">
        <f t="shared" ref="BK323:BK386" si="293">IF(AND(BF323&gt;0,BG323&gt;0,BH323&gt;0,BI323&gt;0,BJ323&gt;0),B323-BF323,"-")</f>
        <v>-</v>
      </c>
      <c r="BL323" s="820">
        <v>42981</v>
      </c>
      <c r="BM323" s="821">
        <v>5</v>
      </c>
      <c r="BN323" s="822">
        <f t="shared" ref="BN323:BN386" ca="1" si="294">IF(AND(BL323&gt;0,BM323&gt;0),B323-BL323,"-")</f>
        <v>153</v>
      </c>
      <c r="BO323" s="823">
        <f t="shared" ref="BO323:BO386" si="295">IF(AND(BL323&gt;0,BM323&gt;0),(BL323-I323)/30,"-")</f>
        <v>59.666666666666664</v>
      </c>
      <c r="BP323" s="824"/>
      <c r="BQ323" s="821"/>
      <c r="BR323" s="822" t="str">
        <f t="shared" ref="BR323:BR386" si="296">IF(AND(BP323&gt;0,BQ323&gt;0),B323-BP323,"-")</f>
        <v>-</v>
      </c>
      <c r="BS323" s="823" t="str">
        <f t="shared" ref="BS323:BS386" si="297">IF(AND(BP323&gt;0,BQ323&gt;0),(BP323-M323)/30,"-")</f>
        <v>-</v>
      </c>
      <c r="BT323" s="825" t="str">
        <f t="shared" ref="BT323:BT386" ca="1" si="298">IF(AND(OR(E323="тёлочка",E323="бычок"),L323&gt;0,BV323&lt;2,L323&lt;60),"ПОДЛЕЖИТ ВАКЦИНАЦИИ","-")</f>
        <v>-</v>
      </c>
      <c r="BU323" s="826"/>
      <c r="BV323" s="827"/>
      <c r="BW323" s="828" t="str">
        <f t="shared" ref="BW323:BW386" si="299">IF(AND(BU323&gt;0,BV323=2),BU323-I323,"Ж-Е НЕ ВАКЦ.")</f>
        <v>Ж-Е НЕ ВАКЦ.</v>
      </c>
      <c r="BX323" s="829" t="str">
        <f t="shared" ref="BX323:BX386" si="300">IF(AND(BU323&gt;0,BV323=2),B323-BU323,"-")</f>
        <v>-</v>
      </c>
      <c r="BY323" s="830" t="str">
        <f t="shared" ref="BY323:BY386" ca="1" si="301">IF(AND(L323&gt;42,CA323&lt;5),"ПОДЛЕЖИТ ВАКЦИНАЦИИ","-")</f>
        <v>-</v>
      </c>
      <c r="BZ323" s="831">
        <v>42887</v>
      </c>
      <c r="CA323" s="832">
        <v>5</v>
      </c>
      <c r="CB323" s="833">
        <f t="shared" ref="CB323:CB386" ca="1" si="302">IF(AND(BZ323&gt;0,CA323=5),B323-BZ323,"-")</f>
        <v>247</v>
      </c>
      <c r="CC323" s="834" t="str">
        <f t="shared" ref="CC323:CC386" ca="1" si="303">IF(AND(CA323=5,CB323&gt;20,CF323&lt;5),"ТРЕБУЕТСЯ БУСТЕРНАЯ ДОЗА","-")</f>
        <v>-</v>
      </c>
      <c r="CD323" s="835">
        <f t="shared" ref="CD323:CD386" si="304">IF(AND(BZ323&gt;0,CA323=5),BZ323+21,"-")</f>
        <v>42908</v>
      </c>
      <c r="CE323" s="831">
        <v>42908</v>
      </c>
      <c r="CF323" s="832">
        <v>5</v>
      </c>
      <c r="CG323" s="833">
        <f t="shared" ref="CG323:CG386" ca="1" si="305">IF(AND(CE323&gt;0,CF323=5),B323-CE323,"-")</f>
        <v>226</v>
      </c>
      <c r="CH323" s="836">
        <f t="shared" ref="CH323:CH386" si="306">IF(AND(CD323&gt;0,CE323&gt;0,CF323=5),CD323-CE323,"-")</f>
        <v>0</v>
      </c>
      <c r="CI323" s="837" t="str">
        <f t="shared" ref="CI323:CI386" si="307">IF(AND(CF323=5,CH323=0),"УСПЕШНО","-")</f>
        <v>УСПЕШНО</v>
      </c>
      <c r="CJ323" s="838" t="str">
        <f t="shared" ref="CJ323:CJ386" ca="1" si="308">IF(AND(BZ323&gt;0,CA323=5,CE323&gt;0,CF323=5,CG323&gt;240,CL323&lt;5),"НЕОБХОДИМА РЕВАКЦИНАЦИЯ","-")</f>
        <v>-</v>
      </c>
      <c r="CK323" s="831"/>
      <c r="CL323" s="832"/>
      <c r="CM323" s="833" t="str">
        <f t="shared" ref="CM323:CM386" si="309">IF(AND(CK323&gt;0,CL323=5),N323-CK323,"-")</f>
        <v>-</v>
      </c>
      <c r="CN323" s="834" t="str">
        <f t="shared" ref="CN323:CN386" si="310">IF(AND(CK323&gt;0,CL323=5,CM323&gt;240),"НЕОБХОДИМА РЕВАКЦИНАЦИЯ","-")</f>
        <v>-</v>
      </c>
      <c r="CO323" s="830" t="str">
        <f t="shared" ref="CO323:CO386" ca="1" si="311">IF(AND(Y323=1,AN323&gt;-70,CQ323&lt;2),"ТРЕБУЕТСЯ ВАКЦИНАЦИЯ","-")</f>
        <v>ТРЕБУЕТСЯ ВАКЦИНАЦИЯ</v>
      </c>
      <c r="CP323" s="839"/>
      <c r="CQ323" s="832"/>
      <c r="CR323" s="833" t="str">
        <f t="shared" ref="CR323:CR386" si="312">IF(AND(CP323&gt;0,CQ323=2),CP323-T323,"-")</f>
        <v>-</v>
      </c>
      <c r="CS323" s="833" t="str">
        <f t="shared" ref="CS323:CS386" si="313">IF(AND(CP323&gt;0,CQ323=2),B323-CP323,"-")</f>
        <v>-</v>
      </c>
      <c r="CT323" s="834" t="str">
        <f t="shared" ref="CT323:CT386" si="314">IF(AND(CQ323=2,CS323&gt;20,CW323&lt;2),"ТРЕБУЕТСЯ БУСТЕРНАЯ ДОЗА","-")</f>
        <v>-</v>
      </c>
      <c r="CU323" s="835" t="str">
        <f t="shared" ref="CU323:CU386" si="315">IF(AND(CP323&gt;0,CQ323=2),CP323+21,"-")</f>
        <v>-</v>
      </c>
      <c r="CV323" s="839"/>
      <c r="CW323" s="832"/>
      <c r="CX323" s="833" t="str">
        <f t="shared" ref="CX323:CX386" si="316">IF(AND(CU323&gt;0,CV323&gt;0,CW323=2),CV323-CU323,"-")</f>
        <v>-</v>
      </c>
      <c r="CY323" s="840" t="str">
        <f t="shared" ref="CY323:CY386" si="317">IF(AND(CW323=2,CX323=0),"УСПЕШНО","-")</f>
        <v>-</v>
      </c>
      <c r="CZ323" s="833" t="str">
        <f t="shared" ref="CZ323:CZ386" si="318">IF(AND(CV323&gt;0,CW323=2),CV323-T323,"-")</f>
        <v>-</v>
      </c>
      <c r="DA323" s="838" t="str">
        <f t="shared" ref="DA323:DA386" ca="1" si="319">IF(AND(CP323&gt;0,CQ323=2,CV323&gt;0,CW323=2,Y323=1,AN323&gt;-50,DC323&lt;2),"ТРЕБУЕТСЯ РЕВАКЦИНАЦИЯ","-")</f>
        <v>-</v>
      </c>
      <c r="DB323" s="841"/>
      <c r="DC323" s="832"/>
    </row>
    <row r="324" spans="1:107" s="842" customFormat="1" ht="15.95" customHeight="1" x14ac:dyDescent="0.25">
      <c r="A324" s="790">
        <v>325</v>
      </c>
      <c r="B324" s="791">
        <f t="shared" ca="1" si="268"/>
        <v>43134</v>
      </c>
      <c r="C324" s="792" t="s">
        <v>613</v>
      </c>
      <c r="D324" s="793" t="s">
        <v>3204</v>
      </c>
      <c r="E324" s="794" t="s">
        <v>273</v>
      </c>
      <c r="F324" s="795" t="s">
        <v>274</v>
      </c>
      <c r="G324" s="796">
        <f>SUMIFS(МОЛОКО!L8:L6958,МОЛОКО!F8:F6958,"1707",МОЛОКО!L8:L6958,"&gt;0")</f>
        <v>13.6</v>
      </c>
      <c r="H324" s="797" t="s">
        <v>603</v>
      </c>
      <c r="I324" s="798">
        <v>41199</v>
      </c>
      <c r="J324" s="799">
        <f t="shared" ca="1" si="269"/>
        <v>5.3013698630136989</v>
      </c>
      <c r="K324" s="799">
        <f t="shared" ca="1" si="270"/>
        <v>64.5</v>
      </c>
      <c r="L324" s="800">
        <f t="shared" ca="1" si="271"/>
        <v>1935</v>
      </c>
      <c r="M324" s="801">
        <v>42007</v>
      </c>
      <c r="N324" s="802">
        <v>42736</v>
      </c>
      <c r="O324" s="803">
        <f t="shared" ca="1" si="272"/>
        <v>398</v>
      </c>
      <c r="P324" s="804">
        <v>2</v>
      </c>
      <c r="Q324" s="805" t="s">
        <v>1451</v>
      </c>
      <c r="R324" s="806" t="s">
        <v>2664</v>
      </c>
      <c r="S324" s="807">
        <v>42796</v>
      </c>
      <c r="T324" s="798">
        <v>42842</v>
      </c>
      <c r="U324" s="798" t="str">
        <f t="shared" si="273"/>
        <v>-</v>
      </c>
      <c r="V324" s="804" t="str">
        <f t="shared" ca="1" si="274"/>
        <v>-</v>
      </c>
      <c r="W324" s="808">
        <v>2</v>
      </c>
      <c r="X324" s="794">
        <f t="shared" si="267"/>
        <v>106</v>
      </c>
      <c r="Y324" s="794">
        <v>1</v>
      </c>
      <c r="Z324" s="809" t="str">
        <f t="shared" ca="1" si="275"/>
        <v>-----</v>
      </c>
      <c r="AA324" s="810" t="str">
        <f t="shared" ca="1" si="276"/>
        <v>-----</v>
      </c>
      <c r="AB324" s="804">
        <v>1</v>
      </c>
      <c r="AC324" s="811" t="str">
        <f t="shared" ca="1" si="277"/>
        <v>-----</v>
      </c>
      <c r="AD324" s="798">
        <v>42920</v>
      </c>
      <c r="AE324" s="794" t="str">
        <f t="shared" ca="1" si="278"/>
        <v>-</v>
      </c>
      <c r="AF324" s="798" t="str">
        <f t="shared" si="279"/>
        <v>-</v>
      </c>
      <c r="AG324" s="812" t="str">
        <f t="shared" si="280"/>
        <v>---------</v>
      </c>
      <c r="AH324" s="807">
        <v>42877</v>
      </c>
      <c r="AI324" s="807">
        <f t="shared" si="281"/>
        <v>43032</v>
      </c>
      <c r="AJ324" s="807">
        <f t="shared" si="282"/>
        <v>43062</v>
      </c>
      <c r="AK324" s="813"/>
      <c r="AL324" s="807">
        <f t="shared" si="283"/>
        <v>43101</v>
      </c>
      <c r="AM324" s="807">
        <f t="shared" si="284"/>
        <v>43122</v>
      </c>
      <c r="AN324" s="814">
        <f t="shared" ca="1" si="285"/>
        <v>12</v>
      </c>
      <c r="AO324" s="815">
        <v>1</v>
      </c>
      <c r="AP324" s="816" t="str">
        <f t="shared" ca="1" si="286"/>
        <v>-</v>
      </c>
      <c r="AQ324" s="817"/>
      <c r="AR324" s="794" t="str">
        <f t="shared" si="287"/>
        <v>-</v>
      </c>
      <c r="AS324" s="818"/>
      <c r="AT324" s="794" t="str">
        <f t="shared" si="288"/>
        <v>-</v>
      </c>
      <c r="AU324" s="819"/>
      <c r="AV324" s="820"/>
      <c r="AW324" s="821"/>
      <c r="AX324" s="821"/>
      <c r="AY324" s="969" t="str">
        <f t="shared" si="289"/>
        <v>-</v>
      </c>
      <c r="AZ324" s="966" t="str">
        <f t="shared" si="290"/>
        <v>-</v>
      </c>
      <c r="BA324" s="971" t="str">
        <f t="shared" si="291"/>
        <v>-</v>
      </c>
      <c r="BB324" s="975"/>
      <c r="BC324" s="821"/>
      <c r="BD324" s="821"/>
      <c r="BE324" s="963" t="str">
        <f t="shared" si="292"/>
        <v>-</v>
      </c>
      <c r="BF324" s="984"/>
      <c r="BG324" s="988"/>
      <c r="BH324" s="982"/>
      <c r="BI324" s="991"/>
      <c r="BJ324" s="991"/>
      <c r="BK324" s="993" t="str">
        <f t="shared" si="293"/>
        <v>-</v>
      </c>
      <c r="BL324" s="820">
        <v>42980</v>
      </c>
      <c r="BM324" s="821">
        <v>5</v>
      </c>
      <c r="BN324" s="822">
        <f t="shared" ca="1" si="294"/>
        <v>154</v>
      </c>
      <c r="BO324" s="823">
        <f t="shared" si="295"/>
        <v>59.366666666666667</v>
      </c>
      <c r="BP324" s="824"/>
      <c r="BQ324" s="821"/>
      <c r="BR324" s="822" t="str">
        <f t="shared" si="296"/>
        <v>-</v>
      </c>
      <c r="BS324" s="823" t="str">
        <f t="shared" si="297"/>
        <v>-</v>
      </c>
      <c r="BT324" s="825" t="str">
        <f t="shared" ca="1" si="298"/>
        <v>-</v>
      </c>
      <c r="BU324" s="826"/>
      <c r="BV324" s="827"/>
      <c r="BW324" s="828" t="str">
        <f t="shared" si="299"/>
        <v>Ж-Е НЕ ВАКЦ.</v>
      </c>
      <c r="BX324" s="829" t="str">
        <f t="shared" si="300"/>
        <v>-</v>
      </c>
      <c r="BY324" s="830" t="str">
        <f t="shared" ca="1" si="301"/>
        <v>-</v>
      </c>
      <c r="BZ324" s="831">
        <v>42887</v>
      </c>
      <c r="CA324" s="832">
        <v>5</v>
      </c>
      <c r="CB324" s="833">
        <f t="shared" ca="1" si="302"/>
        <v>247</v>
      </c>
      <c r="CC324" s="834" t="str">
        <f t="shared" ca="1" si="303"/>
        <v>-</v>
      </c>
      <c r="CD324" s="835">
        <f t="shared" si="304"/>
        <v>42908</v>
      </c>
      <c r="CE324" s="831">
        <v>42908</v>
      </c>
      <c r="CF324" s="832">
        <v>5</v>
      </c>
      <c r="CG324" s="833">
        <f t="shared" ca="1" si="305"/>
        <v>226</v>
      </c>
      <c r="CH324" s="836">
        <f t="shared" si="306"/>
        <v>0</v>
      </c>
      <c r="CI324" s="837" t="str">
        <f t="shared" si="307"/>
        <v>УСПЕШНО</v>
      </c>
      <c r="CJ324" s="838" t="str">
        <f t="shared" ca="1" si="308"/>
        <v>-</v>
      </c>
      <c r="CK324" s="831"/>
      <c r="CL324" s="832"/>
      <c r="CM324" s="833" t="str">
        <f t="shared" si="309"/>
        <v>-</v>
      </c>
      <c r="CN324" s="834" t="str">
        <f t="shared" si="310"/>
        <v>-</v>
      </c>
      <c r="CO324" s="830" t="str">
        <f t="shared" ca="1" si="311"/>
        <v>ТРЕБУЕТСЯ ВАКЦИНАЦИЯ</v>
      </c>
      <c r="CP324" s="839"/>
      <c r="CQ324" s="832"/>
      <c r="CR324" s="833" t="str">
        <f t="shared" si="312"/>
        <v>-</v>
      </c>
      <c r="CS324" s="833" t="str">
        <f t="shared" si="313"/>
        <v>-</v>
      </c>
      <c r="CT324" s="834" t="str">
        <f t="shared" si="314"/>
        <v>-</v>
      </c>
      <c r="CU324" s="835" t="str">
        <f t="shared" si="315"/>
        <v>-</v>
      </c>
      <c r="CV324" s="839"/>
      <c r="CW324" s="832"/>
      <c r="CX324" s="833" t="str">
        <f t="shared" si="316"/>
        <v>-</v>
      </c>
      <c r="CY324" s="840" t="str">
        <f t="shared" si="317"/>
        <v>-</v>
      </c>
      <c r="CZ324" s="833" t="str">
        <f t="shared" si="318"/>
        <v>-</v>
      </c>
      <c r="DA324" s="838" t="str">
        <f t="shared" ca="1" si="319"/>
        <v>-</v>
      </c>
      <c r="DB324" s="841"/>
      <c r="DC324" s="832"/>
    </row>
    <row r="325" spans="1:107" s="842" customFormat="1" ht="15.95" customHeight="1" x14ac:dyDescent="0.25">
      <c r="A325" s="790">
        <v>326</v>
      </c>
      <c r="B325" s="791">
        <f t="shared" ca="1" si="268"/>
        <v>43134</v>
      </c>
      <c r="C325" s="792" t="s">
        <v>613</v>
      </c>
      <c r="D325" s="793" t="s">
        <v>3204</v>
      </c>
      <c r="E325" s="794" t="s">
        <v>308</v>
      </c>
      <c r="F325" s="795" t="s">
        <v>309</v>
      </c>
      <c r="G325" s="796">
        <f>SUMIFS(МОЛОКО!L8:L6958,МОЛОКО!F8:F6958,"1740",МОЛОКО!L8:L6958,"&gt;0")</f>
        <v>14.4</v>
      </c>
      <c r="H325" s="797" t="s">
        <v>603</v>
      </c>
      <c r="I325" s="798">
        <v>41249</v>
      </c>
      <c r="J325" s="799">
        <f t="shared" ca="1" si="269"/>
        <v>5.1643835616438354</v>
      </c>
      <c r="K325" s="799">
        <f t="shared" ca="1" si="270"/>
        <v>62.833333333333336</v>
      </c>
      <c r="L325" s="800">
        <f t="shared" ca="1" si="271"/>
        <v>1885</v>
      </c>
      <c r="M325" s="801">
        <v>41991</v>
      </c>
      <c r="N325" s="802">
        <v>42785</v>
      </c>
      <c r="O325" s="803">
        <f t="shared" ca="1" si="272"/>
        <v>349</v>
      </c>
      <c r="P325" s="804">
        <v>3</v>
      </c>
      <c r="Q325" s="805" t="s">
        <v>1451</v>
      </c>
      <c r="R325" s="806" t="s">
        <v>2664</v>
      </c>
      <c r="S325" s="807">
        <v>42845</v>
      </c>
      <c r="T325" s="798">
        <v>42845</v>
      </c>
      <c r="U325" s="798" t="str">
        <f t="shared" si="273"/>
        <v>-</v>
      </c>
      <c r="V325" s="804" t="str">
        <f t="shared" ca="1" si="274"/>
        <v>-</v>
      </c>
      <c r="W325" s="808">
        <v>1</v>
      </c>
      <c r="X325" s="794">
        <f t="shared" si="267"/>
        <v>60</v>
      </c>
      <c r="Y325" s="794">
        <v>1</v>
      </c>
      <c r="Z325" s="809" t="str">
        <f t="shared" ca="1" si="275"/>
        <v>-----</v>
      </c>
      <c r="AA325" s="810" t="str">
        <f t="shared" ca="1" si="276"/>
        <v>-----</v>
      </c>
      <c r="AB325" s="804">
        <v>1</v>
      </c>
      <c r="AC325" s="811" t="str">
        <f t="shared" ca="1" si="277"/>
        <v>-----</v>
      </c>
      <c r="AD325" s="798">
        <v>42930</v>
      </c>
      <c r="AE325" s="794" t="str">
        <f t="shared" ca="1" si="278"/>
        <v>-</v>
      </c>
      <c r="AF325" s="798" t="str">
        <f t="shared" si="279"/>
        <v>-</v>
      </c>
      <c r="AG325" s="812" t="str">
        <f t="shared" si="280"/>
        <v>---------</v>
      </c>
      <c r="AH325" s="807">
        <v>42881</v>
      </c>
      <c r="AI325" s="807">
        <f t="shared" si="281"/>
        <v>43035</v>
      </c>
      <c r="AJ325" s="807">
        <f t="shared" si="282"/>
        <v>43065</v>
      </c>
      <c r="AK325" s="813"/>
      <c r="AL325" s="807">
        <f t="shared" si="283"/>
        <v>43104</v>
      </c>
      <c r="AM325" s="807">
        <f t="shared" si="284"/>
        <v>43125</v>
      </c>
      <c r="AN325" s="814">
        <f t="shared" ca="1" si="285"/>
        <v>9</v>
      </c>
      <c r="AO325" s="815">
        <v>1</v>
      </c>
      <c r="AP325" s="816" t="str">
        <f t="shared" ca="1" si="286"/>
        <v>-</v>
      </c>
      <c r="AQ325" s="817"/>
      <c r="AR325" s="794" t="str">
        <f t="shared" si="287"/>
        <v>-</v>
      </c>
      <c r="AS325" s="818"/>
      <c r="AT325" s="794" t="str">
        <f t="shared" si="288"/>
        <v>-</v>
      </c>
      <c r="AU325" s="819"/>
      <c r="AV325" s="820"/>
      <c r="AW325" s="821"/>
      <c r="AX325" s="821"/>
      <c r="AY325" s="969" t="str">
        <f t="shared" si="289"/>
        <v>-</v>
      </c>
      <c r="AZ325" s="966" t="str">
        <f t="shared" si="290"/>
        <v>-</v>
      </c>
      <c r="BA325" s="971" t="str">
        <f t="shared" si="291"/>
        <v>-</v>
      </c>
      <c r="BB325" s="975"/>
      <c r="BC325" s="821"/>
      <c r="BD325" s="821"/>
      <c r="BE325" s="963" t="str">
        <f t="shared" si="292"/>
        <v>-</v>
      </c>
      <c r="BF325" s="984"/>
      <c r="BG325" s="988"/>
      <c r="BH325" s="982"/>
      <c r="BI325" s="991"/>
      <c r="BJ325" s="991"/>
      <c r="BK325" s="993" t="str">
        <f t="shared" si="293"/>
        <v>-</v>
      </c>
      <c r="BL325" s="820">
        <v>42981</v>
      </c>
      <c r="BM325" s="821">
        <v>5</v>
      </c>
      <c r="BN325" s="822">
        <f t="shared" ca="1" si="294"/>
        <v>153</v>
      </c>
      <c r="BO325" s="823">
        <f t="shared" si="295"/>
        <v>57.733333333333334</v>
      </c>
      <c r="BP325" s="824"/>
      <c r="BQ325" s="821"/>
      <c r="BR325" s="822" t="str">
        <f t="shared" si="296"/>
        <v>-</v>
      </c>
      <c r="BS325" s="823" t="str">
        <f t="shared" si="297"/>
        <v>-</v>
      </c>
      <c r="BT325" s="825" t="str">
        <f t="shared" ca="1" si="298"/>
        <v>-</v>
      </c>
      <c r="BU325" s="826"/>
      <c r="BV325" s="827"/>
      <c r="BW325" s="828" t="str">
        <f t="shared" si="299"/>
        <v>Ж-Е НЕ ВАКЦ.</v>
      </c>
      <c r="BX325" s="829" t="str">
        <f t="shared" si="300"/>
        <v>-</v>
      </c>
      <c r="BY325" s="830" t="str">
        <f t="shared" ca="1" si="301"/>
        <v>-</v>
      </c>
      <c r="BZ325" s="831">
        <v>42887</v>
      </c>
      <c r="CA325" s="832">
        <v>5</v>
      </c>
      <c r="CB325" s="833">
        <f t="shared" ca="1" si="302"/>
        <v>247</v>
      </c>
      <c r="CC325" s="834" t="str">
        <f t="shared" ca="1" si="303"/>
        <v>-</v>
      </c>
      <c r="CD325" s="835">
        <f t="shared" si="304"/>
        <v>42908</v>
      </c>
      <c r="CE325" s="831">
        <v>42908</v>
      </c>
      <c r="CF325" s="832">
        <v>5</v>
      </c>
      <c r="CG325" s="833">
        <f t="shared" ca="1" si="305"/>
        <v>226</v>
      </c>
      <c r="CH325" s="836">
        <f t="shared" si="306"/>
        <v>0</v>
      </c>
      <c r="CI325" s="837" t="str">
        <f t="shared" si="307"/>
        <v>УСПЕШНО</v>
      </c>
      <c r="CJ325" s="838" t="str">
        <f t="shared" ca="1" si="308"/>
        <v>-</v>
      </c>
      <c r="CK325" s="831"/>
      <c r="CL325" s="832"/>
      <c r="CM325" s="833" t="str">
        <f t="shared" si="309"/>
        <v>-</v>
      </c>
      <c r="CN325" s="834" t="str">
        <f t="shared" si="310"/>
        <v>-</v>
      </c>
      <c r="CO325" s="830" t="str">
        <f t="shared" ca="1" si="311"/>
        <v>ТРЕБУЕТСЯ ВАКЦИНАЦИЯ</v>
      </c>
      <c r="CP325" s="839"/>
      <c r="CQ325" s="832"/>
      <c r="CR325" s="833" t="str">
        <f t="shared" si="312"/>
        <v>-</v>
      </c>
      <c r="CS325" s="833" t="str">
        <f t="shared" si="313"/>
        <v>-</v>
      </c>
      <c r="CT325" s="834" t="str">
        <f t="shared" si="314"/>
        <v>-</v>
      </c>
      <c r="CU325" s="835" t="str">
        <f t="shared" si="315"/>
        <v>-</v>
      </c>
      <c r="CV325" s="839"/>
      <c r="CW325" s="832"/>
      <c r="CX325" s="833" t="str">
        <f t="shared" si="316"/>
        <v>-</v>
      </c>
      <c r="CY325" s="840" t="str">
        <f t="shared" si="317"/>
        <v>-</v>
      </c>
      <c r="CZ325" s="833" t="str">
        <f t="shared" si="318"/>
        <v>-</v>
      </c>
      <c r="DA325" s="838" t="str">
        <f t="shared" ca="1" si="319"/>
        <v>-</v>
      </c>
      <c r="DB325" s="841"/>
      <c r="DC325" s="832"/>
    </row>
    <row r="326" spans="1:107" s="842" customFormat="1" ht="15.95" customHeight="1" x14ac:dyDescent="0.25">
      <c r="A326" s="790">
        <v>327</v>
      </c>
      <c r="B326" s="791">
        <f t="shared" ca="1" si="268"/>
        <v>43134</v>
      </c>
      <c r="C326" s="792" t="s">
        <v>613</v>
      </c>
      <c r="D326" s="793" t="s">
        <v>3204</v>
      </c>
      <c r="E326" s="794" t="s">
        <v>480</v>
      </c>
      <c r="F326" s="795" t="s">
        <v>481</v>
      </c>
      <c r="G326" s="796">
        <f>SUMIFS(МОЛОКО!L8:L6958,МОЛОКО!F8:F6958,"1757",МОЛОКО!L8:L6958,"&gt;0")</f>
        <v>10.8</v>
      </c>
      <c r="H326" s="797" t="s">
        <v>603</v>
      </c>
      <c r="I326" s="798">
        <v>41270</v>
      </c>
      <c r="J326" s="799">
        <f t="shared" ca="1" si="269"/>
        <v>5.1068493150684935</v>
      </c>
      <c r="K326" s="799">
        <f t="shared" ca="1" si="270"/>
        <v>62.133333333333333</v>
      </c>
      <c r="L326" s="800">
        <f t="shared" ca="1" si="271"/>
        <v>1864</v>
      </c>
      <c r="M326" s="801">
        <v>42259</v>
      </c>
      <c r="N326" s="802">
        <v>42695</v>
      </c>
      <c r="O326" s="803">
        <f t="shared" ca="1" si="272"/>
        <v>439</v>
      </c>
      <c r="P326" s="804">
        <v>2</v>
      </c>
      <c r="Q326" s="805" t="s">
        <v>1451</v>
      </c>
      <c r="R326" s="806" t="s">
        <v>1820</v>
      </c>
      <c r="S326" s="807">
        <v>42785</v>
      </c>
      <c r="T326" s="798">
        <v>42897</v>
      </c>
      <c r="U326" s="798" t="str">
        <f t="shared" si="273"/>
        <v>-</v>
      </c>
      <c r="V326" s="804" t="str">
        <f t="shared" ca="1" si="274"/>
        <v>-</v>
      </c>
      <c r="W326" s="808">
        <v>4</v>
      </c>
      <c r="X326" s="794">
        <f t="shared" si="267"/>
        <v>202</v>
      </c>
      <c r="Y326" s="794">
        <v>1</v>
      </c>
      <c r="Z326" s="809" t="str">
        <f t="shared" ca="1" si="275"/>
        <v>-----</v>
      </c>
      <c r="AA326" s="810" t="str">
        <f t="shared" ca="1" si="276"/>
        <v>-----</v>
      </c>
      <c r="AB326" s="804">
        <v>1</v>
      </c>
      <c r="AC326" s="811" t="str">
        <f t="shared" ca="1" si="277"/>
        <v>-----</v>
      </c>
      <c r="AD326" s="798"/>
      <c r="AE326" s="794" t="str">
        <f t="shared" ca="1" si="278"/>
        <v>-</v>
      </c>
      <c r="AF326" s="798" t="str">
        <f t="shared" si="279"/>
        <v>-</v>
      </c>
      <c r="AG326" s="812" t="str">
        <f t="shared" si="280"/>
        <v>---------</v>
      </c>
      <c r="AH326" s="807">
        <v>42971</v>
      </c>
      <c r="AI326" s="807">
        <f t="shared" si="281"/>
        <v>43087</v>
      </c>
      <c r="AJ326" s="807">
        <f t="shared" si="282"/>
        <v>43117</v>
      </c>
      <c r="AK326" s="813"/>
      <c r="AL326" s="807">
        <f t="shared" si="283"/>
        <v>43156</v>
      </c>
      <c r="AM326" s="807">
        <f t="shared" si="284"/>
        <v>43177</v>
      </c>
      <c r="AN326" s="814">
        <f t="shared" ca="1" si="285"/>
        <v>-43</v>
      </c>
      <c r="AO326" s="815">
        <v>1</v>
      </c>
      <c r="AP326" s="816" t="str">
        <f t="shared" ca="1" si="286"/>
        <v>-</v>
      </c>
      <c r="AQ326" s="817"/>
      <c r="AR326" s="794" t="str">
        <f t="shared" si="287"/>
        <v>-</v>
      </c>
      <c r="AS326" s="818"/>
      <c r="AT326" s="794" t="str">
        <f t="shared" si="288"/>
        <v>-</v>
      </c>
      <c r="AU326" s="819"/>
      <c r="AV326" s="820"/>
      <c r="AW326" s="821"/>
      <c r="AX326" s="821"/>
      <c r="AY326" s="969" t="str">
        <f t="shared" si="289"/>
        <v>-</v>
      </c>
      <c r="AZ326" s="966" t="str">
        <f t="shared" si="290"/>
        <v>-</v>
      </c>
      <c r="BA326" s="971" t="str">
        <f t="shared" si="291"/>
        <v>-</v>
      </c>
      <c r="BB326" s="975"/>
      <c r="BC326" s="821"/>
      <c r="BD326" s="821"/>
      <c r="BE326" s="963" t="str">
        <f t="shared" si="292"/>
        <v>-</v>
      </c>
      <c r="BF326" s="984"/>
      <c r="BG326" s="988"/>
      <c r="BH326" s="982"/>
      <c r="BI326" s="991"/>
      <c r="BJ326" s="991"/>
      <c r="BK326" s="993" t="str">
        <f t="shared" si="293"/>
        <v>-</v>
      </c>
      <c r="BL326" s="820">
        <v>42981</v>
      </c>
      <c r="BM326" s="821">
        <v>5</v>
      </c>
      <c r="BN326" s="822">
        <f t="shared" ca="1" si="294"/>
        <v>153</v>
      </c>
      <c r="BO326" s="823">
        <f t="shared" si="295"/>
        <v>57.033333333333331</v>
      </c>
      <c r="BP326" s="824"/>
      <c r="BQ326" s="821"/>
      <c r="BR326" s="822" t="str">
        <f t="shared" si="296"/>
        <v>-</v>
      </c>
      <c r="BS326" s="823" t="str">
        <f t="shared" si="297"/>
        <v>-</v>
      </c>
      <c r="BT326" s="825" t="str">
        <f t="shared" ca="1" si="298"/>
        <v>-</v>
      </c>
      <c r="BU326" s="826"/>
      <c r="BV326" s="827"/>
      <c r="BW326" s="828" t="str">
        <f t="shared" si="299"/>
        <v>Ж-Е НЕ ВАКЦ.</v>
      </c>
      <c r="BX326" s="829" t="str">
        <f t="shared" si="300"/>
        <v>-</v>
      </c>
      <c r="BY326" s="830" t="str">
        <f t="shared" ca="1" si="301"/>
        <v>-</v>
      </c>
      <c r="BZ326" s="831">
        <v>42887</v>
      </c>
      <c r="CA326" s="832">
        <v>5</v>
      </c>
      <c r="CB326" s="833">
        <f t="shared" ca="1" si="302"/>
        <v>247</v>
      </c>
      <c r="CC326" s="834" t="str">
        <f t="shared" ca="1" si="303"/>
        <v>-</v>
      </c>
      <c r="CD326" s="835">
        <f t="shared" si="304"/>
        <v>42908</v>
      </c>
      <c r="CE326" s="831">
        <v>42908</v>
      </c>
      <c r="CF326" s="832">
        <v>5</v>
      </c>
      <c r="CG326" s="833">
        <f t="shared" ca="1" si="305"/>
        <v>226</v>
      </c>
      <c r="CH326" s="836">
        <f t="shared" si="306"/>
        <v>0</v>
      </c>
      <c r="CI326" s="837" t="str">
        <f t="shared" si="307"/>
        <v>УСПЕШНО</v>
      </c>
      <c r="CJ326" s="838" t="str">
        <f t="shared" ca="1" si="308"/>
        <v>-</v>
      </c>
      <c r="CK326" s="831"/>
      <c r="CL326" s="832"/>
      <c r="CM326" s="833" t="str">
        <f t="shared" si="309"/>
        <v>-</v>
      </c>
      <c r="CN326" s="834" t="str">
        <f t="shared" si="310"/>
        <v>-</v>
      </c>
      <c r="CO326" s="830" t="str">
        <f t="shared" ca="1" si="311"/>
        <v>ТРЕБУЕТСЯ ВАКЦИНАЦИЯ</v>
      </c>
      <c r="CP326" s="839"/>
      <c r="CQ326" s="832"/>
      <c r="CR326" s="833" t="str">
        <f t="shared" si="312"/>
        <v>-</v>
      </c>
      <c r="CS326" s="833" t="str">
        <f t="shared" si="313"/>
        <v>-</v>
      </c>
      <c r="CT326" s="834" t="str">
        <f t="shared" si="314"/>
        <v>-</v>
      </c>
      <c r="CU326" s="835" t="str">
        <f t="shared" si="315"/>
        <v>-</v>
      </c>
      <c r="CV326" s="839"/>
      <c r="CW326" s="832"/>
      <c r="CX326" s="833" t="str">
        <f t="shared" si="316"/>
        <v>-</v>
      </c>
      <c r="CY326" s="840" t="str">
        <f t="shared" si="317"/>
        <v>-</v>
      </c>
      <c r="CZ326" s="833" t="str">
        <f t="shared" si="318"/>
        <v>-</v>
      </c>
      <c r="DA326" s="838" t="str">
        <f t="shared" ca="1" si="319"/>
        <v>-</v>
      </c>
      <c r="DB326" s="841"/>
      <c r="DC326" s="832"/>
    </row>
    <row r="327" spans="1:107" s="842" customFormat="1" ht="15.95" customHeight="1" x14ac:dyDescent="0.25">
      <c r="A327" s="790">
        <v>328</v>
      </c>
      <c r="B327" s="791">
        <f t="shared" ca="1" si="268"/>
        <v>43134</v>
      </c>
      <c r="C327" s="792" t="s">
        <v>613</v>
      </c>
      <c r="D327" s="793" t="s">
        <v>3204</v>
      </c>
      <c r="E327" s="794" t="s">
        <v>482</v>
      </c>
      <c r="F327" s="795" t="s">
        <v>483</v>
      </c>
      <c r="G327" s="796">
        <f>SUMIFS(МОЛОКО!L8:L6958,МОЛОКО!F8:F6958,"1784",МОЛОКО!L8:L6958,"&gt;0")</f>
        <v>13.2</v>
      </c>
      <c r="H327" s="797" t="s">
        <v>603</v>
      </c>
      <c r="I327" s="798">
        <v>41303</v>
      </c>
      <c r="J327" s="799">
        <f t="shared" ca="1" si="269"/>
        <v>5.0164383561643833</v>
      </c>
      <c r="K327" s="799">
        <f t="shared" ca="1" si="270"/>
        <v>61.033333333333331</v>
      </c>
      <c r="L327" s="800">
        <f t="shared" ca="1" si="271"/>
        <v>1831</v>
      </c>
      <c r="M327" s="801">
        <v>42354</v>
      </c>
      <c r="N327" s="802">
        <v>42845</v>
      </c>
      <c r="O327" s="803">
        <f t="shared" ca="1" si="272"/>
        <v>289</v>
      </c>
      <c r="P327" s="804">
        <v>2</v>
      </c>
      <c r="Q327" s="805" t="s">
        <v>2366</v>
      </c>
      <c r="R327" s="806" t="s">
        <v>1876</v>
      </c>
      <c r="S327" s="807">
        <v>42908</v>
      </c>
      <c r="T327" s="798">
        <v>42908</v>
      </c>
      <c r="U327" s="798" t="str">
        <f t="shared" si="273"/>
        <v>-</v>
      </c>
      <c r="V327" s="804" t="str">
        <f t="shared" ca="1" si="274"/>
        <v>-</v>
      </c>
      <c r="W327" s="808">
        <v>1</v>
      </c>
      <c r="X327" s="794">
        <f t="shared" si="267"/>
        <v>63</v>
      </c>
      <c r="Y327" s="794">
        <v>1</v>
      </c>
      <c r="Z327" s="809" t="str">
        <f t="shared" ca="1" si="275"/>
        <v>-----</v>
      </c>
      <c r="AA327" s="810" t="str">
        <f t="shared" ca="1" si="276"/>
        <v>-----</v>
      </c>
      <c r="AB327" s="804">
        <v>1</v>
      </c>
      <c r="AC327" s="811" t="str">
        <f t="shared" ca="1" si="277"/>
        <v>-----</v>
      </c>
      <c r="AD327" s="798">
        <v>43043</v>
      </c>
      <c r="AE327" s="794" t="str">
        <f t="shared" ca="1" si="278"/>
        <v>-</v>
      </c>
      <c r="AF327" s="798" t="str">
        <f t="shared" si="279"/>
        <v>-</v>
      </c>
      <c r="AG327" s="812" t="str">
        <f t="shared" si="280"/>
        <v>---------</v>
      </c>
      <c r="AH327" s="807">
        <v>42940</v>
      </c>
      <c r="AI327" s="807">
        <f t="shared" si="281"/>
        <v>43098</v>
      </c>
      <c r="AJ327" s="807">
        <f t="shared" si="282"/>
        <v>43128</v>
      </c>
      <c r="AK327" s="813"/>
      <c r="AL327" s="807">
        <f t="shared" si="283"/>
        <v>43167</v>
      </c>
      <c r="AM327" s="807">
        <f t="shared" si="284"/>
        <v>43188</v>
      </c>
      <c r="AN327" s="814">
        <f t="shared" ca="1" si="285"/>
        <v>-54</v>
      </c>
      <c r="AO327" s="815">
        <v>1</v>
      </c>
      <c r="AP327" s="816" t="str">
        <f t="shared" ca="1" si="286"/>
        <v>-</v>
      </c>
      <c r="AQ327" s="817"/>
      <c r="AR327" s="794" t="str">
        <f t="shared" si="287"/>
        <v>-</v>
      </c>
      <c r="AS327" s="818"/>
      <c r="AT327" s="794" t="str">
        <f t="shared" si="288"/>
        <v>-</v>
      </c>
      <c r="AU327" s="819"/>
      <c r="AV327" s="820"/>
      <c r="AW327" s="821"/>
      <c r="AX327" s="821"/>
      <c r="AY327" s="969" t="str">
        <f t="shared" si="289"/>
        <v>-</v>
      </c>
      <c r="AZ327" s="966" t="str">
        <f t="shared" si="290"/>
        <v>-</v>
      </c>
      <c r="BA327" s="971" t="str">
        <f t="shared" si="291"/>
        <v>-</v>
      </c>
      <c r="BB327" s="975"/>
      <c r="BC327" s="821"/>
      <c r="BD327" s="821"/>
      <c r="BE327" s="963" t="str">
        <f t="shared" si="292"/>
        <v>-</v>
      </c>
      <c r="BF327" s="984"/>
      <c r="BG327" s="988"/>
      <c r="BH327" s="982"/>
      <c r="BI327" s="991"/>
      <c r="BJ327" s="991"/>
      <c r="BK327" s="993" t="str">
        <f t="shared" si="293"/>
        <v>-</v>
      </c>
      <c r="BL327" s="820">
        <v>42980</v>
      </c>
      <c r="BM327" s="821">
        <v>5</v>
      </c>
      <c r="BN327" s="822">
        <f t="shared" ca="1" si="294"/>
        <v>154</v>
      </c>
      <c r="BO327" s="823">
        <f t="shared" si="295"/>
        <v>55.9</v>
      </c>
      <c r="BP327" s="824"/>
      <c r="BQ327" s="821"/>
      <c r="BR327" s="822" t="str">
        <f t="shared" si="296"/>
        <v>-</v>
      </c>
      <c r="BS327" s="823" t="str">
        <f t="shared" si="297"/>
        <v>-</v>
      </c>
      <c r="BT327" s="825" t="str">
        <f t="shared" ca="1" si="298"/>
        <v>-</v>
      </c>
      <c r="BU327" s="826"/>
      <c r="BV327" s="827"/>
      <c r="BW327" s="828" t="str">
        <f t="shared" si="299"/>
        <v>Ж-Е НЕ ВАКЦ.</v>
      </c>
      <c r="BX327" s="829" t="str">
        <f t="shared" si="300"/>
        <v>-</v>
      </c>
      <c r="BY327" s="830" t="str">
        <f t="shared" ca="1" si="301"/>
        <v>-</v>
      </c>
      <c r="BZ327" s="831">
        <v>42887</v>
      </c>
      <c r="CA327" s="832">
        <v>5</v>
      </c>
      <c r="CB327" s="833">
        <f t="shared" ca="1" si="302"/>
        <v>247</v>
      </c>
      <c r="CC327" s="834" t="str">
        <f t="shared" ca="1" si="303"/>
        <v>-</v>
      </c>
      <c r="CD327" s="835">
        <f t="shared" si="304"/>
        <v>42908</v>
      </c>
      <c r="CE327" s="831">
        <v>42908</v>
      </c>
      <c r="CF327" s="832">
        <v>5</v>
      </c>
      <c r="CG327" s="833">
        <f t="shared" ca="1" si="305"/>
        <v>226</v>
      </c>
      <c r="CH327" s="836">
        <f t="shared" si="306"/>
        <v>0</v>
      </c>
      <c r="CI327" s="837" t="str">
        <f t="shared" si="307"/>
        <v>УСПЕШНО</v>
      </c>
      <c r="CJ327" s="838" t="str">
        <f t="shared" ca="1" si="308"/>
        <v>-</v>
      </c>
      <c r="CK327" s="831"/>
      <c r="CL327" s="832"/>
      <c r="CM327" s="833" t="str">
        <f t="shared" si="309"/>
        <v>-</v>
      </c>
      <c r="CN327" s="834" t="str">
        <f t="shared" si="310"/>
        <v>-</v>
      </c>
      <c r="CO327" s="830" t="str">
        <f t="shared" ca="1" si="311"/>
        <v>ТРЕБУЕТСЯ ВАКЦИНАЦИЯ</v>
      </c>
      <c r="CP327" s="839"/>
      <c r="CQ327" s="832"/>
      <c r="CR327" s="833" t="str">
        <f t="shared" si="312"/>
        <v>-</v>
      </c>
      <c r="CS327" s="833" t="str">
        <f t="shared" si="313"/>
        <v>-</v>
      </c>
      <c r="CT327" s="834" t="str">
        <f t="shared" si="314"/>
        <v>-</v>
      </c>
      <c r="CU327" s="835" t="str">
        <f t="shared" si="315"/>
        <v>-</v>
      </c>
      <c r="CV327" s="839"/>
      <c r="CW327" s="832"/>
      <c r="CX327" s="833" t="str">
        <f t="shared" si="316"/>
        <v>-</v>
      </c>
      <c r="CY327" s="840" t="str">
        <f t="shared" si="317"/>
        <v>-</v>
      </c>
      <c r="CZ327" s="833" t="str">
        <f t="shared" si="318"/>
        <v>-</v>
      </c>
      <c r="DA327" s="838" t="str">
        <f t="shared" ca="1" si="319"/>
        <v>-</v>
      </c>
      <c r="DB327" s="841"/>
      <c r="DC327" s="832"/>
    </row>
    <row r="328" spans="1:107" s="842" customFormat="1" ht="15.95" customHeight="1" x14ac:dyDescent="0.25">
      <c r="A328" s="790">
        <v>329</v>
      </c>
      <c r="B328" s="791">
        <f t="shared" ca="1" si="268"/>
        <v>43134</v>
      </c>
      <c r="C328" s="29" t="s">
        <v>613</v>
      </c>
      <c r="D328" s="59" t="s">
        <v>3204</v>
      </c>
      <c r="E328" s="794" t="s">
        <v>1357</v>
      </c>
      <c r="F328" s="795" t="s">
        <v>1241</v>
      </c>
      <c r="G328" s="796">
        <f>SUMIFS(МОЛОКО!L8:L6958,МОЛОКО!F8:F6958,"1849",МОЛОКО!L8:L6958,"&gt;0")</f>
        <v>6</v>
      </c>
      <c r="H328" s="797" t="s">
        <v>603</v>
      </c>
      <c r="I328" s="798">
        <v>41395</v>
      </c>
      <c r="J328" s="799">
        <f t="shared" ca="1" si="269"/>
        <v>4.7643835616438359</v>
      </c>
      <c r="K328" s="799">
        <f t="shared" ca="1" si="270"/>
        <v>57.966666666666669</v>
      </c>
      <c r="L328" s="800">
        <f t="shared" ca="1" si="271"/>
        <v>1739</v>
      </c>
      <c r="M328" s="801">
        <v>42481</v>
      </c>
      <c r="N328" s="802">
        <v>42830</v>
      </c>
      <c r="O328" s="803">
        <f t="shared" ca="1" si="272"/>
        <v>304</v>
      </c>
      <c r="P328" s="804">
        <v>2</v>
      </c>
      <c r="Q328" s="805" t="s">
        <v>2366</v>
      </c>
      <c r="R328" s="806" t="s">
        <v>1876</v>
      </c>
      <c r="S328" s="807">
        <v>42894</v>
      </c>
      <c r="T328" s="798">
        <v>42903</v>
      </c>
      <c r="U328" s="798" t="str">
        <f t="shared" si="273"/>
        <v>-</v>
      </c>
      <c r="V328" s="804" t="str">
        <f t="shared" ca="1" si="274"/>
        <v>-</v>
      </c>
      <c r="W328" s="808">
        <v>2</v>
      </c>
      <c r="X328" s="794">
        <f t="shared" si="267"/>
        <v>73</v>
      </c>
      <c r="Y328" s="794">
        <v>1</v>
      </c>
      <c r="Z328" s="809" t="str">
        <f t="shared" ca="1" si="275"/>
        <v>-----</v>
      </c>
      <c r="AA328" s="810" t="str">
        <f t="shared" ca="1" si="276"/>
        <v>-----</v>
      </c>
      <c r="AB328" s="804">
        <v>1</v>
      </c>
      <c r="AC328" s="811" t="str">
        <f t="shared" ca="1" si="277"/>
        <v>-----</v>
      </c>
      <c r="AD328" s="798"/>
      <c r="AE328" s="794" t="str">
        <f t="shared" ca="1" si="278"/>
        <v>-</v>
      </c>
      <c r="AF328" s="798" t="str">
        <f t="shared" si="279"/>
        <v>-</v>
      </c>
      <c r="AG328" s="812" t="str">
        <f t="shared" si="280"/>
        <v>---------</v>
      </c>
      <c r="AH328" s="807">
        <v>42971</v>
      </c>
      <c r="AI328" s="807">
        <f t="shared" si="281"/>
        <v>43093</v>
      </c>
      <c r="AJ328" s="807">
        <f t="shared" si="282"/>
        <v>43123</v>
      </c>
      <c r="AK328" s="813"/>
      <c r="AL328" s="807">
        <f t="shared" si="283"/>
        <v>43162</v>
      </c>
      <c r="AM328" s="807">
        <f t="shared" si="284"/>
        <v>43183</v>
      </c>
      <c r="AN328" s="814">
        <f t="shared" ca="1" si="285"/>
        <v>-49</v>
      </c>
      <c r="AO328" s="815">
        <v>1</v>
      </c>
      <c r="AP328" s="816" t="str">
        <f t="shared" ca="1" si="286"/>
        <v>-</v>
      </c>
      <c r="AQ328" s="817"/>
      <c r="AR328" s="794" t="str">
        <f t="shared" si="287"/>
        <v>-</v>
      </c>
      <c r="AS328" s="818"/>
      <c r="AT328" s="794" t="str">
        <f t="shared" si="288"/>
        <v>-</v>
      </c>
      <c r="AU328" s="819"/>
      <c r="AV328" s="820"/>
      <c r="AW328" s="821"/>
      <c r="AX328" s="821"/>
      <c r="AY328" s="969" t="str">
        <f t="shared" si="289"/>
        <v>-</v>
      </c>
      <c r="AZ328" s="966" t="str">
        <f t="shared" si="290"/>
        <v>-</v>
      </c>
      <c r="BA328" s="971" t="str">
        <f t="shared" si="291"/>
        <v>-</v>
      </c>
      <c r="BB328" s="975"/>
      <c r="BC328" s="821"/>
      <c r="BD328" s="821"/>
      <c r="BE328" s="963" t="str">
        <f t="shared" si="292"/>
        <v>-</v>
      </c>
      <c r="BF328" s="984"/>
      <c r="BG328" s="988"/>
      <c r="BH328" s="982"/>
      <c r="BI328" s="991"/>
      <c r="BJ328" s="991"/>
      <c r="BK328" s="993" t="str">
        <f t="shared" si="293"/>
        <v>-</v>
      </c>
      <c r="BL328" s="820">
        <v>42980</v>
      </c>
      <c r="BM328" s="821">
        <v>5</v>
      </c>
      <c r="BN328" s="822">
        <f t="shared" ca="1" si="294"/>
        <v>154</v>
      </c>
      <c r="BO328" s="823">
        <f t="shared" si="295"/>
        <v>52.833333333333336</v>
      </c>
      <c r="BP328" s="824"/>
      <c r="BQ328" s="821"/>
      <c r="BR328" s="822" t="str">
        <f t="shared" si="296"/>
        <v>-</v>
      </c>
      <c r="BS328" s="823" t="str">
        <f t="shared" si="297"/>
        <v>-</v>
      </c>
      <c r="BT328" s="825" t="str">
        <f t="shared" ca="1" si="298"/>
        <v>-</v>
      </c>
      <c r="BU328" s="826"/>
      <c r="BV328" s="827"/>
      <c r="BW328" s="828" t="str">
        <f t="shared" si="299"/>
        <v>Ж-Е НЕ ВАКЦ.</v>
      </c>
      <c r="BX328" s="829" t="str">
        <f t="shared" si="300"/>
        <v>-</v>
      </c>
      <c r="BY328" s="830" t="str">
        <f t="shared" ca="1" si="301"/>
        <v>-</v>
      </c>
      <c r="BZ328" s="831">
        <v>42887</v>
      </c>
      <c r="CA328" s="832">
        <v>5</v>
      </c>
      <c r="CB328" s="833">
        <f t="shared" ca="1" si="302"/>
        <v>247</v>
      </c>
      <c r="CC328" s="834" t="str">
        <f t="shared" ca="1" si="303"/>
        <v>-</v>
      </c>
      <c r="CD328" s="835">
        <f t="shared" si="304"/>
        <v>42908</v>
      </c>
      <c r="CE328" s="831">
        <v>42908</v>
      </c>
      <c r="CF328" s="832">
        <v>5</v>
      </c>
      <c r="CG328" s="833">
        <f t="shared" ca="1" si="305"/>
        <v>226</v>
      </c>
      <c r="CH328" s="836">
        <f t="shared" si="306"/>
        <v>0</v>
      </c>
      <c r="CI328" s="837" t="str">
        <f t="shared" si="307"/>
        <v>УСПЕШНО</v>
      </c>
      <c r="CJ328" s="838" t="str">
        <f t="shared" ca="1" si="308"/>
        <v>-</v>
      </c>
      <c r="CK328" s="831"/>
      <c r="CL328" s="832"/>
      <c r="CM328" s="833" t="str">
        <f t="shared" si="309"/>
        <v>-</v>
      </c>
      <c r="CN328" s="834" t="str">
        <f t="shared" si="310"/>
        <v>-</v>
      </c>
      <c r="CO328" s="830" t="str">
        <f t="shared" ca="1" si="311"/>
        <v>ТРЕБУЕТСЯ ВАКЦИНАЦИЯ</v>
      </c>
      <c r="CP328" s="839"/>
      <c r="CQ328" s="832"/>
      <c r="CR328" s="833" t="str">
        <f t="shared" si="312"/>
        <v>-</v>
      </c>
      <c r="CS328" s="833" t="str">
        <f t="shared" si="313"/>
        <v>-</v>
      </c>
      <c r="CT328" s="834" t="str">
        <f t="shared" si="314"/>
        <v>-</v>
      </c>
      <c r="CU328" s="835" t="str">
        <f t="shared" si="315"/>
        <v>-</v>
      </c>
      <c r="CV328" s="839"/>
      <c r="CW328" s="832"/>
      <c r="CX328" s="833" t="str">
        <f t="shared" si="316"/>
        <v>-</v>
      </c>
      <c r="CY328" s="840" t="str">
        <f t="shared" si="317"/>
        <v>-</v>
      </c>
      <c r="CZ328" s="833" t="str">
        <f t="shared" si="318"/>
        <v>-</v>
      </c>
      <c r="DA328" s="838" t="str">
        <f t="shared" ca="1" si="319"/>
        <v>-</v>
      </c>
      <c r="DB328" s="841"/>
      <c r="DC328" s="832"/>
    </row>
    <row r="329" spans="1:107" s="842" customFormat="1" ht="15.95" customHeight="1" x14ac:dyDescent="0.25">
      <c r="A329" s="790">
        <v>330</v>
      </c>
      <c r="B329" s="791">
        <f t="shared" ca="1" si="268"/>
        <v>43134</v>
      </c>
      <c r="C329" s="792" t="s">
        <v>613</v>
      </c>
      <c r="D329" s="793" t="s">
        <v>3204</v>
      </c>
      <c r="E329" s="794" t="s">
        <v>51</v>
      </c>
      <c r="F329" s="795" t="s">
        <v>413</v>
      </c>
      <c r="G329" s="796">
        <f>SUMIFS(МОЛОКО!L8:L6958,МОЛОКО!F8:F6958,"1893",МОЛОКО!L8:L6958,"&gt;0")</f>
        <v>16</v>
      </c>
      <c r="H329" s="797" t="s">
        <v>603</v>
      </c>
      <c r="I329" s="798">
        <v>41437</v>
      </c>
      <c r="J329" s="799">
        <f t="shared" ca="1" si="269"/>
        <v>4.6493150684931503</v>
      </c>
      <c r="K329" s="799">
        <f t="shared" ca="1" si="270"/>
        <v>56.56666666666667</v>
      </c>
      <c r="L329" s="800">
        <f t="shared" ca="1" si="271"/>
        <v>1697</v>
      </c>
      <c r="M329" s="801">
        <v>42330</v>
      </c>
      <c r="N329" s="802">
        <v>42825</v>
      </c>
      <c r="O329" s="803">
        <f t="shared" ca="1" si="272"/>
        <v>309</v>
      </c>
      <c r="P329" s="804">
        <v>2</v>
      </c>
      <c r="Q329" s="68" t="s">
        <v>1451</v>
      </c>
      <c r="R329" s="118" t="s">
        <v>2966</v>
      </c>
      <c r="S329" s="807">
        <v>42887</v>
      </c>
      <c r="T329" s="798">
        <v>43028</v>
      </c>
      <c r="U329" s="798">
        <f t="shared" si="273"/>
        <v>43046</v>
      </c>
      <c r="V329" s="804">
        <f t="shared" ca="1" si="274"/>
        <v>88</v>
      </c>
      <c r="W329" s="808">
        <v>5</v>
      </c>
      <c r="X329" s="794">
        <f t="shared" si="267"/>
        <v>203</v>
      </c>
      <c r="Y329" s="794">
        <v>3</v>
      </c>
      <c r="Z329" s="809" t="str">
        <f t="shared" ca="1" si="275"/>
        <v>-----</v>
      </c>
      <c r="AA329" s="810">
        <f t="shared" ca="1" si="276"/>
        <v>106</v>
      </c>
      <c r="AB329" s="804"/>
      <c r="AC329" s="811" t="str">
        <f t="shared" ca="1" si="277"/>
        <v>-----</v>
      </c>
      <c r="AD329" s="798"/>
      <c r="AE329" s="794" t="str">
        <f t="shared" ca="1" si="278"/>
        <v>-</v>
      </c>
      <c r="AF329" s="798">
        <f t="shared" si="279"/>
        <v>43063</v>
      </c>
      <c r="AG329" s="812">
        <f t="shared" ca="1" si="280"/>
        <v>71</v>
      </c>
      <c r="AH329" s="807">
        <v>43007</v>
      </c>
      <c r="AI329" s="807" t="str">
        <f t="shared" si="281"/>
        <v>-</v>
      </c>
      <c r="AJ329" s="807" t="str">
        <f t="shared" si="282"/>
        <v>-</v>
      </c>
      <c r="AK329" s="813"/>
      <c r="AL329" s="807" t="str">
        <f t="shared" si="283"/>
        <v>-</v>
      </c>
      <c r="AM329" s="807" t="str">
        <f t="shared" si="284"/>
        <v>-</v>
      </c>
      <c r="AN329" s="814" t="str">
        <f t="shared" ca="1" si="285"/>
        <v>-</v>
      </c>
      <c r="AO329" s="815">
        <v>1</v>
      </c>
      <c r="AP329" s="816" t="str">
        <f t="shared" ca="1" si="286"/>
        <v>-</v>
      </c>
      <c r="AQ329" s="817"/>
      <c r="AR329" s="794" t="str">
        <f t="shared" si="287"/>
        <v>-</v>
      </c>
      <c r="AS329" s="818"/>
      <c r="AT329" s="794" t="str">
        <f t="shared" si="288"/>
        <v>-</v>
      </c>
      <c r="AU329" s="819"/>
      <c r="AV329" s="820"/>
      <c r="AW329" s="821"/>
      <c r="AX329" s="821"/>
      <c r="AY329" s="969" t="str">
        <f t="shared" si="289"/>
        <v>-</v>
      </c>
      <c r="AZ329" s="966" t="str">
        <f t="shared" si="290"/>
        <v>-</v>
      </c>
      <c r="BA329" s="971" t="str">
        <f t="shared" si="291"/>
        <v>-</v>
      </c>
      <c r="BB329" s="975"/>
      <c r="BC329" s="821"/>
      <c r="BD329" s="821"/>
      <c r="BE329" s="963" t="str">
        <f t="shared" si="292"/>
        <v>-</v>
      </c>
      <c r="BF329" s="984"/>
      <c r="BG329" s="988"/>
      <c r="BH329" s="982"/>
      <c r="BI329" s="991"/>
      <c r="BJ329" s="991"/>
      <c r="BK329" s="993" t="str">
        <f t="shared" si="293"/>
        <v>-</v>
      </c>
      <c r="BL329" s="820">
        <v>42981</v>
      </c>
      <c r="BM329" s="821">
        <v>5</v>
      </c>
      <c r="BN329" s="822">
        <f t="shared" ca="1" si="294"/>
        <v>153</v>
      </c>
      <c r="BO329" s="823">
        <f t="shared" si="295"/>
        <v>51.466666666666669</v>
      </c>
      <c r="BP329" s="824"/>
      <c r="BQ329" s="821"/>
      <c r="BR329" s="822" t="str">
        <f t="shared" si="296"/>
        <v>-</v>
      </c>
      <c r="BS329" s="823" t="str">
        <f t="shared" si="297"/>
        <v>-</v>
      </c>
      <c r="BT329" s="825" t="str">
        <f t="shared" ca="1" si="298"/>
        <v>-</v>
      </c>
      <c r="BU329" s="826"/>
      <c r="BV329" s="827"/>
      <c r="BW329" s="828" t="str">
        <f t="shared" si="299"/>
        <v>Ж-Е НЕ ВАКЦ.</v>
      </c>
      <c r="BX329" s="829" t="str">
        <f t="shared" si="300"/>
        <v>-</v>
      </c>
      <c r="BY329" s="830" t="str">
        <f t="shared" ca="1" si="301"/>
        <v>-</v>
      </c>
      <c r="BZ329" s="831">
        <v>42887</v>
      </c>
      <c r="CA329" s="832">
        <v>5</v>
      </c>
      <c r="CB329" s="833">
        <f t="shared" ca="1" si="302"/>
        <v>247</v>
      </c>
      <c r="CC329" s="834" t="str">
        <f t="shared" ca="1" si="303"/>
        <v>-</v>
      </c>
      <c r="CD329" s="835">
        <f t="shared" si="304"/>
        <v>42908</v>
      </c>
      <c r="CE329" s="831">
        <v>42908</v>
      </c>
      <c r="CF329" s="832">
        <v>5</v>
      </c>
      <c r="CG329" s="833">
        <f t="shared" ca="1" si="305"/>
        <v>226</v>
      </c>
      <c r="CH329" s="836">
        <f t="shared" si="306"/>
        <v>0</v>
      </c>
      <c r="CI329" s="837" t="str">
        <f t="shared" si="307"/>
        <v>УСПЕШНО</v>
      </c>
      <c r="CJ329" s="838" t="str">
        <f t="shared" ca="1" si="308"/>
        <v>-</v>
      </c>
      <c r="CK329" s="831"/>
      <c r="CL329" s="832"/>
      <c r="CM329" s="833" t="str">
        <f t="shared" si="309"/>
        <v>-</v>
      </c>
      <c r="CN329" s="834" t="str">
        <f t="shared" si="310"/>
        <v>-</v>
      </c>
      <c r="CO329" s="830" t="str">
        <f t="shared" ca="1" si="311"/>
        <v>-</v>
      </c>
      <c r="CP329" s="839"/>
      <c r="CQ329" s="832"/>
      <c r="CR329" s="833" t="str">
        <f t="shared" si="312"/>
        <v>-</v>
      </c>
      <c r="CS329" s="833" t="str">
        <f t="shared" si="313"/>
        <v>-</v>
      </c>
      <c r="CT329" s="834" t="str">
        <f t="shared" si="314"/>
        <v>-</v>
      </c>
      <c r="CU329" s="835" t="str">
        <f t="shared" si="315"/>
        <v>-</v>
      </c>
      <c r="CV329" s="839"/>
      <c r="CW329" s="832"/>
      <c r="CX329" s="833" t="str">
        <f t="shared" si="316"/>
        <v>-</v>
      </c>
      <c r="CY329" s="840" t="str">
        <f t="shared" si="317"/>
        <v>-</v>
      </c>
      <c r="CZ329" s="833" t="str">
        <f t="shared" si="318"/>
        <v>-</v>
      </c>
      <c r="DA329" s="838" t="str">
        <f t="shared" ca="1" si="319"/>
        <v>-</v>
      </c>
      <c r="DB329" s="841"/>
      <c r="DC329" s="832"/>
    </row>
    <row r="330" spans="1:107" s="842" customFormat="1" ht="15.95" customHeight="1" x14ac:dyDescent="0.25">
      <c r="A330" s="790">
        <v>331</v>
      </c>
      <c r="B330" s="791">
        <f t="shared" ca="1" si="268"/>
        <v>43134</v>
      </c>
      <c r="C330" s="792" t="s">
        <v>613</v>
      </c>
      <c r="D330" s="793" t="s">
        <v>3204</v>
      </c>
      <c r="E330" s="794" t="s">
        <v>416</v>
      </c>
      <c r="F330" s="795" t="s">
        <v>607</v>
      </c>
      <c r="G330" s="796">
        <f>SUMIFS(МОЛОКО!L8:L6958,МОЛОКО!F8:F6958,"1922",МОЛОКО!L8:L6958,"&gt;0")</f>
        <v>11</v>
      </c>
      <c r="H330" s="797" t="s">
        <v>603</v>
      </c>
      <c r="I330" s="798">
        <v>41485</v>
      </c>
      <c r="J330" s="799">
        <f t="shared" ca="1" si="269"/>
        <v>4.5178082191780824</v>
      </c>
      <c r="K330" s="799">
        <f t="shared" ca="1" si="270"/>
        <v>54.966666666666669</v>
      </c>
      <c r="L330" s="800">
        <f t="shared" ca="1" si="271"/>
        <v>1649</v>
      </c>
      <c r="M330" s="801">
        <v>42355</v>
      </c>
      <c r="N330" s="802">
        <v>42807</v>
      </c>
      <c r="O330" s="803">
        <f t="shared" ca="1" si="272"/>
        <v>327</v>
      </c>
      <c r="P330" s="804">
        <v>2</v>
      </c>
      <c r="Q330" s="805" t="s">
        <v>2366</v>
      </c>
      <c r="R330" s="806" t="s">
        <v>2335</v>
      </c>
      <c r="S330" s="807">
        <v>42874</v>
      </c>
      <c r="T330" s="798">
        <v>42874</v>
      </c>
      <c r="U330" s="798" t="str">
        <f t="shared" si="273"/>
        <v>-</v>
      </c>
      <c r="V330" s="804" t="str">
        <f t="shared" ca="1" si="274"/>
        <v>-</v>
      </c>
      <c r="W330" s="808">
        <v>1</v>
      </c>
      <c r="X330" s="794">
        <f t="shared" si="267"/>
        <v>67</v>
      </c>
      <c r="Y330" s="794">
        <v>1</v>
      </c>
      <c r="Z330" s="809" t="str">
        <f t="shared" ca="1" si="275"/>
        <v>-----</v>
      </c>
      <c r="AA330" s="810" t="str">
        <f t="shared" ca="1" si="276"/>
        <v>-----</v>
      </c>
      <c r="AB330" s="804">
        <v>1</v>
      </c>
      <c r="AC330" s="811" t="str">
        <f t="shared" ca="1" si="277"/>
        <v>-----</v>
      </c>
      <c r="AD330" s="798">
        <v>42935</v>
      </c>
      <c r="AE330" s="794" t="str">
        <f t="shared" ca="1" si="278"/>
        <v>-</v>
      </c>
      <c r="AF330" s="798" t="str">
        <f t="shared" si="279"/>
        <v>-</v>
      </c>
      <c r="AG330" s="812" t="str">
        <f t="shared" si="280"/>
        <v>---------</v>
      </c>
      <c r="AH330" s="807">
        <v>42910</v>
      </c>
      <c r="AI330" s="807">
        <f t="shared" si="281"/>
        <v>43064</v>
      </c>
      <c r="AJ330" s="807">
        <f t="shared" si="282"/>
        <v>43094</v>
      </c>
      <c r="AK330" s="813"/>
      <c r="AL330" s="807">
        <f t="shared" si="283"/>
        <v>43133</v>
      </c>
      <c r="AM330" s="807">
        <f t="shared" si="284"/>
        <v>43154</v>
      </c>
      <c r="AN330" s="814">
        <f t="shared" ca="1" si="285"/>
        <v>-20</v>
      </c>
      <c r="AO330" s="815">
        <v>1</v>
      </c>
      <c r="AP330" s="816" t="str">
        <f t="shared" ca="1" si="286"/>
        <v>-</v>
      </c>
      <c r="AQ330" s="817"/>
      <c r="AR330" s="794" t="str">
        <f t="shared" si="287"/>
        <v>-</v>
      </c>
      <c r="AS330" s="818"/>
      <c r="AT330" s="794" t="str">
        <f t="shared" si="288"/>
        <v>-</v>
      </c>
      <c r="AU330" s="819"/>
      <c r="AV330" s="820"/>
      <c r="AW330" s="821"/>
      <c r="AX330" s="821"/>
      <c r="AY330" s="969" t="str">
        <f t="shared" si="289"/>
        <v>-</v>
      </c>
      <c r="AZ330" s="966" t="str">
        <f t="shared" si="290"/>
        <v>-</v>
      </c>
      <c r="BA330" s="971" t="str">
        <f t="shared" si="291"/>
        <v>-</v>
      </c>
      <c r="BB330" s="975"/>
      <c r="BC330" s="821"/>
      <c r="BD330" s="821"/>
      <c r="BE330" s="963" t="str">
        <f t="shared" si="292"/>
        <v>-</v>
      </c>
      <c r="BF330" s="984"/>
      <c r="BG330" s="988"/>
      <c r="BH330" s="982"/>
      <c r="BI330" s="991"/>
      <c r="BJ330" s="991"/>
      <c r="BK330" s="993" t="str">
        <f t="shared" si="293"/>
        <v>-</v>
      </c>
      <c r="BL330" s="820">
        <v>42981</v>
      </c>
      <c r="BM330" s="821">
        <v>5</v>
      </c>
      <c r="BN330" s="822">
        <f t="shared" ca="1" si="294"/>
        <v>153</v>
      </c>
      <c r="BO330" s="823">
        <f t="shared" si="295"/>
        <v>49.866666666666667</v>
      </c>
      <c r="BP330" s="824"/>
      <c r="BQ330" s="821"/>
      <c r="BR330" s="822" t="str">
        <f t="shared" si="296"/>
        <v>-</v>
      </c>
      <c r="BS330" s="823" t="str">
        <f t="shared" si="297"/>
        <v>-</v>
      </c>
      <c r="BT330" s="825" t="str">
        <f t="shared" ca="1" si="298"/>
        <v>-</v>
      </c>
      <c r="BU330" s="826"/>
      <c r="BV330" s="827"/>
      <c r="BW330" s="828" t="str">
        <f t="shared" si="299"/>
        <v>Ж-Е НЕ ВАКЦ.</v>
      </c>
      <c r="BX330" s="829" t="str">
        <f t="shared" si="300"/>
        <v>-</v>
      </c>
      <c r="BY330" s="830" t="str">
        <f t="shared" ca="1" si="301"/>
        <v>-</v>
      </c>
      <c r="BZ330" s="831">
        <v>42887</v>
      </c>
      <c r="CA330" s="832">
        <v>5</v>
      </c>
      <c r="CB330" s="833">
        <f t="shared" ca="1" si="302"/>
        <v>247</v>
      </c>
      <c r="CC330" s="834" t="str">
        <f t="shared" ca="1" si="303"/>
        <v>-</v>
      </c>
      <c r="CD330" s="835">
        <f t="shared" si="304"/>
        <v>42908</v>
      </c>
      <c r="CE330" s="831">
        <v>42908</v>
      </c>
      <c r="CF330" s="832">
        <v>5</v>
      </c>
      <c r="CG330" s="833">
        <f t="shared" ca="1" si="305"/>
        <v>226</v>
      </c>
      <c r="CH330" s="836">
        <f t="shared" si="306"/>
        <v>0</v>
      </c>
      <c r="CI330" s="837" t="str">
        <f t="shared" si="307"/>
        <v>УСПЕШНО</v>
      </c>
      <c r="CJ330" s="838" t="str">
        <f t="shared" ca="1" si="308"/>
        <v>-</v>
      </c>
      <c r="CK330" s="831"/>
      <c r="CL330" s="832"/>
      <c r="CM330" s="833" t="str">
        <f t="shared" si="309"/>
        <v>-</v>
      </c>
      <c r="CN330" s="834" t="str">
        <f t="shared" si="310"/>
        <v>-</v>
      </c>
      <c r="CO330" s="830" t="str">
        <f t="shared" ca="1" si="311"/>
        <v>ТРЕБУЕТСЯ ВАКЦИНАЦИЯ</v>
      </c>
      <c r="CP330" s="839"/>
      <c r="CQ330" s="832"/>
      <c r="CR330" s="833" t="str">
        <f t="shared" si="312"/>
        <v>-</v>
      </c>
      <c r="CS330" s="833" t="str">
        <f t="shared" si="313"/>
        <v>-</v>
      </c>
      <c r="CT330" s="834" t="str">
        <f t="shared" si="314"/>
        <v>-</v>
      </c>
      <c r="CU330" s="835" t="str">
        <f t="shared" si="315"/>
        <v>-</v>
      </c>
      <c r="CV330" s="839"/>
      <c r="CW330" s="832"/>
      <c r="CX330" s="833" t="str">
        <f t="shared" si="316"/>
        <v>-</v>
      </c>
      <c r="CY330" s="840" t="str">
        <f t="shared" si="317"/>
        <v>-</v>
      </c>
      <c r="CZ330" s="833" t="str">
        <f t="shared" si="318"/>
        <v>-</v>
      </c>
      <c r="DA330" s="838" t="str">
        <f t="shared" ca="1" si="319"/>
        <v>-</v>
      </c>
      <c r="DB330" s="841"/>
      <c r="DC330" s="832"/>
    </row>
    <row r="331" spans="1:107" s="842" customFormat="1" ht="15.95" customHeight="1" x14ac:dyDescent="0.25">
      <c r="A331" s="790">
        <v>332</v>
      </c>
      <c r="B331" s="791">
        <f t="shared" ca="1" si="268"/>
        <v>43134</v>
      </c>
      <c r="C331" s="792" t="s">
        <v>613</v>
      </c>
      <c r="D331" s="793" t="s">
        <v>3204</v>
      </c>
      <c r="E331" s="794" t="s">
        <v>708</v>
      </c>
      <c r="F331" s="795" t="s">
        <v>709</v>
      </c>
      <c r="G331" s="796">
        <f>SUMIFS(МОЛОКО!L8:L6958,МОЛОКО!F8:F6958,"1955",МОЛОКО!L8:L6958,"&gt;0")</f>
        <v>10</v>
      </c>
      <c r="H331" s="797" t="s">
        <v>603</v>
      </c>
      <c r="I331" s="798">
        <v>41528</v>
      </c>
      <c r="J331" s="799">
        <f t="shared" ca="1" si="269"/>
        <v>4.4000000000000004</v>
      </c>
      <c r="K331" s="799">
        <f t="shared" ca="1" si="270"/>
        <v>53.533333333333331</v>
      </c>
      <c r="L331" s="800">
        <f t="shared" ca="1" si="271"/>
        <v>1606</v>
      </c>
      <c r="M331" s="801">
        <v>42345</v>
      </c>
      <c r="N331" s="802">
        <v>42756</v>
      </c>
      <c r="O331" s="803">
        <f t="shared" ca="1" si="272"/>
        <v>378</v>
      </c>
      <c r="P331" s="804">
        <v>2</v>
      </c>
      <c r="Q331" s="805" t="s">
        <v>2366</v>
      </c>
      <c r="R331" s="806" t="s">
        <v>2670</v>
      </c>
      <c r="S331" s="807">
        <v>42817</v>
      </c>
      <c r="T331" s="798">
        <v>42909</v>
      </c>
      <c r="U331" s="798" t="str">
        <f t="shared" si="273"/>
        <v>-</v>
      </c>
      <c r="V331" s="804" t="str">
        <f t="shared" ca="1" si="274"/>
        <v>-</v>
      </c>
      <c r="W331" s="808">
        <v>2</v>
      </c>
      <c r="X331" s="794">
        <f t="shared" si="267"/>
        <v>153</v>
      </c>
      <c r="Y331" s="794">
        <v>1</v>
      </c>
      <c r="Z331" s="809" t="str">
        <f t="shared" ca="1" si="275"/>
        <v>-----</v>
      </c>
      <c r="AA331" s="810" t="str">
        <f t="shared" ca="1" si="276"/>
        <v>-----</v>
      </c>
      <c r="AB331" s="804">
        <v>1</v>
      </c>
      <c r="AC331" s="811" t="str">
        <f t="shared" ca="1" si="277"/>
        <v>-----</v>
      </c>
      <c r="AD331" s="798">
        <v>43043</v>
      </c>
      <c r="AE331" s="794" t="str">
        <f t="shared" ca="1" si="278"/>
        <v>-</v>
      </c>
      <c r="AF331" s="798" t="str">
        <f t="shared" si="279"/>
        <v>-</v>
      </c>
      <c r="AG331" s="812" t="str">
        <f t="shared" si="280"/>
        <v>---------</v>
      </c>
      <c r="AH331" s="807">
        <v>42940</v>
      </c>
      <c r="AI331" s="807">
        <f t="shared" si="281"/>
        <v>43099</v>
      </c>
      <c r="AJ331" s="807">
        <f t="shared" si="282"/>
        <v>43129</v>
      </c>
      <c r="AK331" s="813"/>
      <c r="AL331" s="807">
        <f t="shared" si="283"/>
        <v>43168</v>
      </c>
      <c r="AM331" s="807">
        <f t="shared" si="284"/>
        <v>43189</v>
      </c>
      <c r="AN331" s="814">
        <f t="shared" ca="1" si="285"/>
        <v>-55</v>
      </c>
      <c r="AO331" s="815">
        <v>1</v>
      </c>
      <c r="AP331" s="816" t="str">
        <f t="shared" ca="1" si="286"/>
        <v>-</v>
      </c>
      <c r="AQ331" s="817"/>
      <c r="AR331" s="794" t="str">
        <f t="shared" si="287"/>
        <v>-</v>
      </c>
      <c r="AS331" s="818"/>
      <c r="AT331" s="794" t="str">
        <f t="shared" si="288"/>
        <v>-</v>
      </c>
      <c r="AU331" s="819"/>
      <c r="AV331" s="820"/>
      <c r="AW331" s="821"/>
      <c r="AX331" s="821"/>
      <c r="AY331" s="969" t="str">
        <f t="shared" si="289"/>
        <v>-</v>
      </c>
      <c r="AZ331" s="966" t="str">
        <f t="shared" si="290"/>
        <v>-</v>
      </c>
      <c r="BA331" s="971" t="str">
        <f t="shared" si="291"/>
        <v>-</v>
      </c>
      <c r="BB331" s="975"/>
      <c r="BC331" s="821"/>
      <c r="BD331" s="821"/>
      <c r="BE331" s="963" t="str">
        <f t="shared" si="292"/>
        <v>-</v>
      </c>
      <c r="BF331" s="984"/>
      <c r="BG331" s="988"/>
      <c r="BH331" s="982"/>
      <c r="BI331" s="991"/>
      <c r="BJ331" s="991"/>
      <c r="BK331" s="993" t="str">
        <f t="shared" si="293"/>
        <v>-</v>
      </c>
      <c r="BL331" s="820">
        <v>42981</v>
      </c>
      <c r="BM331" s="821">
        <v>5</v>
      </c>
      <c r="BN331" s="822">
        <f t="shared" ca="1" si="294"/>
        <v>153</v>
      </c>
      <c r="BO331" s="823">
        <f t="shared" si="295"/>
        <v>48.43333333333333</v>
      </c>
      <c r="BP331" s="824">
        <v>43001</v>
      </c>
      <c r="BQ331" s="821">
        <v>2</v>
      </c>
      <c r="BR331" s="822">
        <f t="shared" ca="1" si="296"/>
        <v>133</v>
      </c>
      <c r="BS331" s="823">
        <f t="shared" si="297"/>
        <v>21.866666666666667</v>
      </c>
      <c r="BT331" s="825" t="str">
        <f t="shared" ca="1" si="298"/>
        <v>-</v>
      </c>
      <c r="BU331" s="826"/>
      <c r="BV331" s="827"/>
      <c r="BW331" s="828" t="str">
        <f t="shared" si="299"/>
        <v>Ж-Е НЕ ВАКЦ.</v>
      </c>
      <c r="BX331" s="829" t="str">
        <f t="shared" si="300"/>
        <v>-</v>
      </c>
      <c r="BY331" s="830" t="str">
        <f t="shared" ca="1" si="301"/>
        <v>-</v>
      </c>
      <c r="BZ331" s="831">
        <v>42887</v>
      </c>
      <c r="CA331" s="832">
        <v>5</v>
      </c>
      <c r="CB331" s="833">
        <f t="shared" ca="1" si="302"/>
        <v>247</v>
      </c>
      <c r="CC331" s="834" t="str">
        <f t="shared" ca="1" si="303"/>
        <v>-</v>
      </c>
      <c r="CD331" s="835">
        <f t="shared" si="304"/>
        <v>42908</v>
      </c>
      <c r="CE331" s="831">
        <v>42908</v>
      </c>
      <c r="CF331" s="832">
        <v>5</v>
      </c>
      <c r="CG331" s="833">
        <f t="shared" ca="1" si="305"/>
        <v>226</v>
      </c>
      <c r="CH331" s="836">
        <f t="shared" si="306"/>
        <v>0</v>
      </c>
      <c r="CI331" s="837" t="str">
        <f t="shared" si="307"/>
        <v>УСПЕШНО</v>
      </c>
      <c r="CJ331" s="838" t="str">
        <f t="shared" ca="1" si="308"/>
        <v>-</v>
      </c>
      <c r="CK331" s="831"/>
      <c r="CL331" s="832"/>
      <c r="CM331" s="833" t="str">
        <f t="shared" si="309"/>
        <v>-</v>
      </c>
      <c r="CN331" s="834" t="str">
        <f t="shared" si="310"/>
        <v>-</v>
      </c>
      <c r="CO331" s="830" t="str">
        <f t="shared" ca="1" si="311"/>
        <v>ТРЕБУЕТСЯ ВАКЦИНАЦИЯ</v>
      </c>
      <c r="CP331" s="839"/>
      <c r="CQ331" s="832"/>
      <c r="CR331" s="833" t="str">
        <f t="shared" si="312"/>
        <v>-</v>
      </c>
      <c r="CS331" s="833" t="str">
        <f t="shared" si="313"/>
        <v>-</v>
      </c>
      <c r="CT331" s="834" t="str">
        <f t="shared" si="314"/>
        <v>-</v>
      </c>
      <c r="CU331" s="835" t="str">
        <f t="shared" si="315"/>
        <v>-</v>
      </c>
      <c r="CV331" s="839"/>
      <c r="CW331" s="832"/>
      <c r="CX331" s="833" t="str">
        <f t="shared" si="316"/>
        <v>-</v>
      </c>
      <c r="CY331" s="840" t="str">
        <f t="shared" si="317"/>
        <v>-</v>
      </c>
      <c r="CZ331" s="833" t="str">
        <f t="shared" si="318"/>
        <v>-</v>
      </c>
      <c r="DA331" s="838" t="str">
        <f t="shared" ca="1" si="319"/>
        <v>-</v>
      </c>
      <c r="DB331" s="841"/>
      <c r="DC331" s="832"/>
    </row>
    <row r="332" spans="1:107" s="842" customFormat="1" ht="15.95" customHeight="1" x14ac:dyDescent="0.25">
      <c r="A332" s="790">
        <v>333</v>
      </c>
      <c r="B332" s="791">
        <f t="shared" ca="1" si="268"/>
        <v>43134</v>
      </c>
      <c r="C332" s="792" t="s">
        <v>613</v>
      </c>
      <c r="D332" s="793" t="s">
        <v>3204</v>
      </c>
      <c r="E332" s="794" t="s">
        <v>554</v>
      </c>
      <c r="F332" s="795" t="s">
        <v>555</v>
      </c>
      <c r="G332" s="796">
        <f>SUMIFS(МОЛОКО!L8:L6958,МОЛОКО!F8:F6958,"1972",МОЛОКО!L8:L6958,"&gt;0")</f>
        <v>11.2</v>
      </c>
      <c r="H332" s="797" t="s">
        <v>603</v>
      </c>
      <c r="I332" s="798">
        <v>41549</v>
      </c>
      <c r="J332" s="799">
        <f t="shared" ca="1" si="269"/>
        <v>4.3424657534246576</v>
      </c>
      <c r="K332" s="799">
        <f t="shared" ca="1" si="270"/>
        <v>52.833333333333336</v>
      </c>
      <c r="L332" s="800">
        <f t="shared" ca="1" si="271"/>
        <v>1585</v>
      </c>
      <c r="M332" s="801">
        <v>42341</v>
      </c>
      <c r="N332" s="802">
        <v>42721</v>
      </c>
      <c r="O332" s="803">
        <f t="shared" ca="1" si="272"/>
        <v>413</v>
      </c>
      <c r="P332" s="804">
        <v>2</v>
      </c>
      <c r="Q332" s="805" t="s">
        <v>2366</v>
      </c>
      <c r="R332" s="806" t="s">
        <v>2269</v>
      </c>
      <c r="S332" s="807">
        <v>42782</v>
      </c>
      <c r="T332" s="798">
        <v>42958</v>
      </c>
      <c r="U332" s="798" t="str">
        <f t="shared" si="273"/>
        <v>-</v>
      </c>
      <c r="V332" s="804" t="str">
        <f t="shared" ca="1" si="274"/>
        <v>-</v>
      </c>
      <c r="W332" s="808">
        <v>3</v>
      </c>
      <c r="X332" s="794">
        <f t="shared" si="267"/>
        <v>237</v>
      </c>
      <c r="Y332" s="794">
        <v>1</v>
      </c>
      <c r="Z332" s="809" t="str">
        <f t="shared" ca="1" si="275"/>
        <v>-----</v>
      </c>
      <c r="AA332" s="810" t="str">
        <f t="shared" ca="1" si="276"/>
        <v>-----</v>
      </c>
      <c r="AB332" s="804">
        <v>1</v>
      </c>
      <c r="AC332" s="811" t="str">
        <f t="shared" ca="1" si="277"/>
        <v>-----</v>
      </c>
      <c r="AD332" s="798">
        <v>43042</v>
      </c>
      <c r="AE332" s="794" t="str">
        <f t="shared" ca="1" si="278"/>
        <v>-</v>
      </c>
      <c r="AF332" s="798" t="str">
        <f t="shared" si="279"/>
        <v>-</v>
      </c>
      <c r="AG332" s="812" t="str">
        <f t="shared" si="280"/>
        <v>---------</v>
      </c>
      <c r="AH332" s="807">
        <v>42989</v>
      </c>
      <c r="AI332" s="807">
        <f t="shared" si="281"/>
        <v>43148</v>
      </c>
      <c r="AJ332" s="807">
        <f t="shared" si="282"/>
        <v>43178</v>
      </c>
      <c r="AK332" s="813"/>
      <c r="AL332" s="807">
        <f t="shared" si="283"/>
        <v>43217</v>
      </c>
      <c r="AM332" s="807">
        <f t="shared" si="284"/>
        <v>43238</v>
      </c>
      <c r="AN332" s="814">
        <f t="shared" ca="1" si="285"/>
        <v>-104</v>
      </c>
      <c r="AO332" s="815">
        <v>1</v>
      </c>
      <c r="AP332" s="816" t="str">
        <f t="shared" ca="1" si="286"/>
        <v>-</v>
      </c>
      <c r="AQ332" s="817"/>
      <c r="AR332" s="794" t="str">
        <f t="shared" si="287"/>
        <v>-</v>
      </c>
      <c r="AS332" s="818">
        <v>42874</v>
      </c>
      <c r="AT332" s="794" t="str">
        <f t="shared" si="288"/>
        <v>-</v>
      </c>
      <c r="AU332" s="819"/>
      <c r="AV332" s="820"/>
      <c r="AW332" s="821"/>
      <c r="AX332" s="821"/>
      <c r="AY332" s="969" t="str">
        <f t="shared" si="289"/>
        <v>-</v>
      </c>
      <c r="AZ332" s="966" t="str">
        <f t="shared" si="290"/>
        <v>-</v>
      </c>
      <c r="BA332" s="971" t="str">
        <f t="shared" si="291"/>
        <v>-</v>
      </c>
      <c r="BB332" s="975"/>
      <c r="BC332" s="821"/>
      <c r="BD332" s="821"/>
      <c r="BE332" s="963" t="str">
        <f t="shared" si="292"/>
        <v>-</v>
      </c>
      <c r="BF332" s="984"/>
      <c r="BG332" s="988"/>
      <c r="BH332" s="982"/>
      <c r="BI332" s="991"/>
      <c r="BJ332" s="991"/>
      <c r="BK332" s="993" t="str">
        <f t="shared" si="293"/>
        <v>-</v>
      </c>
      <c r="BL332" s="820">
        <v>42981</v>
      </c>
      <c r="BM332" s="821">
        <v>5</v>
      </c>
      <c r="BN332" s="822">
        <f t="shared" ca="1" si="294"/>
        <v>153</v>
      </c>
      <c r="BO332" s="823">
        <f t="shared" si="295"/>
        <v>47.733333333333334</v>
      </c>
      <c r="BP332" s="824">
        <v>43001</v>
      </c>
      <c r="BQ332" s="821">
        <v>2</v>
      </c>
      <c r="BR332" s="822">
        <f t="shared" ca="1" si="296"/>
        <v>133</v>
      </c>
      <c r="BS332" s="823">
        <f t="shared" si="297"/>
        <v>22</v>
      </c>
      <c r="BT332" s="825" t="str">
        <f t="shared" ca="1" si="298"/>
        <v>-</v>
      </c>
      <c r="BU332" s="826"/>
      <c r="BV332" s="827"/>
      <c r="BW332" s="828" t="str">
        <f t="shared" si="299"/>
        <v>Ж-Е НЕ ВАКЦ.</v>
      </c>
      <c r="BX332" s="829" t="str">
        <f t="shared" si="300"/>
        <v>-</v>
      </c>
      <c r="BY332" s="830" t="str">
        <f t="shared" ca="1" si="301"/>
        <v>-</v>
      </c>
      <c r="BZ332" s="831">
        <v>42887</v>
      </c>
      <c r="CA332" s="832">
        <v>5</v>
      </c>
      <c r="CB332" s="833">
        <f t="shared" ca="1" si="302"/>
        <v>247</v>
      </c>
      <c r="CC332" s="834" t="str">
        <f t="shared" ca="1" si="303"/>
        <v>-</v>
      </c>
      <c r="CD332" s="835">
        <f t="shared" si="304"/>
        <v>42908</v>
      </c>
      <c r="CE332" s="831">
        <v>42908</v>
      </c>
      <c r="CF332" s="832">
        <v>5</v>
      </c>
      <c r="CG332" s="833">
        <f t="shared" ca="1" si="305"/>
        <v>226</v>
      </c>
      <c r="CH332" s="836">
        <f t="shared" si="306"/>
        <v>0</v>
      </c>
      <c r="CI332" s="837" t="str">
        <f t="shared" si="307"/>
        <v>УСПЕШНО</v>
      </c>
      <c r="CJ332" s="838" t="str">
        <f t="shared" ca="1" si="308"/>
        <v>-</v>
      </c>
      <c r="CK332" s="831"/>
      <c r="CL332" s="832"/>
      <c r="CM332" s="833" t="str">
        <f t="shared" si="309"/>
        <v>-</v>
      </c>
      <c r="CN332" s="834" t="str">
        <f t="shared" si="310"/>
        <v>-</v>
      </c>
      <c r="CO332" s="830" t="str">
        <f t="shared" ca="1" si="311"/>
        <v>-</v>
      </c>
      <c r="CP332" s="839"/>
      <c r="CQ332" s="832"/>
      <c r="CR332" s="833" t="str">
        <f t="shared" si="312"/>
        <v>-</v>
      </c>
      <c r="CS332" s="833" t="str">
        <f t="shared" si="313"/>
        <v>-</v>
      </c>
      <c r="CT332" s="834" t="str">
        <f t="shared" si="314"/>
        <v>-</v>
      </c>
      <c r="CU332" s="835" t="str">
        <f t="shared" si="315"/>
        <v>-</v>
      </c>
      <c r="CV332" s="839"/>
      <c r="CW332" s="832"/>
      <c r="CX332" s="833" t="str">
        <f t="shared" si="316"/>
        <v>-</v>
      </c>
      <c r="CY332" s="840" t="str">
        <f t="shared" si="317"/>
        <v>-</v>
      </c>
      <c r="CZ332" s="833" t="str">
        <f t="shared" si="318"/>
        <v>-</v>
      </c>
      <c r="DA332" s="838" t="str">
        <f t="shared" ca="1" si="319"/>
        <v>-</v>
      </c>
      <c r="DB332" s="841"/>
      <c r="DC332" s="832"/>
    </row>
    <row r="333" spans="1:107" s="842" customFormat="1" ht="15.95" customHeight="1" x14ac:dyDescent="0.25">
      <c r="A333" s="790">
        <v>334</v>
      </c>
      <c r="B333" s="791">
        <f t="shared" ca="1" si="268"/>
        <v>43134</v>
      </c>
      <c r="C333" s="792" t="s">
        <v>613</v>
      </c>
      <c r="D333" s="793" t="s">
        <v>3204</v>
      </c>
      <c r="E333" s="794" t="s">
        <v>114</v>
      </c>
      <c r="F333" s="795" t="s">
        <v>635</v>
      </c>
      <c r="G333" s="796">
        <f>SUMIFS(МОЛОКО!L8:L6958,МОЛОКО!F8:F6958,"2000",МОЛОКО!L8:L6958,"&gt;0")</f>
        <v>9.4</v>
      </c>
      <c r="H333" s="797" t="s">
        <v>603</v>
      </c>
      <c r="I333" s="798">
        <v>41573</v>
      </c>
      <c r="J333" s="799">
        <f t="shared" ca="1" si="269"/>
        <v>4.2767123287671236</v>
      </c>
      <c r="K333" s="799">
        <f t="shared" ca="1" si="270"/>
        <v>52.033333333333331</v>
      </c>
      <c r="L333" s="800">
        <f t="shared" ca="1" si="271"/>
        <v>1561</v>
      </c>
      <c r="M333" s="801">
        <v>42383</v>
      </c>
      <c r="N333" s="802">
        <v>42794</v>
      </c>
      <c r="O333" s="803">
        <f t="shared" ca="1" si="272"/>
        <v>340</v>
      </c>
      <c r="P333" s="804">
        <v>2</v>
      </c>
      <c r="Q333" s="805" t="s">
        <v>1451</v>
      </c>
      <c r="R333" s="806" t="s">
        <v>2663</v>
      </c>
      <c r="S333" s="807">
        <v>42859</v>
      </c>
      <c r="T333" s="798">
        <v>42859</v>
      </c>
      <c r="U333" s="798" t="str">
        <f t="shared" si="273"/>
        <v>-</v>
      </c>
      <c r="V333" s="804" t="str">
        <f t="shared" ca="1" si="274"/>
        <v>-</v>
      </c>
      <c r="W333" s="808">
        <v>1</v>
      </c>
      <c r="X333" s="794">
        <f t="shared" si="267"/>
        <v>65</v>
      </c>
      <c r="Y333" s="794">
        <v>1</v>
      </c>
      <c r="Z333" s="809" t="str">
        <f t="shared" ca="1" si="275"/>
        <v>-----</v>
      </c>
      <c r="AA333" s="810" t="str">
        <f t="shared" ca="1" si="276"/>
        <v>-----</v>
      </c>
      <c r="AB333" s="804">
        <v>1</v>
      </c>
      <c r="AC333" s="811" t="str">
        <f t="shared" ca="1" si="277"/>
        <v>-----</v>
      </c>
      <c r="AD333" s="798">
        <v>42935</v>
      </c>
      <c r="AE333" s="794" t="str">
        <f t="shared" ca="1" si="278"/>
        <v>-</v>
      </c>
      <c r="AF333" s="798" t="str">
        <f t="shared" si="279"/>
        <v>-</v>
      </c>
      <c r="AG333" s="812" t="str">
        <f t="shared" si="280"/>
        <v>---------</v>
      </c>
      <c r="AH333" s="807">
        <v>42893</v>
      </c>
      <c r="AI333" s="807">
        <f t="shared" si="281"/>
        <v>43049</v>
      </c>
      <c r="AJ333" s="807">
        <f t="shared" si="282"/>
        <v>43079</v>
      </c>
      <c r="AK333" s="813"/>
      <c r="AL333" s="807">
        <f t="shared" si="283"/>
        <v>43118</v>
      </c>
      <c r="AM333" s="807">
        <f t="shared" si="284"/>
        <v>43139</v>
      </c>
      <c r="AN333" s="814">
        <f t="shared" ca="1" si="285"/>
        <v>-5</v>
      </c>
      <c r="AO333" s="815">
        <v>1</v>
      </c>
      <c r="AP333" s="816" t="str">
        <f t="shared" ca="1" si="286"/>
        <v>-</v>
      </c>
      <c r="AQ333" s="817"/>
      <c r="AR333" s="794" t="str">
        <f t="shared" si="287"/>
        <v>-</v>
      </c>
      <c r="AS333" s="818"/>
      <c r="AT333" s="794" t="str">
        <f t="shared" si="288"/>
        <v>-</v>
      </c>
      <c r="AU333" s="819"/>
      <c r="AV333" s="820"/>
      <c r="AW333" s="821"/>
      <c r="AX333" s="821"/>
      <c r="AY333" s="969" t="str">
        <f t="shared" si="289"/>
        <v>-</v>
      </c>
      <c r="AZ333" s="966" t="str">
        <f t="shared" si="290"/>
        <v>-</v>
      </c>
      <c r="BA333" s="971" t="str">
        <f t="shared" si="291"/>
        <v>-</v>
      </c>
      <c r="BB333" s="975"/>
      <c r="BC333" s="821"/>
      <c r="BD333" s="821"/>
      <c r="BE333" s="963" t="str">
        <f t="shared" si="292"/>
        <v>-</v>
      </c>
      <c r="BF333" s="984"/>
      <c r="BG333" s="988"/>
      <c r="BH333" s="982"/>
      <c r="BI333" s="991"/>
      <c r="BJ333" s="991"/>
      <c r="BK333" s="993" t="str">
        <f t="shared" si="293"/>
        <v>-</v>
      </c>
      <c r="BL333" s="820">
        <v>42980</v>
      </c>
      <c r="BM333" s="821">
        <v>5</v>
      </c>
      <c r="BN333" s="822">
        <f t="shared" ca="1" si="294"/>
        <v>154</v>
      </c>
      <c r="BO333" s="823">
        <f t="shared" si="295"/>
        <v>46.9</v>
      </c>
      <c r="BP333" s="824">
        <v>43001</v>
      </c>
      <c r="BQ333" s="821">
        <v>2</v>
      </c>
      <c r="BR333" s="822">
        <f t="shared" ca="1" si="296"/>
        <v>133</v>
      </c>
      <c r="BS333" s="823">
        <f t="shared" si="297"/>
        <v>20.6</v>
      </c>
      <c r="BT333" s="825" t="str">
        <f t="shared" ca="1" si="298"/>
        <v>-</v>
      </c>
      <c r="BU333" s="826"/>
      <c r="BV333" s="827"/>
      <c r="BW333" s="828" t="str">
        <f t="shared" si="299"/>
        <v>Ж-Е НЕ ВАКЦ.</v>
      </c>
      <c r="BX333" s="829" t="str">
        <f t="shared" si="300"/>
        <v>-</v>
      </c>
      <c r="BY333" s="830" t="str">
        <f t="shared" ca="1" si="301"/>
        <v>-</v>
      </c>
      <c r="BZ333" s="831">
        <v>42887</v>
      </c>
      <c r="CA333" s="832">
        <v>5</v>
      </c>
      <c r="CB333" s="833">
        <f t="shared" ca="1" si="302"/>
        <v>247</v>
      </c>
      <c r="CC333" s="834" t="str">
        <f t="shared" ca="1" si="303"/>
        <v>-</v>
      </c>
      <c r="CD333" s="835">
        <f t="shared" si="304"/>
        <v>42908</v>
      </c>
      <c r="CE333" s="831">
        <v>42908</v>
      </c>
      <c r="CF333" s="832">
        <v>5</v>
      </c>
      <c r="CG333" s="833">
        <f t="shared" ca="1" si="305"/>
        <v>226</v>
      </c>
      <c r="CH333" s="836">
        <f t="shared" si="306"/>
        <v>0</v>
      </c>
      <c r="CI333" s="837" t="str">
        <f t="shared" si="307"/>
        <v>УСПЕШНО</v>
      </c>
      <c r="CJ333" s="838" t="str">
        <f t="shared" ca="1" si="308"/>
        <v>-</v>
      </c>
      <c r="CK333" s="831"/>
      <c r="CL333" s="832"/>
      <c r="CM333" s="833" t="str">
        <f t="shared" si="309"/>
        <v>-</v>
      </c>
      <c r="CN333" s="834" t="str">
        <f t="shared" si="310"/>
        <v>-</v>
      </c>
      <c r="CO333" s="830" t="str">
        <f t="shared" ca="1" si="311"/>
        <v>ТРЕБУЕТСЯ ВАКЦИНАЦИЯ</v>
      </c>
      <c r="CP333" s="839"/>
      <c r="CQ333" s="832"/>
      <c r="CR333" s="833" t="str">
        <f t="shared" si="312"/>
        <v>-</v>
      </c>
      <c r="CS333" s="833" t="str">
        <f t="shared" si="313"/>
        <v>-</v>
      </c>
      <c r="CT333" s="834" t="str">
        <f t="shared" si="314"/>
        <v>-</v>
      </c>
      <c r="CU333" s="835" t="str">
        <f t="shared" si="315"/>
        <v>-</v>
      </c>
      <c r="CV333" s="839"/>
      <c r="CW333" s="832"/>
      <c r="CX333" s="833" t="str">
        <f t="shared" si="316"/>
        <v>-</v>
      </c>
      <c r="CY333" s="840" t="str">
        <f t="shared" si="317"/>
        <v>-</v>
      </c>
      <c r="CZ333" s="833" t="str">
        <f t="shared" si="318"/>
        <v>-</v>
      </c>
      <c r="DA333" s="838" t="str">
        <f t="shared" ca="1" si="319"/>
        <v>-</v>
      </c>
      <c r="DB333" s="841"/>
      <c r="DC333" s="832"/>
    </row>
    <row r="334" spans="1:107" s="842" customFormat="1" ht="15.95" customHeight="1" x14ac:dyDescent="0.25">
      <c r="A334" s="790">
        <v>335</v>
      </c>
      <c r="B334" s="791">
        <f t="shared" ca="1" si="268"/>
        <v>43134</v>
      </c>
      <c r="C334" s="792" t="s">
        <v>613</v>
      </c>
      <c r="D334" s="793" t="s">
        <v>3204</v>
      </c>
      <c r="E334" s="794" t="s">
        <v>104</v>
      </c>
      <c r="F334" s="795" t="s">
        <v>1132</v>
      </c>
      <c r="G334" s="796">
        <f>SUMIFS(МОЛОКО!L8:L6958,МОЛОКО!F8:F6958,"2024",МОЛОКО!L8:L6958,"&gt;0")</f>
        <v>4</v>
      </c>
      <c r="H334" s="797" t="s">
        <v>603</v>
      </c>
      <c r="I334" s="798">
        <v>41590</v>
      </c>
      <c r="J334" s="799">
        <f t="shared" ca="1" si="269"/>
        <v>4.2301369863013702</v>
      </c>
      <c r="K334" s="799">
        <f t="shared" ca="1" si="270"/>
        <v>51.466666666666669</v>
      </c>
      <c r="L334" s="800">
        <f t="shared" ca="1" si="271"/>
        <v>1544</v>
      </c>
      <c r="M334" s="801">
        <v>42570</v>
      </c>
      <c r="N334" s="802">
        <v>42570</v>
      </c>
      <c r="O334" s="803">
        <f t="shared" ca="1" si="272"/>
        <v>564</v>
      </c>
      <c r="P334" s="804">
        <v>1</v>
      </c>
      <c r="Q334" s="805" t="s">
        <v>2366</v>
      </c>
      <c r="R334" s="806" t="s">
        <v>1875</v>
      </c>
      <c r="S334" s="807">
        <v>42652</v>
      </c>
      <c r="T334" s="798">
        <v>42899</v>
      </c>
      <c r="U334" s="798" t="str">
        <f t="shared" si="273"/>
        <v>-</v>
      </c>
      <c r="V334" s="804" t="str">
        <f t="shared" ca="1" si="274"/>
        <v>-</v>
      </c>
      <c r="W334" s="808">
        <v>6</v>
      </c>
      <c r="X334" s="794">
        <f t="shared" si="267"/>
        <v>329</v>
      </c>
      <c r="Y334" s="794">
        <v>0</v>
      </c>
      <c r="Z334" s="809" t="str">
        <f t="shared" ca="1" si="275"/>
        <v>-----</v>
      </c>
      <c r="AA334" s="810">
        <f t="shared" ca="1" si="276"/>
        <v>235</v>
      </c>
      <c r="AB334" s="804"/>
      <c r="AC334" s="811" t="str">
        <f t="shared" ca="1" si="277"/>
        <v>-----</v>
      </c>
      <c r="AD334" s="798"/>
      <c r="AE334" s="794" t="str">
        <f t="shared" ca="1" si="278"/>
        <v>яловая</v>
      </c>
      <c r="AF334" s="798" t="str">
        <f t="shared" si="279"/>
        <v>-</v>
      </c>
      <c r="AG334" s="812" t="str">
        <f t="shared" si="280"/>
        <v>---------</v>
      </c>
      <c r="AH334" s="807">
        <v>42937</v>
      </c>
      <c r="AI334" s="807" t="str">
        <f t="shared" si="281"/>
        <v>-</v>
      </c>
      <c r="AJ334" s="807" t="str">
        <f t="shared" si="282"/>
        <v>-</v>
      </c>
      <c r="AK334" s="813"/>
      <c r="AL334" s="807" t="str">
        <f t="shared" si="283"/>
        <v>-</v>
      </c>
      <c r="AM334" s="807" t="str">
        <f t="shared" si="284"/>
        <v>-</v>
      </c>
      <c r="AN334" s="814" t="str">
        <f t="shared" ca="1" si="285"/>
        <v>-</v>
      </c>
      <c r="AO334" s="815">
        <v>1</v>
      </c>
      <c r="AP334" s="816" t="str">
        <f t="shared" ca="1" si="286"/>
        <v>БРАК</v>
      </c>
      <c r="AQ334" s="817"/>
      <c r="AR334" s="794" t="str">
        <f t="shared" si="287"/>
        <v>-</v>
      </c>
      <c r="AS334" s="818"/>
      <c r="AT334" s="794" t="str">
        <f t="shared" si="288"/>
        <v>-</v>
      </c>
      <c r="AU334" s="819"/>
      <c r="AV334" s="820"/>
      <c r="AW334" s="821"/>
      <c r="AX334" s="821"/>
      <c r="AY334" s="969" t="str">
        <f t="shared" si="289"/>
        <v>-</v>
      </c>
      <c r="AZ334" s="966" t="str">
        <f t="shared" si="290"/>
        <v>-</v>
      </c>
      <c r="BA334" s="971" t="str">
        <f t="shared" si="291"/>
        <v>-</v>
      </c>
      <c r="BB334" s="975"/>
      <c r="BC334" s="821"/>
      <c r="BD334" s="821"/>
      <c r="BE334" s="963" t="str">
        <f t="shared" si="292"/>
        <v>-</v>
      </c>
      <c r="BF334" s="984"/>
      <c r="BG334" s="988"/>
      <c r="BH334" s="982"/>
      <c r="BI334" s="991"/>
      <c r="BJ334" s="991"/>
      <c r="BK334" s="993" t="str">
        <f t="shared" si="293"/>
        <v>-</v>
      </c>
      <c r="BL334" s="820">
        <v>42981</v>
      </c>
      <c r="BM334" s="821">
        <v>5</v>
      </c>
      <c r="BN334" s="822">
        <f t="shared" ca="1" si="294"/>
        <v>153</v>
      </c>
      <c r="BO334" s="823">
        <f t="shared" si="295"/>
        <v>46.366666666666667</v>
      </c>
      <c r="BP334" s="824">
        <v>43001</v>
      </c>
      <c r="BQ334" s="821">
        <v>2</v>
      </c>
      <c r="BR334" s="822">
        <f t="shared" ca="1" si="296"/>
        <v>133</v>
      </c>
      <c r="BS334" s="823">
        <f t="shared" si="297"/>
        <v>14.366666666666667</v>
      </c>
      <c r="BT334" s="825" t="str">
        <f t="shared" ca="1" si="298"/>
        <v>-</v>
      </c>
      <c r="BU334" s="826"/>
      <c r="BV334" s="827"/>
      <c r="BW334" s="828" t="str">
        <f t="shared" si="299"/>
        <v>Ж-Е НЕ ВАКЦ.</v>
      </c>
      <c r="BX334" s="829" t="str">
        <f t="shared" si="300"/>
        <v>-</v>
      </c>
      <c r="BY334" s="830" t="str">
        <f t="shared" ca="1" si="301"/>
        <v>-</v>
      </c>
      <c r="BZ334" s="831">
        <v>42887</v>
      </c>
      <c r="CA334" s="832">
        <v>5</v>
      </c>
      <c r="CB334" s="833">
        <f t="shared" ca="1" si="302"/>
        <v>247</v>
      </c>
      <c r="CC334" s="834" t="str">
        <f t="shared" ca="1" si="303"/>
        <v>-</v>
      </c>
      <c r="CD334" s="835">
        <f t="shared" si="304"/>
        <v>42908</v>
      </c>
      <c r="CE334" s="831">
        <v>42908</v>
      </c>
      <c r="CF334" s="832">
        <v>5</v>
      </c>
      <c r="CG334" s="833">
        <f t="shared" ca="1" si="305"/>
        <v>226</v>
      </c>
      <c r="CH334" s="836">
        <f t="shared" si="306"/>
        <v>0</v>
      </c>
      <c r="CI334" s="837" t="str">
        <f t="shared" si="307"/>
        <v>УСПЕШНО</v>
      </c>
      <c r="CJ334" s="838" t="str">
        <f t="shared" ca="1" si="308"/>
        <v>-</v>
      </c>
      <c r="CK334" s="831"/>
      <c r="CL334" s="832"/>
      <c r="CM334" s="833" t="str">
        <f t="shared" si="309"/>
        <v>-</v>
      </c>
      <c r="CN334" s="834" t="str">
        <f t="shared" si="310"/>
        <v>-</v>
      </c>
      <c r="CO334" s="830" t="str">
        <f t="shared" ca="1" si="311"/>
        <v>-</v>
      </c>
      <c r="CP334" s="839"/>
      <c r="CQ334" s="832"/>
      <c r="CR334" s="833" t="str">
        <f t="shared" si="312"/>
        <v>-</v>
      </c>
      <c r="CS334" s="833" t="str">
        <f t="shared" si="313"/>
        <v>-</v>
      </c>
      <c r="CT334" s="834" t="str">
        <f t="shared" si="314"/>
        <v>-</v>
      </c>
      <c r="CU334" s="835" t="str">
        <f t="shared" si="315"/>
        <v>-</v>
      </c>
      <c r="CV334" s="839"/>
      <c r="CW334" s="832"/>
      <c r="CX334" s="833" t="str">
        <f t="shared" si="316"/>
        <v>-</v>
      </c>
      <c r="CY334" s="840" t="str">
        <f t="shared" si="317"/>
        <v>-</v>
      </c>
      <c r="CZ334" s="833" t="str">
        <f t="shared" si="318"/>
        <v>-</v>
      </c>
      <c r="DA334" s="838" t="str">
        <f t="shared" ca="1" si="319"/>
        <v>-</v>
      </c>
      <c r="DB334" s="841"/>
      <c r="DC334" s="832"/>
    </row>
    <row r="335" spans="1:107" s="842" customFormat="1" ht="15.95" customHeight="1" x14ac:dyDescent="0.25">
      <c r="A335" s="790">
        <v>336</v>
      </c>
      <c r="B335" s="791">
        <f t="shared" ca="1" si="268"/>
        <v>43134</v>
      </c>
      <c r="C335" s="792" t="s">
        <v>613</v>
      </c>
      <c r="D335" s="793" t="s">
        <v>3204</v>
      </c>
      <c r="E335" s="794" t="s">
        <v>1362</v>
      </c>
      <c r="F335" s="795" t="s">
        <v>1247</v>
      </c>
      <c r="G335" s="796">
        <f>SUMIFS(МОЛОКО!L8:L6958,МОЛОКО!F8:F6958,"2040",МОЛОКО!L8:L6958,"&gt;0")</f>
        <v>17.2</v>
      </c>
      <c r="H335" s="797" t="s">
        <v>603</v>
      </c>
      <c r="I335" s="798">
        <v>41601</v>
      </c>
      <c r="J335" s="799">
        <f t="shared" ca="1" si="269"/>
        <v>4.2</v>
      </c>
      <c r="K335" s="799">
        <f t="shared" ca="1" si="270"/>
        <v>51.1</v>
      </c>
      <c r="L335" s="800">
        <f t="shared" ca="1" si="271"/>
        <v>1533</v>
      </c>
      <c r="M335" s="801">
        <v>42476</v>
      </c>
      <c r="N335" s="802">
        <v>42866</v>
      </c>
      <c r="O335" s="803">
        <f t="shared" ca="1" si="272"/>
        <v>268</v>
      </c>
      <c r="P335" s="804">
        <v>2</v>
      </c>
      <c r="Q335" s="805" t="s">
        <v>2366</v>
      </c>
      <c r="R335" s="806" t="s">
        <v>2670</v>
      </c>
      <c r="S335" s="807">
        <v>42927</v>
      </c>
      <c r="T335" s="798">
        <v>42927</v>
      </c>
      <c r="U335" s="798" t="str">
        <f t="shared" si="273"/>
        <v>-</v>
      </c>
      <c r="V335" s="804" t="str">
        <f t="shared" ca="1" si="274"/>
        <v>-</v>
      </c>
      <c r="W335" s="808">
        <v>1</v>
      </c>
      <c r="X335" s="794">
        <f t="shared" si="267"/>
        <v>61</v>
      </c>
      <c r="Y335" s="794">
        <v>1</v>
      </c>
      <c r="Z335" s="809" t="str">
        <f t="shared" ca="1" si="275"/>
        <v>-----</v>
      </c>
      <c r="AA335" s="810" t="str">
        <f t="shared" ca="1" si="276"/>
        <v>-----</v>
      </c>
      <c r="AB335" s="804">
        <v>1</v>
      </c>
      <c r="AC335" s="811" t="str">
        <f t="shared" ca="1" si="277"/>
        <v>-----</v>
      </c>
      <c r="AD335" s="798">
        <v>43043</v>
      </c>
      <c r="AE335" s="794" t="str">
        <f t="shared" ca="1" si="278"/>
        <v>-</v>
      </c>
      <c r="AF335" s="798" t="str">
        <f t="shared" si="279"/>
        <v>-</v>
      </c>
      <c r="AG335" s="812" t="str">
        <f t="shared" si="280"/>
        <v>---------</v>
      </c>
      <c r="AH335" s="807">
        <v>42961</v>
      </c>
      <c r="AI335" s="807">
        <f t="shared" si="281"/>
        <v>43117</v>
      </c>
      <c r="AJ335" s="807">
        <f t="shared" si="282"/>
        <v>43147</v>
      </c>
      <c r="AK335" s="813"/>
      <c r="AL335" s="807">
        <f t="shared" si="283"/>
        <v>43186</v>
      </c>
      <c r="AM335" s="807">
        <f t="shared" si="284"/>
        <v>43207</v>
      </c>
      <c r="AN335" s="814">
        <f t="shared" ca="1" si="285"/>
        <v>-73</v>
      </c>
      <c r="AO335" s="815">
        <v>1</v>
      </c>
      <c r="AP335" s="816" t="str">
        <f t="shared" ca="1" si="286"/>
        <v>-</v>
      </c>
      <c r="AQ335" s="817"/>
      <c r="AR335" s="794" t="str">
        <f t="shared" si="287"/>
        <v>-</v>
      </c>
      <c r="AS335" s="818"/>
      <c r="AT335" s="794" t="str">
        <f t="shared" si="288"/>
        <v>-</v>
      </c>
      <c r="AU335" s="819"/>
      <c r="AV335" s="820"/>
      <c r="AW335" s="821"/>
      <c r="AX335" s="821"/>
      <c r="AY335" s="969" t="str">
        <f t="shared" si="289"/>
        <v>-</v>
      </c>
      <c r="AZ335" s="966" t="str">
        <f t="shared" si="290"/>
        <v>-</v>
      </c>
      <c r="BA335" s="971" t="str">
        <f t="shared" si="291"/>
        <v>-</v>
      </c>
      <c r="BB335" s="975"/>
      <c r="BC335" s="821"/>
      <c r="BD335" s="821"/>
      <c r="BE335" s="963" t="str">
        <f t="shared" si="292"/>
        <v>-</v>
      </c>
      <c r="BF335" s="984"/>
      <c r="BG335" s="988"/>
      <c r="BH335" s="982"/>
      <c r="BI335" s="991"/>
      <c r="BJ335" s="991"/>
      <c r="BK335" s="993" t="str">
        <f t="shared" si="293"/>
        <v>-</v>
      </c>
      <c r="BL335" s="820">
        <v>42980</v>
      </c>
      <c r="BM335" s="821">
        <v>5</v>
      </c>
      <c r="BN335" s="822">
        <f t="shared" ca="1" si="294"/>
        <v>154</v>
      </c>
      <c r="BO335" s="823">
        <f t="shared" si="295"/>
        <v>45.966666666666669</v>
      </c>
      <c r="BP335" s="824">
        <v>43001</v>
      </c>
      <c r="BQ335" s="821">
        <v>2</v>
      </c>
      <c r="BR335" s="822">
        <f t="shared" ca="1" si="296"/>
        <v>133</v>
      </c>
      <c r="BS335" s="823">
        <f t="shared" si="297"/>
        <v>17.5</v>
      </c>
      <c r="BT335" s="825" t="str">
        <f t="shared" ca="1" si="298"/>
        <v>-</v>
      </c>
      <c r="BU335" s="826"/>
      <c r="BV335" s="827"/>
      <c r="BW335" s="828" t="str">
        <f t="shared" si="299"/>
        <v>Ж-Е НЕ ВАКЦ.</v>
      </c>
      <c r="BX335" s="829" t="str">
        <f t="shared" si="300"/>
        <v>-</v>
      </c>
      <c r="BY335" s="830" t="str">
        <f t="shared" ca="1" si="301"/>
        <v>-</v>
      </c>
      <c r="BZ335" s="831">
        <v>42888</v>
      </c>
      <c r="CA335" s="832">
        <v>5</v>
      </c>
      <c r="CB335" s="833">
        <f t="shared" ca="1" si="302"/>
        <v>246</v>
      </c>
      <c r="CC335" s="834" t="str">
        <f t="shared" ca="1" si="303"/>
        <v>-</v>
      </c>
      <c r="CD335" s="835">
        <f t="shared" si="304"/>
        <v>42909</v>
      </c>
      <c r="CE335" s="831">
        <v>42909</v>
      </c>
      <c r="CF335" s="832">
        <v>5</v>
      </c>
      <c r="CG335" s="833">
        <f t="shared" ca="1" si="305"/>
        <v>225</v>
      </c>
      <c r="CH335" s="836">
        <f t="shared" si="306"/>
        <v>0</v>
      </c>
      <c r="CI335" s="837" t="str">
        <f t="shared" si="307"/>
        <v>УСПЕШНО</v>
      </c>
      <c r="CJ335" s="838" t="str">
        <f t="shared" ca="1" si="308"/>
        <v>-</v>
      </c>
      <c r="CK335" s="831"/>
      <c r="CL335" s="832"/>
      <c r="CM335" s="833" t="str">
        <f t="shared" si="309"/>
        <v>-</v>
      </c>
      <c r="CN335" s="834" t="str">
        <f t="shared" si="310"/>
        <v>-</v>
      </c>
      <c r="CO335" s="830" t="str">
        <f t="shared" ca="1" si="311"/>
        <v>-</v>
      </c>
      <c r="CP335" s="839"/>
      <c r="CQ335" s="832"/>
      <c r="CR335" s="833" t="str">
        <f t="shared" si="312"/>
        <v>-</v>
      </c>
      <c r="CS335" s="833" t="str">
        <f t="shared" si="313"/>
        <v>-</v>
      </c>
      <c r="CT335" s="834" t="str">
        <f t="shared" si="314"/>
        <v>-</v>
      </c>
      <c r="CU335" s="835" t="str">
        <f t="shared" si="315"/>
        <v>-</v>
      </c>
      <c r="CV335" s="839"/>
      <c r="CW335" s="832"/>
      <c r="CX335" s="833" t="str">
        <f t="shared" si="316"/>
        <v>-</v>
      </c>
      <c r="CY335" s="840" t="str">
        <f t="shared" si="317"/>
        <v>-</v>
      </c>
      <c r="CZ335" s="833" t="str">
        <f t="shared" si="318"/>
        <v>-</v>
      </c>
      <c r="DA335" s="838" t="str">
        <f t="shared" ca="1" si="319"/>
        <v>-</v>
      </c>
      <c r="DB335" s="841"/>
      <c r="DC335" s="832"/>
    </row>
    <row r="336" spans="1:107" s="842" customFormat="1" ht="15.95" customHeight="1" x14ac:dyDescent="0.25">
      <c r="A336" s="790">
        <v>337</v>
      </c>
      <c r="B336" s="791">
        <f t="shared" ca="1" si="268"/>
        <v>43134</v>
      </c>
      <c r="C336" s="792" t="s">
        <v>613</v>
      </c>
      <c r="D336" s="793" t="s">
        <v>3204</v>
      </c>
      <c r="E336" s="794" t="s">
        <v>1365</v>
      </c>
      <c r="F336" s="795" t="s">
        <v>1251</v>
      </c>
      <c r="G336" s="796">
        <f>SUMIFS(МОЛОКО!L8:L6958,МОЛОКО!F8:F6958,"2066",МОЛОКО!L8:L6958,"&gt;0")</f>
        <v>11</v>
      </c>
      <c r="H336" s="797" t="s">
        <v>603</v>
      </c>
      <c r="I336" s="798">
        <v>41620</v>
      </c>
      <c r="J336" s="799">
        <f t="shared" ca="1" si="269"/>
        <v>4.1479452054794521</v>
      </c>
      <c r="K336" s="799">
        <f t="shared" ca="1" si="270"/>
        <v>50.466666666666669</v>
      </c>
      <c r="L336" s="800">
        <f t="shared" ca="1" si="271"/>
        <v>1514</v>
      </c>
      <c r="M336" s="801">
        <v>42474</v>
      </c>
      <c r="N336" s="802">
        <v>42830</v>
      </c>
      <c r="O336" s="803">
        <f t="shared" ca="1" si="272"/>
        <v>304</v>
      </c>
      <c r="P336" s="804">
        <v>2</v>
      </c>
      <c r="Q336" s="805" t="s">
        <v>2366</v>
      </c>
      <c r="R336" s="806" t="s">
        <v>2269</v>
      </c>
      <c r="S336" s="807">
        <v>42894</v>
      </c>
      <c r="T336" s="798">
        <v>42913</v>
      </c>
      <c r="U336" s="798" t="str">
        <f t="shared" si="273"/>
        <v>-</v>
      </c>
      <c r="V336" s="804" t="str">
        <f t="shared" ca="1" si="274"/>
        <v>-</v>
      </c>
      <c r="W336" s="808">
        <v>2</v>
      </c>
      <c r="X336" s="794">
        <f t="shared" si="267"/>
        <v>83</v>
      </c>
      <c r="Y336" s="794">
        <v>1</v>
      </c>
      <c r="Z336" s="809" t="str">
        <f t="shared" ca="1" si="275"/>
        <v>-----</v>
      </c>
      <c r="AA336" s="810" t="str">
        <f t="shared" ca="1" si="276"/>
        <v>-----</v>
      </c>
      <c r="AB336" s="804">
        <v>1</v>
      </c>
      <c r="AC336" s="811" t="str">
        <f t="shared" ca="1" si="277"/>
        <v>-----</v>
      </c>
      <c r="AD336" s="798">
        <v>43043</v>
      </c>
      <c r="AE336" s="794" t="str">
        <f t="shared" ca="1" si="278"/>
        <v>-</v>
      </c>
      <c r="AF336" s="798" t="str">
        <f t="shared" si="279"/>
        <v>-</v>
      </c>
      <c r="AG336" s="812" t="str">
        <f t="shared" si="280"/>
        <v>---------</v>
      </c>
      <c r="AH336" s="807">
        <v>42947</v>
      </c>
      <c r="AI336" s="807">
        <f t="shared" si="281"/>
        <v>43103</v>
      </c>
      <c r="AJ336" s="807">
        <f t="shared" si="282"/>
        <v>43133</v>
      </c>
      <c r="AK336" s="813"/>
      <c r="AL336" s="807">
        <f t="shared" si="283"/>
        <v>43172</v>
      </c>
      <c r="AM336" s="807">
        <f t="shared" si="284"/>
        <v>43193</v>
      </c>
      <c r="AN336" s="814">
        <f t="shared" ca="1" si="285"/>
        <v>-59</v>
      </c>
      <c r="AO336" s="815">
        <v>1</v>
      </c>
      <c r="AP336" s="816" t="str">
        <f t="shared" ca="1" si="286"/>
        <v>-</v>
      </c>
      <c r="AQ336" s="817"/>
      <c r="AR336" s="794" t="str">
        <f t="shared" si="287"/>
        <v>-</v>
      </c>
      <c r="AS336" s="818"/>
      <c r="AT336" s="794" t="str">
        <f t="shared" si="288"/>
        <v>-</v>
      </c>
      <c r="AU336" s="819"/>
      <c r="AV336" s="820"/>
      <c r="AW336" s="821"/>
      <c r="AX336" s="821"/>
      <c r="AY336" s="969" t="str">
        <f t="shared" si="289"/>
        <v>-</v>
      </c>
      <c r="AZ336" s="966" t="str">
        <f t="shared" si="290"/>
        <v>-</v>
      </c>
      <c r="BA336" s="971" t="str">
        <f t="shared" si="291"/>
        <v>-</v>
      </c>
      <c r="BB336" s="975"/>
      <c r="BC336" s="821"/>
      <c r="BD336" s="821"/>
      <c r="BE336" s="963" t="str">
        <f t="shared" si="292"/>
        <v>-</v>
      </c>
      <c r="BF336" s="984"/>
      <c r="BG336" s="988"/>
      <c r="BH336" s="982"/>
      <c r="BI336" s="991"/>
      <c r="BJ336" s="991"/>
      <c r="BK336" s="993" t="str">
        <f t="shared" si="293"/>
        <v>-</v>
      </c>
      <c r="BL336" s="820">
        <v>42981</v>
      </c>
      <c r="BM336" s="821">
        <v>5</v>
      </c>
      <c r="BN336" s="822">
        <f t="shared" ca="1" si="294"/>
        <v>153</v>
      </c>
      <c r="BO336" s="823">
        <f t="shared" si="295"/>
        <v>45.366666666666667</v>
      </c>
      <c r="BP336" s="824">
        <v>43001</v>
      </c>
      <c r="BQ336" s="821">
        <v>2</v>
      </c>
      <c r="BR336" s="822">
        <f t="shared" ca="1" si="296"/>
        <v>133</v>
      </c>
      <c r="BS336" s="823">
        <f t="shared" si="297"/>
        <v>17.566666666666666</v>
      </c>
      <c r="BT336" s="825" t="str">
        <f t="shared" ca="1" si="298"/>
        <v>-</v>
      </c>
      <c r="BU336" s="826"/>
      <c r="BV336" s="827"/>
      <c r="BW336" s="828" t="str">
        <f t="shared" si="299"/>
        <v>Ж-Е НЕ ВАКЦ.</v>
      </c>
      <c r="BX336" s="829" t="str">
        <f t="shared" si="300"/>
        <v>-</v>
      </c>
      <c r="BY336" s="830" t="str">
        <f t="shared" ca="1" si="301"/>
        <v>-</v>
      </c>
      <c r="BZ336" s="831">
        <v>42887</v>
      </c>
      <c r="CA336" s="832">
        <v>5</v>
      </c>
      <c r="CB336" s="833">
        <f t="shared" ca="1" si="302"/>
        <v>247</v>
      </c>
      <c r="CC336" s="834" t="str">
        <f t="shared" ca="1" si="303"/>
        <v>-</v>
      </c>
      <c r="CD336" s="835">
        <f t="shared" si="304"/>
        <v>42908</v>
      </c>
      <c r="CE336" s="831">
        <v>42908</v>
      </c>
      <c r="CF336" s="832">
        <v>5</v>
      </c>
      <c r="CG336" s="833">
        <f t="shared" ca="1" si="305"/>
        <v>226</v>
      </c>
      <c r="CH336" s="836">
        <f t="shared" si="306"/>
        <v>0</v>
      </c>
      <c r="CI336" s="837" t="str">
        <f t="shared" si="307"/>
        <v>УСПЕШНО</v>
      </c>
      <c r="CJ336" s="838" t="str">
        <f t="shared" ca="1" si="308"/>
        <v>-</v>
      </c>
      <c r="CK336" s="831"/>
      <c r="CL336" s="832"/>
      <c r="CM336" s="833" t="str">
        <f t="shared" si="309"/>
        <v>-</v>
      </c>
      <c r="CN336" s="834" t="str">
        <f t="shared" si="310"/>
        <v>-</v>
      </c>
      <c r="CO336" s="830" t="str">
        <f t="shared" ca="1" si="311"/>
        <v>ТРЕБУЕТСЯ ВАКЦИНАЦИЯ</v>
      </c>
      <c r="CP336" s="839"/>
      <c r="CQ336" s="832"/>
      <c r="CR336" s="833" t="str">
        <f t="shared" si="312"/>
        <v>-</v>
      </c>
      <c r="CS336" s="833" t="str">
        <f t="shared" si="313"/>
        <v>-</v>
      </c>
      <c r="CT336" s="834" t="str">
        <f t="shared" si="314"/>
        <v>-</v>
      </c>
      <c r="CU336" s="835" t="str">
        <f t="shared" si="315"/>
        <v>-</v>
      </c>
      <c r="CV336" s="839"/>
      <c r="CW336" s="832"/>
      <c r="CX336" s="833" t="str">
        <f t="shared" si="316"/>
        <v>-</v>
      </c>
      <c r="CY336" s="840" t="str">
        <f t="shared" si="317"/>
        <v>-</v>
      </c>
      <c r="CZ336" s="833" t="str">
        <f t="shared" si="318"/>
        <v>-</v>
      </c>
      <c r="DA336" s="838" t="str">
        <f t="shared" ca="1" si="319"/>
        <v>-</v>
      </c>
      <c r="DB336" s="841"/>
      <c r="DC336" s="832"/>
    </row>
    <row r="337" spans="1:107" s="842" customFormat="1" ht="15.95" customHeight="1" x14ac:dyDescent="0.25">
      <c r="A337" s="790">
        <v>338</v>
      </c>
      <c r="B337" s="791">
        <f t="shared" ca="1" si="268"/>
        <v>43134</v>
      </c>
      <c r="C337" s="792" t="s">
        <v>613</v>
      </c>
      <c r="D337" s="793" t="s">
        <v>3204</v>
      </c>
      <c r="E337" s="794" t="s">
        <v>1507</v>
      </c>
      <c r="F337" s="795" t="s">
        <v>1143</v>
      </c>
      <c r="G337" s="796">
        <f>SUMIFS(МОЛОКО!L8:L6958,МОЛОКО!F8:F6958,"2091",МОЛОКО!L8:L6958,"&gt;0")</f>
        <v>17.399999999999999</v>
      </c>
      <c r="H337" s="797" t="s">
        <v>603</v>
      </c>
      <c r="I337" s="798">
        <v>41643</v>
      </c>
      <c r="J337" s="799">
        <f t="shared" ca="1" si="269"/>
        <v>4.0849315068493155</v>
      </c>
      <c r="K337" s="799">
        <f t="shared" ca="1" si="270"/>
        <v>49.7</v>
      </c>
      <c r="L337" s="800">
        <f t="shared" ca="1" si="271"/>
        <v>1491</v>
      </c>
      <c r="M337" s="801">
        <v>42514</v>
      </c>
      <c r="N337" s="802">
        <v>42867</v>
      </c>
      <c r="O337" s="803">
        <f t="shared" ca="1" si="272"/>
        <v>267</v>
      </c>
      <c r="P337" s="804">
        <v>2</v>
      </c>
      <c r="Q337" s="68" t="s">
        <v>2366</v>
      </c>
      <c r="R337" s="118" t="s">
        <v>3020</v>
      </c>
      <c r="S337" s="807">
        <v>42929</v>
      </c>
      <c r="T337" s="798">
        <v>43042</v>
      </c>
      <c r="U337" s="798">
        <f t="shared" si="273"/>
        <v>43060</v>
      </c>
      <c r="V337" s="804">
        <f t="shared" ca="1" si="274"/>
        <v>74</v>
      </c>
      <c r="W337" s="808">
        <v>2</v>
      </c>
      <c r="X337" s="794">
        <f t="shared" si="267"/>
        <v>175</v>
      </c>
      <c r="Y337" s="794">
        <v>3</v>
      </c>
      <c r="Z337" s="809" t="str">
        <f t="shared" ca="1" si="275"/>
        <v>-----</v>
      </c>
      <c r="AA337" s="810">
        <f t="shared" ca="1" si="276"/>
        <v>92</v>
      </c>
      <c r="AB337" s="804">
        <v>0</v>
      </c>
      <c r="AC337" s="811" t="str">
        <f t="shared" ca="1" si="277"/>
        <v>-----</v>
      </c>
      <c r="AD337" s="798">
        <v>43030</v>
      </c>
      <c r="AE337" s="794" t="str">
        <f t="shared" ca="1" si="278"/>
        <v>-</v>
      </c>
      <c r="AF337" s="798">
        <f t="shared" si="279"/>
        <v>43077</v>
      </c>
      <c r="AG337" s="812">
        <f t="shared" ca="1" si="280"/>
        <v>57</v>
      </c>
      <c r="AH337" s="807">
        <v>42961</v>
      </c>
      <c r="AI337" s="807" t="str">
        <f t="shared" si="281"/>
        <v>-</v>
      </c>
      <c r="AJ337" s="807" t="str">
        <f t="shared" si="282"/>
        <v>-</v>
      </c>
      <c r="AK337" s="813"/>
      <c r="AL337" s="807" t="str">
        <f t="shared" si="283"/>
        <v>-</v>
      </c>
      <c r="AM337" s="807" t="str">
        <f t="shared" si="284"/>
        <v>-</v>
      </c>
      <c r="AN337" s="814" t="str">
        <f t="shared" ca="1" si="285"/>
        <v>-</v>
      </c>
      <c r="AO337" s="815">
        <v>1</v>
      </c>
      <c r="AP337" s="816" t="str">
        <f t="shared" ca="1" si="286"/>
        <v>-</v>
      </c>
      <c r="AQ337" s="817"/>
      <c r="AR337" s="794" t="str">
        <f t="shared" si="287"/>
        <v>-</v>
      </c>
      <c r="AS337" s="818"/>
      <c r="AT337" s="794" t="str">
        <f t="shared" si="288"/>
        <v>-</v>
      </c>
      <c r="AU337" s="819"/>
      <c r="AV337" s="820"/>
      <c r="AW337" s="821"/>
      <c r="AX337" s="821"/>
      <c r="AY337" s="969" t="str">
        <f t="shared" si="289"/>
        <v>-</v>
      </c>
      <c r="AZ337" s="966" t="str">
        <f t="shared" si="290"/>
        <v>-</v>
      </c>
      <c r="BA337" s="971" t="str">
        <f t="shared" si="291"/>
        <v>-</v>
      </c>
      <c r="BB337" s="975"/>
      <c r="BC337" s="821"/>
      <c r="BD337" s="821"/>
      <c r="BE337" s="963" t="str">
        <f t="shared" si="292"/>
        <v>-</v>
      </c>
      <c r="BF337" s="984"/>
      <c r="BG337" s="988"/>
      <c r="BH337" s="982"/>
      <c r="BI337" s="991"/>
      <c r="BJ337" s="991"/>
      <c r="BK337" s="993" t="str">
        <f t="shared" si="293"/>
        <v>-</v>
      </c>
      <c r="BL337" s="820">
        <v>42980</v>
      </c>
      <c r="BM337" s="821">
        <v>5</v>
      </c>
      <c r="BN337" s="822">
        <f t="shared" ca="1" si="294"/>
        <v>154</v>
      </c>
      <c r="BO337" s="823">
        <f t="shared" si="295"/>
        <v>44.56666666666667</v>
      </c>
      <c r="BP337" s="824">
        <v>43001</v>
      </c>
      <c r="BQ337" s="821">
        <v>2</v>
      </c>
      <c r="BR337" s="822">
        <f t="shared" ca="1" si="296"/>
        <v>133</v>
      </c>
      <c r="BS337" s="823">
        <f t="shared" si="297"/>
        <v>16.233333333333334</v>
      </c>
      <c r="BT337" s="825" t="str">
        <f t="shared" ca="1" si="298"/>
        <v>-</v>
      </c>
      <c r="BU337" s="826"/>
      <c r="BV337" s="827"/>
      <c r="BW337" s="828" t="str">
        <f t="shared" si="299"/>
        <v>Ж-Е НЕ ВАКЦ.</v>
      </c>
      <c r="BX337" s="829" t="str">
        <f t="shared" si="300"/>
        <v>-</v>
      </c>
      <c r="BY337" s="830" t="str">
        <f t="shared" ca="1" si="301"/>
        <v>-</v>
      </c>
      <c r="BZ337" s="831">
        <v>42888</v>
      </c>
      <c r="CA337" s="832">
        <v>5</v>
      </c>
      <c r="CB337" s="833">
        <f t="shared" ca="1" si="302"/>
        <v>246</v>
      </c>
      <c r="CC337" s="834" t="str">
        <f t="shared" ca="1" si="303"/>
        <v>-</v>
      </c>
      <c r="CD337" s="835">
        <f t="shared" si="304"/>
        <v>42909</v>
      </c>
      <c r="CE337" s="831">
        <v>42909</v>
      </c>
      <c r="CF337" s="832">
        <v>5</v>
      </c>
      <c r="CG337" s="833">
        <f t="shared" ca="1" si="305"/>
        <v>225</v>
      </c>
      <c r="CH337" s="836">
        <f t="shared" si="306"/>
        <v>0</v>
      </c>
      <c r="CI337" s="837" t="str">
        <f t="shared" si="307"/>
        <v>УСПЕШНО</v>
      </c>
      <c r="CJ337" s="838" t="str">
        <f t="shared" ca="1" si="308"/>
        <v>-</v>
      </c>
      <c r="CK337" s="831"/>
      <c r="CL337" s="832"/>
      <c r="CM337" s="833" t="str">
        <f t="shared" si="309"/>
        <v>-</v>
      </c>
      <c r="CN337" s="834" t="str">
        <f t="shared" si="310"/>
        <v>-</v>
      </c>
      <c r="CO337" s="830" t="str">
        <f t="shared" ca="1" si="311"/>
        <v>-</v>
      </c>
      <c r="CP337" s="839"/>
      <c r="CQ337" s="832"/>
      <c r="CR337" s="833" t="str">
        <f t="shared" si="312"/>
        <v>-</v>
      </c>
      <c r="CS337" s="833" t="str">
        <f t="shared" si="313"/>
        <v>-</v>
      </c>
      <c r="CT337" s="834" t="str">
        <f t="shared" si="314"/>
        <v>-</v>
      </c>
      <c r="CU337" s="835" t="str">
        <f t="shared" si="315"/>
        <v>-</v>
      </c>
      <c r="CV337" s="839"/>
      <c r="CW337" s="832"/>
      <c r="CX337" s="833" t="str">
        <f t="shared" si="316"/>
        <v>-</v>
      </c>
      <c r="CY337" s="840" t="str">
        <f t="shared" si="317"/>
        <v>-</v>
      </c>
      <c r="CZ337" s="833" t="str">
        <f t="shared" si="318"/>
        <v>-</v>
      </c>
      <c r="DA337" s="838" t="str">
        <f t="shared" ca="1" si="319"/>
        <v>-</v>
      </c>
      <c r="DB337" s="841"/>
      <c r="DC337" s="832"/>
    </row>
    <row r="338" spans="1:107" s="842" customFormat="1" ht="15.95" customHeight="1" x14ac:dyDescent="0.25">
      <c r="A338" s="790">
        <v>339</v>
      </c>
      <c r="B338" s="791">
        <f t="shared" ca="1" si="268"/>
        <v>43134</v>
      </c>
      <c r="C338" s="29" t="s">
        <v>613</v>
      </c>
      <c r="D338" s="793" t="s">
        <v>3204</v>
      </c>
      <c r="E338" s="794" t="s">
        <v>545</v>
      </c>
      <c r="F338" s="795" t="s">
        <v>544</v>
      </c>
      <c r="G338" s="796">
        <f>SUMIFS(МОЛОКО!L8:L6958,МОЛОКО!F8:F6958,"2127",МОЛОКО!L8:L6958,"&gt;0")</f>
        <v>24</v>
      </c>
      <c r="H338" s="797" t="s">
        <v>603</v>
      </c>
      <c r="I338" s="798">
        <v>41676</v>
      </c>
      <c r="J338" s="799">
        <f t="shared" ca="1" si="269"/>
        <v>3.9945205479452053</v>
      </c>
      <c r="K338" s="799">
        <f t="shared" ca="1" si="270"/>
        <v>48.6</v>
      </c>
      <c r="L338" s="800">
        <f t="shared" ca="1" si="271"/>
        <v>1458</v>
      </c>
      <c r="M338" s="801">
        <v>42428</v>
      </c>
      <c r="N338" s="802">
        <v>42785</v>
      </c>
      <c r="O338" s="803">
        <f t="shared" ca="1" si="272"/>
        <v>349</v>
      </c>
      <c r="P338" s="804">
        <v>2</v>
      </c>
      <c r="Q338" s="805" t="s">
        <v>2309</v>
      </c>
      <c r="R338" s="806" t="s">
        <v>2664</v>
      </c>
      <c r="S338" s="807">
        <v>42845</v>
      </c>
      <c r="T338" s="798">
        <v>42845</v>
      </c>
      <c r="U338" s="798" t="str">
        <f t="shared" si="273"/>
        <v>-</v>
      </c>
      <c r="V338" s="804" t="str">
        <f t="shared" ca="1" si="274"/>
        <v>-</v>
      </c>
      <c r="W338" s="808">
        <v>1</v>
      </c>
      <c r="X338" s="794">
        <f t="shared" si="267"/>
        <v>60</v>
      </c>
      <c r="Y338" s="794">
        <v>1</v>
      </c>
      <c r="Z338" s="809" t="str">
        <f t="shared" ca="1" si="275"/>
        <v>-----</v>
      </c>
      <c r="AA338" s="810" t="str">
        <f t="shared" ca="1" si="276"/>
        <v>-----</v>
      </c>
      <c r="AB338" s="804">
        <v>1</v>
      </c>
      <c r="AC338" s="811" t="str">
        <f t="shared" ca="1" si="277"/>
        <v>-----</v>
      </c>
      <c r="AD338" s="798">
        <v>42920</v>
      </c>
      <c r="AE338" s="794" t="str">
        <f t="shared" ca="1" si="278"/>
        <v>-</v>
      </c>
      <c r="AF338" s="798" t="str">
        <f t="shared" si="279"/>
        <v>-</v>
      </c>
      <c r="AG338" s="812" t="str">
        <f t="shared" si="280"/>
        <v>---------</v>
      </c>
      <c r="AH338" s="807">
        <v>42881</v>
      </c>
      <c r="AI338" s="807">
        <f t="shared" si="281"/>
        <v>43035</v>
      </c>
      <c r="AJ338" s="807">
        <f t="shared" si="282"/>
        <v>43065</v>
      </c>
      <c r="AK338" s="813"/>
      <c r="AL338" s="807">
        <f t="shared" si="283"/>
        <v>43104</v>
      </c>
      <c r="AM338" s="807">
        <f t="shared" si="284"/>
        <v>43125</v>
      </c>
      <c r="AN338" s="814">
        <f t="shared" ca="1" si="285"/>
        <v>9</v>
      </c>
      <c r="AO338" s="815">
        <v>1</v>
      </c>
      <c r="AP338" s="816" t="str">
        <f t="shared" ca="1" si="286"/>
        <v>-</v>
      </c>
      <c r="AQ338" s="817"/>
      <c r="AR338" s="794" t="str">
        <f t="shared" si="287"/>
        <v>-</v>
      </c>
      <c r="AS338" s="818"/>
      <c r="AT338" s="794" t="str">
        <f t="shared" si="288"/>
        <v>-</v>
      </c>
      <c r="AU338" s="819"/>
      <c r="AV338" s="820"/>
      <c r="AW338" s="821"/>
      <c r="AX338" s="821"/>
      <c r="AY338" s="969" t="str">
        <f t="shared" si="289"/>
        <v>-</v>
      </c>
      <c r="AZ338" s="966" t="str">
        <f t="shared" si="290"/>
        <v>-</v>
      </c>
      <c r="BA338" s="971" t="str">
        <f t="shared" si="291"/>
        <v>-</v>
      </c>
      <c r="BB338" s="975"/>
      <c r="BC338" s="821"/>
      <c r="BD338" s="821"/>
      <c r="BE338" s="963" t="str">
        <f t="shared" si="292"/>
        <v>-</v>
      </c>
      <c r="BF338" s="984"/>
      <c r="BG338" s="988"/>
      <c r="BH338" s="982"/>
      <c r="BI338" s="991"/>
      <c r="BJ338" s="991"/>
      <c r="BK338" s="993" t="str">
        <f t="shared" si="293"/>
        <v>-</v>
      </c>
      <c r="BL338" s="820">
        <v>42980</v>
      </c>
      <c r="BM338" s="821">
        <v>5</v>
      </c>
      <c r="BN338" s="822">
        <f t="shared" ca="1" si="294"/>
        <v>154</v>
      </c>
      <c r="BO338" s="823">
        <f t="shared" si="295"/>
        <v>43.466666666666669</v>
      </c>
      <c r="BP338" s="824">
        <v>43001</v>
      </c>
      <c r="BQ338" s="821">
        <v>2</v>
      </c>
      <c r="BR338" s="822">
        <f t="shared" ca="1" si="296"/>
        <v>133</v>
      </c>
      <c r="BS338" s="823">
        <f t="shared" si="297"/>
        <v>19.100000000000001</v>
      </c>
      <c r="BT338" s="825" t="str">
        <f t="shared" ca="1" si="298"/>
        <v>-</v>
      </c>
      <c r="BU338" s="826"/>
      <c r="BV338" s="827"/>
      <c r="BW338" s="828" t="str">
        <f t="shared" si="299"/>
        <v>Ж-Е НЕ ВАКЦ.</v>
      </c>
      <c r="BX338" s="829" t="str">
        <f t="shared" si="300"/>
        <v>-</v>
      </c>
      <c r="BY338" s="830" t="str">
        <f t="shared" ca="1" si="301"/>
        <v>-</v>
      </c>
      <c r="BZ338" s="831">
        <v>42887</v>
      </c>
      <c r="CA338" s="832">
        <v>5</v>
      </c>
      <c r="CB338" s="833">
        <f t="shared" ca="1" si="302"/>
        <v>247</v>
      </c>
      <c r="CC338" s="834" t="str">
        <f t="shared" ca="1" si="303"/>
        <v>-</v>
      </c>
      <c r="CD338" s="835">
        <f t="shared" si="304"/>
        <v>42908</v>
      </c>
      <c r="CE338" s="831">
        <v>42908</v>
      </c>
      <c r="CF338" s="832">
        <v>5</v>
      </c>
      <c r="CG338" s="833">
        <f t="shared" ca="1" si="305"/>
        <v>226</v>
      </c>
      <c r="CH338" s="836">
        <f t="shared" si="306"/>
        <v>0</v>
      </c>
      <c r="CI338" s="837" t="str">
        <f t="shared" si="307"/>
        <v>УСПЕШНО</v>
      </c>
      <c r="CJ338" s="838" t="str">
        <f t="shared" ca="1" si="308"/>
        <v>-</v>
      </c>
      <c r="CK338" s="831"/>
      <c r="CL338" s="832"/>
      <c r="CM338" s="833" t="str">
        <f t="shared" si="309"/>
        <v>-</v>
      </c>
      <c r="CN338" s="834" t="str">
        <f t="shared" si="310"/>
        <v>-</v>
      </c>
      <c r="CO338" s="830" t="str">
        <f t="shared" ca="1" si="311"/>
        <v>ТРЕБУЕТСЯ ВАКЦИНАЦИЯ</v>
      </c>
      <c r="CP338" s="839"/>
      <c r="CQ338" s="832"/>
      <c r="CR338" s="833" t="str">
        <f t="shared" si="312"/>
        <v>-</v>
      </c>
      <c r="CS338" s="833" t="str">
        <f t="shared" si="313"/>
        <v>-</v>
      </c>
      <c r="CT338" s="834" t="str">
        <f t="shared" si="314"/>
        <v>-</v>
      </c>
      <c r="CU338" s="835" t="str">
        <f t="shared" si="315"/>
        <v>-</v>
      </c>
      <c r="CV338" s="839"/>
      <c r="CW338" s="832"/>
      <c r="CX338" s="833" t="str">
        <f t="shared" si="316"/>
        <v>-</v>
      </c>
      <c r="CY338" s="840" t="str">
        <f t="shared" si="317"/>
        <v>-</v>
      </c>
      <c r="CZ338" s="833" t="str">
        <f t="shared" si="318"/>
        <v>-</v>
      </c>
      <c r="DA338" s="838" t="str">
        <f t="shared" ca="1" si="319"/>
        <v>-</v>
      </c>
      <c r="DB338" s="841"/>
      <c r="DC338" s="832"/>
    </row>
    <row r="339" spans="1:107" s="842" customFormat="1" ht="15.95" customHeight="1" x14ac:dyDescent="0.25">
      <c r="A339" s="790">
        <v>340</v>
      </c>
      <c r="B339" s="791">
        <f t="shared" ca="1" si="268"/>
        <v>43134</v>
      </c>
      <c r="C339" s="792" t="s">
        <v>613</v>
      </c>
      <c r="D339" s="793" t="s">
        <v>3204</v>
      </c>
      <c r="E339" s="794" t="s">
        <v>1385</v>
      </c>
      <c r="F339" s="795" t="s">
        <v>1262</v>
      </c>
      <c r="G339" s="796">
        <f>SUMIFS(МОЛОКО!L8:L6958,МОЛОКО!F8:F6958,"2133",МОЛОКО!L8:L6958,"&gt;0")</f>
        <v>17.600000000000001</v>
      </c>
      <c r="H339" s="797" t="s">
        <v>603</v>
      </c>
      <c r="I339" s="798">
        <v>41684</v>
      </c>
      <c r="J339" s="799">
        <f t="shared" ca="1" si="269"/>
        <v>3.9726027397260273</v>
      </c>
      <c r="K339" s="799">
        <f t="shared" ca="1" si="270"/>
        <v>48.333333333333336</v>
      </c>
      <c r="L339" s="800">
        <f t="shared" ca="1" si="271"/>
        <v>1450</v>
      </c>
      <c r="M339" s="801">
        <v>42464</v>
      </c>
      <c r="N339" s="802">
        <v>42864</v>
      </c>
      <c r="O339" s="803">
        <f t="shared" ca="1" si="272"/>
        <v>270</v>
      </c>
      <c r="P339" s="804">
        <v>2</v>
      </c>
      <c r="Q339" s="805" t="s">
        <v>2366</v>
      </c>
      <c r="R339" s="806" t="s">
        <v>2962</v>
      </c>
      <c r="S339" s="807">
        <v>42922</v>
      </c>
      <c r="T339" s="798">
        <v>42942</v>
      </c>
      <c r="U339" s="798" t="str">
        <f t="shared" si="273"/>
        <v>-</v>
      </c>
      <c r="V339" s="804" t="str">
        <f t="shared" ca="1" si="274"/>
        <v>-</v>
      </c>
      <c r="W339" s="808">
        <v>2</v>
      </c>
      <c r="X339" s="794">
        <f t="shared" si="267"/>
        <v>78</v>
      </c>
      <c r="Y339" s="794">
        <v>1</v>
      </c>
      <c r="Z339" s="809" t="str">
        <f t="shared" ca="1" si="275"/>
        <v>-----</v>
      </c>
      <c r="AA339" s="810" t="str">
        <f t="shared" ca="1" si="276"/>
        <v>-----</v>
      </c>
      <c r="AB339" s="804">
        <v>1</v>
      </c>
      <c r="AC339" s="811" t="str">
        <f t="shared" ca="1" si="277"/>
        <v>-----</v>
      </c>
      <c r="AD339" s="798">
        <v>43030</v>
      </c>
      <c r="AE339" s="794" t="str">
        <f t="shared" ca="1" si="278"/>
        <v>-</v>
      </c>
      <c r="AF339" s="798" t="str">
        <f t="shared" si="279"/>
        <v>-</v>
      </c>
      <c r="AG339" s="812" t="str">
        <f t="shared" si="280"/>
        <v>---------</v>
      </c>
      <c r="AH339" s="807">
        <v>42975</v>
      </c>
      <c r="AI339" s="807">
        <f t="shared" si="281"/>
        <v>43132</v>
      </c>
      <c r="AJ339" s="807">
        <f t="shared" si="282"/>
        <v>43162</v>
      </c>
      <c r="AK339" s="813"/>
      <c r="AL339" s="807">
        <f t="shared" si="283"/>
        <v>43201</v>
      </c>
      <c r="AM339" s="807">
        <f t="shared" si="284"/>
        <v>43222</v>
      </c>
      <c r="AN339" s="814">
        <f t="shared" ca="1" si="285"/>
        <v>-88</v>
      </c>
      <c r="AO339" s="815">
        <v>1</v>
      </c>
      <c r="AP339" s="816" t="str">
        <f t="shared" ca="1" si="286"/>
        <v>-</v>
      </c>
      <c r="AQ339" s="817"/>
      <c r="AR339" s="794" t="str">
        <f t="shared" si="287"/>
        <v>-</v>
      </c>
      <c r="AS339" s="818"/>
      <c r="AT339" s="794" t="str">
        <f t="shared" si="288"/>
        <v>-</v>
      </c>
      <c r="AU339" s="819"/>
      <c r="AV339" s="820"/>
      <c r="AW339" s="821"/>
      <c r="AX339" s="821"/>
      <c r="AY339" s="969" t="str">
        <f t="shared" si="289"/>
        <v>-</v>
      </c>
      <c r="AZ339" s="966" t="str">
        <f t="shared" si="290"/>
        <v>-</v>
      </c>
      <c r="BA339" s="971" t="str">
        <f t="shared" si="291"/>
        <v>-</v>
      </c>
      <c r="BB339" s="975"/>
      <c r="BC339" s="821"/>
      <c r="BD339" s="821"/>
      <c r="BE339" s="963" t="str">
        <f t="shared" si="292"/>
        <v>-</v>
      </c>
      <c r="BF339" s="984"/>
      <c r="BG339" s="988"/>
      <c r="BH339" s="982"/>
      <c r="BI339" s="991"/>
      <c r="BJ339" s="991"/>
      <c r="BK339" s="993" t="str">
        <f t="shared" si="293"/>
        <v>-</v>
      </c>
      <c r="BL339" s="820">
        <v>42980</v>
      </c>
      <c r="BM339" s="821">
        <v>5</v>
      </c>
      <c r="BN339" s="822">
        <f t="shared" ca="1" si="294"/>
        <v>154</v>
      </c>
      <c r="BO339" s="823">
        <f t="shared" si="295"/>
        <v>43.2</v>
      </c>
      <c r="BP339" s="824">
        <v>43001</v>
      </c>
      <c r="BQ339" s="821">
        <v>2</v>
      </c>
      <c r="BR339" s="822">
        <f t="shared" ca="1" si="296"/>
        <v>133</v>
      </c>
      <c r="BS339" s="823">
        <f t="shared" si="297"/>
        <v>17.899999999999999</v>
      </c>
      <c r="BT339" s="825" t="str">
        <f t="shared" ca="1" si="298"/>
        <v>-</v>
      </c>
      <c r="BU339" s="826"/>
      <c r="BV339" s="827"/>
      <c r="BW339" s="828" t="str">
        <f t="shared" si="299"/>
        <v>Ж-Е НЕ ВАКЦ.</v>
      </c>
      <c r="BX339" s="829" t="str">
        <f t="shared" si="300"/>
        <v>-</v>
      </c>
      <c r="BY339" s="830" t="str">
        <f t="shared" ca="1" si="301"/>
        <v>-</v>
      </c>
      <c r="BZ339" s="831">
        <v>42888</v>
      </c>
      <c r="CA339" s="832">
        <v>5</v>
      </c>
      <c r="CB339" s="833">
        <f t="shared" ca="1" si="302"/>
        <v>246</v>
      </c>
      <c r="CC339" s="834" t="str">
        <f t="shared" ca="1" si="303"/>
        <v>-</v>
      </c>
      <c r="CD339" s="835">
        <f t="shared" si="304"/>
        <v>42909</v>
      </c>
      <c r="CE339" s="831">
        <v>42909</v>
      </c>
      <c r="CF339" s="832">
        <v>5</v>
      </c>
      <c r="CG339" s="833">
        <f t="shared" ca="1" si="305"/>
        <v>225</v>
      </c>
      <c r="CH339" s="836">
        <f t="shared" si="306"/>
        <v>0</v>
      </c>
      <c r="CI339" s="837" t="str">
        <f t="shared" si="307"/>
        <v>УСПЕШНО</v>
      </c>
      <c r="CJ339" s="838" t="str">
        <f t="shared" ca="1" si="308"/>
        <v>-</v>
      </c>
      <c r="CK339" s="831"/>
      <c r="CL339" s="832"/>
      <c r="CM339" s="833" t="str">
        <f t="shared" si="309"/>
        <v>-</v>
      </c>
      <c r="CN339" s="834" t="str">
        <f t="shared" si="310"/>
        <v>-</v>
      </c>
      <c r="CO339" s="830" t="str">
        <f t="shared" ca="1" si="311"/>
        <v>-</v>
      </c>
      <c r="CP339" s="839"/>
      <c r="CQ339" s="832"/>
      <c r="CR339" s="833" t="str">
        <f t="shared" si="312"/>
        <v>-</v>
      </c>
      <c r="CS339" s="833" t="str">
        <f t="shared" si="313"/>
        <v>-</v>
      </c>
      <c r="CT339" s="834" t="str">
        <f t="shared" si="314"/>
        <v>-</v>
      </c>
      <c r="CU339" s="835" t="str">
        <f t="shared" si="315"/>
        <v>-</v>
      </c>
      <c r="CV339" s="839"/>
      <c r="CW339" s="832"/>
      <c r="CX339" s="833" t="str">
        <f t="shared" si="316"/>
        <v>-</v>
      </c>
      <c r="CY339" s="840" t="str">
        <f t="shared" si="317"/>
        <v>-</v>
      </c>
      <c r="CZ339" s="833" t="str">
        <f t="shared" si="318"/>
        <v>-</v>
      </c>
      <c r="DA339" s="838" t="str">
        <f t="shared" ca="1" si="319"/>
        <v>-</v>
      </c>
      <c r="DB339" s="841"/>
      <c r="DC339" s="832"/>
    </row>
    <row r="340" spans="1:107" s="842" customFormat="1" ht="15.95" customHeight="1" x14ac:dyDescent="0.25">
      <c r="A340" s="790">
        <v>341</v>
      </c>
      <c r="B340" s="791">
        <f t="shared" ca="1" si="268"/>
        <v>43134</v>
      </c>
      <c r="C340" s="29" t="s">
        <v>613</v>
      </c>
      <c r="D340" s="59" t="s">
        <v>3204</v>
      </c>
      <c r="E340" s="794" t="s">
        <v>1300</v>
      </c>
      <c r="F340" s="795" t="s">
        <v>1177</v>
      </c>
      <c r="G340" s="796">
        <f>SUMIFS(МОЛОКО!L8:L6958,МОЛОКО!F8:F6958,"2207",МОЛОКО!L8:L6958,"&gt;0")</f>
        <v>13</v>
      </c>
      <c r="H340" s="797" t="s">
        <v>603</v>
      </c>
      <c r="I340" s="798">
        <v>41758</v>
      </c>
      <c r="J340" s="799">
        <f t="shared" ca="1" si="269"/>
        <v>3.7698630136986302</v>
      </c>
      <c r="K340" s="799">
        <f t="shared" ca="1" si="270"/>
        <v>45.866666666666667</v>
      </c>
      <c r="L340" s="800">
        <f t="shared" ca="1" si="271"/>
        <v>1376</v>
      </c>
      <c r="M340" s="801">
        <v>42599</v>
      </c>
      <c r="N340" s="802">
        <v>42599</v>
      </c>
      <c r="O340" s="803">
        <f t="shared" ca="1" si="272"/>
        <v>535</v>
      </c>
      <c r="P340" s="804">
        <v>1</v>
      </c>
      <c r="Q340" s="805" t="s">
        <v>2366</v>
      </c>
      <c r="R340" s="806" t="s">
        <v>2962</v>
      </c>
      <c r="S340" s="807">
        <v>42681</v>
      </c>
      <c r="T340" s="798">
        <v>42993</v>
      </c>
      <c r="U340" s="798" t="str">
        <f t="shared" si="273"/>
        <v>-</v>
      </c>
      <c r="V340" s="804" t="str">
        <f t="shared" ca="1" si="274"/>
        <v>-</v>
      </c>
      <c r="W340" s="808">
        <v>7</v>
      </c>
      <c r="X340" s="794">
        <f t="shared" si="267"/>
        <v>394</v>
      </c>
      <c r="Y340" s="794">
        <v>1</v>
      </c>
      <c r="Z340" s="809" t="str">
        <f t="shared" ca="1" si="275"/>
        <v>ПОДЛЕЖИТ ПЕРЕПРОВЕРКЕ</v>
      </c>
      <c r="AA340" s="810">
        <f t="shared" ca="1" si="276"/>
        <v>141</v>
      </c>
      <c r="AB340" s="804"/>
      <c r="AC340" s="811">
        <f t="shared" ca="1" si="277"/>
        <v>43065</v>
      </c>
      <c r="AD340" s="798"/>
      <c r="AE340" s="794" t="str">
        <f t="shared" ca="1" si="278"/>
        <v>-</v>
      </c>
      <c r="AF340" s="798" t="str">
        <f t="shared" si="279"/>
        <v>-</v>
      </c>
      <c r="AG340" s="812" t="str">
        <f t="shared" si="280"/>
        <v>---------</v>
      </c>
      <c r="AH340" s="807">
        <v>43024</v>
      </c>
      <c r="AI340" s="807">
        <f t="shared" si="281"/>
        <v>43183</v>
      </c>
      <c r="AJ340" s="807">
        <f t="shared" si="282"/>
        <v>43213</v>
      </c>
      <c r="AK340" s="813"/>
      <c r="AL340" s="807">
        <f t="shared" si="283"/>
        <v>43252</v>
      </c>
      <c r="AM340" s="807">
        <f t="shared" si="284"/>
        <v>43273</v>
      </c>
      <c r="AN340" s="814">
        <f t="shared" ca="1" si="285"/>
        <v>-139</v>
      </c>
      <c r="AO340" s="815">
        <v>1</v>
      </c>
      <c r="AP340" s="816" t="str">
        <f t="shared" ca="1" si="286"/>
        <v>-</v>
      </c>
      <c r="AQ340" s="817"/>
      <c r="AR340" s="794" t="str">
        <f t="shared" si="287"/>
        <v>-</v>
      </c>
      <c r="AS340" s="818"/>
      <c r="AT340" s="794" t="str">
        <f t="shared" si="288"/>
        <v>-</v>
      </c>
      <c r="AU340" s="819"/>
      <c r="AV340" s="820"/>
      <c r="AW340" s="821"/>
      <c r="AX340" s="821"/>
      <c r="AY340" s="969" t="str">
        <f t="shared" si="289"/>
        <v>-</v>
      </c>
      <c r="AZ340" s="966" t="str">
        <f t="shared" si="290"/>
        <v>-</v>
      </c>
      <c r="BA340" s="971" t="str">
        <f t="shared" si="291"/>
        <v>-</v>
      </c>
      <c r="BB340" s="975"/>
      <c r="BC340" s="821"/>
      <c r="BD340" s="821"/>
      <c r="BE340" s="963" t="str">
        <f t="shared" si="292"/>
        <v>-</v>
      </c>
      <c r="BF340" s="984"/>
      <c r="BG340" s="988"/>
      <c r="BH340" s="982"/>
      <c r="BI340" s="991"/>
      <c r="BJ340" s="991"/>
      <c r="BK340" s="993" t="str">
        <f t="shared" si="293"/>
        <v>-</v>
      </c>
      <c r="BL340" s="820">
        <v>42981</v>
      </c>
      <c r="BM340" s="821">
        <v>5</v>
      </c>
      <c r="BN340" s="822">
        <f t="shared" ca="1" si="294"/>
        <v>153</v>
      </c>
      <c r="BO340" s="823">
        <f t="shared" si="295"/>
        <v>40.766666666666666</v>
      </c>
      <c r="BP340" s="824">
        <v>43001</v>
      </c>
      <c r="BQ340" s="821">
        <v>2</v>
      </c>
      <c r="BR340" s="822">
        <f t="shared" ca="1" si="296"/>
        <v>133</v>
      </c>
      <c r="BS340" s="823">
        <f t="shared" si="297"/>
        <v>13.4</v>
      </c>
      <c r="BT340" s="825" t="str">
        <f t="shared" ca="1" si="298"/>
        <v>-</v>
      </c>
      <c r="BU340" s="826"/>
      <c r="BV340" s="827"/>
      <c r="BW340" s="828" t="str">
        <f t="shared" si="299"/>
        <v>Ж-Е НЕ ВАКЦ.</v>
      </c>
      <c r="BX340" s="829" t="str">
        <f t="shared" si="300"/>
        <v>-</v>
      </c>
      <c r="BY340" s="830" t="str">
        <f t="shared" ca="1" si="301"/>
        <v>-</v>
      </c>
      <c r="BZ340" s="831">
        <v>42887</v>
      </c>
      <c r="CA340" s="832">
        <v>5</v>
      </c>
      <c r="CB340" s="833">
        <f t="shared" ca="1" si="302"/>
        <v>247</v>
      </c>
      <c r="CC340" s="834" t="str">
        <f t="shared" ca="1" si="303"/>
        <v>-</v>
      </c>
      <c r="CD340" s="835">
        <f t="shared" si="304"/>
        <v>42908</v>
      </c>
      <c r="CE340" s="831">
        <v>42908</v>
      </c>
      <c r="CF340" s="832">
        <v>5</v>
      </c>
      <c r="CG340" s="833">
        <f t="shared" ca="1" si="305"/>
        <v>226</v>
      </c>
      <c r="CH340" s="836">
        <f t="shared" si="306"/>
        <v>0</v>
      </c>
      <c r="CI340" s="837" t="str">
        <f t="shared" si="307"/>
        <v>УСПЕШНО</v>
      </c>
      <c r="CJ340" s="838" t="str">
        <f t="shared" ca="1" si="308"/>
        <v>-</v>
      </c>
      <c r="CK340" s="831"/>
      <c r="CL340" s="832"/>
      <c r="CM340" s="833" t="str">
        <f t="shared" si="309"/>
        <v>-</v>
      </c>
      <c r="CN340" s="834" t="str">
        <f t="shared" si="310"/>
        <v>-</v>
      </c>
      <c r="CO340" s="830" t="str">
        <f t="shared" ca="1" si="311"/>
        <v>-</v>
      </c>
      <c r="CP340" s="839"/>
      <c r="CQ340" s="832"/>
      <c r="CR340" s="833" t="str">
        <f t="shared" si="312"/>
        <v>-</v>
      </c>
      <c r="CS340" s="833" t="str">
        <f t="shared" si="313"/>
        <v>-</v>
      </c>
      <c r="CT340" s="834" t="str">
        <f t="shared" si="314"/>
        <v>-</v>
      </c>
      <c r="CU340" s="835" t="str">
        <f t="shared" si="315"/>
        <v>-</v>
      </c>
      <c r="CV340" s="839"/>
      <c r="CW340" s="832"/>
      <c r="CX340" s="833" t="str">
        <f t="shared" si="316"/>
        <v>-</v>
      </c>
      <c r="CY340" s="840" t="str">
        <f t="shared" si="317"/>
        <v>-</v>
      </c>
      <c r="CZ340" s="833" t="str">
        <f t="shared" si="318"/>
        <v>-</v>
      </c>
      <c r="DA340" s="838" t="str">
        <f t="shared" ca="1" si="319"/>
        <v>-</v>
      </c>
      <c r="DB340" s="841"/>
      <c r="DC340" s="832"/>
    </row>
    <row r="341" spans="1:107" s="842" customFormat="1" ht="15.95" customHeight="1" x14ac:dyDescent="0.25">
      <c r="A341" s="790">
        <v>342</v>
      </c>
      <c r="B341" s="791">
        <f t="shared" ca="1" si="268"/>
        <v>43134</v>
      </c>
      <c r="C341" s="29" t="s">
        <v>613</v>
      </c>
      <c r="D341" s="59" t="s">
        <v>3204</v>
      </c>
      <c r="E341" s="794" t="s">
        <v>1301</v>
      </c>
      <c r="F341" s="795" t="s">
        <v>1178</v>
      </c>
      <c r="G341" s="796">
        <f>SUMIFS(МОЛОКО!L8:L6958,МОЛОКО!F8:F6958,"2209",МОЛОКО!L8:L6958,"&gt;0")</f>
        <v>18.2</v>
      </c>
      <c r="H341" s="797" t="s">
        <v>603</v>
      </c>
      <c r="I341" s="798">
        <v>41759</v>
      </c>
      <c r="J341" s="799">
        <f t="shared" ca="1" si="269"/>
        <v>3.7671232876712328</v>
      </c>
      <c r="K341" s="799">
        <f t="shared" ca="1" si="270"/>
        <v>45.833333333333336</v>
      </c>
      <c r="L341" s="800">
        <f t="shared" ca="1" si="271"/>
        <v>1375</v>
      </c>
      <c r="M341" s="801">
        <v>42553</v>
      </c>
      <c r="N341" s="802">
        <v>42903</v>
      </c>
      <c r="O341" s="803">
        <f t="shared" ca="1" si="272"/>
        <v>231</v>
      </c>
      <c r="P341" s="804">
        <v>2</v>
      </c>
      <c r="Q341" s="805" t="s">
        <v>1451</v>
      </c>
      <c r="R341" s="806" t="s">
        <v>2962</v>
      </c>
      <c r="S341" s="807">
        <v>42964</v>
      </c>
      <c r="T341" s="798">
        <v>42964</v>
      </c>
      <c r="U341" s="798" t="str">
        <f t="shared" si="273"/>
        <v>-</v>
      </c>
      <c r="V341" s="804" t="str">
        <f t="shared" ca="1" si="274"/>
        <v>-</v>
      </c>
      <c r="W341" s="808">
        <v>1</v>
      </c>
      <c r="X341" s="794">
        <f t="shared" si="267"/>
        <v>61</v>
      </c>
      <c r="Y341" s="794">
        <v>1</v>
      </c>
      <c r="Z341" s="809" t="str">
        <f t="shared" ca="1" si="275"/>
        <v>-----</v>
      </c>
      <c r="AA341" s="810" t="str">
        <f t="shared" ca="1" si="276"/>
        <v>-----</v>
      </c>
      <c r="AB341" s="804">
        <v>1</v>
      </c>
      <c r="AC341" s="811" t="str">
        <f t="shared" ca="1" si="277"/>
        <v>-----</v>
      </c>
      <c r="AD341" s="798">
        <v>43042</v>
      </c>
      <c r="AE341" s="794" t="str">
        <f t="shared" ca="1" si="278"/>
        <v>-</v>
      </c>
      <c r="AF341" s="798" t="str">
        <f t="shared" si="279"/>
        <v>-</v>
      </c>
      <c r="AG341" s="812" t="str">
        <f t="shared" si="280"/>
        <v>---------</v>
      </c>
      <c r="AH341" s="807">
        <v>42996</v>
      </c>
      <c r="AI341" s="807">
        <f t="shared" si="281"/>
        <v>43154</v>
      </c>
      <c r="AJ341" s="807">
        <f t="shared" si="282"/>
        <v>43184</v>
      </c>
      <c r="AK341" s="813"/>
      <c r="AL341" s="807">
        <f t="shared" si="283"/>
        <v>43223</v>
      </c>
      <c r="AM341" s="807">
        <f t="shared" si="284"/>
        <v>43244</v>
      </c>
      <c r="AN341" s="814">
        <f t="shared" ca="1" si="285"/>
        <v>-110</v>
      </c>
      <c r="AO341" s="815">
        <v>1</v>
      </c>
      <c r="AP341" s="816" t="str">
        <f t="shared" ca="1" si="286"/>
        <v>-</v>
      </c>
      <c r="AQ341" s="817"/>
      <c r="AR341" s="794" t="str">
        <f t="shared" si="287"/>
        <v>-</v>
      </c>
      <c r="AS341" s="818"/>
      <c r="AT341" s="794" t="str">
        <f t="shared" si="288"/>
        <v>-</v>
      </c>
      <c r="AU341" s="819"/>
      <c r="AV341" s="820"/>
      <c r="AW341" s="821"/>
      <c r="AX341" s="821"/>
      <c r="AY341" s="969" t="str">
        <f t="shared" si="289"/>
        <v>-</v>
      </c>
      <c r="AZ341" s="966" t="str">
        <f t="shared" si="290"/>
        <v>-</v>
      </c>
      <c r="BA341" s="971" t="str">
        <f t="shared" si="291"/>
        <v>-</v>
      </c>
      <c r="BB341" s="975"/>
      <c r="BC341" s="821"/>
      <c r="BD341" s="821"/>
      <c r="BE341" s="963" t="str">
        <f t="shared" si="292"/>
        <v>-</v>
      </c>
      <c r="BF341" s="984"/>
      <c r="BG341" s="988"/>
      <c r="BH341" s="982"/>
      <c r="BI341" s="991"/>
      <c r="BJ341" s="991"/>
      <c r="BK341" s="993" t="str">
        <f t="shared" si="293"/>
        <v>-</v>
      </c>
      <c r="BL341" s="820">
        <v>42980</v>
      </c>
      <c r="BM341" s="821">
        <v>5</v>
      </c>
      <c r="BN341" s="822">
        <f t="shared" ca="1" si="294"/>
        <v>154</v>
      </c>
      <c r="BO341" s="823">
        <f t="shared" si="295"/>
        <v>40.700000000000003</v>
      </c>
      <c r="BP341" s="824">
        <v>43001</v>
      </c>
      <c r="BQ341" s="821">
        <v>2</v>
      </c>
      <c r="BR341" s="822">
        <f t="shared" ca="1" si="296"/>
        <v>133</v>
      </c>
      <c r="BS341" s="823">
        <f t="shared" si="297"/>
        <v>14.933333333333334</v>
      </c>
      <c r="BT341" s="825" t="str">
        <f t="shared" ca="1" si="298"/>
        <v>-</v>
      </c>
      <c r="BU341" s="826"/>
      <c r="BV341" s="827"/>
      <c r="BW341" s="828" t="str">
        <f t="shared" si="299"/>
        <v>Ж-Е НЕ ВАКЦ.</v>
      </c>
      <c r="BX341" s="829" t="str">
        <f t="shared" si="300"/>
        <v>-</v>
      </c>
      <c r="BY341" s="830" t="str">
        <f t="shared" ca="1" si="301"/>
        <v>-</v>
      </c>
      <c r="BZ341" s="831">
        <v>42940</v>
      </c>
      <c r="CA341" s="832">
        <v>5</v>
      </c>
      <c r="CB341" s="833">
        <f t="shared" ca="1" si="302"/>
        <v>194</v>
      </c>
      <c r="CC341" s="834" t="str">
        <f t="shared" ca="1" si="303"/>
        <v>-</v>
      </c>
      <c r="CD341" s="835">
        <f t="shared" si="304"/>
        <v>42961</v>
      </c>
      <c r="CE341" s="831">
        <v>42969</v>
      </c>
      <c r="CF341" s="832">
        <v>5</v>
      </c>
      <c r="CG341" s="833">
        <f t="shared" ca="1" si="305"/>
        <v>165</v>
      </c>
      <c r="CH341" s="836">
        <f t="shared" si="306"/>
        <v>-8</v>
      </c>
      <c r="CI341" s="837" t="str">
        <f t="shared" si="307"/>
        <v>-</v>
      </c>
      <c r="CJ341" s="838" t="str">
        <f t="shared" ca="1" si="308"/>
        <v>-</v>
      </c>
      <c r="CK341" s="831"/>
      <c r="CL341" s="832"/>
      <c r="CM341" s="833" t="str">
        <f t="shared" si="309"/>
        <v>-</v>
      </c>
      <c r="CN341" s="834" t="str">
        <f t="shared" si="310"/>
        <v>-</v>
      </c>
      <c r="CO341" s="830" t="str">
        <f t="shared" ca="1" si="311"/>
        <v>-</v>
      </c>
      <c r="CP341" s="839"/>
      <c r="CQ341" s="832"/>
      <c r="CR341" s="833" t="str">
        <f t="shared" si="312"/>
        <v>-</v>
      </c>
      <c r="CS341" s="833" t="str">
        <f t="shared" si="313"/>
        <v>-</v>
      </c>
      <c r="CT341" s="834" t="str">
        <f t="shared" si="314"/>
        <v>-</v>
      </c>
      <c r="CU341" s="835" t="str">
        <f t="shared" si="315"/>
        <v>-</v>
      </c>
      <c r="CV341" s="839"/>
      <c r="CW341" s="832"/>
      <c r="CX341" s="833" t="str">
        <f t="shared" si="316"/>
        <v>-</v>
      </c>
      <c r="CY341" s="840" t="str">
        <f t="shared" si="317"/>
        <v>-</v>
      </c>
      <c r="CZ341" s="833" t="str">
        <f t="shared" si="318"/>
        <v>-</v>
      </c>
      <c r="DA341" s="838" t="str">
        <f t="shared" ca="1" si="319"/>
        <v>-</v>
      </c>
      <c r="DB341" s="841"/>
      <c r="DC341" s="832"/>
    </row>
    <row r="342" spans="1:107" s="842" customFormat="1" ht="15.95" customHeight="1" x14ac:dyDescent="0.25">
      <c r="A342" s="790">
        <v>343</v>
      </c>
      <c r="B342" s="791">
        <f t="shared" ca="1" si="268"/>
        <v>43134</v>
      </c>
      <c r="C342" s="792" t="s">
        <v>613</v>
      </c>
      <c r="D342" s="793" t="s">
        <v>3204</v>
      </c>
      <c r="E342" s="794" t="s">
        <v>1060</v>
      </c>
      <c r="F342" s="795" t="s">
        <v>952</v>
      </c>
      <c r="G342" s="796">
        <f>SUMIFS(МОЛОКО!L8:L6958,МОЛОКО!F8:F6958,"2222",МОЛОКО!L8:L6958,"&gt;0")</f>
        <v>14</v>
      </c>
      <c r="H342" s="797" t="s">
        <v>603</v>
      </c>
      <c r="I342" s="798">
        <v>41774</v>
      </c>
      <c r="J342" s="799">
        <f t="shared" ca="1" si="269"/>
        <v>3.7260273972602738</v>
      </c>
      <c r="K342" s="799">
        <f t="shared" ca="1" si="270"/>
        <v>45.333333333333336</v>
      </c>
      <c r="L342" s="800">
        <f t="shared" ca="1" si="271"/>
        <v>1360</v>
      </c>
      <c r="M342" s="801">
        <v>42724</v>
      </c>
      <c r="N342" s="802">
        <v>42724</v>
      </c>
      <c r="O342" s="803">
        <f t="shared" ca="1" si="272"/>
        <v>410</v>
      </c>
      <c r="P342" s="804">
        <v>1</v>
      </c>
      <c r="Q342" s="805" t="s">
        <v>2366</v>
      </c>
      <c r="R342" s="806" t="s">
        <v>2966</v>
      </c>
      <c r="S342" s="807">
        <v>42782</v>
      </c>
      <c r="T342" s="798">
        <v>42945</v>
      </c>
      <c r="U342" s="798" t="str">
        <f t="shared" si="273"/>
        <v>-</v>
      </c>
      <c r="V342" s="804" t="str">
        <f t="shared" ca="1" si="274"/>
        <v>-</v>
      </c>
      <c r="W342" s="808">
        <v>4</v>
      </c>
      <c r="X342" s="794">
        <f t="shared" si="267"/>
        <v>221</v>
      </c>
      <c r="Y342" s="794">
        <v>1</v>
      </c>
      <c r="Z342" s="809" t="str">
        <f t="shared" ca="1" si="275"/>
        <v>-----</v>
      </c>
      <c r="AA342" s="810" t="str">
        <f t="shared" ca="1" si="276"/>
        <v>-----</v>
      </c>
      <c r="AB342" s="804">
        <v>1</v>
      </c>
      <c r="AC342" s="811" t="str">
        <f t="shared" ca="1" si="277"/>
        <v>-----</v>
      </c>
      <c r="AD342" s="798">
        <v>43030</v>
      </c>
      <c r="AE342" s="794" t="str">
        <f t="shared" ca="1" si="278"/>
        <v>-</v>
      </c>
      <c r="AF342" s="798" t="str">
        <f t="shared" si="279"/>
        <v>-</v>
      </c>
      <c r="AG342" s="812" t="str">
        <f t="shared" si="280"/>
        <v>---------</v>
      </c>
      <c r="AH342" s="807">
        <v>42975</v>
      </c>
      <c r="AI342" s="807">
        <f t="shared" si="281"/>
        <v>43135</v>
      </c>
      <c r="AJ342" s="807">
        <f t="shared" si="282"/>
        <v>43165</v>
      </c>
      <c r="AK342" s="813"/>
      <c r="AL342" s="807">
        <f t="shared" si="283"/>
        <v>43204</v>
      </c>
      <c r="AM342" s="807">
        <f t="shared" si="284"/>
        <v>43225</v>
      </c>
      <c r="AN342" s="814">
        <f t="shared" ca="1" si="285"/>
        <v>-91</v>
      </c>
      <c r="AO342" s="815">
        <v>1</v>
      </c>
      <c r="AP342" s="816" t="str">
        <f t="shared" ca="1" si="286"/>
        <v>-</v>
      </c>
      <c r="AQ342" s="817"/>
      <c r="AR342" s="794" t="str">
        <f t="shared" si="287"/>
        <v>-</v>
      </c>
      <c r="AS342" s="818"/>
      <c r="AT342" s="794" t="str">
        <f t="shared" si="288"/>
        <v>-</v>
      </c>
      <c r="AU342" s="819"/>
      <c r="AV342" s="820"/>
      <c r="AW342" s="821"/>
      <c r="AX342" s="821"/>
      <c r="AY342" s="969" t="str">
        <f t="shared" si="289"/>
        <v>-</v>
      </c>
      <c r="AZ342" s="966" t="str">
        <f t="shared" si="290"/>
        <v>-</v>
      </c>
      <c r="BA342" s="971" t="str">
        <f t="shared" si="291"/>
        <v>-</v>
      </c>
      <c r="BB342" s="975"/>
      <c r="BC342" s="821"/>
      <c r="BD342" s="821"/>
      <c r="BE342" s="963" t="str">
        <f t="shared" si="292"/>
        <v>-</v>
      </c>
      <c r="BF342" s="984"/>
      <c r="BG342" s="988"/>
      <c r="BH342" s="982"/>
      <c r="BI342" s="991"/>
      <c r="BJ342" s="991"/>
      <c r="BK342" s="993" t="str">
        <f t="shared" si="293"/>
        <v>-</v>
      </c>
      <c r="BL342" s="820">
        <v>42981</v>
      </c>
      <c r="BM342" s="821">
        <v>5</v>
      </c>
      <c r="BN342" s="822">
        <f t="shared" ca="1" si="294"/>
        <v>153</v>
      </c>
      <c r="BO342" s="823">
        <f t="shared" si="295"/>
        <v>40.233333333333334</v>
      </c>
      <c r="BP342" s="824">
        <v>43001</v>
      </c>
      <c r="BQ342" s="821">
        <v>2</v>
      </c>
      <c r="BR342" s="822">
        <f t="shared" ca="1" si="296"/>
        <v>133</v>
      </c>
      <c r="BS342" s="823">
        <f t="shared" si="297"/>
        <v>9.2333333333333325</v>
      </c>
      <c r="BT342" s="825" t="str">
        <f t="shared" ca="1" si="298"/>
        <v>-</v>
      </c>
      <c r="BU342" s="826"/>
      <c r="BV342" s="827"/>
      <c r="BW342" s="828" t="str">
        <f t="shared" si="299"/>
        <v>Ж-Е НЕ ВАКЦ.</v>
      </c>
      <c r="BX342" s="829" t="str">
        <f t="shared" si="300"/>
        <v>-</v>
      </c>
      <c r="BY342" s="830" t="str">
        <f t="shared" ca="1" si="301"/>
        <v>-</v>
      </c>
      <c r="BZ342" s="831">
        <v>42887</v>
      </c>
      <c r="CA342" s="832">
        <v>5</v>
      </c>
      <c r="CB342" s="833">
        <f t="shared" ca="1" si="302"/>
        <v>247</v>
      </c>
      <c r="CC342" s="834" t="str">
        <f t="shared" ca="1" si="303"/>
        <v>-</v>
      </c>
      <c r="CD342" s="835">
        <f t="shared" si="304"/>
        <v>42908</v>
      </c>
      <c r="CE342" s="831">
        <v>42908</v>
      </c>
      <c r="CF342" s="832">
        <v>5</v>
      </c>
      <c r="CG342" s="833">
        <f t="shared" ca="1" si="305"/>
        <v>226</v>
      </c>
      <c r="CH342" s="836">
        <f t="shared" si="306"/>
        <v>0</v>
      </c>
      <c r="CI342" s="837" t="str">
        <f t="shared" si="307"/>
        <v>УСПЕШНО</v>
      </c>
      <c r="CJ342" s="838" t="str">
        <f t="shared" ca="1" si="308"/>
        <v>-</v>
      </c>
      <c r="CK342" s="831"/>
      <c r="CL342" s="832"/>
      <c r="CM342" s="833" t="str">
        <f t="shared" si="309"/>
        <v>-</v>
      </c>
      <c r="CN342" s="834" t="str">
        <f t="shared" si="310"/>
        <v>-</v>
      </c>
      <c r="CO342" s="830" t="str">
        <f t="shared" ca="1" si="311"/>
        <v>-</v>
      </c>
      <c r="CP342" s="839"/>
      <c r="CQ342" s="832"/>
      <c r="CR342" s="833" t="str">
        <f t="shared" si="312"/>
        <v>-</v>
      </c>
      <c r="CS342" s="833" t="str">
        <f t="shared" si="313"/>
        <v>-</v>
      </c>
      <c r="CT342" s="834" t="str">
        <f t="shared" si="314"/>
        <v>-</v>
      </c>
      <c r="CU342" s="835" t="str">
        <f t="shared" si="315"/>
        <v>-</v>
      </c>
      <c r="CV342" s="839"/>
      <c r="CW342" s="832"/>
      <c r="CX342" s="833" t="str">
        <f t="shared" si="316"/>
        <v>-</v>
      </c>
      <c r="CY342" s="840" t="str">
        <f t="shared" si="317"/>
        <v>-</v>
      </c>
      <c r="CZ342" s="833" t="str">
        <f t="shared" si="318"/>
        <v>-</v>
      </c>
      <c r="DA342" s="838" t="str">
        <f t="shared" ca="1" si="319"/>
        <v>-</v>
      </c>
      <c r="DB342" s="841"/>
      <c r="DC342" s="832"/>
    </row>
    <row r="343" spans="1:107" s="842" customFormat="1" ht="15.95" customHeight="1" x14ac:dyDescent="0.25">
      <c r="A343" s="790">
        <v>344</v>
      </c>
      <c r="B343" s="791">
        <f t="shared" ca="1" si="268"/>
        <v>43134</v>
      </c>
      <c r="C343" s="29" t="s">
        <v>613</v>
      </c>
      <c r="D343" s="59" t="s">
        <v>3204</v>
      </c>
      <c r="E343" s="794" t="s">
        <v>1305</v>
      </c>
      <c r="F343" s="795" t="s">
        <v>1186</v>
      </c>
      <c r="G343" s="796">
        <f>SUMIFS(МОЛОКО!L8:L6958,МОЛОКО!F8:F6958,"2235",МОЛОКО!L8:L6958,"&gt;0")</f>
        <v>16</v>
      </c>
      <c r="H343" s="797" t="s">
        <v>603</v>
      </c>
      <c r="I343" s="798">
        <v>41785</v>
      </c>
      <c r="J343" s="799">
        <f t="shared" ca="1" si="269"/>
        <v>3.6958904109589041</v>
      </c>
      <c r="K343" s="799">
        <f t="shared" ca="1" si="270"/>
        <v>44.966666666666669</v>
      </c>
      <c r="L343" s="800">
        <f t="shared" ca="1" si="271"/>
        <v>1349</v>
      </c>
      <c r="M343" s="801">
        <v>42564</v>
      </c>
      <c r="N343" s="802">
        <v>42564</v>
      </c>
      <c r="O343" s="803">
        <f t="shared" ca="1" si="272"/>
        <v>570</v>
      </c>
      <c r="P343" s="804">
        <v>1</v>
      </c>
      <c r="Q343" s="805" t="s">
        <v>1451</v>
      </c>
      <c r="R343" s="806" t="s">
        <v>1875</v>
      </c>
      <c r="S343" s="807">
        <v>42646</v>
      </c>
      <c r="T343" s="798">
        <v>42855</v>
      </c>
      <c r="U343" s="798" t="str">
        <f t="shared" si="273"/>
        <v>-</v>
      </c>
      <c r="V343" s="804" t="str">
        <f t="shared" ca="1" si="274"/>
        <v>-</v>
      </c>
      <c r="W343" s="808">
        <v>4</v>
      </c>
      <c r="X343" s="794">
        <f t="shared" si="267"/>
        <v>291</v>
      </c>
      <c r="Y343" s="794">
        <v>1</v>
      </c>
      <c r="Z343" s="809" t="str">
        <f t="shared" ca="1" si="275"/>
        <v>-----</v>
      </c>
      <c r="AA343" s="810" t="str">
        <f t="shared" ca="1" si="276"/>
        <v>-----</v>
      </c>
      <c r="AB343" s="804">
        <v>1</v>
      </c>
      <c r="AC343" s="811" t="str">
        <f t="shared" ca="1" si="277"/>
        <v>-----</v>
      </c>
      <c r="AD343" s="798">
        <v>42930</v>
      </c>
      <c r="AE343" s="794" t="str">
        <f t="shared" ca="1" si="278"/>
        <v>-</v>
      </c>
      <c r="AF343" s="798" t="str">
        <f t="shared" si="279"/>
        <v>-</v>
      </c>
      <c r="AG343" s="812" t="str">
        <f t="shared" si="280"/>
        <v>---------</v>
      </c>
      <c r="AH343" s="807">
        <v>42890</v>
      </c>
      <c r="AI343" s="807">
        <f t="shared" si="281"/>
        <v>43045</v>
      </c>
      <c r="AJ343" s="807">
        <f t="shared" si="282"/>
        <v>43075</v>
      </c>
      <c r="AK343" s="813"/>
      <c r="AL343" s="807">
        <f t="shared" si="283"/>
        <v>43114</v>
      </c>
      <c r="AM343" s="807">
        <f t="shared" si="284"/>
        <v>43135</v>
      </c>
      <c r="AN343" s="814">
        <f t="shared" ca="1" si="285"/>
        <v>-1</v>
      </c>
      <c r="AO343" s="815">
        <v>1</v>
      </c>
      <c r="AP343" s="816" t="str">
        <f t="shared" ca="1" si="286"/>
        <v>-</v>
      </c>
      <c r="AQ343" s="817"/>
      <c r="AR343" s="794" t="str">
        <f t="shared" si="287"/>
        <v>-</v>
      </c>
      <c r="AS343" s="818"/>
      <c r="AT343" s="794" t="str">
        <f t="shared" si="288"/>
        <v>-</v>
      </c>
      <c r="AU343" s="819"/>
      <c r="AV343" s="820"/>
      <c r="AW343" s="821"/>
      <c r="AX343" s="821"/>
      <c r="AY343" s="969" t="str">
        <f t="shared" si="289"/>
        <v>-</v>
      </c>
      <c r="AZ343" s="966" t="str">
        <f t="shared" si="290"/>
        <v>-</v>
      </c>
      <c r="BA343" s="971" t="str">
        <f t="shared" si="291"/>
        <v>-</v>
      </c>
      <c r="BB343" s="975"/>
      <c r="BC343" s="821"/>
      <c r="BD343" s="821"/>
      <c r="BE343" s="963" t="str">
        <f t="shared" si="292"/>
        <v>-</v>
      </c>
      <c r="BF343" s="984"/>
      <c r="BG343" s="988"/>
      <c r="BH343" s="982"/>
      <c r="BI343" s="991"/>
      <c r="BJ343" s="991"/>
      <c r="BK343" s="993" t="str">
        <f t="shared" si="293"/>
        <v>-</v>
      </c>
      <c r="BL343" s="820">
        <v>42981</v>
      </c>
      <c r="BM343" s="821">
        <v>5</v>
      </c>
      <c r="BN343" s="822">
        <f t="shared" ca="1" si="294"/>
        <v>153</v>
      </c>
      <c r="BO343" s="823">
        <f t="shared" si="295"/>
        <v>39.866666666666667</v>
      </c>
      <c r="BP343" s="824">
        <v>43001</v>
      </c>
      <c r="BQ343" s="821">
        <v>2</v>
      </c>
      <c r="BR343" s="822">
        <f t="shared" ca="1" si="296"/>
        <v>133</v>
      </c>
      <c r="BS343" s="823">
        <f t="shared" si="297"/>
        <v>14.566666666666666</v>
      </c>
      <c r="BT343" s="825" t="str">
        <f t="shared" ca="1" si="298"/>
        <v>-</v>
      </c>
      <c r="BU343" s="826"/>
      <c r="BV343" s="827"/>
      <c r="BW343" s="828" t="str">
        <f t="shared" si="299"/>
        <v>Ж-Е НЕ ВАКЦ.</v>
      </c>
      <c r="BX343" s="829" t="str">
        <f t="shared" si="300"/>
        <v>-</v>
      </c>
      <c r="BY343" s="830" t="str">
        <f t="shared" ca="1" si="301"/>
        <v>-</v>
      </c>
      <c r="BZ343" s="831">
        <v>42887</v>
      </c>
      <c r="CA343" s="832">
        <v>5</v>
      </c>
      <c r="CB343" s="833">
        <f t="shared" ca="1" si="302"/>
        <v>247</v>
      </c>
      <c r="CC343" s="834" t="str">
        <f t="shared" ca="1" si="303"/>
        <v>-</v>
      </c>
      <c r="CD343" s="835">
        <f t="shared" si="304"/>
        <v>42908</v>
      </c>
      <c r="CE343" s="831">
        <v>42908</v>
      </c>
      <c r="CF343" s="832">
        <v>5</v>
      </c>
      <c r="CG343" s="833">
        <f t="shared" ca="1" si="305"/>
        <v>226</v>
      </c>
      <c r="CH343" s="836">
        <f t="shared" si="306"/>
        <v>0</v>
      </c>
      <c r="CI343" s="837" t="str">
        <f t="shared" si="307"/>
        <v>УСПЕШНО</v>
      </c>
      <c r="CJ343" s="838" t="str">
        <f t="shared" ca="1" si="308"/>
        <v>-</v>
      </c>
      <c r="CK343" s="831"/>
      <c r="CL343" s="832"/>
      <c r="CM343" s="833" t="str">
        <f t="shared" si="309"/>
        <v>-</v>
      </c>
      <c r="CN343" s="834" t="str">
        <f t="shared" si="310"/>
        <v>-</v>
      </c>
      <c r="CO343" s="830" t="str">
        <f t="shared" ca="1" si="311"/>
        <v>ТРЕБУЕТСЯ ВАКЦИНАЦИЯ</v>
      </c>
      <c r="CP343" s="839"/>
      <c r="CQ343" s="832"/>
      <c r="CR343" s="833" t="str">
        <f t="shared" si="312"/>
        <v>-</v>
      </c>
      <c r="CS343" s="833" t="str">
        <f t="shared" si="313"/>
        <v>-</v>
      </c>
      <c r="CT343" s="834" t="str">
        <f t="shared" si="314"/>
        <v>-</v>
      </c>
      <c r="CU343" s="835" t="str">
        <f t="shared" si="315"/>
        <v>-</v>
      </c>
      <c r="CV343" s="839"/>
      <c r="CW343" s="832"/>
      <c r="CX343" s="833" t="str">
        <f t="shared" si="316"/>
        <v>-</v>
      </c>
      <c r="CY343" s="840" t="str">
        <f t="shared" si="317"/>
        <v>-</v>
      </c>
      <c r="CZ343" s="833" t="str">
        <f t="shared" si="318"/>
        <v>-</v>
      </c>
      <c r="DA343" s="838" t="str">
        <f t="shared" ca="1" si="319"/>
        <v>-</v>
      </c>
      <c r="DB343" s="841"/>
      <c r="DC343" s="832"/>
    </row>
    <row r="344" spans="1:107" s="842" customFormat="1" ht="15.95" customHeight="1" x14ac:dyDescent="0.25">
      <c r="A344" s="790">
        <v>345</v>
      </c>
      <c r="B344" s="791">
        <f t="shared" ca="1" si="268"/>
        <v>43134</v>
      </c>
      <c r="C344" s="792" t="s">
        <v>613</v>
      </c>
      <c r="D344" s="793" t="s">
        <v>3204</v>
      </c>
      <c r="E344" s="794" t="s">
        <v>1316</v>
      </c>
      <c r="F344" s="795" t="s">
        <v>1198</v>
      </c>
      <c r="G344" s="796">
        <f>SUMIFS(МОЛОКО!L8:L6958,МОЛОКО!F8:F6958,"2261",МОЛОКО!L8:L6958,"&gt;0")</f>
        <v>10.8</v>
      </c>
      <c r="H344" s="797" t="s">
        <v>603</v>
      </c>
      <c r="I344" s="798">
        <v>41801</v>
      </c>
      <c r="J344" s="799">
        <f t="shared" ca="1" si="269"/>
        <v>3.6520547945205482</v>
      </c>
      <c r="K344" s="799">
        <f t="shared" ca="1" si="270"/>
        <v>44.43333333333333</v>
      </c>
      <c r="L344" s="800">
        <f t="shared" ca="1" si="271"/>
        <v>1333</v>
      </c>
      <c r="M344" s="801">
        <v>42521</v>
      </c>
      <c r="N344" s="802">
        <v>42857</v>
      </c>
      <c r="O344" s="803">
        <f t="shared" ca="1" si="272"/>
        <v>277</v>
      </c>
      <c r="P344" s="804">
        <v>2</v>
      </c>
      <c r="Q344" s="805" t="s">
        <v>1451</v>
      </c>
      <c r="R344" s="806" t="s">
        <v>2269</v>
      </c>
      <c r="S344" s="807">
        <v>42922</v>
      </c>
      <c r="T344" s="798">
        <v>42922</v>
      </c>
      <c r="U344" s="798" t="str">
        <f t="shared" si="273"/>
        <v>-</v>
      </c>
      <c r="V344" s="804" t="str">
        <f t="shared" ca="1" si="274"/>
        <v>-</v>
      </c>
      <c r="W344" s="808">
        <v>1</v>
      </c>
      <c r="X344" s="794">
        <f t="shared" si="267"/>
        <v>65</v>
      </c>
      <c r="Y344" s="794">
        <v>1</v>
      </c>
      <c r="Z344" s="809" t="str">
        <f t="shared" ca="1" si="275"/>
        <v>-----</v>
      </c>
      <c r="AA344" s="810" t="str">
        <f t="shared" ca="1" si="276"/>
        <v>-----</v>
      </c>
      <c r="AB344" s="804">
        <v>1</v>
      </c>
      <c r="AC344" s="811" t="str">
        <f t="shared" ca="1" si="277"/>
        <v>-----</v>
      </c>
      <c r="AD344" s="798">
        <v>43043</v>
      </c>
      <c r="AE344" s="794" t="str">
        <f t="shared" ca="1" si="278"/>
        <v>-</v>
      </c>
      <c r="AF344" s="798" t="str">
        <f t="shared" si="279"/>
        <v>-</v>
      </c>
      <c r="AG344" s="812" t="str">
        <f t="shared" si="280"/>
        <v>---------</v>
      </c>
      <c r="AH344" s="807">
        <v>42954</v>
      </c>
      <c r="AI344" s="807">
        <f t="shared" si="281"/>
        <v>43112</v>
      </c>
      <c r="AJ344" s="807">
        <f t="shared" si="282"/>
        <v>43142</v>
      </c>
      <c r="AK344" s="813"/>
      <c r="AL344" s="807">
        <f t="shared" si="283"/>
        <v>43181</v>
      </c>
      <c r="AM344" s="807">
        <f t="shared" si="284"/>
        <v>43202</v>
      </c>
      <c r="AN344" s="814">
        <f t="shared" ca="1" si="285"/>
        <v>-68</v>
      </c>
      <c r="AO344" s="815">
        <v>1</v>
      </c>
      <c r="AP344" s="816" t="str">
        <f t="shared" ca="1" si="286"/>
        <v>-</v>
      </c>
      <c r="AQ344" s="817"/>
      <c r="AR344" s="794" t="str">
        <f t="shared" si="287"/>
        <v>-</v>
      </c>
      <c r="AS344" s="818"/>
      <c r="AT344" s="794" t="str">
        <f t="shared" si="288"/>
        <v>-</v>
      </c>
      <c r="AU344" s="819"/>
      <c r="AV344" s="820"/>
      <c r="AW344" s="821"/>
      <c r="AX344" s="821"/>
      <c r="AY344" s="969" t="str">
        <f t="shared" si="289"/>
        <v>-</v>
      </c>
      <c r="AZ344" s="966" t="str">
        <f t="shared" si="290"/>
        <v>-</v>
      </c>
      <c r="BA344" s="971" t="str">
        <f t="shared" si="291"/>
        <v>-</v>
      </c>
      <c r="BB344" s="975"/>
      <c r="BC344" s="821"/>
      <c r="BD344" s="821"/>
      <c r="BE344" s="963" t="str">
        <f t="shared" si="292"/>
        <v>-</v>
      </c>
      <c r="BF344" s="984"/>
      <c r="BG344" s="988"/>
      <c r="BH344" s="982"/>
      <c r="BI344" s="991"/>
      <c r="BJ344" s="991"/>
      <c r="BK344" s="993" t="str">
        <f t="shared" si="293"/>
        <v>-</v>
      </c>
      <c r="BL344" s="820">
        <v>42980</v>
      </c>
      <c r="BM344" s="821">
        <v>5</v>
      </c>
      <c r="BN344" s="822">
        <f t="shared" ca="1" si="294"/>
        <v>154</v>
      </c>
      <c r="BO344" s="823">
        <f t="shared" si="295"/>
        <v>39.299999999999997</v>
      </c>
      <c r="BP344" s="824">
        <v>43001</v>
      </c>
      <c r="BQ344" s="821">
        <v>2</v>
      </c>
      <c r="BR344" s="822">
        <f t="shared" ca="1" si="296"/>
        <v>133</v>
      </c>
      <c r="BS344" s="823">
        <f t="shared" si="297"/>
        <v>16</v>
      </c>
      <c r="BT344" s="825" t="str">
        <f t="shared" ca="1" si="298"/>
        <v>-</v>
      </c>
      <c r="BU344" s="826"/>
      <c r="BV344" s="827"/>
      <c r="BW344" s="828" t="str">
        <f t="shared" si="299"/>
        <v>Ж-Е НЕ ВАКЦ.</v>
      </c>
      <c r="BX344" s="829" t="str">
        <f t="shared" si="300"/>
        <v>-</v>
      </c>
      <c r="BY344" s="830" t="str">
        <f t="shared" ca="1" si="301"/>
        <v>-</v>
      </c>
      <c r="BZ344" s="831">
        <v>42887</v>
      </c>
      <c r="CA344" s="832">
        <v>5</v>
      </c>
      <c r="CB344" s="833">
        <f t="shared" ca="1" si="302"/>
        <v>247</v>
      </c>
      <c r="CC344" s="834" t="str">
        <f t="shared" ca="1" si="303"/>
        <v>-</v>
      </c>
      <c r="CD344" s="835">
        <f t="shared" si="304"/>
        <v>42908</v>
      </c>
      <c r="CE344" s="831">
        <v>42908</v>
      </c>
      <c r="CF344" s="832">
        <v>5</v>
      </c>
      <c r="CG344" s="833">
        <f t="shared" ca="1" si="305"/>
        <v>226</v>
      </c>
      <c r="CH344" s="836">
        <f t="shared" si="306"/>
        <v>0</v>
      </c>
      <c r="CI344" s="837" t="str">
        <f t="shared" si="307"/>
        <v>УСПЕШНО</v>
      </c>
      <c r="CJ344" s="838" t="str">
        <f t="shared" ca="1" si="308"/>
        <v>-</v>
      </c>
      <c r="CK344" s="831"/>
      <c r="CL344" s="832"/>
      <c r="CM344" s="833" t="str">
        <f t="shared" si="309"/>
        <v>-</v>
      </c>
      <c r="CN344" s="834" t="str">
        <f t="shared" si="310"/>
        <v>-</v>
      </c>
      <c r="CO344" s="830" t="str">
        <f t="shared" ca="1" si="311"/>
        <v>ТРЕБУЕТСЯ ВАКЦИНАЦИЯ</v>
      </c>
      <c r="CP344" s="839"/>
      <c r="CQ344" s="832"/>
      <c r="CR344" s="833" t="str">
        <f t="shared" si="312"/>
        <v>-</v>
      </c>
      <c r="CS344" s="833" t="str">
        <f t="shared" si="313"/>
        <v>-</v>
      </c>
      <c r="CT344" s="834" t="str">
        <f t="shared" si="314"/>
        <v>-</v>
      </c>
      <c r="CU344" s="835" t="str">
        <f t="shared" si="315"/>
        <v>-</v>
      </c>
      <c r="CV344" s="839"/>
      <c r="CW344" s="832"/>
      <c r="CX344" s="833" t="str">
        <f t="shared" si="316"/>
        <v>-</v>
      </c>
      <c r="CY344" s="840" t="str">
        <f t="shared" si="317"/>
        <v>-</v>
      </c>
      <c r="CZ344" s="833" t="str">
        <f t="shared" si="318"/>
        <v>-</v>
      </c>
      <c r="DA344" s="838" t="str">
        <f t="shared" ca="1" si="319"/>
        <v>-</v>
      </c>
      <c r="DB344" s="841"/>
      <c r="DC344" s="832"/>
    </row>
    <row r="345" spans="1:107" s="842" customFormat="1" ht="15.95" customHeight="1" x14ac:dyDescent="0.25">
      <c r="A345" s="790">
        <v>346</v>
      </c>
      <c r="B345" s="791">
        <f t="shared" ca="1" si="268"/>
        <v>43134</v>
      </c>
      <c r="C345" s="792" t="s">
        <v>613</v>
      </c>
      <c r="D345" s="793" t="s">
        <v>3204</v>
      </c>
      <c r="E345" s="794" t="s">
        <v>1384</v>
      </c>
      <c r="F345" s="795" t="s">
        <v>1375</v>
      </c>
      <c r="G345" s="796">
        <f>SUMIFS(МОЛОКО!L8:L6958,МОЛОКО!F8:F6958,"2283",МОЛОКО!L8:L6958,"&gt;0")</f>
        <v>10</v>
      </c>
      <c r="H345" s="797" t="s">
        <v>603</v>
      </c>
      <c r="I345" s="798">
        <v>41831</v>
      </c>
      <c r="J345" s="799">
        <f t="shared" ca="1" si="269"/>
        <v>3.56986301369863</v>
      </c>
      <c r="K345" s="799">
        <f t="shared" ca="1" si="270"/>
        <v>43.43333333333333</v>
      </c>
      <c r="L345" s="800">
        <f t="shared" ca="1" si="271"/>
        <v>1303</v>
      </c>
      <c r="M345" s="801">
        <v>42695</v>
      </c>
      <c r="N345" s="802">
        <v>42695</v>
      </c>
      <c r="O345" s="803">
        <f t="shared" ca="1" si="272"/>
        <v>439</v>
      </c>
      <c r="P345" s="804">
        <v>1</v>
      </c>
      <c r="Q345" s="805" t="s">
        <v>2366</v>
      </c>
      <c r="R345" s="806" t="s">
        <v>2966</v>
      </c>
      <c r="S345" s="807">
        <v>42776</v>
      </c>
      <c r="T345" s="798">
        <v>42939</v>
      </c>
      <c r="U345" s="798" t="str">
        <f t="shared" si="273"/>
        <v>-</v>
      </c>
      <c r="V345" s="804" t="str">
        <f t="shared" ca="1" si="274"/>
        <v>-</v>
      </c>
      <c r="W345" s="808">
        <v>4</v>
      </c>
      <c r="X345" s="794">
        <f t="shared" si="267"/>
        <v>244</v>
      </c>
      <c r="Y345" s="794">
        <v>1</v>
      </c>
      <c r="Z345" s="809" t="str">
        <f t="shared" ca="1" si="275"/>
        <v>-----</v>
      </c>
      <c r="AA345" s="810" t="str">
        <f t="shared" ca="1" si="276"/>
        <v>-----</v>
      </c>
      <c r="AB345" s="804">
        <v>1</v>
      </c>
      <c r="AC345" s="811" t="str">
        <f t="shared" ca="1" si="277"/>
        <v>-----</v>
      </c>
      <c r="AD345" s="798">
        <v>43014</v>
      </c>
      <c r="AE345" s="794" t="str">
        <f t="shared" ca="1" si="278"/>
        <v>-</v>
      </c>
      <c r="AF345" s="798" t="str">
        <f t="shared" si="279"/>
        <v>-</v>
      </c>
      <c r="AG345" s="812" t="str">
        <f t="shared" si="280"/>
        <v>---------</v>
      </c>
      <c r="AH345" s="807">
        <v>42968</v>
      </c>
      <c r="AI345" s="807">
        <f t="shared" si="281"/>
        <v>43129</v>
      </c>
      <c r="AJ345" s="807">
        <f t="shared" si="282"/>
        <v>43159</v>
      </c>
      <c r="AK345" s="813"/>
      <c r="AL345" s="807">
        <f t="shared" si="283"/>
        <v>43198</v>
      </c>
      <c r="AM345" s="807">
        <f t="shared" si="284"/>
        <v>43219</v>
      </c>
      <c r="AN345" s="814">
        <f t="shared" ca="1" si="285"/>
        <v>-85</v>
      </c>
      <c r="AO345" s="815">
        <v>1</v>
      </c>
      <c r="AP345" s="816" t="str">
        <f t="shared" ca="1" si="286"/>
        <v>-</v>
      </c>
      <c r="AQ345" s="817"/>
      <c r="AR345" s="794" t="str">
        <f t="shared" si="287"/>
        <v>-</v>
      </c>
      <c r="AS345" s="818"/>
      <c r="AT345" s="794" t="str">
        <f t="shared" si="288"/>
        <v>-</v>
      </c>
      <c r="AU345" s="819"/>
      <c r="AV345" s="820"/>
      <c r="AW345" s="821"/>
      <c r="AX345" s="821"/>
      <c r="AY345" s="969" t="str">
        <f t="shared" si="289"/>
        <v>-</v>
      </c>
      <c r="AZ345" s="966" t="str">
        <f t="shared" si="290"/>
        <v>-</v>
      </c>
      <c r="BA345" s="971" t="str">
        <f t="shared" si="291"/>
        <v>-</v>
      </c>
      <c r="BB345" s="975"/>
      <c r="BC345" s="821"/>
      <c r="BD345" s="821"/>
      <c r="BE345" s="963" t="str">
        <f t="shared" si="292"/>
        <v>-</v>
      </c>
      <c r="BF345" s="984"/>
      <c r="BG345" s="988"/>
      <c r="BH345" s="982"/>
      <c r="BI345" s="991"/>
      <c r="BJ345" s="991"/>
      <c r="BK345" s="993" t="str">
        <f t="shared" si="293"/>
        <v>-</v>
      </c>
      <c r="BL345" s="820">
        <v>42981</v>
      </c>
      <c r="BM345" s="821">
        <v>5</v>
      </c>
      <c r="BN345" s="822">
        <f t="shared" ca="1" si="294"/>
        <v>153</v>
      </c>
      <c r="BO345" s="823">
        <f t="shared" si="295"/>
        <v>38.333333333333336</v>
      </c>
      <c r="BP345" s="824">
        <v>43001</v>
      </c>
      <c r="BQ345" s="821">
        <v>2</v>
      </c>
      <c r="BR345" s="822">
        <f t="shared" ca="1" si="296"/>
        <v>133</v>
      </c>
      <c r="BS345" s="823">
        <f t="shared" si="297"/>
        <v>10.199999999999999</v>
      </c>
      <c r="BT345" s="825" t="str">
        <f t="shared" ca="1" si="298"/>
        <v>-</v>
      </c>
      <c r="BU345" s="826"/>
      <c r="BV345" s="827"/>
      <c r="BW345" s="828" t="str">
        <f t="shared" si="299"/>
        <v>Ж-Е НЕ ВАКЦ.</v>
      </c>
      <c r="BX345" s="829" t="str">
        <f t="shared" si="300"/>
        <v>-</v>
      </c>
      <c r="BY345" s="830" t="str">
        <f t="shared" ca="1" si="301"/>
        <v>-</v>
      </c>
      <c r="BZ345" s="831">
        <v>42887</v>
      </c>
      <c r="CA345" s="832">
        <v>5</v>
      </c>
      <c r="CB345" s="833">
        <f t="shared" ca="1" si="302"/>
        <v>247</v>
      </c>
      <c r="CC345" s="834" t="str">
        <f t="shared" ca="1" si="303"/>
        <v>-</v>
      </c>
      <c r="CD345" s="835">
        <f t="shared" si="304"/>
        <v>42908</v>
      </c>
      <c r="CE345" s="831">
        <v>42908</v>
      </c>
      <c r="CF345" s="832">
        <v>5</v>
      </c>
      <c r="CG345" s="833">
        <f t="shared" ca="1" si="305"/>
        <v>226</v>
      </c>
      <c r="CH345" s="836">
        <f t="shared" si="306"/>
        <v>0</v>
      </c>
      <c r="CI345" s="837" t="str">
        <f t="shared" si="307"/>
        <v>УСПЕШНО</v>
      </c>
      <c r="CJ345" s="838" t="str">
        <f t="shared" ca="1" si="308"/>
        <v>-</v>
      </c>
      <c r="CK345" s="831"/>
      <c r="CL345" s="832"/>
      <c r="CM345" s="833" t="str">
        <f t="shared" si="309"/>
        <v>-</v>
      </c>
      <c r="CN345" s="834" t="str">
        <f t="shared" si="310"/>
        <v>-</v>
      </c>
      <c r="CO345" s="830" t="str">
        <f t="shared" ca="1" si="311"/>
        <v>-</v>
      </c>
      <c r="CP345" s="839"/>
      <c r="CQ345" s="832"/>
      <c r="CR345" s="833" t="str">
        <f t="shared" si="312"/>
        <v>-</v>
      </c>
      <c r="CS345" s="833" t="str">
        <f t="shared" si="313"/>
        <v>-</v>
      </c>
      <c r="CT345" s="834" t="str">
        <f t="shared" si="314"/>
        <v>-</v>
      </c>
      <c r="CU345" s="835" t="str">
        <f t="shared" si="315"/>
        <v>-</v>
      </c>
      <c r="CV345" s="839"/>
      <c r="CW345" s="832"/>
      <c r="CX345" s="833" t="str">
        <f t="shared" si="316"/>
        <v>-</v>
      </c>
      <c r="CY345" s="840" t="str">
        <f t="shared" si="317"/>
        <v>-</v>
      </c>
      <c r="CZ345" s="833" t="str">
        <f t="shared" si="318"/>
        <v>-</v>
      </c>
      <c r="DA345" s="838" t="str">
        <f t="shared" ca="1" si="319"/>
        <v>-</v>
      </c>
      <c r="DB345" s="841"/>
      <c r="DC345" s="832"/>
    </row>
    <row r="346" spans="1:107" s="842" customFormat="1" ht="15.95" customHeight="1" x14ac:dyDescent="0.25">
      <c r="A346" s="790">
        <v>347</v>
      </c>
      <c r="B346" s="791">
        <f t="shared" ca="1" si="268"/>
        <v>43134</v>
      </c>
      <c r="C346" s="792" t="s">
        <v>613</v>
      </c>
      <c r="D346" s="793" t="s">
        <v>3204</v>
      </c>
      <c r="E346" s="794" t="s">
        <v>1090</v>
      </c>
      <c r="F346" s="795" t="s">
        <v>1001</v>
      </c>
      <c r="G346" s="796">
        <f>SUMIFS(МОЛОКО!L8:L6958,МОЛОКО!F8:F6958,"2449",МОЛОКО!L8:L6958,"&gt;0")</f>
        <v>7.2</v>
      </c>
      <c r="H346" s="797" t="s">
        <v>603</v>
      </c>
      <c r="I346" s="798">
        <v>41990</v>
      </c>
      <c r="J346" s="799">
        <f t="shared" ca="1" si="269"/>
        <v>3.1342465753424658</v>
      </c>
      <c r="K346" s="799">
        <f t="shared" ca="1" si="270"/>
        <v>38.133333333333333</v>
      </c>
      <c r="L346" s="800">
        <f t="shared" ca="1" si="271"/>
        <v>1144</v>
      </c>
      <c r="M346" s="801">
        <v>42755</v>
      </c>
      <c r="N346" s="802">
        <v>42755</v>
      </c>
      <c r="O346" s="803">
        <f t="shared" ca="1" si="272"/>
        <v>379</v>
      </c>
      <c r="P346" s="804">
        <v>1</v>
      </c>
      <c r="Q346" s="805" t="s">
        <v>1451</v>
      </c>
      <c r="R346" s="806" t="s">
        <v>2962</v>
      </c>
      <c r="S346" s="807">
        <v>42817</v>
      </c>
      <c r="T346" s="798">
        <v>42950</v>
      </c>
      <c r="U346" s="798" t="str">
        <f t="shared" si="273"/>
        <v>-</v>
      </c>
      <c r="V346" s="804" t="str">
        <f t="shared" ca="1" si="274"/>
        <v>-</v>
      </c>
      <c r="W346" s="808">
        <v>4</v>
      </c>
      <c r="X346" s="794">
        <f t="shared" si="267"/>
        <v>195</v>
      </c>
      <c r="Y346" s="794">
        <v>1</v>
      </c>
      <c r="Z346" s="809" t="str">
        <f t="shared" ca="1" si="275"/>
        <v>-----</v>
      </c>
      <c r="AA346" s="810" t="str">
        <f t="shared" ca="1" si="276"/>
        <v>-----</v>
      </c>
      <c r="AB346" s="804">
        <v>1</v>
      </c>
      <c r="AC346" s="811" t="str">
        <f t="shared" ca="1" si="277"/>
        <v>-----</v>
      </c>
      <c r="AD346" s="798">
        <v>43030</v>
      </c>
      <c r="AE346" s="794" t="str">
        <f t="shared" ca="1" si="278"/>
        <v>-</v>
      </c>
      <c r="AF346" s="798" t="str">
        <f t="shared" si="279"/>
        <v>-</v>
      </c>
      <c r="AG346" s="812" t="str">
        <f t="shared" si="280"/>
        <v>---------</v>
      </c>
      <c r="AH346" s="807">
        <v>42982</v>
      </c>
      <c r="AI346" s="807">
        <f t="shared" si="281"/>
        <v>43140</v>
      </c>
      <c r="AJ346" s="807">
        <f t="shared" si="282"/>
        <v>43170</v>
      </c>
      <c r="AK346" s="813"/>
      <c r="AL346" s="807">
        <f t="shared" si="283"/>
        <v>43209</v>
      </c>
      <c r="AM346" s="807">
        <f t="shared" si="284"/>
        <v>43230</v>
      </c>
      <c r="AN346" s="814">
        <f t="shared" ca="1" si="285"/>
        <v>-96</v>
      </c>
      <c r="AO346" s="815">
        <v>1</v>
      </c>
      <c r="AP346" s="816" t="str">
        <f t="shared" ca="1" si="286"/>
        <v>-</v>
      </c>
      <c r="AQ346" s="817"/>
      <c r="AR346" s="794" t="str">
        <f t="shared" si="287"/>
        <v>-</v>
      </c>
      <c r="AS346" s="818"/>
      <c r="AT346" s="794" t="str">
        <f t="shared" si="288"/>
        <v>-</v>
      </c>
      <c r="AU346" s="819"/>
      <c r="AV346" s="820"/>
      <c r="AW346" s="821"/>
      <c r="AX346" s="821"/>
      <c r="AY346" s="969" t="str">
        <f t="shared" si="289"/>
        <v>-</v>
      </c>
      <c r="AZ346" s="966" t="str">
        <f t="shared" si="290"/>
        <v>-</v>
      </c>
      <c r="BA346" s="971" t="str">
        <f t="shared" si="291"/>
        <v>-</v>
      </c>
      <c r="BB346" s="975"/>
      <c r="BC346" s="821"/>
      <c r="BD346" s="821"/>
      <c r="BE346" s="963" t="str">
        <f t="shared" si="292"/>
        <v>-</v>
      </c>
      <c r="BF346" s="984"/>
      <c r="BG346" s="988"/>
      <c r="BH346" s="982"/>
      <c r="BI346" s="991"/>
      <c r="BJ346" s="991"/>
      <c r="BK346" s="993" t="str">
        <f t="shared" si="293"/>
        <v>-</v>
      </c>
      <c r="BL346" s="820">
        <v>42981</v>
      </c>
      <c r="BM346" s="821">
        <v>5</v>
      </c>
      <c r="BN346" s="822">
        <f t="shared" ca="1" si="294"/>
        <v>153</v>
      </c>
      <c r="BO346" s="823">
        <f t="shared" si="295"/>
        <v>33.033333333333331</v>
      </c>
      <c r="BP346" s="824">
        <v>43001</v>
      </c>
      <c r="BQ346" s="821">
        <v>2</v>
      </c>
      <c r="BR346" s="822">
        <f t="shared" ca="1" si="296"/>
        <v>133</v>
      </c>
      <c r="BS346" s="823">
        <f t="shared" si="297"/>
        <v>8.1999999999999993</v>
      </c>
      <c r="BT346" s="825" t="str">
        <f t="shared" ca="1" si="298"/>
        <v>-</v>
      </c>
      <c r="BU346" s="826"/>
      <c r="BV346" s="827"/>
      <c r="BW346" s="828" t="str">
        <f t="shared" si="299"/>
        <v>Ж-Е НЕ ВАКЦ.</v>
      </c>
      <c r="BX346" s="829" t="str">
        <f t="shared" si="300"/>
        <v>-</v>
      </c>
      <c r="BY346" s="830" t="str">
        <f t="shared" ca="1" si="301"/>
        <v>-</v>
      </c>
      <c r="BZ346" s="831">
        <v>42887</v>
      </c>
      <c r="CA346" s="832">
        <v>5</v>
      </c>
      <c r="CB346" s="833">
        <f t="shared" ca="1" si="302"/>
        <v>247</v>
      </c>
      <c r="CC346" s="834" t="str">
        <f t="shared" ca="1" si="303"/>
        <v>-</v>
      </c>
      <c r="CD346" s="835">
        <f t="shared" si="304"/>
        <v>42908</v>
      </c>
      <c r="CE346" s="831">
        <v>42908</v>
      </c>
      <c r="CF346" s="832">
        <v>5</v>
      </c>
      <c r="CG346" s="833">
        <f t="shared" ca="1" si="305"/>
        <v>226</v>
      </c>
      <c r="CH346" s="836">
        <f t="shared" si="306"/>
        <v>0</v>
      </c>
      <c r="CI346" s="837" t="str">
        <f t="shared" si="307"/>
        <v>УСПЕШНО</v>
      </c>
      <c r="CJ346" s="838" t="str">
        <f t="shared" ca="1" si="308"/>
        <v>-</v>
      </c>
      <c r="CK346" s="831"/>
      <c r="CL346" s="832"/>
      <c r="CM346" s="833" t="str">
        <f t="shared" si="309"/>
        <v>-</v>
      </c>
      <c r="CN346" s="834" t="str">
        <f t="shared" si="310"/>
        <v>-</v>
      </c>
      <c r="CO346" s="830" t="str">
        <f t="shared" ca="1" si="311"/>
        <v>-</v>
      </c>
      <c r="CP346" s="839"/>
      <c r="CQ346" s="832"/>
      <c r="CR346" s="833" t="str">
        <f t="shared" si="312"/>
        <v>-</v>
      </c>
      <c r="CS346" s="833" t="str">
        <f t="shared" si="313"/>
        <v>-</v>
      </c>
      <c r="CT346" s="834" t="str">
        <f t="shared" si="314"/>
        <v>-</v>
      </c>
      <c r="CU346" s="835" t="str">
        <f t="shared" si="315"/>
        <v>-</v>
      </c>
      <c r="CV346" s="839"/>
      <c r="CW346" s="832"/>
      <c r="CX346" s="833" t="str">
        <f t="shared" si="316"/>
        <v>-</v>
      </c>
      <c r="CY346" s="840" t="str">
        <f t="shared" si="317"/>
        <v>-</v>
      </c>
      <c r="CZ346" s="833" t="str">
        <f t="shared" si="318"/>
        <v>-</v>
      </c>
      <c r="DA346" s="838" t="str">
        <f t="shared" ca="1" si="319"/>
        <v>-</v>
      </c>
      <c r="DB346" s="841"/>
      <c r="DC346" s="832"/>
    </row>
    <row r="347" spans="1:107" s="842" customFormat="1" ht="15.95" customHeight="1" x14ac:dyDescent="0.25">
      <c r="A347" s="790">
        <v>348</v>
      </c>
      <c r="B347" s="791">
        <f t="shared" ca="1" si="268"/>
        <v>43134</v>
      </c>
      <c r="C347" s="792" t="s">
        <v>613</v>
      </c>
      <c r="D347" s="793" t="s">
        <v>3204</v>
      </c>
      <c r="E347" s="794" t="s">
        <v>1114</v>
      </c>
      <c r="F347" s="795" t="s">
        <v>1023</v>
      </c>
      <c r="G347" s="796">
        <f>SUMIFS(МОЛОКО!L8:L6958,МОЛОКО!F8:F6958,"2518",МОЛОКО!L8:L6958,"&gt;0")</f>
        <v>13.2</v>
      </c>
      <c r="H347" s="797" t="s">
        <v>603</v>
      </c>
      <c r="I347" s="798">
        <v>42037</v>
      </c>
      <c r="J347" s="799">
        <f t="shared" ca="1" si="269"/>
        <v>3.0054794520547947</v>
      </c>
      <c r="K347" s="799">
        <f t="shared" ca="1" si="270"/>
        <v>36.56666666666667</v>
      </c>
      <c r="L347" s="800">
        <f t="shared" ca="1" si="271"/>
        <v>1097</v>
      </c>
      <c r="M347" s="801">
        <v>42763</v>
      </c>
      <c r="N347" s="802">
        <v>42763</v>
      </c>
      <c r="O347" s="803">
        <f t="shared" ca="1" si="272"/>
        <v>371</v>
      </c>
      <c r="P347" s="804">
        <v>1</v>
      </c>
      <c r="Q347" s="805" t="s">
        <v>1451</v>
      </c>
      <c r="R347" s="806" t="s">
        <v>2962</v>
      </c>
      <c r="S347" s="807">
        <v>42824</v>
      </c>
      <c r="T347" s="798">
        <v>42956</v>
      </c>
      <c r="U347" s="798" t="str">
        <f t="shared" si="273"/>
        <v>-</v>
      </c>
      <c r="V347" s="804" t="str">
        <f t="shared" ca="1" si="274"/>
        <v>-</v>
      </c>
      <c r="W347" s="808">
        <v>5</v>
      </c>
      <c r="X347" s="794">
        <f t="shared" si="267"/>
        <v>193</v>
      </c>
      <c r="Y347" s="794">
        <v>1</v>
      </c>
      <c r="Z347" s="809" t="str">
        <f t="shared" ca="1" si="275"/>
        <v>-----</v>
      </c>
      <c r="AA347" s="810" t="str">
        <f t="shared" ca="1" si="276"/>
        <v>-----</v>
      </c>
      <c r="AB347" s="804">
        <v>1</v>
      </c>
      <c r="AC347" s="811" t="str">
        <f t="shared" ca="1" si="277"/>
        <v>-----</v>
      </c>
      <c r="AD347" s="798">
        <v>43042</v>
      </c>
      <c r="AE347" s="794" t="str">
        <f t="shared" ca="1" si="278"/>
        <v>-</v>
      </c>
      <c r="AF347" s="798" t="str">
        <f t="shared" si="279"/>
        <v>-</v>
      </c>
      <c r="AG347" s="812" t="str">
        <f t="shared" si="280"/>
        <v>---------</v>
      </c>
      <c r="AH347" s="807">
        <v>42989</v>
      </c>
      <c r="AI347" s="807">
        <f t="shared" si="281"/>
        <v>43146</v>
      </c>
      <c r="AJ347" s="807">
        <f t="shared" si="282"/>
        <v>43176</v>
      </c>
      <c r="AK347" s="813"/>
      <c r="AL347" s="807">
        <f t="shared" si="283"/>
        <v>43215</v>
      </c>
      <c r="AM347" s="807">
        <f t="shared" si="284"/>
        <v>43236</v>
      </c>
      <c r="AN347" s="814">
        <f t="shared" ca="1" si="285"/>
        <v>-102</v>
      </c>
      <c r="AO347" s="815">
        <v>1</v>
      </c>
      <c r="AP347" s="816" t="str">
        <f t="shared" ca="1" si="286"/>
        <v>-</v>
      </c>
      <c r="AQ347" s="817"/>
      <c r="AR347" s="794" t="str">
        <f t="shared" si="287"/>
        <v>-</v>
      </c>
      <c r="AS347" s="818"/>
      <c r="AT347" s="794" t="str">
        <f t="shared" si="288"/>
        <v>-</v>
      </c>
      <c r="AU347" s="819"/>
      <c r="AV347" s="820"/>
      <c r="AW347" s="821"/>
      <c r="AX347" s="821"/>
      <c r="AY347" s="969" t="str">
        <f t="shared" si="289"/>
        <v>-</v>
      </c>
      <c r="AZ347" s="966" t="str">
        <f t="shared" si="290"/>
        <v>-</v>
      </c>
      <c r="BA347" s="971" t="str">
        <f t="shared" si="291"/>
        <v>-</v>
      </c>
      <c r="BB347" s="975"/>
      <c r="BC347" s="821"/>
      <c r="BD347" s="821"/>
      <c r="BE347" s="963" t="str">
        <f t="shared" si="292"/>
        <v>-</v>
      </c>
      <c r="BF347" s="984"/>
      <c r="BG347" s="988"/>
      <c r="BH347" s="982"/>
      <c r="BI347" s="991"/>
      <c r="BJ347" s="991"/>
      <c r="BK347" s="993" t="str">
        <f t="shared" si="293"/>
        <v>-</v>
      </c>
      <c r="BL347" s="820">
        <v>42981</v>
      </c>
      <c r="BM347" s="821">
        <v>5</v>
      </c>
      <c r="BN347" s="822">
        <f t="shared" ca="1" si="294"/>
        <v>153</v>
      </c>
      <c r="BO347" s="823">
        <f t="shared" si="295"/>
        <v>31.466666666666665</v>
      </c>
      <c r="BP347" s="824">
        <v>43001</v>
      </c>
      <c r="BQ347" s="821">
        <v>2</v>
      </c>
      <c r="BR347" s="822">
        <f t="shared" ca="1" si="296"/>
        <v>133</v>
      </c>
      <c r="BS347" s="823">
        <f t="shared" si="297"/>
        <v>7.9333333333333336</v>
      </c>
      <c r="BT347" s="825" t="str">
        <f t="shared" ca="1" si="298"/>
        <v>-</v>
      </c>
      <c r="BU347" s="826"/>
      <c r="BV347" s="827"/>
      <c r="BW347" s="828" t="str">
        <f t="shared" si="299"/>
        <v>Ж-Е НЕ ВАКЦ.</v>
      </c>
      <c r="BX347" s="829" t="str">
        <f t="shared" si="300"/>
        <v>-</v>
      </c>
      <c r="BY347" s="830" t="str">
        <f t="shared" ca="1" si="301"/>
        <v>-</v>
      </c>
      <c r="BZ347" s="831">
        <v>42887</v>
      </c>
      <c r="CA347" s="832">
        <v>5</v>
      </c>
      <c r="CB347" s="833">
        <f t="shared" ca="1" si="302"/>
        <v>247</v>
      </c>
      <c r="CC347" s="834" t="str">
        <f t="shared" ca="1" si="303"/>
        <v>-</v>
      </c>
      <c r="CD347" s="835">
        <f t="shared" si="304"/>
        <v>42908</v>
      </c>
      <c r="CE347" s="831">
        <v>42908</v>
      </c>
      <c r="CF347" s="832">
        <v>5</v>
      </c>
      <c r="CG347" s="833">
        <f t="shared" ca="1" si="305"/>
        <v>226</v>
      </c>
      <c r="CH347" s="836">
        <f t="shared" si="306"/>
        <v>0</v>
      </c>
      <c r="CI347" s="837" t="str">
        <f t="shared" si="307"/>
        <v>УСПЕШНО</v>
      </c>
      <c r="CJ347" s="838" t="str">
        <f t="shared" ca="1" si="308"/>
        <v>-</v>
      </c>
      <c r="CK347" s="831"/>
      <c r="CL347" s="832"/>
      <c r="CM347" s="833" t="str">
        <f t="shared" si="309"/>
        <v>-</v>
      </c>
      <c r="CN347" s="834" t="str">
        <f t="shared" si="310"/>
        <v>-</v>
      </c>
      <c r="CO347" s="830" t="str">
        <f t="shared" ca="1" si="311"/>
        <v>-</v>
      </c>
      <c r="CP347" s="839"/>
      <c r="CQ347" s="832"/>
      <c r="CR347" s="833" t="str">
        <f t="shared" si="312"/>
        <v>-</v>
      </c>
      <c r="CS347" s="833" t="str">
        <f t="shared" si="313"/>
        <v>-</v>
      </c>
      <c r="CT347" s="834" t="str">
        <f t="shared" si="314"/>
        <v>-</v>
      </c>
      <c r="CU347" s="835" t="str">
        <f t="shared" si="315"/>
        <v>-</v>
      </c>
      <c r="CV347" s="839"/>
      <c r="CW347" s="832"/>
      <c r="CX347" s="833" t="str">
        <f t="shared" si="316"/>
        <v>-</v>
      </c>
      <c r="CY347" s="840" t="str">
        <f t="shared" si="317"/>
        <v>-</v>
      </c>
      <c r="CZ347" s="833" t="str">
        <f t="shared" si="318"/>
        <v>-</v>
      </c>
      <c r="DA347" s="838" t="str">
        <f t="shared" ca="1" si="319"/>
        <v>-</v>
      </c>
      <c r="DB347" s="841"/>
      <c r="DC347" s="832"/>
    </row>
    <row r="348" spans="1:107" s="842" customFormat="1" ht="15.95" customHeight="1" x14ac:dyDescent="0.25">
      <c r="A348" s="790">
        <v>349</v>
      </c>
      <c r="B348" s="791">
        <f t="shared" ca="1" si="268"/>
        <v>43134</v>
      </c>
      <c r="C348" s="792" t="s">
        <v>613</v>
      </c>
      <c r="D348" s="793" t="s">
        <v>3204</v>
      </c>
      <c r="E348" s="794" t="s">
        <v>1106</v>
      </c>
      <c r="F348" s="795" t="s">
        <v>1016</v>
      </c>
      <c r="G348" s="796">
        <f>SUMIFS(МОЛОКО!L8:L6958,МОЛОКО!F8:F6958,"2526",МОЛОКО!L8:L6958,"&gt;0")</f>
        <v>14.8</v>
      </c>
      <c r="H348" s="797" t="s">
        <v>603</v>
      </c>
      <c r="I348" s="798">
        <v>42040</v>
      </c>
      <c r="J348" s="799">
        <f t="shared" ca="1" si="269"/>
        <v>2.9972602739726026</v>
      </c>
      <c r="K348" s="799">
        <f t="shared" ca="1" si="270"/>
        <v>36.466666666666669</v>
      </c>
      <c r="L348" s="800">
        <f t="shared" ca="1" si="271"/>
        <v>1094</v>
      </c>
      <c r="M348" s="801">
        <v>42725</v>
      </c>
      <c r="N348" s="802">
        <v>42725</v>
      </c>
      <c r="O348" s="803">
        <f t="shared" ca="1" si="272"/>
        <v>409</v>
      </c>
      <c r="P348" s="804">
        <v>1</v>
      </c>
      <c r="Q348" s="805" t="s">
        <v>1451</v>
      </c>
      <c r="R348" s="806" t="s">
        <v>2269</v>
      </c>
      <c r="S348" s="807">
        <v>42782</v>
      </c>
      <c r="T348" s="798">
        <v>42957</v>
      </c>
      <c r="U348" s="798" t="str">
        <f t="shared" si="273"/>
        <v>-</v>
      </c>
      <c r="V348" s="804" t="str">
        <f t="shared" ca="1" si="274"/>
        <v>-</v>
      </c>
      <c r="W348" s="808">
        <v>6</v>
      </c>
      <c r="X348" s="794">
        <f t="shared" si="267"/>
        <v>232</v>
      </c>
      <c r="Y348" s="794">
        <v>1</v>
      </c>
      <c r="Z348" s="809" t="str">
        <f t="shared" ca="1" si="275"/>
        <v>-----</v>
      </c>
      <c r="AA348" s="810" t="str">
        <f t="shared" ca="1" si="276"/>
        <v>-----</v>
      </c>
      <c r="AB348" s="804">
        <v>1</v>
      </c>
      <c r="AC348" s="811" t="str">
        <f t="shared" ca="1" si="277"/>
        <v>-----</v>
      </c>
      <c r="AD348" s="798">
        <v>43042</v>
      </c>
      <c r="AE348" s="794" t="str">
        <f t="shared" ca="1" si="278"/>
        <v>-</v>
      </c>
      <c r="AF348" s="798" t="str">
        <f t="shared" si="279"/>
        <v>-</v>
      </c>
      <c r="AG348" s="812" t="str">
        <f t="shared" si="280"/>
        <v>---------</v>
      </c>
      <c r="AH348" s="807">
        <v>42989</v>
      </c>
      <c r="AI348" s="807">
        <f t="shared" si="281"/>
        <v>43147</v>
      </c>
      <c r="AJ348" s="807">
        <f t="shared" si="282"/>
        <v>43177</v>
      </c>
      <c r="AK348" s="813"/>
      <c r="AL348" s="807">
        <f t="shared" si="283"/>
        <v>43216</v>
      </c>
      <c r="AM348" s="807">
        <f t="shared" si="284"/>
        <v>43237</v>
      </c>
      <c r="AN348" s="814">
        <f t="shared" ca="1" si="285"/>
        <v>-103</v>
      </c>
      <c r="AO348" s="815">
        <v>1</v>
      </c>
      <c r="AP348" s="816" t="str">
        <f t="shared" ca="1" si="286"/>
        <v>-</v>
      </c>
      <c r="AQ348" s="817"/>
      <c r="AR348" s="794" t="str">
        <f t="shared" si="287"/>
        <v>-</v>
      </c>
      <c r="AS348" s="818"/>
      <c r="AT348" s="794" t="str">
        <f t="shared" si="288"/>
        <v>-</v>
      </c>
      <c r="AU348" s="819"/>
      <c r="AV348" s="820"/>
      <c r="AW348" s="821"/>
      <c r="AX348" s="821"/>
      <c r="AY348" s="969" t="str">
        <f t="shared" si="289"/>
        <v>-</v>
      </c>
      <c r="AZ348" s="966" t="str">
        <f t="shared" si="290"/>
        <v>-</v>
      </c>
      <c r="BA348" s="971" t="str">
        <f t="shared" si="291"/>
        <v>-</v>
      </c>
      <c r="BB348" s="975"/>
      <c r="BC348" s="821"/>
      <c r="BD348" s="821"/>
      <c r="BE348" s="963" t="str">
        <f t="shared" si="292"/>
        <v>-</v>
      </c>
      <c r="BF348" s="984"/>
      <c r="BG348" s="988"/>
      <c r="BH348" s="982"/>
      <c r="BI348" s="991"/>
      <c r="BJ348" s="991"/>
      <c r="BK348" s="993" t="str">
        <f t="shared" si="293"/>
        <v>-</v>
      </c>
      <c r="BL348" s="820">
        <v>42981</v>
      </c>
      <c r="BM348" s="821">
        <v>5</v>
      </c>
      <c r="BN348" s="822">
        <f t="shared" ca="1" si="294"/>
        <v>153</v>
      </c>
      <c r="BO348" s="823">
        <f t="shared" si="295"/>
        <v>31.366666666666667</v>
      </c>
      <c r="BP348" s="824">
        <v>43001</v>
      </c>
      <c r="BQ348" s="821">
        <v>2</v>
      </c>
      <c r="BR348" s="822">
        <f t="shared" ca="1" si="296"/>
        <v>133</v>
      </c>
      <c r="BS348" s="823">
        <f t="shared" si="297"/>
        <v>9.1999999999999993</v>
      </c>
      <c r="BT348" s="825" t="str">
        <f t="shared" ca="1" si="298"/>
        <v>-</v>
      </c>
      <c r="BU348" s="826"/>
      <c r="BV348" s="827"/>
      <c r="BW348" s="828" t="str">
        <f t="shared" si="299"/>
        <v>Ж-Е НЕ ВАКЦ.</v>
      </c>
      <c r="BX348" s="829" t="str">
        <f t="shared" si="300"/>
        <v>-</v>
      </c>
      <c r="BY348" s="830" t="str">
        <f t="shared" ca="1" si="301"/>
        <v>-</v>
      </c>
      <c r="BZ348" s="831">
        <v>42887</v>
      </c>
      <c r="CA348" s="832">
        <v>5</v>
      </c>
      <c r="CB348" s="833">
        <f t="shared" ca="1" si="302"/>
        <v>247</v>
      </c>
      <c r="CC348" s="834" t="str">
        <f t="shared" ca="1" si="303"/>
        <v>-</v>
      </c>
      <c r="CD348" s="835">
        <f t="shared" si="304"/>
        <v>42908</v>
      </c>
      <c r="CE348" s="831">
        <v>42908</v>
      </c>
      <c r="CF348" s="832">
        <v>5</v>
      </c>
      <c r="CG348" s="833">
        <f t="shared" ca="1" si="305"/>
        <v>226</v>
      </c>
      <c r="CH348" s="836">
        <f t="shared" si="306"/>
        <v>0</v>
      </c>
      <c r="CI348" s="837" t="str">
        <f t="shared" si="307"/>
        <v>УСПЕШНО</v>
      </c>
      <c r="CJ348" s="838" t="str">
        <f t="shared" ca="1" si="308"/>
        <v>-</v>
      </c>
      <c r="CK348" s="831"/>
      <c r="CL348" s="832"/>
      <c r="CM348" s="833" t="str">
        <f t="shared" si="309"/>
        <v>-</v>
      </c>
      <c r="CN348" s="834" t="str">
        <f t="shared" si="310"/>
        <v>-</v>
      </c>
      <c r="CO348" s="830" t="str">
        <f t="shared" ca="1" si="311"/>
        <v>-</v>
      </c>
      <c r="CP348" s="839"/>
      <c r="CQ348" s="832"/>
      <c r="CR348" s="833" t="str">
        <f t="shared" si="312"/>
        <v>-</v>
      </c>
      <c r="CS348" s="833" t="str">
        <f t="shared" si="313"/>
        <v>-</v>
      </c>
      <c r="CT348" s="834" t="str">
        <f t="shared" si="314"/>
        <v>-</v>
      </c>
      <c r="CU348" s="835" t="str">
        <f t="shared" si="315"/>
        <v>-</v>
      </c>
      <c r="CV348" s="839"/>
      <c r="CW348" s="832"/>
      <c r="CX348" s="833" t="str">
        <f t="shared" si="316"/>
        <v>-</v>
      </c>
      <c r="CY348" s="840" t="str">
        <f t="shared" si="317"/>
        <v>-</v>
      </c>
      <c r="CZ348" s="833" t="str">
        <f t="shared" si="318"/>
        <v>-</v>
      </c>
      <c r="DA348" s="838" t="str">
        <f t="shared" ca="1" si="319"/>
        <v>-</v>
      </c>
      <c r="DB348" s="841"/>
      <c r="DC348" s="832"/>
    </row>
    <row r="349" spans="1:107" s="842" customFormat="1" ht="15.95" customHeight="1" x14ac:dyDescent="0.25">
      <c r="A349" s="790">
        <v>350</v>
      </c>
      <c r="B349" s="791">
        <f t="shared" ca="1" si="268"/>
        <v>43134</v>
      </c>
      <c r="C349" s="792" t="s">
        <v>613</v>
      </c>
      <c r="D349" s="793" t="s">
        <v>3204</v>
      </c>
      <c r="E349" s="794" t="s">
        <v>1099</v>
      </c>
      <c r="F349" s="795" t="s">
        <v>1014</v>
      </c>
      <c r="G349" s="796">
        <f>SUMIFS(МОЛОКО!L8:L6958,МОЛОКО!F8:F6958,"2549",МОЛОКО!L8:L6958,"&gt;0")</f>
        <v>13.4</v>
      </c>
      <c r="H349" s="797" t="s">
        <v>603</v>
      </c>
      <c r="I349" s="798">
        <v>42066</v>
      </c>
      <c r="J349" s="799">
        <f t="shared" ca="1" si="269"/>
        <v>2.9260273972602739</v>
      </c>
      <c r="K349" s="799">
        <f t="shared" ca="1" si="270"/>
        <v>35.6</v>
      </c>
      <c r="L349" s="800">
        <f t="shared" ca="1" si="271"/>
        <v>1068</v>
      </c>
      <c r="M349" s="801">
        <v>42684</v>
      </c>
      <c r="N349" s="802">
        <v>42684</v>
      </c>
      <c r="O349" s="803">
        <f t="shared" ca="1" si="272"/>
        <v>450</v>
      </c>
      <c r="P349" s="804">
        <v>1</v>
      </c>
      <c r="Q349" s="805" t="s">
        <v>1451</v>
      </c>
      <c r="R349" s="806" t="s">
        <v>2294</v>
      </c>
      <c r="S349" s="807">
        <v>42733</v>
      </c>
      <c r="T349" s="798">
        <v>42841</v>
      </c>
      <c r="U349" s="798" t="str">
        <f t="shared" si="273"/>
        <v>-</v>
      </c>
      <c r="V349" s="804" t="str">
        <f t="shared" ca="1" si="274"/>
        <v>-</v>
      </c>
      <c r="W349" s="808">
        <v>4</v>
      </c>
      <c r="X349" s="794">
        <f t="shared" si="267"/>
        <v>157</v>
      </c>
      <c r="Y349" s="794">
        <v>1</v>
      </c>
      <c r="Z349" s="809" t="str">
        <f t="shared" ca="1" si="275"/>
        <v>-----</v>
      </c>
      <c r="AA349" s="810" t="str">
        <f t="shared" ca="1" si="276"/>
        <v>-----</v>
      </c>
      <c r="AB349" s="804">
        <v>1</v>
      </c>
      <c r="AC349" s="811" t="str">
        <f t="shared" ca="1" si="277"/>
        <v>-----</v>
      </c>
      <c r="AD349" s="798">
        <v>42930</v>
      </c>
      <c r="AE349" s="794" t="str">
        <f t="shared" ca="1" si="278"/>
        <v>-</v>
      </c>
      <c r="AF349" s="798" t="str">
        <f t="shared" si="279"/>
        <v>-</v>
      </c>
      <c r="AG349" s="812" t="str">
        <f t="shared" si="280"/>
        <v>---------</v>
      </c>
      <c r="AH349" s="807">
        <v>42876</v>
      </c>
      <c r="AI349" s="807">
        <f t="shared" si="281"/>
        <v>43031</v>
      </c>
      <c r="AJ349" s="807">
        <f t="shared" si="282"/>
        <v>43061</v>
      </c>
      <c r="AK349" s="813"/>
      <c r="AL349" s="807">
        <f t="shared" si="283"/>
        <v>43100</v>
      </c>
      <c r="AM349" s="807">
        <f t="shared" si="284"/>
        <v>43121</v>
      </c>
      <c r="AN349" s="814">
        <f t="shared" ca="1" si="285"/>
        <v>13</v>
      </c>
      <c r="AO349" s="815">
        <v>1</v>
      </c>
      <c r="AP349" s="816" t="str">
        <f t="shared" ca="1" si="286"/>
        <v>-</v>
      </c>
      <c r="AQ349" s="817"/>
      <c r="AR349" s="794" t="str">
        <f t="shared" si="287"/>
        <v>-</v>
      </c>
      <c r="AS349" s="818"/>
      <c r="AT349" s="794" t="str">
        <f t="shared" si="288"/>
        <v>-</v>
      </c>
      <c r="AU349" s="819"/>
      <c r="AV349" s="820"/>
      <c r="AW349" s="821"/>
      <c r="AX349" s="821"/>
      <c r="AY349" s="969" t="str">
        <f t="shared" si="289"/>
        <v>-</v>
      </c>
      <c r="AZ349" s="966" t="str">
        <f t="shared" si="290"/>
        <v>-</v>
      </c>
      <c r="BA349" s="971" t="str">
        <f t="shared" si="291"/>
        <v>-</v>
      </c>
      <c r="BB349" s="975"/>
      <c r="BC349" s="821"/>
      <c r="BD349" s="821"/>
      <c r="BE349" s="963" t="str">
        <f t="shared" si="292"/>
        <v>-</v>
      </c>
      <c r="BF349" s="984"/>
      <c r="BG349" s="988"/>
      <c r="BH349" s="982"/>
      <c r="BI349" s="991"/>
      <c r="BJ349" s="991"/>
      <c r="BK349" s="993" t="str">
        <f t="shared" si="293"/>
        <v>-</v>
      </c>
      <c r="BL349" s="820">
        <v>42981</v>
      </c>
      <c r="BM349" s="821">
        <v>5</v>
      </c>
      <c r="BN349" s="822">
        <f t="shared" ca="1" si="294"/>
        <v>153</v>
      </c>
      <c r="BO349" s="823">
        <f t="shared" si="295"/>
        <v>30.5</v>
      </c>
      <c r="BP349" s="824">
        <v>43001</v>
      </c>
      <c r="BQ349" s="821">
        <v>2</v>
      </c>
      <c r="BR349" s="822">
        <f t="shared" ca="1" si="296"/>
        <v>133</v>
      </c>
      <c r="BS349" s="823">
        <f t="shared" si="297"/>
        <v>10.566666666666666</v>
      </c>
      <c r="BT349" s="825" t="str">
        <f t="shared" ca="1" si="298"/>
        <v>-</v>
      </c>
      <c r="BU349" s="826"/>
      <c r="BV349" s="827"/>
      <c r="BW349" s="828" t="str">
        <f t="shared" si="299"/>
        <v>Ж-Е НЕ ВАКЦ.</v>
      </c>
      <c r="BX349" s="829" t="str">
        <f t="shared" si="300"/>
        <v>-</v>
      </c>
      <c r="BY349" s="830" t="str">
        <f t="shared" ca="1" si="301"/>
        <v>-</v>
      </c>
      <c r="BZ349" s="831">
        <v>42887</v>
      </c>
      <c r="CA349" s="832">
        <v>5</v>
      </c>
      <c r="CB349" s="833">
        <f t="shared" ca="1" si="302"/>
        <v>247</v>
      </c>
      <c r="CC349" s="834" t="str">
        <f t="shared" ca="1" si="303"/>
        <v>-</v>
      </c>
      <c r="CD349" s="835">
        <f t="shared" si="304"/>
        <v>42908</v>
      </c>
      <c r="CE349" s="831">
        <v>42908</v>
      </c>
      <c r="CF349" s="832">
        <v>5</v>
      </c>
      <c r="CG349" s="833">
        <f t="shared" ca="1" si="305"/>
        <v>226</v>
      </c>
      <c r="CH349" s="836">
        <f t="shared" si="306"/>
        <v>0</v>
      </c>
      <c r="CI349" s="837" t="str">
        <f t="shared" si="307"/>
        <v>УСПЕШНО</v>
      </c>
      <c r="CJ349" s="838" t="str">
        <f t="shared" ca="1" si="308"/>
        <v>-</v>
      </c>
      <c r="CK349" s="831"/>
      <c r="CL349" s="832"/>
      <c r="CM349" s="833" t="str">
        <f t="shared" si="309"/>
        <v>-</v>
      </c>
      <c r="CN349" s="834" t="str">
        <f t="shared" si="310"/>
        <v>-</v>
      </c>
      <c r="CO349" s="830" t="str">
        <f t="shared" ca="1" si="311"/>
        <v>ТРЕБУЕТСЯ ВАКЦИНАЦИЯ</v>
      </c>
      <c r="CP349" s="839"/>
      <c r="CQ349" s="832"/>
      <c r="CR349" s="833" t="str">
        <f t="shared" si="312"/>
        <v>-</v>
      </c>
      <c r="CS349" s="833" t="str">
        <f t="shared" si="313"/>
        <v>-</v>
      </c>
      <c r="CT349" s="834" t="str">
        <f t="shared" si="314"/>
        <v>-</v>
      </c>
      <c r="CU349" s="835" t="str">
        <f t="shared" si="315"/>
        <v>-</v>
      </c>
      <c r="CV349" s="839"/>
      <c r="CW349" s="832"/>
      <c r="CX349" s="833" t="str">
        <f t="shared" si="316"/>
        <v>-</v>
      </c>
      <c r="CY349" s="840" t="str">
        <f t="shared" si="317"/>
        <v>-</v>
      </c>
      <c r="CZ349" s="833" t="str">
        <f t="shared" si="318"/>
        <v>-</v>
      </c>
      <c r="DA349" s="838" t="str">
        <f t="shared" ca="1" si="319"/>
        <v>-</v>
      </c>
      <c r="DB349" s="841"/>
      <c r="DC349" s="832"/>
    </row>
    <row r="350" spans="1:107" s="842" customFormat="1" ht="15.95" customHeight="1" x14ac:dyDescent="0.25">
      <c r="A350" s="790">
        <v>351</v>
      </c>
      <c r="B350" s="791">
        <f t="shared" ca="1" si="268"/>
        <v>43134</v>
      </c>
      <c r="C350" s="792" t="s">
        <v>613</v>
      </c>
      <c r="D350" s="793" t="s">
        <v>3204</v>
      </c>
      <c r="E350" s="794" t="s">
        <v>1121</v>
      </c>
      <c r="F350" s="795" t="s">
        <v>1037</v>
      </c>
      <c r="G350" s="796">
        <f>SUMIFS(МОЛОКО!L8:L6958,МОЛОКО!F8:F6958,"2559",МОЛОКО!L8:L6958,"&gt;0")</f>
        <v>20</v>
      </c>
      <c r="H350" s="797" t="s">
        <v>603</v>
      </c>
      <c r="I350" s="798">
        <v>42075</v>
      </c>
      <c r="J350" s="799">
        <f t="shared" ca="1" si="269"/>
        <v>2.9013698630136986</v>
      </c>
      <c r="K350" s="799">
        <f t="shared" ca="1" si="270"/>
        <v>35.299999999999997</v>
      </c>
      <c r="L350" s="800">
        <f t="shared" ca="1" si="271"/>
        <v>1059</v>
      </c>
      <c r="M350" s="801">
        <v>42771</v>
      </c>
      <c r="N350" s="802">
        <v>42771</v>
      </c>
      <c r="O350" s="803">
        <f t="shared" ca="1" si="272"/>
        <v>363</v>
      </c>
      <c r="P350" s="804">
        <v>1</v>
      </c>
      <c r="Q350" s="68" t="s">
        <v>2366</v>
      </c>
      <c r="R350" s="118" t="s">
        <v>2435</v>
      </c>
      <c r="S350" s="807">
        <v>42865</v>
      </c>
      <c r="T350" s="798">
        <v>43035</v>
      </c>
      <c r="U350" s="798">
        <f t="shared" si="273"/>
        <v>43053</v>
      </c>
      <c r="V350" s="804">
        <f t="shared" ca="1" si="274"/>
        <v>81</v>
      </c>
      <c r="W350" s="808">
        <v>4</v>
      </c>
      <c r="X350" s="794">
        <f t="shared" si="267"/>
        <v>264</v>
      </c>
      <c r="Y350" s="794">
        <v>3</v>
      </c>
      <c r="Z350" s="809" t="str">
        <f t="shared" ca="1" si="275"/>
        <v>-----</v>
      </c>
      <c r="AA350" s="810">
        <f t="shared" ca="1" si="276"/>
        <v>99</v>
      </c>
      <c r="AB350" s="804"/>
      <c r="AC350" s="811" t="str">
        <f t="shared" ca="1" si="277"/>
        <v>-----</v>
      </c>
      <c r="AD350" s="798"/>
      <c r="AE350" s="794" t="str">
        <f t="shared" ca="1" si="278"/>
        <v>-</v>
      </c>
      <c r="AF350" s="798">
        <f t="shared" si="279"/>
        <v>43070</v>
      </c>
      <c r="AG350" s="812">
        <f t="shared" ca="1" si="280"/>
        <v>64</v>
      </c>
      <c r="AH350" s="807">
        <v>43020</v>
      </c>
      <c r="AI350" s="807" t="str">
        <f t="shared" si="281"/>
        <v>-</v>
      </c>
      <c r="AJ350" s="807" t="str">
        <f t="shared" si="282"/>
        <v>-</v>
      </c>
      <c r="AK350" s="813"/>
      <c r="AL350" s="807" t="str">
        <f t="shared" si="283"/>
        <v>-</v>
      </c>
      <c r="AM350" s="807" t="str">
        <f t="shared" si="284"/>
        <v>-</v>
      </c>
      <c r="AN350" s="814" t="str">
        <f t="shared" ca="1" si="285"/>
        <v>-</v>
      </c>
      <c r="AO350" s="815">
        <v>1</v>
      </c>
      <c r="AP350" s="816" t="str">
        <f t="shared" ca="1" si="286"/>
        <v>-</v>
      </c>
      <c r="AQ350" s="817"/>
      <c r="AR350" s="794" t="str">
        <f t="shared" si="287"/>
        <v>-</v>
      </c>
      <c r="AS350" s="818"/>
      <c r="AT350" s="794" t="str">
        <f t="shared" si="288"/>
        <v>-</v>
      </c>
      <c r="AU350" s="819"/>
      <c r="AV350" s="820"/>
      <c r="AW350" s="821"/>
      <c r="AX350" s="821"/>
      <c r="AY350" s="969" t="str">
        <f t="shared" si="289"/>
        <v>-</v>
      </c>
      <c r="AZ350" s="966" t="str">
        <f t="shared" si="290"/>
        <v>-</v>
      </c>
      <c r="BA350" s="971" t="str">
        <f t="shared" si="291"/>
        <v>-</v>
      </c>
      <c r="BB350" s="975"/>
      <c r="BC350" s="821"/>
      <c r="BD350" s="821"/>
      <c r="BE350" s="963" t="str">
        <f t="shared" si="292"/>
        <v>-</v>
      </c>
      <c r="BF350" s="984"/>
      <c r="BG350" s="988"/>
      <c r="BH350" s="982"/>
      <c r="BI350" s="991"/>
      <c r="BJ350" s="991"/>
      <c r="BK350" s="993" t="str">
        <f t="shared" si="293"/>
        <v>-</v>
      </c>
      <c r="BL350" s="820">
        <v>42981</v>
      </c>
      <c r="BM350" s="821">
        <v>5</v>
      </c>
      <c r="BN350" s="822">
        <f t="shared" ca="1" si="294"/>
        <v>153</v>
      </c>
      <c r="BO350" s="823">
        <f t="shared" si="295"/>
        <v>30.2</v>
      </c>
      <c r="BP350" s="824">
        <v>43001</v>
      </c>
      <c r="BQ350" s="821">
        <v>2</v>
      </c>
      <c r="BR350" s="822">
        <f t="shared" ca="1" si="296"/>
        <v>133</v>
      </c>
      <c r="BS350" s="823">
        <f t="shared" si="297"/>
        <v>7.666666666666667</v>
      </c>
      <c r="BT350" s="825" t="str">
        <f t="shared" ca="1" si="298"/>
        <v>-</v>
      </c>
      <c r="BU350" s="826"/>
      <c r="BV350" s="827"/>
      <c r="BW350" s="828" t="str">
        <f t="shared" si="299"/>
        <v>Ж-Е НЕ ВАКЦ.</v>
      </c>
      <c r="BX350" s="829" t="str">
        <f t="shared" si="300"/>
        <v>-</v>
      </c>
      <c r="BY350" s="830" t="str">
        <f t="shared" ca="1" si="301"/>
        <v>-</v>
      </c>
      <c r="BZ350" s="831">
        <v>42887</v>
      </c>
      <c r="CA350" s="832">
        <v>5</v>
      </c>
      <c r="CB350" s="833">
        <f t="shared" ca="1" si="302"/>
        <v>247</v>
      </c>
      <c r="CC350" s="834" t="str">
        <f t="shared" ca="1" si="303"/>
        <v>-</v>
      </c>
      <c r="CD350" s="835">
        <f t="shared" si="304"/>
        <v>42908</v>
      </c>
      <c r="CE350" s="831">
        <v>42908</v>
      </c>
      <c r="CF350" s="832">
        <v>5</v>
      </c>
      <c r="CG350" s="833">
        <f t="shared" ca="1" si="305"/>
        <v>226</v>
      </c>
      <c r="CH350" s="836">
        <f t="shared" si="306"/>
        <v>0</v>
      </c>
      <c r="CI350" s="837" t="str">
        <f t="shared" si="307"/>
        <v>УСПЕШНО</v>
      </c>
      <c r="CJ350" s="838" t="str">
        <f t="shared" ca="1" si="308"/>
        <v>-</v>
      </c>
      <c r="CK350" s="831"/>
      <c r="CL350" s="832"/>
      <c r="CM350" s="833" t="str">
        <f t="shared" si="309"/>
        <v>-</v>
      </c>
      <c r="CN350" s="834" t="str">
        <f t="shared" si="310"/>
        <v>-</v>
      </c>
      <c r="CO350" s="830" t="str">
        <f t="shared" ca="1" si="311"/>
        <v>-</v>
      </c>
      <c r="CP350" s="839"/>
      <c r="CQ350" s="832"/>
      <c r="CR350" s="833" t="str">
        <f t="shared" si="312"/>
        <v>-</v>
      </c>
      <c r="CS350" s="833" t="str">
        <f t="shared" si="313"/>
        <v>-</v>
      </c>
      <c r="CT350" s="834" t="str">
        <f t="shared" si="314"/>
        <v>-</v>
      </c>
      <c r="CU350" s="835" t="str">
        <f t="shared" si="315"/>
        <v>-</v>
      </c>
      <c r="CV350" s="839"/>
      <c r="CW350" s="832"/>
      <c r="CX350" s="833" t="str">
        <f t="shared" si="316"/>
        <v>-</v>
      </c>
      <c r="CY350" s="840" t="str">
        <f t="shared" si="317"/>
        <v>-</v>
      </c>
      <c r="CZ350" s="833" t="str">
        <f t="shared" si="318"/>
        <v>-</v>
      </c>
      <c r="DA350" s="838" t="str">
        <f t="shared" ca="1" si="319"/>
        <v>-</v>
      </c>
      <c r="DB350" s="841"/>
      <c r="DC350" s="832"/>
    </row>
    <row r="351" spans="1:107" s="842" customFormat="1" ht="15.95" customHeight="1" x14ac:dyDescent="0.25">
      <c r="A351" s="790">
        <v>352</v>
      </c>
      <c r="B351" s="791">
        <f t="shared" ca="1" si="268"/>
        <v>43134</v>
      </c>
      <c r="C351" s="29" t="s">
        <v>613</v>
      </c>
      <c r="D351" s="793" t="s">
        <v>3204</v>
      </c>
      <c r="E351" s="794" t="s">
        <v>1120</v>
      </c>
      <c r="F351" s="795" t="s">
        <v>1036</v>
      </c>
      <c r="G351" s="796">
        <f>SUMIFS(МОЛОКО!L8:L6958,МОЛОКО!F8:F6958,"2564",МОЛОКО!L8:L6958,"&gt;0")</f>
        <v>18</v>
      </c>
      <c r="H351" s="797" t="s">
        <v>603</v>
      </c>
      <c r="I351" s="798">
        <v>42082</v>
      </c>
      <c r="J351" s="799">
        <f t="shared" ca="1" si="269"/>
        <v>2.882191780821918</v>
      </c>
      <c r="K351" s="799">
        <f t="shared" ca="1" si="270"/>
        <v>35.06666666666667</v>
      </c>
      <c r="L351" s="800">
        <f t="shared" ca="1" si="271"/>
        <v>1052</v>
      </c>
      <c r="M351" s="801">
        <v>42763</v>
      </c>
      <c r="N351" s="802">
        <v>42763</v>
      </c>
      <c r="O351" s="803">
        <f t="shared" ca="1" si="272"/>
        <v>371</v>
      </c>
      <c r="P351" s="804">
        <v>1</v>
      </c>
      <c r="Q351" s="805" t="s">
        <v>1451</v>
      </c>
      <c r="R351" s="806" t="s">
        <v>2663</v>
      </c>
      <c r="S351" s="807">
        <v>42824</v>
      </c>
      <c r="T351" s="798">
        <v>42870</v>
      </c>
      <c r="U351" s="798" t="str">
        <f t="shared" si="273"/>
        <v>-</v>
      </c>
      <c r="V351" s="804" t="str">
        <f t="shared" ca="1" si="274"/>
        <v>-</v>
      </c>
      <c r="W351" s="808">
        <v>2</v>
      </c>
      <c r="X351" s="794">
        <f t="shared" si="267"/>
        <v>107</v>
      </c>
      <c r="Y351" s="794">
        <v>1</v>
      </c>
      <c r="Z351" s="809" t="str">
        <f t="shared" ca="1" si="275"/>
        <v>-----</v>
      </c>
      <c r="AA351" s="810" t="str">
        <f t="shared" ca="1" si="276"/>
        <v>-----</v>
      </c>
      <c r="AB351" s="804">
        <v>1</v>
      </c>
      <c r="AC351" s="811" t="str">
        <f t="shared" ca="1" si="277"/>
        <v>-----</v>
      </c>
      <c r="AD351" s="798">
        <v>42930</v>
      </c>
      <c r="AE351" s="794" t="str">
        <f t="shared" ca="1" si="278"/>
        <v>-</v>
      </c>
      <c r="AF351" s="798" t="str">
        <f t="shared" si="279"/>
        <v>-</v>
      </c>
      <c r="AG351" s="812" t="str">
        <f t="shared" si="280"/>
        <v>---------</v>
      </c>
      <c r="AH351" s="807">
        <v>42904</v>
      </c>
      <c r="AI351" s="807">
        <f t="shared" si="281"/>
        <v>43060</v>
      </c>
      <c r="AJ351" s="807">
        <f t="shared" si="282"/>
        <v>43090</v>
      </c>
      <c r="AK351" s="813"/>
      <c r="AL351" s="807">
        <f t="shared" si="283"/>
        <v>43129</v>
      </c>
      <c r="AM351" s="807">
        <f t="shared" si="284"/>
        <v>43150</v>
      </c>
      <c r="AN351" s="814">
        <f t="shared" ca="1" si="285"/>
        <v>-16</v>
      </c>
      <c r="AO351" s="815">
        <v>1</v>
      </c>
      <c r="AP351" s="816" t="str">
        <f t="shared" ca="1" si="286"/>
        <v>-</v>
      </c>
      <c r="AQ351" s="817"/>
      <c r="AR351" s="794" t="str">
        <f t="shared" si="287"/>
        <v>-</v>
      </c>
      <c r="AS351" s="818"/>
      <c r="AT351" s="794" t="str">
        <f t="shared" si="288"/>
        <v>-</v>
      </c>
      <c r="AU351" s="819"/>
      <c r="AV351" s="820"/>
      <c r="AW351" s="821"/>
      <c r="AX351" s="821"/>
      <c r="AY351" s="969" t="str">
        <f t="shared" si="289"/>
        <v>-</v>
      </c>
      <c r="AZ351" s="966" t="str">
        <f t="shared" si="290"/>
        <v>-</v>
      </c>
      <c r="BA351" s="971" t="str">
        <f t="shared" si="291"/>
        <v>-</v>
      </c>
      <c r="BB351" s="975"/>
      <c r="BC351" s="821"/>
      <c r="BD351" s="821"/>
      <c r="BE351" s="963" t="str">
        <f t="shared" si="292"/>
        <v>-</v>
      </c>
      <c r="BF351" s="984"/>
      <c r="BG351" s="988"/>
      <c r="BH351" s="982"/>
      <c r="BI351" s="991"/>
      <c r="BJ351" s="991"/>
      <c r="BK351" s="993" t="str">
        <f t="shared" si="293"/>
        <v>-</v>
      </c>
      <c r="BL351" s="820">
        <v>42981</v>
      </c>
      <c r="BM351" s="821">
        <v>5</v>
      </c>
      <c r="BN351" s="822">
        <f t="shared" ca="1" si="294"/>
        <v>153</v>
      </c>
      <c r="BO351" s="823">
        <f t="shared" si="295"/>
        <v>29.966666666666665</v>
      </c>
      <c r="BP351" s="824">
        <v>43001</v>
      </c>
      <c r="BQ351" s="821">
        <v>2</v>
      </c>
      <c r="BR351" s="822">
        <f t="shared" ca="1" si="296"/>
        <v>133</v>
      </c>
      <c r="BS351" s="823">
        <f t="shared" si="297"/>
        <v>7.9333333333333336</v>
      </c>
      <c r="BT351" s="825" t="str">
        <f t="shared" ca="1" si="298"/>
        <v>-</v>
      </c>
      <c r="BU351" s="826"/>
      <c r="BV351" s="827"/>
      <c r="BW351" s="828" t="str">
        <f t="shared" si="299"/>
        <v>Ж-Е НЕ ВАКЦ.</v>
      </c>
      <c r="BX351" s="829" t="str">
        <f t="shared" si="300"/>
        <v>-</v>
      </c>
      <c r="BY351" s="830" t="str">
        <f t="shared" ca="1" si="301"/>
        <v>-</v>
      </c>
      <c r="BZ351" s="831">
        <v>42887</v>
      </c>
      <c r="CA351" s="832">
        <v>5</v>
      </c>
      <c r="CB351" s="833">
        <f t="shared" ca="1" si="302"/>
        <v>247</v>
      </c>
      <c r="CC351" s="834" t="str">
        <f t="shared" ca="1" si="303"/>
        <v>-</v>
      </c>
      <c r="CD351" s="835">
        <f t="shared" si="304"/>
        <v>42908</v>
      </c>
      <c r="CE351" s="831">
        <v>42908</v>
      </c>
      <c r="CF351" s="832">
        <v>5</v>
      </c>
      <c r="CG351" s="833">
        <f t="shared" ca="1" si="305"/>
        <v>226</v>
      </c>
      <c r="CH351" s="836">
        <f t="shared" si="306"/>
        <v>0</v>
      </c>
      <c r="CI351" s="837" t="str">
        <f t="shared" si="307"/>
        <v>УСПЕШНО</v>
      </c>
      <c r="CJ351" s="838" t="str">
        <f t="shared" ca="1" si="308"/>
        <v>-</v>
      </c>
      <c r="CK351" s="831"/>
      <c r="CL351" s="832"/>
      <c r="CM351" s="833" t="str">
        <f t="shared" si="309"/>
        <v>-</v>
      </c>
      <c r="CN351" s="834" t="str">
        <f t="shared" si="310"/>
        <v>-</v>
      </c>
      <c r="CO351" s="830" t="str">
        <f t="shared" ca="1" si="311"/>
        <v>ТРЕБУЕТСЯ ВАКЦИНАЦИЯ</v>
      </c>
      <c r="CP351" s="839"/>
      <c r="CQ351" s="832"/>
      <c r="CR351" s="833" t="str">
        <f t="shared" si="312"/>
        <v>-</v>
      </c>
      <c r="CS351" s="833" t="str">
        <f t="shared" si="313"/>
        <v>-</v>
      </c>
      <c r="CT351" s="834" t="str">
        <f t="shared" si="314"/>
        <v>-</v>
      </c>
      <c r="CU351" s="835" t="str">
        <f t="shared" si="315"/>
        <v>-</v>
      </c>
      <c r="CV351" s="839"/>
      <c r="CW351" s="832"/>
      <c r="CX351" s="833" t="str">
        <f t="shared" si="316"/>
        <v>-</v>
      </c>
      <c r="CY351" s="840" t="str">
        <f t="shared" si="317"/>
        <v>-</v>
      </c>
      <c r="CZ351" s="833" t="str">
        <f t="shared" si="318"/>
        <v>-</v>
      </c>
      <c r="DA351" s="838" t="str">
        <f t="shared" ca="1" si="319"/>
        <v>-</v>
      </c>
      <c r="DB351" s="841"/>
      <c r="DC351" s="832"/>
    </row>
    <row r="352" spans="1:107" s="842" customFormat="1" ht="15.95" customHeight="1" x14ac:dyDescent="0.25">
      <c r="A352" s="790">
        <v>353</v>
      </c>
      <c r="B352" s="791">
        <f t="shared" ca="1" si="268"/>
        <v>43134</v>
      </c>
      <c r="C352" s="792" t="s">
        <v>613</v>
      </c>
      <c r="D352" s="793" t="s">
        <v>3204</v>
      </c>
      <c r="E352" s="794" t="s">
        <v>1112</v>
      </c>
      <c r="F352" s="795" t="s">
        <v>1021</v>
      </c>
      <c r="G352" s="796">
        <f>SUMIFS(МОЛОКО!L8:L6958,МОЛОКО!F8:F6958,"2568",МОЛОКО!L8:L6958,"&gt;0")</f>
        <v>21.4</v>
      </c>
      <c r="H352" s="797" t="s">
        <v>603</v>
      </c>
      <c r="I352" s="798">
        <v>42086</v>
      </c>
      <c r="J352" s="799">
        <f t="shared" ca="1" si="269"/>
        <v>2.871232876712329</v>
      </c>
      <c r="K352" s="799">
        <f t="shared" ca="1" si="270"/>
        <v>34.93333333333333</v>
      </c>
      <c r="L352" s="800">
        <f t="shared" ca="1" si="271"/>
        <v>1048</v>
      </c>
      <c r="M352" s="801">
        <v>42758</v>
      </c>
      <c r="N352" s="802">
        <v>42758</v>
      </c>
      <c r="O352" s="803">
        <f t="shared" ca="1" si="272"/>
        <v>376</v>
      </c>
      <c r="P352" s="804">
        <v>1</v>
      </c>
      <c r="Q352" s="805" t="s">
        <v>1451</v>
      </c>
      <c r="R352" s="806" t="s">
        <v>2335</v>
      </c>
      <c r="S352" s="807">
        <v>42817</v>
      </c>
      <c r="T352" s="798">
        <v>42863</v>
      </c>
      <c r="U352" s="798" t="str">
        <f t="shared" si="273"/>
        <v>-</v>
      </c>
      <c r="V352" s="804" t="str">
        <f t="shared" ca="1" si="274"/>
        <v>-</v>
      </c>
      <c r="W352" s="808">
        <v>2</v>
      </c>
      <c r="X352" s="794">
        <f t="shared" si="267"/>
        <v>105</v>
      </c>
      <c r="Y352" s="794">
        <v>1</v>
      </c>
      <c r="Z352" s="809" t="str">
        <f t="shared" ca="1" si="275"/>
        <v>-----</v>
      </c>
      <c r="AA352" s="810" t="str">
        <f t="shared" ca="1" si="276"/>
        <v>-----</v>
      </c>
      <c r="AB352" s="804">
        <v>1</v>
      </c>
      <c r="AC352" s="811" t="str">
        <f t="shared" ca="1" si="277"/>
        <v>-----</v>
      </c>
      <c r="AD352" s="798">
        <v>42930</v>
      </c>
      <c r="AE352" s="794" t="str">
        <f t="shared" ca="1" si="278"/>
        <v>-</v>
      </c>
      <c r="AF352" s="798" t="str">
        <f t="shared" si="279"/>
        <v>-</v>
      </c>
      <c r="AG352" s="812" t="str">
        <f t="shared" si="280"/>
        <v>---------</v>
      </c>
      <c r="AH352" s="807">
        <v>42897</v>
      </c>
      <c r="AI352" s="807">
        <f t="shared" si="281"/>
        <v>43053</v>
      </c>
      <c r="AJ352" s="807">
        <f t="shared" si="282"/>
        <v>43083</v>
      </c>
      <c r="AK352" s="813"/>
      <c r="AL352" s="807">
        <f t="shared" si="283"/>
        <v>43122</v>
      </c>
      <c r="AM352" s="807">
        <f t="shared" si="284"/>
        <v>43143</v>
      </c>
      <c r="AN352" s="814">
        <f t="shared" ca="1" si="285"/>
        <v>-9</v>
      </c>
      <c r="AO352" s="815">
        <v>1</v>
      </c>
      <c r="AP352" s="816" t="str">
        <f t="shared" ca="1" si="286"/>
        <v>-</v>
      </c>
      <c r="AQ352" s="817"/>
      <c r="AR352" s="794" t="str">
        <f t="shared" si="287"/>
        <v>-</v>
      </c>
      <c r="AS352" s="818"/>
      <c r="AT352" s="794" t="str">
        <f t="shared" si="288"/>
        <v>-</v>
      </c>
      <c r="AU352" s="819"/>
      <c r="AV352" s="820"/>
      <c r="AW352" s="821"/>
      <c r="AX352" s="821"/>
      <c r="AY352" s="969" t="str">
        <f t="shared" si="289"/>
        <v>-</v>
      </c>
      <c r="AZ352" s="966" t="str">
        <f t="shared" si="290"/>
        <v>-</v>
      </c>
      <c r="BA352" s="971" t="str">
        <f t="shared" si="291"/>
        <v>-</v>
      </c>
      <c r="BB352" s="975"/>
      <c r="BC352" s="821"/>
      <c r="BD352" s="821"/>
      <c r="BE352" s="963" t="str">
        <f t="shared" si="292"/>
        <v>-</v>
      </c>
      <c r="BF352" s="984"/>
      <c r="BG352" s="988"/>
      <c r="BH352" s="982"/>
      <c r="BI352" s="991"/>
      <c r="BJ352" s="991"/>
      <c r="BK352" s="993" t="str">
        <f t="shared" si="293"/>
        <v>-</v>
      </c>
      <c r="BL352" s="820">
        <v>42981</v>
      </c>
      <c r="BM352" s="821">
        <v>5</v>
      </c>
      <c r="BN352" s="822">
        <f t="shared" ca="1" si="294"/>
        <v>153</v>
      </c>
      <c r="BO352" s="823">
        <f t="shared" si="295"/>
        <v>29.833333333333332</v>
      </c>
      <c r="BP352" s="824">
        <v>43001</v>
      </c>
      <c r="BQ352" s="821">
        <v>2</v>
      </c>
      <c r="BR352" s="822">
        <f t="shared" ca="1" si="296"/>
        <v>133</v>
      </c>
      <c r="BS352" s="823">
        <f t="shared" si="297"/>
        <v>8.1</v>
      </c>
      <c r="BT352" s="825" t="str">
        <f t="shared" ca="1" si="298"/>
        <v>-</v>
      </c>
      <c r="BU352" s="826"/>
      <c r="BV352" s="827"/>
      <c r="BW352" s="828" t="str">
        <f t="shared" si="299"/>
        <v>Ж-Е НЕ ВАКЦ.</v>
      </c>
      <c r="BX352" s="829" t="str">
        <f t="shared" si="300"/>
        <v>-</v>
      </c>
      <c r="BY352" s="830" t="str">
        <f t="shared" ca="1" si="301"/>
        <v>-</v>
      </c>
      <c r="BZ352" s="831">
        <v>42887</v>
      </c>
      <c r="CA352" s="832">
        <v>5</v>
      </c>
      <c r="CB352" s="833">
        <f t="shared" ca="1" si="302"/>
        <v>247</v>
      </c>
      <c r="CC352" s="834" t="str">
        <f t="shared" ca="1" si="303"/>
        <v>-</v>
      </c>
      <c r="CD352" s="835">
        <f t="shared" si="304"/>
        <v>42908</v>
      </c>
      <c r="CE352" s="831">
        <v>42908</v>
      </c>
      <c r="CF352" s="832">
        <v>5</v>
      </c>
      <c r="CG352" s="833">
        <f t="shared" ca="1" si="305"/>
        <v>226</v>
      </c>
      <c r="CH352" s="836">
        <f t="shared" si="306"/>
        <v>0</v>
      </c>
      <c r="CI352" s="837" t="str">
        <f t="shared" si="307"/>
        <v>УСПЕШНО</v>
      </c>
      <c r="CJ352" s="838" t="str">
        <f t="shared" ca="1" si="308"/>
        <v>-</v>
      </c>
      <c r="CK352" s="831"/>
      <c r="CL352" s="832"/>
      <c r="CM352" s="833" t="str">
        <f t="shared" si="309"/>
        <v>-</v>
      </c>
      <c r="CN352" s="834" t="str">
        <f t="shared" si="310"/>
        <v>-</v>
      </c>
      <c r="CO352" s="830" t="str">
        <f t="shared" ca="1" si="311"/>
        <v>ТРЕБУЕТСЯ ВАКЦИНАЦИЯ</v>
      </c>
      <c r="CP352" s="839"/>
      <c r="CQ352" s="832"/>
      <c r="CR352" s="833" t="str">
        <f t="shared" si="312"/>
        <v>-</v>
      </c>
      <c r="CS352" s="833" t="str">
        <f t="shared" si="313"/>
        <v>-</v>
      </c>
      <c r="CT352" s="834" t="str">
        <f t="shared" si="314"/>
        <v>-</v>
      </c>
      <c r="CU352" s="835" t="str">
        <f t="shared" si="315"/>
        <v>-</v>
      </c>
      <c r="CV352" s="839"/>
      <c r="CW352" s="832"/>
      <c r="CX352" s="833" t="str">
        <f t="shared" si="316"/>
        <v>-</v>
      </c>
      <c r="CY352" s="840" t="str">
        <f t="shared" si="317"/>
        <v>-</v>
      </c>
      <c r="CZ352" s="833" t="str">
        <f t="shared" si="318"/>
        <v>-</v>
      </c>
      <c r="DA352" s="838" t="str">
        <f t="shared" ca="1" si="319"/>
        <v>-</v>
      </c>
      <c r="DB352" s="841"/>
      <c r="DC352" s="832"/>
    </row>
    <row r="353" spans="1:107" s="842" customFormat="1" ht="15.95" customHeight="1" x14ac:dyDescent="0.25">
      <c r="A353" s="790">
        <v>354</v>
      </c>
      <c r="B353" s="791">
        <f t="shared" ca="1" si="268"/>
        <v>43134</v>
      </c>
      <c r="C353" s="792" t="s">
        <v>613</v>
      </c>
      <c r="D353" s="793" t="s">
        <v>3204</v>
      </c>
      <c r="E353" s="794" t="s">
        <v>421</v>
      </c>
      <c r="F353" s="795" t="s">
        <v>1034</v>
      </c>
      <c r="G353" s="796">
        <f>SUMIFS(МОЛОКО!L8:L6958,МОЛОКО!F8:F6958,"2582",МОЛОКО!L8:L6958,"&gt;0")</f>
        <v>15</v>
      </c>
      <c r="H353" s="797" t="s">
        <v>603</v>
      </c>
      <c r="I353" s="798">
        <v>42099</v>
      </c>
      <c r="J353" s="799">
        <f t="shared" ca="1" si="269"/>
        <v>2.8356164383561642</v>
      </c>
      <c r="K353" s="799">
        <f t="shared" ca="1" si="270"/>
        <v>34.5</v>
      </c>
      <c r="L353" s="800">
        <f t="shared" ca="1" si="271"/>
        <v>1035</v>
      </c>
      <c r="M353" s="801">
        <v>42824</v>
      </c>
      <c r="N353" s="802">
        <v>42824</v>
      </c>
      <c r="O353" s="803">
        <f t="shared" ca="1" si="272"/>
        <v>310</v>
      </c>
      <c r="P353" s="804">
        <v>1</v>
      </c>
      <c r="Q353" s="805" t="s">
        <v>2366</v>
      </c>
      <c r="R353" s="806" t="s">
        <v>2966</v>
      </c>
      <c r="S353" s="807">
        <v>42887</v>
      </c>
      <c r="T353" s="798">
        <v>43014</v>
      </c>
      <c r="U353" s="798" t="str">
        <f t="shared" si="273"/>
        <v>-</v>
      </c>
      <c r="V353" s="804" t="str">
        <f t="shared" ca="1" si="274"/>
        <v>-</v>
      </c>
      <c r="W353" s="808">
        <v>1</v>
      </c>
      <c r="X353" s="794">
        <f t="shared" si="267"/>
        <v>190</v>
      </c>
      <c r="Y353" s="794">
        <v>1</v>
      </c>
      <c r="Z353" s="809" t="str">
        <f t="shared" ca="1" si="275"/>
        <v>ПОДЛЕЖИТ ПЕРЕПРОВЕРКЕ</v>
      </c>
      <c r="AA353" s="810">
        <f t="shared" ca="1" si="276"/>
        <v>120</v>
      </c>
      <c r="AB353" s="804"/>
      <c r="AC353" s="811">
        <f t="shared" ca="1" si="277"/>
        <v>43086</v>
      </c>
      <c r="AD353" s="798"/>
      <c r="AE353" s="794" t="str">
        <f t="shared" ca="1" si="278"/>
        <v>-</v>
      </c>
      <c r="AF353" s="798" t="str">
        <f t="shared" si="279"/>
        <v>-</v>
      </c>
      <c r="AG353" s="812" t="str">
        <f t="shared" si="280"/>
        <v>---------</v>
      </c>
      <c r="AH353" s="807">
        <v>43052</v>
      </c>
      <c r="AI353" s="807">
        <f t="shared" si="281"/>
        <v>43204</v>
      </c>
      <c r="AJ353" s="807">
        <f t="shared" si="282"/>
        <v>43234</v>
      </c>
      <c r="AK353" s="813"/>
      <c r="AL353" s="807">
        <f t="shared" si="283"/>
        <v>43273</v>
      </c>
      <c r="AM353" s="807">
        <f t="shared" si="284"/>
        <v>43294</v>
      </c>
      <c r="AN353" s="814">
        <f t="shared" ca="1" si="285"/>
        <v>-160</v>
      </c>
      <c r="AO353" s="815">
        <v>1</v>
      </c>
      <c r="AP353" s="816" t="str">
        <f t="shared" ca="1" si="286"/>
        <v>-</v>
      </c>
      <c r="AQ353" s="817"/>
      <c r="AR353" s="794" t="str">
        <f t="shared" si="287"/>
        <v>-</v>
      </c>
      <c r="AS353" s="818"/>
      <c r="AT353" s="794" t="str">
        <f t="shared" si="288"/>
        <v>-</v>
      </c>
      <c r="AU353" s="819"/>
      <c r="AV353" s="820"/>
      <c r="AW353" s="821"/>
      <c r="AX353" s="821"/>
      <c r="AY353" s="969" t="str">
        <f t="shared" si="289"/>
        <v>-</v>
      </c>
      <c r="AZ353" s="966" t="str">
        <f t="shared" si="290"/>
        <v>-</v>
      </c>
      <c r="BA353" s="971" t="str">
        <f t="shared" si="291"/>
        <v>-</v>
      </c>
      <c r="BB353" s="975"/>
      <c r="BC353" s="821"/>
      <c r="BD353" s="821"/>
      <c r="BE353" s="963" t="str">
        <f t="shared" si="292"/>
        <v>-</v>
      </c>
      <c r="BF353" s="984"/>
      <c r="BG353" s="988"/>
      <c r="BH353" s="982"/>
      <c r="BI353" s="991"/>
      <c r="BJ353" s="991"/>
      <c r="BK353" s="993" t="str">
        <f t="shared" si="293"/>
        <v>-</v>
      </c>
      <c r="BL353" s="820">
        <v>42981</v>
      </c>
      <c r="BM353" s="821">
        <v>5</v>
      </c>
      <c r="BN353" s="822">
        <f t="shared" ca="1" si="294"/>
        <v>153</v>
      </c>
      <c r="BO353" s="823">
        <f t="shared" si="295"/>
        <v>29.4</v>
      </c>
      <c r="BP353" s="824">
        <v>43001</v>
      </c>
      <c r="BQ353" s="821">
        <v>2</v>
      </c>
      <c r="BR353" s="822">
        <f t="shared" ca="1" si="296"/>
        <v>133</v>
      </c>
      <c r="BS353" s="823">
        <f t="shared" si="297"/>
        <v>5.9</v>
      </c>
      <c r="BT353" s="825" t="str">
        <f t="shared" ca="1" si="298"/>
        <v>-</v>
      </c>
      <c r="BU353" s="826"/>
      <c r="BV353" s="827"/>
      <c r="BW353" s="828" t="str">
        <f t="shared" si="299"/>
        <v>Ж-Е НЕ ВАКЦ.</v>
      </c>
      <c r="BX353" s="829" t="str">
        <f t="shared" si="300"/>
        <v>-</v>
      </c>
      <c r="BY353" s="830" t="str">
        <f t="shared" ca="1" si="301"/>
        <v>-</v>
      </c>
      <c r="BZ353" s="831">
        <v>42887</v>
      </c>
      <c r="CA353" s="832">
        <v>5</v>
      </c>
      <c r="CB353" s="833">
        <f t="shared" ca="1" si="302"/>
        <v>247</v>
      </c>
      <c r="CC353" s="834" t="str">
        <f t="shared" ca="1" si="303"/>
        <v>-</v>
      </c>
      <c r="CD353" s="835">
        <f t="shared" si="304"/>
        <v>42908</v>
      </c>
      <c r="CE353" s="831">
        <v>42908</v>
      </c>
      <c r="CF353" s="832">
        <v>5</v>
      </c>
      <c r="CG353" s="833">
        <f t="shared" ca="1" si="305"/>
        <v>226</v>
      </c>
      <c r="CH353" s="836">
        <f t="shared" si="306"/>
        <v>0</v>
      </c>
      <c r="CI353" s="837" t="str">
        <f t="shared" si="307"/>
        <v>УСПЕШНО</v>
      </c>
      <c r="CJ353" s="838" t="str">
        <f t="shared" ca="1" si="308"/>
        <v>-</v>
      </c>
      <c r="CK353" s="831"/>
      <c r="CL353" s="832"/>
      <c r="CM353" s="833" t="str">
        <f t="shared" si="309"/>
        <v>-</v>
      </c>
      <c r="CN353" s="834" t="str">
        <f t="shared" si="310"/>
        <v>-</v>
      </c>
      <c r="CO353" s="830" t="str">
        <f t="shared" ca="1" si="311"/>
        <v>-</v>
      </c>
      <c r="CP353" s="839"/>
      <c r="CQ353" s="832"/>
      <c r="CR353" s="833" t="str">
        <f t="shared" si="312"/>
        <v>-</v>
      </c>
      <c r="CS353" s="833" t="str">
        <f t="shared" si="313"/>
        <v>-</v>
      </c>
      <c r="CT353" s="834" t="str">
        <f t="shared" si="314"/>
        <v>-</v>
      </c>
      <c r="CU353" s="835" t="str">
        <f t="shared" si="315"/>
        <v>-</v>
      </c>
      <c r="CV353" s="839"/>
      <c r="CW353" s="832"/>
      <c r="CX353" s="833" t="str">
        <f t="shared" si="316"/>
        <v>-</v>
      </c>
      <c r="CY353" s="840" t="str">
        <f t="shared" si="317"/>
        <v>-</v>
      </c>
      <c r="CZ353" s="833" t="str">
        <f t="shared" si="318"/>
        <v>-</v>
      </c>
      <c r="DA353" s="838" t="str">
        <f t="shared" ca="1" si="319"/>
        <v>-</v>
      </c>
      <c r="DB353" s="841"/>
      <c r="DC353" s="832"/>
    </row>
    <row r="354" spans="1:107" s="842" customFormat="1" ht="15.95" customHeight="1" x14ac:dyDescent="0.25">
      <c r="A354" s="790">
        <v>355</v>
      </c>
      <c r="B354" s="791">
        <f t="shared" ca="1" si="268"/>
        <v>43134</v>
      </c>
      <c r="C354" s="792" t="s">
        <v>613</v>
      </c>
      <c r="D354" s="793" t="s">
        <v>3204</v>
      </c>
      <c r="E354" s="794" t="s">
        <v>1493</v>
      </c>
      <c r="F354" s="795" t="s">
        <v>1472</v>
      </c>
      <c r="G354" s="796">
        <f>SUMIFS(МОЛОКО!L8:L6958,МОЛОКО!F8:F6958,"2635",МОЛОКО!L8:L6958,"&gt;0")</f>
        <v>13</v>
      </c>
      <c r="H354" s="797" t="s">
        <v>603</v>
      </c>
      <c r="I354" s="798">
        <v>42145</v>
      </c>
      <c r="J354" s="799">
        <f t="shared" ca="1" si="269"/>
        <v>2.7095890410958905</v>
      </c>
      <c r="K354" s="799">
        <f t="shared" ca="1" si="270"/>
        <v>32.966666666666669</v>
      </c>
      <c r="L354" s="800">
        <f t="shared" ca="1" si="271"/>
        <v>989</v>
      </c>
      <c r="M354" s="801">
        <v>42788</v>
      </c>
      <c r="N354" s="802">
        <v>42788</v>
      </c>
      <c r="O354" s="803">
        <f t="shared" ca="1" si="272"/>
        <v>346</v>
      </c>
      <c r="P354" s="804">
        <v>1</v>
      </c>
      <c r="Q354" s="805" t="s">
        <v>2366</v>
      </c>
      <c r="R354" s="806" t="s">
        <v>2962</v>
      </c>
      <c r="S354" s="807">
        <v>42855</v>
      </c>
      <c r="T354" s="798">
        <v>42959</v>
      </c>
      <c r="U354" s="798" t="str">
        <f t="shared" si="273"/>
        <v>-</v>
      </c>
      <c r="V354" s="804" t="str">
        <f t="shared" ca="1" si="274"/>
        <v>-</v>
      </c>
      <c r="W354" s="808">
        <v>6</v>
      </c>
      <c r="X354" s="794">
        <f t="shared" si="267"/>
        <v>171</v>
      </c>
      <c r="Y354" s="794">
        <v>1</v>
      </c>
      <c r="Z354" s="809" t="str">
        <f t="shared" ca="1" si="275"/>
        <v>-----</v>
      </c>
      <c r="AA354" s="810" t="str">
        <f t="shared" ca="1" si="276"/>
        <v>-----</v>
      </c>
      <c r="AB354" s="804">
        <v>1</v>
      </c>
      <c r="AC354" s="811" t="str">
        <f t="shared" ca="1" si="277"/>
        <v>-----</v>
      </c>
      <c r="AD354" s="798">
        <v>43042</v>
      </c>
      <c r="AE354" s="794" t="str">
        <f t="shared" ca="1" si="278"/>
        <v>-</v>
      </c>
      <c r="AF354" s="798" t="str">
        <f t="shared" si="279"/>
        <v>-</v>
      </c>
      <c r="AG354" s="812" t="str">
        <f t="shared" si="280"/>
        <v>---------</v>
      </c>
      <c r="AH354" s="807">
        <v>42989</v>
      </c>
      <c r="AI354" s="807">
        <f t="shared" si="281"/>
        <v>43149</v>
      </c>
      <c r="AJ354" s="807">
        <f t="shared" si="282"/>
        <v>43179</v>
      </c>
      <c r="AK354" s="813"/>
      <c r="AL354" s="807">
        <f t="shared" si="283"/>
        <v>43218</v>
      </c>
      <c r="AM354" s="807">
        <f t="shared" si="284"/>
        <v>43239</v>
      </c>
      <c r="AN354" s="814">
        <f t="shared" ca="1" si="285"/>
        <v>-105</v>
      </c>
      <c r="AO354" s="815">
        <v>1</v>
      </c>
      <c r="AP354" s="816" t="str">
        <f t="shared" ca="1" si="286"/>
        <v>-</v>
      </c>
      <c r="AQ354" s="817"/>
      <c r="AR354" s="794" t="str">
        <f t="shared" si="287"/>
        <v>-</v>
      </c>
      <c r="AS354" s="818"/>
      <c r="AT354" s="794" t="str">
        <f t="shared" si="288"/>
        <v>-</v>
      </c>
      <c r="AU354" s="819"/>
      <c r="AV354" s="820"/>
      <c r="AW354" s="821"/>
      <c r="AX354" s="821"/>
      <c r="AY354" s="969" t="str">
        <f t="shared" si="289"/>
        <v>-</v>
      </c>
      <c r="AZ354" s="966" t="str">
        <f t="shared" si="290"/>
        <v>-</v>
      </c>
      <c r="BA354" s="971" t="str">
        <f t="shared" si="291"/>
        <v>-</v>
      </c>
      <c r="BB354" s="975"/>
      <c r="BC354" s="821"/>
      <c r="BD354" s="821"/>
      <c r="BE354" s="963" t="str">
        <f t="shared" si="292"/>
        <v>-</v>
      </c>
      <c r="BF354" s="984"/>
      <c r="BG354" s="988"/>
      <c r="BH354" s="982"/>
      <c r="BI354" s="991"/>
      <c r="BJ354" s="991"/>
      <c r="BK354" s="993" t="str">
        <f t="shared" si="293"/>
        <v>-</v>
      </c>
      <c r="BL354" s="820">
        <v>42981</v>
      </c>
      <c r="BM354" s="821">
        <v>5</v>
      </c>
      <c r="BN354" s="822">
        <f t="shared" ca="1" si="294"/>
        <v>153</v>
      </c>
      <c r="BO354" s="823">
        <f t="shared" si="295"/>
        <v>27.866666666666667</v>
      </c>
      <c r="BP354" s="824">
        <v>43001</v>
      </c>
      <c r="BQ354" s="821">
        <v>2</v>
      </c>
      <c r="BR354" s="822">
        <f t="shared" ca="1" si="296"/>
        <v>133</v>
      </c>
      <c r="BS354" s="823">
        <f t="shared" si="297"/>
        <v>7.1</v>
      </c>
      <c r="BT354" s="825" t="str">
        <f t="shared" ca="1" si="298"/>
        <v>-</v>
      </c>
      <c r="BU354" s="826"/>
      <c r="BV354" s="827"/>
      <c r="BW354" s="828" t="str">
        <f t="shared" si="299"/>
        <v>Ж-Е НЕ ВАКЦ.</v>
      </c>
      <c r="BX354" s="829" t="str">
        <f t="shared" si="300"/>
        <v>-</v>
      </c>
      <c r="BY354" s="830" t="str">
        <f t="shared" ca="1" si="301"/>
        <v>-</v>
      </c>
      <c r="BZ354" s="831">
        <v>42887</v>
      </c>
      <c r="CA354" s="832">
        <v>5</v>
      </c>
      <c r="CB354" s="833">
        <f t="shared" ca="1" si="302"/>
        <v>247</v>
      </c>
      <c r="CC354" s="834" t="str">
        <f t="shared" ca="1" si="303"/>
        <v>-</v>
      </c>
      <c r="CD354" s="835">
        <f t="shared" si="304"/>
        <v>42908</v>
      </c>
      <c r="CE354" s="831">
        <v>42908</v>
      </c>
      <c r="CF354" s="832">
        <v>5</v>
      </c>
      <c r="CG354" s="833">
        <f t="shared" ca="1" si="305"/>
        <v>226</v>
      </c>
      <c r="CH354" s="836">
        <f t="shared" si="306"/>
        <v>0</v>
      </c>
      <c r="CI354" s="837" t="str">
        <f t="shared" si="307"/>
        <v>УСПЕШНО</v>
      </c>
      <c r="CJ354" s="838" t="str">
        <f t="shared" ca="1" si="308"/>
        <v>-</v>
      </c>
      <c r="CK354" s="831"/>
      <c r="CL354" s="832"/>
      <c r="CM354" s="833" t="str">
        <f t="shared" si="309"/>
        <v>-</v>
      </c>
      <c r="CN354" s="834" t="str">
        <f t="shared" si="310"/>
        <v>-</v>
      </c>
      <c r="CO354" s="830" t="str">
        <f t="shared" ca="1" si="311"/>
        <v>-</v>
      </c>
      <c r="CP354" s="839"/>
      <c r="CQ354" s="832"/>
      <c r="CR354" s="833" t="str">
        <f t="shared" si="312"/>
        <v>-</v>
      </c>
      <c r="CS354" s="833" t="str">
        <f t="shared" si="313"/>
        <v>-</v>
      </c>
      <c r="CT354" s="834" t="str">
        <f t="shared" si="314"/>
        <v>-</v>
      </c>
      <c r="CU354" s="835" t="str">
        <f t="shared" si="315"/>
        <v>-</v>
      </c>
      <c r="CV354" s="839"/>
      <c r="CW354" s="832"/>
      <c r="CX354" s="833" t="str">
        <f t="shared" si="316"/>
        <v>-</v>
      </c>
      <c r="CY354" s="840" t="str">
        <f t="shared" si="317"/>
        <v>-</v>
      </c>
      <c r="CZ354" s="833" t="str">
        <f t="shared" si="318"/>
        <v>-</v>
      </c>
      <c r="DA354" s="838" t="str">
        <f t="shared" ca="1" si="319"/>
        <v>-</v>
      </c>
      <c r="DB354" s="841"/>
      <c r="DC354" s="832"/>
    </row>
    <row r="355" spans="1:107" s="842" customFormat="1" ht="15.95" customHeight="1" x14ac:dyDescent="0.25">
      <c r="A355" s="790">
        <v>356</v>
      </c>
      <c r="B355" s="791">
        <f t="shared" ca="1" si="268"/>
        <v>43134</v>
      </c>
      <c r="C355" s="29" t="s">
        <v>613</v>
      </c>
      <c r="D355" s="59" t="s">
        <v>3204</v>
      </c>
      <c r="E355" s="794" t="s">
        <v>1527</v>
      </c>
      <c r="F355" s="795" t="s">
        <v>1515</v>
      </c>
      <c r="G355" s="796">
        <f>SUMIFS(МОЛОКО!L8:L6958,МОЛОКО!F8:F6958,"2653",МОЛОКО!L8:L6958,"&gt;0")</f>
        <v>11</v>
      </c>
      <c r="H355" s="797" t="s">
        <v>603</v>
      </c>
      <c r="I355" s="798">
        <v>42181</v>
      </c>
      <c r="J355" s="799">
        <f t="shared" ca="1" si="269"/>
        <v>2.6109589041095891</v>
      </c>
      <c r="K355" s="799">
        <f t="shared" ca="1" si="270"/>
        <v>31.766666666666666</v>
      </c>
      <c r="L355" s="800">
        <f t="shared" ca="1" si="271"/>
        <v>953</v>
      </c>
      <c r="M355" s="801">
        <v>42895</v>
      </c>
      <c r="N355" s="802">
        <v>42895</v>
      </c>
      <c r="O355" s="803">
        <f t="shared" ca="1" si="272"/>
        <v>239</v>
      </c>
      <c r="P355" s="804">
        <v>1</v>
      </c>
      <c r="Q355" s="68" t="s">
        <v>1451</v>
      </c>
      <c r="R355" s="118" t="s">
        <v>2966</v>
      </c>
      <c r="S355" s="807">
        <v>42957</v>
      </c>
      <c r="T355" s="798">
        <v>43056</v>
      </c>
      <c r="U355" s="798">
        <f t="shared" si="273"/>
        <v>43074</v>
      </c>
      <c r="V355" s="804">
        <f t="shared" ca="1" si="274"/>
        <v>60</v>
      </c>
      <c r="W355" s="808">
        <v>3</v>
      </c>
      <c r="X355" s="794">
        <f t="shared" si="267"/>
        <v>161</v>
      </c>
      <c r="Y355" s="794">
        <v>3</v>
      </c>
      <c r="Z355" s="809" t="str">
        <f t="shared" ca="1" si="275"/>
        <v>-----</v>
      </c>
      <c r="AA355" s="810">
        <f t="shared" ca="1" si="276"/>
        <v>78</v>
      </c>
      <c r="AB355" s="804"/>
      <c r="AC355" s="811" t="str">
        <f t="shared" ca="1" si="277"/>
        <v>-----</v>
      </c>
      <c r="AD355" s="798"/>
      <c r="AE355" s="794" t="str">
        <f t="shared" ca="1" si="278"/>
        <v>-</v>
      </c>
      <c r="AF355" s="798">
        <f t="shared" si="279"/>
        <v>43091</v>
      </c>
      <c r="AG355" s="812">
        <f t="shared" ca="1" si="280"/>
        <v>43</v>
      </c>
      <c r="AH355" s="807">
        <v>43042</v>
      </c>
      <c r="AI355" s="807" t="str">
        <f t="shared" si="281"/>
        <v>-</v>
      </c>
      <c r="AJ355" s="807" t="str">
        <f t="shared" si="282"/>
        <v>-</v>
      </c>
      <c r="AK355" s="813"/>
      <c r="AL355" s="807" t="str">
        <f t="shared" si="283"/>
        <v>-</v>
      </c>
      <c r="AM355" s="807" t="str">
        <f t="shared" si="284"/>
        <v>-</v>
      </c>
      <c r="AN355" s="814" t="str">
        <f t="shared" ca="1" si="285"/>
        <v>-</v>
      </c>
      <c r="AO355" s="815">
        <v>1</v>
      </c>
      <c r="AP355" s="816" t="str">
        <f t="shared" ca="1" si="286"/>
        <v>-</v>
      </c>
      <c r="AQ355" s="817"/>
      <c r="AR355" s="794" t="str">
        <f t="shared" si="287"/>
        <v>-</v>
      </c>
      <c r="AS355" s="818"/>
      <c r="AT355" s="794" t="str">
        <f t="shared" si="288"/>
        <v>-</v>
      </c>
      <c r="AU355" s="819">
        <v>1</v>
      </c>
      <c r="AV355" s="820"/>
      <c r="AW355" s="821"/>
      <c r="AX355" s="821"/>
      <c r="AY355" s="969" t="str">
        <f t="shared" si="289"/>
        <v>-</v>
      </c>
      <c r="AZ355" s="966" t="str">
        <f t="shared" si="290"/>
        <v>-</v>
      </c>
      <c r="BA355" s="971" t="str">
        <f t="shared" si="291"/>
        <v>-</v>
      </c>
      <c r="BB355" s="975"/>
      <c r="BC355" s="821"/>
      <c r="BD355" s="821"/>
      <c r="BE355" s="963" t="str">
        <f t="shared" si="292"/>
        <v>-</v>
      </c>
      <c r="BF355" s="984"/>
      <c r="BG355" s="988"/>
      <c r="BH355" s="982"/>
      <c r="BI355" s="991"/>
      <c r="BJ355" s="991"/>
      <c r="BK355" s="993" t="str">
        <f t="shared" si="293"/>
        <v>-</v>
      </c>
      <c r="BL355" s="820">
        <v>42980</v>
      </c>
      <c r="BM355" s="821">
        <v>5</v>
      </c>
      <c r="BN355" s="822">
        <f t="shared" ca="1" si="294"/>
        <v>154</v>
      </c>
      <c r="BO355" s="823">
        <f t="shared" si="295"/>
        <v>26.633333333333333</v>
      </c>
      <c r="BP355" s="824">
        <v>43001</v>
      </c>
      <c r="BQ355" s="821">
        <v>2</v>
      </c>
      <c r="BR355" s="822">
        <f t="shared" ca="1" si="296"/>
        <v>133</v>
      </c>
      <c r="BS355" s="823">
        <f t="shared" si="297"/>
        <v>3.5333333333333332</v>
      </c>
      <c r="BT355" s="825" t="str">
        <f t="shared" ca="1" si="298"/>
        <v>-</v>
      </c>
      <c r="BU355" s="826"/>
      <c r="BV355" s="827"/>
      <c r="BW355" s="828" t="str">
        <f t="shared" si="299"/>
        <v>Ж-Е НЕ ВАКЦ.</v>
      </c>
      <c r="BX355" s="829" t="str">
        <f t="shared" si="300"/>
        <v>-</v>
      </c>
      <c r="BY355" s="830" t="str">
        <f t="shared" ca="1" si="301"/>
        <v>-</v>
      </c>
      <c r="BZ355" s="831">
        <v>42916</v>
      </c>
      <c r="CA355" s="832">
        <v>5</v>
      </c>
      <c r="CB355" s="833">
        <f t="shared" ca="1" si="302"/>
        <v>218</v>
      </c>
      <c r="CC355" s="834" t="str">
        <f t="shared" ca="1" si="303"/>
        <v>-</v>
      </c>
      <c r="CD355" s="835">
        <f t="shared" si="304"/>
        <v>42937</v>
      </c>
      <c r="CE355" s="831">
        <v>42937</v>
      </c>
      <c r="CF355" s="832">
        <v>5</v>
      </c>
      <c r="CG355" s="833">
        <f t="shared" ca="1" si="305"/>
        <v>197</v>
      </c>
      <c r="CH355" s="836">
        <f t="shared" si="306"/>
        <v>0</v>
      </c>
      <c r="CI355" s="837" t="str">
        <f t="shared" si="307"/>
        <v>УСПЕШНО</v>
      </c>
      <c r="CJ355" s="838" t="str">
        <f t="shared" ca="1" si="308"/>
        <v>-</v>
      </c>
      <c r="CK355" s="831"/>
      <c r="CL355" s="832"/>
      <c r="CM355" s="833" t="str">
        <f t="shared" si="309"/>
        <v>-</v>
      </c>
      <c r="CN355" s="834" t="str">
        <f t="shared" si="310"/>
        <v>-</v>
      </c>
      <c r="CO355" s="830" t="str">
        <f t="shared" ca="1" si="311"/>
        <v>-</v>
      </c>
      <c r="CP355" s="839"/>
      <c r="CQ355" s="832"/>
      <c r="CR355" s="833" t="str">
        <f t="shared" si="312"/>
        <v>-</v>
      </c>
      <c r="CS355" s="833" t="str">
        <f t="shared" si="313"/>
        <v>-</v>
      </c>
      <c r="CT355" s="834" t="str">
        <f t="shared" si="314"/>
        <v>-</v>
      </c>
      <c r="CU355" s="835" t="str">
        <f t="shared" si="315"/>
        <v>-</v>
      </c>
      <c r="CV355" s="839"/>
      <c r="CW355" s="832"/>
      <c r="CX355" s="833" t="str">
        <f t="shared" si="316"/>
        <v>-</v>
      </c>
      <c r="CY355" s="840" t="str">
        <f t="shared" si="317"/>
        <v>-</v>
      </c>
      <c r="CZ355" s="833" t="str">
        <f t="shared" si="318"/>
        <v>-</v>
      </c>
      <c r="DA355" s="838" t="str">
        <f t="shared" ca="1" si="319"/>
        <v>-</v>
      </c>
      <c r="DB355" s="841"/>
      <c r="DC355" s="832"/>
    </row>
    <row r="356" spans="1:107" s="842" customFormat="1" ht="15.95" customHeight="1" x14ac:dyDescent="0.25">
      <c r="A356" s="790">
        <v>357</v>
      </c>
      <c r="B356" s="791">
        <f t="shared" ca="1" si="268"/>
        <v>43134</v>
      </c>
      <c r="C356" s="792" t="s">
        <v>613</v>
      </c>
      <c r="D356" s="793" t="s">
        <v>3204</v>
      </c>
      <c r="E356" s="794" t="s">
        <v>169</v>
      </c>
      <c r="F356" s="795" t="s">
        <v>170</v>
      </c>
      <c r="G356" s="796">
        <f>SUMIFS(МОЛОКО!L8:L6958,МОЛОКО!F8:F6958,"11231",МОЛОКО!L8:L6958,"&gt;0")</f>
        <v>19</v>
      </c>
      <c r="H356" s="797" t="s">
        <v>87</v>
      </c>
      <c r="I356" s="798">
        <v>40719</v>
      </c>
      <c r="J356" s="799">
        <f t="shared" ca="1" si="269"/>
        <v>6.6164383561643838</v>
      </c>
      <c r="K356" s="799">
        <f t="shared" ca="1" si="270"/>
        <v>80.5</v>
      </c>
      <c r="L356" s="800">
        <f t="shared" ca="1" si="271"/>
        <v>2415</v>
      </c>
      <c r="M356" s="801">
        <v>41610</v>
      </c>
      <c r="N356" s="802">
        <v>42802</v>
      </c>
      <c r="O356" s="803">
        <f t="shared" ca="1" si="272"/>
        <v>332</v>
      </c>
      <c r="P356" s="804">
        <v>4</v>
      </c>
      <c r="Q356" s="805" t="s">
        <v>2366</v>
      </c>
      <c r="R356" s="806" t="s">
        <v>2663</v>
      </c>
      <c r="S356" s="807">
        <v>42866</v>
      </c>
      <c r="T356" s="798">
        <v>42866</v>
      </c>
      <c r="U356" s="798" t="str">
        <f t="shared" si="273"/>
        <v>-</v>
      </c>
      <c r="V356" s="804" t="str">
        <f t="shared" ca="1" si="274"/>
        <v>-</v>
      </c>
      <c r="W356" s="808">
        <v>1</v>
      </c>
      <c r="X356" s="794">
        <f t="shared" si="267"/>
        <v>64</v>
      </c>
      <c r="Y356" s="794">
        <v>1</v>
      </c>
      <c r="Z356" s="809" t="str">
        <f t="shared" ca="1" si="275"/>
        <v>-----</v>
      </c>
      <c r="AA356" s="810" t="str">
        <f t="shared" ca="1" si="276"/>
        <v>-----</v>
      </c>
      <c r="AB356" s="804">
        <v>1</v>
      </c>
      <c r="AC356" s="811" t="str">
        <f t="shared" ca="1" si="277"/>
        <v>-----</v>
      </c>
      <c r="AD356" s="798">
        <v>42935</v>
      </c>
      <c r="AE356" s="794" t="str">
        <f t="shared" ca="1" si="278"/>
        <v>-</v>
      </c>
      <c r="AF356" s="798" t="str">
        <f t="shared" si="279"/>
        <v>-</v>
      </c>
      <c r="AG356" s="812" t="str">
        <f t="shared" si="280"/>
        <v>---------</v>
      </c>
      <c r="AH356" s="807">
        <v>42900</v>
      </c>
      <c r="AI356" s="807">
        <f t="shared" si="281"/>
        <v>43056</v>
      </c>
      <c r="AJ356" s="807">
        <f t="shared" si="282"/>
        <v>43086</v>
      </c>
      <c r="AK356" s="813"/>
      <c r="AL356" s="807">
        <f t="shared" si="283"/>
        <v>43125</v>
      </c>
      <c r="AM356" s="807">
        <f t="shared" si="284"/>
        <v>43146</v>
      </c>
      <c r="AN356" s="814">
        <f t="shared" ca="1" si="285"/>
        <v>-12</v>
      </c>
      <c r="AO356" s="815">
        <v>1</v>
      </c>
      <c r="AP356" s="816" t="str">
        <f t="shared" ca="1" si="286"/>
        <v>-</v>
      </c>
      <c r="AQ356" s="817"/>
      <c r="AR356" s="794" t="str">
        <f t="shared" si="287"/>
        <v>-</v>
      </c>
      <c r="AS356" s="818"/>
      <c r="AT356" s="794" t="str">
        <f t="shared" si="288"/>
        <v>-</v>
      </c>
      <c r="AU356" s="819"/>
      <c r="AV356" s="820"/>
      <c r="AW356" s="821"/>
      <c r="AX356" s="821"/>
      <c r="AY356" s="969" t="str">
        <f t="shared" si="289"/>
        <v>-</v>
      </c>
      <c r="AZ356" s="966" t="str">
        <f t="shared" si="290"/>
        <v>-</v>
      </c>
      <c r="BA356" s="971" t="str">
        <f t="shared" si="291"/>
        <v>-</v>
      </c>
      <c r="BB356" s="975"/>
      <c r="BC356" s="821"/>
      <c r="BD356" s="821"/>
      <c r="BE356" s="963" t="str">
        <f t="shared" si="292"/>
        <v>-</v>
      </c>
      <c r="BF356" s="984"/>
      <c r="BG356" s="988"/>
      <c r="BH356" s="982"/>
      <c r="BI356" s="991"/>
      <c r="BJ356" s="991"/>
      <c r="BK356" s="993" t="str">
        <f t="shared" si="293"/>
        <v>-</v>
      </c>
      <c r="BL356" s="820">
        <v>42980</v>
      </c>
      <c r="BM356" s="821">
        <v>5</v>
      </c>
      <c r="BN356" s="822">
        <f t="shared" ca="1" si="294"/>
        <v>154</v>
      </c>
      <c r="BO356" s="823">
        <f t="shared" si="295"/>
        <v>75.36666666666666</v>
      </c>
      <c r="BP356" s="824"/>
      <c r="BQ356" s="821"/>
      <c r="BR356" s="822" t="str">
        <f t="shared" si="296"/>
        <v>-</v>
      </c>
      <c r="BS356" s="823" t="str">
        <f t="shared" si="297"/>
        <v>-</v>
      </c>
      <c r="BT356" s="825" t="str">
        <f t="shared" ca="1" si="298"/>
        <v>-</v>
      </c>
      <c r="BU356" s="826"/>
      <c r="BV356" s="827"/>
      <c r="BW356" s="828" t="str">
        <f t="shared" si="299"/>
        <v>Ж-Е НЕ ВАКЦ.</v>
      </c>
      <c r="BX356" s="829" t="str">
        <f t="shared" si="300"/>
        <v>-</v>
      </c>
      <c r="BY356" s="830" t="str">
        <f t="shared" ca="1" si="301"/>
        <v>-</v>
      </c>
      <c r="BZ356" s="831">
        <v>42887</v>
      </c>
      <c r="CA356" s="832">
        <v>5</v>
      </c>
      <c r="CB356" s="833">
        <f t="shared" ca="1" si="302"/>
        <v>247</v>
      </c>
      <c r="CC356" s="834" t="str">
        <f t="shared" ca="1" si="303"/>
        <v>-</v>
      </c>
      <c r="CD356" s="835">
        <f t="shared" si="304"/>
        <v>42908</v>
      </c>
      <c r="CE356" s="831">
        <v>42908</v>
      </c>
      <c r="CF356" s="832">
        <v>5</v>
      </c>
      <c r="CG356" s="833">
        <f t="shared" ca="1" si="305"/>
        <v>226</v>
      </c>
      <c r="CH356" s="836">
        <f t="shared" si="306"/>
        <v>0</v>
      </c>
      <c r="CI356" s="837" t="str">
        <f t="shared" si="307"/>
        <v>УСПЕШНО</v>
      </c>
      <c r="CJ356" s="838" t="str">
        <f t="shared" ca="1" si="308"/>
        <v>-</v>
      </c>
      <c r="CK356" s="831"/>
      <c r="CL356" s="832"/>
      <c r="CM356" s="833" t="str">
        <f t="shared" si="309"/>
        <v>-</v>
      </c>
      <c r="CN356" s="834" t="str">
        <f t="shared" si="310"/>
        <v>-</v>
      </c>
      <c r="CO356" s="830" t="str">
        <f t="shared" ca="1" si="311"/>
        <v>ТРЕБУЕТСЯ ВАКЦИНАЦИЯ</v>
      </c>
      <c r="CP356" s="839"/>
      <c r="CQ356" s="832"/>
      <c r="CR356" s="833" t="str">
        <f t="shared" si="312"/>
        <v>-</v>
      </c>
      <c r="CS356" s="833" t="str">
        <f t="shared" si="313"/>
        <v>-</v>
      </c>
      <c r="CT356" s="834" t="str">
        <f t="shared" si="314"/>
        <v>-</v>
      </c>
      <c r="CU356" s="835" t="str">
        <f t="shared" si="315"/>
        <v>-</v>
      </c>
      <c r="CV356" s="839"/>
      <c r="CW356" s="832"/>
      <c r="CX356" s="833" t="str">
        <f t="shared" si="316"/>
        <v>-</v>
      </c>
      <c r="CY356" s="840" t="str">
        <f t="shared" si="317"/>
        <v>-</v>
      </c>
      <c r="CZ356" s="833" t="str">
        <f t="shared" si="318"/>
        <v>-</v>
      </c>
      <c r="DA356" s="838" t="str">
        <f t="shared" ca="1" si="319"/>
        <v>-</v>
      </c>
      <c r="DB356" s="841"/>
      <c r="DC356" s="832"/>
    </row>
    <row r="357" spans="1:107" s="842" customFormat="1" ht="15.95" customHeight="1" x14ac:dyDescent="0.25">
      <c r="A357" s="790">
        <v>358</v>
      </c>
      <c r="B357" s="791">
        <f t="shared" ca="1" si="268"/>
        <v>43134</v>
      </c>
      <c r="C357" s="792" t="s">
        <v>613</v>
      </c>
      <c r="D357" s="793" t="s">
        <v>3204</v>
      </c>
      <c r="E357" s="794" t="s">
        <v>659</v>
      </c>
      <c r="F357" s="795" t="s">
        <v>660</v>
      </c>
      <c r="G357" s="796">
        <f>SUMIFS(МОЛОКО!L8:L6958,МОЛОКО!F8:F6958,"13134",МОЛОКО!L8:L6958,"&gt;0")</f>
        <v>19</v>
      </c>
      <c r="H357" s="797" t="s">
        <v>620</v>
      </c>
      <c r="I357" s="798">
        <v>41562</v>
      </c>
      <c r="J357" s="799">
        <f t="shared" ca="1" si="269"/>
        <v>4.3068493150684928</v>
      </c>
      <c r="K357" s="799">
        <f t="shared" ca="1" si="270"/>
        <v>52.4</v>
      </c>
      <c r="L357" s="800">
        <f t="shared" ca="1" si="271"/>
        <v>1572</v>
      </c>
      <c r="M357" s="801">
        <v>42412</v>
      </c>
      <c r="N357" s="802">
        <v>42805</v>
      </c>
      <c r="O357" s="803">
        <f t="shared" ca="1" si="272"/>
        <v>329</v>
      </c>
      <c r="P357" s="804">
        <v>2</v>
      </c>
      <c r="Q357" s="68" t="s">
        <v>2366</v>
      </c>
      <c r="R357" s="118" t="s">
        <v>2966</v>
      </c>
      <c r="S357" s="807">
        <v>42866</v>
      </c>
      <c r="T357" s="798">
        <v>43056</v>
      </c>
      <c r="U357" s="798">
        <f t="shared" si="273"/>
        <v>43074</v>
      </c>
      <c r="V357" s="804">
        <f t="shared" ca="1" si="274"/>
        <v>60</v>
      </c>
      <c r="W357" s="808">
        <v>5</v>
      </c>
      <c r="X357" s="794">
        <f t="shared" si="267"/>
        <v>251</v>
      </c>
      <c r="Y357" s="794">
        <v>3</v>
      </c>
      <c r="Z357" s="809" t="str">
        <f t="shared" ca="1" si="275"/>
        <v>-----</v>
      </c>
      <c r="AA357" s="810">
        <f t="shared" ca="1" si="276"/>
        <v>78</v>
      </c>
      <c r="AB357" s="804"/>
      <c r="AC357" s="811" t="str">
        <f t="shared" ca="1" si="277"/>
        <v>-----</v>
      </c>
      <c r="AD357" s="798"/>
      <c r="AE357" s="794" t="str">
        <f t="shared" ca="1" si="278"/>
        <v>-</v>
      </c>
      <c r="AF357" s="798">
        <f t="shared" si="279"/>
        <v>43091</v>
      </c>
      <c r="AG357" s="812">
        <f t="shared" ca="1" si="280"/>
        <v>43</v>
      </c>
      <c r="AH357" s="807">
        <v>43035</v>
      </c>
      <c r="AI357" s="807" t="str">
        <f t="shared" si="281"/>
        <v>-</v>
      </c>
      <c r="AJ357" s="807" t="str">
        <f t="shared" si="282"/>
        <v>-</v>
      </c>
      <c r="AK357" s="813"/>
      <c r="AL357" s="807" t="str">
        <f t="shared" si="283"/>
        <v>-</v>
      </c>
      <c r="AM357" s="807" t="str">
        <f t="shared" si="284"/>
        <v>-</v>
      </c>
      <c r="AN357" s="814" t="str">
        <f t="shared" ca="1" si="285"/>
        <v>-</v>
      </c>
      <c r="AO357" s="815">
        <v>1</v>
      </c>
      <c r="AP357" s="816" t="str">
        <f t="shared" ca="1" si="286"/>
        <v>-</v>
      </c>
      <c r="AQ357" s="817"/>
      <c r="AR357" s="794" t="str">
        <f t="shared" si="287"/>
        <v>-</v>
      </c>
      <c r="AS357" s="818"/>
      <c r="AT357" s="794" t="str">
        <f t="shared" si="288"/>
        <v>-</v>
      </c>
      <c r="AU357" s="819"/>
      <c r="AV357" s="820"/>
      <c r="AW357" s="821"/>
      <c r="AX357" s="821"/>
      <c r="AY357" s="969" t="str">
        <f t="shared" si="289"/>
        <v>-</v>
      </c>
      <c r="AZ357" s="966" t="str">
        <f t="shared" si="290"/>
        <v>-</v>
      </c>
      <c r="BA357" s="971" t="str">
        <f t="shared" si="291"/>
        <v>-</v>
      </c>
      <c r="BB357" s="975"/>
      <c r="BC357" s="821"/>
      <c r="BD357" s="821"/>
      <c r="BE357" s="963" t="str">
        <f t="shared" si="292"/>
        <v>-</v>
      </c>
      <c r="BF357" s="984"/>
      <c r="BG357" s="988"/>
      <c r="BH357" s="982"/>
      <c r="BI357" s="991"/>
      <c r="BJ357" s="991"/>
      <c r="BK357" s="993" t="str">
        <f t="shared" si="293"/>
        <v>-</v>
      </c>
      <c r="BL357" s="820">
        <v>42980</v>
      </c>
      <c r="BM357" s="821">
        <v>5</v>
      </c>
      <c r="BN357" s="822">
        <f t="shared" ca="1" si="294"/>
        <v>154</v>
      </c>
      <c r="BO357" s="823">
        <f t="shared" si="295"/>
        <v>47.266666666666666</v>
      </c>
      <c r="BP357" s="824">
        <v>43001</v>
      </c>
      <c r="BQ357" s="821">
        <v>2</v>
      </c>
      <c r="BR357" s="822">
        <f t="shared" ca="1" si="296"/>
        <v>133</v>
      </c>
      <c r="BS357" s="823">
        <f t="shared" si="297"/>
        <v>19.633333333333333</v>
      </c>
      <c r="BT357" s="825" t="str">
        <f t="shared" ca="1" si="298"/>
        <v>-</v>
      </c>
      <c r="BU357" s="826"/>
      <c r="BV357" s="827"/>
      <c r="BW357" s="828" t="str">
        <f t="shared" si="299"/>
        <v>Ж-Е НЕ ВАКЦ.</v>
      </c>
      <c r="BX357" s="829" t="str">
        <f t="shared" si="300"/>
        <v>-</v>
      </c>
      <c r="BY357" s="830" t="str">
        <f t="shared" ca="1" si="301"/>
        <v>-</v>
      </c>
      <c r="BZ357" s="831">
        <v>42887</v>
      </c>
      <c r="CA357" s="832">
        <v>5</v>
      </c>
      <c r="CB357" s="833">
        <f t="shared" ca="1" si="302"/>
        <v>247</v>
      </c>
      <c r="CC357" s="834" t="str">
        <f t="shared" ca="1" si="303"/>
        <v>-</v>
      </c>
      <c r="CD357" s="835">
        <f t="shared" si="304"/>
        <v>42908</v>
      </c>
      <c r="CE357" s="831">
        <v>42908</v>
      </c>
      <c r="CF357" s="832">
        <v>5</v>
      </c>
      <c r="CG357" s="833">
        <f t="shared" ca="1" si="305"/>
        <v>226</v>
      </c>
      <c r="CH357" s="836">
        <f t="shared" si="306"/>
        <v>0</v>
      </c>
      <c r="CI357" s="837" t="str">
        <f t="shared" si="307"/>
        <v>УСПЕШНО</v>
      </c>
      <c r="CJ357" s="838" t="str">
        <f t="shared" ca="1" si="308"/>
        <v>-</v>
      </c>
      <c r="CK357" s="831"/>
      <c r="CL357" s="832"/>
      <c r="CM357" s="833" t="str">
        <f t="shared" si="309"/>
        <v>-</v>
      </c>
      <c r="CN357" s="834" t="str">
        <f t="shared" si="310"/>
        <v>-</v>
      </c>
      <c r="CO357" s="830" t="str">
        <f t="shared" ca="1" si="311"/>
        <v>-</v>
      </c>
      <c r="CP357" s="839"/>
      <c r="CQ357" s="832"/>
      <c r="CR357" s="833" t="str">
        <f t="shared" si="312"/>
        <v>-</v>
      </c>
      <c r="CS357" s="833" t="str">
        <f t="shared" si="313"/>
        <v>-</v>
      </c>
      <c r="CT357" s="834" t="str">
        <f t="shared" si="314"/>
        <v>-</v>
      </c>
      <c r="CU357" s="835" t="str">
        <f t="shared" si="315"/>
        <v>-</v>
      </c>
      <c r="CV357" s="839"/>
      <c r="CW357" s="832"/>
      <c r="CX357" s="833" t="str">
        <f t="shared" si="316"/>
        <v>-</v>
      </c>
      <c r="CY357" s="840" t="str">
        <f t="shared" si="317"/>
        <v>-</v>
      </c>
      <c r="CZ357" s="833" t="str">
        <f t="shared" si="318"/>
        <v>-</v>
      </c>
      <c r="DA357" s="838" t="str">
        <f t="shared" ca="1" si="319"/>
        <v>-</v>
      </c>
      <c r="DB357" s="841"/>
      <c r="DC357" s="832"/>
    </row>
    <row r="358" spans="1:107" s="842" customFormat="1" ht="15.95" customHeight="1" x14ac:dyDescent="0.25">
      <c r="A358" s="790">
        <v>359</v>
      </c>
      <c r="B358" s="791">
        <f t="shared" ca="1" si="268"/>
        <v>43134</v>
      </c>
      <c r="C358" s="29" t="s">
        <v>613</v>
      </c>
      <c r="D358" s="59" t="s">
        <v>3204</v>
      </c>
      <c r="E358" s="794" t="s">
        <v>1413</v>
      </c>
      <c r="F358" s="795" t="s">
        <v>1414</v>
      </c>
      <c r="G358" s="796">
        <f>SUMIFS(МОЛОКО!L8:L6958,МОЛОКО!F8:F6958,"13271",МОЛОКО!L8:L6958,"&gt;0")</f>
        <v>18</v>
      </c>
      <c r="H358" s="797" t="s">
        <v>87</v>
      </c>
      <c r="I358" s="798">
        <v>41511</v>
      </c>
      <c r="J358" s="799">
        <f t="shared" ca="1" si="269"/>
        <v>4.4465753424657537</v>
      </c>
      <c r="K358" s="799">
        <f t="shared" ca="1" si="270"/>
        <v>54.1</v>
      </c>
      <c r="L358" s="800">
        <f t="shared" ca="1" si="271"/>
        <v>1623</v>
      </c>
      <c r="M358" s="801">
        <v>42480</v>
      </c>
      <c r="N358" s="802">
        <v>42824</v>
      </c>
      <c r="O358" s="803">
        <f t="shared" ca="1" si="272"/>
        <v>310</v>
      </c>
      <c r="P358" s="804">
        <v>2</v>
      </c>
      <c r="Q358" s="805" t="s">
        <v>1451</v>
      </c>
      <c r="R358" s="806" t="s">
        <v>3020</v>
      </c>
      <c r="S358" s="807">
        <v>42887</v>
      </c>
      <c r="T358" s="798">
        <v>43013</v>
      </c>
      <c r="U358" s="798" t="str">
        <f t="shared" si="273"/>
        <v>-</v>
      </c>
      <c r="V358" s="804" t="str">
        <f t="shared" ca="1" si="274"/>
        <v>-</v>
      </c>
      <c r="W358" s="808">
        <v>4</v>
      </c>
      <c r="X358" s="794">
        <f t="shared" si="267"/>
        <v>189</v>
      </c>
      <c r="Y358" s="794">
        <v>1</v>
      </c>
      <c r="Z358" s="809" t="str">
        <f t="shared" ca="1" si="275"/>
        <v>ПОДЛЕЖИТ ПЕРЕПРОВЕРКЕ</v>
      </c>
      <c r="AA358" s="810">
        <f t="shared" ca="1" si="276"/>
        <v>121</v>
      </c>
      <c r="AB358" s="804"/>
      <c r="AC358" s="811">
        <f t="shared" ca="1" si="277"/>
        <v>43085</v>
      </c>
      <c r="AD358" s="798"/>
      <c r="AE358" s="794" t="str">
        <f t="shared" ca="1" si="278"/>
        <v>-</v>
      </c>
      <c r="AF358" s="798" t="str">
        <f t="shared" si="279"/>
        <v>-</v>
      </c>
      <c r="AG358" s="812" t="str">
        <f t="shared" si="280"/>
        <v>---------</v>
      </c>
      <c r="AH358" s="807">
        <v>43045</v>
      </c>
      <c r="AI358" s="807">
        <f t="shared" si="281"/>
        <v>43203</v>
      </c>
      <c r="AJ358" s="807">
        <f t="shared" si="282"/>
        <v>43233</v>
      </c>
      <c r="AK358" s="813"/>
      <c r="AL358" s="807">
        <f t="shared" si="283"/>
        <v>43272</v>
      </c>
      <c r="AM358" s="807">
        <f t="shared" si="284"/>
        <v>43293</v>
      </c>
      <c r="AN358" s="814">
        <f t="shared" ca="1" si="285"/>
        <v>-159</v>
      </c>
      <c r="AO358" s="815">
        <v>1</v>
      </c>
      <c r="AP358" s="816" t="str">
        <f t="shared" ca="1" si="286"/>
        <v>-</v>
      </c>
      <c r="AQ358" s="817"/>
      <c r="AR358" s="794" t="str">
        <f t="shared" si="287"/>
        <v>-</v>
      </c>
      <c r="AS358" s="818"/>
      <c r="AT358" s="794" t="str">
        <f t="shared" si="288"/>
        <v>-</v>
      </c>
      <c r="AU358" s="819"/>
      <c r="AV358" s="820"/>
      <c r="AW358" s="821"/>
      <c r="AX358" s="821"/>
      <c r="AY358" s="969" t="str">
        <f t="shared" si="289"/>
        <v>-</v>
      </c>
      <c r="AZ358" s="966" t="str">
        <f t="shared" si="290"/>
        <v>-</v>
      </c>
      <c r="BA358" s="971" t="str">
        <f t="shared" si="291"/>
        <v>-</v>
      </c>
      <c r="BB358" s="975"/>
      <c r="BC358" s="821"/>
      <c r="BD358" s="821"/>
      <c r="BE358" s="963" t="str">
        <f t="shared" si="292"/>
        <v>-</v>
      </c>
      <c r="BF358" s="984">
        <v>43033</v>
      </c>
      <c r="BG358" s="988" t="s">
        <v>3353</v>
      </c>
      <c r="BH358" s="986" t="s">
        <v>3354</v>
      </c>
      <c r="BI358" s="991">
        <v>5</v>
      </c>
      <c r="BJ358" s="991" t="s">
        <v>3356</v>
      </c>
      <c r="BK358" s="993">
        <f t="shared" ca="1" si="293"/>
        <v>101</v>
      </c>
      <c r="BL358" s="820">
        <v>42981</v>
      </c>
      <c r="BM358" s="821">
        <v>5</v>
      </c>
      <c r="BN358" s="822">
        <f t="shared" ca="1" si="294"/>
        <v>153</v>
      </c>
      <c r="BO358" s="823">
        <f t="shared" si="295"/>
        <v>49</v>
      </c>
      <c r="BP358" s="824"/>
      <c r="BQ358" s="821"/>
      <c r="BR358" s="822" t="str">
        <f t="shared" si="296"/>
        <v>-</v>
      </c>
      <c r="BS358" s="823" t="str">
        <f t="shared" si="297"/>
        <v>-</v>
      </c>
      <c r="BT358" s="825" t="str">
        <f t="shared" ca="1" si="298"/>
        <v>-</v>
      </c>
      <c r="BU358" s="826"/>
      <c r="BV358" s="827"/>
      <c r="BW358" s="828" t="str">
        <f t="shared" si="299"/>
        <v>Ж-Е НЕ ВАКЦ.</v>
      </c>
      <c r="BX358" s="829" t="str">
        <f t="shared" si="300"/>
        <v>-</v>
      </c>
      <c r="BY358" s="830" t="str">
        <f t="shared" ca="1" si="301"/>
        <v>-</v>
      </c>
      <c r="BZ358" s="831">
        <v>42887</v>
      </c>
      <c r="CA358" s="832">
        <v>5</v>
      </c>
      <c r="CB358" s="833">
        <f t="shared" ca="1" si="302"/>
        <v>247</v>
      </c>
      <c r="CC358" s="834" t="str">
        <f t="shared" ca="1" si="303"/>
        <v>-</v>
      </c>
      <c r="CD358" s="835">
        <f t="shared" si="304"/>
        <v>42908</v>
      </c>
      <c r="CE358" s="831">
        <v>42908</v>
      </c>
      <c r="CF358" s="832">
        <v>5</v>
      </c>
      <c r="CG358" s="833">
        <f t="shared" ca="1" si="305"/>
        <v>226</v>
      </c>
      <c r="CH358" s="836">
        <f t="shared" si="306"/>
        <v>0</v>
      </c>
      <c r="CI358" s="837" t="str">
        <f t="shared" si="307"/>
        <v>УСПЕШНО</v>
      </c>
      <c r="CJ358" s="838" t="str">
        <f t="shared" ca="1" si="308"/>
        <v>-</v>
      </c>
      <c r="CK358" s="831"/>
      <c r="CL358" s="832"/>
      <c r="CM358" s="833" t="str">
        <f t="shared" si="309"/>
        <v>-</v>
      </c>
      <c r="CN358" s="834" t="str">
        <f t="shared" si="310"/>
        <v>-</v>
      </c>
      <c r="CO358" s="830" t="str">
        <f t="shared" ca="1" si="311"/>
        <v>-</v>
      </c>
      <c r="CP358" s="839"/>
      <c r="CQ358" s="832"/>
      <c r="CR358" s="833" t="str">
        <f t="shared" si="312"/>
        <v>-</v>
      </c>
      <c r="CS358" s="833" t="str">
        <f t="shared" si="313"/>
        <v>-</v>
      </c>
      <c r="CT358" s="834" t="str">
        <f t="shared" si="314"/>
        <v>-</v>
      </c>
      <c r="CU358" s="835" t="str">
        <f t="shared" si="315"/>
        <v>-</v>
      </c>
      <c r="CV358" s="839"/>
      <c r="CW358" s="832"/>
      <c r="CX358" s="833" t="str">
        <f t="shared" si="316"/>
        <v>-</v>
      </c>
      <c r="CY358" s="840" t="str">
        <f t="shared" si="317"/>
        <v>-</v>
      </c>
      <c r="CZ358" s="833" t="str">
        <f t="shared" si="318"/>
        <v>-</v>
      </c>
      <c r="DA358" s="838" t="str">
        <f t="shared" ca="1" si="319"/>
        <v>-</v>
      </c>
      <c r="DB358" s="841"/>
      <c r="DC358" s="832"/>
    </row>
    <row r="359" spans="1:107" s="842" customFormat="1" ht="15.95" customHeight="1" x14ac:dyDescent="0.25">
      <c r="A359" s="790">
        <v>360</v>
      </c>
      <c r="B359" s="791">
        <f t="shared" ca="1" si="268"/>
        <v>43134</v>
      </c>
      <c r="C359" s="792" t="s">
        <v>613</v>
      </c>
      <c r="D359" s="793" t="s">
        <v>3204</v>
      </c>
      <c r="E359" s="794" t="s">
        <v>527</v>
      </c>
      <c r="F359" s="795" t="s">
        <v>528</v>
      </c>
      <c r="G359" s="796">
        <f>SUMIFS(МОЛОКО!L8:L6958,МОЛОКО!F8:F6958,"13318",МОЛОКО!L8:L6958,"&gt;0")</f>
        <v>4.5999999999999996</v>
      </c>
      <c r="H359" s="797" t="s">
        <v>620</v>
      </c>
      <c r="I359" s="798">
        <v>41566</v>
      </c>
      <c r="J359" s="799">
        <f t="shared" ca="1" si="269"/>
        <v>4.2958904109589042</v>
      </c>
      <c r="K359" s="799">
        <f t="shared" ca="1" si="270"/>
        <v>52.266666666666666</v>
      </c>
      <c r="L359" s="800">
        <f t="shared" ca="1" si="271"/>
        <v>1568</v>
      </c>
      <c r="M359" s="801">
        <v>42420</v>
      </c>
      <c r="N359" s="802">
        <v>42806</v>
      </c>
      <c r="O359" s="803">
        <f t="shared" ca="1" si="272"/>
        <v>328</v>
      </c>
      <c r="P359" s="804">
        <v>2</v>
      </c>
      <c r="Q359" s="805" t="s">
        <v>1451</v>
      </c>
      <c r="R359" s="806" t="s">
        <v>2663</v>
      </c>
      <c r="S359" s="807">
        <v>42866</v>
      </c>
      <c r="T359" s="798">
        <v>42866</v>
      </c>
      <c r="U359" s="798" t="str">
        <f t="shared" si="273"/>
        <v>-</v>
      </c>
      <c r="V359" s="804" t="str">
        <f t="shared" ca="1" si="274"/>
        <v>-</v>
      </c>
      <c r="W359" s="808">
        <v>1</v>
      </c>
      <c r="X359" s="794">
        <f t="shared" si="267"/>
        <v>60</v>
      </c>
      <c r="Y359" s="794">
        <v>1</v>
      </c>
      <c r="Z359" s="809" t="str">
        <f t="shared" ca="1" si="275"/>
        <v>-----</v>
      </c>
      <c r="AA359" s="810" t="str">
        <f t="shared" ca="1" si="276"/>
        <v>-----</v>
      </c>
      <c r="AB359" s="804">
        <v>1</v>
      </c>
      <c r="AC359" s="811" t="str">
        <f t="shared" ca="1" si="277"/>
        <v>-----</v>
      </c>
      <c r="AD359" s="798">
        <v>42935</v>
      </c>
      <c r="AE359" s="794" t="str">
        <f t="shared" ca="1" si="278"/>
        <v>-</v>
      </c>
      <c r="AF359" s="798" t="str">
        <f t="shared" si="279"/>
        <v>-</v>
      </c>
      <c r="AG359" s="812" t="str">
        <f t="shared" si="280"/>
        <v>---------</v>
      </c>
      <c r="AH359" s="807">
        <v>42900</v>
      </c>
      <c r="AI359" s="807">
        <f t="shared" si="281"/>
        <v>43056</v>
      </c>
      <c r="AJ359" s="807">
        <f t="shared" si="282"/>
        <v>43086</v>
      </c>
      <c r="AK359" s="813"/>
      <c r="AL359" s="807">
        <f t="shared" si="283"/>
        <v>43125</v>
      </c>
      <c r="AM359" s="807">
        <f t="shared" si="284"/>
        <v>43146</v>
      </c>
      <c r="AN359" s="814">
        <f t="shared" ca="1" si="285"/>
        <v>-12</v>
      </c>
      <c r="AO359" s="815">
        <v>1</v>
      </c>
      <c r="AP359" s="816" t="str">
        <f t="shared" ca="1" si="286"/>
        <v>-</v>
      </c>
      <c r="AQ359" s="817"/>
      <c r="AR359" s="794" t="str">
        <f t="shared" si="287"/>
        <v>-</v>
      </c>
      <c r="AS359" s="818"/>
      <c r="AT359" s="794" t="str">
        <f t="shared" si="288"/>
        <v>-</v>
      </c>
      <c r="AU359" s="819"/>
      <c r="AV359" s="820"/>
      <c r="AW359" s="821"/>
      <c r="AX359" s="821"/>
      <c r="AY359" s="969" t="str">
        <f t="shared" si="289"/>
        <v>-</v>
      </c>
      <c r="AZ359" s="966" t="str">
        <f t="shared" si="290"/>
        <v>-</v>
      </c>
      <c r="BA359" s="971" t="str">
        <f t="shared" si="291"/>
        <v>-</v>
      </c>
      <c r="BB359" s="975"/>
      <c r="BC359" s="821"/>
      <c r="BD359" s="821"/>
      <c r="BE359" s="963" t="str">
        <f t="shared" si="292"/>
        <v>-</v>
      </c>
      <c r="BF359" s="984"/>
      <c r="BG359" s="988"/>
      <c r="BH359" s="982"/>
      <c r="BI359" s="991"/>
      <c r="BJ359" s="991"/>
      <c r="BK359" s="993" t="str">
        <f t="shared" si="293"/>
        <v>-</v>
      </c>
      <c r="BL359" s="820">
        <v>42981</v>
      </c>
      <c r="BM359" s="821">
        <v>5</v>
      </c>
      <c r="BN359" s="822">
        <f t="shared" ca="1" si="294"/>
        <v>153</v>
      </c>
      <c r="BO359" s="823">
        <f t="shared" si="295"/>
        <v>47.166666666666664</v>
      </c>
      <c r="BP359" s="824">
        <v>43001</v>
      </c>
      <c r="BQ359" s="821">
        <v>2</v>
      </c>
      <c r="BR359" s="822">
        <f t="shared" ca="1" si="296"/>
        <v>133</v>
      </c>
      <c r="BS359" s="823">
        <f t="shared" si="297"/>
        <v>19.366666666666667</v>
      </c>
      <c r="BT359" s="825" t="str">
        <f t="shared" ca="1" si="298"/>
        <v>-</v>
      </c>
      <c r="BU359" s="826"/>
      <c r="BV359" s="827"/>
      <c r="BW359" s="828" t="str">
        <f t="shared" si="299"/>
        <v>Ж-Е НЕ ВАКЦ.</v>
      </c>
      <c r="BX359" s="829" t="str">
        <f t="shared" si="300"/>
        <v>-</v>
      </c>
      <c r="BY359" s="830" t="str">
        <f t="shared" ca="1" si="301"/>
        <v>-</v>
      </c>
      <c r="BZ359" s="831">
        <v>42887</v>
      </c>
      <c r="CA359" s="832">
        <v>5</v>
      </c>
      <c r="CB359" s="833">
        <f t="shared" ca="1" si="302"/>
        <v>247</v>
      </c>
      <c r="CC359" s="834" t="str">
        <f t="shared" ca="1" si="303"/>
        <v>-</v>
      </c>
      <c r="CD359" s="835">
        <f t="shared" si="304"/>
        <v>42908</v>
      </c>
      <c r="CE359" s="831">
        <v>42908</v>
      </c>
      <c r="CF359" s="832">
        <v>5</v>
      </c>
      <c r="CG359" s="833">
        <f t="shared" ca="1" si="305"/>
        <v>226</v>
      </c>
      <c r="CH359" s="836">
        <f t="shared" si="306"/>
        <v>0</v>
      </c>
      <c r="CI359" s="837" t="str">
        <f t="shared" si="307"/>
        <v>УСПЕШНО</v>
      </c>
      <c r="CJ359" s="838" t="str">
        <f t="shared" ca="1" si="308"/>
        <v>-</v>
      </c>
      <c r="CK359" s="831"/>
      <c r="CL359" s="832"/>
      <c r="CM359" s="833" t="str">
        <f t="shared" si="309"/>
        <v>-</v>
      </c>
      <c r="CN359" s="834" t="str">
        <f t="shared" si="310"/>
        <v>-</v>
      </c>
      <c r="CO359" s="830" t="str">
        <f t="shared" ca="1" si="311"/>
        <v>ТРЕБУЕТСЯ ВАКЦИНАЦИЯ</v>
      </c>
      <c r="CP359" s="839"/>
      <c r="CQ359" s="832"/>
      <c r="CR359" s="833" t="str">
        <f t="shared" si="312"/>
        <v>-</v>
      </c>
      <c r="CS359" s="833" t="str">
        <f t="shared" si="313"/>
        <v>-</v>
      </c>
      <c r="CT359" s="834" t="str">
        <f t="shared" si="314"/>
        <v>-</v>
      </c>
      <c r="CU359" s="835" t="str">
        <f t="shared" si="315"/>
        <v>-</v>
      </c>
      <c r="CV359" s="839"/>
      <c r="CW359" s="832"/>
      <c r="CX359" s="833" t="str">
        <f t="shared" si="316"/>
        <v>-</v>
      </c>
      <c r="CY359" s="840" t="str">
        <f t="shared" si="317"/>
        <v>-</v>
      </c>
      <c r="CZ359" s="833" t="str">
        <f t="shared" si="318"/>
        <v>-</v>
      </c>
      <c r="DA359" s="838" t="str">
        <f t="shared" ca="1" si="319"/>
        <v>-</v>
      </c>
      <c r="DB359" s="841"/>
      <c r="DC359" s="832"/>
    </row>
    <row r="360" spans="1:107" s="842" customFormat="1" ht="15.95" customHeight="1" x14ac:dyDescent="0.25">
      <c r="A360" s="790">
        <v>361</v>
      </c>
      <c r="B360" s="791">
        <f t="shared" ca="1" si="268"/>
        <v>43134</v>
      </c>
      <c r="C360" s="792" t="s">
        <v>613</v>
      </c>
      <c r="D360" s="793" t="s">
        <v>3204</v>
      </c>
      <c r="E360" s="794" t="s">
        <v>676</v>
      </c>
      <c r="F360" s="795" t="s">
        <v>677</v>
      </c>
      <c r="G360" s="796">
        <f>SUMIFS(МОЛОКО!L8:L6958,МОЛОКО!F8:F6958,"13343",МОЛОКО!L8:L6958,"&gt;0")</f>
        <v>21.5</v>
      </c>
      <c r="H360" s="797" t="s">
        <v>620</v>
      </c>
      <c r="I360" s="798">
        <v>41584</v>
      </c>
      <c r="J360" s="799">
        <f t="shared" ca="1" si="269"/>
        <v>4.2465753424657535</v>
      </c>
      <c r="K360" s="799">
        <f t="shared" ca="1" si="270"/>
        <v>51.666666666666664</v>
      </c>
      <c r="L360" s="800">
        <f t="shared" ca="1" si="271"/>
        <v>1550</v>
      </c>
      <c r="M360" s="801">
        <v>42396</v>
      </c>
      <c r="N360" s="802">
        <v>42763</v>
      </c>
      <c r="O360" s="803">
        <f t="shared" ca="1" si="272"/>
        <v>371</v>
      </c>
      <c r="P360" s="804">
        <v>2</v>
      </c>
      <c r="Q360" s="805" t="s">
        <v>2366</v>
      </c>
      <c r="R360" s="806" t="s">
        <v>2663</v>
      </c>
      <c r="S360" s="807">
        <v>42824</v>
      </c>
      <c r="T360" s="798">
        <v>42870</v>
      </c>
      <c r="U360" s="798" t="str">
        <f t="shared" si="273"/>
        <v>-</v>
      </c>
      <c r="V360" s="804" t="str">
        <f t="shared" ca="1" si="274"/>
        <v>-</v>
      </c>
      <c r="W360" s="808">
        <v>2</v>
      </c>
      <c r="X360" s="794">
        <f t="shared" si="267"/>
        <v>107</v>
      </c>
      <c r="Y360" s="794">
        <v>1</v>
      </c>
      <c r="Z360" s="809" t="str">
        <f t="shared" ca="1" si="275"/>
        <v>-----</v>
      </c>
      <c r="AA360" s="810" t="str">
        <f t="shared" ca="1" si="276"/>
        <v>-----</v>
      </c>
      <c r="AB360" s="804">
        <v>1</v>
      </c>
      <c r="AC360" s="811" t="str">
        <f t="shared" ca="1" si="277"/>
        <v>-----</v>
      </c>
      <c r="AD360" s="798"/>
      <c r="AE360" s="794" t="str">
        <f t="shared" ca="1" si="278"/>
        <v>-</v>
      </c>
      <c r="AF360" s="798" t="str">
        <f t="shared" si="279"/>
        <v>-</v>
      </c>
      <c r="AG360" s="812" t="str">
        <f t="shared" si="280"/>
        <v>---------</v>
      </c>
      <c r="AH360" s="807">
        <v>42971</v>
      </c>
      <c r="AI360" s="807">
        <f t="shared" si="281"/>
        <v>43060</v>
      </c>
      <c r="AJ360" s="807">
        <f t="shared" si="282"/>
        <v>43090</v>
      </c>
      <c r="AK360" s="813"/>
      <c r="AL360" s="807">
        <f t="shared" si="283"/>
        <v>43129</v>
      </c>
      <c r="AM360" s="807">
        <f t="shared" si="284"/>
        <v>43150</v>
      </c>
      <c r="AN360" s="814">
        <f t="shared" ca="1" si="285"/>
        <v>-16</v>
      </c>
      <c r="AO360" s="815">
        <v>1</v>
      </c>
      <c r="AP360" s="816" t="str">
        <f t="shared" ca="1" si="286"/>
        <v>-</v>
      </c>
      <c r="AQ360" s="817"/>
      <c r="AR360" s="794" t="str">
        <f t="shared" si="287"/>
        <v>-</v>
      </c>
      <c r="AS360" s="818"/>
      <c r="AT360" s="794" t="str">
        <f t="shared" si="288"/>
        <v>-</v>
      </c>
      <c r="AU360" s="819"/>
      <c r="AV360" s="820"/>
      <c r="AW360" s="821"/>
      <c r="AX360" s="821"/>
      <c r="AY360" s="969" t="str">
        <f t="shared" si="289"/>
        <v>-</v>
      </c>
      <c r="AZ360" s="966" t="str">
        <f t="shared" si="290"/>
        <v>-</v>
      </c>
      <c r="BA360" s="971" t="str">
        <f t="shared" si="291"/>
        <v>-</v>
      </c>
      <c r="BB360" s="975"/>
      <c r="BC360" s="821"/>
      <c r="BD360" s="821"/>
      <c r="BE360" s="963" t="str">
        <f t="shared" si="292"/>
        <v>-</v>
      </c>
      <c r="BF360" s="984"/>
      <c r="BG360" s="988"/>
      <c r="BH360" s="982"/>
      <c r="BI360" s="991"/>
      <c r="BJ360" s="991"/>
      <c r="BK360" s="993" t="str">
        <f t="shared" si="293"/>
        <v>-</v>
      </c>
      <c r="BL360" s="820">
        <v>42981</v>
      </c>
      <c r="BM360" s="821">
        <v>5</v>
      </c>
      <c r="BN360" s="822">
        <f t="shared" ca="1" si="294"/>
        <v>153</v>
      </c>
      <c r="BO360" s="823">
        <f t="shared" si="295"/>
        <v>46.56666666666667</v>
      </c>
      <c r="BP360" s="824">
        <v>43001</v>
      </c>
      <c r="BQ360" s="821">
        <v>2</v>
      </c>
      <c r="BR360" s="822">
        <f t="shared" ca="1" si="296"/>
        <v>133</v>
      </c>
      <c r="BS360" s="823">
        <f t="shared" si="297"/>
        <v>20.166666666666668</v>
      </c>
      <c r="BT360" s="825" t="str">
        <f t="shared" ca="1" si="298"/>
        <v>-</v>
      </c>
      <c r="BU360" s="826"/>
      <c r="BV360" s="827"/>
      <c r="BW360" s="828" t="str">
        <f t="shared" si="299"/>
        <v>Ж-Е НЕ ВАКЦ.</v>
      </c>
      <c r="BX360" s="829" t="str">
        <f t="shared" si="300"/>
        <v>-</v>
      </c>
      <c r="BY360" s="830" t="str">
        <f t="shared" ca="1" si="301"/>
        <v>-</v>
      </c>
      <c r="BZ360" s="831">
        <v>42887</v>
      </c>
      <c r="CA360" s="832">
        <v>5</v>
      </c>
      <c r="CB360" s="833">
        <f t="shared" ca="1" si="302"/>
        <v>247</v>
      </c>
      <c r="CC360" s="834" t="str">
        <f t="shared" ca="1" si="303"/>
        <v>-</v>
      </c>
      <c r="CD360" s="835">
        <f t="shared" si="304"/>
        <v>42908</v>
      </c>
      <c r="CE360" s="831">
        <v>42908</v>
      </c>
      <c r="CF360" s="832">
        <v>5</v>
      </c>
      <c r="CG360" s="833">
        <f t="shared" ca="1" si="305"/>
        <v>226</v>
      </c>
      <c r="CH360" s="836">
        <f t="shared" si="306"/>
        <v>0</v>
      </c>
      <c r="CI360" s="837" t="str">
        <f t="shared" si="307"/>
        <v>УСПЕШНО</v>
      </c>
      <c r="CJ360" s="838" t="str">
        <f t="shared" ca="1" si="308"/>
        <v>-</v>
      </c>
      <c r="CK360" s="831"/>
      <c r="CL360" s="832"/>
      <c r="CM360" s="833" t="str">
        <f t="shared" si="309"/>
        <v>-</v>
      </c>
      <c r="CN360" s="834" t="str">
        <f t="shared" si="310"/>
        <v>-</v>
      </c>
      <c r="CO360" s="830" t="str">
        <f t="shared" ca="1" si="311"/>
        <v>ТРЕБУЕТСЯ ВАКЦИНАЦИЯ</v>
      </c>
      <c r="CP360" s="839"/>
      <c r="CQ360" s="832"/>
      <c r="CR360" s="833" t="str">
        <f t="shared" si="312"/>
        <v>-</v>
      </c>
      <c r="CS360" s="833" t="str">
        <f t="shared" si="313"/>
        <v>-</v>
      </c>
      <c r="CT360" s="834" t="str">
        <f t="shared" si="314"/>
        <v>-</v>
      </c>
      <c r="CU360" s="835" t="str">
        <f t="shared" si="315"/>
        <v>-</v>
      </c>
      <c r="CV360" s="839"/>
      <c r="CW360" s="832"/>
      <c r="CX360" s="833" t="str">
        <f t="shared" si="316"/>
        <v>-</v>
      </c>
      <c r="CY360" s="840" t="str">
        <f t="shared" si="317"/>
        <v>-</v>
      </c>
      <c r="CZ360" s="833" t="str">
        <f t="shared" si="318"/>
        <v>-</v>
      </c>
      <c r="DA360" s="838" t="str">
        <f t="shared" ca="1" si="319"/>
        <v>-</v>
      </c>
      <c r="DB360" s="841"/>
      <c r="DC360" s="832"/>
    </row>
    <row r="361" spans="1:107" s="842" customFormat="1" ht="15.95" customHeight="1" x14ac:dyDescent="0.25">
      <c r="A361" s="790">
        <v>362</v>
      </c>
      <c r="B361" s="791">
        <f t="shared" ca="1" si="268"/>
        <v>43134</v>
      </c>
      <c r="C361" s="792" t="s">
        <v>613</v>
      </c>
      <c r="D361" s="793" t="s">
        <v>3204</v>
      </c>
      <c r="E361" s="794" t="s">
        <v>943</v>
      </c>
      <c r="F361" s="795" t="s">
        <v>1391</v>
      </c>
      <c r="G361" s="796">
        <f>SUMIFS(МОЛОКО!L8:L6958,МОЛОКО!F8:F6958,"13373",МОЛОКО!L8:L6958,"&gt;0")</f>
        <v>14</v>
      </c>
      <c r="H361" s="797" t="s">
        <v>87</v>
      </c>
      <c r="I361" s="798">
        <v>41604</v>
      </c>
      <c r="J361" s="799">
        <f t="shared" ca="1" si="269"/>
        <v>4.1917808219178081</v>
      </c>
      <c r="K361" s="799">
        <f t="shared" ca="1" si="270"/>
        <v>51</v>
      </c>
      <c r="L361" s="800">
        <f t="shared" ca="1" si="271"/>
        <v>1530</v>
      </c>
      <c r="M361" s="801">
        <v>42453</v>
      </c>
      <c r="N361" s="802">
        <v>42810</v>
      </c>
      <c r="O361" s="803">
        <f t="shared" ca="1" si="272"/>
        <v>324</v>
      </c>
      <c r="P361" s="804">
        <v>2</v>
      </c>
      <c r="Q361" s="805" t="s">
        <v>1451</v>
      </c>
      <c r="R361" s="806" t="s">
        <v>2335</v>
      </c>
      <c r="S361" s="807">
        <v>42874</v>
      </c>
      <c r="T361" s="798">
        <v>42874</v>
      </c>
      <c r="U361" s="798" t="str">
        <f t="shared" si="273"/>
        <v>-</v>
      </c>
      <c r="V361" s="804" t="str">
        <f t="shared" ca="1" si="274"/>
        <v>-</v>
      </c>
      <c r="W361" s="808">
        <v>1</v>
      </c>
      <c r="X361" s="794">
        <f t="shared" si="267"/>
        <v>64</v>
      </c>
      <c r="Y361" s="794">
        <v>1</v>
      </c>
      <c r="Z361" s="809" t="str">
        <f t="shared" ca="1" si="275"/>
        <v>-----</v>
      </c>
      <c r="AA361" s="810" t="str">
        <f t="shared" ca="1" si="276"/>
        <v>-----</v>
      </c>
      <c r="AB361" s="804">
        <v>1</v>
      </c>
      <c r="AC361" s="811" t="str">
        <f t="shared" ca="1" si="277"/>
        <v>-----</v>
      </c>
      <c r="AD361" s="798">
        <v>42935</v>
      </c>
      <c r="AE361" s="794" t="str">
        <f t="shared" ca="1" si="278"/>
        <v>-</v>
      </c>
      <c r="AF361" s="798" t="str">
        <f t="shared" si="279"/>
        <v>-</v>
      </c>
      <c r="AG361" s="812" t="str">
        <f t="shared" si="280"/>
        <v>---------</v>
      </c>
      <c r="AH361" s="807">
        <v>42910</v>
      </c>
      <c r="AI361" s="807">
        <f t="shared" si="281"/>
        <v>43064</v>
      </c>
      <c r="AJ361" s="807">
        <f t="shared" si="282"/>
        <v>43094</v>
      </c>
      <c r="AK361" s="813"/>
      <c r="AL361" s="807">
        <f t="shared" si="283"/>
        <v>43133</v>
      </c>
      <c r="AM361" s="807">
        <f t="shared" si="284"/>
        <v>43154</v>
      </c>
      <c r="AN361" s="814">
        <f t="shared" ca="1" si="285"/>
        <v>-20</v>
      </c>
      <c r="AO361" s="815">
        <v>1</v>
      </c>
      <c r="AP361" s="816" t="str">
        <f t="shared" ca="1" si="286"/>
        <v>-</v>
      </c>
      <c r="AQ361" s="817"/>
      <c r="AR361" s="794" t="str">
        <f t="shared" si="287"/>
        <v>-</v>
      </c>
      <c r="AS361" s="818"/>
      <c r="AT361" s="794" t="str">
        <f t="shared" si="288"/>
        <v>-</v>
      </c>
      <c r="AU361" s="819"/>
      <c r="AV361" s="820"/>
      <c r="AW361" s="821"/>
      <c r="AX361" s="821"/>
      <c r="AY361" s="969" t="str">
        <f t="shared" si="289"/>
        <v>-</v>
      </c>
      <c r="AZ361" s="966" t="str">
        <f t="shared" si="290"/>
        <v>-</v>
      </c>
      <c r="BA361" s="971" t="str">
        <f t="shared" si="291"/>
        <v>-</v>
      </c>
      <c r="BB361" s="975"/>
      <c r="BC361" s="821"/>
      <c r="BD361" s="821"/>
      <c r="BE361" s="963" t="str">
        <f t="shared" si="292"/>
        <v>-</v>
      </c>
      <c r="BF361" s="984"/>
      <c r="BG361" s="988"/>
      <c r="BH361" s="982"/>
      <c r="BI361" s="991"/>
      <c r="BJ361" s="991"/>
      <c r="BK361" s="993" t="str">
        <f t="shared" si="293"/>
        <v>-</v>
      </c>
      <c r="BL361" s="820">
        <v>42981</v>
      </c>
      <c r="BM361" s="821">
        <v>5</v>
      </c>
      <c r="BN361" s="822">
        <f t="shared" ca="1" si="294"/>
        <v>153</v>
      </c>
      <c r="BO361" s="823">
        <f t="shared" si="295"/>
        <v>45.9</v>
      </c>
      <c r="BP361" s="824">
        <v>43001</v>
      </c>
      <c r="BQ361" s="821">
        <v>2</v>
      </c>
      <c r="BR361" s="822">
        <f t="shared" ca="1" si="296"/>
        <v>133</v>
      </c>
      <c r="BS361" s="823">
        <f t="shared" si="297"/>
        <v>18.266666666666666</v>
      </c>
      <c r="BT361" s="825" t="str">
        <f t="shared" ca="1" si="298"/>
        <v>-</v>
      </c>
      <c r="BU361" s="826"/>
      <c r="BV361" s="827"/>
      <c r="BW361" s="828" t="str">
        <f t="shared" si="299"/>
        <v>Ж-Е НЕ ВАКЦ.</v>
      </c>
      <c r="BX361" s="829" t="str">
        <f t="shared" si="300"/>
        <v>-</v>
      </c>
      <c r="BY361" s="830" t="str">
        <f t="shared" ca="1" si="301"/>
        <v>-</v>
      </c>
      <c r="BZ361" s="831">
        <v>42887</v>
      </c>
      <c r="CA361" s="832">
        <v>5</v>
      </c>
      <c r="CB361" s="833">
        <f t="shared" ca="1" si="302"/>
        <v>247</v>
      </c>
      <c r="CC361" s="834" t="str">
        <f t="shared" ca="1" si="303"/>
        <v>-</v>
      </c>
      <c r="CD361" s="835">
        <f t="shared" si="304"/>
        <v>42908</v>
      </c>
      <c r="CE361" s="831">
        <v>42908</v>
      </c>
      <c r="CF361" s="832">
        <v>5</v>
      </c>
      <c r="CG361" s="833">
        <f t="shared" ca="1" si="305"/>
        <v>226</v>
      </c>
      <c r="CH361" s="836">
        <f t="shared" si="306"/>
        <v>0</v>
      </c>
      <c r="CI361" s="837" t="str">
        <f t="shared" si="307"/>
        <v>УСПЕШНО</v>
      </c>
      <c r="CJ361" s="838" t="str">
        <f t="shared" ca="1" si="308"/>
        <v>-</v>
      </c>
      <c r="CK361" s="831"/>
      <c r="CL361" s="832"/>
      <c r="CM361" s="833" t="str">
        <f t="shared" si="309"/>
        <v>-</v>
      </c>
      <c r="CN361" s="834" t="str">
        <f t="shared" si="310"/>
        <v>-</v>
      </c>
      <c r="CO361" s="830" t="str">
        <f t="shared" ca="1" si="311"/>
        <v>ТРЕБУЕТСЯ ВАКЦИНАЦИЯ</v>
      </c>
      <c r="CP361" s="839"/>
      <c r="CQ361" s="832"/>
      <c r="CR361" s="833" t="str">
        <f t="shared" si="312"/>
        <v>-</v>
      </c>
      <c r="CS361" s="833" t="str">
        <f t="shared" si="313"/>
        <v>-</v>
      </c>
      <c r="CT361" s="834" t="str">
        <f t="shared" si="314"/>
        <v>-</v>
      </c>
      <c r="CU361" s="835" t="str">
        <f t="shared" si="315"/>
        <v>-</v>
      </c>
      <c r="CV361" s="839"/>
      <c r="CW361" s="832"/>
      <c r="CX361" s="833" t="str">
        <f t="shared" si="316"/>
        <v>-</v>
      </c>
      <c r="CY361" s="840" t="str">
        <f t="shared" si="317"/>
        <v>-</v>
      </c>
      <c r="CZ361" s="833" t="str">
        <f t="shared" si="318"/>
        <v>-</v>
      </c>
      <c r="DA361" s="838" t="str">
        <f t="shared" ca="1" si="319"/>
        <v>-</v>
      </c>
      <c r="DB361" s="841"/>
      <c r="DC361" s="832"/>
    </row>
    <row r="362" spans="1:107" s="842" customFormat="1" ht="15.95" customHeight="1" x14ac:dyDescent="0.25">
      <c r="A362" s="790">
        <v>363</v>
      </c>
      <c r="B362" s="791">
        <f t="shared" ca="1" si="268"/>
        <v>43134</v>
      </c>
      <c r="C362" s="29" t="s">
        <v>613</v>
      </c>
      <c r="D362" s="59" t="s">
        <v>3204</v>
      </c>
      <c r="E362" s="794" t="s">
        <v>446</v>
      </c>
      <c r="F362" s="795" t="s">
        <v>447</v>
      </c>
      <c r="G362" s="796">
        <f>SUMIFS(МОЛОКО!L8:L6958,МОЛОКО!F8:F6958,"277260",МОЛОКО!L8:L6958,"&gt;0")</f>
        <v>23.4</v>
      </c>
      <c r="H362" s="797" t="s">
        <v>78</v>
      </c>
      <c r="I362" s="798">
        <v>41327</v>
      </c>
      <c r="J362" s="799">
        <f t="shared" ca="1" si="269"/>
        <v>4.9506849315068493</v>
      </c>
      <c r="K362" s="799">
        <f t="shared" ca="1" si="270"/>
        <v>60.233333333333334</v>
      </c>
      <c r="L362" s="800">
        <f t="shared" ca="1" si="271"/>
        <v>1807</v>
      </c>
      <c r="M362" s="801">
        <v>42173</v>
      </c>
      <c r="N362" s="802">
        <v>42712</v>
      </c>
      <c r="O362" s="803">
        <f t="shared" ca="1" si="272"/>
        <v>422</v>
      </c>
      <c r="P362" s="804">
        <v>2</v>
      </c>
      <c r="Q362" s="805" t="s">
        <v>1451</v>
      </c>
      <c r="R362" s="806" t="s">
        <v>2966</v>
      </c>
      <c r="S362" s="807">
        <v>42775</v>
      </c>
      <c r="T362" s="798">
        <v>43016</v>
      </c>
      <c r="U362" s="798" t="str">
        <f t="shared" si="273"/>
        <v>-</v>
      </c>
      <c r="V362" s="804" t="str">
        <f t="shared" ca="1" si="274"/>
        <v>-</v>
      </c>
      <c r="W362" s="808">
        <v>4</v>
      </c>
      <c r="X362" s="794">
        <f t="shared" si="267"/>
        <v>304</v>
      </c>
      <c r="Y362" s="794">
        <v>1</v>
      </c>
      <c r="Z362" s="809" t="str">
        <f t="shared" ca="1" si="275"/>
        <v>ПОДЛЕЖИТ ПЕРЕПРОВЕРКЕ</v>
      </c>
      <c r="AA362" s="810">
        <f t="shared" ca="1" si="276"/>
        <v>118</v>
      </c>
      <c r="AB362" s="804"/>
      <c r="AC362" s="811">
        <f t="shared" ca="1" si="277"/>
        <v>43088</v>
      </c>
      <c r="AD362" s="798"/>
      <c r="AE362" s="794" t="str">
        <f t="shared" ca="1" si="278"/>
        <v>-</v>
      </c>
      <c r="AF362" s="798" t="str">
        <f t="shared" si="279"/>
        <v>-</v>
      </c>
      <c r="AG362" s="812" t="str">
        <f t="shared" si="280"/>
        <v>---------</v>
      </c>
      <c r="AH362" s="807">
        <v>43045</v>
      </c>
      <c r="AI362" s="807">
        <f t="shared" si="281"/>
        <v>43206</v>
      </c>
      <c r="AJ362" s="807">
        <f t="shared" si="282"/>
        <v>43236</v>
      </c>
      <c r="AK362" s="813"/>
      <c r="AL362" s="807">
        <f t="shared" si="283"/>
        <v>43275</v>
      </c>
      <c r="AM362" s="807">
        <f t="shared" si="284"/>
        <v>43296</v>
      </c>
      <c r="AN362" s="814">
        <f t="shared" ca="1" si="285"/>
        <v>-162</v>
      </c>
      <c r="AO362" s="815">
        <v>1</v>
      </c>
      <c r="AP362" s="816" t="str">
        <f t="shared" ca="1" si="286"/>
        <v>-</v>
      </c>
      <c r="AQ362" s="817"/>
      <c r="AR362" s="794" t="str">
        <f t="shared" si="287"/>
        <v>-</v>
      </c>
      <c r="AS362" s="818"/>
      <c r="AT362" s="794" t="str">
        <f t="shared" si="288"/>
        <v>-</v>
      </c>
      <c r="AU362" s="819"/>
      <c r="AV362" s="820"/>
      <c r="AW362" s="821"/>
      <c r="AX362" s="821"/>
      <c r="AY362" s="969" t="str">
        <f t="shared" si="289"/>
        <v>-</v>
      </c>
      <c r="AZ362" s="966" t="str">
        <f t="shared" si="290"/>
        <v>-</v>
      </c>
      <c r="BA362" s="971" t="str">
        <f t="shared" si="291"/>
        <v>-</v>
      </c>
      <c r="BB362" s="975"/>
      <c r="BC362" s="821"/>
      <c r="BD362" s="821"/>
      <c r="BE362" s="963" t="str">
        <f t="shared" si="292"/>
        <v>-</v>
      </c>
      <c r="BF362" s="984"/>
      <c r="BG362" s="988"/>
      <c r="BH362" s="982"/>
      <c r="BI362" s="991"/>
      <c r="BJ362" s="991"/>
      <c r="BK362" s="993" t="str">
        <f t="shared" si="293"/>
        <v>-</v>
      </c>
      <c r="BL362" s="820">
        <v>42981</v>
      </c>
      <c r="BM362" s="821">
        <v>5</v>
      </c>
      <c r="BN362" s="822">
        <f t="shared" ca="1" si="294"/>
        <v>153</v>
      </c>
      <c r="BO362" s="823">
        <f t="shared" si="295"/>
        <v>55.133333333333333</v>
      </c>
      <c r="BP362" s="824"/>
      <c r="BQ362" s="821"/>
      <c r="BR362" s="822" t="str">
        <f t="shared" si="296"/>
        <v>-</v>
      </c>
      <c r="BS362" s="823" t="str">
        <f t="shared" si="297"/>
        <v>-</v>
      </c>
      <c r="BT362" s="825" t="str">
        <f t="shared" ca="1" si="298"/>
        <v>-</v>
      </c>
      <c r="BU362" s="826"/>
      <c r="BV362" s="827"/>
      <c r="BW362" s="828" t="str">
        <f t="shared" si="299"/>
        <v>Ж-Е НЕ ВАКЦ.</v>
      </c>
      <c r="BX362" s="829" t="str">
        <f t="shared" si="300"/>
        <v>-</v>
      </c>
      <c r="BY362" s="830" t="str">
        <f t="shared" ca="1" si="301"/>
        <v>-</v>
      </c>
      <c r="BZ362" s="831">
        <v>42887</v>
      </c>
      <c r="CA362" s="832">
        <v>5</v>
      </c>
      <c r="CB362" s="833">
        <f t="shared" ca="1" si="302"/>
        <v>247</v>
      </c>
      <c r="CC362" s="834" t="str">
        <f t="shared" ca="1" si="303"/>
        <v>-</v>
      </c>
      <c r="CD362" s="835">
        <f t="shared" si="304"/>
        <v>42908</v>
      </c>
      <c r="CE362" s="831">
        <v>42908</v>
      </c>
      <c r="CF362" s="832">
        <v>5</v>
      </c>
      <c r="CG362" s="833">
        <f t="shared" ca="1" si="305"/>
        <v>226</v>
      </c>
      <c r="CH362" s="836">
        <f t="shared" si="306"/>
        <v>0</v>
      </c>
      <c r="CI362" s="837" t="str">
        <f t="shared" si="307"/>
        <v>УСПЕШНО</v>
      </c>
      <c r="CJ362" s="838" t="str">
        <f t="shared" ca="1" si="308"/>
        <v>-</v>
      </c>
      <c r="CK362" s="831"/>
      <c r="CL362" s="832"/>
      <c r="CM362" s="833" t="str">
        <f t="shared" si="309"/>
        <v>-</v>
      </c>
      <c r="CN362" s="834" t="str">
        <f t="shared" si="310"/>
        <v>-</v>
      </c>
      <c r="CO362" s="830" t="str">
        <f t="shared" ca="1" si="311"/>
        <v>-</v>
      </c>
      <c r="CP362" s="839"/>
      <c r="CQ362" s="832"/>
      <c r="CR362" s="833" t="str">
        <f t="shared" si="312"/>
        <v>-</v>
      </c>
      <c r="CS362" s="833" t="str">
        <f t="shared" si="313"/>
        <v>-</v>
      </c>
      <c r="CT362" s="834" t="str">
        <f t="shared" si="314"/>
        <v>-</v>
      </c>
      <c r="CU362" s="835" t="str">
        <f t="shared" si="315"/>
        <v>-</v>
      </c>
      <c r="CV362" s="839"/>
      <c r="CW362" s="832"/>
      <c r="CX362" s="833" t="str">
        <f t="shared" si="316"/>
        <v>-</v>
      </c>
      <c r="CY362" s="840" t="str">
        <f t="shared" si="317"/>
        <v>-</v>
      </c>
      <c r="CZ362" s="833" t="str">
        <f t="shared" si="318"/>
        <v>-</v>
      </c>
      <c r="DA362" s="838" t="str">
        <f t="shared" ca="1" si="319"/>
        <v>-</v>
      </c>
      <c r="DB362" s="841"/>
      <c r="DC362" s="832"/>
    </row>
    <row r="363" spans="1:107" s="842" customFormat="1" ht="15.95" customHeight="1" x14ac:dyDescent="0.25">
      <c r="A363" s="790">
        <v>364</v>
      </c>
      <c r="B363" s="791">
        <f t="shared" ca="1" si="268"/>
        <v>43134</v>
      </c>
      <c r="C363" s="29" t="s">
        <v>613</v>
      </c>
      <c r="D363" s="59" t="s">
        <v>3204</v>
      </c>
      <c r="E363" s="794" t="s">
        <v>459</v>
      </c>
      <c r="F363" s="795" t="s">
        <v>460</v>
      </c>
      <c r="G363" s="796">
        <f>SUMIFS(МОЛОКО!L8:L6958,МОЛОКО!F8:F6958,"277619",МОЛОКО!L8:L6958,"&gt;0")</f>
        <v>33.4</v>
      </c>
      <c r="H363" s="797" t="s">
        <v>78</v>
      </c>
      <c r="I363" s="798">
        <v>41359</v>
      </c>
      <c r="J363" s="799">
        <f t="shared" ca="1" si="269"/>
        <v>4.8630136986301373</v>
      </c>
      <c r="K363" s="799">
        <f t="shared" ca="1" si="270"/>
        <v>59.166666666666664</v>
      </c>
      <c r="L363" s="800">
        <f t="shared" ca="1" si="271"/>
        <v>1775</v>
      </c>
      <c r="M363" s="801">
        <v>42166</v>
      </c>
      <c r="N363" s="802">
        <v>42769</v>
      </c>
      <c r="O363" s="803">
        <f t="shared" ca="1" si="272"/>
        <v>365</v>
      </c>
      <c r="P363" s="804">
        <v>2</v>
      </c>
      <c r="Q363" s="805" t="s">
        <v>2309</v>
      </c>
      <c r="R363" s="806" t="s">
        <v>2664</v>
      </c>
      <c r="S363" s="807">
        <v>42845</v>
      </c>
      <c r="T363" s="798">
        <v>42845</v>
      </c>
      <c r="U363" s="798" t="str">
        <f t="shared" si="273"/>
        <v>-</v>
      </c>
      <c r="V363" s="804" t="str">
        <f t="shared" ca="1" si="274"/>
        <v>-</v>
      </c>
      <c r="W363" s="808">
        <v>1</v>
      </c>
      <c r="X363" s="794">
        <f t="shared" si="267"/>
        <v>76</v>
      </c>
      <c r="Y363" s="794">
        <v>1</v>
      </c>
      <c r="Z363" s="809" t="str">
        <f t="shared" ca="1" si="275"/>
        <v>-----</v>
      </c>
      <c r="AA363" s="810" t="str">
        <f t="shared" ca="1" si="276"/>
        <v>-----</v>
      </c>
      <c r="AB363" s="804">
        <v>1</v>
      </c>
      <c r="AC363" s="811" t="str">
        <f t="shared" ca="1" si="277"/>
        <v>-----</v>
      </c>
      <c r="AD363" s="798">
        <v>42920</v>
      </c>
      <c r="AE363" s="794" t="str">
        <f t="shared" ca="1" si="278"/>
        <v>-</v>
      </c>
      <c r="AF363" s="798" t="str">
        <f t="shared" si="279"/>
        <v>-</v>
      </c>
      <c r="AG363" s="812" t="str">
        <f t="shared" si="280"/>
        <v>---------</v>
      </c>
      <c r="AH363" s="807">
        <v>42889</v>
      </c>
      <c r="AI363" s="807">
        <f t="shared" si="281"/>
        <v>43035</v>
      </c>
      <c r="AJ363" s="807">
        <f t="shared" si="282"/>
        <v>43065</v>
      </c>
      <c r="AK363" s="813"/>
      <c r="AL363" s="807">
        <f t="shared" si="283"/>
        <v>43104</v>
      </c>
      <c r="AM363" s="807">
        <f t="shared" si="284"/>
        <v>43125</v>
      </c>
      <c r="AN363" s="814">
        <f t="shared" ca="1" si="285"/>
        <v>9</v>
      </c>
      <c r="AO363" s="815">
        <v>1</v>
      </c>
      <c r="AP363" s="816" t="str">
        <f t="shared" ca="1" si="286"/>
        <v>-</v>
      </c>
      <c r="AQ363" s="817"/>
      <c r="AR363" s="794" t="str">
        <f t="shared" si="287"/>
        <v>-</v>
      </c>
      <c r="AS363" s="818"/>
      <c r="AT363" s="794" t="str">
        <f t="shared" si="288"/>
        <v>-</v>
      </c>
      <c r="AU363" s="819"/>
      <c r="AV363" s="820"/>
      <c r="AW363" s="821"/>
      <c r="AX363" s="821"/>
      <c r="AY363" s="969" t="str">
        <f t="shared" si="289"/>
        <v>-</v>
      </c>
      <c r="AZ363" s="966" t="str">
        <f t="shared" si="290"/>
        <v>-</v>
      </c>
      <c r="BA363" s="971" t="str">
        <f t="shared" si="291"/>
        <v>-</v>
      </c>
      <c r="BB363" s="975"/>
      <c r="BC363" s="821"/>
      <c r="BD363" s="821"/>
      <c r="BE363" s="963" t="str">
        <f t="shared" si="292"/>
        <v>-</v>
      </c>
      <c r="BF363" s="984">
        <v>43033</v>
      </c>
      <c r="BG363" s="988" t="s">
        <v>3353</v>
      </c>
      <c r="BH363" s="986" t="s">
        <v>3354</v>
      </c>
      <c r="BI363" s="991">
        <v>5</v>
      </c>
      <c r="BJ363" s="991" t="s">
        <v>3356</v>
      </c>
      <c r="BK363" s="993">
        <f t="shared" ca="1" si="293"/>
        <v>101</v>
      </c>
      <c r="BL363" s="820">
        <v>42980</v>
      </c>
      <c r="BM363" s="821">
        <v>5</v>
      </c>
      <c r="BN363" s="822">
        <f t="shared" ca="1" si="294"/>
        <v>154</v>
      </c>
      <c r="BO363" s="823">
        <f t="shared" si="295"/>
        <v>54.033333333333331</v>
      </c>
      <c r="BP363" s="824"/>
      <c r="BQ363" s="821"/>
      <c r="BR363" s="822" t="str">
        <f t="shared" si="296"/>
        <v>-</v>
      </c>
      <c r="BS363" s="823" t="str">
        <f t="shared" si="297"/>
        <v>-</v>
      </c>
      <c r="BT363" s="825" t="str">
        <f t="shared" ca="1" si="298"/>
        <v>-</v>
      </c>
      <c r="BU363" s="826"/>
      <c r="BV363" s="827"/>
      <c r="BW363" s="828" t="str">
        <f t="shared" si="299"/>
        <v>Ж-Е НЕ ВАКЦ.</v>
      </c>
      <c r="BX363" s="829" t="str">
        <f t="shared" si="300"/>
        <v>-</v>
      </c>
      <c r="BY363" s="830" t="str">
        <f t="shared" ca="1" si="301"/>
        <v>-</v>
      </c>
      <c r="BZ363" s="831">
        <v>42887</v>
      </c>
      <c r="CA363" s="832">
        <v>5</v>
      </c>
      <c r="CB363" s="833">
        <f t="shared" ca="1" si="302"/>
        <v>247</v>
      </c>
      <c r="CC363" s="834" t="str">
        <f t="shared" ca="1" si="303"/>
        <v>-</v>
      </c>
      <c r="CD363" s="835">
        <f t="shared" si="304"/>
        <v>42908</v>
      </c>
      <c r="CE363" s="831">
        <v>42908</v>
      </c>
      <c r="CF363" s="832">
        <v>5</v>
      </c>
      <c r="CG363" s="833">
        <f t="shared" ca="1" si="305"/>
        <v>226</v>
      </c>
      <c r="CH363" s="836">
        <f t="shared" si="306"/>
        <v>0</v>
      </c>
      <c r="CI363" s="837" t="str">
        <f t="shared" si="307"/>
        <v>УСПЕШНО</v>
      </c>
      <c r="CJ363" s="838" t="str">
        <f t="shared" ca="1" si="308"/>
        <v>-</v>
      </c>
      <c r="CK363" s="831"/>
      <c r="CL363" s="832"/>
      <c r="CM363" s="833" t="str">
        <f t="shared" si="309"/>
        <v>-</v>
      </c>
      <c r="CN363" s="834" t="str">
        <f t="shared" si="310"/>
        <v>-</v>
      </c>
      <c r="CO363" s="830" t="str">
        <f t="shared" ca="1" si="311"/>
        <v>ТРЕБУЕТСЯ ВАКЦИНАЦИЯ</v>
      </c>
      <c r="CP363" s="839"/>
      <c r="CQ363" s="832"/>
      <c r="CR363" s="833" t="str">
        <f t="shared" si="312"/>
        <v>-</v>
      </c>
      <c r="CS363" s="833" t="str">
        <f t="shared" si="313"/>
        <v>-</v>
      </c>
      <c r="CT363" s="834" t="str">
        <f t="shared" si="314"/>
        <v>-</v>
      </c>
      <c r="CU363" s="835" t="str">
        <f t="shared" si="315"/>
        <v>-</v>
      </c>
      <c r="CV363" s="839"/>
      <c r="CW363" s="832"/>
      <c r="CX363" s="833" t="str">
        <f t="shared" si="316"/>
        <v>-</v>
      </c>
      <c r="CY363" s="840" t="str">
        <f t="shared" si="317"/>
        <v>-</v>
      </c>
      <c r="CZ363" s="833" t="str">
        <f t="shared" si="318"/>
        <v>-</v>
      </c>
      <c r="DA363" s="838" t="str">
        <f t="shared" ca="1" si="319"/>
        <v>-</v>
      </c>
      <c r="DB363" s="841"/>
      <c r="DC363" s="832"/>
    </row>
    <row r="364" spans="1:107" s="842" customFormat="1" ht="15.95" customHeight="1" x14ac:dyDescent="0.25">
      <c r="A364" s="790">
        <v>365</v>
      </c>
      <c r="B364" s="791">
        <f t="shared" ca="1" si="268"/>
        <v>43134</v>
      </c>
      <c r="C364" s="792" t="s">
        <v>613</v>
      </c>
      <c r="D364" s="793" t="s">
        <v>3204</v>
      </c>
      <c r="E364" s="794" t="s">
        <v>95</v>
      </c>
      <c r="F364" s="795" t="s">
        <v>464</v>
      </c>
      <c r="G364" s="796">
        <f>SUMIFS(МОЛОКО!L8:L6958,МОЛОКО!F8:F6958,"277650",МОЛОКО!L8:L6958,"&gt;0")</f>
        <v>11.2</v>
      </c>
      <c r="H364" s="797" t="s">
        <v>78</v>
      </c>
      <c r="I364" s="798">
        <v>41378</v>
      </c>
      <c r="J364" s="799">
        <f t="shared" ca="1" si="269"/>
        <v>4.8109589041095893</v>
      </c>
      <c r="K364" s="799">
        <f t="shared" ca="1" si="270"/>
        <v>58.533333333333331</v>
      </c>
      <c r="L364" s="800">
        <f t="shared" ca="1" si="271"/>
        <v>1756</v>
      </c>
      <c r="M364" s="801">
        <v>42199</v>
      </c>
      <c r="N364" s="802">
        <v>42600</v>
      </c>
      <c r="O364" s="803">
        <f t="shared" ca="1" si="272"/>
        <v>534</v>
      </c>
      <c r="P364" s="804">
        <v>2</v>
      </c>
      <c r="Q364" s="805" t="s">
        <v>2309</v>
      </c>
      <c r="R364" s="806" t="s">
        <v>2269</v>
      </c>
      <c r="S364" s="807">
        <v>42682</v>
      </c>
      <c r="T364" s="798">
        <v>42790</v>
      </c>
      <c r="U364" s="798" t="str">
        <f t="shared" si="273"/>
        <v>-</v>
      </c>
      <c r="V364" s="804" t="str">
        <f t="shared" ca="1" si="274"/>
        <v>-</v>
      </c>
      <c r="W364" s="808">
        <v>2</v>
      </c>
      <c r="X364" s="794">
        <f t="shared" si="267"/>
        <v>190</v>
      </c>
      <c r="Y364" s="794">
        <v>0</v>
      </c>
      <c r="Z364" s="809" t="str">
        <f t="shared" ca="1" si="275"/>
        <v>-----</v>
      </c>
      <c r="AA364" s="810">
        <f t="shared" ca="1" si="276"/>
        <v>344</v>
      </c>
      <c r="AB364" s="804"/>
      <c r="AC364" s="811" t="str">
        <f t="shared" ca="1" si="277"/>
        <v>-----</v>
      </c>
      <c r="AD364" s="798"/>
      <c r="AE364" s="794" t="str">
        <f t="shared" ca="1" si="278"/>
        <v>яловая</v>
      </c>
      <c r="AF364" s="798" t="str">
        <f t="shared" si="279"/>
        <v>-</v>
      </c>
      <c r="AG364" s="812" t="str">
        <f t="shared" si="280"/>
        <v>---------</v>
      </c>
      <c r="AH364" s="807">
        <v>42831</v>
      </c>
      <c r="AI364" s="807" t="str">
        <f t="shared" si="281"/>
        <v>-</v>
      </c>
      <c r="AJ364" s="807" t="str">
        <f t="shared" si="282"/>
        <v>-</v>
      </c>
      <c r="AK364" s="813"/>
      <c r="AL364" s="807" t="str">
        <f t="shared" si="283"/>
        <v>-</v>
      </c>
      <c r="AM364" s="807" t="str">
        <f t="shared" si="284"/>
        <v>-</v>
      </c>
      <c r="AN364" s="814" t="str">
        <f t="shared" ca="1" si="285"/>
        <v>-</v>
      </c>
      <c r="AO364" s="815">
        <v>1</v>
      </c>
      <c r="AP364" s="816" t="str">
        <f t="shared" ca="1" si="286"/>
        <v>БРАК</v>
      </c>
      <c r="AQ364" s="817" t="s">
        <v>1863</v>
      </c>
      <c r="AR364" s="794" t="str">
        <f t="shared" si="287"/>
        <v>-</v>
      </c>
      <c r="AS364" s="818"/>
      <c r="AT364" s="794" t="str">
        <f t="shared" si="288"/>
        <v>-</v>
      </c>
      <c r="AU364" s="819"/>
      <c r="AV364" s="820"/>
      <c r="AW364" s="821"/>
      <c r="AX364" s="821"/>
      <c r="AY364" s="969" t="str">
        <f t="shared" si="289"/>
        <v>-</v>
      </c>
      <c r="AZ364" s="966" t="str">
        <f t="shared" si="290"/>
        <v>-</v>
      </c>
      <c r="BA364" s="971" t="str">
        <f t="shared" si="291"/>
        <v>-</v>
      </c>
      <c r="BB364" s="975"/>
      <c r="BC364" s="821"/>
      <c r="BD364" s="821"/>
      <c r="BE364" s="963" t="str">
        <f t="shared" si="292"/>
        <v>-</v>
      </c>
      <c r="BF364" s="984"/>
      <c r="BG364" s="988"/>
      <c r="BH364" s="982"/>
      <c r="BI364" s="991"/>
      <c r="BJ364" s="991"/>
      <c r="BK364" s="993" t="str">
        <f t="shared" si="293"/>
        <v>-</v>
      </c>
      <c r="BL364" s="820">
        <v>42981</v>
      </c>
      <c r="BM364" s="821">
        <v>5</v>
      </c>
      <c r="BN364" s="822">
        <f t="shared" ca="1" si="294"/>
        <v>153</v>
      </c>
      <c r="BO364" s="823">
        <f t="shared" si="295"/>
        <v>53.43333333333333</v>
      </c>
      <c r="BP364" s="824"/>
      <c r="BQ364" s="821"/>
      <c r="BR364" s="822" t="str">
        <f t="shared" si="296"/>
        <v>-</v>
      </c>
      <c r="BS364" s="823" t="str">
        <f t="shared" si="297"/>
        <v>-</v>
      </c>
      <c r="BT364" s="825" t="str">
        <f t="shared" ca="1" si="298"/>
        <v>-</v>
      </c>
      <c r="BU364" s="826"/>
      <c r="BV364" s="827"/>
      <c r="BW364" s="828" t="str">
        <f t="shared" si="299"/>
        <v>Ж-Е НЕ ВАКЦ.</v>
      </c>
      <c r="BX364" s="829" t="str">
        <f t="shared" si="300"/>
        <v>-</v>
      </c>
      <c r="BY364" s="830" t="str">
        <f t="shared" ca="1" si="301"/>
        <v>-</v>
      </c>
      <c r="BZ364" s="831">
        <v>42887</v>
      </c>
      <c r="CA364" s="832">
        <v>5</v>
      </c>
      <c r="CB364" s="833">
        <f t="shared" ca="1" si="302"/>
        <v>247</v>
      </c>
      <c r="CC364" s="834" t="str">
        <f t="shared" ca="1" si="303"/>
        <v>-</v>
      </c>
      <c r="CD364" s="835">
        <f t="shared" si="304"/>
        <v>42908</v>
      </c>
      <c r="CE364" s="831">
        <v>42908</v>
      </c>
      <c r="CF364" s="832">
        <v>5</v>
      </c>
      <c r="CG364" s="833">
        <f t="shared" ca="1" si="305"/>
        <v>226</v>
      </c>
      <c r="CH364" s="836">
        <f t="shared" si="306"/>
        <v>0</v>
      </c>
      <c r="CI364" s="837" t="str">
        <f t="shared" si="307"/>
        <v>УСПЕШНО</v>
      </c>
      <c r="CJ364" s="838" t="str">
        <f t="shared" ca="1" si="308"/>
        <v>-</v>
      </c>
      <c r="CK364" s="831"/>
      <c r="CL364" s="832"/>
      <c r="CM364" s="833" t="str">
        <f t="shared" si="309"/>
        <v>-</v>
      </c>
      <c r="CN364" s="834" t="str">
        <f t="shared" si="310"/>
        <v>-</v>
      </c>
      <c r="CO364" s="830" t="str">
        <f t="shared" ca="1" si="311"/>
        <v>-</v>
      </c>
      <c r="CP364" s="839"/>
      <c r="CQ364" s="832"/>
      <c r="CR364" s="833" t="str">
        <f t="shared" si="312"/>
        <v>-</v>
      </c>
      <c r="CS364" s="833" t="str">
        <f t="shared" si="313"/>
        <v>-</v>
      </c>
      <c r="CT364" s="834" t="str">
        <f t="shared" si="314"/>
        <v>-</v>
      </c>
      <c r="CU364" s="835" t="str">
        <f t="shared" si="315"/>
        <v>-</v>
      </c>
      <c r="CV364" s="839"/>
      <c r="CW364" s="832"/>
      <c r="CX364" s="833" t="str">
        <f t="shared" si="316"/>
        <v>-</v>
      </c>
      <c r="CY364" s="840" t="str">
        <f t="shared" si="317"/>
        <v>-</v>
      </c>
      <c r="CZ364" s="833" t="str">
        <f t="shared" si="318"/>
        <v>-</v>
      </c>
      <c r="DA364" s="838" t="str">
        <f t="shared" ca="1" si="319"/>
        <v>-</v>
      </c>
      <c r="DB364" s="841"/>
      <c r="DC364" s="832"/>
    </row>
    <row r="365" spans="1:107" s="842" customFormat="1" ht="15.95" customHeight="1" x14ac:dyDescent="0.25">
      <c r="A365" s="790">
        <v>366</v>
      </c>
      <c r="B365" s="791">
        <f t="shared" ca="1" si="268"/>
        <v>43134</v>
      </c>
      <c r="C365" s="792" t="s">
        <v>613</v>
      </c>
      <c r="D365" s="793" t="s">
        <v>3204</v>
      </c>
      <c r="E365" s="794" t="s">
        <v>469</v>
      </c>
      <c r="F365" s="795" t="s">
        <v>470</v>
      </c>
      <c r="G365" s="796">
        <f>SUMIFS(МОЛОКО!L8:L6958,МОЛОКО!F8:F6958,"76/1753",МОЛОКО!L8:L6958,"&gt;0")</f>
        <v>18</v>
      </c>
      <c r="H365" s="797" t="s">
        <v>603</v>
      </c>
      <c r="I365" s="798">
        <v>41263</v>
      </c>
      <c r="J365" s="799">
        <f t="shared" ca="1" si="269"/>
        <v>5.1260273972602741</v>
      </c>
      <c r="K365" s="799">
        <f t="shared" ca="1" si="270"/>
        <v>62.366666666666667</v>
      </c>
      <c r="L365" s="800">
        <f t="shared" ca="1" si="271"/>
        <v>1871</v>
      </c>
      <c r="M365" s="801">
        <v>42257</v>
      </c>
      <c r="N365" s="802">
        <v>42775</v>
      </c>
      <c r="O365" s="803">
        <f t="shared" ca="1" si="272"/>
        <v>359</v>
      </c>
      <c r="P365" s="804">
        <v>2</v>
      </c>
      <c r="Q365" s="805" t="s">
        <v>1451</v>
      </c>
      <c r="R365" s="806" t="s">
        <v>2335</v>
      </c>
      <c r="S365" s="807">
        <v>42831</v>
      </c>
      <c r="T365" s="798">
        <v>42877</v>
      </c>
      <c r="U365" s="798" t="str">
        <f t="shared" si="273"/>
        <v>-</v>
      </c>
      <c r="V365" s="804" t="str">
        <f t="shared" ca="1" si="274"/>
        <v>-</v>
      </c>
      <c r="W365" s="808">
        <v>2</v>
      </c>
      <c r="X365" s="794">
        <f t="shared" si="267"/>
        <v>102</v>
      </c>
      <c r="Y365" s="794">
        <v>1</v>
      </c>
      <c r="Z365" s="809" t="str">
        <f t="shared" ca="1" si="275"/>
        <v>-----</v>
      </c>
      <c r="AA365" s="810" t="str">
        <f t="shared" ca="1" si="276"/>
        <v>-----</v>
      </c>
      <c r="AB365" s="804">
        <v>1</v>
      </c>
      <c r="AC365" s="811" t="str">
        <f t="shared" ca="1" si="277"/>
        <v>-----</v>
      </c>
      <c r="AD365" s="798">
        <v>42955</v>
      </c>
      <c r="AE365" s="794" t="str">
        <f t="shared" ca="1" si="278"/>
        <v>-</v>
      </c>
      <c r="AF365" s="798" t="str">
        <f t="shared" si="279"/>
        <v>-</v>
      </c>
      <c r="AG365" s="812" t="str">
        <f t="shared" si="280"/>
        <v>---------</v>
      </c>
      <c r="AH365" s="807">
        <v>42871</v>
      </c>
      <c r="AI365" s="807">
        <f t="shared" si="281"/>
        <v>43067</v>
      </c>
      <c r="AJ365" s="807">
        <f t="shared" si="282"/>
        <v>43097</v>
      </c>
      <c r="AK365" s="813"/>
      <c r="AL365" s="807">
        <f t="shared" si="283"/>
        <v>43136</v>
      </c>
      <c r="AM365" s="807">
        <f t="shared" si="284"/>
        <v>43157</v>
      </c>
      <c r="AN365" s="814">
        <f t="shared" ca="1" si="285"/>
        <v>-23</v>
      </c>
      <c r="AO365" s="815">
        <v>1</v>
      </c>
      <c r="AP365" s="816" t="str">
        <f t="shared" ca="1" si="286"/>
        <v>-</v>
      </c>
      <c r="AQ365" s="817"/>
      <c r="AR365" s="794" t="str">
        <f t="shared" si="287"/>
        <v>-</v>
      </c>
      <c r="AS365" s="818"/>
      <c r="AT365" s="794" t="str">
        <f t="shared" si="288"/>
        <v>-</v>
      </c>
      <c r="AU365" s="819"/>
      <c r="AV365" s="820"/>
      <c r="AW365" s="821"/>
      <c r="AX365" s="821"/>
      <c r="AY365" s="969" t="str">
        <f t="shared" si="289"/>
        <v>-</v>
      </c>
      <c r="AZ365" s="966" t="str">
        <f t="shared" si="290"/>
        <v>-</v>
      </c>
      <c r="BA365" s="971" t="str">
        <f t="shared" si="291"/>
        <v>-</v>
      </c>
      <c r="BB365" s="975"/>
      <c r="BC365" s="821"/>
      <c r="BD365" s="821"/>
      <c r="BE365" s="963" t="str">
        <f t="shared" si="292"/>
        <v>-</v>
      </c>
      <c r="BF365" s="984"/>
      <c r="BG365" s="988"/>
      <c r="BH365" s="982"/>
      <c r="BI365" s="991"/>
      <c r="BJ365" s="991"/>
      <c r="BK365" s="993" t="str">
        <f t="shared" si="293"/>
        <v>-</v>
      </c>
      <c r="BL365" s="820">
        <v>42980</v>
      </c>
      <c r="BM365" s="821">
        <v>5</v>
      </c>
      <c r="BN365" s="822">
        <f t="shared" ca="1" si="294"/>
        <v>154</v>
      </c>
      <c r="BO365" s="823">
        <f t="shared" si="295"/>
        <v>57.233333333333334</v>
      </c>
      <c r="BP365" s="824"/>
      <c r="BQ365" s="821"/>
      <c r="BR365" s="822" t="str">
        <f t="shared" si="296"/>
        <v>-</v>
      </c>
      <c r="BS365" s="823" t="str">
        <f t="shared" si="297"/>
        <v>-</v>
      </c>
      <c r="BT365" s="825" t="str">
        <f t="shared" ca="1" si="298"/>
        <v>-</v>
      </c>
      <c r="BU365" s="826"/>
      <c r="BV365" s="827"/>
      <c r="BW365" s="828" t="str">
        <f t="shared" si="299"/>
        <v>Ж-Е НЕ ВАКЦ.</v>
      </c>
      <c r="BX365" s="829" t="str">
        <f t="shared" si="300"/>
        <v>-</v>
      </c>
      <c r="BY365" s="830" t="str">
        <f t="shared" ca="1" si="301"/>
        <v>-</v>
      </c>
      <c r="BZ365" s="831">
        <v>42887</v>
      </c>
      <c r="CA365" s="832">
        <v>5</v>
      </c>
      <c r="CB365" s="833">
        <f t="shared" ca="1" si="302"/>
        <v>247</v>
      </c>
      <c r="CC365" s="834" t="str">
        <f t="shared" ca="1" si="303"/>
        <v>-</v>
      </c>
      <c r="CD365" s="835">
        <f t="shared" si="304"/>
        <v>42908</v>
      </c>
      <c r="CE365" s="831">
        <v>42908</v>
      </c>
      <c r="CF365" s="832">
        <v>5</v>
      </c>
      <c r="CG365" s="833">
        <f t="shared" ca="1" si="305"/>
        <v>226</v>
      </c>
      <c r="CH365" s="836">
        <f t="shared" si="306"/>
        <v>0</v>
      </c>
      <c r="CI365" s="837" t="str">
        <f t="shared" si="307"/>
        <v>УСПЕШНО</v>
      </c>
      <c r="CJ365" s="838" t="str">
        <f t="shared" ca="1" si="308"/>
        <v>-</v>
      </c>
      <c r="CK365" s="831"/>
      <c r="CL365" s="832"/>
      <c r="CM365" s="833" t="str">
        <f t="shared" si="309"/>
        <v>-</v>
      </c>
      <c r="CN365" s="834" t="str">
        <f t="shared" si="310"/>
        <v>-</v>
      </c>
      <c r="CO365" s="830" t="str">
        <f t="shared" ca="1" si="311"/>
        <v>ТРЕБУЕТСЯ ВАКЦИНАЦИЯ</v>
      </c>
      <c r="CP365" s="839"/>
      <c r="CQ365" s="832"/>
      <c r="CR365" s="833" t="str">
        <f t="shared" si="312"/>
        <v>-</v>
      </c>
      <c r="CS365" s="833" t="str">
        <f t="shared" si="313"/>
        <v>-</v>
      </c>
      <c r="CT365" s="834" t="str">
        <f t="shared" si="314"/>
        <v>-</v>
      </c>
      <c r="CU365" s="835" t="str">
        <f t="shared" si="315"/>
        <v>-</v>
      </c>
      <c r="CV365" s="839"/>
      <c r="CW365" s="832"/>
      <c r="CX365" s="833" t="str">
        <f t="shared" si="316"/>
        <v>-</v>
      </c>
      <c r="CY365" s="840" t="str">
        <f t="shared" si="317"/>
        <v>-</v>
      </c>
      <c r="CZ365" s="833" t="str">
        <f t="shared" si="318"/>
        <v>-</v>
      </c>
      <c r="DA365" s="838" t="str">
        <f t="shared" ca="1" si="319"/>
        <v>-</v>
      </c>
      <c r="DB365" s="841"/>
      <c r="DC365" s="832"/>
    </row>
    <row r="366" spans="1:107" s="842" customFormat="1" ht="15.95" customHeight="1" x14ac:dyDescent="0.25">
      <c r="A366" s="790">
        <v>367</v>
      </c>
      <c r="B366" s="791">
        <f t="shared" ca="1" si="268"/>
        <v>43134</v>
      </c>
      <c r="C366" s="792" t="s">
        <v>615</v>
      </c>
      <c r="D366" s="793" t="s">
        <v>1633</v>
      </c>
      <c r="E366" s="794" t="s">
        <v>856</v>
      </c>
      <c r="F366" s="854" t="s">
        <v>857</v>
      </c>
      <c r="G366" s="796">
        <f>SUMIFS(МОЛОКО!L8:L6958,МОЛОКО!F8:F6958,"8",МОЛОКО!L8:L6958,"&gt;0")</f>
        <v>21</v>
      </c>
      <c r="H366" s="797" t="s">
        <v>722</v>
      </c>
      <c r="I366" s="798">
        <v>40461</v>
      </c>
      <c r="J366" s="799">
        <f t="shared" ca="1" si="269"/>
        <v>7.3232876712328769</v>
      </c>
      <c r="K366" s="799">
        <f t="shared" ca="1" si="270"/>
        <v>89.1</v>
      </c>
      <c r="L366" s="800">
        <f t="shared" ca="1" si="271"/>
        <v>2673</v>
      </c>
      <c r="M366" s="801">
        <v>40965</v>
      </c>
      <c r="N366" s="802">
        <v>42938</v>
      </c>
      <c r="O366" s="803">
        <f t="shared" ca="1" si="272"/>
        <v>196</v>
      </c>
      <c r="P366" s="804">
        <v>6</v>
      </c>
      <c r="Q366" s="805" t="s">
        <v>1451</v>
      </c>
      <c r="R366" s="806" t="s">
        <v>2966</v>
      </c>
      <c r="S366" s="807">
        <v>43014</v>
      </c>
      <c r="T366" s="798">
        <v>43014</v>
      </c>
      <c r="U366" s="798" t="str">
        <f t="shared" si="273"/>
        <v>-</v>
      </c>
      <c r="V366" s="804" t="str">
        <f t="shared" ca="1" si="274"/>
        <v>-</v>
      </c>
      <c r="W366" s="808">
        <v>3</v>
      </c>
      <c r="X366" s="794">
        <f t="shared" si="267"/>
        <v>76</v>
      </c>
      <c r="Y366" s="794">
        <v>1</v>
      </c>
      <c r="Z366" s="809" t="str">
        <f t="shared" ca="1" si="275"/>
        <v>ПОДЛЕЖИТ ПЕРЕПРОВЕРКЕ</v>
      </c>
      <c r="AA366" s="810">
        <f t="shared" ca="1" si="276"/>
        <v>120</v>
      </c>
      <c r="AB366" s="804"/>
      <c r="AC366" s="811">
        <f t="shared" ca="1" si="277"/>
        <v>43086</v>
      </c>
      <c r="AD366" s="798"/>
      <c r="AE366" s="794" t="str">
        <f t="shared" ca="1" si="278"/>
        <v>-</v>
      </c>
      <c r="AF366" s="798" t="str">
        <f t="shared" si="279"/>
        <v>-</v>
      </c>
      <c r="AG366" s="812" t="str">
        <f t="shared" si="280"/>
        <v>---------</v>
      </c>
      <c r="AH366" s="807">
        <v>43052</v>
      </c>
      <c r="AI366" s="807">
        <f t="shared" si="281"/>
        <v>43204</v>
      </c>
      <c r="AJ366" s="807">
        <f t="shared" si="282"/>
        <v>43234</v>
      </c>
      <c r="AK366" s="813"/>
      <c r="AL366" s="807">
        <f t="shared" si="283"/>
        <v>43273</v>
      </c>
      <c r="AM366" s="807">
        <f t="shared" si="284"/>
        <v>43294</v>
      </c>
      <c r="AN366" s="814">
        <f t="shared" ca="1" si="285"/>
        <v>-160</v>
      </c>
      <c r="AO366" s="815">
        <v>1</v>
      </c>
      <c r="AP366" s="816" t="str">
        <f t="shared" ca="1" si="286"/>
        <v>-</v>
      </c>
      <c r="AQ366" s="817"/>
      <c r="AR366" s="794" t="str">
        <f t="shared" si="287"/>
        <v>-</v>
      </c>
      <c r="AS366" s="818"/>
      <c r="AT366" s="794" t="str">
        <f t="shared" si="288"/>
        <v>-</v>
      </c>
      <c r="AU366" s="819">
        <v>1</v>
      </c>
      <c r="AV366" s="820"/>
      <c r="AW366" s="821"/>
      <c r="AX366" s="821"/>
      <c r="AY366" s="969" t="str">
        <f t="shared" si="289"/>
        <v>-</v>
      </c>
      <c r="AZ366" s="966" t="str">
        <f t="shared" si="290"/>
        <v>-</v>
      </c>
      <c r="BA366" s="971" t="str">
        <f t="shared" si="291"/>
        <v>-</v>
      </c>
      <c r="BB366" s="975"/>
      <c r="BC366" s="821"/>
      <c r="BD366" s="821"/>
      <c r="BE366" s="963" t="str">
        <f t="shared" si="292"/>
        <v>-</v>
      </c>
      <c r="BF366" s="984"/>
      <c r="BG366" s="988"/>
      <c r="BH366" s="982"/>
      <c r="BI366" s="991"/>
      <c r="BJ366" s="991"/>
      <c r="BK366" s="993" t="str">
        <f t="shared" si="293"/>
        <v>-</v>
      </c>
      <c r="BL366" s="820">
        <v>42979</v>
      </c>
      <c r="BM366" s="821">
        <v>5</v>
      </c>
      <c r="BN366" s="822">
        <f t="shared" ca="1" si="294"/>
        <v>155</v>
      </c>
      <c r="BO366" s="823">
        <f t="shared" si="295"/>
        <v>83.933333333333337</v>
      </c>
      <c r="BP366" s="824"/>
      <c r="BQ366" s="821"/>
      <c r="BR366" s="822" t="str">
        <f t="shared" si="296"/>
        <v>-</v>
      </c>
      <c r="BS366" s="823" t="str">
        <f t="shared" si="297"/>
        <v>-</v>
      </c>
      <c r="BT366" s="825" t="str">
        <f t="shared" ca="1" si="298"/>
        <v>-</v>
      </c>
      <c r="BU366" s="826"/>
      <c r="BV366" s="827"/>
      <c r="BW366" s="828" t="str">
        <f t="shared" si="299"/>
        <v>Ж-Е НЕ ВАКЦ.</v>
      </c>
      <c r="BX366" s="829" t="str">
        <f t="shared" si="300"/>
        <v>-</v>
      </c>
      <c r="BY366" s="830" t="str">
        <f t="shared" ca="1" si="301"/>
        <v>-</v>
      </c>
      <c r="BZ366" s="831">
        <v>42964</v>
      </c>
      <c r="CA366" s="832">
        <v>5</v>
      </c>
      <c r="CB366" s="833">
        <f t="shared" ca="1" si="302"/>
        <v>170</v>
      </c>
      <c r="CC366" s="834" t="str">
        <f t="shared" ca="1" si="303"/>
        <v>-</v>
      </c>
      <c r="CD366" s="835">
        <f t="shared" si="304"/>
        <v>42985</v>
      </c>
      <c r="CE366" s="831">
        <v>42985</v>
      </c>
      <c r="CF366" s="832">
        <v>5</v>
      </c>
      <c r="CG366" s="833">
        <f t="shared" ca="1" si="305"/>
        <v>149</v>
      </c>
      <c r="CH366" s="836">
        <f t="shared" si="306"/>
        <v>0</v>
      </c>
      <c r="CI366" s="837" t="str">
        <f t="shared" si="307"/>
        <v>УСПЕШНО</v>
      </c>
      <c r="CJ366" s="838" t="str">
        <f t="shared" ca="1" si="308"/>
        <v>-</v>
      </c>
      <c r="CK366" s="831"/>
      <c r="CL366" s="832"/>
      <c r="CM366" s="833" t="str">
        <f t="shared" si="309"/>
        <v>-</v>
      </c>
      <c r="CN366" s="834" t="str">
        <f t="shared" si="310"/>
        <v>-</v>
      </c>
      <c r="CO366" s="830" t="str">
        <f t="shared" ca="1" si="311"/>
        <v>-</v>
      </c>
      <c r="CP366" s="831">
        <v>42882</v>
      </c>
      <c r="CQ366" s="832">
        <v>2</v>
      </c>
      <c r="CR366" s="833">
        <f t="shared" si="312"/>
        <v>-132</v>
      </c>
      <c r="CS366" s="833">
        <f t="shared" ca="1" si="313"/>
        <v>252</v>
      </c>
      <c r="CT366" s="834" t="str">
        <f t="shared" ca="1" si="314"/>
        <v>-</v>
      </c>
      <c r="CU366" s="835">
        <f t="shared" si="315"/>
        <v>42903</v>
      </c>
      <c r="CV366" s="831">
        <v>42903</v>
      </c>
      <c r="CW366" s="832">
        <v>2</v>
      </c>
      <c r="CX366" s="833">
        <f t="shared" si="316"/>
        <v>0</v>
      </c>
      <c r="CY366" s="840" t="str">
        <f t="shared" si="317"/>
        <v>УСПЕШНО</v>
      </c>
      <c r="CZ366" s="833">
        <f t="shared" si="318"/>
        <v>-111</v>
      </c>
      <c r="DA366" s="838" t="str">
        <f t="shared" ca="1" si="319"/>
        <v>-</v>
      </c>
      <c r="DB366" s="841"/>
      <c r="DC366" s="832"/>
    </row>
    <row r="367" spans="1:107" s="842" customFormat="1" ht="15.95" customHeight="1" x14ac:dyDescent="0.25">
      <c r="A367" s="790">
        <v>368</v>
      </c>
      <c r="B367" s="791">
        <f t="shared" ca="1" si="268"/>
        <v>43134</v>
      </c>
      <c r="C367" s="29" t="s">
        <v>615</v>
      </c>
      <c r="D367" s="59" t="s">
        <v>1633</v>
      </c>
      <c r="E367" s="794" t="s">
        <v>792</v>
      </c>
      <c r="F367" s="854" t="s">
        <v>793</v>
      </c>
      <c r="G367" s="796">
        <f>SUMIFS(МОЛОКО!L8:L6958,МОЛОКО!F8:F6958,"315",МОЛОКО!L8:L6958,"&gt;0")</f>
        <v>26</v>
      </c>
      <c r="H367" s="797" t="s">
        <v>603</v>
      </c>
      <c r="I367" s="798">
        <v>39613</v>
      </c>
      <c r="J367" s="799">
        <f t="shared" ca="1" si="269"/>
        <v>9.6465753424657539</v>
      </c>
      <c r="K367" s="799">
        <f t="shared" ca="1" si="270"/>
        <v>117.36666666666666</v>
      </c>
      <c r="L367" s="800">
        <f t="shared" ca="1" si="271"/>
        <v>3521</v>
      </c>
      <c r="M367" s="801">
        <v>40437</v>
      </c>
      <c r="N367" s="802">
        <v>43003</v>
      </c>
      <c r="O367" s="803">
        <f t="shared" ca="1" si="272"/>
        <v>131</v>
      </c>
      <c r="P367" s="804">
        <v>6</v>
      </c>
      <c r="Q367" s="805"/>
      <c r="R367" s="806"/>
      <c r="S367" s="807"/>
      <c r="T367" s="798"/>
      <c r="U367" s="798" t="str">
        <f t="shared" si="273"/>
        <v>-</v>
      </c>
      <c r="V367" s="804" t="str">
        <f t="shared" ca="1" si="274"/>
        <v>-</v>
      </c>
      <c r="W367" s="808">
        <v>0</v>
      </c>
      <c r="X367" s="794" t="str">
        <f t="shared" si="267"/>
        <v>-</v>
      </c>
      <c r="Y367" s="794">
        <v>0</v>
      </c>
      <c r="Z367" s="809" t="str">
        <f t="shared" ca="1" si="275"/>
        <v>-----</v>
      </c>
      <c r="AA367" s="810">
        <f t="shared" ca="1" si="276"/>
        <v>43134</v>
      </c>
      <c r="AB367" s="804"/>
      <c r="AC367" s="811" t="str">
        <f t="shared" ca="1" si="277"/>
        <v>-----</v>
      </c>
      <c r="AD367" s="798"/>
      <c r="AE367" s="794" t="str">
        <f t="shared" ca="1" si="278"/>
        <v>яловая</v>
      </c>
      <c r="AF367" s="798" t="str">
        <f t="shared" si="279"/>
        <v>-</v>
      </c>
      <c r="AG367" s="812" t="str">
        <f t="shared" si="280"/>
        <v>---------</v>
      </c>
      <c r="AH367" s="807"/>
      <c r="AI367" s="807" t="str">
        <f t="shared" si="281"/>
        <v>-</v>
      </c>
      <c r="AJ367" s="807" t="str">
        <f t="shared" si="282"/>
        <v>-</v>
      </c>
      <c r="AK367" s="813"/>
      <c r="AL367" s="807" t="str">
        <f t="shared" si="283"/>
        <v>-</v>
      </c>
      <c r="AM367" s="807" t="str">
        <f t="shared" si="284"/>
        <v>-</v>
      </c>
      <c r="AN367" s="814" t="str">
        <f t="shared" ca="1" si="285"/>
        <v>-</v>
      </c>
      <c r="AO367" s="815">
        <v>1</v>
      </c>
      <c r="AP367" s="816" t="str">
        <f t="shared" ca="1" si="286"/>
        <v>-</v>
      </c>
      <c r="AQ367" s="817"/>
      <c r="AR367" s="794" t="str">
        <f t="shared" si="287"/>
        <v>-</v>
      </c>
      <c r="AS367" s="818"/>
      <c r="AT367" s="794" t="str">
        <f t="shared" si="288"/>
        <v>-</v>
      </c>
      <c r="AU367" s="819">
        <v>1</v>
      </c>
      <c r="AV367" s="820"/>
      <c r="AW367" s="821"/>
      <c r="AX367" s="821"/>
      <c r="AY367" s="969" t="str">
        <f t="shared" si="289"/>
        <v>-</v>
      </c>
      <c r="AZ367" s="966" t="str">
        <f t="shared" si="290"/>
        <v>-</v>
      </c>
      <c r="BA367" s="971" t="str">
        <f t="shared" si="291"/>
        <v>-</v>
      </c>
      <c r="BB367" s="975"/>
      <c r="BC367" s="821"/>
      <c r="BD367" s="821"/>
      <c r="BE367" s="963" t="str">
        <f t="shared" si="292"/>
        <v>-</v>
      </c>
      <c r="BF367" s="984"/>
      <c r="BG367" s="988"/>
      <c r="BH367" s="982"/>
      <c r="BI367" s="991"/>
      <c r="BJ367" s="991"/>
      <c r="BK367" s="993" t="str">
        <f t="shared" si="293"/>
        <v>-</v>
      </c>
      <c r="BL367" s="820">
        <v>42982</v>
      </c>
      <c r="BM367" s="821">
        <v>5</v>
      </c>
      <c r="BN367" s="822">
        <f t="shared" ca="1" si="294"/>
        <v>152</v>
      </c>
      <c r="BO367" s="823">
        <f t="shared" si="295"/>
        <v>112.3</v>
      </c>
      <c r="BP367" s="824"/>
      <c r="BQ367" s="821"/>
      <c r="BR367" s="822" t="str">
        <f t="shared" si="296"/>
        <v>-</v>
      </c>
      <c r="BS367" s="823" t="str">
        <f t="shared" si="297"/>
        <v>-</v>
      </c>
      <c r="BT367" s="825" t="str">
        <f t="shared" ca="1" si="298"/>
        <v>-</v>
      </c>
      <c r="BU367" s="826"/>
      <c r="BV367" s="827"/>
      <c r="BW367" s="828" t="str">
        <f t="shared" si="299"/>
        <v>Ж-Е НЕ ВАКЦ.</v>
      </c>
      <c r="BX367" s="829" t="str">
        <f t="shared" si="300"/>
        <v>-</v>
      </c>
      <c r="BY367" s="830" t="str">
        <f t="shared" ca="1" si="301"/>
        <v>-</v>
      </c>
      <c r="BZ367" s="831">
        <v>42887</v>
      </c>
      <c r="CA367" s="832">
        <v>5</v>
      </c>
      <c r="CB367" s="833">
        <f t="shared" ca="1" si="302"/>
        <v>247</v>
      </c>
      <c r="CC367" s="834" t="str">
        <f t="shared" ca="1" si="303"/>
        <v>-</v>
      </c>
      <c r="CD367" s="835">
        <f t="shared" si="304"/>
        <v>42908</v>
      </c>
      <c r="CE367" s="831">
        <v>42908</v>
      </c>
      <c r="CF367" s="832">
        <v>5</v>
      </c>
      <c r="CG367" s="833">
        <f t="shared" ca="1" si="305"/>
        <v>226</v>
      </c>
      <c r="CH367" s="836">
        <f t="shared" si="306"/>
        <v>0</v>
      </c>
      <c r="CI367" s="837" t="str">
        <f t="shared" si="307"/>
        <v>УСПЕШНО</v>
      </c>
      <c r="CJ367" s="838" t="str">
        <f t="shared" ca="1" si="308"/>
        <v>-</v>
      </c>
      <c r="CK367" s="831"/>
      <c r="CL367" s="832"/>
      <c r="CM367" s="833" t="str">
        <f t="shared" si="309"/>
        <v>-</v>
      </c>
      <c r="CN367" s="834" t="str">
        <f t="shared" si="310"/>
        <v>-</v>
      </c>
      <c r="CO367" s="830" t="str">
        <f t="shared" ca="1" si="311"/>
        <v>-</v>
      </c>
      <c r="CP367" s="831">
        <v>42925</v>
      </c>
      <c r="CQ367" s="832">
        <v>2</v>
      </c>
      <c r="CR367" s="833">
        <f t="shared" si="312"/>
        <v>42925</v>
      </c>
      <c r="CS367" s="833">
        <f t="shared" ca="1" si="313"/>
        <v>209</v>
      </c>
      <c r="CT367" s="834" t="str">
        <f t="shared" ca="1" si="314"/>
        <v>-</v>
      </c>
      <c r="CU367" s="835">
        <f t="shared" si="315"/>
        <v>42946</v>
      </c>
      <c r="CV367" s="831">
        <v>42946</v>
      </c>
      <c r="CW367" s="832">
        <v>2</v>
      </c>
      <c r="CX367" s="833">
        <f t="shared" si="316"/>
        <v>0</v>
      </c>
      <c r="CY367" s="840" t="str">
        <f t="shared" si="317"/>
        <v>УСПЕШНО</v>
      </c>
      <c r="CZ367" s="833">
        <f t="shared" si="318"/>
        <v>42946</v>
      </c>
      <c r="DA367" s="838" t="str">
        <f t="shared" ca="1" si="319"/>
        <v>-</v>
      </c>
      <c r="DB367" s="841"/>
      <c r="DC367" s="832"/>
    </row>
    <row r="368" spans="1:107" s="842" customFormat="1" ht="15.95" customHeight="1" x14ac:dyDescent="0.25">
      <c r="A368" s="790">
        <v>369</v>
      </c>
      <c r="B368" s="791">
        <f t="shared" ca="1" si="268"/>
        <v>43134</v>
      </c>
      <c r="C368" s="792" t="s">
        <v>615</v>
      </c>
      <c r="D368" s="793" t="s">
        <v>1633</v>
      </c>
      <c r="E368" s="794" t="s">
        <v>354</v>
      </c>
      <c r="F368" s="998" t="s">
        <v>389</v>
      </c>
      <c r="G368" s="796">
        <f>SUMIFS(МОЛОКО!L8:L6958,МОЛОКО!F8:F6958,"547",МОЛОКО!L8:L6958,"&gt;0")</f>
        <v>22</v>
      </c>
      <c r="H368" s="797" t="s">
        <v>603</v>
      </c>
      <c r="I368" s="798">
        <v>39868</v>
      </c>
      <c r="J368" s="799">
        <f t="shared" ca="1" si="269"/>
        <v>8.9479452054794528</v>
      </c>
      <c r="K368" s="799">
        <f t="shared" ca="1" si="270"/>
        <v>108.86666666666666</v>
      </c>
      <c r="L368" s="800">
        <f t="shared" ca="1" si="271"/>
        <v>3266</v>
      </c>
      <c r="M368" s="801">
        <v>40909</v>
      </c>
      <c r="N368" s="802">
        <v>42929</v>
      </c>
      <c r="O368" s="803">
        <f t="shared" ca="1" si="272"/>
        <v>205</v>
      </c>
      <c r="P368" s="804">
        <v>5</v>
      </c>
      <c r="Q368" s="805"/>
      <c r="R368" s="806"/>
      <c r="S368" s="807"/>
      <c r="T368" s="798"/>
      <c r="U368" s="798" t="str">
        <f t="shared" si="273"/>
        <v>-</v>
      </c>
      <c r="V368" s="804" t="str">
        <f t="shared" ca="1" si="274"/>
        <v>-</v>
      </c>
      <c r="W368" s="808">
        <v>0</v>
      </c>
      <c r="X368" s="794" t="str">
        <f t="shared" si="267"/>
        <v>-</v>
      </c>
      <c r="Y368" s="794">
        <v>0</v>
      </c>
      <c r="Z368" s="809" t="str">
        <f t="shared" ca="1" si="275"/>
        <v>-----</v>
      </c>
      <c r="AA368" s="810">
        <f t="shared" ca="1" si="276"/>
        <v>43134</v>
      </c>
      <c r="AB368" s="804"/>
      <c r="AC368" s="811" t="str">
        <f t="shared" ca="1" si="277"/>
        <v>-----</v>
      </c>
      <c r="AD368" s="798"/>
      <c r="AE368" s="794" t="str">
        <f t="shared" ca="1" si="278"/>
        <v>яловая</v>
      </c>
      <c r="AF368" s="798" t="str">
        <f t="shared" si="279"/>
        <v>-</v>
      </c>
      <c r="AG368" s="812" t="str">
        <f t="shared" si="280"/>
        <v>---------</v>
      </c>
      <c r="AH368" s="807"/>
      <c r="AI368" s="807" t="str">
        <f t="shared" si="281"/>
        <v>-</v>
      </c>
      <c r="AJ368" s="807" t="str">
        <f t="shared" si="282"/>
        <v>-</v>
      </c>
      <c r="AK368" s="813"/>
      <c r="AL368" s="807" t="str">
        <f t="shared" si="283"/>
        <v>-</v>
      </c>
      <c r="AM368" s="807" t="str">
        <f t="shared" si="284"/>
        <v>-</v>
      </c>
      <c r="AN368" s="814" t="str">
        <f t="shared" ca="1" si="285"/>
        <v>-</v>
      </c>
      <c r="AO368" s="815">
        <v>1</v>
      </c>
      <c r="AP368" s="816" t="str">
        <f t="shared" ca="1" si="286"/>
        <v>-</v>
      </c>
      <c r="AQ368" s="817"/>
      <c r="AR368" s="794" t="str">
        <f t="shared" si="287"/>
        <v>-</v>
      </c>
      <c r="AS368" s="818"/>
      <c r="AT368" s="794" t="str">
        <f t="shared" si="288"/>
        <v>-</v>
      </c>
      <c r="AU368" s="300" t="s">
        <v>2696</v>
      </c>
      <c r="AV368" s="820"/>
      <c r="AW368" s="821"/>
      <c r="AX368" s="821"/>
      <c r="AY368" s="969" t="str">
        <f t="shared" si="289"/>
        <v>-</v>
      </c>
      <c r="AZ368" s="966" t="str">
        <f t="shared" si="290"/>
        <v>-</v>
      </c>
      <c r="BA368" s="971" t="str">
        <f t="shared" si="291"/>
        <v>-</v>
      </c>
      <c r="BB368" s="975"/>
      <c r="BC368" s="821"/>
      <c r="BD368" s="821"/>
      <c r="BE368" s="963" t="str">
        <f t="shared" si="292"/>
        <v>-</v>
      </c>
      <c r="BF368" s="984"/>
      <c r="BG368" s="988"/>
      <c r="BH368" s="982"/>
      <c r="BI368" s="991"/>
      <c r="BJ368" s="991"/>
      <c r="BK368" s="993" t="str">
        <f t="shared" si="293"/>
        <v>-</v>
      </c>
      <c r="BL368" s="820">
        <v>42979</v>
      </c>
      <c r="BM368" s="821">
        <v>5</v>
      </c>
      <c r="BN368" s="822">
        <f t="shared" ca="1" si="294"/>
        <v>155</v>
      </c>
      <c r="BO368" s="823">
        <f t="shared" si="295"/>
        <v>103.7</v>
      </c>
      <c r="BP368" s="824"/>
      <c r="BQ368" s="821"/>
      <c r="BR368" s="822" t="str">
        <f t="shared" si="296"/>
        <v>-</v>
      </c>
      <c r="BS368" s="823" t="str">
        <f t="shared" si="297"/>
        <v>-</v>
      </c>
      <c r="BT368" s="825" t="str">
        <f t="shared" ca="1" si="298"/>
        <v>-</v>
      </c>
      <c r="BU368" s="826"/>
      <c r="BV368" s="827"/>
      <c r="BW368" s="828" t="str">
        <f t="shared" si="299"/>
        <v>Ж-Е НЕ ВАКЦ.</v>
      </c>
      <c r="BX368" s="829" t="str">
        <f t="shared" si="300"/>
        <v>-</v>
      </c>
      <c r="BY368" s="830" t="str">
        <f t="shared" ca="1" si="301"/>
        <v>-</v>
      </c>
      <c r="BZ368" s="831">
        <v>42964</v>
      </c>
      <c r="CA368" s="832">
        <v>5</v>
      </c>
      <c r="CB368" s="833">
        <f t="shared" ca="1" si="302"/>
        <v>170</v>
      </c>
      <c r="CC368" s="834" t="str">
        <f t="shared" ca="1" si="303"/>
        <v>-</v>
      </c>
      <c r="CD368" s="835">
        <f t="shared" si="304"/>
        <v>42985</v>
      </c>
      <c r="CE368" s="831">
        <v>42985</v>
      </c>
      <c r="CF368" s="832">
        <v>5</v>
      </c>
      <c r="CG368" s="833">
        <f t="shared" ca="1" si="305"/>
        <v>149</v>
      </c>
      <c r="CH368" s="836">
        <f t="shared" si="306"/>
        <v>0</v>
      </c>
      <c r="CI368" s="837" t="str">
        <f t="shared" si="307"/>
        <v>УСПЕШНО</v>
      </c>
      <c r="CJ368" s="838" t="str">
        <f t="shared" ca="1" si="308"/>
        <v>-</v>
      </c>
      <c r="CK368" s="831"/>
      <c r="CL368" s="832"/>
      <c r="CM368" s="833" t="str">
        <f t="shared" si="309"/>
        <v>-</v>
      </c>
      <c r="CN368" s="834" t="str">
        <f t="shared" si="310"/>
        <v>-</v>
      </c>
      <c r="CO368" s="830" t="str">
        <f t="shared" ca="1" si="311"/>
        <v>-</v>
      </c>
      <c r="CP368" s="831">
        <v>42882</v>
      </c>
      <c r="CQ368" s="832">
        <v>2</v>
      </c>
      <c r="CR368" s="833">
        <f t="shared" si="312"/>
        <v>42882</v>
      </c>
      <c r="CS368" s="833">
        <f t="shared" ca="1" si="313"/>
        <v>252</v>
      </c>
      <c r="CT368" s="834" t="str">
        <f t="shared" ca="1" si="314"/>
        <v>-</v>
      </c>
      <c r="CU368" s="835">
        <f t="shared" si="315"/>
        <v>42903</v>
      </c>
      <c r="CV368" s="831">
        <v>42903</v>
      </c>
      <c r="CW368" s="832">
        <v>2</v>
      </c>
      <c r="CX368" s="833">
        <f t="shared" si="316"/>
        <v>0</v>
      </c>
      <c r="CY368" s="840" t="str">
        <f t="shared" si="317"/>
        <v>УСПЕШНО</v>
      </c>
      <c r="CZ368" s="833">
        <f t="shared" si="318"/>
        <v>42903</v>
      </c>
      <c r="DA368" s="838" t="str">
        <f t="shared" ca="1" si="319"/>
        <v>-</v>
      </c>
      <c r="DB368" s="841"/>
      <c r="DC368" s="832"/>
    </row>
    <row r="369" spans="1:107" s="842" customFormat="1" ht="15.95" customHeight="1" x14ac:dyDescent="0.25">
      <c r="A369" s="790">
        <v>370</v>
      </c>
      <c r="B369" s="791">
        <f t="shared" ca="1" si="268"/>
        <v>43134</v>
      </c>
      <c r="C369" s="792" t="s">
        <v>615</v>
      </c>
      <c r="D369" s="793" t="s">
        <v>1633</v>
      </c>
      <c r="E369" s="794" t="s">
        <v>73</v>
      </c>
      <c r="F369" s="854" t="s">
        <v>74</v>
      </c>
      <c r="G369" s="796">
        <f>SUMIFS(МОЛОКО!L8:L6958,МОЛОКО!F8:F6958,"1004",МОЛОКО!L8:L6958,"&gt;0")</f>
        <v>21</v>
      </c>
      <c r="H369" s="797" t="s">
        <v>603</v>
      </c>
      <c r="I369" s="798">
        <v>40332</v>
      </c>
      <c r="J369" s="799">
        <f t="shared" ca="1" si="269"/>
        <v>7.6767123287671231</v>
      </c>
      <c r="K369" s="799">
        <f t="shared" ca="1" si="270"/>
        <v>93.4</v>
      </c>
      <c r="L369" s="800">
        <f t="shared" ca="1" si="271"/>
        <v>2802</v>
      </c>
      <c r="M369" s="801">
        <v>41165</v>
      </c>
      <c r="N369" s="802">
        <v>42956</v>
      </c>
      <c r="O369" s="803">
        <f t="shared" ca="1" si="272"/>
        <v>178</v>
      </c>
      <c r="P369" s="804">
        <v>5</v>
      </c>
      <c r="Q369" s="805" t="s">
        <v>2366</v>
      </c>
      <c r="R369" s="806" t="s">
        <v>3020</v>
      </c>
      <c r="S369" s="807">
        <v>43020</v>
      </c>
      <c r="T369" s="798">
        <v>43020</v>
      </c>
      <c r="U369" s="798" t="str">
        <f t="shared" si="273"/>
        <v>-</v>
      </c>
      <c r="V369" s="804" t="str">
        <f t="shared" ca="1" si="274"/>
        <v>-</v>
      </c>
      <c r="W369" s="808">
        <v>1</v>
      </c>
      <c r="X369" s="794">
        <f t="shared" si="267"/>
        <v>64</v>
      </c>
      <c r="Y369" s="794">
        <v>1</v>
      </c>
      <c r="Z369" s="809" t="str">
        <f t="shared" ca="1" si="275"/>
        <v>ПОДЛЕЖИТ ПЕРЕПРОВЕРКЕ</v>
      </c>
      <c r="AA369" s="810">
        <f t="shared" ca="1" si="276"/>
        <v>114</v>
      </c>
      <c r="AB369" s="804"/>
      <c r="AC369" s="811">
        <f t="shared" ca="1" si="277"/>
        <v>43092</v>
      </c>
      <c r="AD369" s="798"/>
      <c r="AE369" s="794" t="str">
        <f t="shared" ca="1" si="278"/>
        <v>-</v>
      </c>
      <c r="AF369" s="798" t="str">
        <f t="shared" si="279"/>
        <v>-</v>
      </c>
      <c r="AG369" s="812" t="str">
        <f t="shared" si="280"/>
        <v>---------</v>
      </c>
      <c r="AH369" s="807">
        <v>43052</v>
      </c>
      <c r="AI369" s="807">
        <f t="shared" si="281"/>
        <v>43210</v>
      </c>
      <c r="AJ369" s="807">
        <f t="shared" si="282"/>
        <v>43240</v>
      </c>
      <c r="AK369" s="813"/>
      <c r="AL369" s="807">
        <f t="shared" si="283"/>
        <v>43279</v>
      </c>
      <c r="AM369" s="807">
        <f t="shared" si="284"/>
        <v>43300</v>
      </c>
      <c r="AN369" s="814">
        <f t="shared" ca="1" si="285"/>
        <v>-166</v>
      </c>
      <c r="AO369" s="815">
        <v>1</v>
      </c>
      <c r="AP369" s="816" t="str">
        <f t="shared" ca="1" si="286"/>
        <v>-</v>
      </c>
      <c r="AQ369" s="817"/>
      <c r="AR369" s="794" t="str">
        <f t="shared" si="287"/>
        <v>-</v>
      </c>
      <c r="AS369" s="818"/>
      <c r="AT369" s="794" t="str">
        <f t="shared" si="288"/>
        <v>-</v>
      </c>
      <c r="AU369" s="819">
        <v>1</v>
      </c>
      <c r="AV369" s="820"/>
      <c r="AW369" s="821"/>
      <c r="AX369" s="821"/>
      <c r="AY369" s="969" t="str">
        <f t="shared" si="289"/>
        <v>-</v>
      </c>
      <c r="AZ369" s="966" t="str">
        <f t="shared" si="290"/>
        <v>-</v>
      </c>
      <c r="BA369" s="971" t="str">
        <f t="shared" si="291"/>
        <v>-</v>
      </c>
      <c r="BB369" s="975"/>
      <c r="BC369" s="821"/>
      <c r="BD369" s="821"/>
      <c r="BE369" s="963" t="str">
        <f t="shared" si="292"/>
        <v>-</v>
      </c>
      <c r="BF369" s="984"/>
      <c r="BG369" s="988"/>
      <c r="BH369" s="982"/>
      <c r="BI369" s="991"/>
      <c r="BJ369" s="991"/>
      <c r="BK369" s="993" t="str">
        <f t="shared" si="293"/>
        <v>-</v>
      </c>
      <c r="BL369" s="820">
        <v>42979</v>
      </c>
      <c r="BM369" s="821">
        <v>5</v>
      </c>
      <c r="BN369" s="822">
        <f t="shared" ca="1" si="294"/>
        <v>155</v>
      </c>
      <c r="BO369" s="823">
        <f t="shared" si="295"/>
        <v>88.233333333333334</v>
      </c>
      <c r="BP369" s="824"/>
      <c r="BQ369" s="821"/>
      <c r="BR369" s="822" t="str">
        <f t="shared" si="296"/>
        <v>-</v>
      </c>
      <c r="BS369" s="823" t="str">
        <f t="shared" si="297"/>
        <v>-</v>
      </c>
      <c r="BT369" s="825" t="str">
        <f t="shared" ca="1" si="298"/>
        <v>-</v>
      </c>
      <c r="BU369" s="826"/>
      <c r="BV369" s="827"/>
      <c r="BW369" s="828" t="str">
        <f t="shared" si="299"/>
        <v>Ж-Е НЕ ВАКЦ.</v>
      </c>
      <c r="BX369" s="829" t="str">
        <f t="shared" si="300"/>
        <v>-</v>
      </c>
      <c r="BY369" s="830" t="str">
        <f t="shared" ca="1" si="301"/>
        <v>-</v>
      </c>
      <c r="BZ369" s="831">
        <v>42988</v>
      </c>
      <c r="CA369" s="832">
        <v>5</v>
      </c>
      <c r="CB369" s="833">
        <f t="shared" ca="1" si="302"/>
        <v>146</v>
      </c>
      <c r="CC369" s="834" t="str">
        <f t="shared" ca="1" si="303"/>
        <v>-</v>
      </c>
      <c r="CD369" s="835">
        <f t="shared" si="304"/>
        <v>43009</v>
      </c>
      <c r="CE369" s="831">
        <v>43009</v>
      </c>
      <c r="CF369" s="832">
        <v>5</v>
      </c>
      <c r="CG369" s="833">
        <f t="shared" ca="1" si="305"/>
        <v>125</v>
      </c>
      <c r="CH369" s="836">
        <f t="shared" si="306"/>
        <v>0</v>
      </c>
      <c r="CI369" s="837" t="str">
        <f t="shared" si="307"/>
        <v>УСПЕШНО</v>
      </c>
      <c r="CJ369" s="838" t="str">
        <f t="shared" ca="1" si="308"/>
        <v>-</v>
      </c>
      <c r="CK369" s="831"/>
      <c r="CL369" s="832"/>
      <c r="CM369" s="833" t="str">
        <f t="shared" si="309"/>
        <v>-</v>
      </c>
      <c r="CN369" s="834" t="str">
        <f t="shared" si="310"/>
        <v>-</v>
      </c>
      <c r="CO369" s="830" t="str">
        <f t="shared" ca="1" si="311"/>
        <v>-</v>
      </c>
      <c r="CP369" s="831">
        <v>42890</v>
      </c>
      <c r="CQ369" s="832">
        <v>2</v>
      </c>
      <c r="CR369" s="833">
        <f t="shared" si="312"/>
        <v>-130</v>
      </c>
      <c r="CS369" s="833">
        <f t="shared" ca="1" si="313"/>
        <v>244</v>
      </c>
      <c r="CT369" s="834" t="str">
        <f t="shared" ca="1" si="314"/>
        <v>-</v>
      </c>
      <c r="CU369" s="835">
        <f t="shared" si="315"/>
        <v>42911</v>
      </c>
      <c r="CV369" s="831">
        <v>42911</v>
      </c>
      <c r="CW369" s="832">
        <v>2</v>
      </c>
      <c r="CX369" s="833">
        <f t="shared" si="316"/>
        <v>0</v>
      </c>
      <c r="CY369" s="840" t="str">
        <f t="shared" si="317"/>
        <v>УСПЕШНО</v>
      </c>
      <c r="CZ369" s="833">
        <f t="shared" si="318"/>
        <v>-109</v>
      </c>
      <c r="DA369" s="838" t="str">
        <f t="shared" ca="1" si="319"/>
        <v>-</v>
      </c>
      <c r="DB369" s="841"/>
      <c r="DC369" s="832"/>
    </row>
    <row r="370" spans="1:107" s="842" customFormat="1" ht="15.95" customHeight="1" x14ac:dyDescent="0.25">
      <c r="A370" s="790">
        <v>371</v>
      </c>
      <c r="B370" s="791">
        <f t="shared" ca="1" si="268"/>
        <v>43134</v>
      </c>
      <c r="C370" s="792" t="s">
        <v>615</v>
      </c>
      <c r="D370" s="793" t="s">
        <v>1633</v>
      </c>
      <c r="E370" s="794" t="s">
        <v>383</v>
      </c>
      <c r="F370" s="854" t="s">
        <v>384</v>
      </c>
      <c r="G370" s="796">
        <f>SUMIFS(МОЛОКО!L8:L6958,МОЛОКО!F8:F6958,"1276",МОЛОКО!L8:L6958,"&gt;0")</f>
        <v>22</v>
      </c>
      <c r="H370" s="797" t="s">
        <v>603</v>
      </c>
      <c r="I370" s="798">
        <v>40655</v>
      </c>
      <c r="J370" s="799">
        <f t="shared" ca="1" si="269"/>
        <v>6.7917808219178086</v>
      </c>
      <c r="K370" s="799">
        <f t="shared" ca="1" si="270"/>
        <v>82.63333333333334</v>
      </c>
      <c r="L370" s="800">
        <f t="shared" ca="1" si="271"/>
        <v>2479</v>
      </c>
      <c r="M370" s="801">
        <v>41521</v>
      </c>
      <c r="N370" s="802">
        <v>42916</v>
      </c>
      <c r="O370" s="803">
        <f t="shared" ca="1" si="272"/>
        <v>218</v>
      </c>
      <c r="P370" s="804">
        <v>4</v>
      </c>
      <c r="Q370" s="805" t="s">
        <v>1451</v>
      </c>
      <c r="R370" s="806" t="s">
        <v>3020</v>
      </c>
      <c r="S370" s="807">
        <v>42992</v>
      </c>
      <c r="T370" s="798">
        <v>43014</v>
      </c>
      <c r="U370" s="798" t="str">
        <f t="shared" si="273"/>
        <v>-</v>
      </c>
      <c r="V370" s="804" t="str">
        <f t="shared" ca="1" si="274"/>
        <v>-</v>
      </c>
      <c r="W370" s="808">
        <v>2</v>
      </c>
      <c r="X370" s="794">
        <f t="shared" si="267"/>
        <v>98</v>
      </c>
      <c r="Y370" s="794">
        <v>1</v>
      </c>
      <c r="Z370" s="809" t="str">
        <f t="shared" ca="1" si="275"/>
        <v>ПОДЛЕЖИТ ПЕРЕПРОВЕРКЕ</v>
      </c>
      <c r="AA370" s="810">
        <f t="shared" ca="1" si="276"/>
        <v>120</v>
      </c>
      <c r="AB370" s="804"/>
      <c r="AC370" s="811">
        <f t="shared" ca="1" si="277"/>
        <v>43086</v>
      </c>
      <c r="AD370" s="798"/>
      <c r="AE370" s="794" t="str">
        <f t="shared" ca="1" si="278"/>
        <v>-</v>
      </c>
      <c r="AF370" s="798" t="str">
        <f t="shared" si="279"/>
        <v>-</v>
      </c>
      <c r="AG370" s="812" t="str">
        <f t="shared" si="280"/>
        <v>---------</v>
      </c>
      <c r="AH370" s="807">
        <v>43045</v>
      </c>
      <c r="AI370" s="807">
        <f t="shared" si="281"/>
        <v>43204</v>
      </c>
      <c r="AJ370" s="807">
        <f t="shared" si="282"/>
        <v>43234</v>
      </c>
      <c r="AK370" s="813"/>
      <c r="AL370" s="807">
        <f t="shared" si="283"/>
        <v>43273</v>
      </c>
      <c r="AM370" s="807">
        <f t="shared" si="284"/>
        <v>43294</v>
      </c>
      <c r="AN370" s="814">
        <f t="shared" ca="1" si="285"/>
        <v>-160</v>
      </c>
      <c r="AO370" s="815">
        <v>1</v>
      </c>
      <c r="AP370" s="816" t="str">
        <f t="shared" ca="1" si="286"/>
        <v>-</v>
      </c>
      <c r="AQ370" s="817"/>
      <c r="AR370" s="794" t="str">
        <f t="shared" si="287"/>
        <v>-</v>
      </c>
      <c r="AS370" s="818"/>
      <c r="AT370" s="794" t="str">
        <f t="shared" si="288"/>
        <v>-</v>
      </c>
      <c r="AU370" s="819">
        <v>1</v>
      </c>
      <c r="AV370" s="820"/>
      <c r="AW370" s="821"/>
      <c r="AX370" s="821"/>
      <c r="AY370" s="969" t="str">
        <f t="shared" si="289"/>
        <v>-</v>
      </c>
      <c r="AZ370" s="966" t="str">
        <f t="shared" si="290"/>
        <v>-</v>
      </c>
      <c r="BA370" s="971" t="str">
        <f t="shared" si="291"/>
        <v>-</v>
      </c>
      <c r="BB370" s="975"/>
      <c r="BC370" s="821"/>
      <c r="BD370" s="821"/>
      <c r="BE370" s="963" t="str">
        <f t="shared" si="292"/>
        <v>-</v>
      </c>
      <c r="BF370" s="984"/>
      <c r="BG370" s="988"/>
      <c r="BH370" s="982"/>
      <c r="BI370" s="991"/>
      <c r="BJ370" s="991"/>
      <c r="BK370" s="993" t="str">
        <f t="shared" si="293"/>
        <v>-</v>
      </c>
      <c r="BL370" s="820">
        <v>42979</v>
      </c>
      <c r="BM370" s="821">
        <v>5</v>
      </c>
      <c r="BN370" s="822">
        <f t="shared" ca="1" si="294"/>
        <v>155</v>
      </c>
      <c r="BO370" s="823">
        <f t="shared" si="295"/>
        <v>77.466666666666669</v>
      </c>
      <c r="BP370" s="824"/>
      <c r="BQ370" s="821"/>
      <c r="BR370" s="822" t="str">
        <f t="shared" si="296"/>
        <v>-</v>
      </c>
      <c r="BS370" s="823" t="str">
        <f t="shared" si="297"/>
        <v>-</v>
      </c>
      <c r="BT370" s="825" t="str">
        <f t="shared" ca="1" si="298"/>
        <v>-</v>
      </c>
      <c r="BU370" s="826"/>
      <c r="BV370" s="827"/>
      <c r="BW370" s="828" t="str">
        <f t="shared" si="299"/>
        <v>Ж-Е НЕ ВАКЦ.</v>
      </c>
      <c r="BX370" s="829" t="str">
        <f t="shared" si="300"/>
        <v>-</v>
      </c>
      <c r="BY370" s="830" t="str">
        <f t="shared" ca="1" si="301"/>
        <v>-</v>
      </c>
      <c r="BZ370" s="831">
        <v>42964</v>
      </c>
      <c r="CA370" s="832">
        <v>5</v>
      </c>
      <c r="CB370" s="833">
        <f t="shared" ca="1" si="302"/>
        <v>170</v>
      </c>
      <c r="CC370" s="834" t="str">
        <f t="shared" ca="1" si="303"/>
        <v>-</v>
      </c>
      <c r="CD370" s="835">
        <f t="shared" si="304"/>
        <v>42985</v>
      </c>
      <c r="CE370" s="831">
        <v>42985</v>
      </c>
      <c r="CF370" s="832">
        <v>5</v>
      </c>
      <c r="CG370" s="833">
        <f t="shared" ca="1" si="305"/>
        <v>149</v>
      </c>
      <c r="CH370" s="836">
        <f t="shared" si="306"/>
        <v>0</v>
      </c>
      <c r="CI370" s="837" t="str">
        <f t="shared" si="307"/>
        <v>УСПЕШНО</v>
      </c>
      <c r="CJ370" s="838" t="str">
        <f t="shared" ca="1" si="308"/>
        <v>-</v>
      </c>
      <c r="CK370" s="831"/>
      <c r="CL370" s="832"/>
      <c r="CM370" s="833" t="str">
        <f t="shared" si="309"/>
        <v>-</v>
      </c>
      <c r="CN370" s="834" t="str">
        <f t="shared" si="310"/>
        <v>-</v>
      </c>
      <c r="CO370" s="830" t="str">
        <f t="shared" ca="1" si="311"/>
        <v>-</v>
      </c>
      <c r="CP370" s="839"/>
      <c r="CQ370" s="832"/>
      <c r="CR370" s="833" t="str">
        <f t="shared" si="312"/>
        <v>-</v>
      </c>
      <c r="CS370" s="833" t="str">
        <f t="shared" si="313"/>
        <v>-</v>
      </c>
      <c r="CT370" s="834" t="str">
        <f t="shared" si="314"/>
        <v>-</v>
      </c>
      <c r="CU370" s="835" t="str">
        <f t="shared" si="315"/>
        <v>-</v>
      </c>
      <c r="CV370" s="839"/>
      <c r="CW370" s="832"/>
      <c r="CX370" s="833" t="str">
        <f t="shared" si="316"/>
        <v>-</v>
      </c>
      <c r="CY370" s="840" t="str">
        <f t="shared" si="317"/>
        <v>-</v>
      </c>
      <c r="CZ370" s="833" t="str">
        <f t="shared" si="318"/>
        <v>-</v>
      </c>
      <c r="DA370" s="838" t="str">
        <f t="shared" ca="1" si="319"/>
        <v>-</v>
      </c>
      <c r="DB370" s="841"/>
      <c r="DC370" s="832"/>
    </row>
    <row r="371" spans="1:107" s="842" customFormat="1" ht="15.95" customHeight="1" x14ac:dyDescent="0.25">
      <c r="A371" s="790">
        <v>372</v>
      </c>
      <c r="B371" s="791">
        <f t="shared" ca="1" si="268"/>
        <v>43134</v>
      </c>
      <c r="C371" s="792" t="s">
        <v>615</v>
      </c>
      <c r="D371" s="793" t="s">
        <v>1633</v>
      </c>
      <c r="E371" s="794" t="s">
        <v>738</v>
      </c>
      <c r="F371" s="854" t="s">
        <v>739</v>
      </c>
      <c r="G371" s="796">
        <f>SUMIFS(МОЛОКО!L8:L6958,МОЛОКО!F8:F6958,"1379",МОЛОКО!L8:L6958,"&gt;0")</f>
        <v>33.4</v>
      </c>
      <c r="H371" s="797" t="s">
        <v>603</v>
      </c>
      <c r="I371" s="798">
        <v>40827</v>
      </c>
      <c r="J371" s="799">
        <f t="shared" ca="1" si="269"/>
        <v>6.3205479452054796</v>
      </c>
      <c r="K371" s="799">
        <f t="shared" ca="1" si="270"/>
        <v>76.900000000000006</v>
      </c>
      <c r="L371" s="800">
        <f t="shared" ca="1" si="271"/>
        <v>2307</v>
      </c>
      <c r="M371" s="801">
        <v>41610</v>
      </c>
      <c r="N371" s="802">
        <v>42932</v>
      </c>
      <c r="O371" s="803">
        <f t="shared" ca="1" si="272"/>
        <v>202</v>
      </c>
      <c r="P371" s="804">
        <v>4</v>
      </c>
      <c r="Q371" s="68" t="s">
        <v>1451</v>
      </c>
      <c r="R371" s="806" t="s">
        <v>2966</v>
      </c>
      <c r="S371" s="807">
        <v>43004</v>
      </c>
      <c r="T371" s="798">
        <v>43048</v>
      </c>
      <c r="U371" s="798">
        <f t="shared" si="273"/>
        <v>43066</v>
      </c>
      <c r="V371" s="804">
        <f t="shared" ca="1" si="274"/>
        <v>68</v>
      </c>
      <c r="W371" s="808">
        <v>2</v>
      </c>
      <c r="X371" s="794">
        <f t="shared" si="267"/>
        <v>116</v>
      </c>
      <c r="Y371" s="794">
        <v>3</v>
      </c>
      <c r="Z371" s="809" t="str">
        <f t="shared" ca="1" si="275"/>
        <v>-----</v>
      </c>
      <c r="AA371" s="810">
        <f t="shared" ca="1" si="276"/>
        <v>86</v>
      </c>
      <c r="AB371" s="804"/>
      <c r="AC371" s="811" t="str">
        <f t="shared" ca="1" si="277"/>
        <v>-----</v>
      </c>
      <c r="AD371" s="798"/>
      <c r="AE371" s="794" t="str">
        <f t="shared" ca="1" si="278"/>
        <v>-</v>
      </c>
      <c r="AF371" s="798">
        <f t="shared" si="279"/>
        <v>43083</v>
      </c>
      <c r="AG371" s="812">
        <f t="shared" ca="1" si="280"/>
        <v>51</v>
      </c>
      <c r="AH371" s="807">
        <v>43044</v>
      </c>
      <c r="AI371" s="807" t="str">
        <f t="shared" si="281"/>
        <v>-</v>
      </c>
      <c r="AJ371" s="807" t="str">
        <f t="shared" si="282"/>
        <v>-</v>
      </c>
      <c r="AK371" s="813"/>
      <c r="AL371" s="807" t="str">
        <f t="shared" si="283"/>
        <v>-</v>
      </c>
      <c r="AM371" s="807" t="str">
        <f t="shared" si="284"/>
        <v>-</v>
      </c>
      <c r="AN371" s="814" t="str">
        <f t="shared" ca="1" si="285"/>
        <v>-</v>
      </c>
      <c r="AO371" s="815">
        <v>1</v>
      </c>
      <c r="AP371" s="816" t="str">
        <f t="shared" ca="1" si="286"/>
        <v>-</v>
      </c>
      <c r="AQ371" s="817"/>
      <c r="AR371" s="794" t="str">
        <f t="shared" si="287"/>
        <v>-</v>
      </c>
      <c r="AS371" s="818"/>
      <c r="AT371" s="794" t="str">
        <f t="shared" si="288"/>
        <v>-</v>
      </c>
      <c r="AU371" s="819">
        <v>1</v>
      </c>
      <c r="AV371" s="820"/>
      <c r="AW371" s="821"/>
      <c r="AX371" s="821"/>
      <c r="AY371" s="969" t="str">
        <f t="shared" si="289"/>
        <v>-</v>
      </c>
      <c r="AZ371" s="966" t="str">
        <f t="shared" si="290"/>
        <v>-</v>
      </c>
      <c r="BA371" s="971" t="str">
        <f t="shared" si="291"/>
        <v>-</v>
      </c>
      <c r="BB371" s="975"/>
      <c r="BC371" s="821"/>
      <c r="BD371" s="821"/>
      <c r="BE371" s="963" t="str">
        <f t="shared" si="292"/>
        <v>-</v>
      </c>
      <c r="BF371" s="984"/>
      <c r="BG371" s="988"/>
      <c r="BH371" s="982"/>
      <c r="BI371" s="991"/>
      <c r="BJ371" s="991"/>
      <c r="BK371" s="993" t="str">
        <f t="shared" si="293"/>
        <v>-</v>
      </c>
      <c r="BL371" s="820">
        <v>42979</v>
      </c>
      <c r="BM371" s="821">
        <v>5</v>
      </c>
      <c r="BN371" s="822">
        <f t="shared" ca="1" si="294"/>
        <v>155</v>
      </c>
      <c r="BO371" s="823">
        <f t="shared" si="295"/>
        <v>71.733333333333334</v>
      </c>
      <c r="BP371" s="824"/>
      <c r="BQ371" s="821"/>
      <c r="BR371" s="822" t="str">
        <f t="shared" si="296"/>
        <v>-</v>
      </c>
      <c r="BS371" s="823" t="str">
        <f t="shared" si="297"/>
        <v>-</v>
      </c>
      <c r="BT371" s="825" t="str">
        <f t="shared" ca="1" si="298"/>
        <v>-</v>
      </c>
      <c r="BU371" s="826"/>
      <c r="BV371" s="827"/>
      <c r="BW371" s="828" t="str">
        <f t="shared" si="299"/>
        <v>Ж-Е НЕ ВАКЦ.</v>
      </c>
      <c r="BX371" s="829" t="str">
        <f t="shared" si="300"/>
        <v>-</v>
      </c>
      <c r="BY371" s="830" t="str">
        <f t="shared" ca="1" si="301"/>
        <v>-</v>
      </c>
      <c r="BZ371" s="831">
        <v>42964</v>
      </c>
      <c r="CA371" s="832">
        <v>5</v>
      </c>
      <c r="CB371" s="833">
        <f t="shared" ca="1" si="302"/>
        <v>170</v>
      </c>
      <c r="CC371" s="834" t="str">
        <f t="shared" ca="1" si="303"/>
        <v>-</v>
      </c>
      <c r="CD371" s="835">
        <f t="shared" si="304"/>
        <v>42985</v>
      </c>
      <c r="CE371" s="831">
        <v>42985</v>
      </c>
      <c r="CF371" s="832">
        <v>5</v>
      </c>
      <c r="CG371" s="833">
        <f t="shared" ca="1" si="305"/>
        <v>149</v>
      </c>
      <c r="CH371" s="836">
        <f t="shared" si="306"/>
        <v>0</v>
      </c>
      <c r="CI371" s="837" t="str">
        <f t="shared" si="307"/>
        <v>УСПЕШНО</v>
      </c>
      <c r="CJ371" s="838" t="str">
        <f t="shared" ca="1" si="308"/>
        <v>-</v>
      </c>
      <c r="CK371" s="831"/>
      <c r="CL371" s="832"/>
      <c r="CM371" s="833" t="str">
        <f t="shared" si="309"/>
        <v>-</v>
      </c>
      <c r="CN371" s="834" t="str">
        <f t="shared" si="310"/>
        <v>-</v>
      </c>
      <c r="CO371" s="830" t="str">
        <f t="shared" ca="1" si="311"/>
        <v>-</v>
      </c>
      <c r="CP371" s="831">
        <v>42882</v>
      </c>
      <c r="CQ371" s="832">
        <v>2</v>
      </c>
      <c r="CR371" s="833">
        <f t="shared" si="312"/>
        <v>-166</v>
      </c>
      <c r="CS371" s="833">
        <f t="shared" ca="1" si="313"/>
        <v>252</v>
      </c>
      <c r="CT371" s="834" t="str">
        <f t="shared" ca="1" si="314"/>
        <v>-</v>
      </c>
      <c r="CU371" s="835">
        <f t="shared" si="315"/>
        <v>42903</v>
      </c>
      <c r="CV371" s="831">
        <v>42903</v>
      </c>
      <c r="CW371" s="832">
        <v>2</v>
      </c>
      <c r="CX371" s="833">
        <f t="shared" si="316"/>
        <v>0</v>
      </c>
      <c r="CY371" s="840" t="str">
        <f t="shared" si="317"/>
        <v>УСПЕШНО</v>
      </c>
      <c r="CZ371" s="833">
        <f t="shared" si="318"/>
        <v>-145</v>
      </c>
      <c r="DA371" s="838" t="str">
        <f t="shared" ca="1" si="319"/>
        <v>-</v>
      </c>
      <c r="DB371" s="841"/>
      <c r="DC371" s="832"/>
    </row>
    <row r="372" spans="1:107" s="842" customFormat="1" ht="15.95" customHeight="1" x14ac:dyDescent="0.25">
      <c r="A372" s="790">
        <v>373</v>
      </c>
      <c r="B372" s="791">
        <f t="shared" ca="1" si="268"/>
        <v>43134</v>
      </c>
      <c r="C372" s="792" t="s">
        <v>615</v>
      </c>
      <c r="D372" s="793" t="s">
        <v>1633</v>
      </c>
      <c r="E372" s="794" t="s">
        <v>610</v>
      </c>
      <c r="F372" s="854" t="s">
        <v>611</v>
      </c>
      <c r="G372" s="796">
        <f>SUMIFS(МОЛОКО!L8:L6958,МОЛОКО!F8:F6958,"1410",МОЛОКО!L8:L6958,"&gt;0")</f>
        <v>23</v>
      </c>
      <c r="H372" s="797" t="s">
        <v>603</v>
      </c>
      <c r="I372" s="798">
        <v>40889</v>
      </c>
      <c r="J372" s="799">
        <f t="shared" ca="1" si="269"/>
        <v>6.1506849315068495</v>
      </c>
      <c r="K372" s="799">
        <f t="shared" ca="1" si="270"/>
        <v>74.833333333333329</v>
      </c>
      <c r="L372" s="800">
        <f t="shared" ca="1" si="271"/>
        <v>2245</v>
      </c>
      <c r="M372" s="801">
        <v>41668</v>
      </c>
      <c r="N372" s="802">
        <v>42912</v>
      </c>
      <c r="O372" s="803">
        <f t="shared" ca="1" si="272"/>
        <v>222</v>
      </c>
      <c r="P372" s="804">
        <v>4</v>
      </c>
      <c r="Q372" s="805" t="s">
        <v>2366</v>
      </c>
      <c r="R372" s="806" t="s">
        <v>3020</v>
      </c>
      <c r="S372" s="807">
        <v>42970</v>
      </c>
      <c r="T372" s="798">
        <v>42970</v>
      </c>
      <c r="U372" s="798" t="str">
        <f t="shared" si="273"/>
        <v>-</v>
      </c>
      <c r="V372" s="804" t="str">
        <f t="shared" ca="1" si="274"/>
        <v>-</v>
      </c>
      <c r="W372" s="808">
        <v>1</v>
      </c>
      <c r="X372" s="794">
        <f t="shared" si="267"/>
        <v>58</v>
      </c>
      <c r="Y372" s="794">
        <v>1</v>
      </c>
      <c r="Z372" s="809" t="str">
        <f t="shared" ca="1" si="275"/>
        <v>-----</v>
      </c>
      <c r="AA372" s="810" t="str">
        <f t="shared" ca="1" si="276"/>
        <v>-----</v>
      </c>
      <c r="AB372" s="804">
        <v>1</v>
      </c>
      <c r="AC372" s="811" t="str">
        <f t="shared" ca="1" si="277"/>
        <v>-----</v>
      </c>
      <c r="AD372" s="798">
        <v>43047</v>
      </c>
      <c r="AE372" s="794" t="str">
        <f t="shared" ca="1" si="278"/>
        <v>-</v>
      </c>
      <c r="AF372" s="798" t="str">
        <f t="shared" si="279"/>
        <v>-</v>
      </c>
      <c r="AG372" s="812" t="str">
        <f t="shared" si="280"/>
        <v>---------</v>
      </c>
      <c r="AH372" s="807">
        <v>43003</v>
      </c>
      <c r="AI372" s="807">
        <f t="shared" si="281"/>
        <v>43160</v>
      </c>
      <c r="AJ372" s="807">
        <f t="shared" si="282"/>
        <v>43190</v>
      </c>
      <c r="AK372" s="813"/>
      <c r="AL372" s="807">
        <f t="shared" si="283"/>
        <v>43229</v>
      </c>
      <c r="AM372" s="807">
        <f t="shared" si="284"/>
        <v>43250</v>
      </c>
      <c r="AN372" s="814">
        <f t="shared" ca="1" si="285"/>
        <v>-116</v>
      </c>
      <c r="AO372" s="815">
        <v>1</v>
      </c>
      <c r="AP372" s="816" t="str">
        <f t="shared" ca="1" si="286"/>
        <v>-</v>
      </c>
      <c r="AQ372" s="817"/>
      <c r="AR372" s="794" t="str">
        <f t="shared" si="287"/>
        <v>-</v>
      </c>
      <c r="AS372" s="818"/>
      <c r="AT372" s="794" t="str">
        <f t="shared" si="288"/>
        <v>-</v>
      </c>
      <c r="AU372" s="819">
        <v>1</v>
      </c>
      <c r="AV372" s="820"/>
      <c r="AW372" s="821"/>
      <c r="AX372" s="821"/>
      <c r="AY372" s="969" t="str">
        <f t="shared" si="289"/>
        <v>-</v>
      </c>
      <c r="AZ372" s="966" t="str">
        <f t="shared" si="290"/>
        <v>-</v>
      </c>
      <c r="BA372" s="971" t="str">
        <f t="shared" si="291"/>
        <v>-</v>
      </c>
      <c r="BB372" s="975"/>
      <c r="BC372" s="821"/>
      <c r="BD372" s="821"/>
      <c r="BE372" s="963" t="str">
        <f t="shared" si="292"/>
        <v>-</v>
      </c>
      <c r="BF372" s="984"/>
      <c r="BG372" s="988"/>
      <c r="BH372" s="982"/>
      <c r="BI372" s="991"/>
      <c r="BJ372" s="991"/>
      <c r="BK372" s="993" t="str">
        <f t="shared" si="293"/>
        <v>-</v>
      </c>
      <c r="BL372" s="820">
        <v>42979</v>
      </c>
      <c r="BM372" s="821">
        <v>5</v>
      </c>
      <c r="BN372" s="822">
        <f t="shared" ca="1" si="294"/>
        <v>155</v>
      </c>
      <c r="BO372" s="823">
        <f t="shared" si="295"/>
        <v>69.666666666666671</v>
      </c>
      <c r="BP372" s="824"/>
      <c r="BQ372" s="821"/>
      <c r="BR372" s="822" t="str">
        <f t="shared" si="296"/>
        <v>-</v>
      </c>
      <c r="BS372" s="823" t="str">
        <f t="shared" si="297"/>
        <v>-</v>
      </c>
      <c r="BT372" s="825" t="str">
        <f t="shared" ca="1" si="298"/>
        <v>-</v>
      </c>
      <c r="BU372" s="826"/>
      <c r="BV372" s="827"/>
      <c r="BW372" s="828" t="str">
        <f t="shared" si="299"/>
        <v>Ж-Е НЕ ВАКЦ.</v>
      </c>
      <c r="BX372" s="829" t="str">
        <f t="shared" si="300"/>
        <v>-</v>
      </c>
      <c r="BY372" s="830" t="str">
        <f t="shared" ca="1" si="301"/>
        <v>-</v>
      </c>
      <c r="BZ372" s="831">
        <v>42940</v>
      </c>
      <c r="CA372" s="832">
        <v>5</v>
      </c>
      <c r="CB372" s="833">
        <f t="shared" ca="1" si="302"/>
        <v>194</v>
      </c>
      <c r="CC372" s="834" t="str">
        <f t="shared" ca="1" si="303"/>
        <v>-</v>
      </c>
      <c r="CD372" s="835">
        <f t="shared" si="304"/>
        <v>42961</v>
      </c>
      <c r="CE372" s="831">
        <v>42969</v>
      </c>
      <c r="CF372" s="832">
        <v>5</v>
      </c>
      <c r="CG372" s="833">
        <f t="shared" ca="1" si="305"/>
        <v>165</v>
      </c>
      <c r="CH372" s="836">
        <f t="shared" si="306"/>
        <v>-8</v>
      </c>
      <c r="CI372" s="837" t="str">
        <f t="shared" si="307"/>
        <v>-</v>
      </c>
      <c r="CJ372" s="838" t="str">
        <f t="shared" ca="1" si="308"/>
        <v>-</v>
      </c>
      <c r="CK372" s="831"/>
      <c r="CL372" s="832"/>
      <c r="CM372" s="833" t="str">
        <f t="shared" si="309"/>
        <v>-</v>
      </c>
      <c r="CN372" s="834" t="str">
        <f t="shared" si="310"/>
        <v>-</v>
      </c>
      <c r="CO372" s="830" t="str">
        <f t="shared" ca="1" si="311"/>
        <v>-</v>
      </c>
      <c r="CP372" s="839"/>
      <c r="CQ372" s="832"/>
      <c r="CR372" s="833" t="str">
        <f t="shared" si="312"/>
        <v>-</v>
      </c>
      <c r="CS372" s="833" t="str">
        <f t="shared" si="313"/>
        <v>-</v>
      </c>
      <c r="CT372" s="834" t="str">
        <f t="shared" si="314"/>
        <v>-</v>
      </c>
      <c r="CU372" s="835" t="str">
        <f t="shared" si="315"/>
        <v>-</v>
      </c>
      <c r="CV372" s="839"/>
      <c r="CW372" s="832"/>
      <c r="CX372" s="833" t="str">
        <f t="shared" si="316"/>
        <v>-</v>
      </c>
      <c r="CY372" s="840" t="str">
        <f t="shared" si="317"/>
        <v>-</v>
      </c>
      <c r="CZ372" s="833" t="str">
        <f t="shared" si="318"/>
        <v>-</v>
      </c>
      <c r="DA372" s="838" t="str">
        <f t="shared" ca="1" si="319"/>
        <v>-</v>
      </c>
      <c r="DB372" s="841"/>
      <c r="DC372" s="832"/>
    </row>
    <row r="373" spans="1:107" s="842" customFormat="1" ht="15.95" customHeight="1" x14ac:dyDescent="0.25">
      <c r="A373" s="790">
        <v>374</v>
      </c>
      <c r="B373" s="791">
        <f t="shared" ca="1" si="268"/>
        <v>43134</v>
      </c>
      <c r="C373" s="792" t="s">
        <v>615</v>
      </c>
      <c r="D373" s="793" t="s">
        <v>1633</v>
      </c>
      <c r="E373" s="794" t="s">
        <v>298</v>
      </c>
      <c r="F373" s="854" t="s">
        <v>815</v>
      </c>
      <c r="G373" s="796">
        <f>SUMIFS(МОЛОКО!L8:L6958,МОЛОКО!F8:F6958,"1469",МОЛОКО!L8:L6958,"&gt;0")</f>
        <v>18</v>
      </c>
      <c r="H373" s="797" t="s">
        <v>603</v>
      </c>
      <c r="I373" s="798">
        <v>40966</v>
      </c>
      <c r="J373" s="799">
        <f t="shared" ca="1" si="269"/>
        <v>5.9397260273972599</v>
      </c>
      <c r="K373" s="799">
        <f t="shared" ca="1" si="270"/>
        <v>72.266666666666666</v>
      </c>
      <c r="L373" s="800">
        <f t="shared" ca="1" si="271"/>
        <v>2168</v>
      </c>
      <c r="M373" s="801">
        <v>41768</v>
      </c>
      <c r="N373" s="802">
        <v>42941</v>
      </c>
      <c r="O373" s="803">
        <f t="shared" ca="1" si="272"/>
        <v>193</v>
      </c>
      <c r="P373" s="804">
        <v>4</v>
      </c>
      <c r="Q373" s="68" t="s">
        <v>1451</v>
      </c>
      <c r="R373" s="118" t="s">
        <v>2962</v>
      </c>
      <c r="S373" s="807">
        <v>43028</v>
      </c>
      <c r="T373" s="798">
        <v>43028</v>
      </c>
      <c r="U373" s="798">
        <f t="shared" si="273"/>
        <v>43046</v>
      </c>
      <c r="V373" s="804">
        <f t="shared" ca="1" si="274"/>
        <v>88</v>
      </c>
      <c r="W373" s="808">
        <v>1</v>
      </c>
      <c r="X373" s="794">
        <f t="shared" si="267"/>
        <v>87</v>
      </c>
      <c r="Y373" s="794">
        <v>3</v>
      </c>
      <c r="Z373" s="809" t="str">
        <f t="shared" ca="1" si="275"/>
        <v>-----</v>
      </c>
      <c r="AA373" s="810">
        <f t="shared" ca="1" si="276"/>
        <v>106</v>
      </c>
      <c r="AB373" s="804"/>
      <c r="AC373" s="811" t="str">
        <f t="shared" ca="1" si="277"/>
        <v>-----</v>
      </c>
      <c r="AD373" s="798"/>
      <c r="AE373" s="794" t="str">
        <f t="shared" ca="1" si="278"/>
        <v>-</v>
      </c>
      <c r="AF373" s="798">
        <f t="shared" si="279"/>
        <v>43063</v>
      </c>
      <c r="AG373" s="812">
        <f t="shared" ca="1" si="280"/>
        <v>71</v>
      </c>
      <c r="AH373" s="807"/>
      <c r="AI373" s="807" t="str">
        <f t="shared" si="281"/>
        <v>-</v>
      </c>
      <c r="AJ373" s="807" t="str">
        <f t="shared" si="282"/>
        <v>-</v>
      </c>
      <c r="AK373" s="813"/>
      <c r="AL373" s="807" t="str">
        <f t="shared" si="283"/>
        <v>-</v>
      </c>
      <c r="AM373" s="807" t="str">
        <f t="shared" si="284"/>
        <v>-</v>
      </c>
      <c r="AN373" s="814" t="str">
        <f t="shared" ca="1" si="285"/>
        <v>-</v>
      </c>
      <c r="AO373" s="815">
        <v>1</v>
      </c>
      <c r="AP373" s="816" t="str">
        <f t="shared" ca="1" si="286"/>
        <v>-</v>
      </c>
      <c r="AQ373" s="441" t="s">
        <v>3491</v>
      </c>
      <c r="AR373" s="794" t="str">
        <f t="shared" si="287"/>
        <v>-</v>
      </c>
      <c r="AS373" s="818"/>
      <c r="AT373" s="794" t="str">
        <f t="shared" si="288"/>
        <v>-</v>
      </c>
      <c r="AU373" s="819">
        <v>1</v>
      </c>
      <c r="AV373" s="820"/>
      <c r="AW373" s="821"/>
      <c r="AX373" s="821"/>
      <c r="AY373" s="969" t="str">
        <f t="shared" si="289"/>
        <v>-</v>
      </c>
      <c r="AZ373" s="966" t="str">
        <f t="shared" si="290"/>
        <v>-</v>
      </c>
      <c r="BA373" s="971" t="str">
        <f t="shared" si="291"/>
        <v>-</v>
      </c>
      <c r="BB373" s="975"/>
      <c r="BC373" s="821"/>
      <c r="BD373" s="821"/>
      <c r="BE373" s="963" t="str">
        <f t="shared" si="292"/>
        <v>-</v>
      </c>
      <c r="BF373" s="984"/>
      <c r="BG373" s="988"/>
      <c r="BH373" s="982"/>
      <c r="BI373" s="991"/>
      <c r="BJ373" s="991"/>
      <c r="BK373" s="993" t="str">
        <f t="shared" si="293"/>
        <v>-</v>
      </c>
      <c r="BL373" s="820">
        <v>42979</v>
      </c>
      <c r="BM373" s="821">
        <v>5</v>
      </c>
      <c r="BN373" s="822">
        <f t="shared" ca="1" si="294"/>
        <v>155</v>
      </c>
      <c r="BO373" s="823">
        <f t="shared" si="295"/>
        <v>67.099999999999994</v>
      </c>
      <c r="BP373" s="824"/>
      <c r="BQ373" s="821"/>
      <c r="BR373" s="822" t="str">
        <f t="shared" si="296"/>
        <v>-</v>
      </c>
      <c r="BS373" s="823" t="str">
        <f t="shared" si="297"/>
        <v>-</v>
      </c>
      <c r="BT373" s="825" t="str">
        <f t="shared" ca="1" si="298"/>
        <v>-</v>
      </c>
      <c r="BU373" s="826"/>
      <c r="BV373" s="827"/>
      <c r="BW373" s="828" t="str">
        <f t="shared" si="299"/>
        <v>Ж-Е НЕ ВАКЦ.</v>
      </c>
      <c r="BX373" s="829" t="str">
        <f t="shared" si="300"/>
        <v>-</v>
      </c>
      <c r="BY373" s="830" t="str">
        <f t="shared" ca="1" si="301"/>
        <v>-</v>
      </c>
      <c r="BZ373" s="831">
        <v>42964</v>
      </c>
      <c r="CA373" s="832">
        <v>5</v>
      </c>
      <c r="CB373" s="833">
        <f t="shared" ca="1" si="302"/>
        <v>170</v>
      </c>
      <c r="CC373" s="834" t="str">
        <f t="shared" ca="1" si="303"/>
        <v>-</v>
      </c>
      <c r="CD373" s="835">
        <f t="shared" si="304"/>
        <v>42985</v>
      </c>
      <c r="CE373" s="831">
        <v>42985</v>
      </c>
      <c r="CF373" s="832">
        <v>5</v>
      </c>
      <c r="CG373" s="833">
        <f t="shared" ca="1" si="305"/>
        <v>149</v>
      </c>
      <c r="CH373" s="836">
        <f t="shared" si="306"/>
        <v>0</v>
      </c>
      <c r="CI373" s="837" t="str">
        <f t="shared" si="307"/>
        <v>УСПЕШНО</v>
      </c>
      <c r="CJ373" s="838" t="str">
        <f t="shared" ca="1" si="308"/>
        <v>-</v>
      </c>
      <c r="CK373" s="831"/>
      <c r="CL373" s="832"/>
      <c r="CM373" s="833" t="str">
        <f t="shared" si="309"/>
        <v>-</v>
      </c>
      <c r="CN373" s="834" t="str">
        <f t="shared" si="310"/>
        <v>-</v>
      </c>
      <c r="CO373" s="830" t="str">
        <f t="shared" ca="1" si="311"/>
        <v>-</v>
      </c>
      <c r="CP373" s="831">
        <v>42882</v>
      </c>
      <c r="CQ373" s="832">
        <v>2</v>
      </c>
      <c r="CR373" s="833">
        <f t="shared" si="312"/>
        <v>-146</v>
      </c>
      <c r="CS373" s="833">
        <f t="shared" ca="1" si="313"/>
        <v>252</v>
      </c>
      <c r="CT373" s="834" t="str">
        <f t="shared" ca="1" si="314"/>
        <v>-</v>
      </c>
      <c r="CU373" s="835">
        <f t="shared" si="315"/>
        <v>42903</v>
      </c>
      <c r="CV373" s="831">
        <v>42903</v>
      </c>
      <c r="CW373" s="832">
        <v>2</v>
      </c>
      <c r="CX373" s="833">
        <f t="shared" si="316"/>
        <v>0</v>
      </c>
      <c r="CY373" s="840" t="str">
        <f t="shared" si="317"/>
        <v>УСПЕШНО</v>
      </c>
      <c r="CZ373" s="833">
        <f t="shared" si="318"/>
        <v>-125</v>
      </c>
      <c r="DA373" s="838" t="str">
        <f t="shared" ca="1" si="319"/>
        <v>-</v>
      </c>
      <c r="DB373" s="841"/>
      <c r="DC373" s="832"/>
    </row>
    <row r="374" spans="1:107" s="842" customFormat="1" ht="15.95" customHeight="1" x14ac:dyDescent="0.25">
      <c r="A374" s="790">
        <v>375</v>
      </c>
      <c r="B374" s="791">
        <f t="shared" ca="1" si="268"/>
        <v>43134</v>
      </c>
      <c r="C374" s="792" t="s">
        <v>615</v>
      </c>
      <c r="D374" s="793" t="s">
        <v>1633</v>
      </c>
      <c r="E374" s="794" t="s">
        <v>517</v>
      </c>
      <c r="F374" s="854" t="s">
        <v>518</v>
      </c>
      <c r="G374" s="796">
        <f>SUMIFS(МОЛОКО!L8:L6958,МОЛОКО!F8:F6958,"1481",МОЛОКО!L8:L6958,"&gt;0")</f>
        <v>25.2</v>
      </c>
      <c r="H374" s="797" t="s">
        <v>603</v>
      </c>
      <c r="I374" s="798">
        <v>40977</v>
      </c>
      <c r="J374" s="799">
        <f t="shared" ca="1" si="269"/>
        <v>5.9095890410958907</v>
      </c>
      <c r="K374" s="799">
        <f t="shared" ca="1" si="270"/>
        <v>71.900000000000006</v>
      </c>
      <c r="L374" s="800">
        <f t="shared" ca="1" si="271"/>
        <v>2157</v>
      </c>
      <c r="M374" s="801">
        <v>42070</v>
      </c>
      <c r="N374" s="802">
        <v>42819</v>
      </c>
      <c r="O374" s="803">
        <f t="shared" ca="1" si="272"/>
        <v>315</v>
      </c>
      <c r="P374" s="804">
        <v>3</v>
      </c>
      <c r="Q374" s="805" t="s">
        <v>2366</v>
      </c>
      <c r="R374" s="806" t="s">
        <v>2335</v>
      </c>
      <c r="S374" s="807">
        <v>42880</v>
      </c>
      <c r="T374" s="798">
        <v>42928</v>
      </c>
      <c r="U374" s="798" t="str">
        <f t="shared" si="273"/>
        <v>-</v>
      </c>
      <c r="V374" s="804" t="str">
        <f t="shared" ca="1" si="274"/>
        <v>-</v>
      </c>
      <c r="W374" s="808">
        <v>2</v>
      </c>
      <c r="X374" s="794">
        <f t="shared" ref="X374:X437" si="320">IF(AND(N374&gt;0,T374&gt;0),T374-N374,"-")</f>
        <v>109</v>
      </c>
      <c r="Y374" s="794">
        <v>1</v>
      </c>
      <c r="Z374" s="809" t="str">
        <f t="shared" ca="1" si="275"/>
        <v>-----</v>
      </c>
      <c r="AA374" s="810" t="str">
        <f t="shared" ca="1" si="276"/>
        <v>-----</v>
      </c>
      <c r="AB374" s="804">
        <v>1</v>
      </c>
      <c r="AC374" s="811" t="str">
        <f t="shared" ca="1" si="277"/>
        <v>-----</v>
      </c>
      <c r="AD374" s="798">
        <v>43043</v>
      </c>
      <c r="AE374" s="794" t="str">
        <f t="shared" ca="1" si="278"/>
        <v>-</v>
      </c>
      <c r="AF374" s="798" t="str">
        <f t="shared" si="279"/>
        <v>-</v>
      </c>
      <c r="AG374" s="812" t="str">
        <f t="shared" si="280"/>
        <v>---------</v>
      </c>
      <c r="AH374" s="807">
        <v>42961</v>
      </c>
      <c r="AI374" s="807">
        <f t="shared" si="281"/>
        <v>43118</v>
      </c>
      <c r="AJ374" s="807">
        <f t="shared" si="282"/>
        <v>43148</v>
      </c>
      <c r="AK374" s="813"/>
      <c r="AL374" s="807">
        <f t="shared" si="283"/>
        <v>43187</v>
      </c>
      <c r="AM374" s="807">
        <f t="shared" si="284"/>
        <v>43208</v>
      </c>
      <c r="AN374" s="814">
        <f t="shared" ca="1" si="285"/>
        <v>-74</v>
      </c>
      <c r="AO374" s="815">
        <v>1</v>
      </c>
      <c r="AP374" s="816" t="str">
        <f t="shared" ca="1" si="286"/>
        <v>-</v>
      </c>
      <c r="AQ374" s="817"/>
      <c r="AR374" s="794" t="str">
        <f t="shared" si="287"/>
        <v>-</v>
      </c>
      <c r="AS374" s="818"/>
      <c r="AT374" s="794" t="str">
        <f t="shared" si="288"/>
        <v>-</v>
      </c>
      <c r="AU374" s="819">
        <v>1</v>
      </c>
      <c r="AV374" s="820"/>
      <c r="AW374" s="821"/>
      <c r="AX374" s="821"/>
      <c r="AY374" s="969" t="str">
        <f t="shared" si="289"/>
        <v>-</v>
      </c>
      <c r="AZ374" s="966" t="str">
        <f t="shared" si="290"/>
        <v>-</v>
      </c>
      <c r="BA374" s="971" t="str">
        <f t="shared" si="291"/>
        <v>-</v>
      </c>
      <c r="BB374" s="975"/>
      <c r="BC374" s="821"/>
      <c r="BD374" s="821"/>
      <c r="BE374" s="963" t="str">
        <f t="shared" si="292"/>
        <v>-</v>
      </c>
      <c r="BF374" s="984"/>
      <c r="BG374" s="988"/>
      <c r="BH374" s="982"/>
      <c r="BI374" s="991"/>
      <c r="BJ374" s="991"/>
      <c r="BK374" s="993" t="str">
        <f t="shared" si="293"/>
        <v>-</v>
      </c>
      <c r="BL374" s="820">
        <v>42979</v>
      </c>
      <c r="BM374" s="821">
        <v>5</v>
      </c>
      <c r="BN374" s="822">
        <f t="shared" ca="1" si="294"/>
        <v>155</v>
      </c>
      <c r="BO374" s="823">
        <f t="shared" si="295"/>
        <v>66.733333333333334</v>
      </c>
      <c r="BP374" s="824"/>
      <c r="BQ374" s="821"/>
      <c r="BR374" s="822" t="str">
        <f t="shared" si="296"/>
        <v>-</v>
      </c>
      <c r="BS374" s="823" t="str">
        <f t="shared" si="297"/>
        <v>-</v>
      </c>
      <c r="BT374" s="825" t="str">
        <f t="shared" ca="1" si="298"/>
        <v>-</v>
      </c>
      <c r="BU374" s="826"/>
      <c r="BV374" s="827"/>
      <c r="BW374" s="828" t="str">
        <f t="shared" si="299"/>
        <v>Ж-Е НЕ ВАКЦ.</v>
      </c>
      <c r="BX374" s="829" t="str">
        <f t="shared" si="300"/>
        <v>-</v>
      </c>
      <c r="BY374" s="830" t="str">
        <f t="shared" ca="1" si="301"/>
        <v>-</v>
      </c>
      <c r="BZ374" s="831">
        <v>42887</v>
      </c>
      <c r="CA374" s="832">
        <v>5</v>
      </c>
      <c r="CB374" s="833">
        <f t="shared" ca="1" si="302"/>
        <v>247</v>
      </c>
      <c r="CC374" s="834" t="str">
        <f t="shared" ca="1" si="303"/>
        <v>-</v>
      </c>
      <c r="CD374" s="835">
        <f t="shared" si="304"/>
        <v>42908</v>
      </c>
      <c r="CE374" s="831">
        <v>42908</v>
      </c>
      <c r="CF374" s="832">
        <v>5</v>
      </c>
      <c r="CG374" s="833">
        <f t="shared" ca="1" si="305"/>
        <v>226</v>
      </c>
      <c r="CH374" s="836">
        <f t="shared" si="306"/>
        <v>0</v>
      </c>
      <c r="CI374" s="837" t="str">
        <f t="shared" si="307"/>
        <v>УСПЕШНО</v>
      </c>
      <c r="CJ374" s="838" t="str">
        <f t="shared" ca="1" si="308"/>
        <v>-</v>
      </c>
      <c r="CK374" s="831"/>
      <c r="CL374" s="832"/>
      <c r="CM374" s="833" t="str">
        <f t="shared" si="309"/>
        <v>-</v>
      </c>
      <c r="CN374" s="834" t="str">
        <f t="shared" si="310"/>
        <v>-</v>
      </c>
      <c r="CO374" s="830" t="str">
        <f t="shared" ca="1" si="311"/>
        <v>-</v>
      </c>
      <c r="CP374" s="839"/>
      <c r="CQ374" s="832"/>
      <c r="CR374" s="833" t="str">
        <f t="shared" si="312"/>
        <v>-</v>
      </c>
      <c r="CS374" s="833" t="str">
        <f t="shared" si="313"/>
        <v>-</v>
      </c>
      <c r="CT374" s="834" t="str">
        <f t="shared" si="314"/>
        <v>-</v>
      </c>
      <c r="CU374" s="835" t="str">
        <f t="shared" si="315"/>
        <v>-</v>
      </c>
      <c r="CV374" s="839"/>
      <c r="CW374" s="832"/>
      <c r="CX374" s="833" t="str">
        <f t="shared" si="316"/>
        <v>-</v>
      </c>
      <c r="CY374" s="840" t="str">
        <f t="shared" si="317"/>
        <v>-</v>
      </c>
      <c r="CZ374" s="833" t="str">
        <f t="shared" si="318"/>
        <v>-</v>
      </c>
      <c r="DA374" s="838" t="str">
        <f t="shared" ca="1" si="319"/>
        <v>-</v>
      </c>
      <c r="DB374" s="841"/>
      <c r="DC374" s="832"/>
    </row>
    <row r="375" spans="1:107" s="842" customFormat="1" ht="15.95" customHeight="1" x14ac:dyDescent="0.25">
      <c r="A375" s="790">
        <v>376</v>
      </c>
      <c r="B375" s="791">
        <f t="shared" ca="1" si="268"/>
        <v>43134</v>
      </c>
      <c r="C375" s="792" t="s">
        <v>615</v>
      </c>
      <c r="D375" s="793" t="s">
        <v>1633</v>
      </c>
      <c r="E375" s="794" t="s">
        <v>878</v>
      </c>
      <c r="F375" s="854" t="s">
        <v>879</v>
      </c>
      <c r="G375" s="796">
        <f>SUMIFS(МОЛОКО!L8:L6958,МОЛОКО!F8:F6958,"1563",МОЛОКО!L8:L6958,"&gt;0")</f>
        <v>29</v>
      </c>
      <c r="H375" s="797" t="s">
        <v>603</v>
      </c>
      <c r="I375" s="798">
        <v>41045</v>
      </c>
      <c r="J375" s="799">
        <f t="shared" ca="1" si="269"/>
        <v>5.7232876712328764</v>
      </c>
      <c r="K375" s="799">
        <f t="shared" ca="1" si="270"/>
        <v>69.63333333333334</v>
      </c>
      <c r="L375" s="800">
        <f t="shared" ca="1" si="271"/>
        <v>2089</v>
      </c>
      <c r="M375" s="801">
        <v>41932</v>
      </c>
      <c r="N375" s="802">
        <v>42972</v>
      </c>
      <c r="O375" s="803">
        <f t="shared" ca="1" si="272"/>
        <v>162</v>
      </c>
      <c r="P375" s="804">
        <v>3</v>
      </c>
      <c r="Q375" s="68" t="s">
        <v>1451</v>
      </c>
      <c r="R375" s="118" t="s">
        <v>3020</v>
      </c>
      <c r="S375" s="807">
        <v>43034</v>
      </c>
      <c r="T375" s="798">
        <v>43034</v>
      </c>
      <c r="U375" s="798">
        <f t="shared" si="273"/>
        <v>43052</v>
      </c>
      <c r="V375" s="804">
        <f t="shared" ca="1" si="274"/>
        <v>82</v>
      </c>
      <c r="W375" s="808">
        <v>1</v>
      </c>
      <c r="X375" s="794">
        <f t="shared" si="320"/>
        <v>62</v>
      </c>
      <c r="Y375" s="794">
        <v>3</v>
      </c>
      <c r="Z375" s="809" t="str">
        <f t="shared" ca="1" si="275"/>
        <v>-----</v>
      </c>
      <c r="AA375" s="810">
        <f t="shared" ca="1" si="276"/>
        <v>100</v>
      </c>
      <c r="AB375" s="804"/>
      <c r="AC375" s="811" t="str">
        <f t="shared" ca="1" si="277"/>
        <v>-----</v>
      </c>
      <c r="AD375" s="798"/>
      <c r="AE375" s="794" t="str">
        <f t="shared" ca="1" si="278"/>
        <v>-</v>
      </c>
      <c r="AF375" s="798">
        <f t="shared" si="279"/>
        <v>43069</v>
      </c>
      <c r="AG375" s="812">
        <f t="shared" ca="1" si="280"/>
        <v>65</v>
      </c>
      <c r="AH375" s="807"/>
      <c r="AI375" s="807" t="str">
        <f t="shared" si="281"/>
        <v>-</v>
      </c>
      <c r="AJ375" s="807" t="str">
        <f t="shared" si="282"/>
        <v>-</v>
      </c>
      <c r="AK375" s="813"/>
      <c r="AL375" s="807" t="str">
        <f t="shared" si="283"/>
        <v>-</v>
      </c>
      <c r="AM375" s="807" t="str">
        <f t="shared" si="284"/>
        <v>-</v>
      </c>
      <c r="AN375" s="814" t="str">
        <f t="shared" ca="1" si="285"/>
        <v>-</v>
      </c>
      <c r="AO375" s="815">
        <v>1</v>
      </c>
      <c r="AP375" s="816" t="str">
        <f t="shared" ca="1" si="286"/>
        <v>-</v>
      </c>
      <c r="AQ375" s="817"/>
      <c r="AR375" s="794" t="str">
        <f t="shared" si="287"/>
        <v>-</v>
      </c>
      <c r="AS375" s="818"/>
      <c r="AT375" s="794" t="str">
        <f t="shared" si="288"/>
        <v>-</v>
      </c>
      <c r="AU375" s="819">
        <v>1</v>
      </c>
      <c r="AV375" s="820"/>
      <c r="AW375" s="821"/>
      <c r="AX375" s="821"/>
      <c r="AY375" s="969" t="str">
        <f t="shared" si="289"/>
        <v>-</v>
      </c>
      <c r="AZ375" s="966" t="str">
        <f t="shared" si="290"/>
        <v>-</v>
      </c>
      <c r="BA375" s="971" t="str">
        <f t="shared" si="291"/>
        <v>-</v>
      </c>
      <c r="BB375" s="975"/>
      <c r="BC375" s="821"/>
      <c r="BD375" s="821"/>
      <c r="BE375" s="963" t="str">
        <f t="shared" si="292"/>
        <v>-</v>
      </c>
      <c r="BF375" s="984"/>
      <c r="BG375" s="988"/>
      <c r="BH375" s="982"/>
      <c r="BI375" s="991"/>
      <c r="BJ375" s="991"/>
      <c r="BK375" s="993" t="str">
        <f t="shared" si="293"/>
        <v>-</v>
      </c>
      <c r="BL375" s="820">
        <v>42982</v>
      </c>
      <c r="BM375" s="821">
        <v>5</v>
      </c>
      <c r="BN375" s="822">
        <f t="shared" ca="1" si="294"/>
        <v>152</v>
      </c>
      <c r="BO375" s="823">
        <f t="shared" si="295"/>
        <v>64.566666666666663</v>
      </c>
      <c r="BP375" s="824"/>
      <c r="BQ375" s="821"/>
      <c r="BR375" s="822" t="str">
        <f t="shared" si="296"/>
        <v>-</v>
      </c>
      <c r="BS375" s="823" t="str">
        <f t="shared" si="297"/>
        <v>-</v>
      </c>
      <c r="BT375" s="825" t="str">
        <f t="shared" ca="1" si="298"/>
        <v>-</v>
      </c>
      <c r="BU375" s="826"/>
      <c r="BV375" s="827"/>
      <c r="BW375" s="828" t="str">
        <f t="shared" si="299"/>
        <v>Ж-Е НЕ ВАКЦ.</v>
      </c>
      <c r="BX375" s="829" t="str">
        <f t="shared" si="300"/>
        <v>-</v>
      </c>
      <c r="BY375" s="830" t="str">
        <f t="shared" ca="1" si="301"/>
        <v>-</v>
      </c>
      <c r="BZ375" s="831">
        <v>42887</v>
      </c>
      <c r="CA375" s="832">
        <v>5</v>
      </c>
      <c r="CB375" s="833">
        <f t="shared" ca="1" si="302"/>
        <v>247</v>
      </c>
      <c r="CC375" s="834" t="str">
        <f t="shared" ca="1" si="303"/>
        <v>-</v>
      </c>
      <c r="CD375" s="835">
        <f t="shared" si="304"/>
        <v>42908</v>
      </c>
      <c r="CE375" s="831">
        <v>42908</v>
      </c>
      <c r="CF375" s="832">
        <v>5</v>
      </c>
      <c r="CG375" s="833">
        <f t="shared" ca="1" si="305"/>
        <v>226</v>
      </c>
      <c r="CH375" s="836">
        <f t="shared" si="306"/>
        <v>0</v>
      </c>
      <c r="CI375" s="837" t="str">
        <f t="shared" si="307"/>
        <v>УСПЕШНО</v>
      </c>
      <c r="CJ375" s="838" t="str">
        <f t="shared" ca="1" si="308"/>
        <v>-</v>
      </c>
      <c r="CK375" s="831"/>
      <c r="CL375" s="832"/>
      <c r="CM375" s="833" t="str">
        <f t="shared" si="309"/>
        <v>-</v>
      </c>
      <c r="CN375" s="834" t="str">
        <f t="shared" si="310"/>
        <v>-</v>
      </c>
      <c r="CO375" s="830" t="str">
        <f t="shared" ca="1" si="311"/>
        <v>-</v>
      </c>
      <c r="CP375" s="831">
        <v>42925</v>
      </c>
      <c r="CQ375" s="832">
        <v>2</v>
      </c>
      <c r="CR375" s="833">
        <f t="shared" si="312"/>
        <v>-109</v>
      </c>
      <c r="CS375" s="833">
        <f t="shared" ca="1" si="313"/>
        <v>209</v>
      </c>
      <c r="CT375" s="834" t="str">
        <f t="shared" ca="1" si="314"/>
        <v>-</v>
      </c>
      <c r="CU375" s="835">
        <f t="shared" si="315"/>
        <v>42946</v>
      </c>
      <c r="CV375" s="831">
        <v>42946</v>
      </c>
      <c r="CW375" s="832">
        <v>2</v>
      </c>
      <c r="CX375" s="833">
        <f t="shared" si="316"/>
        <v>0</v>
      </c>
      <c r="CY375" s="840" t="str">
        <f t="shared" si="317"/>
        <v>УСПЕШНО</v>
      </c>
      <c r="CZ375" s="833">
        <f t="shared" si="318"/>
        <v>-88</v>
      </c>
      <c r="DA375" s="838" t="str">
        <f t="shared" ca="1" si="319"/>
        <v>-</v>
      </c>
      <c r="DB375" s="841"/>
      <c r="DC375" s="832"/>
    </row>
    <row r="376" spans="1:107" s="842" customFormat="1" ht="15.95" customHeight="1" x14ac:dyDescent="0.25">
      <c r="A376" s="790">
        <v>377</v>
      </c>
      <c r="B376" s="791">
        <f t="shared" ca="1" si="268"/>
        <v>43134</v>
      </c>
      <c r="C376" s="29" t="s">
        <v>615</v>
      </c>
      <c r="D376" s="59" t="s">
        <v>1633</v>
      </c>
      <c r="E376" s="794" t="s">
        <v>239</v>
      </c>
      <c r="F376" s="854" t="s">
        <v>240</v>
      </c>
      <c r="G376" s="796">
        <f>SUMIFS(МОЛОКО!L8:L6958,МОЛОКО!F8:F6958,"1637",МОЛОКО!L8:L6958,"&gt;0")</f>
        <v>43.8</v>
      </c>
      <c r="H376" s="797" t="s">
        <v>603</v>
      </c>
      <c r="I376" s="798">
        <v>41117</v>
      </c>
      <c r="J376" s="799">
        <f t="shared" ca="1" si="269"/>
        <v>5.5260273972602736</v>
      </c>
      <c r="K376" s="799">
        <f t="shared" ca="1" si="270"/>
        <v>67.233333333333334</v>
      </c>
      <c r="L376" s="800">
        <f t="shared" ca="1" si="271"/>
        <v>2017</v>
      </c>
      <c r="M376" s="801">
        <v>41966</v>
      </c>
      <c r="N376" s="802">
        <v>43028</v>
      </c>
      <c r="O376" s="803">
        <f t="shared" ca="1" si="272"/>
        <v>106</v>
      </c>
      <c r="P376" s="804">
        <v>3</v>
      </c>
      <c r="Q376" s="805"/>
      <c r="R376" s="806"/>
      <c r="S376" s="807"/>
      <c r="T376" s="798"/>
      <c r="U376" s="798" t="str">
        <f t="shared" si="273"/>
        <v>-</v>
      </c>
      <c r="V376" s="804" t="str">
        <f t="shared" ca="1" si="274"/>
        <v>-</v>
      </c>
      <c r="W376" s="808">
        <v>0</v>
      </c>
      <c r="X376" s="794" t="str">
        <f t="shared" si="320"/>
        <v>-</v>
      </c>
      <c r="Y376" s="794">
        <v>0</v>
      </c>
      <c r="Z376" s="809" t="str">
        <f t="shared" ca="1" si="275"/>
        <v>-----</v>
      </c>
      <c r="AA376" s="810">
        <f t="shared" ca="1" si="276"/>
        <v>43134</v>
      </c>
      <c r="AB376" s="804"/>
      <c r="AC376" s="811" t="str">
        <f t="shared" ca="1" si="277"/>
        <v>-----</v>
      </c>
      <c r="AD376" s="798"/>
      <c r="AE376" s="794" t="str">
        <f t="shared" ca="1" si="278"/>
        <v>-</v>
      </c>
      <c r="AF376" s="798" t="str">
        <f t="shared" si="279"/>
        <v>-</v>
      </c>
      <c r="AG376" s="812" t="str">
        <f t="shared" si="280"/>
        <v>---------</v>
      </c>
      <c r="AH376" s="807"/>
      <c r="AI376" s="807" t="str">
        <f t="shared" si="281"/>
        <v>-</v>
      </c>
      <c r="AJ376" s="807" t="str">
        <f t="shared" si="282"/>
        <v>-</v>
      </c>
      <c r="AK376" s="813"/>
      <c r="AL376" s="807" t="str">
        <f t="shared" si="283"/>
        <v>-</v>
      </c>
      <c r="AM376" s="807" t="str">
        <f t="shared" si="284"/>
        <v>-</v>
      </c>
      <c r="AN376" s="814" t="str">
        <f t="shared" ca="1" si="285"/>
        <v>-</v>
      </c>
      <c r="AO376" s="815">
        <v>1</v>
      </c>
      <c r="AP376" s="816" t="str">
        <f t="shared" ca="1" si="286"/>
        <v>-</v>
      </c>
      <c r="AQ376" s="817"/>
      <c r="AR376" s="794" t="str">
        <f t="shared" si="287"/>
        <v>-</v>
      </c>
      <c r="AS376" s="818"/>
      <c r="AT376" s="794" t="str">
        <f t="shared" si="288"/>
        <v>-</v>
      </c>
      <c r="AU376" s="819">
        <v>1</v>
      </c>
      <c r="AV376" s="820"/>
      <c r="AW376" s="821"/>
      <c r="AX376" s="821"/>
      <c r="AY376" s="969" t="str">
        <f t="shared" si="289"/>
        <v>-</v>
      </c>
      <c r="AZ376" s="966" t="str">
        <f t="shared" si="290"/>
        <v>-</v>
      </c>
      <c r="BA376" s="971" t="str">
        <f t="shared" si="291"/>
        <v>-</v>
      </c>
      <c r="BB376" s="975"/>
      <c r="BC376" s="821"/>
      <c r="BD376" s="821"/>
      <c r="BE376" s="963" t="str">
        <f t="shared" si="292"/>
        <v>-</v>
      </c>
      <c r="BF376" s="984"/>
      <c r="BG376" s="988"/>
      <c r="BH376" s="982"/>
      <c r="BI376" s="991"/>
      <c r="BJ376" s="991"/>
      <c r="BK376" s="993" t="str">
        <f t="shared" si="293"/>
        <v>-</v>
      </c>
      <c r="BL376" s="820">
        <v>42978</v>
      </c>
      <c r="BM376" s="821">
        <v>5</v>
      </c>
      <c r="BN376" s="822">
        <f t="shared" ca="1" si="294"/>
        <v>156</v>
      </c>
      <c r="BO376" s="823">
        <f t="shared" si="295"/>
        <v>62.033333333333331</v>
      </c>
      <c r="BP376" s="824"/>
      <c r="BQ376" s="821"/>
      <c r="BR376" s="822" t="str">
        <f t="shared" si="296"/>
        <v>-</v>
      </c>
      <c r="BS376" s="823" t="str">
        <f t="shared" si="297"/>
        <v>-</v>
      </c>
      <c r="BT376" s="825" t="str">
        <f t="shared" ca="1" si="298"/>
        <v>-</v>
      </c>
      <c r="BU376" s="826"/>
      <c r="BV376" s="827"/>
      <c r="BW376" s="828" t="str">
        <f t="shared" si="299"/>
        <v>Ж-Е НЕ ВАКЦ.</v>
      </c>
      <c r="BX376" s="829" t="str">
        <f t="shared" si="300"/>
        <v>-</v>
      </c>
      <c r="BY376" s="830" t="str">
        <f t="shared" ca="1" si="301"/>
        <v>-</v>
      </c>
      <c r="BZ376" s="831">
        <v>42887</v>
      </c>
      <c r="CA376" s="832">
        <v>5</v>
      </c>
      <c r="CB376" s="833">
        <f t="shared" ca="1" si="302"/>
        <v>247</v>
      </c>
      <c r="CC376" s="834" t="str">
        <f t="shared" ca="1" si="303"/>
        <v>-</v>
      </c>
      <c r="CD376" s="835">
        <f t="shared" si="304"/>
        <v>42908</v>
      </c>
      <c r="CE376" s="831">
        <v>42908</v>
      </c>
      <c r="CF376" s="832">
        <v>5</v>
      </c>
      <c r="CG376" s="833">
        <f t="shared" ca="1" si="305"/>
        <v>226</v>
      </c>
      <c r="CH376" s="836">
        <f t="shared" si="306"/>
        <v>0</v>
      </c>
      <c r="CI376" s="837" t="str">
        <f t="shared" si="307"/>
        <v>УСПЕШНО</v>
      </c>
      <c r="CJ376" s="838" t="str">
        <f t="shared" ca="1" si="308"/>
        <v>-</v>
      </c>
      <c r="CK376" s="831"/>
      <c r="CL376" s="832"/>
      <c r="CM376" s="833" t="str">
        <f t="shared" si="309"/>
        <v>-</v>
      </c>
      <c r="CN376" s="834" t="str">
        <f t="shared" si="310"/>
        <v>-</v>
      </c>
      <c r="CO376" s="830" t="str">
        <f t="shared" ca="1" si="311"/>
        <v>-</v>
      </c>
      <c r="CP376" s="831">
        <v>42975</v>
      </c>
      <c r="CQ376" s="832">
        <v>2</v>
      </c>
      <c r="CR376" s="833">
        <f t="shared" si="312"/>
        <v>42975</v>
      </c>
      <c r="CS376" s="833">
        <f t="shared" ca="1" si="313"/>
        <v>159</v>
      </c>
      <c r="CT376" s="834" t="str">
        <f t="shared" ca="1" si="314"/>
        <v>-</v>
      </c>
      <c r="CU376" s="835">
        <f t="shared" si="315"/>
        <v>42996</v>
      </c>
      <c r="CV376" s="831">
        <v>42996</v>
      </c>
      <c r="CW376" s="832">
        <v>2</v>
      </c>
      <c r="CX376" s="833">
        <f t="shared" si="316"/>
        <v>0</v>
      </c>
      <c r="CY376" s="840" t="str">
        <f t="shared" si="317"/>
        <v>УСПЕШНО</v>
      </c>
      <c r="CZ376" s="833">
        <f t="shared" si="318"/>
        <v>42996</v>
      </c>
      <c r="DA376" s="838" t="str">
        <f t="shared" ca="1" si="319"/>
        <v>-</v>
      </c>
      <c r="DB376" s="841"/>
      <c r="DC376" s="832"/>
    </row>
    <row r="377" spans="1:107" s="842" customFormat="1" ht="15.95" customHeight="1" x14ac:dyDescent="0.25">
      <c r="A377" s="790">
        <v>378</v>
      </c>
      <c r="B377" s="791">
        <f t="shared" ca="1" si="268"/>
        <v>43134</v>
      </c>
      <c r="C377" s="792" t="s">
        <v>615</v>
      </c>
      <c r="D377" s="793" t="s">
        <v>1633</v>
      </c>
      <c r="E377" s="794" t="s">
        <v>209</v>
      </c>
      <c r="F377" s="854" t="s">
        <v>210</v>
      </c>
      <c r="G377" s="796">
        <f>SUMIFS(МОЛОКО!L8:L6958,МОЛОКО!F8:F6958,"1656",МОЛОКО!L8:L6958,"&gt;0")</f>
        <v>19</v>
      </c>
      <c r="H377" s="797" t="s">
        <v>603</v>
      </c>
      <c r="I377" s="798">
        <v>41138</v>
      </c>
      <c r="J377" s="799">
        <f t="shared" ca="1" si="269"/>
        <v>5.4684931506849317</v>
      </c>
      <c r="K377" s="799">
        <f t="shared" ca="1" si="270"/>
        <v>66.533333333333331</v>
      </c>
      <c r="L377" s="800">
        <f t="shared" ca="1" si="271"/>
        <v>1996</v>
      </c>
      <c r="M377" s="801">
        <v>42032</v>
      </c>
      <c r="N377" s="802">
        <v>42938</v>
      </c>
      <c r="O377" s="803">
        <f t="shared" ca="1" si="272"/>
        <v>196</v>
      </c>
      <c r="P377" s="804">
        <v>3</v>
      </c>
      <c r="Q377" s="68" t="s">
        <v>1451</v>
      </c>
      <c r="R377" s="118" t="s">
        <v>2962</v>
      </c>
      <c r="S377" s="807">
        <v>43007</v>
      </c>
      <c r="T377" s="798">
        <v>43035</v>
      </c>
      <c r="U377" s="798">
        <f t="shared" si="273"/>
        <v>43053</v>
      </c>
      <c r="V377" s="804">
        <f t="shared" ca="1" si="274"/>
        <v>81</v>
      </c>
      <c r="W377" s="808">
        <v>3</v>
      </c>
      <c r="X377" s="794">
        <f t="shared" si="320"/>
        <v>97</v>
      </c>
      <c r="Y377" s="794">
        <v>3</v>
      </c>
      <c r="Z377" s="809" t="str">
        <f t="shared" ca="1" si="275"/>
        <v>-----</v>
      </c>
      <c r="AA377" s="810">
        <f t="shared" ca="1" si="276"/>
        <v>99</v>
      </c>
      <c r="AB377" s="804"/>
      <c r="AC377" s="811" t="str">
        <f t="shared" ca="1" si="277"/>
        <v>-----</v>
      </c>
      <c r="AD377" s="798"/>
      <c r="AE377" s="794" t="str">
        <f t="shared" ca="1" si="278"/>
        <v>-</v>
      </c>
      <c r="AF377" s="798">
        <f t="shared" si="279"/>
        <v>43070</v>
      </c>
      <c r="AG377" s="812">
        <f t="shared" ca="1" si="280"/>
        <v>64</v>
      </c>
      <c r="AH377" s="807"/>
      <c r="AI377" s="807" t="str">
        <f t="shared" si="281"/>
        <v>-</v>
      </c>
      <c r="AJ377" s="807" t="str">
        <f t="shared" si="282"/>
        <v>-</v>
      </c>
      <c r="AK377" s="813"/>
      <c r="AL377" s="807" t="str">
        <f t="shared" si="283"/>
        <v>-</v>
      </c>
      <c r="AM377" s="807" t="str">
        <f t="shared" si="284"/>
        <v>-</v>
      </c>
      <c r="AN377" s="814" t="str">
        <f t="shared" ca="1" si="285"/>
        <v>-</v>
      </c>
      <c r="AO377" s="815">
        <v>1</v>
      </c>
      <c r="AP377" s="816" t="str">
        <f t="shared" ca="1" si="286"/>
        <v>-</v>
      </c>
      <c r="AQ377" s="441" t="s">
        <v>3491</v>
      </c>
      <c r="AR377" s="794" t="str">
        <f t="shared" si="287"/>
        <v>-</v>
      </c>
      <c r="AS377" s="818"/>
      <c r="AT377" s="794" t="str">
        <f t="shared" si="288"/>
        <v>-</v>
      </c>
      <c r="AU377" s="819">
        <v>1</v>
      </c>
      <c r="AV377" s="820"/>
      <c r="AW377" s="821"/>
      <c r="AX377" s="821"/>
      <c r="AY377" s="969" t="str">
        <f t="shared" si="289"/>
        <v>-</v>
      </c>
      <c r="AZ377" s="966" t="str">
        <f t="shared" si="290"/>
        <v>-</v>
      </c>
      <c r="BA377" s="971" t="str">
        <f t="shared" si="291"/>
        <v>-</v>
      </c>
      <c r="BB377" s="975"/>
      <c r="BC377" s="821"/>
      <c r="BD377" s="821"/>
      <c r="BE377" s="963" t="str">
        <f t="shared" si="292"/>
        <v>-</v>
      </c>
      <c r="BF377" s="984"/>
      <c r="BG377" s="988"/>
      <c r="BH377" s="982"/>
      <c r="BI377" s="991"/>
      <c r="BJ377" s="991"/>
      <c r="BK377" s="993" t="str">
        <f t="shared" si="293"/>
        <v>-</v>
      </c>
      <c r="BL377" s="820">
        <v>42979</v>
      </c>
      <c r="BM377" s="821">
        <v>5</v>
      </c>
      <c r="BN377" s="822">
        <f t="shared" ca="1" si="294"/>
        <v>155</v>
      </c>
      <c r="BO377" s="823">
        <f t="shared" si="295"/>
        <v>61.366666666666667</v>
      </c>
      <c r="BP377" s="824"/>
      <c r="BQ377" s="821"/>
      <c r="BR377" s="822" t="str">
        <f t="shared" si="296"/>
        <v>-</v>
      </c>
      <c r="BS377" s="823" t="str">
        <f t="shared" si="297"/>
        <v>-</v>
      </c>
      <c r="BT377" s="825" t="str">
        <f t="shared" ca="1" si="298"/>
        <v>-</v>
      </c>
      <c r="BU377" s="826"/>
      <c r="BV377" s="827"/>
      <c r="BW377" s="828" t="str">
        <f t="shared" si="299"/>
        <v>Ж-Е НЕ ВАКЦ.</v>
      </c>
      <c r="BX377" s="829" t="str">
        <f t="shared" si="300"/>
        <v>-</v>
      </c>
      <c r="BY377" s="830" t="str">
        <f t="shared" ca="1" si="301"/>
        <v>-</v>
      </c>
      <c r="BZ377" s="831">
        <v>42964</v>
      </c>
      <c r="CA377" s="832">
        <v>5</v>
      </c>
      <c r="CB377" s="833">
        <f t="shared" ca="1" si="302"/>
        <v>170</v>
      </c>
      <c r="CC377" s="834" t="str">
        <f t="shared" ca="1" si="303"/>
        <v>-</v>
      </c>
      <c r="CD377" s="835">
        <f t="shared" si="304"/>
        <v>42985</v>
      </c>
      <c r="CE377" s="831">
        <v>42985</v>
      </c>
      <c r="CF377" s="832">
        <v>5</v>
      </c>
      <c r="CG377" s="833">
        <f t="shared" ca="1" si="305"/>
        <v>149</v>
      </c>
      <c r="CH377" s="836">
        <f t="shared" si="306"/>
        <v>0</v>
      </c>
      <c r="CI377" s="837" t="str">
        <f t="shared" si="307"/>
        <v>УСПЕШНО</v>
      </c>
      <c r="CJ377" s="838" t="str">
        <f t="shared" ca="1" si="308"/>
        <v>-</v>
      </c>
      <c r="CK377" s="831"/>
      <c r="CL377" s="832"/>
      <c r="CM377" s="833" t="str">
        <f t="shared" si="309"/>
        <v>-</v>
      </c>
      <c r="CN377" s="834" t="str">
        <f t="shared" si="310"/>
        <v>-</v>
      </c>
      <c r="CO377" s="830" t="str">
        <f t="shared" ca="1" si="311"/>
        <v>-</v>
      </c>
      <c r="CP377" s="831">
        <v>42882</v>
      </c>
      <c r="CQ377" s="832">
        <v>2</v>
      </c>
      <c r="CR377" s="833">
        <f t="shared" si="312"/>
        <v>-153</v>
      </c>
      <c r="CS377" s="833">
        <f t="shared" ca="1" si="313"/>
        <v>252</v>
      </c>
      <c r="CT377" s="834" t="str">
        <f t="shared" ca="1" si="314"/>
        <v>-</v>
      </c>
      <c r="CU377" s="835">
        <f t="shared" si="315"/>
        <v>42903</v>
      </c>
      <c r="CV377" s="831">
        <v>42903</v>
      </c>
      <c r="CW377" s="832">
        <v>2</v>
      </c>
      <c r="CX377" s="833">
        <f t="shared" si="316"/>
        <v>0</v>
      </c>
      <c r="CY377" s="840" t="str">
        <f t="shared" si="317"/>
        <v>УСПЕШНО</v>
      </c>
      <c r="CZ377" s="833">
        <f t="shared" si="318"/>
        <v>-132</v>
      </c>
      <c r="DA377" s="838" t="str">
        <f t="shared" ca="1" si="319"/>
        <v>-</v>
      </c>
      <c r="DB377" s="841"/>
      <c r="DC377" s="832"/>
    </row>
    <row r="378" spans="1:107" s="842" customFormat="1" ht="15.95" customHeight="1" x14ac:dyDescent="0.25">
      <c r="A378" s="790">
        <v>379</v>
      </c>
      <c r="B378" s="791">
        <f t="shared" ca="1" si="268"/>
        <v>43134</v>
      </c>
      <c r="C378" s="792" t="s">
        <v>615</v>
      </c>
      <c r="D378" s="793" t="s">
        <v>1633</v>
      </c>
      <c r="E378" s="794" t="b">
        <v>1</v>
      </c>
      <c r="F378" s="854" t="s">
        <v>208</v>
      </c>
      <c r="G378" s="796">
        <f>SUMIFS(МОЛОКО!L8:L6958,МОЛОКО!F8:F6958,"1711",МОЛОКО!L8:L6958,"&gt;0")</f>
        <v>35</v>
      </c>
      <c r="H378" s="797" t="s">
        <v>603</v>
      </c>
      <c r="I378" s="798">
        <v>41204</v>
      </c>
      <c r="J378" s="799">
        <f t="shared" ca="1" si="269"/>
        <v>5.2876712328767121</v>
      </c>
      <c r="K378" s="799">
        <f t="shared" ca="1" si="270"/>
        <v>64.333333333333329</v>
      </c>
      <c r="L378" s="800">
        <f t="shared" ca="1" si="271"/>
        <v>1930</v>
      </c>
      <c r="M378" s="801">
        <v>42031</v>
      </c>
      <c r="N378" s="802">
        <v>42898</v>
      </c>
      <c r="O378" s="803">
        <f t="shared" ca="1" si="272"/>
        <v>236</v>
      </c>
      <c r="P378" s="804">
        <v>3</v>
      </c>
      <c r="Q378" s="805" t="s">
        <v>2366</v>
      </c>
      <c r="R378" s="806" t="s">
        <v>3020</v>
      </c>
      <c r="S378" s="807">
        <v>42957</v>
      </c>
      <c r="T378" s="798">
        <v>43000</v>
      </c>
      <c r="U378" s="798" t="str">
        <f t="shared" si="273"/>
        <v>-</v>
      </c>
      <c r="V378" s="804" t="str">
        <f t="shared" ca="1" si="274"/>
        <v>-</v>
      </c>
      <c r="W378" s="808">
        <v>2</v>
      </c>
      <c r="X378" s="794">
        <f t="shared" si="320"/>
        <v>102</v>
      </c>
      <c r="Y378" s="794">
        <v>1</v>
      </c>
      <c r="Z378" s="809" t="str">
        <f t="shared" ca="1" si="275"/>
        <v>ПОДЛЕЖИТ ПЕРЕПРОВЕРКЕ</v>
      </c>
      <c r="AA378" s="810">
        <f t="shared" ca="1" si="276"/>
        <v>134</v>
      </c>
      <c r="AB378" s="804"/>
      <c r="AC378" s="811">
        <f t="shared" ca="1" si="277"/>
        <v>43072</v>
      </c>
      <c r="AD378" s="798"/>
      <c r="AE378" s="794" t="str">
        <f t="shared" ca="1" si="278"/>
        <v>-</v>
      </c>
      <c r="AF378" s="798" t="str">
        <f t="shared" si="279"/>
        <v>-</v>
      </c>
      <c r="AG378" s="812" t="str">
        <f t="shared" si="280"/>
        <v>---------</v>
      </c>
      <c r="AH378" s="807">
        <v>43031</v>
      </c>
      <c r="AI378" s="807">
        <f t="shared" si="281"/>
        <v>43190</v>
      </c>
      <c r="AJ378" s="807">
        <f t="shared" si="282"/>
        <v>43220</v>
      </c>
      <c r="AK378" s="813"/>
      <c r="AL378" s="807">
        <f t="shared" si="283"/>
        <v>43259</v>
      </c>
      <c r="AM378" s="807">
        <f t="shared" si="284"/>
        <v>43280</v>
      </c>
      <c r="AN378" s="814">
        <f t="shared" ca="1" si="285"/>
        <v>-146</v>
      </c>
      <c r="AO378" s="815">
        <v>1</v>
      </c>
      <c r="AP378" s="816" t="str">
        <f t="shared" ca="1" si="286"/>
        <v>-</v>
      </c>
      <c r="AQ378" s="817"/>
      <c r="AR378" s="794" t="str">
        <f t="shared" si="287"/>
        <v>-</v>
      </c>
      <c r="AS378" s="818"/>
      <c r="AT378" s="794" t="str">
        <f t="shared" si="288"/>
        <v>-</v>
      </c>
      <c r="AU378" s="819">
        <v>1</v>
      </c>
      <c r="AV378" s="820"/>
      <c r="AW378" s="821"/>
      <c r="AX378" s="821"/>
      <c r="AY378" s="969" t="str">
        <f t="shared" si="289"/>
        <v>-</v>
      </c>
      <c r="AZ378" s="966" t="str">
        <f t="shared" si="290"/>
        <v>-</v>
      </c>
      <c r="BA378" s="971" t="str">
        <f t="shared" si="291"/>
        <v>-</v>
      </c>
      <c r="BB378" s="975"/>
      <c r="BC378" s="821"/>
      <c r="BD378" s="821"/>
      <c r="BE378" s="963" t="str">
        <f t="shared" si="292"/>
        <v>-</v>
      </c>
      <c r="BF378" s="984"/>
      <c r="BG378" s="988"/>
      <c r="BH378" s="982"/>
      <c r="BI378" s="991"/>
      <c r="BJ378" s="991"/>
      <c r="BK378" s="993" t="str">
        <f t="shared" si="293"/>
        <v>-</v>
      </c>
      <c r="BL378" s="820">
        <v>42979</v>
      </c>
      <c r="BM378" s="821">
        <v>5</v>
      </c>
      <c r="BN378" s="822">
        <f t="shared" ca="1" si="294"/>
        <v>155</v>
      </c>
      <c r="BO378" s="823">
        <f t="shared" si="295"/>
        <v>59.166666666666664</v>
      </c>
      <c r="BP378" s="824"/>
      <c r="BQ378" s="821"/>
      <c r="BR378" s="822" t="str">
        <f t="shared" si="296"/>
        <v>-</v>
      </c>
      <c r="BS378" s="823" t="str">
        <f t="shared" si="297"/>
        <v>-</v>
      </c>
      <c r="BT378" s="825" t="str">
        <f t="shared" ca="1" si="298"/>
        <v>-</v>
      </c>
      <c r="BU378" s="826"/>
      <c r="BV378" s="827"/>
      <c r="BW378" s="828" t="str">
        <f t="shared" si="299"/>
        <v>Ж-Е НЕ ВАКЦ.</v>
      </c>
      <c r="BX378" s="829" t="str">
        <f t="shared" si="300"/>
        <v>-</v>
      </c>
      <c r="BY378" s="830" t="str">
        <f t="shared" ca="1" si="301"/>
        <v>-</v>
      </c>
      <c r="BZ378" s="831">
        <v>42940</v>
      </c>
      <c r="CA378" s="832">
        <v>5</v>
      </c>
      <c r="CB378" s="833">
        <f t="shared" ca="1" si="302"/>
        <v>194</v>
      </c>
      <c r="CC378" s="834" t="str">
        <f t="shared" ca="1" si="303"/>
        <v>-</v>
      </c>
      <c r="CD378" s="835">
        <f t="shared" si="304"/>
        <v>42961</v>
      </c>
      <c r="CE378" s="831">
        <v>42969</v>
      </c>
      <c r="CF378" s="832">
        <v>5</v>
      </c>
      <c r="CG378" s="833">
        <f t="shared" ca="1" si="305"/>
        <v>165</v>
      </c>
      <c r="CH378" s="836">
        <f t="shared" si="306"/>
        <v>-8</v>
      </c>
      <c r="CI378" s="837" t="str">
        <f t="shared" si="307"/>
        <v>-</v>
      </c>
      <c r="CJ378" s="838" t="str">
        <f t="shared" ca="1" si="308"/>
        <v>-</v>
      </c>
      <c r="CK378" s="831"/>
      <c r="CL378" s="832"/>
      <c r="CM378" s="833" t="str">
        <f t="shared" si="309"/>
        <v>-</v>
      </c>
      <c r="CN378" s="834" t="str">
        <f t="shared" si="310"/>
        <v>-</v>
      </c>
      <c r="CO378" s="830" t="str">
        <f t="shared" ca="1" si="311"/>
        <v>-</v>
      </c>
      <c r="CP378" s="831"/>
      <c r="CQ378" s="832"/>
      <c r="CR378" s="833" t="str">
        <f t="shared" si="312"/>
        <v>-</v>
      </c>
      <c r="CS378" s="833" t="str">
        <f t="shared" si="313"/>
        <v>-</v>
      </c>
      <c r="CT378" s="834" t="str">
        <f t="shared" si="314"/>
        <v>-</v>
      </c>
      <c r="CU378" s="835" t="str">
        <f t="shared" si="315"/>
        <v>-</v>
      </c>
      <c r="CV378" s="831"/>
      <c r="CW378" s="832"/>
      <c r="CX378" s="833" t="str">
        <f t="shared" si="316"/>
        <v>-</v>
      </c>
      <c r="CY378" s="840" t="str">
        <f t="shared" si="317"/>
        <v>-</v>
      </c>
      <c r="CZ378" s="833" t="str">
        <f t="shared" si="318"/>
        <v>-</v>
      </c>
      <c r="DA378" s="838" t="str">
        <f t="shared" ca="1" si="319"/>
        <v>-</v>
      </c>
      <c r="DB378" s="841"/>
      <c r="DC378" s="832"/>
    </row>
    <row r="379" spans="1:107" s="842" customFormat="1" ht="15.95" customHeight="1" x14ac:dyDescent="0.25">
      <c r="A379" s="790">
        <v>380</v>
      </c>
      <c r="B379" s="791">
        <f t="shared" ca="1" si="268"/>
        <v>43134</v>
      </c>
      <c r="C379" s="29" t="s">
        <v>615</v>
      </c>
      <c r="D379" s="59" t="s">
        <v>1633</v>
      </c>
      <c r="E379" s="794" t="s">
        <v>279</v>
      </c>
      <c r="F379" s="854" t="s">
        <v>280</v>
      </c>
      <c r="G379" s="796">
        <f>SUMIFS(МОЛОКО!L8:L6958,МОЛОКО!F8:F6958,"1715",МОЛОКО!L8:L6958,"&gt;0")</f>
        <v>28.3</v>
      </c>
      <c r="H379" s="797" t="s">
        <v>603</v>
      </c>
      <c r="I379" s="798">
        <v>41213</v>
      </c>
      <c r="J379" s="799">
        <f t="shared" ca="1" si="269"/>
        <v>5.2630136986301368</v>
      </c>
      <c r="K379" s="799">
        <f t="shared" ca="1" si="270"/>
        <v>64.033333333333331</v>
      </c>
      <c r="L379" s="800">
        <f t="shared" ca="1" si="271"/>
        <v>1921</v>
      </c>
      <c r="M379" s="801">
        <v>42013</v>
      </c>
      <c r="N379" s="802">
        <v>43034</v>
      </c>
      <c r="O379" s="803">
        <f t="shared" ca="1" si="272"/>
        <v>100</v>
      </c>
      <c r="P379" s="804">
        <v>3</v>
      </c>
      <c r="Q379" s="805"/>
      <c r="R379" s="806"/>
      <c r="S379" s="807"/>
      <c r="T379" s="798"/>
      <c r="U379" s="798" t="str">
        <f t="shared" si="273"/>
        <v>-</v>
      </c>
      <c r="V379" s="804" t="str">
        <f t="shared" ca="1" si="274"/>
        <v>-</v>
      </c>
      <c r="W379" s="808">
        <v>0</v>
      </c>
      <c r="X379" s="794" t="str">
        <f t="shared" si="320"/>
        <v>-</v>
      </c>
      <c r="Y379" s="794">
        <v>0</v>
      </c>
      <c r="Z379" s="809" t="str">
        <f t="shared" ca="1" si="275"/>
        <v>-----</v>
      </c>
      <c r="AA379" s="810">
        <f t="shared" ca="1" si="276"/>
        <v>43134</v>
      </c>
      <c r="AB379" s="804"/>
      <c r="AC379" s="811" t="str">
        <f t="shared" ca="1" si="277"/>
        <v>-----</v>
      </c>
      <c r="AD379" s="798"/>
      <c r="AE379" s="794" t="str">
        <f t="shared" ca="1" si="278"/>
        <v>-</v>
      </c>
      <c r="AF379" s="798" t="str">
        <f t="shared" si="279"/>
        <v>-</v>
      </c>
      <c r="AG379" s="812" t="str">
        <f t="shared" si="280"/>
        <v>---------</v>
      </c>
      <c r="AH379" s="807"/>
      <c r="AI379" s="807" t="str">
        <f t="shared" si="281"/>
        <v>-</v>
      </c>
      <c r="AJ379" s="807" t="str">
        <f t="shared" si="282"/>
        <v>-</v>
      </c>
      <c r="AK379" s="813"/>
      <c r="AL379" s="807" t="str">
        <f t="shared" si="283"/>
        <v>-</v>
      </c>
      <c r="AM379" s="807" t="str">
        <f t="shared" si="284"/>
        <v>-</v>
      </c>
      <c r="AN379" s="814" t="str">
        <f t="shared" ca="1" si="285"/>
        <v>-</v>
      </c>
      <c r="AO379" s="815">
        <v>1</v>
      </c>
      <c r="AP379" s="816" t="str">
        <f t="shared" ca="1" si="286"/>
        <v>-</v>
      </c>
      <c r="AQ379" s="817"/>
      <c r="AR379" s="794" t="str">
        <f t="shared" si="287"/>
        <v>-</v>
      </c>
      <c r="AS379" s="818"/>
      <c r="AT379" s="794" t="str">
        <f t="shared" si="288"/>
        <v>-</v>
      </c>
      <c r="AU379" s="819">
        <v>1</v>
      </c>
      <c r="AV379" s="820"/>
      <c r="AW379" s="821"/>
      <c r="AX379" s="821"/>
      <c r="AY379" s="969" t="str">
        <f t="shared" si="289"/>
        <v>-</v>
      </c>
      <c r="AZ379" s="966" t="str">
        <f t="shared" si="290"/>
        <v>-</v>
      </c>
      <c r="BA379" s="971" t="str">
        <f t="shared" si="291"/>
        <v>-</v>
      </c>
      <c r="BB379" s="975"/>
      <c r="BC379" s="821"/>
      <c r="BD379" s="821"/>
      <c r="BE379" s="963" t="str">
        <f t="shared" si="292"/>
        <v>-</v>
      </c>
      <c r="BF379" s="984"/>
      <c r="BG379" s="988"/>
      <c r="BH379" s="982"/>
      <c r="BI379" s="991"/>
      <c r="BJ379" s="991"/>
      <c r="BK379" s="993" t="str">
        <f t="shared" si="293"/>
        <v>-</v>
      </c>
      <c r="BL379" s="820">
        <v>42978</v>
      </c>
      <c r="BM379" s="821">
        <v>5</v>
      </c>
      <c r="BN379" s="822">
        <f t="shared" ca="1" si="294"/>
        <v>156</v>
      </c>
      <c r="BO379" s="823">
        <f t="shared" si="295"/>
        <v>58.833333333333336</v>
      </c>
      <c r="BP379" s="824"/>
      <c r="BQ379" s="821"/>
      <c r="BR379" s="822" t="str">
        <f t="shared" si="296"/>
        <v>-</v>
      </c>
      <c r="BS379" s="823" t="str">
        <f t="shared" si="297"/>
        <v>-</v>
      </c>
      <c r="BT379" s="825" t="str">
        <f t="shared" ca="1" si="298"/>
        <v>-</v>
      </c>
      <c r="BU379" s="826"/>
      <c r="BV379" s="827"/>
      <c r="BW379" s="828" t="str">
        <f t="shared" si="299"/>
        <v>Ж-Е НЕ ВАКЦ.</v>
      </c>
      <c r="BX379" s="829" t="str">
        <f t="shared" si="300"/>
        <v>-</v>
      </c>
      <c r="BY379" s="830" t="str">
        <f t="shared" ca="1" si="301"/>
        <v>-</v>
      </c>
      <c r="BZ379" s="831">
        <v>42887</v>
      </c>
      <c r="CA379" s="832">
        <v>5</v>
      </c>
      <c r="CB379" s="833">
        <f t="shared" ca="1" si="302"/>
        <v>247</v>
      </c>
      <c r="CC379" s="834" t="str">
        <f t="shared" ca="1" si="303"/>
        <v>-</v>
      </c>
      <c r="CD379" s="835">
        <f t="shared" si="304"/>
        <v>42908</v>
      </c>
      <c r="CE379" s="831">
        <v>42908</v>
      </c>
      <c r="CF379" s="832">
        <v>5</v>
      </c>
      <c r="CG379" s="833">
        <f t="shared" ca="1" si="305"/>
        <v>226</v>
      </c>
      <c r="CH379" s="836">
        <f t="shared" si="306"/>
        <v>0</v>
      </c>
      <c r="CI379" s="837" t="str">
        <f t="shared" si="307"/>
        <v>УСПЕШНО</v>
      </c>
      <c r="CJ379" s="838" t="str">
        <f t="shared" ca="1" si="308"/>
        <v>-</v>
      </c>
      <c r="CK379" s="831"/>
      <c r="CL379" s="832"/>
      <c r="CM379" s="833" t="str">
        <f t="shared" si="309"/>
        <v>-</v>
      </c>
      <c r="CN379" s="834" t="str">
        <f t="shared" si="310"/>
        <v>-</v>
      </c>
      <c r="CO379" s="830" t="str">
        <f t="shared" ca="1" si="311"/>
        <v>-</v>
      </c>
      <c r="CP379" s="831">
        <v>42962</v>
      </c>
      <c r="CQ379" s="832">
        <v>2</v>
      </c>
      <c r="CR379" s="833">
        <f t="shared" si="312"/>
        <v>42962</v>
      </c>
      <c r="CS379" s="833">
        <f t="shared" ca="1" si="313"/>
        <v>172</v>
      </c>
      <c r="CT379" s="834" t="str">
        <f t="shared" ca="1" si="314"/>
        <v>-</v>
      </c>
      <c r="CU379" s="835">
        <f t="shared" si="315"/>
        <v>42983</v>
      </c>
      <c r="CV379" s="831">
        <v>42983</v>
      </c>
      <c r="CW379" s="832">
        <v>2</v>
      </c>
      <c r="CX379" s="833">
        <f t="shared" si="316"/>
        <v>0</v>
      </c>
      <c r="CY379" s="840" t="str">
        <f t="shared" si="317"/>
        <v>УСПЕШНО</v>
      </c>
      <c r="CZ379" s="833">
        <f t="shared" si="318"/>
        <v>42983</v>
      </c>
      <c r="DA379" s="838" t="str">
        <f t="shared" ca="1" si="319"/>
        <v>-</v>
      </c>
      <c r="DB379" s="841"/>
      <c r="DC379" s="832"/>
    </row>
    <row r="380" spans="1:107" s="842" customFormat="1" ht="15.95" customHeight="1" x14ac:dyDescent="0.25">
      <c r="A380" s="790">
        <v>381</v>
      </c>
      <c r="B380" s="791">
        <f t="shared" ca="1" si="268"/>
        <v>43134</v>
      </c>
      <c r="C380" s="29" t="s">
        <v>615</v>
      </c>
      <c r="D380" s="59" t="s">
        <v>1633</v>
      </c>
      <c r="E380" s="794" t="s">
        <v>292</v>
      </c>
      <c r="F380" s="854" t="s">
        <v>293</v>
      </c>
      <c r="G380" s="796">
        <f>SUMIFS(МОЛОКО!L8:L6958,МОЛОКО!F8:F6958,"1716",МОЛОКО!L8:L6958,"&gt;0")</f>
        <v>13.8</v>
      </c>
      <c r="H380" s="797" t="s">
        <v>603</v>
      </c>
      <c r="I380" s="798">
        <v>41220</v>
      </c>
      <c r="J380" s="799">
        <f t="shared" ca="1" si="269"/>
        <v>5.2438356164383562</v>
      </c>
      <c r="K380" s="799">
        <f t="shared" ca="1" si="270"/>
        <v>63.8</v>
      </c>
      <c r="L380" s="800">
        <f t="shared" ca="1" si="271"/>
        <v>1914</v>
      </c>
      <c r="M380" s="801">
        <v>42030</v>
      </c>
      <c r="N380" s="802">
        <v>43036</v>
      </c>
      <c r="O380" s="803">
        <f t="shared" ca="1" si="272"/>
        <v>98</v>
      </c>
      <c r="P380" s="804">
        <v>3</v>
      </c>
      <c r="Q380" s="805"/>
      <c r="R380" s="806"/>
      <c r="S380" s="807"/>
      <c r="T380" s="798"/>
      <c r="U380" s="798" t="str">
        <f t="shared" si="273"/>
        <v>-</v>
      </c>
      <c r="V380" s="804" t="str">
        <f t="shared" ca="1" si="274"/>
        <v>-</v>
      </c>
      <c r="W380" s="808">
        <v>0</v>
      </c>
      <c r="X380" s="794" t="str">
        <f t="shared" si="320"/>
        <v>-</v>
      </c>
      <c r="Y380" s="794">
        <v>0</v>
      </c>
      <c r="Z380" s="809" t="str">
        <f t="shared" ca="1" si="275"/>
        <v>-----</v>
      </c>
      <c r="AA380" s="810">
        <f t="shared" ca="1" si="276"/>
        <v>43134</v>
      </c>
      <c r="AB380" s="804"/>
      <c r="AC380" s="811" t="str">
        <f t="shared" ca="1" si="277"/>
        <v>-----</v>
      </c>
      <c r="AD380" s="798"/>
      <c r="AE380" s="794" t="str">
        <f t="shared" ca="1" si="278"/>
        <v>-</v>
      </c>
      <c r="AF380" s="798" t="str">
        <f t="shared" si="279"/>
        <v>-</v>
      </c>
      <c r="AG380" s="812" t="str">
        <f t="shared" si="280"/>
        <v>---------</v>
      </c>
      <c r="AH380" s="807"/>
      <c r="AI380" s="807" t="str">
        <f t="shared" si="281"/>
        <v>-</v>
      </c>
      <c r="AJ380" s="807" t="str">
        <f t="shared" si="282"/>
        <v>-</v>
      </c>
      <c r="AK380" s="813"/>
      <c r="AL380" s="807" t="str">
        <f t="shared" si="283"/>
        <v>-</v>
      </c>
      <c r="AM380" s="807" t="str">
        <f t="shared" si="284"/>
        <v>-</v>
      </c>
      <c r="AN380" s="814" t="str">
        <f t="shared" ca="1" si="285"/>
        <v>-</v>
      </c>
      <c r="AO380" s="815">
        <v>1</v>
      </c>
      <c r="AP380" s="816" t="str">
        <f t="shared" ca="1" si="286"/>
        <v>-</v>
      </c>
      <c r="AQ380" s="817"/>
      <c r="AR380" s="794" t="str">
        <f t="shared" si="287"/>
        <v>-</v>
      </c>
      <c r="AS380" s="818"/>
      <c r="AT380" s="794" t="str">
        <f t="shared" si="288"/>
        <v>-</v>
      </c>
      <c r="AU380" s="819">
        <v>1</v>
      </c>
      <c r="AV380" s="820"/>
      <c r="AW380" s="821"/>
      <c r="AX380" s="821"/>
      <c r="AY380" s="969" t="str">
        <f t="shared" si="289"/>
        <v>-</v>
      </c>
      <c r="AZ380" s="966" t="str">
        <f t="shared" si="290"/>
        <v>-</v>
      </c>
      <c r="BA380" s="971" t="str">
        <f t="shared" si="291"/>
        <v>-</v>
      </c>
      <c r="BB380" s="975"/>
      <c r="BC380" s="821"/>
      <c r="BD380" s="821"/>
      <c r="BE380" s="963" t="str">
        <f t="shared" si="292"/>
        <v>-</v>
      </c>
      <c r="BF380" s="984"/>
      <c r="BG380" s="988"/>
      <c r="BH380" s="982"/>
      <c r="BI380" s="991"/>
      <c r="BJ380" s="991"/>
      <c r="BK380" s="993" t="str">
        <f t="shared" si="293"/>
        <v>-</v>
      </c>
      <c r="BL380" s="820">
        <v>42981</v>
      </c>
      <c r="BM380" s="821">
        <v>5</v>
      </c>
      <c r="BN380" s="822">
        <f t="shared" ca="1" si="294"/>
        <v>153</v>
      </c>
      <c r="BO380" s="823">
        <f t="shared" si="295"/>
        <v>58.7</v>
      </c>
      <c r="BP380" s="824"/>
      <c r="BQ380" s="821"/>
      <c r="BR380" s="822" t="str">
        <f t="shared" si="296"/>
        <v>-</v>
      </c>
      <c r="BS380" s="823" t="str">
        <f t="shared" si="297"/>
        <v>-</v>
      </c>
      <c r="BT380" s="825" t="str">
        <f t="shared" ca="1" si="298"/>
        <v>-</v>
      </c>
      <c r="BU380" s="826"/>
      <c r="BV380" s="827"/>
      <c r="BW380" s="828" t="str">
        <f t="shared" si="299"/>
        <v>Ж-Е НЕ ВАКЦ.</v>
      </c>
      <c r="BX380" s="829" t="str">
        <f t="shared" si="300"/>
        <v>-</v>
      </c>
      <c r="BY380" s="830" t="str">
        <f t="shared" ca="1" si="301"/>
        <v>-</v>
      </c>
      <c r="BZ380" s="831">
        <v>42887</v>
      </c>
      <c r="CA380" s="832">
        <v>5</v>
      </c>
      <c r="CB380" s="833">
        <f t="shared" ca="1" si="302"/>
        <v>247</v>
      </c>
      <c r="CC380" s="834" t="str">
        <f t="shared" ca="1" si="303"/>
        <v>-</v>
      </c>
      <c r="CD380" s="835">
        <f t="shared" si="304"/>
        <v>42908</v>
      </c>
      <c r="CE380" s="831">
        <v>42908</v>
      </c>
      <c r="CF380" s="832">
        <v>5</v>
      </c>
      <c r="CG380" s="833">
        <f t="shared" ca="1" si="305"/>
        <v>226</v>
      </c>
      <c r="CH380" s="836">
        <f t="shared" si="306"/>
        <v>0</v>
      </c>
      <c r="CI380" s="837" t="str">
        <f t="shared" si="307"/>
        <v>УСПЕШНО</v>
      </c>
      <c r="CJ380" s="838" t="str">
        <f t="shared" ca="1" si="308"/>
        <v>-</v>
      </c>
      <c r="CK380" s="831"/>
      <c r="CL380" s="832"/>
      <c r="CM380" s="833" t="str">
        <f t="shared" si="309"/>
        <v>-</v>
      </c>
      <c r="CN380" s="834" t="str">
        <f t="shared" si="310"/>
        <v>-</v>
      </c>
      <c r="CO380" s="830" t="str">
        <f t="shared" ca="1" si="311"/>
        <v>-</v>
      </c>
      <c r="CP380" s="831">
        <v>42989</v>
      </c>
      <c r="CQ380" s="832">
        <v>2</v>
      </c>
      <c r="CR380" s="833">
        <f t="shared" si="312"/>
        <v>42989</v>
      </c>
      <c r="CS380" s="833">
        <f t="shared" ca="1" si="313"/>
        <v>145</v>
      </c>
      <c r="CT380" s="834" t="str">
        <f t="shared" ca="1" si="314"/>
        <v>-</v>
      </c>
      <c r="CU380" s="835">
        <f t="shared" si="315"/>
        <v>43010</v>
      </c>
      <c r="CV380" s="831">
        <v>43011</v>
      </c>
      <c r="CW380" s="832">
        <v>2</v>
      </c>
      <c r="CX380" s="833">
        <f t="shared" si="316"/>
        <v>1</v>
      </c>
      <c r="CY380" s="840" t="str">
        <f t="shared" si="317"/>
        <v>-</v>
      </c>
      <c r="CZ380" s="833">
        <f t="shared" si="318"/>
        <v>43011</v>
      </c>
      <c r="DA380" s="838" t="str">
        <f t="shared" ca="1" si="319"/>
        <v>-</v>
      </c>
      <c r="DB380" s="841"/>
      <c r="DC380" s="832"/>
    </row>
    <row r="381" spans="1:107" s="842" customFormat="1" ht="15.95" customHeight="1" x14ac:dyDescent="0.25">
      <c r="A381" s="790">
        <v>382</v>
      </c>
      <c r="B381" s="791">
        <f t="shared" ca="1" si="268"/>
        <v>43134</v>
      </c>
      <c r="C381" s="792" t="s">
        <v>615</v>
      </c>
      <c r="D381" s="793" t="s">
        <v>1633</v>
      </c>
      <c r="E381" s="794" t="s">
        <v>217</v>
      </c>
      <c r="F381" s="854" t="s">
        <v>218</v>
      </c>
      <c r="G381" s="796">
        <f>SUMIFS(МОЛОКО!L8:L6958,МОЛОКО!F8:F6958,"1744",МОЛОКО!L8:L6958,"&gt;0")</f>
        <v>31</v>
      </c>
      <c r="H381" s="797" t="s">
        <v>603</v>
      </c>
      <c r="I381" s="798">
        <v>41260</v>
      </c>
      <c r="J381" s="799">
        <f t="shared" ca="1" si="269"/>
        <v>5.1342465753424653</v>
      </c>
      <c r="K381" s="799">
        <f t="shared" ca="1" si="270"/>
        <v>62.466666666666669</v>
      </c>
      <c r="L381" s="800">
        <f t="shared" ca="1" si="271"/>
        <v>1874</v>
      </c>
      <c r="M381" s="801">
        <v>41943</v>
      </c>
      <c r="N381" s="802">
        <v>42980</v>
      </c>
      <c r="O381" s="803">
        <f t="shared" ca="1" si="272"/>
        <v>154</v>
      </c>
      <c r="P381" s="804">
        <v>3</v>
      </c>
      <c r="Q381" s="68" t="s">
        <v>1451</v>
      </c>
      <c r="R381" s="118" t="s">
        <v>2962</v>
      </c>
      <c r="S381" s="807">
        <v>43048</v>
      </c>
      <c r="T381" s="798">
        <v>43048</v>
      </c>
      <c r="U381" s="798">
        <f t="shared" si="273"/>
        <v>43066</v>
      </c>
      <c r="V381" s="804">
        <f t="shared" ca="1" si="274"/>
        <v>68</v>
      </c>
      <c r="W381" s="808">
        <v>1</v>
      </c>
      <c r="X381" s="794">
        <f t="shared" si="320"/>
        <v>68</v>
      </c>
      <c r="Y381" s="794">
        <v>3</v>
      </c>
      <c r="Z381" s="809" t="str">
        <f t="shared" ca="1" si="275"/>
        <v>-----</v>
      </c>
      <c r="AA381" s="810">
        <f t="shared" ca="1" si="276"/>
        <v>86</v>
      </c>
      <c r="AB381" s="804"/>
      <c r="AC381" s="811" t="str">
        <f t="shared" ca="1" si="277"/>
        <v>-----</v>
      </c>
      <c r="AD381" s="798"/>
      <c r="AE381" s="794" t="str">
        <f t="shared" ca="1" si="278"/>
        <v>-</v>
      </c>
      <c r="AF381" s="798">
        <f t="shared" si="279"/>
        <v>43083</v>
      </c>
      <c r="AG381" s="812">
        <f t="shared" ca="1" si="280"/>
        <v>51</v>
      </c>
      <c r="AH381" s="807"/>
      <c r="AI381" s="807" t="str">
        <f t="shared" si="281"/>
        <v>-</v>
      </c>
      <c r="AJ381" s="807" t="str">
        <f t="shared" si="282"/>
        <v>-</v>
      </c>
      <c r="AK381" s="813"/>
      <c r="AL381" s="807" t="str">
        <f t="shared" si="283"/>
        <v>-</v>
      </c>
      <c r="AM381" s="807" t="str">
        <f t="shared" si="284"/>
        <v>-</v>
      </c>
      <c r="AN381" s="814" t="str">
        <f t="shared" ca="1" si="285"/>
        <v>-</v>
      </c>
      <c r="AO381" s="815">
        <v>1</v>
      </c>
      <c r="AP381" s="816" t="str">
        <f t="shared" ca="1" si="286"/>
        <v>-</v>
      </c>
      <c r="AQ381" s="817"/>
      <c r="AR381" s="794" t="str">
        <f t="shared" si="287"/>
        <v>-</v>
      </c>
      <c r="AS381" s="818"/>
      <c r="AT381" s="794" t="str">
        <f t="shared" si="288"/>
        <v>-</v>
      </c>
      <c r="AU381" s="819">
        <v>1</v>
      </c>
      <c r="AV381" s="820"/>
      <c r="AW381" s="821"/>
      <c r="AX381" s="821"/>
      <c r="AY381" s="969" t="str">
        <f t="shared" si="289"/>
        <v>-</v>
      </c>
      <c r="AZ381" s="966" t="str">
        <f t="shared" si="290"/>
        <v>-</v>
      </c>
      <c r="BA381" s="971" t="str">
        <f t="shared" si="291"/>
        <v>-</v>
      </c>
      <c r="BB381" s="975"/>
      <c r="BC381" s="821"/>
      <c r="BD381" s="821"/>
      <c r="BE381" s="963" t="str">
        <f t="shared" si="292"/>
        <v>-</v>
      </c>
      <c r="BF381" s="984"/>
      <c r="BG381" s="988"/>
      <c r="BH381" s="982"/>
      <c r="BI381" s="991"/>
      <c r="BJ381" s="991"/>
      <c r="BK381" s="993" t="str">
        <f t="shared" si="293"/>
        <v>-</v>
      </c>
      <c r="BL381" s="820">
        <v>42982</v>
      </c>
      <c r="BM381" s="821">
        <v>5</v>
      </c>
      <c r="BN381" s="822">
        <f t="shared" ca="1" si="294"/>
        <v>152</v>
      </c>
      <c r="BO381" s="823">
        <f t="shared" si="295"/>
        <v>57.4</v>
      </c>
      <c r="BP381" s="824"/>
      <c r="BQ381" s="821"/>
      <c r="BR381" s="822" t="str">
        <f t="shared" si="296"/>
        <v>-</v>
      </c>
      <c r="BS381" s="823" t="str">
        <f t="shared" si="297"/>
        <v>-</v>
      </c>
      <c r="BT381" s="825" t="str">
        <f t="shared" ca="1" si="298"/>
        <v>-</v>
      </c>
      <c r="BU381" s="826"/>
      <c r="BV381" s="827"/>
      <c r="BW381" s="828" t="str">
        <f t="shared" si="299"/>
        <v>Ж-Е НЕ ВАКЦ.</v>
      </c>
      <c r="BX381" s="829" t="str">
        <f t="shared" si="300"/>
        <v>-</v>
      </c>
      <c r="BY381" s="830" t="str">
        <f t="shared" ca="1" si="301"/>
        <v>-</v>
      </c>
      <c r="BZ381" s="831">
        <v>42887</v>
      </c>
      <c r="CA381" s="832">
        <v>5</v>
      </c>
      <c r="CB381" s="833">
        <f t="shared" ca="1" si="302"/>
        <v>247</v>
      </c>
      <c r="CC381" s="834" t="str">
        <f t="shared" ca="1" si="303"/>
        <v>-</v>
      </c>
      <c r="CD381" s="835">
        <f t="shared" si="304"/>
        <v>42908</v>
      </c>
      <c r="CE381" s="831">
        <v>42908</v>
      </c>
      <c r="CF381" s="832">
        <v>5</v>
      </c>
      <c r="CG381" s="833">
        <f t="shared" ca="1" si="305"/>
        <v>226</v>
      </c>
      <c r="CH381" s="836">
        <f t="shared" si="306"/>
        <v>0</v>
      </c>
      <c r="CI381" s="837" t="str">
        <f t="shared" si="307"/>
        <v>УСПЕШНО</v>
      </c>
      <c r="CJ381" s="838" t="str">
        <f t="shared" ca="1" si="308"/>
        <v>-</v>
      </c>
      <c r="CK381" s="831"/>
      <c r="CL381" s="832"/>
      <c r="CM381" s="833" t="str">
        <f t="shared" si="309"/>
        <v>-</v>
      </c>
      <c r="CN381" s="834" t="str">
        <f t="shared" si="310"/>
        <v>-</v>
      </c>
      <c r="CO381" s="830" t="str">
        <f t="shared" ca="1" si="311"/>
        <v>-</v>
      </c>
      <c r="CP381" s="831">
        <v>42925</v>
      </c>
      <c r="CQ381" s="832">
        <v>2</v>
      </c>
      <c r="CR381" s="833">
        <f t="shared" si="312"/>
        <v>-123</v>
      </c>
      <c r="CS381" s="833">
        <f t="shared" ca="1" si="313"/>
        <v>209</v>
      </c>
      <c r="CT381" s="834" t="str">
        <f t="shared" ca="1" si="314"/>
        <v>-</v>
      </c>
      <c r="CU381" s="835">
        <f t="shared" si="315"/>
        <v>42946</v>
      </c>
      <c r="CV381" s="831">
        <v>42946</v>
      </c>
      <c r="CW381" s="832">
        <v>2</v>
      </c>
      <c r="CX381" s="833">
        <f t="shared" si="316"/>
        <v>0</v>
      </c>
      <c r="CY381" s="840" t="str">
        <f t="shared" si="317"/>
        <v>УСПЕШНО</v>
      </c>
      <c r="CZ381" s="833">
        <f t="shared" si="318"/>
        <v>-102</v>
      </c>
      <c r="DA381" s="838" t="str">
        <f t="shared" ca="1" si="319"/>
        <v>-</v>
      </c>
      <c r="DB381" s="841"/>
      <c r="DC381" s="832"/>
    </row>
    <row r="382" spans="1:107" s="842" customFormat="1" ht="15.95" customHeight="1" x14ac:dyDescent="0.25">
      <c r="A382" s="790">
        <v>383</v>
      </c>
      <c r="B382" s="791">
        <f t="shared" ca="1" si="268"/>
        <v>43134</v>
      </c>
      <c r="C382" s="29" t="s">
        <v>615</v>
      </c>
      <c r="D382" s="59" t="s">
        <v>1633</v>
      </c>
      <c r="E382" s="794" t="s">
        <v>294</v>
      </c>
      <c r="F382" s="998" t="s">
        <v>295</v>
      </c>
      <c r="G382" s="796">
        <f>SUMIFS(МОЛОКО!L8:L6958,МОЛОКО!F8:F6958,"1796",МОЛОКО!L8:L6958,"&gt;0")</f>
        <v>29.9</v>
      </c>
      <c r="H382" s="797" t="s">
        <v>603</v>
      </c>
      <c r="I382" s="798">
        <v>41317</v>
      </c>
      <c r="J382" s="799">
        <f t="shared" ca="1" si="269"/>
        <v>4.978082191780822</v>
      </c>
      <c r="K382" s="799">
        <f t="shared" ca="1" si="270"/>
        <v>60.56666666666667</v>
      </c>
      <c r="L382" s="800">
        <f t="shared" ca="1" si="271"/>
        <v>1817</v>
      </c>
      <c r="M382" s="801">
        <v>42029</v>
      </c>
      <c r="N382" s="802">
        <v>43019</v>
      </c>
      <c r="O382" s="803">
        <f t="shared" ca="1" si="272"/>
        <v>115</v>
      </c>
      <c r="P382" s="804">
        <v>4</v>
      </c>
      <c r="Q382" s="805"/>
      <c r="R382" s="806"/>
      <c r="S382" s="807"/>
      <c r="T382" s="798"/>
      <c r="U382" s="798" t="str">
        <f t="shared" si="273"/>
        <v>-</v>
      </c>
      <c r="V382" s="804" t="str">
        <f t="shared" ca="1" si="274"/>
        <v>-</v>
      </c>
      <c r="W382" s="808">
        <v>0</v>
      </c>
      <c r="X382" s="794" t="str">
        <f t="shared" si="320"/>
        <v>-</v>
      </c>
      <c r="Y382" s="794">
        <v>0</v>
      </c>
      <c r="Z382" s="809" t="str">
        <f t="shared" ca="1" si="275"/>
        <v>-----</v>
      </c>
      <c r="AA382" s="810">
        <f t="shared" ca="1" si="276"/>
        <v>43134</v>
      </c>
      <c r="AB382" s="804"/>
      <c r="AC382" s="811" t="str">
        <f t="shared" ca="1" si="277"/>
        <v>-----</v>
      </c>
      <c r="AD382" s="798"/>
      <c r="AE382" s="794" t="str">
        <f t="shared" ca="1" si="278"/>
        <v>-</v>
      </c>
      <c r="AF382" s="798" t="str">
        <f t="shared" si="279"/>
        <v>-</v>
      </c>
      <c r="AG382" s="812" t="str">
        <f t="shared" si="280"/>
        <v>---------</v>
      </c>
      <c r="AH382" s="807"/>
      <c r="AI382" s="807" t="str">
        <f t="shared" si="281"/>
        <v>-</v>
      </c>
      <c r="AJ382" s="807" t="str">
        <f t="shared" si="282"/>
        <v>-</v>
      </c>
      <c r="AK382" s="813"/>
      <c r="AL382" s="807" t="str">
        <f t="shared" si="283"/>
        <v>-</v>
      </c>
      <c r="AM382" s="807" t="str">
        <f t="shared" si="284"/>
        <v>-</v>
      </c>
      <c r="AN382" s="814" t="str">
        <f t="shared" ca="1" si="285"/>
        <v>-</v>
      </c>
      <c r="AO382" s="815">
        <v>1</v>
      </c>
      <c r="AP382" s="816" t="str">
        <f t="shared" ca="1" si="286"/>
        <v>-</v>
      </c>
      <c r="AQ382" s="817"/>
      <c r="AR382" s="794" t="str">
        <f t="shared" si="287"/>
        <v>-</v>
      </c>
      <c r="AS382" s="818"/>
      <c r="AT382" s="794" t="str">
        <f t="shared" si="288"/>
        <v>-</v>
      </c>
      <c r="AU382" s="300" t="s">
        <v>2696</v>
      </c>
      <c r="AV382" s="820"/>
      <c r="AW382" s="821"/>
      <c r="AX382" s="821"/>
      <c r="AY382" s="969" t="str">
        <f t="shared" si="289"/>
        <v>-</v>
      </c>
      <c r="AZ382" s="966" t="str">
        <f t="shared" si="290"/>
        <v>-</v>
      </c>
      <c r="BA382" s="971" t="str">
        <f t="shared" si="291"/>
        <v>-</v>
      </c>
      <c r="BB382" s="975"/>
      <c r="BC382" s="821"/>
      <c r="BD382" s="821"/>
      <c r="BE382" s="963" t="str">
        <f t="shared" si="292"/>
        <v>-</v>
      </c>
      <c r="BF382" s="984"/>
      <c r="BG382" s="988"/>
      <c r="BH382" s="982"/>
      <c r="BI382" s="991"/>
      <c r="BJ382" s="991"/>
      <c r="BK382" s="993" t="str">
        <f t="shared" si="293"/>
        <v>-</v>
      </c>
      <c r="BL382" s="820">
        <v>42978</v>
      </c>
      <c r="BM382" s="821">
        <v>5</v>
      </c>
      <c r="BN382" s="822">
        <f t="shared" ca="1" si="294"/>
        <v>156</v>
      </c>
      <c r="BO382" s="823">
        <f t="shared" si="295"/>
        <v>55.366666666666667</v>
      </c>
      <c r="BP382" s="824"/>
      <c r="BQ382" s="821"/>
      <c r="BR382" s="822" t="str">
        <f t="shared" si="296"/>
        <v>-</v>
      </c>
      <c r="BS382" s="823" t="str">
        <f t="shared" si="297"/>
        <v>-</v>
      </c>
      <c r="BT382" s="825" t="str">
        <f t="shared" ca="1" si="298"/>
        <v>-</v>
      </c>
      <c r="BU382" s="826"/>
      <c r="BV382" s="827"/>
      <c r="BW382" s="828" t="str">
        <f t="shared" si="299"/>
        <v>Ж-Е НЕ ВАКЦ.</v>
      </c>
      <c r="BX382" s="829" t="str">
        <f t="shared" si="300"/>
        <v>-</v>
      </c>
      <c r="BY382" s="830" t="str">
        <f t="shared" ca="1" si="301"/>
        <v>-</v>
      </c>
      <c r="BZ382" s="831">
        <v>42887</v>
      </c>
      <c r="CA382" s="832">
        <v>5</v>
      </c>
      <c r="CB382" s="833">
        <f t="shared" ca="1" si="302"/>
        <v>247</v>
      </c>
      <c r="CC382" s="834" t="str">
        <f t="shared" ca="1" si="303"/>
        <v>-</v>
      </c>
      <c r="CD382" s="835">
        <f t="shared" si="304"/>
        <v>42908</v>
      </c>
      <c r="CE382" s="831">
        <v>42908</v>
      </c>
      <c r="CF382" s="832">
        <v>5</v>
      </c>
      <c r="CG382" s="833">
        <f t="shared" ca="1" si="305"/>
        <v>226</v>
      </c>
      <c r="CH382" s="836">
        <f t="shared" si="306"/>
        <v>0</v>
      </c>
      <c r="CI382" s="837" t="str">
        <f t="shared" si="307"/>
        <v>УСПЕШНО</v>
      </c>
      <c r="CJ382" s="838" t="str">
        <f t="shared" ca="1" si="308"/>
        <v>-</v>
      </c>
      <c r="CK382" s="831"/>
      <c r="CL382" s="832"/>
      <c r="CM382" s="833" t="str">
        <f t="shared" si="309"/>
        <v>-</v>
      </c>
      <c r="CN382" s="834" t="str">
        <f t="shared" si="310"/>
        <v>-</v>
      </c>
      <c r="CO382" s="830" t="str">
        <f t="shared" ca="1" si="311"/>
        <v>-</v>
      </c>
      <c r="CP382" s="831">
        <v>42962</v>
      </c>
      <c r="CQ382" s="832">
        <v>2</v>
      </c>
      <c r="CR382" s="833">
        <f t="shared" si="312"/>
        <v>42962</v>
      </c>
      <c r="CS382" s="833">
        <f t="shared" ca="1" si="313"/>
        <v>172</v>
      </c>
      <c r="CT382" s="834" t="str">
        <f t="shared" ca="1" si="314"/>
        <v>-</v>
      </c>
      <c r="CU382" s="835">
        <f t="shared" si="315"/>
        <v>42983</v>
      </c>
      <c r="CV382" s="831">
        <v>42983</v>
      </c>
      <c r="CW382" s="832">
        <v>2</v>
      </c>
      <c r="CX382" s="833">
        <f t="shared" si="316"/>
        <v>0</v>
      </c>
      <c r="CY382" s="840" t="str">
        <f t="shared" si="317"/>
        <v>УСПЕШНО</v>
      </c>
      <c r="CZ382" s="833">
        <f t="shared" si="318"/>
        <v>42983</v>
      </c>
      <c r="DA382" s="838" t="str">
        <f t="shared" ca="1" si="319"/>
        <v>-</v>
      </c>
      <c r="DB382" s="841"/>
      <c r="DC382" s="832"/>
    </row>
    <row r="383" spans="1:107" s="842" customFormat="1" ht="15.95" customHeight="1" x14ac:dyDescent="0.25">
      <c r="A383" s="790">
        <v>384</v>
      </c>
      <c r="B383" s="791">
        <f t="shared" ca="1" si="268"/>
        <v>43134</v>
      </c>
      <c r="C383" s="792" t="s">
        <v>615</v>
      </c>
      <c r="D383" s="793" t="s">
        <v>1633</v>
      </c>
      <c r="E383" s="794" t="s">
        <v>423</v>
      </c>
      <c r="F383" s="854" t="s">
        <v>424</v>
      </c>
      <c r="G383" s="796">
        <f>SUMIFS(МОЛОКО!L8:L6958,МОЛОКО!F8:F6958,"1943",МОЛОКО!L8:L6958,"&gt;0")</f>
        <v>25</v>
      </c>
      <c r="H383" s="797" t="s">
        <v>603</v>
      </c>
      <c r="I383" s="798">
        <v>41519</v>
      </c>
      <c r="J383" s="799">
        <f t="shared" ca="1" si="269"/>
        <v>4.4246575342465757</v>
      </c>
      <c r="K383" s="799">
        <f t="shared" ca="1" si="270"/>
        <v>53.833333333333336</v>
      </c>
      <c r="L383" s="800">
        <f t="shared" ca="1" si="271"/>
        <v>1615</v>
      </c>
      <c r="M383" s="801">
        <v>42272</v>
      </c>
      <c r="N383" s="802">
        <v>42956</v>
      </c>
      <c r="O383" s="803">
        <f t="shared" ca="1" si="272"/>
        <v>178</v>
      </c>
      <c r="P383" s="804">
        <v>3</v>
      </c>
      <c r="Q383" s="805" t="s">
        <v>2366</v>
      </c>
      <c r="R383" s="806" t="s">
        <v>2962</v>
      </c>
      <c r="S383" s="807">
        <v>43020</v>
      </c>
      <c r="T383" s="798">
        <v>43020</v>
      </c>
      <c r="U383" s="798">
        <f t="shared" si="273"/>
        <v>43038</v>
      </c>
      <c r="V383" s="804">
        <f t="shared" ca="1" si="274"/>
        <v>96</v>
      </c>
      <c r="W383" s="808">
        <v>1</v>
      </c>
      <c r="X383" s="794">
        <f t="shared" si="320"/>
        <v>64</v>
      </c>
      <c r="Y383" s="794">
        <v>2</v>
      </c>
      <c r="Z383" s="809" t="str">
        <f t="shared" ca="1" si="275"/>
        <v>-----</v>
      </c>
      <c r="AA383" s="810">
        <f t="shared" ca="1" si="276"/>
        <v>114</v>
      </c>
      <c r="AB383" s="804"/>
      <c r="AC383" s="811" t="str">
        <f t="shared" ca="1" si="277"/>
        <v>-----</v>
      </c>
      <c r="AD383" s="798"/>
      <c r="AE383" s="794" t="str">
        <f t="shared" ca="1" si="278"/>
        <v>-</v>
      </c>
      <c r="AF383" s="798">
        <f t="shared" si="279"/>
        <v>43055</v>
      </c>
      <c r="AG383" s="812">
        <f t="shared" ca="1" si="280"/>
        <v>79</v>
      </c>
      <c r="AH383" s="807">
        <v>43052</v>
      </c>
      <c r="AI383" s="807" t="str">
        <f t="shared" si="281"/>
        <v>-</v>
      </c>
      <c r="AJ383" s="807" t="str">
        <f t="shared" si="282"/>
        <v>-</v>
      </c>
      <c r="AK383" s="813"/>
      <c r="AL383" s="807" t="str">
        <f t="shared" si="283"/>
        <v>-</v>
      </c>
      <c r="AM383" s="807" t="str">
        <f t="shared" si="284"/>
        <v>-</v>
      </c>
      <c r="AN383" s="814" t="str">
        <f t="shared" ca="1" si="285"/>
        <v>-</v>
      </c>
      <c r="AO383" s="815">
        <v>1</v>
      </c>
      <c r="AP383" s="816" t="str">
        <f t="shared" ca="1" si="286"/>
        <v>-</v>
      </c>
      <c r="AQ383" s="817"/>
      <c r="AR383" s="794" t="str">
        <f t="shared" si="287"/>
        <v>-</v>
      </c>
      <c r="AS383" s="818"/>
      <c r="AT383" s="794" t="str">
        <f t="shared" si="288"/>
        <v>-</v>
      </c>
      <c r="AU383" s="819">
        <v>1</v>
      </c>
      <c r="AV383" s="820"/>
      <c r="AW383" s="821"/>
      <c r="AX383" s="821"/>
      <c r="AY383" s="969" t="str">
        <f t="shared" si="289"/>
        <v>-</v>
      </c>
      <c r="AZ383" s="966" t="str">
        <f t="shared" si="290"/>
        <v>-</v>
      </c>
      <c r="BA383" s="971" t="str">
        <f t="shared" si="291"/>
        <v>-</v>
      </c>
      <c r="BB383" s="975"/>
      <c r="BC383" s="821"/>
      <c r="BD383" s="821"/>
      <c r="BE383" s="963" t="str">
        <f t="shared" si="292"/>
        <v>-</v>
      </c>
      <c r="BF383" s="984"/>
      <c r="BG383" s="988"/>
      <c r="BH383" s="982"/>
      <c r="BI383" s="991"/>
      <c r="BJ383" s="991"/>
      <c r="BK383" s="993" t="str">
        <f t="shared" si="293"/>
        <v>-</v>
      </c>
      <c r="BL383" s="820">
        <v>42979</v>
      </c>
      <c r="BM383" s="821">
        <v>5</v>
      </c>
      <c r="BN383" s="822">
        <f t="shared" ca="1" si="294"/>
        <v>155</v>
      </c>
      <c r="BO383" s="823">
        <f t="shared" si="295"/>
        <v>48.666666666666664</v>
      </c>
      <c r="BP383" s="824"/>
      <c r="BQ383" s="821"/>
      <c r="BR383" s="822" t="str">
        <f t="shared" si="296"/>
        <v>-</v>
      </c>
      <c r="BS383" s="823" t="str">
        <f t="shared" si="297"/>
        <v>-</v>
      </c>
      <c r="BT383" s="825" t="str">
        <f t="shared" ca="1" si="298"/>
        <v>-</v>
      </c>
      <c r="BU383" s="826"/>
      <c r="BV383" s="827"/>
      <c r="BW383" s="828" t="str">
        <f t="shared" si="299"/>
        <v>Ж-Е НЕ ВАКЦ.</v>
      </c>
      <c r="BX383" s="829" t="str">
        <f t="shared" si="300"/>
        <v>-</v>
      </c>
      <c r="BY383" s="830" t="str">
        <f t="shared" ca="1" si="301"/>
        <v>-</v>
      </c>
      <c r="BZ383" s="831">
        <v>42988</v>
      </c>
      <c r="CA383" s="832">
        <v>5</v>
      </c>
      <c r="CB383" s="833">
        <f t="shared" ca="1" si="302"/>
        <v>146</v>
      </c>
      <c r="CC383" s="834" t="str">
        <f t="shared" ca="1" si="303"/>
        <v>-</v>
      </c>
      <c r="CD383" s="835">
        <f t="shared" si="304"/>
        <v>43009</v>
      </c>
      <c r="CE383" s="831">
        <v>43009</v>
      </c>
      <c r="CF383" s="832">
        <v>5</v>
      </c>
      <c r="CG383" s="833">
        <f t="shared" ca="1" si="305"/>
        <v>125</v>
      </c>
      <c r="CH383" s="836">
        <f t="shared" si="306"/>
        <v>0</v>
      </c>
      <c r="CI383" s="837" t="str">
        <f t="shared" si="307"/>
        <v>УСПЕШНО</v>
      </c>
      <c r="CJ383" s="838" t="str">
        <f t="shared" ca="1" si="308"/>
        <v>-</v>
      </c>
      <c r="CK383" s="831"/>
      <c r="CL383" s="832"/>
      <c r="CM383" s="833" t="str">
        <f t="shared" si="309"/>
        <v>-</v>
      </c>
      <c r="CN383" s="834" t="str">
        <f t="shared" si="310"/>
        <v>-</v>
      </c>
      <c r="CO383" s="830" t="str">
        <f t="shared" ca="1" si="311"/>
        <v>-</v>
      </c>
      <c r="CP383" s="831">
        <v>42882</v>
      </c>
      <c r="CQ383" s="832">
        <v>2</v>
      </c>
      <c r="CR383" s="833">
        <f t="shared" si="312"/>
        <v>-138</v>
      </c>
      <c r="CS383" s="833">
        <f t="shared" ca="1" si="313"/>
        <v>252</v>
      </c>
      <c r="CT383" s="834" t="str">
        <f t="shared" ca="1" si="314"/>
        <v>-</v>
      </c>
      <c r="CU383" s="835">
        <f t="shared" si="315"/>
        <v>42903</v>
      </c>
      <c r="CV383" s="831">
        <v>42903</v>
      </c>
      <c r="CW383" s="832">
        <v>2</v>
      </c>
      <c r="CX383" s="833">
        <f t="shared" si="316"/>
        <v>0</v>
      </c>
      <c r="CY383" s="840" t="str">
        <f t="shared" si="317"/>
        <v>УСПЕШНО</v>
      </c>
      <c r="CZ383" s="833">
        <f t="shared" si="318"/>
        <v>-117</v>
      </c>
      <c r="DA383" s="838" t="str">
        <f t="shared" ca="1" si="319"/>
        <v>-</v>
      </c>
      <c r="DB383" s="841"/>
      <c r="DC383" s="832"/>
    </row>
    <row r="384" spans="1:107" s="842" customFormat="1" ht="15.95" customHeight="1" x14ac:dyDescent="0.25">
      <c r="A384" s="790">
        <v>385</v>
      </c>
      <c r="B384" s="791">
        <f t="shared" ca="1" si="268"/>
        <v>43134</v>
      </c>
      <c r="C384" s="29" t="s">
        <v>615</v>
      </c>
      <c r="D384" s="327" t="s">
        <v>1633</v>
      </c>
      <c r="E384" s="794" t="s">
        <v>146</v>
      </c>
      <c r="F384" s="854" t="s">
        <v>436</v>
      </c>
      <c r="G384" s="796">
        <f>SUMIFS(МОЛОКО!L8:L6958,МОЛОКО!F8:F6958,"2014",МОЛОКО!L8:L6958,"&gt;0")</f>
        <v>32</v>
      </c>
      <c r="H384" s="797" t="s">
        <v>603</v>
      </c>
      <c r="I384" s="798">
        <v>41583</v>
      </c>
      <c r="J384" s="799">
        <f t="shared" ca="1" si="269"/>
        <v>4.2493150684931509</v>
      </c>
      <c r="K384" s="799">
        <f t="shared" ca="1" si="270"/>
        <v>51.7</v>
      </c>
      <c r="L384" s="800">
        <f t="shared" ca="1" si="271"/>
        <v>1551</v>
      </c>
      <c r="M384" s="801">
        <v>42294</v>
      </c>
      <c r="N384" s="802">
        <v>43002</v>
      </c>
      <c r="O384" s="803">
        <f t="shared" ca="1" si="272"/>
        <v>132</v>
      </c>
      <c r="P384" s="804">
        <v>3</v>
      </c>
      <c r="Q384" s="805"/>
      <c r="R384" s="806"/>
      <c r="S384" s="807"/>
      <c r="T384" s="798"/>
      <c r="U384" s="798" t="str">
        <f t="shared" si="273"/>
        <v>-</v>
      </c>
      <c r="V384" s="804" t="str">
        <f t="shared" ca="1" si="274"/>
        <v>-</v>
      </c>
      <c r="W384" s="808">
        <v>0</v>
      </c>
      <c r="X384" s="794" t="str">
        <f t="shared" si="320"/>
        <v>-</v>
      </c>
      <c r="Y384" s="794">
        <v>0</v>
      </c>
      <c r="Z384" s="809" t="str">
        <f t="shared" ca="1" si="275"/>
        <v>-----</v>
      </c>
      <c r="AA384" s="810">
        <f t="shared" ca="1" si="276"/>
        <v>43134</v>
      </c>
      <c r="AB384" s="804"/>
      <c r="AC384" s="811" t="str">
        <f t="shared" ca="1" si="277"/>
        <v>-----</v>
      </c>
      <c r="AD384" s="798"/>
      <c r="AE384" s="794" t="str">
        <f t="shared" ca="1" si="278"/>
        <v>яловая</v>
      </c>
      <c r="AF384" s="798" t="str">
        <f t="shared" si="279"/>
        <v>-</v>
      </c>
      <c r="AG384" s="812" t="str">
        <f t="shared" si="280"/>
        <v>---------</v>
      </c>
      <c r="AH384" s="807"/>
      <c r="AI384" s="807" t="str">
        <f t="shared" si="281"/>
        <v>-</v>
      </c>
      <c r="AJ384" s="807" t="str">
        <f t="shared" si="282"/>
        <v>-</v>
      </c>
      <c r="AK384" s="813"/>
      <c r="AL384" s="807" t="str">
        <f t="shared" si="283"/>
        <v>-</v>
      </c>
      <c r="AM384" s="807" t="str">
        <f t="shared" si="284"/>
        <v>-</v>
      </c>
      <c r="AN384" s="814" t="str">
        <f t="shared" ca="1" si="285"/>
        <v>-</v>
      </c>
      <c r="AO384" s="815">
        <v>1</v>
      </c>
      <c r="AP384" s="816" t="str">
        <f t="shared" ca="1" si="286"/>
        <v>-</v>
      </c>
      <c r="AQ384" s="817"/>
      <c r="AR384" s="794" t="str">
        <f t="shared" si="287"/>
        <v>-</v>
      </c>
      <c r="AS384" s="818"/>
      <c r="AT384" s="794" t="str">
        <f t="shared" si="288"/>
        <v>-</v>
      </c>
      <c r="AU384" s="819">
        <v>1</v>
      </c>
      <c r="AV384" s="820"/>
      <c r="AW384" s="821"/>
      <c r="AX384" s="821"/>
      <c r="AY384" s="969" t="str">
        <f t="shared" si="289"/>
        <v>-</v>
      </c>
      <c r="AZ384" s="966" t="str">
        <f t="shared" si="290"/>
        <v>-</v>
      </c>
      <c r="BA384" s="971" t="str">
        <f t="shared" si="291"/>
        <v>-</v>
      </c>
      <c r="BB384" s="975"/>
      <c r="BC384" s="821"/>
      <c r="BD384" s="821"/>
      <c r="BE384" s="963" t="str">
        <f t="shared" si="292"/>
        <v>-</v>
      </c>
      <c r="BF384" s="984"/>
      <c r="BG384" s="988"/>
      <c r="BH384" s="982"/>
      <c r="BI384" s="991"/>
      <c r="BJ384" s="991"/>
      <c r="BK384" s="993" t="str">
        <f t="shared" si="293"/>
        <v>-</v>
      </c>
      <c r="BL384" s="820">
        <v>42982</v>
      </c>
      <c r="BM384" s="821">
        <v>5</v>
      </c>
      <c r="BN384" s="822">
        <f t="shared" ca="1" si="294"/>
        <v>152</v>
      </c>
      <c r="BO384" s="823">
        <f t="shared" si="295"/>
        <v>46.633333333333333</v>
      </c>
      <c r="BP384" s="824">
        <v>43001</v>
      </c>
      <c r="BQ384" s="821">
        <v>2</v>
      </c>
      <c r="BR384" s="822">
        <f t="shared" ca="1" si="296"/>
        <v>133</v>
      </c>
      <c r="BS384" s="823">
        <f t="shared" si="297"/>
        <v>23.566666666666666</v>
      </c>
      <c r="BT384" s="825" t="str">
        <f t="shared" ca="1" si="298"/>
        <v>-</v>
      </c>
      <c r="BU384" s="826"/>
      <c r="BV384" s="827"/>
      <c r="BW384" s="828" t="str">
        <f t="shared" si="299"/>
        <v>Ж-Е НЕ ВАКЦ.</v>
      </c>
      <c r="BX384" s="829" t="str">
        <f t="shared" si="300"/>
        <v>-</v>
      </c>
      <c r="BY384" s="830" t="str">
        <f t="shared" ca="1" si="301"/>
        <v>-</v>
      </c>
      <c r="BZ384" s="831">
        <v>42887</v>
      </c>
      <c r="CA384" s="832">
        <v>5</v>
      </c>
      <c r="CB384" s="833">
        <f t="shared" ca="1" si="302"/>
        <v>247</v>
      </c>
      <c r="CC384" s="834" t="str">
        <f t="shared" ca="1" si="303"/>
        <v>-</v>
      </c>
      <c r="CD384" s="835">
        <f t="shared" si="304"/>
        <v>42908</v>
      </c>
      <c r="CE384" s="831">
        <v>42908</v>
      </c>
      <c r="CF384" s="832">
        <v>5</v>
      </c>
      <c r="CG384" s="833">
        <f t="shared" ca="1" si="305"/>
        <v>226</v>
      </c>
      <c r="CH384" s="836">
        <f t="shared" si="306"/>
        <v>0</v>
      </c>
      <c r="CI384" s="837" t="str">
        <f t="shared" si="307"/>
        <v>УСПЕШНО</v>
      </c>
      <c r="CJ384" s="838" t="str">
        <f t="shared" ca="1" si="308"/>
        <v>-</v>
      </c>
      <c r="CK384" s="831"/>
      <c r="CL384" s="832"/>
      <c r="CM384" s="833" t="str">
        <f t="shared" si="309"/>
        <v>-</v>
      </c>
      <c r="CN384" s="834" t="str">
        <f t="shared" si="310"/>
        <v>-</v>
      </c>
      <c r="CO384" s="830" t="str">
        <f t="shared" ca="1" si="311"/>
        <v>-</v>
      </c>
      <c r="CP384" s="831">
        <v>42962</v>
      </c>
      <c r="CQ384" s="832">
        <v>2</v>
      </c>
      <c r="CR384" s="833">
        <f t="shared" si="312"/>
        <v>42962</v>
      </c>
      <c r="CS384" s="833">
        <f t="shared" ca="1" si="313"/>
        <v>172</v>
      </c>
      <c r="CT384" s="834" t="str">
        <f t="shared" ca="1" si="314"/>
        <v>-</v>
      </c>
      <c r="CU384" s="835">
        <f t="shared" si="315"/>
        <v>42983</v>
      </c>
      <c r="CV384" s="831">
        <v>42983</v>
      </c>
      <c r="CW384" s="832">
        <v>2</v>
      </c>
      <c r="CX384" s="833">
        <f t="shared" si="316"/>
        <v>0</v>
      </c>
      <c r="CY384" s="840" t="str">
        <f t="shared" si="317"/>
        <v>УСПЕШНО</v>
      </c>
      <c r="CZ384" s="833">
        <f t="shared" si="318"/>
        <v>42983</v>
      </c>
      <c r="DA384" s="838" t="str">
        <f t="shared" ca="1" si="319"/>
        <v>-</v>
      </c>
      <c r="DB384" s="841"/>
      <c r="DC384" s="832"/>
    </row>
    <row r="385" spans="1:107" s="842" customFormat="1" ht="15.95" customHeight="1" x14ac:dyDescent="0.25">
      <c r="A385" s="790">
        <v>386</v>
      </c>
      <c r="B385" s="791">
        <f t="shared" ca="1" si="268"/>
        <v>43134</v>
      </c>
      <c r="C385" s="792" t="s">
        <v>615</v>
      </c>
      <c r="D385" s="844" t="s">
        <v>1633</v>
      </c>
      <c r="E385" s="794" t="s">
        <v>1275</v>
      </c>
      <c r="F385" s="854" t="s">
        <v>1145</v>
      </c>
      <c r="G385" s="796">
        <f>SUMIFS(МОЛОКО!L8:L6958,МОЛОКО!F8:F6958,"2130",МОЛОКО!L8:L6958,"&gt;0")</f>
        <v>22.5</v>
      </c>
      <c r="H385" s="797" t="s">
        <v>603</v>
      </c>
      <c r="I385" s="798">
        <v>41681</v>
      </c>
      <c r="J385" s="799">
        <f t="shared" ca="1" si="269"/>
        <v>3.9808219178082194</v>
      </c>
      <c r="K385" s="799">
        <f t="shared" ca="1" si="270"/>
        <v>48.43333333333333</v>
      </c>
      <c r="L385" s="800">
        <f t="shared" ca="1" si="271"/>
        <v>1453</v>
      </c>
      <c r="M385" s="801">
        <v>42620</v>
      </c>
      <c r="N385" s="802">
        <v>42997</v>
      </c>
      <c r="O385" s="803">
        <f t="shared" ca="1" si="272"/>
        <v>137</v>
      </c>
      <c r="P385" s="804">
        <v>2</v>
      </c>
      <c r="Q385" s="805"/>
      <c r="R385" s="806"/>
      <c r="S385" s="807"/>
      <c r="T385" s="798"/>
      <c r="U385" s="798" t="str">
        <f t="shared" si="273"/>
        <v>-</v>
      </c>
      <c r="V385" s="804" t="str">
        <f t="shared" ca="1" si="274"/>
        <v>-</v>
      </c>
      <c r="W385" s="808">
        <v>0</v>
      </c>
      <c r="X385" s="794" t="str">
        <f t="shared" si="320"/>
        <v>-</v>
      </c>
      <c r="Y385" s="794">
        <v>0</v>
      </c>
      <c r="Z385" s="809" t="str">
        <f t="shared" ca="1" si="275"/>
        <v>-----</v>
      </c>
      <c r="AA385" s="810">
        <f t="shared" ca="1" si="276"/>
        <v>43134</v>
      </c>
      <c r="AB385" s="804"/>
      <c r="AC385" s="811" t="str">
        <f t="shared" ca="1" si="277"/>
        <v>-----</v>
      </c>
      <c r="AD385" s="798"/>
      <c r="AE385" s="794" t="str">
        <f t="shared" ca="1" si="278"/>
        <v>яловая</v>
      </c>
      <c r="AF385" s="798" t="str">
        <f t="shared" si="279"/>
        <v>-</v>
      </c>
      <c r="AG385" s="812" t="str">
        <f t="shared" si="280"/>
        <v>---------</v>
      </c>
      <c r="AH385" s="807"/>
      <c r="AI385" s="807" t="str">
        <f t="shared" si="281"/>
        <v>-</v>
      </c>
      <c r="AJ385" s="807" t="str">
        <f t="shared" si="282"/>
        <v>-</v>
      </c>
      <c r="AK385" s="813"/>
      <c r="AL385" s="807" t="str">
        <f t="shared" si="283"/>
        <v>-</v>
      </c>
      <c r="AM385" s="807" t="str">
        <f t="shared" si="284"/>
        <v>-</v>
      </c>
      <c r="AN385" s="814" t="str">
        <f t="shared" ca="1" si="285"/>
        <v>-</v>
      </c>
      <c r="AO385" s="815">
        <v>1</v>
      </c>
      <c r="AP385" s="816" t="str">
        <f t="shared" ca="1" si="286"/>
        <v>-</v>
      </c>
      <c r="AQ385" s="817"/>
      <c r="AR385" s="794" t="str">
        <f t="shared" si="287"/>
        <v>-</v>
      </c>
      <c r="AS385" s="818"/>
      <c r="AT385" s="794" t="str">
        <f t="shared" si="288"/>
        <v>-</v>
      </c>
      <c r="AU385" s="819">
        <v>1</v>
      </c>
      <c r="AV385" s="820"/>
      <c r="AW385" s="821"/>
      <c r="AX385" s="821"/>
      <c r="AY385" s="969" t="str">
        <f t="shared" si="289"/>
        <v>-</v>
      </c>
      <c r="AZ385" s="966" t="str">
        <f t="shared" si="290"/>
        <v>-</v>
      </c>
      <c r="BA385" s="971" t="str">
        <f t="shared" si="291"/>
        <v>-</v>
      </c>
      <c r="BB385" s="975"/>
      <c r="BC385" s="821"/>
      <c r="BD385" s="821"/>
      <c r="BE385" s="963" t="str">
        <f t="shared" si="292"/>
        <v>-</v>
      </c>
      <c r="BF385" s="984"/>
      <c r="BG385" s="988"/>
      <c r="BH385" s="982"/>
      <c r="BI385" s="991"/>
      <c r="BJ385" s="991"/>
      <c r="BK385" s="993" t="str">
        <f t="shared" si="293"/>
        <v>-</v>
      </c>
      <c r="BL385" s="820">
        <v>42978</v>
      </c>
      <c r="BM385" s="821">
        <v>5</v>
      </c>
      <c r="BN385" s="822">
        <f t="shared" ca="1" si="294"/>
        <v>156</v>
      </c>
      <c r="BO385" s="823">
        <f t="shared" si="295"/>
        <v>43.233333333333334</v>
      </c>
      <c r="BP385" s="824">
        <v>43001</v>
      </c>
      <c r="BQ385" s="821">
        <v>2</v>
      </c>
      <c r="BR385" s="822">
        <f t="shared" ca="1" si="296"/>
        <v>133</v>
      </c>
      <c r="BS385" s="823">
        <f t="shared" si="297"/>
        <v>12.7</v>
      </c>
      <c r="BT385" s="825" t="str">
        <f t="shared" ca="1" si="298"/>
        <v>-</v>
      </c>
      <c r="BU385" s="826"/>
      <c r="BV385" s="827"/>
      <c r="BW385" s="828" t="str">
        <f t="shared" si="299"/>
        <v>Ж-Е НЕ ВАКЦ.</v>
      </c>
      <c r="BX385" s="829" t="str">
        <f t="shared" si="300"/>
        <v>-</v>
      </c>
      <c r="BY385" s="830" t="str">
        <f t="shared" ca="1" si="301"/>
        <v>-</v>
      </c>
      <c r="BZ385" s="831">
        <v>42887</v>
      </c>
      <c r="CA385" s="832">
        <v>5</v>
      </c>
      <c r="CB385" s="833">
        <f t="shared" ca="1" si="302"/>
        <v>247</v>
      </c>
      <c r="CC385" s="834" t="str">
        <f t="shared" ca="1" si="303"/>
        <v>-</v>
      </c>
      <c r="CD385" s="835">
        <f t="shared" si="304"/>
        <v>42908</v>
      </c>
      <c r="CE385" s="831">
        <v>42908</v>
      </c>
      <c r="CF385" s="832">
        <v>5</v>
      </c>
      <c r="CG385" s="833">
        <f t="shared" ca="1" si="305"/>
        <v>226</v>
      </c>
      <c r="CH385" s="836">
        <f t="shared" si="306"/>
        <v>0</v>
      </c>
      <c r="CI385" s="837" t="str">
        <f t="shared" si="307"/>
        <v>УСПЕШНО</v>
      </c>
      <c r="CJ385" s="838" t="str">
        <f t="shared" ca="1" si="308"/>
        <v>-</v>
      </c>
      <c r="CK385" s="831"/>
      <c r="CL385" s="832"/>
      <c r="CM385" s="833" t="str">
        <f t="shared" si="309"/>
        <v>-</v>
      </c>
      <c r="CN385" s="834" t="str">
        <f t="shared" si="310"/>
        <v>-</v>
      </c>
      <c r="CO385" s="830" t="str">
        <f t="shared" ca="1" si="311"/>
        <v>-</v>
      </c>
      <c r="CP385" s="831">
        <v>42958</v>
      </c>
      <c r="CQ385" s="832">
        <v>2</v>
      </c>
      <c r="CR385" s="833">
        <f t="shared" si="312"/>
        <v>42958</v>
      </c>
      <c r="CS385" s="833">
        <f t="shared" ca="1" si="313"/>
        <v>176</v>
      </c>
      <c r="CT385" s="834" t="str">
        <f t="shared" ca="1" si="314"/>
        <v>-</v>
      </c>
      <c r="CU385" s="835">
        <f t="shared" si="315"/>
        <v>42979</v>
      </c>
      <c r="CV385" s="831">
        <v>42980</v>
      </c>
      <c r="CW385" s="832">
        <v>2</v>
      </c>
      <c r="CX385" s="833">
        <f t="shared" si="316"/>
        <v>1</v>
      </c>
      <c r="CY385" s="840" t="str">
        <f t="shared" si="317"/>
        <v>-</v>
      </c>
      <c r="CZ385" s="833">
        <f t="shared" si="318"/>
        <v>42980</v>
      </c>
      <c r="DA385" s="838" t="str">
        <f t="shared" ca="1" si="319"/>
        <v>-</v>
      </c>
      <c r="DB385" s="841"/>
      <c r="DC385" s="832"/>
    </row>
    <row r="386" spans="1:107" s="842" customFormat="1" ht="15.95" customHeight="1" x14ac:dyDescent="0.25">
      <c r="A386" s="790">
        <v>387</v>
      </c>
      <c r="B386" s="791">
        <f t="shared" ca="1" si="268"/>
        <v>43134</v>
      </c>
      <c r="C386" s="792" t="s">
        <v>615</v>
      </c>
      <c r="D386" s="793" t="s">
        <v>1633</v>
      </c>
      <c r="E386" s="794" t="s">
        <v>1093</v>
      </c>
      <c r="F386" s="854" t="s">
        <v>1147</v>
      </c>
      <c r="G386" s="796">
        <f>SUMIFS(МОЛОКО!L8:L6958,МОЛОКО!F8:F6958,"2142",МОЛОКО!L8:L6958,"&gt;0")</f>
        <v>25</v>
      </c>
      <c r="H386" s="797" t="s">
        <v>603</v>
      </c>
      <c r="I386" s="798">
        <v>41692</v>
      </c>
      <c r="J386" s="799">
        <f t="shared" ca="1" si="269"/>
        <v>3.9506849315068493</v>
      </c>
      <c r="K386" s="799">
        <f t="shared" ca="1" si="270"/>
        <v>48.06666666666667</v>
      </c>
      <c r="L386" s="800">
        <f t="shared" ca="1" si="271"/>
        <v>1442</v>
      </c>
      <c r="M386" s="801">
        <v>42557</v>
      </c>
      <c r="N386" s="802">
        <v>42944</v>
      </c>
      <c r="O386" s="803">
        <f t="shared" ca="1" si="272"/>
        <v>190</v>
      </c>
      <c r="P386" s="804">
        <v>2</v>
      </c>
      <c r="Q386" s="805" t="s">
        <v>1451</v>
      </c>
      <c r="R386" s="806" t="s">
        <v>3020</v>
      </c>
      <c r="S386" s="807">
        <v>43007</v>
      </c>
      <c r="T386" s="798">
        <v>43007</v>
      </c>
      <c r="U386" s="798" t="str">
        <f t="shared" si="273"/>
        <v>-</v>
      </c>
      <c r="V386" s="804" t="str">
        <f t="shared" ca="1" si="274"/>
        <v>-</v>
      </c>
      <c r="W386" s="808">
        <v>1</v>
      </c>
      <c r="X386" s="794">
        <f t="shared" si="320"/>
        <v>63</v>
      </c>
      <c r="Y386" s="794">
        <v>1</v>
      </c>
      <c r="Z386" s="809" t="str">
        <f t="shared" ca="1" si="275"/>
        <v>ПОДЛЕЖИТ ПЕРЕПРОВЕРКЕ</v>
      </c>
      <c r="AA386" s="810">
        <f t="shared" ca="1" si="276"/>
        <v>127</v>
      </c>
      <c r="AB386" s="804"/>
      <c r="AC386" s="811">
        <f t="shared" ca="1" si="277"/>
        <v>43079</v>
      </c>
      <c r="AD386" s="798"/>
      <c r="AE386" s="794" t="str">
        <f t="shared" ca="1" si="278"/>
        <v>-</v>
      </c>
      <c r="AF386" s="798" t="str">
        <f t="shared" si="279"/>
        <v>-</v>
      </c>
      <c r="AG386" s="812" t="str">
        <f t="shared" si="280"/>
        <v>---------</v>
      </c>
      <c r="AH386" s="807">
        <v>43042</v>
      </c>
      <c r="AI386" s="807">
        <f t="shared" si="281"/>
        <v>43197</v>
      </c>
      <c r="AJ386" s="807">
        <f t="shared" si="282"/>
        <v>43227</v>
      </c>
      <c r="AK386" s="813"/>
      <c r="AL386" s="807">
        <f t="shared" si="283"/>
        <v>43266</v>
      </c>
      <c r="AM386" s="807">
        <f t="shared" si="284"/>
        <v>43287</v>
      </c>
      <c r="AN386" s="814">
        <f t="shared" ca="1" si="285"/>
        <v>-153</v>
      </c>
      <c r="AO386" s="815">
        <v>1</v>
      </c>
      <c r="AP386" s="816" t="str">
        <f t="shared" ca="1" si="286"/>
        <v>-</v>
      </c>
      <c r="AQ386" s="817"/>
      <c r="AR386" s="794" t="str">
        <f t="shared" si="287"/>
        <v>-</v>
      </c>
      <c r="AS386" s="818"/>
      <c r="AT386" s="794" t="str">
        <f t="shared" si="288"/>
        <v>-</v>
      </c>
      <c r="AU386" s="819">
        <v>1</v>
      </c>
      <c r="AV386" s="820"/>
      <c r="AW386" s="821"/>
      <c r="AX386" s="821"/>
      <c r="AY386" s="969" t="str">
        <f t="shared" si="289"/>
        <v>-</v>
      </c>
      <c r="AZ386" s="966" t="str">
        <f t="shared" si="290"/>
        <v>-</v>
      </c>
      <c r="BA386" s="971" t="str">
        <f t="shared" si="291"/>
        <v>-</v>
      </c>
      <c r="BB386" s="975"/>
      <c r="BC386" s="821"/>
      <c r="BD386" s="821"/>
      <c r="BE386" s="963" t="str">
        <f t="shared" si="292"/>
        <v>-</v>
      </c>
      <c r="BF386" s="984"/>
      <c r="BG386" s="988"/>
      <c r="BH386" s="982"/>
      <c r="BI386" s="991"/>
      <c r="BJ386" s="991"/>
      <c r="BK386" s="993" t="str">
        <f t="shared" si="293"/>
        <v>-</v>
      </c>
      <c r="BL386" s="820">
        <v>42979</v>
      </c>
      <c r="BM386" s="821">
        <v>5</v>
      </c>
      <c r="BN386" s="822">
        <f t="shared" ca="1" si="294"/>
        <v>155</v>
      </c>
      <c r="BO386" s="823">
        <f t="shared" si="295"/>
        <v>42.9</v>
      </c>
      <c r="BP386" s="824">
        <v>43001</v>
      </c>
      <c r="BQ386" s="821">
        <v>2</v>
      </c>
      <c r="BR386" s="822">
        <f t="shared" ca="1" si="296"/>
        <v>133</v>
      </c>
      <c r="BS386" s="823">
        <f t="shared" si="297"/>
        <v>14.8</v>
      </c>
      <c r="BT386" s="825" t="str">
        <f t="shared" ca="1" si="298"/>
        <v>-</v>
      </c>
      <c r="BU386" s="826"/>
      <c r="BV386" s="827"/>
      <c r="BW386" s="828" t="str">
        <f t="shared" si="299"/>
        <v>Ж-Е НЕ ВАКЦ.</v>
      </c>
      <c r="BX386" s="829" t="str">
        <f t="shared" si="300"/>
        <v>-</v>
      </c>
      <c r="BY386" s="830" t="str">
        <f t="shared" ca="1" si="301"/>
        <v>-</v>
      </c>
      <c r="BZ386" s="831">
        <v>42964</v>
      </c>
      <c r="CA386" s="832">
        <v>5</v>
      </c>
      <c r="CB386" s="833">
        <f t="shared" ca="1" si="302"/>
        <v>170</v>
      </c>
      <c r="CC386" s="834" t="str">
        <f t="shared" ca="1" si="303"/>
        <v>-</v>
      </c>
      <c r="CD386" s="835">
        <f t="shared" si="304"/>
        <v>42985</v>
      </c>
      <c r="CE386" s="831">
        <v>42985</v>
      </c>
      <c r="CF386" s="832">
        <v>5</v>
      </c>
      <c r="CG386" s="833">
        <f t="shared" ca="1" si="305"/>
        <v>149</v>
      </c>
      <c r="CH386" s="836">
        <f t="shared" si="306"/>
        <v>0</v>
      </c>
      <c r="CI386" s="837" t="str">
        <f t="shared" si="307"/>
        <v>УСПЕШНО</v>
      </c>
      <c r="CJ386" s="838" t="str">
        <f t="shared" ca="1" si="308"/>
        <v>-</v>
      </c>
      <c r="CK386" s="831"/>
      <c r="CL386" s="832"/>
      <c r="CM386" s="833" t="str">
        <f t="shared" si="309"/>
        <v>-</v>
      </c>
      <c r="CN386" s="834" t="str">
        <f t="shared" si="310"/>
        <v>-</v>
      </c>
      <c r="CO386" s="830" t="str">
        <f t="shared" ca="1" si="311"/>
        <v>-</v>
      </c>
      <c r="CP386" s="831">
        <v>42882</v>
      </c>
      <c r="CQ386" s="832">
        <v>2</v>
      </c>
      <c r="CR386" s="833">
        <f t="shared" si="312"/>
        <v>-125</v>
      </c>
      <c r="CS386" s="833">
        <f t="shared" ca="1" si="313"/>
        <v>252</v>
      </c>
      <c r="CT386" s="834" t="str">
        <f t="shared" ca="1" si="314"/>
        <v>-</v>
      </c>
      <c r="CU386" s="835">
        <f t="shared" si="315"/>
        <v>42903</v>
      </c>
      <c r="CV386" s="831">
        <v>42903</v>
      </c>
      <c r="CW386" s="832">
        <v>2</v>
      </c>
      <c r="CX386" s="833">
        <f t="shared" si="316"/>
        <v>0</v>
      </c>
      <c r="CY386" s="840" t="str">
        <f t="shared" si="317"/>
        <v>УСПЕШНО</v>
      </c>
      <c r="CZ386" s="833">
        <f t="shared" si="318"/>
        <v>-104</v>
      </c>
      <c r="DA386" s="838" t="str">
        <f t="shared" ca="1" si="319"/>
        <v>-</v>
      </c>
      <c r="DB386" s="841"/>
      <c r="DC386" s="832"/>
    </row>
    <row r="387" spans="1:107" s="842" customFormat="1" ht="15.95" customHeight="1" x14ac:dyDescent="0.25">
      <c r="A387" s="790">
        <v>388</v>
      </c>
      <c r="B387" s="791">
        <f t="shared" ref="B387:B450" ca="1" si="321">TODAY()</f>
        <v>43134</v>
      </c>
      <c r="C387" s="792" t="s">
        <v>615</v>
      </c>
      <c r="D387" s="793" t="s">
        <v>1633</v>
      </c>
      <c r="E387" s="794" t="s">
        <v>1282</v>
      </c>
      <c r="F387" s="854" t="s">
        <v>1157</v>
      </c>
      <c r="G387" s="796">
        <f>SUMIFS(МОЛОКО!L8:L6958,МОЛОКО!F8:F6958,"2164",МОЛОКО!L8:L6958,"&gt;0")</f>
        <v>19</v>
      </c>
      <c r="H387" s="797" t="s">
        <v>603</v>
      </c>
      <c r="I387" s="798">
        <v>41719</v>
      </c>
      <c r="J387" s="799">
        <f t="shared" ref="J387:J450" ca="1" si="322">(B387-I387)/365</f>
        <v>3.8767123287671232</v>
      </c>
      <c r="K387" s="799">
        <f t="shared" ref="K387:K450" ca="1" si="323">(B387-I387)/30</f>
        <v>47.166666666666664</v>
      </c>
      <c r="L387" s="800">
        <f t="shared" ref="L387:L450" ca="1" si="324">B387-I387</f>
        <v>1415</v>
      </c>
      <c r="M387" s="801">
        <v>42592</v>
      </c>
      <c r="N387" s="802">
        <v>42930</v>
      </c>
      <c r="O387" s="803">
        <f t="shared" ref="O387:O450" ca="1" si="325">IF(AND(B387&gt;0,N387&gt;0),B387-N387,"-")</f>
        <v>204</v>
      </c>
      <c r="P387" s="804">
        <v>2</v>
      </c>
      <c r="Q387" s="68" t="s">
        <v>2366</v>
      </c>
      <c r="R387" s="118" t="s">
        <v>2435</v>
      </c>
      <c r="S387" s="807">
        <v>42992</v>
      </c>
      <c r="T387" s="798">
        <v>43035</v>
      </c>
      <c r="U387" s="798">
        <f t="shared" ref="U387:U450" si="326">IF(AND(Y387&gt;1,T387&gt;0),T387+18,"-")</f>
        <v>43053</v>
      </c>
      <c r="V387" s="804">
        <f t="shared" ref="V387:V450" ca="1" si="327">IF(AND(U387&gt;0,B387&gt;0,Y387&gt;1),B387-U387,"-")</f>
        <v>81</v>
      </c>
      <c r="W387" s="808">
        <v>2</v>
      </c>
      <c r="X387" s="794">
        <f t="shared" si="320"/>
        <v>105</v>
      </c>
      <c r="Y387" s="794">
        <v>3</v>
      </c>
      <c r="Z387" s="809" t="str">
        <f t="shared" ref="Z387:Z450" ca="1" si="328">IF(AND(Y387=1,AA387&gt;71,OR(ISBLANK(AB387),AB387=2)),"ПОДЛЕЖИТ ПЕРЕПРОВЕРКЕ","-----")</f>
        <v>-----</v>
      </c>
      <c r="AA387" s="810">
        <f t="shared" ref="AA387:AA450" ca="1" si="329">IF(AND(O387&gt;-1,W387&gt;0,Y387=1,AB387=1),"-----",B387-T387)</f>
        <v>99</v>
      </c>
      <c r="AB387" s="804"/>
      <c r="AC387" s="811" t="str">
        <f t="shared" ref="AC387:AC450" ca="1" si="330">IF(AND(AB387&lt;1,Z387="ПОДЛЕЖИТ ПЕРЕПРОВЕРКЕ",Y387=1),T387+72,"-----")</f>
        <v>-----</v>
      </c>
      <c r="AD387" s="798"/>
      <c r="AE387" s="794" t="str">
        <f t="shared" ref="AE387:AE450" ca="1" si="331">IF(AND(O387&gt;120,Y387=0,N387&gt;0),"яловая","-")</f>
        <v>-</v>
      </c>
      <c r="AF387" s="798">
        <f t="shared" ref="AF387:AF450" si="332">IF(AND(T387&gt;0,OR(Y387=3,Y387=2)),T387+35,"-")</f>
        <v>43070</v>
      </c>
      <c r="AG387" s="812">
        <f t="shared" ref="AG387:AG450" ca="1" si="333">IF(AND(T387&gt;0,W387&gt;0,Q387&gt;0,OR(Y387=3,Y387=2)),B387-AF387,"---------")</f>
        <v>64</v>
      </c>
      <c r="AH387" s="807">
        <v>43028</v>
      </c>
      <c r="AI387" s="807" t="str">
        <f t="shared" ref="AI387:AI450" si="334">IF(AND($T387&gt;0,$N387&gt;0,$Y387=1),$T387+280-90,"-")</f>
        <v>-</v>
      </c>
      <c r="AJ387" s="807" t="str">
        <f t="shared" ref="AJ387:AJ450" si="335">IF(AND(T387&gt;0,Y387=1,N387&gt;0),T387+280-60,"-")</f>
        <v>-</v>
      </c>
      <c r="AK387" s="813"/>
      <c r="AL387" s="807" t="str">
        <f t="shared" ref="AL387:AL450" si="336">IF(AND($T387&gt;0,$Y387=1),$T387+280-21,"-")</f>
        <v>-</v>
      </c>
      <c r="AM387" s="807" t="str">
        <f t="shared" ref="AM387:AM450" si="337">IF(AND(T387&gt;0,Y387=1),T387+280,"-")</f>
        <v>-</v>
      </c>
      <c r="AN387" s="814" t="str">
        <f t="shared" ref="AN387:AN450" ca="1" si="338">IF(AND(B387&gt;0,AM387&gt;0,AH387&gt;0,Y387=1),B387-AM387,"-")</f>
        <v>-</v>
      </c>
      <c r="AO387" s="815">
        <v>1</v>
      </c>
      <c r="AP387" s="816" t="str">
        <f t="shared" ref="AP387:AP450" ca="1" si="339">IF(AND(AE387="яловая",O387&gt;300),"БРАК","-")</f>
        <v>-</v>
      </c>
      <c r="AQ387" s="817"/>
      <c r="AR387" s="794" t="str">
        <f t="shared" ref="AR387:AR450" si="340">IF(AND(Y387=1,P387=0),"НЕТЕЛЬ","-")</f>
        <v>-</v>
      </c>
      <c r="AS387" s="818"/>
      <c r="AT387" s="794" t="str">
        <f t="shared" ref="AT387:AT450" si="341">IF(AND(N387&gt;0,T387&gt;0,W387&gt;0,Y387=1,AH387&gt;0,AK387&gt;0),"DRY COW","-")</f>
        <v>-</v>
      </c>
      <c r="AU387" s="819">
        <v>1</v>
      </c>
      <c r="AV387" s="820"/>
      <c r="AW387" s="821"/>
      <c r="AX387" s="821"/>
      <c r="AY387" s="969" t="str">
        <f t="shared" ref="AY387:AY450" si="342">IF(AND(AV387&gt;0,AW387&gt;0,AX387&gt;0),B387-AV387,"-")</f>
        <v>-</v>
      </c>
      <c r="AZ387" s="966" t="str">
        <f t="shared" ref="AZ387:AZ450" si="343">IF(AND(AV387&gt;0,AW387&gt;0,AX387&gt;0,AY387&gt;10,BB387=0,BC387=0,BD387=0),"РЕВАКЦИНАЦИЯ","-")</f>
        <v>-</v>
      </c>
      <c r="BA387" s="971" t="str">
        <f t="shared" ref="BA387:BA450" si="344">IF(AND(AV387&gt;0,AW387&gt;0,AX387&gt;0),AV387+10,"-")</f>
        <v>-</v>
      </c>
      <c r="BB387" s="975"/>
      <c r="BC387" s="821"/>
      <c r="BD387" s="821"/>
      <c r="BE387" s="963" t="str">
        <f t="shared" ref="BE387:BE450" si="345">IF(AND(BB387&gt;0,BC387&gt;0,BD387&gt;0),B387-BB387,"-")</f>
        <v>-</v>
      </c>
      <c r="BF387" s="984"/>
      <c r="BG387" s="988"/>
      <c r="BH387" s="982"/>
      <c r="BI387" s="991"/>
      <c r="BJ387" s="991"/>
      <c r="BK387" s="993" t="str">
        <f t="shared" ref="BK387:BK450" si="346">IF(AND(BF387&gt;0,BG387&gt;0,BH387&gt;0,BI387&gt;0,BJ387&gt;0),B387-BF387,"-")</f>
        <v>-</v>
      </c>
      <c r="BL387" s="820">
        <v>42979</v>
      </c>
      <c r="BM387" s="821">
        <v>5</v>
      </c>
      <c r="BN387" s="822">
        <f t="shared" ref="BN387:BN450" ca="1" si="347">IF(AND(BL387&gt;0,BM387&gt;0),B387-BL387,"-")</f>
        <v>155</v>
      </c>
      <c r="BO387" s="823">
        <f t="shared" ref="BO387:BO450" si="348">IF(AND(BL387&gt;0,BM387&gt;0),(BL387-I387)/30,"-")</f>
        <v>42</v>
      </c>
      <c r="BP387" s="824">
        <v>43001</v>
      </c>
      <c r="BQ387" s="821">
        <v>2</v>
      </c>
      <c r="BR387" s="822">
        <f t="shared" ref="BR387:BR450" ca="1" si="349">IF(AND(BP387&gt;0,BQ387&gt;0),B387-BP387,"-")</f>
        <v>133</v>
      </c>
      <c r="BS387" s="823">
        <f t="shared" ref="BS387:BS450" si="350">IF(AND(BP387&gt;0,BQ387&gt;0),(BP387-M387)/30,"-")</f>
        <v>13.633333333333333</v>
      </c>
      <c r="BT387" s="825" t="str">
        <f t="shared" ref="BT387:BT450" ca="1" si="351">IF(AND(OR(E387="тёлочка",E387="бычок"),L387&gt;0,BV387&lt;2,L387&lt;60),"ПОДЛЕЖИТ ВАКЦИНАЦИИ","-")</f>
        <v>-</v>
      </c>
      <c r="BU387" s="826"/>
      <c r="BV387" s="827"/>
      <c r="BW387" s="828" t="str">
        <f t="shared" ref="BW387:BW450" si="352">IF(AND(BU387&gt;0,BV387=2),BU387-I387,"Ж-Е НЕ ВАКЦ.")</f>
        <v>Ж-Е НЕ ВАКЦ.</v>
      </c>
      <c r="BX387" s="829" t="str">
        <f t="shared" ref="BX387:BX450" si="353">IF(AND(BU387&gt;0,BV387=2),B387-BU387,"-")</f>
        <v>-</v>
      </c>
      <c r="BY387" s="830" t="str">
        <f t="shared" ref="BY387:BY450" ca="1" si="354">IF(AND(L387&gt;42,CA387&lt;5),"ПОДЛЕЖИТ ВАКЦИНАЦИИ","-")</f>
        <v>-</v>
      </c>
      <c r="BZ387" s="831">
        <v>42964</v>
      </c>
      <c r="CA387" s="832">
        <v>5</v>
      </c>
      <c r="CB387" s="833">
        <f t="shared" ref="CB387:CB450" ca="1" si="355">IF(AND(BZ387&gt;0,CA387=5),B387-BZ387,"-")</f>
        <v>170</v>
      </c>
      <c r="CC387" s="834" t="str">
        <f t="shared" ref="CC387:CC450" ca="1" si="356">IF(AND(CA387=5,CB387&gt;20,CF387&lt;5),"ТРЕБУЕТСЯ БУСТЕРНАЯ ДОЗА","-")</f>
        <v>-</v>
      </c>
      <c r="CD387" s="835">
        <f t="shared" ref="CD387:CD450" si="357">IF(AND(BZ387&gt;0,CA387=5),BZ387+21,"-")</f>
        <v>42985</v>
      </c>
      <c r="CE387" s="831">
        <v>42985</v>
      </c>
      <c r="CF387" s="832">
        <v>5</v>
      </c>
      <c r="CG387" s="833">
        <f t="shared" ref="CG387:CG450" ca="1" si="358">IF(AND(CE387&gt;0,CF387=5),B387-CE387,"-")</f>
        <v>149</v>
      </c>
      <c r="CH387" s="836">
        <f t="shared" ref="CH387:CH450" si="359">IF(AND(CD387&gt;0,CE387&gt;0,CF387=5),CD387-CE387,"-")</f>
        <v>0</v>
      </c>
      <c r="CI387" s="837" t="str">
        <f t="shared" ref="CI387:CI450" si="360">IF(AND(CF387=5,CH387=0),"УСПЕШНО","-")</f>
        <v>УСПЕШНО</v>
      </c>
      <c r="CJ387" s="838" t="str">
        <f t="shared" ref="CJ387:CJ450" ca="1" si="361">IF(AND(BZ387&gt;0,CA387=5,CE387&gt;0,CF387=5,CG387&gt;240,CL387&lt;5),"НЕОБХОДИМА РЕВАКЦИНАЦИЯ","-")</f>
        <v>-</v>
      </c>
      <c r="CK387" s="831"/>
      <c r="CL387" s="832"/>
      <c r="CM387" s="833" t="str">
        <f t="shared" ref="CM387:CM450" si="362">IF(AND(CK387&gt;0,CL387=5),N387-CK387,"-")</f>
        <v>-</v>
      </c>
      <c r="CN387" s="834" t="str">
        <f t="shared" ref="CN387:CN450" si="363">IF(AND(CK387&gt;0,CL387=5,CM387&gt;240),"НЕОБХОДИМА РЕВАКЦИНАЦИЯ","-")</f>
        <v>-</v>
      </c>
      <c r="CO387" s="830" t="str">
        <f t="shared" ref="CO387:CO450" ca="1" si="364">IF(AND(Y387=1,AN387&gt;-70,CQ387&lt;2),"ТРЕБУЕТСЯ ВАКЦИНАЦИЯ","-")</f>
        <v>-</v>
      </c>
      <c r="CP387" s="831">
        <v>42882</v>
      </c>
      <c r="CQ387" s="832">
        <v>2</v>
      </c>
      <c r="CR387" s="833">
        <f t="shared" ref="CR387:CR450" si="365">IF(AND(CP387&gt;0,CQ387=2),CP387-T387,"-")</f>
        <v>-153</v>
      </c>
      <c r="CS387" s="833">
        <f t="shared" ref="CS387:CS450" ca="1" si="366">IF(AND(CP387&gt;0,CQ387=2),B387-CP387,"-")</f>
        <v>252</v>
      </c>
      <c r="CT387" s="834" t="str">
        <f t="shared" ref="CT387:CT450" ca="1" si="367">IF(AND(CQ387=2,CS387&gt;20,CW387&lt;2),"ТРЕБУЕТСЯ БУСТЕРНАЯ ДОЗА","-")</f>
        <v>-</v>
      </c>
      <c r="CU387" s="835">
        <f t="shared" ref="CU387:CU450" si="368">IF(AND(CP387&gt;0,CQ387=2),CP387+21,"-")</f>
        <v>42903</v>
      </c>
      <c r="CV387" s="831">
        <v>42903</v>
      </c>
      <c r="CW387" s="832">
        <v>2</v>
      </c>
      <c r="CX387" s="833">
        <f t="shared" ref="CX387:CX450" si="369">IF(AND(CU387&gt;0,CV387&gt;0,CW387=2),CV387-CU387,"-")</f>
        <v>0</v>
      </c>
      <c r="CY387" s="840" t="str">
        <f t="shared" ref="CY387:CY450" si="370">IF(AND(CW387=2,CX387=0),"УСПЕШНО","-")</f>
        <v>УСПЕШНО</v>
      </c>
      <c r="CZ387" s="833">
        <f t="shared" ref="CZ387:CZ450" si="371">IF(AND(CV387&gt;0,CW387=2),CV387-T387,"-")</f>
        <v>-132</v>
      </c>
      <c r="DA387" s="838" t="str">
        <f t="shared" ref="DA387:DA450" ca="1" si="372">IF(AND(CP387&gt;0,CQ387=2,CV387&gt;0,CW387=2,Y387=1,AN387&gt;-50,DC387&lt;2),"ТРЕБУЕТСЯ РЕВАКЦИНАЦИЯ","-")</f>
        <v>-</v>
      </c>
      <c r="DB387" s="841"/>
      <c r="DC387" s="832"/>
    </row>
    <row r="388" spans="1:107" s="842" customFormat="1" ht="15.95" customHeight="1" x14ac:dyDescent="0.25">
      <c r="A388" s="790">
        <v>389</v>
      </c>
      <c r="B388" s="791">
        <f t="shared" ca="1" si="321"/>
        <v>43134</v>
      </c>
      <c r="C388" s="792" t="s">
        <v>615</v>
      </c>
      <c r="D388" s="844" t="s">
        <v>1633</v>
      </c>
      <c r="E388" s="794" t="s">
        <v>1296</v>
      </c>
      <c r="F388" s="854" t="s">
        <v>1172</v>
      </c>
      <c r="G388" s="796">
        <f>SUMIFS(МОЛОКО!L8:L6958,МОЛОКО!F8:F6958,"2196",МОЛОКО!L8:L6958,"&gt;0")</f>
        <v>27</v>
      </c>
      <c r="H388" s="797" t="s">
        <v>603</v>
      </c>
      <c r="I388" s="798">
        <v>41751</v>
      </c>
      <c r="J388" s="799">
        <f t="shared" ca="1" si="322"/>
        <v>3.7890410958904108</v>
      </c>
      <c r="K388" s="799">
        <f t="shared" ca="1" si="323"/>
        <v>46.1</v>
      </c>
      <c r="L388" s="800">
        <f t="shared" ca="1" si="324"/>
        <v>1383</v>
      </c>
      <c r="M388" s="801">
        <v>42517</v>
      </c>
      <c r="N388" s="802">
        <v>42994</v>
      </c>
      <c r="O388" s="803">
        <f t="shared" ca="1" si="325"/>
        <v>140</v>
      </c>
      <c r="P388" s="804">
        <v>2</v>
      </c>
      <c r="Q388" s="805"/>
      <c r="R388" s="806"/>
      <c r="S388" s="807"/>
      <c r="T388" s="798"/>
      <c r="U388" s="798" t="str">
        <f t="shared" si="326"/>
        <v>-</v>
      </c>
      <c r="V388" s="804" t="str">
        <f t="shared" ca="1" si="327"/>
        <v>-</v>
      </c>
      <c r="W388" s="808">
        <v>0</v>
      </c>
      <c r="X388" s="794" t="str">
        <f t="shared" si="320"/>
        <v>-</v>
      </c>
      <c r="Y388" s="794">
        <v>0</v>
      </c>
      <c r="Z388" s="809" t="str">
        <f t="shared" ca="1" si="328"/>
        <v>-----</v>
      </c>
      <c r="AA388" s="810">
        <f t="shared" ca="1" si="329"/>
        <v>43134</v>
      </c>
      <c r="AB388" s="804"/>
      <c r="AC388" s="811" t="str">
        <f t="shared" ca="1" si="330"/>
        <v>-----</v>
      </c>
      <c r="AD388" s="798"/>
      <c r="AE388" s="794" t="str">
        <f t="shared" ca="1" si="331"/>
        <v>яловая</v>
      </c>
      <c r="AF388" s="798" t="str">
        <f t="shared" si="332"/>
        <v>-</v>
      </c>
      <c r="AG388" s="812" t="str">
        <f t="shared" si="333"/>
        <v>---------</v>
      </c>
      <c r="AH388" s="807"/>
      <c r="AI388" s="807" t="str">
        <f t="shared" si="334"/>
        <v>-</v>
      </c>
      <c r="AJ388" s="807" t="str">
        <f t="shared" si="335"/>
        <v>-</v>
      </c>
      <c r="AK388" s="813"/>
      <c r="AL388" s="807" t="str">
        <f t="shared" si="336"/>
        <v>-</v>
      </c>
      <c r="AM388" s="807" t="str">
        <f t="shared" si="337"/>
        <v>-</v>
      </c>
      <c r="AN388" s="814" t="str">
        <f t="shared" ca="1" si="338"/>
        <v>-</v>
      </c>
      <c r="AO388" s="815">
        <v>1</v>
      </c>
      <c r="AP388" s="816" t="str">
        <f t="shared" ca="1" si="339"/>
        <v>-</v>
      </c>
      <c r="AQ388" s="817"/>
      <c r="AR388" s="794" t="str">
        <f t="shared" si="340"/>
        <v>-</v>
      </c>
      <c r="AS388" s="818"/>
      <c r="AT388" s="794" t="str">
        <f t="shared" si="341"/>
        <v>-</v>
      </c>
      <c r="AU388" s="819">
        <v>1</v>
      </c>
      <c r="AV388" s="820"/>
      <c r="AW388" s="821"/>
      <c r="AX388" s="821"/>
      <c r="AY388" s="969" t="str">
        <f t="shared" si="342"/>
        <v>-</v>
      </c>
      <c r="AZ388" s="966" t="str">
        <f t="shared" si="343"/>
        <v>-</v>
      </c>
      <c r="BA388" s="971" t="str">
        <f t="shared" si="344"/>
        <v>-</v>
      </c>
      <c r="BB388" s="975"/>
      <c r="BC388" s="821"/>
      <c r="BD388" s="821"/>
      <c r="BE388" s="963" t="str">
        <f t="shared" si="345"/>
        <v>-</v>
      </c>
      <c r="BF388" s="984"/>
      <c r="BG388" s="988"/>
      <c r="BH388" s="982"/>
      <c r="BI388" s="991"/>
      <c r="BJ388" s="991"/>
      <c r="BK388" s="993" t="str">
        <f t="shared" si="346"/>
        <v>-</v>
      </c>
      <c r="BL388" s="820">
        <v>42978</v>
      </c>
      <c r="BM388" s="821">
        <v>5</v>
      </c>
      <c r="BN388" s="822">
        <f t="shared" ca="1" si="347"/>
        <v>156</v>
      </c>
      <c r="BO388" s="823">
        <f t="shared" si="348"/>
        <v>40.9</v>
      </c>
      <c r="BP388" s="824">
        <v>43001</v>
      </c>
      <c r="BQ388" s="821">
        <v>2</v>
      </c>
      <c r="BR388" s="822">
        <f t="shared" ca="1" si="349"/>
        <v>133</v>
      </c>
      <c r="BS388" s="823">
        <f t="shared" si="350"/>
        <v>16.133333333333333</v>
      </c>
      <c r="BT388" s="825" t="str">
        <f t="shared" ca="1" si="351"/>
        <v>-</v>
      </c>
      <c r="BU388" s="826"/>
      <c r="BV388" s="827"/>
      <c r="BW388" s="828" t="str">
        <f t="shared" si="352"/>
        <v>Ж-Е НЕ ВАКЦ.</v>
      </c>
      <c r="BX388" s="829" t="str">
        <f t="shared" si="353"/>
        <v>-</v>
      </c>
      <c r="BY388" s="830" t="str">
        <f t="shared" ca="1" si="354"/>
        <v>-</v>
      </c>
      <c r="BZ388" s="831">
        <v>42887</v>
      </c>
      <c r="CA388" s="832">
        <v>5</v>
      </c>
      <c r="CB388" s="833">
        <f t="shared" ca="1" si="355"/>
        <v>247</v>
      </c>
      <c r="CC388" s="834" t="str">
        <f t="shared" ca="1" si="356"/>
        <v>-</v>
      </c>
      <c r="CD388" s="835">
        <f t="shared" si="357"/>
        <v>42908</v>
      </c>
      <c r="CE388" s="831">
        <v>42908</v>
      </c>
      <c r="CF388" s="832">
        <v>5</v>
      </c>
      <c r="CG388" s="833">
        <f t="shared" ca="1" si="358"/>
        <v>226</v>
      </c>
      <c r="CH388" s="836">
        <f t="shared" si="359"/>
        <v>0</v>
      </c>
      <c r="CI388" s="837" t="str">
        <f t="shared" si="360"/>
        <v>УСПЕШНО</v>
      </c>
      <c r="CJ388" s="838" t="str">
        <f t="shared" ca="1" si="361"/>
        <v>-</v>
      </c>
      <c r="CK388" s="831"/>
      <c r="CL388" s="832"/>
      <c r="CM388" s="833" t="str">
        <f t="shared" si="362"/>
        <v>-</v>
      </c>
      <c r="CN388" s="834" t="str">
        <f t="shared" si="363"/>
        <v>-</v>
      </c>
      <c r="CO388" s="830" t="str">
        <f t="shared" ca="1" si="364"/>
        <v>-</v>
      </c>
      <c r="CP388" s="831">
        <v>42941</v>
      </c>
      <c r="CQ388" s="832">
        <v>2</v>
      </c>
      <c r="CR388" s="833">
        <f t="shared" si="365"/>
        <v>42941</v>
      </c>
      <c r="CS388" s="833">
        <f t="shared" ca="1" si="366"/>
        <v>193</v>
      </c>
      <c r="CT388" s="834" t="str">
        <f t="shared" ca="1" si="367"/>
        <v>-</v>
      </c>
      <c r="CU388" s="835">
        <f t="shared" si="368"/>
        <v>42962</v>
      </c>
      <c r="CV388" s="831">
        <v>42962</v>
      </c>
      <c r="CW388" s="832">
        <v>2</v>
      </c>
      <c r="CX388" s="833">
        <f t="shared" si="369"/>
        <v>0</v>
      </c>
      <c r="CY388" s="840" t="str">
        <f t="shared" si="370"/>
        <v>УСПЕШНО</v>
      </c>
      <c r="CZ388" s="833">
        <f t="shared" si="371"/>
        <v>42962</v>
      </c>
      <c r="DA388" s="838" t="str">
        <f t="shared" ca="1" si="372"/>
        <v>-</v>
      </c>
      <c r="DB388" s="841"/>
      <c r="DC388" s="832"/>
    </row>
    <row r="389" spans="1:107" s="842" customFormat="1" ht="15.95" customHeight="1" x14ac:dyDescent="0.25">
      <c r="A389" s="790">
        <v>390</v>
      </c>
      <c r="B389" s="791">
        <f t="shared" ca="1" si="321"/>
        <v>43134</v>
      </c>
      <c r="C389" s="29" t="s">
        <v>615</v>
      </c>
      <c r="D389" s="59" t="s">
        <v>1633</v>
      </c>
      <c r="E389" s="794" t="s">
        <v>1059</v>
      </c>
      <c r="F389" s="854" t="s">
        <v>950</v>
      </c>
      <c r="G389" s="796">
        <f>SUMIFS(МОЛОКО!L8:L6958,МОЛОКО!F8:F6958,"2205",МОЛОКО!L8:L6958,"&gt;0")</f>
        <v>26.599999999999998</v>
      </c>
      <c r="H389" s="797" t="s">
        <v>603</v>
      </c>
      <c r="I389" s="798">
        <v>41756</v>
      </c>
      <c r="J389" s="799">
        <f t="shared" ca="1" si="322"/>
        <v>3.7753424657534245</v>
      </c>
      <c r="K389" s="799">
        <f t="shared" ca="1" si="323"/>
        <v>45.93333333333333</v>
      </c>
      <c r="L389" s="800">
        <f t="shared" ca="1" si="324"/>
        <v>1378</v>
      </c>
      <c r="M389" s="801">
        <v>42683</v>
      </c>
      <c r="N389" s="802">
        <v>43024</v>
      </c>
      <c r="O389" s="803">
        <f t="shared" ca="1" si="325"/>
        <v>110</v>
      </c>
      <c r="P389" s="804">
        <v>2</v>
      </c>
      <c r="Q389" s="805"/>
      <c r="R389" s="806"/>
      <c r="S389" s="807"/>
      <c r="T389" s="798"/>
      <c r="U389" s="798" t="str">
        <f t="shared" si="326"/>
        <v>-</v>
      </c>
      <c r="V389" s="804" t="str">
        <f t="shared" ca="1" si="327"/>
        <v>-</v>
      </c>
      <c r="W389" s="808">
        <v>0</v>
      </c>
      <c r="X389" s="794" t="str">
        <f t="shared" si="320"/>
        <v>-</v>
      </c>
      <c r="Y389" s="794">
        <v>0</v>
      </c>
      <c r="Z389" s="809" t="str">
        <f t="shared" ca="1" si="328"/>
        <v>-----</v>
      </c>
      <c r="AA389" s="810">
        <f t="shared" ca="1" si="329"/>
        <v>43134</v>
      </c>
      <c r="AB389" s="804"/>
      <c r="AC389" s="811" t="str">
        <f t="shared" ca="1" si="330"/>
        <v>-----</v>
      </c>
      <c r="AD389" s="798"/>
      <c r="AE389" s="794" t="str">
        <f t="shared" ca="1" si="331"/>
        <v>-</v>
      </c>
      <c r="AF389" s="798" t="str">
        <f t="shared" si="332"/>
        <v>-</v>
      </c>
      <c r="AG389" s="812" t="str">
        <f t="shared" si="333"/>
        <v>---------</v>
      </c>
      <c r="AH389" s="807"/>
      <c r="AI389" s="807" t="str">
        <f t="shared" si="334"/>
        <v>-</v>
      </c>
      <c r="AJ389" s="807" t="str">
        <f t="shared" si="335"/>
        <v>-</v>
      </c>
      <c r="AK389" s="813"/>
      <c r="AL389" s="807" t="str">
        <f t="shared" si="336"/>
        <v>-</v>
      </c>
      <c r="AM389" s="807" t="str">
        <f t="shared" si="337"/>
        <v>-</v>
      </c>
      <c r="AN389" s="814" t="str">
        <f t="shared" ca="1" si="338"/>
        <v>-</v>
      </c>
      <c r="AO389" s="815">
        <v>1</v>
      </c>
      <c r="AP389" s="816" t="str">
        <f t="shared" ca="1" si="339"/>
        <v>-</v>
      </c>
      <c r="AQ389" s="817"/>
      <c r="AR389" s="794" t="str">
        <f t="shared" si="340"/>
        <v>-</v>
      </c>
      <c r="AS389" s="818"/>
      <c r="AT389" s="794" t="str">
        <f t="shared" si="341"/>
        <v>-</v>
      </c>
      <c r="AU389" s="819">
        <v>1</v>
      </c>
      <c r="AV389" s="820"/>
      <c r="AW389" s="821"/>
      <c r="AX389" s="821"/>
      <c r="AY389" s="969" t="str">
        <f t="shared" si="342"/>
        <v>-</v>
      </c>
      <c r="AZ389" s="966" t="str">
        <f t="shared" si="343"/>
        <v>-</v>
      </c>
      <c r="BA389" s="971" t="str">
        <f t="shared" si="344"/>
        <v>-</v>
      </c>
      <c r="BB389" s="975"/>
      <c r="BC389" s="821"/>
      <c r="BD389" s="821"/>
      <c r="BE389" s="963" t="str">
        <f t="shared" si="345"/>
        <v>-</v>
      </c>
      <c r="BF389" s="984"/>
      <c r="BG389" s="988"/>
      <c r="BH389" s="982"/>
      <c r="BI389" s="991"/>
      <c r="BJ389" s="991"/>
      <c r="BK389" s="993" t="str">
        <f t="shared" si="346"/>
        <v>-</v>
      </c>
      <c r="BL389" s="820">
        <v>42978</v>
      </c>
      <c r="BM389" s="821">
        <v>5</v>
      </c>
      <c r="BN389" s="822">
        <f t="shared" ca="1" si="347"/>
        <v>156</v>
      </c>
      <c r="BO389" s="823">
        <f t="shared" si="348"/>
        <v>40.733333333333334</v>
      </c>
      <c r="BP389" s="824">
        <v>43001</v>
      </c>
      <c r="BQ389" s="821">
        <v>2</v>
      </c>
      <c r="BR389" s="822">
        <f t="shared" ca="1" si="349"/>
        <v>133</v>
      </c>
      <c r="BS389" s="823">
        <f t="shared" si="350"/>
        <v>10.6</v>
      </c>
      <c r="BT389" s="825" t="str">
        <f t="shared" ca="1" si="351"/>
        <v>-</v>
      </c>
      <c r="BU389" s="826"/>
      <c r="BV389" s="827"/>
      <c r="BW389" s="828" t="str">
        <f t="shared" si="352"/>
        <v>Ж-Е НЕ ВАКЦ.</v>
      </c>
      <c r="BX389" s="829" t="str">
        <f t="shared" si="353"/>
        <v>-</v>
      </c>
      <c r="BY389" s="830" t="str">
        <f t="shared" ca="1" si="354"/>
        <v>-</v>
      </c>
      <c r="BZ389" s="831">
        <v>42887</v>
      </c>
      <c r="CA389" s="832">
        <v>5</v>
      </c>
      <c r="CB389" s="833">
        <f t="shared" ca="1" si="355"/>
        <v>247</v>
      </c>
      <c r="CC389" s="834" t="str">
        <f t="shared" ca="1" si="356"/>
        <v>-</v>
      </c>
      <c r="CD389" s="835">
        <f t="shared" si="357"/>
        <v>42908</v>
      </c>
      <c r="CE389" s="831">
        <v>42908</v>
      </c>
      <c r="CF389" s="832">
        <v>5</v>
      </c>
      <c r="CG389" s="833">
        <f t="shared" ca="1" si="358"/>
        <v>226</v>
      </c>
      <c r="CH389" s="836">
        <f t="shared" si="359"/>
        <v>0</v>
      </c>
      <c r="CI389" s="837" t="str">
        <f t="shared" si="360"/>
        <v>УСПЕШНО</v>
      </c>
      <c r="CJ389" s="838" t="str">
        <f t="shared" ca="1" si="361"/>
        <v>-</v>
      </c>
      <c r="CK389" s="831"/>
      <c r="CL389" s="832"/>
      <c r="CM389" s="833" t="str">
        <f t="shared" si="362"/>
        <v>-</v>
      </c>
      <c r="CN389" s="834" t="str">
        <f t="shared" si="363"/>
        <v>-</v>
      </c>
      <c r="CO389" s="830" t="str">
        <f t="shared" ca="1" si="364"/>
        <v>-</v>
      </c>
      <c r="CP389" s="831">
        <v>42962</v>
      </c>
      <c r="CQ389" s="832">
        <v>2</v>
      </c>
      <c r="CR389" s="833">
        <f t="shared" si="365"/>
        <v>42962</v>
      </c>
      <c r="CS389" s="833">
        <f t="shared" ca="1" si="366"/>
        <v>172</v>
      </c>
      <c r="CT389" s="834" t="str">
        <f t="shared" ca="1" si="367"/>
        <v>-</v>
      </c>
      <c r="CU389" s="835">
        <f t="shared" si="368"/>
        <v>42983</v>
      </c>
      <c r="CV389" s="831">
        <v>42983</v>
      </c>
      <c r="CW389" s="832">
        <v>2</v>
      </c>
      <c r="CX389" s="833">
        <f t="shared" si="369"/>
        <v>0</v>
      </c>
      <c r="CY389" s="840" t="str">
        <f t="shared" si="370"/>
        <v>УСПЕШНО</v>
      </c>
      <c r="CZ389" s="833">
        <f t="shared" si="371"/>
        <v>42983</v>
      </c>
      <c r="DA389" s="838" t="str">
        <f t="shared" ca="1" si="372"/>
        <v>-</v>
      </c>
      <c r="DB389" s="841"/>
      <c r="DC389" s="832"/>
    </row>
    <row r="390" spans="1:107" s="842" customFormat="1" ht="15.95" customHeight="1" x14ac:dyDescent="0.25">
      <c r="A390" s="790">
        <v>391</v>
      </c>
      <c r="B390" s="791">
        <f t="shared" ca="1" si="321"/>
        <v>43134</v>
      </c>
      <c r="C390" s="792" t="s">
        <v>615</v>
      </c>
      <c r="D390" s="793" t="s">
        <v>1633</v>
      </c>
      <c r="E390" s="794" t="s">
        <v>1101</v>
      </c>
      <c r="F390" s="854" t="s">
        <v>1179</v>
      </c>
      <c r="G390" s="796">
        <f>SUMIFS(МОЛОКО!L8:L6958,МОЛОКО!F8:F6958,"2210",МОЛОКО!L8:L6958,"&gt;0")</f>
        <v>21</v>
      </c>
      <c r="H390" s="797" t="s">
        <v>603</v>
      </c>
      <c r="I390" s="798">
        <v>41759</v>
      </c>
      <c r="J390" s="799">
        <f t="shared" ca="1" si="322"/>
        <v>3.7671232876712328</v>
      </c>
      <c r="K390" s="799">
        <f t="shared" ca="1" si="323"/>
        <v>45.833333333333336</v>
      </c>
      <c r="L390" s="800">
        <f t="shared" ca="1" si="324"/>
        <v>1375</v>
      </c>
      <c r="M390" s="801">
        <v>42562</v>
      </c>
      <c r="N390" s="802">
        <v>42959</v>
      </c>
      <c r="O390" s="803">
        <f t="shared" ca="1" si="325"/>
        <v>175</v>
      </c>
      <c r="P390" s="804">
        <v>2</v>
      </c>
      <c r="Q390" s="68" t="s">
        <v>2366</v>
      </c>
      <c r="R390" s="118" t="s">
        <v>2966</v>
      </c>
      <c r="S390" s="807">
        <v>43020</v>
      </c>
      <c r="T390" s="798">
        <v>43045</v>
      </c>
      <c r="U390" s="798">
        <f t="shared" si="326"/>
        <v>43063</v>
      </c>
      <c r="V390" s="804">
        <f t="shared" ca="1" si="327"/>
        <v>71</v>
      </c>
      <c r="W390" s="808">
        <v>2</v>
      </c>
      <c r="X390" s="794">
        <f t="shared" si="320"/>
        <v>86</v>
      </c>
      <c r="Y390" s="794">
        <v>3</v>
      </c>
      <c r="Z390" s="809" t="str">
        <f t="shared" ca="1" si="328"/>
        <v>-----</v>
      </c>
      <c r="AA390" s="810">
        <f t="shared" ca="1" si="329"/>
        <v>89</v>
      </c>
      <c r="AB390" s="804"/>
      <c r="AC390" s="811" t="str">
        <f t="shared" ca="1" si="330"/>
        <v>-----</v>
      </c>
      <c r="AD390" s="798"/>
      <c r="AE390" s="794" t="str">
        <f t="shared" ca="1" si="331"/>
        <v>-</v>
      </c>
      <c r="AF390" s="798">
        <f t="shared" si="332"/>
        <v>43080</v>
      </c>
      <c r="AG390" s="812">
        <f t="shared" ca="1" si="333"/>
        <v>54</v>
      </c>
      <c r="AH390" s="807"/>
      <c r="AI390" s="807" t="str">
        <f t="shared" si="334"/>
        <v>-</v>
      </c>
      <c r="AJ390" s="807" t="str">
        <f t="shared" si="335"/>
        <v>-</v>
      </c>
      <c r="AK390" s="813"/>
      <c r="AL390" s="807" t="str">
        <f t="shared" si="336"/>
        <v>-</v>
      </c>
      <c r="AM390" s="807" t="str">
        <f t="shared" si="337"/>
        <v>-</v>
      </c>
      <c r="AN390" s="814" t="str">
        <f t="shared" ca="1" si="338"/>
        <v>-</v>
      </c>
      <c r="AO390" s="815">
        <v>1</v>
      </c>
      <c r="AP390" s="816" t="str">
        <f t="shared" ca="1" si="339"/>
        <v>-</v>
      </c>
      <c r="AQ390" s="817"/>
      <c r="AR390" s="794" t="str">
        <f t="shared" si="340"/>
        <v>-</v>
      </c>
      <c r="AS390" s="818"/>
      <c r="AT390" s="794" t="str">
        <f t="shared" si="341"/>
        <v>-</v>
      </c>
      <c r="AU390" s="819">
        <v>1</v>
      </c>
      <c r="AV390" s="820"/>
      <c r="AW390" s="821"/>
      <c r="AX390" s="821"/>
      <c r="AY390" s="969" t="str">
        <f t="shared" si="342"/>
        <v>-</v>
      </c>
      <c r="AZ390" s="966" t="str">
        <f t="shared" si="343"/>
        <v>-</v>
      </c>
      <c r="BA390" s="971" t="str">
        <f t="shared" si="344"/>
        <v>-</v>
      </c>
      <c r="BB390" s="975"/>
      <c r="BC390" s="821"/>
      <c r="BD390" s="821"/>
      <c r="BE390" s="963" t="str">
        <f t="shared" si="345"/>
        <v>-</v>
      </c>
      <c r="BF390" s="984"/>
      <c r="BG390" s="988"/>
      <c r="BH390" s="982"/>
      <c r="BI390" s="991"/>
      <c r="BJ390" s="991"/>
      <c r="BK390" s="993" t="str">
        <f t="shared" si="346"/>
        <v>-</v>
      </c>
      <c r="BL390" s="820">
        <v>42979</v>
      </c>
      <c r="BM390" s="821">
        <v>5</v>
      </c>
      <c r="BN390" s="822">
        <f t="shared" ca="1" si="347"/>
        <v>155</v>
      </c>
      <c r="BO390" s="823">
        <f t="shared" si="348"/>
        <v>40.666666666666664</v>
      </c>
      <c r="BP390" s="824">
        <v>43001</v>
      </c>
      <c r="BQ390" s="821">
        <v>2</v>
      </c>
      <c r="BR390" s="822">
        <f t="shared" ca="1" si="349"/>
        <v>133</v>
      </c>
      <c r="BS390" s="823">
        <f t="shared" si="350"/>
        <v>14.633333333333333</v>
      </c>
      <c r="BT390" s="825" t="str">
        <f t="shared" ca="1" si="351"/>
        <v>-</v>
      </c>
      <c r="BU390" s="826"/>
      <c r="BV390" s="827"/>
      <c r="BW390" s="828" t="str">
        <f t="shared" si="352"/>
        <v>Ж-Е НЕ ВАКЦ.</v>
      </c>
      <c r="BX390" s="829" t="str">
        <f t="shared" si="353"/>
        <v>-</v>
      </c>
      <c r="BY390" s="830" t="str">
        <f t="shared" ca="1" si="354"/>
        <v>-</v>
      </c>
      <c r="BZ390" s="831">
        <v>43011</v>
      </c>
      <c r="CA390" s="832">
        <v>5</v>
      </c>
      <c r="CB390" s="833">
        <f t="shared" ca="1" si="355"/>
        <v>123</v>
      </c>
      <c r="CC390" s="834" t="str">
        <f t="shared" ca="1" si="356"/>
        <v>-</v>
      </c>
      <c r="CD390" s="835">
        <f t="shared" si="357"/>
        <v>43032</v>
      </c>
      <c r="CE390" s="831">
        <v>43033</v>
      </c>
      <c r="CF390" s="832">
        <v>5</v>
      </c>
      <c r="CG390" s="833">
        <f t="shared" ca="1" si="358"/>
        <v>101</v>
      </c>
      <c r="CH390" s="836">
        <f t="shared" si="359"/>
        <v>-1</v>
      </c>
      <c r="CI390" s="837" t="str">
        <f t="shared" si="360"/>
        <v>-</v>
      </c>
      <c r="CJ390" s="838" t="str">
        <f t="shared" ca="1" si="361"/>
        <v>-</v>
      </c>
      <c r="CK390" s="831"/>
      <c r="CL390" s="832"/>
      <c r="CM390" s="833" t="str">
        <f t="shared" si="362"/>
        <v>-</v>
      </c>
      <c r="CN390" s="834" t="str">
        <f t="shared" si="363"/>
        <v>-</v>
      </c>
      <c r="CO390" s="830" t="str">
        <f t="shared" ca="1" si="364"/>
        <v>-</v>
      </c>
      <c r="CP390" s="831">
        <v>42890</v>
      </c>
      <c r="CQ390" s="832">
        <v>2</v>
      </c>
      <c r="CR390" s="833">
        <f t="shared" si="365"/>
        <v>-155</v>
      </c>
      <c r="CS390" s="833">
        <f t="shared" ca="1" si="366"/>
        <v>244</v>
      </c>
      <c r="CT390" s="834" t="str">
        <f t="shared" ca="1" si="367"/>
        <v>-</v>
      </c>
      <c r="CU390" s="835">
        <f t="shared" si="368"/>
        <v>42911</v>
      </c>
      <c r="CV390" s="831">
        <v>42911</v>
      </c>
      <c r="CW390" s="832">
        <v>2</v>
      </c>
      <c r="CX390" s="833">
        <f t="shared" si="369"/>
        <v>0</v>
      </c>
      <c r="CY390" s="840" t="str">
        <f t="shared" si="370"/>
        <v>УСПЕШНО</v>
      </c>
      <c r="CZ390" s="833">
        <f t="shared" si="371"/>
        <v>-134</v>
      </c>
      <c r="DA390" s="838" t="str">
        <f t="shared" ca="1" si="372"/>
        <v>-</v>
      </c>
      <c r="DB390" s="841"/>
      <c r="DC390" s="832"/>
    </row>
    <row r="391" spans="1:107" s="842" customFormat="1" ht="15.95" customHeight="1" x14ac:dyDescent="0.25">
      <c r="A391" s="790">
        <v>392</v>
      </c>
      <c r="B391" s="791">
        <f t="shared" ca="1" si="321"/>
        <v>43134</v>
      </c>
      <c r="C391" s="792" t="s">
        <v>615</v>
      </c>
      <c r="D391" s="793" t="s">
        <v>1633</v>
      </c>
      <c r="E391" s="794" t="s">
        <v>1308</v>
      </c>
      <c r="F391" s="854" t="s">
        <v>1189</v>
      </c>
      <c r="G391" s="796">
        <f>SUMIFS(МОЛОКО!L8:L6958,МОЛОКО!F8:F6958,"2238",МОЛОКО!L8:L6958,"&gt;0")</f>
        <v>26</v>
      </c>
      <c r="H391" s="797" t="s">
        <v>603</v>
      </c>
      <c r="I391" s="798">
        <v>41787</v>
      </c>
      <c r="J391" s="799">
        <f t="shared" ca="1" si="322"/>
        <v>3.6904109589041094</v>
      </c>
      <c r="K391" s="799">
        <f t="shared" ca="1" si="323"/>
        <v>44.9</v>
      </c>
      <c r="L391" s="800">
        <f t="shared" ca="1" si="324"/>
        <v>1347</v>
      </c>
      <c r="M391" s="801">
        <v>42560</v>
      </c>
      <c r="N391" s="802">
        <v>42990</v>
      </c>
      <c r="O391" s="803">
        <f t="shared" ca="1" si="325"/>
        <v>144</v>
      </c>
      <c r="P391" s="804">
        <v>2</v>
      </c>
      <c r="Q391" s="68" t="s">
        <v>2366</v>
      </c>
      <c r="R391" s="118" t="s">
        <v>2962</v>
      </c>
      <c r="S391" s="807">
        <v>43055</v>
      </c>
      <c r="T391" s="20">
        <v>43055</v>
      </c>
      <c r="U391" s="798">
        <f t="shared" si="326"/>
        <v>43073</v>
      </c>
      <c r="V391" s="804">
        <f t="shared" ca="1" si="327"/>
        <v>61</v>
      </c>
      <c r="W391" s="808">
        <v>1</v>
      </c>
      <c r="X391" s="794">
        <f t="shared" si="320"/>
        <v>65</v>
      </c>
      <c r="Y391" s="794">
        <v>3</v>
      </c>
      <c r="Z391" s="809" t="str">
        <f t="shared" ca="1" si="328"/>
        <v>-----</v>
      </c>
      <c r="AA391" s="810">
        <f t="shared" ca="1" si="329"/>
        <v>79</v>
      </c>
      <c r="AB391" s="804"/>
      <c r="AC391" s="811" t="str">
        <f t="shared" ca="1" si="330"/>
        <v>-----</v>
      </c>
      <c r="AD391" s="798"/>
      <c r="AE391" s="794" t="str">
        <f t="shared" ca="1" si="331"/>
        <v>-</v>
      </c>
      <c r="AF391" s="798">
        <f t="shared" si="332"/>
        <v>43090</v>
      </c>
      <c r="AG391" s="812">
        <f t="shared" ca="1" si="333"/>
        <v>44</v>
      </c>
      <c r="AH391" s="807"/>
      <c r="AI391" s="807" t="str">
        <f t="shared" si="334"/>
        <v>-</v>
      </c>
      <c r="AJ391" s="807" t="str">
        <f t="shared" si="335"/>
        <v>-</v>
      </c>
      <c r="AK391" s="813"/>
      <c r="AL391" s="807" t="str">
        <f t="shared" si="336"/>
        <v>-</v>
      </c>
      <c r="AM391" s="807" t="str">
        <f t="shared" si="337"/>
        <v>-</v>
      </c>
      <c r="AN391" s="814" t="str">
        <f t="shared" ca="1" si="338"/>
        <v>-</v>
      </c>
      <c r="AO391" s="815">
        <v>1</v>
      </c>
      <c r="AP391" s="816" t="str">
        <f t="shared" ca="1" si="339"/>
        <v>-</v>
      </c>
      <c r="AQ391" s="817"/>
      <c r="AR391" s="794" t="str">
        <f t="shared" si="340"/>
        <v>-</v>
      </c>
      <c r="AS391" s="818"/>
      <c r="AT391" s="794" t="str">
        <f t="shared" si="341"/>
        <v>-</v>
      </c>
      <c r="AU391" s="819">
        <v>1</v>
      </c>
      <c r="AV391" s="820"/>
      <c r="AW391" s="821"/>
      <c r="AX391" s="821"/>
      <c r="AY391" s="969" t="str">
        <f t="shared" si="342"/>
        <v>-</v>
      </c>
      <c r="AZ391" s="966" t="str">
        <f t="shared" si="343"/>
        <v>-</v>
      </c>
      <c r="BA391" s="971" t="str">
        <f t="shared" si="344"/>
        <v>-</v>
      </c>
      <c r="BB391" s="975"/>
      <c r="BC391" s="821"/>
      <c r="BD391" s="821"/>
      <c r="BE391" s="963" t="str">
        <f t="shared" si="345"/>
        <v>-</v>
      </c>
      <c r="BF391" s="984"/>
      <c r="BG391" s="988"/>
      <c r="BH391" s="982"/>
      <c r="BI391" s="991"/>
      <c r="BJ391" s="991"/>
      <c r="BK391" s="993" t="str">
        <f t="shared" si="346"/>
        <v>-</v>
      </c>
      <c r="BL391" s="820">
        <v>42982</v>
      </c>
      <c r="BM391" s="821">
        <v>5</v>
      </c>
      <c r="BN391" s="822">
        <f t="shared" ca="1" si="347"/>
        <v>152</v>
      </c>
      <c r="BO391" s="823">
        <f t="shared" si="348"/>
        <v>39.833333333333336</v>
      </c>
      <c r="BP391" s="824">
        <v>43001</v>
      </c>
      <c r="BQ391" s="821">
        <v>2</v>
      </c>
      <c r="BR391" s="822">
        <f t="shared" ca="1" si="349"/>
        <v>133</v>
      </c>
      <c r="BS391" s="823">
        <f t="shared" si="350"/>
        <v>14.7</v>
      </c>
      <c r="BT391" s="825" t="str">
        <f t="shared" ca="1" si="351"/>
        <v>-</v>
      </c>
      <c r="BU391" s="826"/>
      <c r="BV391" s="827"/>
      <c r="BW391" s="828" t="str">
        <f t="shared" si="352"/>
        <v>Ж-Е НЕ ВАКЦ.</v>
      </c>
      <c r="BX391" s="829" t="str">
        <f t="shared" si="353"/>
        <v>-</v>
      </c>
      <c r="BY391" s="830" t="str">
        <f t="shared" ca="1" si="354"/>
        <v>-</v>
      </c>
      <c r="BZ391" s="831">
        <v>42887</v>
      </c>
      <c r="CA391" s="832">
        <v>5</v>
      </c>
      <c r="CB391" s="833">
        <f t="shared" ca="1" si="355"/>
        <v>247</v>
      </c>
      <c r="CC391" s="834" t="str">
        <f t="shared" ca="1" si="356"/>
        <v>-</v>
      </c>
      <c r="CD391" s="835">
        <f t="shared" si="357"/>
        <v>42908</v>
      </c>
      <c r="CE391" s="831">
        <v>42908</v>
      </c>
      <c r="CF391" s="832">
        <v>5</v>
      </c>
      <c r="CG391" s="833">
        <f t="shared" ca="1" si="358"/>
        <v>226</v>
      </c>
      <c r="CH391" s="836">
        <f t="shared" si="359"/>
        <v>0</v>
      </c>
      <c r="CI391" s="837" t="str">
        <f t="shared" si="360"/>
        <v>УСПЕШНО</v>
      </c>
      <c r="CJ391" s="838" t="str">
        <f t="shared" ca="1" si="361"/>
        <v>-</v>
      </c>
      <c r="CK391" s="831"/>
      <c r="CL391" s="832"/>
      <c r="CM391" s="833" t="str">
        <f t="shared" si="362"/>
        <v>-</v>
      </c>
      <c r="CN391" s="834" t="str">
        <f t="shared" si="363"/>
        <v>-</v>
      </c>
      <c r="CO391" s="830" t="str">
        <f t="shared" ca="1" si="364"/>
        <v>-</v>
      </c>
      <c r="CP391" s="831">
        <v>42941</v>
      </c>
      <c r="CQ391" s="832">
        <v>2</v>
      </c>
      <c r="CR391" s="833">
        <f t="shared" si="365"/>
        <v>-114</v>
      </c>
      <c r="CS391" s="833">
        <f t="shared" ca="1" si="366"/>
        <v>193</v>
      </c>
      <c r="CT391" s="834" t="str">
        <f t="shared" ca="1" si="367"/>
        <v>-</v>
      </c>
      <c r="CU391" s="835">
        <f t="shared" si="368"/>
        <v>42962</v>
      </c>
      <c r="CV391" s="831">
        <v>42962</v>
      </c>
      <c r="CW391" s="832">
        <v>2</v>
      </c>
      <c r="CX391" s="833">
        <f t="shared" si="369"/>
        <v>0</v>
      </c>
      <c r="CY391" s="840" t="str">
        <f t="shared" si="370"/>
        <v>УСПЕШНО</v>
      </c>
      <c r="CZ391" s="833">
        <f t="shared" si="371"/>
        <v>-93</v>
      </c>
      <c r="DA391" s="838" t="str">
        <f t="shared" ca="1" si="372"/>
        <v>-</v>
      </c>
      <c r="DB391" s="841"/>
      <c r="DC391" s="832"/>
    </row>
    <row r="392" spans="1:107" s="842" customFormat="1" ht="15.95" customHeight="1" x14ac:dyDescent="0.25">
      <c r="A392" s="790">
        <v>393</v>
      </c>
      <c r="B392" s="791">
        <f t="shared" ca="1" si="321"/>
        <v>43134</v>
      </c>
      <c r="C392" s="792" t="s">
        <v>615</v>
      </c>
      <c r="D392" s="793" t="s">
        <v>1633</v>
      </c>
      <c r="E392" s="794" t="s">
        <v>1315</v>
      </c>
      <c r="F392" s="854" t="s">
        <v>1197</v>
      </c>
      <c r="G392" s="796">
        <f>SUMIFS(МОЛОКО!L8:L6958,МОЛОКО!F8:F6958,"2258",МОЛОКО!L8:L6958,"&gt;0")</f>
        <v>29.4</v>
      </c>
      <c r="H392" s="797" t="s">
        <v>603</v>
      </c>
      <c r="I392" s="798">
        <v>41799</v>
      </c>
      <c r="J392" s="799">
        <f t="shared" ca="1" si="322"/>
        <v>3.6575342465753424</v>
      </c>
      <c r="K392" s="799">
        <f t="shared" ca="1" si="323"/>
        <v>44.5</v>
      </c>
      <c r="L392" s="800">
        <f t="shared" ca="1" si="324"/>
        <v>1335</v>
      </c>
      <c r="M392" s="801">
        <v>42557</v>
      </c>
      <c r="N392" s="802">
        <v>42975</v>
      </c>
      <c r="O392" s="803">
        <f t="shared" ca="1" si="325"/>
        <v>159</v>
      </c>
      <c r="P392" s="804">
        <v>2</v>
      </c>
      <c r="Q392" s="68" t="s">
        <v>2366</v>
      </c>
      <c r="R392" s="118" t="s">
        <v>2962</v>
      </c>
      <c r="S392" s="807">
        <v>43034</v>
      </c>
      <c r="T392" s="798">
        <v>43034</v>
      </c>
      <c r="U392" s="798">
        <f t="shared" si="326"/>
        <v>43052</v>
      </c>
      <c r="V392" s="804">
        <f t="shared" ca="1" si="327"/>
        <v>82</v>
      </c>
      <c r="W392" s="808">
        <v>1</v>
      </c>
      <c r="X392" s="794">
        <f t="shared" si="320"/>
        <v>59</v>
      </c>
      <c r="Y392" s="794">
        <v>3</v>
      </c>
      <c r="Z392" s="809" t="str">
        <f t="shared" ca="1" si="328"/>
        <v>-----</v>
      </c>
      <c r="AA392" s="810">
        <f t="shared" ca="1" si="329"/>
        <v>100</v>
      </c>
      <c r="AB392" s="804"/>
      <c r="AC392" s="811" t="str">
        <f t="shared" ca="1" si="330"/>
        <v>-----</v>
      </c>
      <c r="AD392" s="798"/>
      <c r="AE392" s="794" t="str">
        <f t="shared" ca="1" si="331"/>
        <v>-</v>
      </c>
      <c r="AF392" s="798">
        <f t="shared" si="332"/>
        <v>43069</v>
      </c>
      <c r="AG392" s="812">
        <f t="shared" ca="1" si="333"/>
        <v>65</v>
      </c>
      <c r="AH392" s="807"/>
      <c r="AI392" s="807" t="str">
        <f t="shared" si="334"/>
        <v>-</v>
      </c>
      <c r="AJ392" s="807" t="str">
        <f t="shared" si="335"/>
        <v>-</v>
      </c>
      <c r="AK392" s="813"/>
      <c r="AL392" s="807" t="str">
        <f t="shared" si="336"/>
        <v>-</v>
      </c>
      <c r="AM392" s="807" t="str">
        <f t="shared" si="337"/>
        <v>-</v>
      </c>
      <c r="AN392" s="814" t="str">
        <f t="shared" ca="1" si="338"/>
        <v>-</v>
      </c>
      <c r="AO392" s="815">
        <v>1</v>
      </c>
      <c r="AP392" s="816" t="str">
        <f t="shared" ca="1" si="339"/>
        <v>-</v>
      </c>
      <c r="AQ392" s="441" t="s">
        <v>3491</v>
      </c>
      <c r="AR392" s="794" t="str">
        <f t="shared" si="340"/>
        <v>-</v>
      </c>
      <c r="AS392" s="818"/>
      <c r="AT392" s="794" t="str">
        <f t="shared" si="341"/>
        <v>-</v>
      </c>
      <c r="AU392" s="819">
        <v>1</v>
      </c>
      <c r="AV392" s="820"/>
      <c r="AW392" s="821"/>
      <c r="AX392" s="821"/>
      <c r="AY392" s="969" t="str">
        <f t="shared" si="342"/>
        <v>-</v>
      </c>
      <c r="AZ392" s="966" t="str">
        <f t="shared" si="343"/>
        <v>-</v>
      </c>
      <c r="BA392" s="971" t="str">
        <f t="shared" si="344"/>
        <v>-</v>
      </c>
      <c r="BB392" s="975"/>
      <c r="BC392" s="821"/>
      <c r="BD392" s="821"/>
      <c r="BE392" s="963" t="str">
        <f t="shared" si="345"/>
        <v>-</v>
      </c>
      <c r="BF392" s="984"/>
      <c r="BG392" s="988"/>
      <c r="BH392" s="982"/>
      <c r="BI392" s="991"/>
      <c r="BJ392" s="991"/>
      <c r="BK392" s="993" t="str">
        <f t="shared" si="346"/>
        <v>-</v>
      </c>
      <c r="BL392" s="820">
        <v>42982</v>
      </c>
      <c r="BM392" s="821">
        <v>5</v>
      </c>
      <c r="BN392" s="822">
        <f t="shared" ca="1" si="347"/>
        <v>152</v>
      </c>
      <c r="BO392" s="823">
        <f t="shared" si="348"/>
        <v>39.43333333333333</v>
      </c>
      <c r="BP392" s="824">
        <v>43001</v>
      </c>
      <c r="BQ392" s="821">
        <v>2</v>
      </c>
      <c r="BR392" s="822">
        <f t="shared" ca="1" si="349"/>
        <v>133</v>
      </c>
      <c r="BS392" s="823">
        <f t="shared" si="350"/>
        <v>14.8</v>
      </c>
      <c r="BT392" s="825" t="str">
        <f t="shared" ca="1" si="351"/>
        <v>-</v>
      </c>
      <c r="BU392" s="826"/>
      <c r="BV392" s="827"/>
      <c r="BW392" s="828" t="str">
        <f t="shared" si="352"/>
        <v>Ж-Е НЕ ВАКЦ.</v>
      </c>
      <c r="BX392" s="829" t="str">
        <f t="shared" si="353"/>
        <v>-</v>
      </c>
      <c r="BY392" s="830" t="str">
        <f t="shared" ca="1" si="354"/>
        <v>-</v>
      </c>
      <c r="BZ392" s="831">
        <v>42887</v>
      </c>
      <c r="CA392" s="832">
        <v>5</v>
      </c>
      <c r="CB392" s="833">
        <f t="shared" ca="1" si="355"/>
        <v>247</v>
      </c>
      <c r="CC392" s="834" t="str">
        <f t="shared" ca="1" si="356"/>
        <v>-</v>
      </c>
      <c r="CD392" s="835">
        <f t="shared" si="357"/>
        <v>42908</v>
      </c>
      <c r="CE392" s="831">
        <v>42908</v>
      </c>
      <c r="CF392" s="832">
        <v>5</v>
      </c>
      <c r="CG392" s="833">
        <f t="shared" ca="1" si="358"/>
        <v>226</v>
      </c>
      <c r="CH392" s="836">
        <f t="shared" si="359"/>
        <v>0</v>
      </c>
      <c r="CI392" s="837" t="str">
        <f t="shared" si="360"/>
        <v>УСПЕШНО</v>
      </c>
      <c r="CJ392" s="838" t="str">
        <f t="shared" ca="1" si="361"/>
        <v>-</v>
      </c>
      <c r="CK392" s="831"/>
      <c r="CL392" s="832"/>
      <c r="CM392" s="833" t="str">
        <f t="shared" si="362"/>
        <v>-</v>
      </c>
      <c r="CN392" s="834" t="str">
        <f t="shared" si="363"/>
        <v>-</v>
      </c>
      <c r="CO392" s="830" t="str">
        <f t="shared" ca="1" si="364"/>
        <v>-</v>
      </c>
      <c r="CP392" s="831">
        <v>42925</v>
      </c>
      <c r="CQ392" s="832">
        <v>2</v>
      </c>
      <c r="CR392" s="833">
        <f t="shared" si="365"/>
        <v>-109</v>
      </c>
      <c r="CS392" s="833">
        <f t="shared" ca="1" si="366"/>
        <v>209</v>
      </c>
      <c r="CT392" s="834" t="str">
        <f t="shared" ca="1" si="367"/>
        <v>-</v>
      </c>
      <c r="CU392" s="835">
        <f t="shared" si="368"/>
        <v>42946</v>
      </c>
      <c r="CV392" s="831">
        <v>42946</v>
      </c>
      <c r="CW392" s="832">
        <v>2</v>
      </c>
      <c r="CX392" s="833">
        <f t="shared" si="369"/>
        <v>0</v>
      </c>
      <c r="CY392" s="840" t="str">
        <f t="shared" si="370"/>
        <v>УСПЕШНО</v>
      </c>
      <c r="CZ392" s="833">
        <f t="shared" si="371"/>
        <v>-88</v>
      </c>
      <c r="DA392" s="838" t="str">
        <f t="shared" ca="1" si="372"/>
        <v>-</v>
      </c>
      <c r="DB392" s="841"/>
      <c r="DC392" s="832"/>
    </row>
    <row r="393" spans="1:107" s="842" customFormat="1" ht="15.95" customHeight="1" x14ac:dyDescent="0.25">
      <c r="A393" s="790">
        <v>394</v>
      </c>
      <c r="B393" s="791">
        <f t="shared" ca="1" si="321"/>
        <v>43134</v>
      </c>
      <c r="C393" s="792" t="s">
        <v>615</v>
      </c>
      <c r="D393" s="793" t="s">
        <v>1633</v>
      </c>
      <c r="E393" s="794" t="s">
        <v>1338</v>
      </c>
      <c r="F393" s="854" t="s">
        <v>1222</v>
      </c>
      <c r="G393" s="796">
        <f>SUMIFS(МОЛОКО!L8:L6958,МОЛОКО!F8:F6958,"2348",МОЛОКО!L8:L6958,"&gt;0")</f>
        <v>33</v>
      </c>
      <c r="H393" s="797" t="s">
        <v>603</v>
      </c>
      <c r="I393" s="798">
        <v>41890</v>
      </c>
      <c r="J393" s="799">
        <f t="shared" ca="1" si="322"/>
        <v>3.408219178082192</v>
      </c>
      <c r="K393" s="799">
        <f t="shared" ca="1" si="323"/>
        <v>41.466666666666669</v>
      </c>
      <c r="L393" s="800">
        <f t="shared" ca="1" si="324"/>
        <v>1244</v>
      </c>
      <c r="M393" s="801">
        <v>42571</v>
      </c>
      <c r="N393" s="802">
        <v>42960</v>
      </c>
      <c r="O393" s="803">
        <f t="shared" ca="1" si="325"/>
        <v>174</v>
      </c>
      <c r="P393" s="804">
        <v>2</v>
      </c>
      <c r="Q393" s="805" t="s">
        <v>2366</v>
      </c>
      <c r="R393" s="806" t="s">
        <v>3020</v>
      </c>
      <c r="S393" s="807">
        <v>43020</v>
      </c>
      <c r="T393" s="798">
        <v>43020</v>
      </c>
      <c r="U393" s="798">
        <f t="shared" si="326"/>
        <v>43038</v>
      </c>
      <c r="V393" s="804">
        <f t="shared" ca="1" si="327"/>
        <v>96</v>
      </c>
      <c r="W393" s="808">
        <v>1</v>
      </c>
      <c r="X393" s="794">
        <f t="shared" si="320"/>
        <v>60</v>
      </c>
      <c r="Y393" s="794">
        <v>2</v>
      </c>
      <c r="Z393" s="809" t="str">
        <f t="shared" ca="1" si="328"/>
        <v>-----</v>
      </c>
      <c r="AA393" s="810">
        <f t="shared" ca="1" si="329"/>
        <v>114</v>
      </c>
      <c r="AB393" s="804"/>
      <c r="AC393" s="811" t="str">
        <f t="shared" ca="1" si="330"/>
        <v>-----</v>
      </c>
      <c r="AD393" s="798"/>
      <c r="AE393" s="794" t="str">
        <f t="shared" ca="1" si="331"/>
        <v>-</v>
      </c>
      <c r="AF393" s="798">
        <f t="shared" si="332"/>
        <v>43055</v>
      </c>
      <c r="AG393" s="812">
        <f t="shared" ca="1" si="333"/>
        <v>79</v>
      </c>
      <c r="AH393" s="807">
        <v>43052</v>
      </c>
      <c r="AI393" s="807" t="str">
        <f t="shared" si="334"/>
        <v>-</v>
      </c>
      <c r="AJ393" s="807" t="str">
        <f t="shared" si="335"/>
        <v>-</v>
      </c>
      <c r="AK393" s="813"/>
      <c r="AL393" s="807" t="str">
        <f t="shared" si="336"/>
        <v>-</v>
      </c>
      <c r="AM393" s="807" t="str">
        <f t="shared" si="337"/>
        <v>-</v>
      </c>
      <c r="AN393" s="814" t="str">
        <f t="shared" ca="1" si="338"/>
        <v>-</v>
      </c>
      <c r="AO393" s="815">
        <v>1</v>
      </c>
      <c r="AP393" s="816" t="str">
        <f t="shared" ca="1" si="339"/>
        <v>-</v>
      </c>
      <c r="AQ393" s="817"/>
      <c r="AR393" s="794" t="str">
        <f t="shared" si="340"/>
        <v>-</v>
      </c>
      <c r="AS393" s="818"/>
      <c r="AT393" s="794" t="str">
        <f t="shared" si="341"/>
        <v>-</v>
      </c>
      <c r="AU393" s="819">
        <v>1</v>
      </c>
      <c r="AV393" s="820"/>
      <c r="AW393" s="821"/>
      <c r="AX393" s="821"/>
      <c r="AY393" s="969" t="str">
        <f t="shared" si="342"/>
        <v>-</v>
      </c>
      <c r="AZ393" s="966" t="str">
        <f t="shared" si="343"/>
        <v>-</v>
      </c>
      <c r="BA393" s="971" t="str">
        <f t="shared" si="344"/>
        <v>-</v>
      </c>
      <c r="BB393" s="975"/>
      <c r="BC393" s="821"/>
      <c r="BD393" s="821"/>
      <c r="BE393" s="963" t="str">
        <f t="shared" si="345"/>
        <v>-</v>
      </c>
      <c r="BF393" s="984"/>
      <c r="BG393" s="988"/>
      <c r="BH393" s="982"/>
      <c r="BI393" s="991"/>
      <c r="BJ393" s="991"/>
      <c r="BK393" s="993" t="str">
        <f t="shared" si="346"/>
        <v>-</v>
      </c>
      <c r="BL393" s="820">
        <v>42979</v>
      </c>
      <c r="BM393" s="821">
        <v>5</v>
      </c>
      <c r="BN393" s="822">
        <f t="shared" ca="1" si="347"/>
        <v>155</v>
      </c>
      <c r="BO393" s="823">
        <f t="shared" si="348"/>
        <v>36.299999999999997</v>
      </c>
      <c r="BP393" s="824">
        <v>43001</v>
      </c>
      <c r="BQ393" s="821">
        <v>2</v>
      </c>
      <c r="BR393" s="822">
        <f t="shared" ca="1" si="349"/>
        <v>133</v>
      </c>
      <c r="BS393" s="823">
        <f t="shared" si="350"/>
        <v>14.333333333333334</v>
      </c>
      <c r="BT393" s="825" t="str">
        <f t="shared" ca="1" si="351"/>
        <v>-</v>
      </c>
      <c r="BU393" s="826"/>
      <c r="BV393" s="827"/>
      <c r="BW393" s="828" t="str">
        <f t="shared" si="352"/>
        <v>Ж-Е НЕ ВАКЦ.</v>
      </c>
      <c r="BX393" s="829" t="str">
        <f t="shared" si="353"/>
        <v>-</v>
      </c>
      <c r="BY393" s="830" t="str">
        <f t="shared" ca="1" si="354"/>
        <v>-</v>
      </c>
      <c r="BZ393" s="831">
        <v>43011</v>
      </c>
      <c r="CA393" s="832">
        <v>5</v>
      </c>
      <c r="CB393" s="833">
        <f t="shared" ca="1" si="355"/>
        <v>123</v>
      </c>
      <c r="CC393" s="834" t="str">
        <f t="shared" ca="1" si="356"/>
        <v>-</v>
      </c>
      <c r="CD393" s="835">
        <f t="shared" si="357"/>
        <v>43032</v>
      </c>
      <c r="CE393" s="831">
        <v>43033</v>
      </c>
      <c r="CF393" s="832">
        <v>5</v>
      </c>
      <c r="CG393" s="833">
        <f t="shared" ca="1" si="358"/>
        <v>101</v>
      </c>
      <c r="CH393" s="836">
        <f t="shared" si="359"/>
        <v>-1</v>
      </c>
      <c r="CI393" s="837" t="str">
        <f t="shared" si="360"/>
        <v>-</v>
      </c>
      <c r="CJ393" s="838" t="str">
        <f t="shared" ca="1" si="361"/>
        <v>-</v>
      </c>
      <c r="CK393" s="831"/>
      <c r="CL393" s="832"/>
      <c r="CM393" s="833" t="str">
        <f t="shared" si="362"/>
        <v>-</v>
      </c>
      <c r="CN393" s="834" t="str">
        <f t="shared" si="363"/>
        <v>-</v>
      </c>
      <c r="CO393" s="830" t="str">
        <f t="shared" ca="1" si="364"/>
        <v>-</v>
      </c>
      <c r="CP393" s="831">
        <v>42890</v>
      </c>
      <c r="CQ393" s="832">
        <v>2</v>
      </c>
      <c r="CR393" s="833">
        <f t="shared" si="365"/>
        <v>-130</v>
      </c>
      <c r="CS393" s="833">
        <f t="shared" ca="1" si="366"/>
        <v>244</v>
      </c>
      <c r="CT393" s="834" t="str">
        <f t="shared" ca="1" si="367"/>
        <v>-</v>
      </c>
      <c r="CU393" s="835">
        <f t="shared" si="368"/>
        <v>42911</v>
      </c>
      <c r="CV393" s="831">
        <v>42911</v>
      </c>
      <c r="CW393" s="832">
        <v>2</v>
      </c>
      <c r="CX393" s="833">
        <f t="shared" si="369"/>
        <v>0</v>
      </c>
      <c r="CY393" s="840" t="str">
        <f t="shared" si="370"/>
        <v>УСПЕШНО</v>
      </c>
      <c r="CZ393" s="833">
        <f t="shared" si="371"/>
        <v>-109</v>
      </c>
      <c r="DA393" s="838" t="str">
        <f t="shared" ca="1" si="372"/>
        <v>-</v>
      </c>
      <c r="DB393" s="841"/>
      <c r="DC393" s="832"/>
    </row>
    <row r="394" spans="1:107" s="842" customFormat="1" ht="15.95" customHeight="1" x14ac:dyDescent="0.25">
      <c r="A394" s="790">
        <v>395</v>
      </c>
      <c r="B394" s="791">
        <f t="shared" ca="1" si="321"/>
        <v>43134</v>
      </c>
      <c r="C394" s="29" t="s">
        <v>615</v>
      </c>
      <c r="D394" s="59" t="s">
        <v>1633</v>
      </c>
      <c r="E394" s="794" t="s">
        <v>1383</v>
      </c>
      <c r="F394" s="854" t="s">
        <v>956</v>
      </c>
      <c r="G394" s="796">
        <f>SUMIFS(МОЛОКО!L8:L6958,МОЛОКО!F8:F6958,"2360",МОЛОКО!L8:L6958,"&gt;0")</f>
        <v>30</v>
      </c>
      <c r="H394" s="797" t="s">
        <v>603</v>
      </c>
      <c r="I394" s="798">
        <v>41913</v>
      </c>
      <c r="J394" s="799">
        <f t="shared" ca="1" si="322"/>
        <v>3.3452054794520549</v>
      </c>
      <c r="K394" s="799">
        <f t="shared" ca="1" si="323"/>
        <v>40.700000000000003</v>
      </c>
      <c r="L394" s="800">
        <f t="shared" ca="1" si="324"/>
        <v>1221</v>
      </c>
      <c r="M394" s="801">
        <v>42596</v>
      </c>
      <c r="N394" s="802">
        <v>43002</v>
      </c>
      <c r="O394" s="803">
        <f t="shared" ca="1" si="325"/>
        <v>132</v>
      </c>
      <c r="P394" s="804">
        <v>2</v>
      </c>
      <c r="Q394" s="805"/>
      <c r="R394" s="806"/>
      <c r="S394" s="807"/>
      <c r="T394" s="798"/>
      <c r="U394" s="798" t="str">
        <f t="shared" si="326"/>
        <v>-</v>
      </c>
      <c r="V394" s="804" t="str">
        <f t="shared" ca="1" si="327"/>
        <v>-</v>
      </c>
      <c r="W394" s="808">
        <v>0</v>
      </c>
      <c r="X394" s="794" t="str">
        <f t="shared" si="320"/>
        <v>-</v>
      </c>
      <c r="Y394" s="794">
        <v>0</v>
      </c>
      <c r="Z394" s="809" t="str">
        <f t="shared" ca="1" si="328"/>
        <v>-----</v>
      </c>
      <c r="AA394" s="810">
        <f t="shared" ca="1" si="329"/>
        <v>43134</v>
      </c>
      <c r="AB394" s="804"/>
      <c r="AC394" s="811" t="str">
        <f t="shared" ca="1" si="330"/>
        <v>-----</v>
      </c>
      <c r="AD394" s="798"/>
      <c r="AE394" s="794" t="str">
        <f t="shared" ca="1" si="331"/>
        <v>яловая</v>
      </c>
      <c r="AF394" s="798" t="str">
        <f t="shared" si="332"/>
        <v>-</v>
      </c>
      <c r="AG394" s="812" t="str">
        <f t="shared" si="333"/>
        <v>---------</v>
      </c>
      <c r="AH394" s="807"/>
      <c r="AI394" s="807" t="str">
        <f t="shared" si="334"/>
        <v>-</v>
      </c>
      <c r="AJ394" s="807" t="str">
        <f t="shared" si="335"/>
        <v>-</v>
      </c>
      <c r="AK394" s="813"/>
      <c r="AL394" s="807" t="str">
        <f t="shared" si="336"/>
        <v>-</v>
      </c>
      <c r="AM394" s="807" t="str">
        <f t="shared" si="337"/>
        <v>-</v>
      </c>
      <c r="AN394" s="814" t="str">
        <f t="shared" ca="1" si="338"/>
        <v>-</v>
      </c>
      <c r="AO394" s="815">
        <v>1</v>
      </c>
      <c r="AP394" s="816" t="str">
        <f t="shared" ca="1" si="339"/>
        <v>-</v>
      </c>
      <c r="AQ394" s="817"/>
      <c r="AR394" s="794" t="str">
        <f t="shared" si="340"/>
        <v>-</v>
      </c>
      <c r="AS394" s="818"/>
      <c r="AT394" s="794" t="str">
        <f t="shared" si="341"/>
        <v>-</v>
      </c>
      <c r="AU394" s="819">
        <v>1</v>
      </c>
      <c r="AV394" s="820"/>
      <c r="AW394" s="821"/>
      <c r="AX394" s="821"/>
      <c r="AY394" s="969" t="str">
        <f t="shared" si="342"/>
        <v>-</v>
      </c>
      <c r="AZ394" s="966" t="str">
        <f t="shared" si="343"/>
        <v>-</v>
      </c>
      <c r="BA394" s="971" t="str">
        <f t="shared" si="344"/>
        <v>-</v>
      </c>
      <c r="BB394" s="975"/>
      <c r="BC394" s="821"/>
      <c r="BD394" s="821"/>
      <c r="BE394" s="963" t="str">
        <f t="shared" si="345"/>
        <v>-</v>
      </c>
      <c r="BF394" s="984"/>
      <c r="BG394" s="988"/>
      <c r="BH394" s="982"/>
      <c r="BI394" s="991"/>
      <c r="BJ394" s="991"/>
      <c r="BK394" s="993" t="str">
        <f t="shared" si="346"/>
        <v>-</v>
      </c>
      <c r="BL394" s="820">
        <v>42978</v>
      </c>
      <c r="BM394" s="821">
        <v>5</v>
      </c>
      <c r="BN394" s="822">
        <f t="shared" ca="1" si="347"/>
        <v>156</v>
      </c>
      <c r="BO394" s="823">
        <f t="shared" si="348"/>
        <v>35.5</v>
      </c>
      <c r="BP394" s="824">
        <v>43001</v>
      </c>
      <c r="BQ394" s="821">
        <v>2</v>
      </c>
      <c r="BR394" s="822">
        <f t="shared" ca="1" si="349"/>
        <v>133</v>
      </c>
      <c r="BS394" s="823">
        <f t="shared" si="350"/>
        <v>13.5</v>
      </c>
      <c r="BT394" s="825" t="str">
        <f t="shared" ca="1" si="351"/>
        <v>-</v>
      </c>
      <c r="BU394" s="826"/>
      <c r="BV394" s="827"/>
      <c r="BW394" s="828" t="str">
        <f t="shared" si="352"/>
        <v>Ж-Е НЕ ВАКЦ.</v>
      </c>
      <c r="BX394" s="829" t="str">
        <f t="shared" si="353"/>
        <v>-</v>
      </c>
      <c r="BY394" s="830" t="str">
        <f t="shared" ca="1" si="354"/>
        <v>-</v>
      </c>
      <c r="BZ394" s="831">
        <v>42887</v>
      </c>
      <c r="CA394" s="832">
        <v>5</v>
      </c>
      <c r="CB394" s="833">
        <f t="shared" ca="1" si="355"/>
        <v>247</v>
      </c>
      <c r="CC394" s="834" t="str">
        <f t="shared" ca="1" si="356"/>
        <v>-</v>
      </c>
      <c r="CD394" s="835">
        <f t="shared" si="357"/>
        <v>42908</v>
      </c>
      <c r="CE394" s="831">
        <v>42908</v>
      </c>
      <c r="CF394" s="832">
        <v>5</v>
      </c>
      <c r="CG394" s="833">
        <f t="shared" ca="1" si="358"/>
        <v>226</v>
      </c>
      <c r="CH394" s="836">
        <f t="shared" si="359"/>
        <v>0</v>
      </c>
      <c r="CI394" s="837" t="str">
        <f t="shared" si="360"/>
        <v>УСПЕШНО</v>
      </c>
      <c r="CJ394" s="838" t="str">
        <f t="shared" ca="1" si="361"/>
        <v>-</v>
      </c>
      <c r="CK394" s="831"/>
      <c r="CL394" s="832"/>
      <c r="CM394" s="833" t="str">
        <f t="shared" si="362"/>
        <v>-</v>
      </c>
      <c r="CN394" s="834" t="str">
        <f t="shared" si="363"/>
        <v>-</v>
      </c>
      <c r="CO394" s="830" t="str">
        <f t="shared" ca="1" si="364"/>
        <v>-</v>
      </c>
      <c r="CP394" s="831">
        <v>42941</v>
      </c>
      <c r="CQ394" s="832">
        <v>2</v>
      </c>
      <c r="CR394" s="833">
        <f t="shared" si="365"/>
        <v>42941</v>
      </c>
      <c r="CS394" s="833">
        <f t="shared" ca="1" si="366"/>
        <v>193</v>
      </c>
      <c r="CT394" s="834" t="str">
        <f t="shared" ca="1" si="367"/>
        <v>-</v>
      </c>
      <c r="CU394" s="835">
        <f t="shared" si="368"/>
        <v>42962</v>
      </c>
      <c r="CV394" s="831">
        <v>42962</v>
      </c>
      <c r="CW394" s="832">
        <v>2</v>
      </c>
      <c r="CX394" s="833">
        <f t="shared" si="369"/>
        <v>0</v>
      </c>
      <c r="CY394" s="840" t="str">
        <f t="shared" si="370"/>
        <v>УСПЕШНО</v>
      </c>
      <c r="CZ394" s="833">
        <f t="shared" si="371"/>
        <v>42962</v>
      </c>
      <c r="DA394" s="838" t="str">
        <f t="shared" ca="1" si="372"/>
        <v>-</v>
      </c>
      <c r="DB394" s="841"/>
      <c r="DC394" s="832"/>
    </row>
    <row r="395" spans="1:107" s="842" customFormat="1" ht="15.95" customHeight="1" x14ac:dyDescent="0.25">
      <c r="A395" s="790">
        <v>396</v>
      </c>
      <c r="B395" s="791">
        <f t="shared" ca="1" si="321"/>
        <v>43134</v>
      </c>
      <c r="C395" s="29" t="s">
        <v>615</v>
      </c>
      <c r="D395" s="59" t="s">
        <v>1633</v>
      </c>
      <c r="E395" s="794" t="s">
        <v>488</v>
      </c>
      <c r="F395" s="854" t="s">
        <v>965</v>
      </c>
      <c r="G395" s="796">
        <f>SUMIFS(МОЛОКО!L8:L6958,МОЛОКО!F8:F6958,"2361",МОЛОКО!L8:L6958,"&gt;0")</f>
        <v>25.6</v>
      </c>
      <c r="H395" s="797" t="s">
        <v>603</v>
      </c>
      <c r="I395" s="798">
        <v>41915</v>
      </c>
      <c r="J395" s="799">
        <f t="shared" ca="1" si="322"/>
        <v>3.3397260273972602</v>
      </c>
      <c r="K395" s="799">
        <f t="shared" ca="1" si="323"/>
        <v>40.633333333333333</v>
      </c>
      <c r="L395" s="800">
        <f t="shared" ca="1" si="324"/>
        <v>1219</v>
      </c>
      <c r="M395" s="801">
        <v>42682</v>
      </c>
      <c r="N395" s="802">
        <v>43027</v>
      </c>
      <c r="O395" s="803">
        <f t="shared" ca="1" si="325"/>
        <v>107</v>
      </c>
      <c r="P395" s="804">
        <v>2</v>
      </c>
      <c r="Q395" s="805"/>
      <c r="R395" s="806"/>
      <c r="S395" s="807"/>
      <c r="T395" s="798"/>
      <c r="U395" s="798" t="str">
        <f t="shared" si="326"/>
        <v>-</v>
      </c>
      <c r="V395" s="804" t="str">
        <f t="shared" ca="1" si="327"/>
        <v>-</v>
      </c>
      <c r="W395" s="808">
        <v>0</v>
      </c>
      <c r="X395" s="794" t="str">
        <f t="shared" si="320"/>
        <v>-</v>
      </c>
      <c r="Y395" s="794">
        <v>0</v>
      </c>
      <c r="Z395" s="809" t="str">
        <f t="shared" ca="1" si="328"/>
        <v>-----</v>
      </c>
      <c r="AA395" s="810">
        <f t="shared" ca="1" si="329"/>
        <v>43134</v>
      </c>
      <c r="AB395" s="804"/>
      <c r="AC395" s="811" t="str">
        <f t="shared" ca="1" si="330"/>
        <v>-----</v>
      </c>
      <c r="AD395" s="798"/>
      <c r="AE395" s="794" t="str">
        <f t="shared" ca="1" si="331"/>
        <v>-</v>
      </c>
      <c r="AF395" s="798" t="str">
        <f t="shared" si="332"/>
        <v>-</v>
      </c>
      <c r="AG395" s="812" t="str">
        <f t="shared" si="333"/>
        <v>---------</v>
      </c>
      <c r="AH395" s="807"/>
      <c r="AI395" s="807" t="str">
        <f t="shared" si="334"/>
        <v>-</v>
      </c>
      <c r="AJ395" s="807" t="str">
        <f t="shared" si="335"/>
        <v>-</v>
      </c>
      <c r="AK395" s="813"/>
      <c r="AL395" s="807" t="str">
        <f t="shared" si="336"/>
        <v>-</v>
      </c>
      <c r="AM395" s="807" t="str">
        <f t="shared" si="337"/>
        <v>-</v>
      </c>
      <c r="AN395" s="814" t="str">
        <f t="shared" ca="1" si="338"/>
        <v>-</v>
      </c>
      <c r="AO395" s="815">
        <v>1</v>
      </c>
      <c r="AP395" s="816" t="str">
        <f t="shared" ca="1" si="339"/>
        <v>-</v>
      </c>
      <c r="AQ395" s="817"/>
      <c r="AR395" s="794" t="str">
        <f t="shared" si="340"/>
        <v>-</v>
      </c>
      <c r="AS395" s="818"/>
      <c r="AT395" s="794" t="str">
        <f t="shared" si="341"/>
        <v>-</v>
      </c>
      <c r="AU395" s="819">
        <v>1</v>
      </c>
      <c r="AV395" s="820"/>
      <c r="AW395" s="821"/>
      <c r="AX395" s="821"/>
      <c r="AY395" s="969" t="str">
        <f t="shared" si="342"/>
        <v>-</v>
      </c>
      <c r="AZ395" s="966" t="str">
        <f t="shared" si="343"/>
        <v>-</v>
      </c>
      <c r="BA395" s="971" t="str">
        <f t="shared" si="344"/>
        <v>-</v>
      </c>
      <c r="BB395" s="975"/>
      <c r="BC395" s="821"/>
      <c r="BD395" s="821"/>
      <c r="BE395" s="963" t="str">
        <f t="shared" si="345"/>
        <v>-</v>
      </c>
      <c r="BF395" s="984"/>
      <c r="BG395" s="988"/>
      <c r="BH395" s="982"/>
      <c r="BI395" s="991"/>
      <c r="BJ395" s="991"/>
      <c r="BK395" s="993" t="str">
        <f t="shared" si="346"/>
        <v>-</v>
      </c>
      <c r="BL395" s="820">
        <v>42978</v>
      </c>
      <c r="BM395" s="821">
        <v>5</v>
      </c>
      <c r="BN395" s="822">
        <f t="shared" ca="1" si="347"/>
        <v>156</v>
      </c>
      <c r="BO395" s="823">
        <f t="shared" si="348"/>
        <v>35.43333333333333</v>
      </c>
      <c r="BP395" s="824">
        <v>43001</v>
      </c>
      <c r="BQ395" s="821">
        <v>2</v>
      </c>
      <c r="BR395" s="822">
        <f t="shared" ca="1" si="349"/>
        <v>133</v>
      </c>
      <c r="BS395" s="823">
        <f t="shared" si="350"/>
        <v>10.633333333333333</v>
      </c>
      <c r="BT395" s="825" t="str">
        <f t="shared" ca="1" si="351"/>
        <v>-</v>
      </c>
      <c r="BU395" s="826"/>
      <c r="BV395" s="827"/>
      <c r="BW395" s="828" t="str">
        <f t="shared" si="352"/>
        <v>Ж-Е НЕ ВАКЦ.</v>
      </c>
      <c r="BX395" s="829" t="str">
        <f t="shared" si="353"/>
        <v>-</v>
      </c>
      <c r="BY395" s="830" t="str">
        <f t="shared" ca="1" si="354"/>
        <v>-</v>
      </c>
      <c r="BZ395" s="831">
        <v>42887</v>
      </c>
      <c r="CA395" s="832">
        <v>5</v>
      </c>
      <c r="CB395" s="833">
        <f t="shared" ca="1" si="355"/>
        <v>247</v>
      </c>
      <c r="CC395" s="834" t="str">
        <f t="shared" ca="1" si="356"/>
        <v>-</v>
      </c>
      <c r="CD395" s="835">
        <f t="shared" si="357"/>
        <v>42908</v>
      </c>
      <c r="CE395" s="831">
        <v>42908</v>
      </c>
      <c r="CF395" s="832">
        <v>5</v>
      </c>
      <c r="CG395" s="833">
        <f t="shared" ca="1" si="358"/>
        <v>226</v>
      </c>
      <c r="CH395" s="836">
        <f t="shared" si="359"/>
        <v>0</v>
      </c>
      <c r="CI395" s="837" t="str">
        <f t="shared" si="360"/>
        <v>УСПЕШНО</v>
      </c>
      <c r="CJ395" s="838" t="str">
        <f t="shared" ca="1" si="361"/>
        <v>-</v>
      </c>
      <c r="CK395" s="831"/>
      <c r="CL395" s="832"/>
      <c r="CM395" s="833" t="str">
        <f t="shared" si="362"/>
        <v>-</v>
      </c>
      <c r="CN395" s="834" t="str">
        <f t="shared" si="363"/>
        <v>-</v>
      </c>
      <c r="CO395" s="830" t="str">
        <f t="shared" ca="1" si="364"/>
        <v>-</v>
      </c>
      <c r="CP395" s="831">
        <v>42962</v>
      </c>
      <c r="CQ395" s="832">
        <v>2</v>
      </c>
      <c r="CR395" s="833">
        <f t="shared" si="365"/>
        <v>42962</v>
      </c>
      <c r="CS395" s="833">
        <f t="shared" ca="1" si="366"/>
        <v>172</v>
      </c>
      <c r="CT395" s="834" t="str">
        <f t="shared" ca="1" si="367"/>
        <v>-</v>
      </c>
      <c r="CU395" s="835">
        <f t="shared" si="368"/>
        <v>42983</v>
      </c>
      <c r="CV395" s="831">
        <v>42983</v>
      </c>
      <c r="CW395" s="832">
        <v>2</v>
      </c>
      <c r="CX395" s="833">
        <f t="shared" si="369"/>
        <v>0</v>
      </c>
      <c r="CY395" s="840" t="str">
        <f t="shared" si="370"/>
        <v>УСПЕШНО</v>
      </c>
      <c r="CZ395" s="833">
        <f t="shared" si="371"/>
        <v>42983</v>
      </c>
      <c r="DA395" s="838" t="str">
        <f t="shared" ca="1" si="372"/>
        <v>-</v>
      </c>
      <c r="DB395" s="841"/>
      <c r="DC395" s="832"/>
    </row>
    <row r="396" spans="1:107" s="842" customFormat="1" ht="15.95" customHeight="1" x14ac:dyDescent="0.25">
      <c r="A396" s="790">
        <v>397</v>
      </c>
      <c r="B396" s="791">
        <f t="shared" ca="1" si="321"/>
        <v>43134</v>
      </c>
      <c r="C396" s="792" t="s">
        <v>615</v>
      </c>
      <c r="D396" s="793" t="s">
        <v>1633</v>
      </c>
      <c r="E396" s="794" t="s">
        <v>1345</v>
      </c>
      <c r="F396" s="854" t="s">
        <v>1228</v>
      </c>
      <c r="G396" s="796">
        <f>SUMIFS(МОЛОКО!L8:L6958,МОЛОКО!F8:F6958,"2368",МОЛОКО!L8:L6958,"&gt;0")</f>
        <v>15</v>
      </c>
      <c r="H396" s="797" t="s">
        <v>603</v>
      </c>
      <c r="I396" s="798">
        <v>41921</v>
      </c>
      <c r="J396" s="799">
        <f t="shared" ca="1" si="322"/>
        <v>3.3232876712328765</v>
      </c>
      <c r="K396" s="799">
        <f t="shared" ca="1" si="323"/>
        <v>40.43333333333333</v>
      </c>
      <c r="L396" s="800">
        <f t="shared" ca="1" si="324"/>
        <v>1213</v>
      </c>
      <c r="M396" s="801">
        <v>42621</v>
      </c>
      <c r="N396" s="802">
        <v>42951</v>
      </c>
      <c r="O396" s="803">
        <f t="shared" ca="1" si="325"/>
        <v>183</v>
      </c>
      <c r="P396" s="804">
        <v>2</v>
      </c>
      <c r="Q396" s="805" t="s">
        <v>2366</v>
      </c>
      <c r="R396" s="118" t="s">
        <v>3020</v>
      </c>
      <c r="S396" s="807">
        <v>43013</v>
      </c>
      <c r="T396" s="798">
        <v>43030</v>
      </c>
      <c r="U396" s="798">
        <f t="shared" si="326"/>
        <v>43048</v>
      </c>
      <c r="V396" s="804">
        <f t="shared" ca="1" si="327"/>
        <v>86</v>
      </c>
      <c r="W396" s="808">
        <v>2</v>
      </c>
      <c r="X396" s="794">
        <f t="shared" si="320"/>
        <v>79</v>
      </c>
      <c r="Y396" s="794">
        <v>3</v>
      </c>
      <c r="Z396" s="809" t="str">
        <f t="shared" ca="1" si="328"/>
        <v>-----</v>
      </c>
      <c r="AA396" s="810">
        <f t="shared" ca="1" si="329"/>
        <v>104</v>
      </c>
      <c r="AB396" s="804"/>
      <c r="AC396" s="811" t="str">
        <f t="shared" ca="1" si="330"/>
        <v>-----</v>
      </c>
      <c r="AD396" s="798"/>
      <c r="AE396" s="794" t="str">
        <f t="shared" ca="1" si="331"/>
        <v>-</v>
      </c>
      <c r="AF396" s="798">
        <f t="shared" si="332"/>
        <v>43065</v>
      </c>
      <c r="AG396" s="812">
        <f t="shared" ca="1" si="333"/>
        <v>69</v>
      </c>
      <c r="AH396" s="807"/>
      <c r="AI396" s="807" t="str">
        <f t="shared" si="334"/>
        <v>-</v>
      </c>
      <c r="AJ396" s="807" t="str">
        <f t="shared" si="335"/>
        <v>-</v>
      </c>
      <c r="AK396" s="813"/>
      <c r="AL396" s="807" t="str">
        <f t="shared" si="336"/>
        <v>-</v>
      </c>
      <c r="AM396" s="807" t="str">
        <f t="shared" si="337"/>
        <v>-</v>
      </c>
      <c r="AN396" s="814" t="str">
        <f t="shared" ca="1" si="338"/>
        <v>-</v>
      </c>
      <c r="AO396" s="815">
        <v>1</v>
      </c>
      <c r="AP396" s="816" t="str">
        <f t="shared" ca="1" si="339"/>
        <v>-</v>
      </c>
      <c r="AQ396" s="817"/>
      <c r="AR396" s="794" t="str">
        <f t="shared" si="340"/>
        <v>-</v>
      </c>
      <c r="AS396" s="818"/>
      <c r="AT396" s="794" t="str">
        <f t="shared" si="341"/>
        <v>-</v>
      </c>
      <c r="AU396" s="819">
        <v>1</v>
      </c>
      <c r="AV396" s="820"/>
      <c r="AW396" s="821"/>
      <c r="AX396" s="821"/>
      <c r="AY396" s="969" t="str">
        <f t="shared" si="342"/>
        <v>-</v>
      </c>
      <c r="AZ396" s="966" t="str">
        <f t="shared" si="343"/>
        <v>-</v>
      </c>
      <c r="BA396" s="971" t="str">
        <f t="shared" si="344"/>
        <v>-</v>
      </c>
      <c r="BB396" s="975"/>
      <c r="BC396" s="821"/>
      <c r="BD396" s="821"/>
      <c r="BE396" s="963" t="str">
        <f t="shared" si="345"/>
        <v>-</v>
      </c>
      <c r="BF396" s="984"/>
      <c r="BG396" s="988"/>
      <c r="BH396" s="982"/>
      <c r="BI396" s="991"/>
      <c r="BJ396" s="991"/>
      <c r="BK396" s="993" t="str">
        <f t="shared" si="346"/>
        <v>-</v>
      </c>
      <c r="BL396" s="820">
        <v>42979</v>
      </c>
      <c r="BM396" s="821">
        <v>5</v>
      </c>
      <c r="BN396" s="822">
        <f t="shared" ca="1" si="347"/>
        <v>155</v>
      </c>
      <c r="BO396" s="823">
        <f t="shared" si="348"/>
        <v>35.266666666666666</v>
      </c>
      <c r="BP396" s="824"/>
      <c r="BQ396" s="821"/>
      <c r="BR396" s="822" t="str">
        <f t="shared" si="349"/>
        <v>-</v>
      </c>
      <c r="BS396" s="823" t="str">
        <f t="shared" si="350"/>
        <v>-</v>
      </c>
      <c r="BT396" s="825" t="str">
        <f t="shared" ca="1" si="351"/>
        <v>-</v>
      </c>
      <c r="BU396" s="826"/>
      <c r="BV396" s="827"/>
      <c r="BW396" s="828" t="str">
        <f t="shared" si="352"/>
        <v>Ж-Е НЕ ВАКЦ.</v>
      </c>
      <c r="BX396" s="829" t="str">
        <f t="shared" si="353"/>
        <v>-</v>
      </c>
      <c r="BY396" s="830" t="str">
        <f t="shared" ca="1" si="354"/>
        <v>-</v>
      </c>
      <c r="BZ396" s="831">
        <v>42988</v>
      </c>
      <c r="CA396" s="832">
        <v>5</v>
      </c>
      <c r="CB396" s="833">
        <f t="shared" ca="1" si="355"/>
        <v>146</v>
      </c>
      <c r="CC396" s="834" t="str">
        <f t="shared" ca="1" si="356"/>
        <v>-</v>
      </c>
      <c r="CD396" s="835">
        <f t="shared" si="357"/>
        <v>43009</v>
      </c>
      <c r="CE396" s="831">
        <v>43009</v>
      </c>
      <c r="CF396" s="832">
        <v>5</v>
      </c>
      <c r="CG396" s="833">
        <f t="shared" ca="1" si="358"/>
        <v>125</v>
      </c>
      <c r="CH396" s="836">
        <f t="shared" si="359"/>
        <v>0</v>
      </c>
      <c r="CI396" s="837" t="str">
        <f t="shared" si="360"/>
        <v>УСПЕШНО</v>
      </c>
      <c r="CJ396" s="838" t="str">
        <f t="shared" ca="1" si="361"/>
        <v>-</v>
      </c>
      <c r="CK396" s="831"/>
      <c r="CL396" s="832"/>
      <c r="CM396" s="833" t="str">
        <f t="shared" si="362"/>
        <v>-</v>
      </c>
      <c r="CN396" s="834" t="str">
        <f t="shared" si="363"/>
        <v>-</v>
      </c>
      <c r="CO396" s="830" t="str">
        <f t="shared" ca="1" si="364"/>
        <v>-</v>
      </c>
      <c r="CP396" s="831">
        <v>42882</v>
      </c>
      <c r="CQ396" s="832">
        <v>2</v>
      </c>
      <c r="CR396" s="833">
        <f t="shared" si="365"/>
        <v>-148</v>
      </c>
      <c r="CS396" s="833">
        <f t="shared" ca="1" si="366"/>
        <v>252</v>
      </c>
      <c r="CT396" s="834" t="str">
        <f t="shared" ca="1" si="367"/>
        <v>-</v>
      </c>
      <c r="CU396" s="835">
        <f t="shared" si="368"/>
        <v>42903</v>
      </c>
      <c r="CV396" s="831">
        <v>42903</v>
      </c>
      <c r="CW396" s="832">
        <v>2</v>
      </c>
      <c r="CX396" s="833">
        <f t="shared" si="369"/>
        <v>0</v>
      </c>
      <c r="CY396" s="840" t="str">
        <f t="shared" si="370"/>
        <v>УСПЕШНО</v>
      </c>
      <c r="CZ396" s="833">
        <f t="shared" si="371"/>
        <v>-127</v>
      </c>
      <c r="DA396" s="838" t="str">
        <f t="shared" ca="1" si="372"/>
        <v>-</v>
      </c>
      <c r="DB396" s="841"/>
      <c r="DC396" s="832"/>
    </row>
    <row r="397" spans="1:107" s="842" customFormat="1" ht="15.95" customHeight="1" x14ac:dyDescent="0.25">
      <c r="A397" s="790">
        <v>398</v>
      </c>
      <c r="B397" s="791">
        <f t="shared" ca="1" si="321"/>
        <v>43134</v>
      </c>
      <c r="C397" s="792" t="s">
        <v>615</v>
      </c>
      <c r="D397" s="793" t="s">
        <v>1633</v>
      </c>
      <c r="E397" s="794" t="s">
        <v>1349</v>
      </c>
      <c r="F397" s="854" t="s">
        <v>1233</v>
      </c>
      <c r="G397" s="796">
        <f>SUMIFS(МОЛОКО!L8:L6958,МОЛОКО!F8:F6958,"2383",МОЛОКО!L8:L6958,"&gt;0")</f>
        <v>30</v>
      </c>
      <c r="H397" s="797" t="s">
        <v>603</v>
      </c>
      <c r="I397" s="798">
        <v>41934</v>
      </c>
      <c r="J397" s="799">
        <f t="shared" ca="1" si="322"/>
        <v>3.2876712328767121</v>
      </c>
      <c r="K397" s="799">
        <f t="shared" ca="1" si="323"/>
        <v>40</v>
      </c>
      <c r="L397" s="800">
        <f t="shared" ca="1" si="324"/>
        <v>1200</v>
      </c>
      <c r="M397" s="801">
        <v>42626</v>
      </c>
      <c r="N397" s="802">
        <v>42958</v>
      </c>
      <c r="O397" s="803">
        <f t="shared" ca="1" si="325"/>
        <v>176</v>
      </c>
      <c r="P397" s="804">
        <v>2</v>
      </c>
      <c r="Q397" s="805" t="s">
        <v>1451</v>
      </c>
      <c r="R397" s="806" t="s">
        <v>2962</v>
      </c>
      <c r="S397" s="807">
        <v>43020</v>
      </c>
      <c r="T397" s="798">
        <v>43020</v>
      </c>
      <c r="U397" s="798">
        <f t="shared" si="326"/>
        <v>43038</v>
      </c>
      <c r="V397" s="804">
        <f t="shared" ca="1" si="327"/>
        <v>96</v>
      </c>
      <c r="W397" s="808">
        <v>1</v>
      </c>
      <c r="X397" s="794">
        <f t="shared" si="320"/>
        <v>62</v>
      </c>
      <c r="Y397" s="794">
        <v>2</v>
      </c>
      <c r="Z397" s="809" t="str">
        <f t="shared" ca="1" si="328"/>
        <v>-----</v>
      </c>
      <c r="AA397" s="810">
        <f t="shared" ca="1" si="329"/>
        <v>114</v>
      </c>
      <c r="AB397" s="804"/>
      <c r="AC397" s="811" t="str">
        <f t="shared" ca="1" si="330"/>
        <v>-----</v>
      </c>
      <c r="AD397" s="798"/>
      <c r="AE397" s="794" t="str">
        <f t="shared" ca="1" si="331"/>
        <v>-</v>
      </c>
      <c r="AF397" s="798">
        <f t="shared" si="332"/>
        <v>43055</v>
      </c>
      <c r="AG397" s="812">
        <f t="shared" ca="1" si="333"/>
        <v>79</v>
      </c>
      <c r="AH397" s="807">
        <v>43052</v>
      </c>
      <c r="AI397" s="807" t="str">
        <f t="shared" si="334"/>
        <v>-</v>
      </c>
      <c r="AJ397" s="807" t="str">
        <f t="shared" si="335"/>
        <v>-</v>
      </c>
      <c r="AK397" s="813"/>
      <c r="AL397" s="807" t="str">
        <f t="shared" si="336"/>
        <v>-</v>
      </c>
      <c r="AM397" s="807" t="str">
        <f t="shared" si="337"/>
        <v>-</v>
      </c>
      <c r="AN397" s="814" t="str">
        <f t="shared" ca="1" si="338"/>
        <v>-</v>
      </c>
      <c r="AO397" s="815">
        <v>1</v>
      </c>
      <c r="AP397" s="816" t="str">
        <f t="shared" ca="1" si="339"/>
        <v>-</v>
      </c>
      <c r="AQ397" s="817"/>
      <c r="AR397" s="794" t="str">
        <f t="shared" si="340"/>
        <v>-</v>
      </c>
      <c r="AS397" s="818"/>
      <c r="AT397" s="794" t="str">
        <f t="shared" si="341"/>
        <v>-</v>
      </c>
      <c r="AU397" s="819">
        <v>1</v>
      </c>
      <c r="AV397" s="820"/>
      <c r="AW397" s="821"/>
      <c r="AX397" s="821"/>
      <c r="AY397" s="969" t="str">
        <f t="shared" si="342"/>
        <v>-</v>
      </c>
      <c r="AZ397" s="966" t="str">
        <f t="shared" si="343"/>
        <v>-</v>
      </c>
      <c r="BA397" s="971" t="str">
        <f t="shared" si="344"/>
        <v>-</v>
      </c>
      <c r="BB397" s="975"/>
      <c r="BC397" s="821"/>
      <c r="BD397" s="821"/>
      <c r="BE397" s="963" t="str">
        <f t="shared" si="345"/>
        <v>-</v>
      </c>
      <c r="BF397" s="984"/>
      <c r="BG397" s="988"/>
      <c r="BH397" s="982"/>
      <c r="BI397" s="991"/>
      <c r="BJ397" s="991"/>
      <c r="BK397" s="993" t="str">
        <f t="shared" si="346"/>
        <v>-</v>
      </c>
      <c r="BL397" s="820">
        <v>42979</v>
      </c>
      <c r="BM397" s="821">
        <v>5</v>
      </c>
      <c r="BN397" s="822">
        <f t="shared" ca="1" si="347"/>
        <v>155</v>
      </c>
      <c r="BO397" s="823">
        <f t="shared" si="348"/>
        <v>34.833333333333336</v>
      </c>
      <c r="BP397" s="824"/>
      <c r="BQ397" s="821"/>
      <c r="BR397" s="822" t="str">
        <f t="shared" si="349"/>
        <v>-</v>
      </c>
      <c r="BS397" s="823" t="str">
        <f t="shared" si="350"/>
        <v>-</v>
      </c>
      <c r="BT397" s="825" t="str">
        <f t="shared" ca="1" si="351"/>
        <v>-</v>
      </c>
      <c r="BU397" s="826"/>
      <c r="BV397" s="827"/>
      <c r="BW397" s="828" t="str">
        <f t="shared" si="352"/>
        <v>Ж-Е НЕ ВАКЦ.</v>
      </c>
      <c r="BX397" s="829" t="str">
        <f t="shared" si="353"/>
        <v>-</v>
      </c>
      <c r="BY397" s="830" t="str">
        <f t="shared" ca="1" si="354"/>
        <v>-</v>
      </c>
      <c r="BZ397" s="831">
        <v>42988</v>
      </c>
      <c r="CA397" s="832">
        <v>5</v>
      </c>
      <c r="CB397" s="833">
        <f t="shared" ca="1" si="355"/>
        <v>146</v>
      </c>
      <c r="CC397" s="834" t="str">
        <f t="shared" ca="1" si="356"/>
        <v>-</v>
      </c>
      <c r="CD397" s="835">
        <f t="shared" si="357"/>
        <v>43009</v>
      </c>
      <c r="CE397" s="831">
        <v>43009</v>
      </c>
      <c r="CF397" s="832">
        <v>5</v>
      </c>
      <c r="CG397" s="833">
        <f t="shared" ca="1" si="358"/>
        <v>125</v>
      </c>
      <c r="CH397" s="836">
        <f t="shared" si="359"/>
        <v>0</v>
      </c>
      <c r="CI397" s="837" t="str">
        <f t="shared" si="360"/>
        <v>УСПЕШНО</v>
      </c>
      <c r="CJ397" s="838" t="str">
        <f t="shared" ca="1" si="361"/>
        <v>-</v>
      </c>
      <c r="CK397" s="831"/>
      <c r="CL397" s="832"/>
      <c r="CM397" s="833" t="str">
        <f t="shared" si="362"/>
        <v>-</v>
      </c>
      <c r="CN397" s="834" t="str">
        <f t="shared" si="363"/>
        <v>-</v>
      </c>
      <c r="CO397" s="830" t="str">
        <f t="shared" ca="1" si="364"/>
        <v>-</v>
      </c>
      <c r="CP397" s="831">
        <v>42882</v>
      </c>
      <c r="CQ397" s="832">
        <v>2</v>
      </c>
      <c r="CR397" s="833">
        <f t="shared" si="365"/>
        <v>-138</v>
      </c>
      <c r="CS397" s="833">
        <f t="shared" ca="1" si="366"/>
        <v>252</v>
      </c>
      <c r="CT397" s="834" t="str">
        <f t="shared" ca="1" si="367"/>
        <v>-</v>
      </c>
      <c r="CU397" s="835">
        <f t="shared" si="368"/>
        <v>42903</v>
      </c>
      <c r="CV397" s="831">
        <v>42903</v>
      </c>
      <c r="CW397" s="832">
        <v>2</v>
      </c>
      <c r="CX397" s="833">
        <f t="shared" si="369"/>
        <v>0</v>
      </c>
      <c r="CY397" s="840" t="str">
        <f t="shared" si="370"/>
        <v>УСПЕШНО</v>
      </c>
      <c r="CZ397" s="833">
        <f t="shared" si="371"/>
        <v>-117</v>
      </c>
      <c r="DA397" s="838" t="str">
        <f t="shared" ca="1" si="372"/>
        <v>-</v>
      </c>
      <c r="DB397" s="841"/>
      <c r="DC397" s="832"/>
    </row>
    <row r="398" spans="1:107" s="842" customFormat="1" ht="15.95" customHeight="1" x14ac:dyDescent="0.25">
      <c r="A398" s="790">
        <v>399</v>
      </c>
      <c r="B398" s="791">
        <f t="shared" ca="1" si="321"/>
        <v>43134</v>
      </c>
      <c r="C398" s="792" t="s">
        <v>615</v>
      </c>
      <c r="D398" s="793" t="s">
        <v>1633</v>
      </c>
      <c r="E398" s="794" t="s">
        <v>409</v>
      </c>
      <c r="F398" s="998" t="s">
        <v>988</v>
      </c>
      <c r="G398" s="796">
        <f>SUMIFS(МОЛОКО!L8:L6958,МОЛОКО!F8:F6958,"2443",МОЛОКО!L8:L6958,"&gt;0")</f>
        <v>25.5</v>
      </c>
      <c r="H398" s="797" t="s">
        <v>603</v>
      </c>
      <c r="I398" s="798">
        <v>41986</v>
      </c>
      <c r="J398" s="799">
        <f t="shared" ca="1" si="322"/>
        <v>3.1452054794520548</v>
      </c>
      <c r="K398" s="799">
        <f t="shared" ca="1" si="323"/>
        <v>38.266666666666666</v>
      </c>
      <c r="L398" s="800">
        <f t="shared" ca="1" si="324"/>
        <v>1148</v>
      </c>
      <c r="M398" s="801">
        <v>42657</v>
      </c>
      <c r="N398" s="802">
        <v>42994</v>
      </c>
      <c r="O398" s="803">
        <f t="shared" ca="1" si="325"/>
        <v>140</v>
      </c>
      <c r="P398" s="804">
        <v>2</v>
      </c>
      <c r="Q398" s="805"/>
      <c r="R398" s="806"/>
      <c r="S398" s="807"/>
      <c r="T398" s="798"/>
      <c r="U398" s="798" t="str">
        <f t="shared" si="326"/>
        <v>-</v>
      </c>
      <c r="V398" s="804" t="str">
        <f t="shared" ca="1" si="327"/>
        <v>-</v>
      </c>
      <c r="W398" s="808">
        <v>0</v>
      </c>
      <c r="X398" s="794" t="str">
        <f t="shared" si="320"/>
        <v>-</v>
      </c>
      <c r="Y398" s="794">
        <v>0</v>
      </c>
      <c r="Z398" s="809" t="str">
        <f t="shared" ca="1" si="328"/>
        <v>-----</v>
      </c>
      <c r="AA398" s="810">
        <f t="shared" ca="1" si="329"/>
        <v>43134</v>
      </c>
      <c r="AB398" s="804"/>
      <c r="AC398" s="811" t="str">
        <f t="shared" ca="1" si="330"/>
        <v>-----</v>
      </c>
      <c r="AD398" s="798"/>
      <c r="AE398" s="794" t="str">
        <f t="shared" ca="1" si="331"/>
        <v>яловая</v>
      </c>
      <c r="AF398" s="798" t="str">
        <f t="shared" si="332"/>
        <v>-</v>
      </c>
      <c r="AG398" s="812" t="str">
        <f t="shared" si="333"/>
        <v>---------</v>
      </c>
      <c r="AH398" s="807"/>
      <c r="AI398" s="807" t="str">
        <f t="shared" si="334"/>
        <v>-</v>
      </c>
      <c r="AJ398" s="807" t="str">
        <f t="shared" si="335"/>
        <v>-</v>
      </c>
      <c r="AK398" s="813"/>
      <c r="AL398" s="807" t="str">
        <f t="shared" si="336"/>
        <v>-</v>
      </c>
      <c r="AM398" s="807" t="str">
        <f t="shared" si="337"/>
        <v>-</v>
      </c>
      <c r="AN398" s="814" t="str">
        <f t="shared" ca="1" si="338"/>
        <v>-</v>
      </c>
      <c r="AO398" s="815">
        <v>1</v>
      </c>
      <c r="AP398" s="816" t="str">
        <f t="shared" ca="1" si="339"/>
        <v>-</v>
      </c>
      <c r="AQ398" s="817"/>
      <c r="AR398" s="794" t="str">
        <f t="shared" si="340"/>
        <v>-</v>
      </c>
      <c r="AS398" s="818"/>
      <c r="AT398" s="794" t="str">
        <f t="shared" si="341"/>
        <v>-</v>
      </c>
      <c r="AU398" s="300" t="s">
        <v>2696</v>
      </c>
      <c r="AV398" s="820"/>
      <c r="AW398" s="821"/>
      <c r="AX398" s="821"/>
      <c r="AY398" s="969" t="str">
        <f t="shared" si="342"/>
        <v>-</v>
      </c>
      <c r="AZ398" s="966" t="str">
        <f t="shared" si="343"/>
        <v>-</v>
      </c>
      <c r="BA398" s="971" t="str">
        <f t="shared" si="344"/>
        <v>-</v>
      </c>
      <c r="BB398" s="975"/>
      <c r="BC398" s="821"/>
      <c r="BD398" s="821"/>
      <c r="BE398" s="963" t="str">
        <f t="shared" si="345"/>
        <v>-</v>
      </c>
      <c r="BF398" s="984"/>
      <c r="BG398" s="988"/>
      <c r="BH398" s="982"/>
      <c r="BI398" s="991"/>
      <c r="BJ398" s="991"/>
      <c r="BK398" s="993" t="str">
        <f t="shared" si="346"/>
        <v>-</v>
      </c>
      <c r="BL398" s="820">
        <v>42982</v>
      </c>
      <c r="BM398" s="821">
        <v>5</v>
      </c>
      <c r="BN398" s="822">
        <f t="shared" ca="1" si="347"/>
        <v>152</v>
      </c>
      <c r="BO398" s="823">
        <f t="shared" si="348"/>
        <v>33.200000000000003</v>
      </c>
      <c r="BP398" s="824">
        <v>43001</v>
      </c>
      <c r="BQ398" s="821">
        <v>2</v>
      </c>
      <c r="BR398" s="822">
        <f t="shared" ca="1" si="349"/>
        <v>133</v>
      </c>
      <c r="BS398" s="823">
        <f t="shared" si="350"/>
        <v>11.466666666666667</v>
      </c>
      <c r="BT398" s="825" t="str">
        <f t="shared" ca="1" si="351"/>
        <v>-</v>
      </c>
      <c r="BU398" s="826"/>
      <c r="BV398" s="827"/>
      <c r="BW398" s="828" t="str">
        <f t="shared" si="352"/>
        <v>Ж-Е НЕ ВАКЦ.</v>
      </c>
      <c r="BX398" s="829" t="str">
        <f t="shared" si="353"/>
        <v>-</v>
      </c>
      <c r="BY398" s="830" t="str">
        <f t="shared" ca="1" si="354"/>
        <v>-</v>
      </c>
      <c r="BZ398" s="831">
        <v>42887</v>
      </c>
      <c r="CA398" s="832">
        <v>5</v>
      </c>
      <c r="CB398" s="833">
        <f t="shared" ca="1" si="355"/>
        <v>247</v>
      </c>
      <c r="CC398" s="834" t="str">
        <f t="shared" ca="1" si="356"/>
        <v>-</v>
      </c>
      <c r="CD398" s="835">
        <f t="shared" si="357"/>
        <v>42908</v>
      </c>
      <c r="CE398" s="831">
        <v>42908</v>
      </c>
      <c r="CF398" s="832">
        <v>5</v>
      </c>
      <c r="CG398" s="833">
        <f t="shared" ca="1" si="358"/>
        <v>226</v>
      </c>
      <c r="CH398" s="836">
        <f t="shared" si="359"/>
        <v>0</v>
      </c>
      <c r="CI398" s="837" t="str">
        <f t="shared" si="360"/>
        <v>УСПЕШНО</v>
      </c>
      <c r="CJ398" s="838" t="str">
        <f t="shared" ca="1" si="361"/>
        <v>-</v>
      </c>
      <c r="CK398" s="831"/>
      <c r="CL398" s="832"/>
      <c r="CM398" s="833" t="str">
        <f t="shared" si="362"/>
        <v>-</v>
      </c>
      <c r="CN398" s="834" t="str">
        <f t="shared" si="363"/>
        <v>-</v>
      </c>
      <c r="CO398" s="830" t="str">
        <f t="shared" ca="1" si="364"/>
        <v>-</v>
      </c>
      <c r="CP398" s="831">
        <v>42941</v>
      </c>
      <c r="CQ398" s="832">
        <v>2</v>
      </c>
      <c r="CR398" s="833">
        <f t="shared" si="365"/>
        <v>42941</v>
      </c>
      <c r="CS398" s="833">
        <f t="shared" ca="1" si="366"/>
        <v>193</v>
      </c>
      <c r="CT398" s="834" t="str">
        <f t="shared" ca="1" si="367"/>
        <v>-</v>
      </c>
      <c r="CU398" s="835">
        <f t="shared" si="368"/>
        <v>42962</v>
      </c>
      <c r="CV398" s="831">
        <v>42962</v>
      </c>
      <c r="CW398" s="832">
        <v>2</v>
      </c>
      <c r="CX398" s="833">
        <f t="shared" si="369"/>
        <v>0</v>
      </c>
      <c r="CY398" s="840" t="str">
        <f t="shared" si="370"/>
        <v>УСПЕШНО</v>
      </c>
      <c r="CZ398" s="833">
        <f t="shared" si="371"/>
        <v>42962</v>
      </c>
      <c r="DA398" s="838" t="str">
        <f t="shared" ca="1" si="372"/>
        <v>-</v>
      </c>
      <c r="DB398" s="841"/>
      <c r="DC398" s="832"/>
    </row>
    <row r="399" spans="1:107" s="842" customFormat="1" ht="15.95" customHeight="1" x14ac:dyDescent="0.25">
      <c r="A399" s="790">
        <v>400</v>
      </c>
      <c r="B399" s="791">
        <f t="shared" ca="1" si="321"/>
        <v>43134</v>
      </c>
      <c r="C399" s="792" t="s">
        <v>615</v>
      </c>
      <c r="D399" s="793" t="s">
        <v>1633</v>
      </c>
      <c r="E399" s="794" t="s">
        <v>1095</v>
      </c>
      <c r="F399" s="854" t="s">
        <v>1008</v>
      </c>
      <c r="G399" s="796">
        <f>SUMIFS(МОЛОКО!L8:L6958,МОЛОКО!F8:F6958,"2503",МОЛОКО!L8:L6958,"&gt;0")</f>
        <v>21</v>
      </c>
      <c r="H399" s="797" t="s">
        <v>603</v>
      </c>
      <c r="I399" s="798">
        <v>42029</v>
      </c>
      <c r="J399" s="799">
        <f t="shared" ca="1" si="322"/>
        <v>3.0273972602739727</v>
      </c>
      <c r="K399" s="799">
        <f t="shared" ca="1" si="323"/>
        <v>36.833333333333336</v>
      </c>
      <c r="L399" s="800">
        <f t="shared" ca="1" si="324"/>
        <v>1105</v>
      </c>
      <c r="M399" s="801">
        <v>42657</v>
      </c>
      <c r="N399" s="802">
        <v>42996</v>
      </c>
      <c r="O399" s="803">
        <f t="shared" ca="1" si="325"/>
        <v>138</v>
      </c>
      <c r="P399" s="804">
        <v>2</v>
      </c>
      <c r="Q399" s="68" t="s">
        <v>2366</v>
      </c>
      <c r="R399" s="118" t="s">
        <v>2435</v>
      </c>
      <c r="S399" s="807">
        <v>43055</v>
      </c>
      <c r="T399" s="798">
        <v>43055</v>
      </c>
      <c r="U399" s="798">
        <f t="shared" si="326"/>
        <v>43073</v>
      </c>
      <c r="V399" s="804">
        <f t="shared" ca="1" si="327"/>
        <v>61</v>
      </c>
      <c r="W399" s="808">
        <v>1</v>
      </c>
      <c r="X399" s="794">
        <f t="shared" si="320"/>
        <v>59</v>
      </c>
      <c r="Y399" s="794">
        <v>3</v>
      </c>
      <c r="Z399" s="809" t="str">
        <f t="shared" ca="1" si="328"/>
        <v>-----</v>
      </c>
      <c r="AA399" s="810">
        <f t="shared" ca="1" si="329"/>
        <v>79</v>
      </c>
      <c r="AB399" s="804"/>
      <c r="AC399" s="811" t="str">
        <f t="shared" ca="1" si="330"/>
        <v>-----</v>
      </c>
      <c r="AD399" s="798"/>
      <c r="AE399" s="794" t="str">
        <f t="shared" ca="1" si="331"/>
        <v>-</v>
      </c>
      <c r="AF399" s="798">
        <f t="shared" si="332"/>
        <v>43090</v>
      </c>
      <c r="AG399" s="812">
        <f t="shared" ca="1" si="333"/>
        <v>44</v>
      </c>
      <c r="AH399" s="807"/>
      <c r="AI399" s="807" t="str">
        <f t="shared" si="334"/>
        <v>-</v>
      </c>
      <c r="AJ399" s="807" t="str">
        <f t="shared" si="335"/>
        <v>-</v>
      </c>
      <c r="AK399" s="813"/>
      <c r="AL399" s="807" t="str">
        <f t="shared" si="336"/>
        <v>-</v>
      </c>
      <c r="AM399" s="807" t="str">
        <f t="shared" si="337"/>
        <v>-</v>
      </c>
      <c r="AN399" s="814" t="str">
        <f t="shared" ca="1" si="338"/>
        <v>-</v>
      </c>
      <c r="AO399" s="815">
        <v>1</v>
      </c>
      <c r="AP399" s="816" t="str">
        <f t="shared" ca="1" si="339"/>
        <v>-</v>
      </c>
      <c r="AQ399" s="817"/>
      <c r="AR399" s="794" t="str">
        <f t="shared" si="340"/>
        <v>-</v>
      </c>
      <c r="AS399" s="818"/>
      <c r="AT399" s="794" t="str">
        <f t="shared" si="341"/>
        <v>-</v>
      </c>
      <c r="AU399" s="819">
        <v>1</v>
      </c>
      <c r="AV399" s="820"/>
      <c r="AW399" s="821"/>
      <c r="AX399" s="821"/>
      <c r="AY399" s="969" t="str">
        <f t="shared" si="342"/>
        <v>-</v>
      </c>
      <c r="AZ399" s="966" t="str">
        <f t="shared" si="343"/>
        <v>-</v>
      </c>
      <c r="BA399" s="971" t="str">
        <f t="shared" si="344"/>
        <v>-</v>
      </c>
      <c r="BB399" s="975"/>
      <c r="BC399" s="821"/>
      <c r="BD399" s="821"/>
      <c r="BE399" s="963" t="str">
        <f t="shared" si="345"/>
        <v>-</v>
      </c>
      <c r="BF399" s="984"/>
      <c r="BG399" s="988"/>
      <c r="BH399" s="982"/>
      <c r="BI399" s="991"/>
      <c r="BJ399" s="991"/>
      <c r="BK399" s="993" t="str">
        <f t="shared" si="346"/>
        <v>-</v>
      </c>
      <c r="BL399" s="820">
        <v>42982</v>
      </c>
      <c r="BM399" s="821">
        <v>5</v>
      </c>
      <c r="BN399" s="822">
        <f t="shared" ca="1" si="347"/>
        <v>152</v>
      </c>
      <c r="BO399" s="823">
        <f t="shared" si="348"/>
        <v>31.766666666666666</v>
      </c>
      <c r="BP399" s="824">
        <v>43001</v>
      </c>
      <c r="BQ399" s="821">
        <v>2</v>
      </c>
      <c r="BR399" s="822">
        <f t="shared" ca="1" si="349"/>
        <v>133</v>
      </c>
      <c r="BS399" s="823">
        <f t="shared" si="350"/>
        <v>11.466666666666667</v>
      </c>
      <c r="BT399" s="825" t="str">
        <f t="shared" ca="1" si="351"/>
        <v>-</v>
      </c>
      <c r="BU399" s="826"/>
      <c r="BV399" s="827"/>
      <c r="BW399" s="828" t="str">
        <f t="shared" si="352"/>
        <v>Ж-Е НЕ ВАКЦ.</v>
      </c>
      <c r="BX399" s="829" t="str">
        <f t="shared" si="353"/>
        <v>-</v>
      </c>
      <c r="BY399" s="830" t="str">
        <f t="shared" ca="1" si="354"/>
        <v>-</v>
      </c>
      <c r="BZ399" s="831">
        <v>42887</v>
      </c>
      <c r="CA399" s="832">
        <v>5</v>
      </c>
      <c r="CB399" s="833">
        <f t="shared" ca="1" si="355"/>
        <v>247</v>
      </c>
      <c r="CC399" s="834" t="str">
        <f t="shared" ca="1" si="356"/>
        <v>-</v>
      </c>
      <c r="CD399" s="835">
        <f t="shared" si="357"/>
        <v>42908</v>
      </c>
      <c r="CE399" s="831">
        <v>42908</v>
      </c>
      <c r="CF399" s="832">
        <v>5</v>
      </c>
      <c r="CG399" s="833">
        <f t="shared" ca="1" si="358"/>
        <v>226</v>
      </c>
      <c r="CH399" s="836">
        <f t="shared" si="359"/>
        <v>0</v>
      </c>
      <c r="CI399" s="837" t="str">
        <f t="shared" si="360"/>
        <v>УСПЕШНО</v>
      </c>
      <c r="CJ399" s="838" t="str">
        <f t="shared" ca="1" si="361"/>
        <v>-</v>
      </c>
      <c r="CK399" s="831"/>
      <c r="CL399" s="832"/>
      <c r="CM399" s="833" t="str">
        <f t="shared" si="362"/>
        <v>-</v>
      </c>
      <c r="CN399" s="834" t="str">
        <f t="shared" si="363"/>
        <v>-</v>
      </c>
      <c r="CO399" s="830" t="str">
        <f t="shared" ca="1" si="364"/>
        <v>-</v>
      </c>
      <c r="CP399" s="831">
        <v>42941</v>
      </c>
      <c r="CQ399" s="832">
        <v>2</v>
      </c>
      <c r="CR399" s="833">
        <f t="shared" si="365"/>
        <v>-114</v>
      </c>
      <c r="CS399" s="833">
        <f t="shared" ca="1" si="366"/>
        <v>193</v>
      </c>
      <c r="CT399" s="834" t="str">
        <f t="shared" ca="1" si="367"/>
        <v>-</v>
      </c>
      <c r="CU399" s="835">
        <f t="shared" si="368"/>
        <v>42962</v>
      </c>
      <c r="CV399" s="831">
        <v>42962</v>
      </c>
      <c r="CW399" s="832">
        <v>2</v>
      </c>
      <c r="CX399" s="833">
        <f t="shared" si="369"/>
        <v>0</v>
      </c>
      <c r="CY399" s="840" t="str">
        <f t="shared" si="370"/>
        <v>УСПЕШНО</v>
      </c>
      <c r="CZ399" s="833">
        <f t="shared" si="371"/>
        <v>-93</v>
      </c>
      <c r="DA399" s="838" t="str">
        <f t="shared" ca="1" si="372"/>
        <v>-</v>
      </c>
      <c r="DB399" s="841"/>
      <c r="DC399" s="832"/>
    </row>
    <row r="400" spans="1:107" s="842" customFormat="1" ht="15.95" customHeight="1" x14ac:dyDescent="0.25">
      <c r="A400" s="790">
        <v>401</v>
      </c>
      <c r="B400" s="791">
        <f t="shared" ca="1" si="321"/>
        <v>43134</v>
      </c>
      <c r="C400" s="792" t="s">
        <v>615</v>
      </c>
      <c r="D400" s="793" t="s">
        <v>1633</v>
      </c>
      <c r="E400" s="794" t="s">
        <v>756</v>
      </c>
      <c r="F400" s="854" t="s">
        <v>757</v>
      </c>
      <c r="G400" s="796">
        <f>SUMIFS(МОЛОКО!L8:L6958,МОЛОКО!F8:F6958,"5027",МОЛОКО!L8:L6958,"&gt;0")</f>
        <v>22</v>
      </c>
      <c r="H400" s="797" t="s">
        <v>794</v>
      </c>
      <c r="I400" s="798">
        <v>38463</v>
      </c>
      <c r="J400" s="799">
        <f t="shared" ca="1" si="322"/>
        <v>12.797260273972602</v>
      </c>
      <c r="K400" s="799">
        <f t="shared" ca="1" si="323"/>
        <v>155.69999999999999</v>
      </c>
      <c r="L400" s="800">
        <f t="shared" ca="1" si="324"/>
        <v>4671</v>
      </c>
      <c r="M400" s="801">
        <v>39464</v>
      </c>
      <c r="N400" s="802">
        <v>42952</v>
      </c>
      <c r="O400" s="803">
        <f t="shared" ca="1" si="325"/>
        <v>182</v>
      </c>
      <c r="P400" s="804">
        <v>9</v>
      </c>
      <c r="Q400" s="805" t="s">
        <v>2366</v>
      </c>
      <c r="R400" s="806" t="s">
        <v>2966</v>
      </c>
      <c r="S400" s="807">
        <v>43013</v>
      </c>
      <c r="T400" s="798">
        <v>43013</v>
      </c>
      <c r="U400" s="798" t="str">
        <f t="shared" si="326"/>
        <v>-</v>
      </c>
      <c r="V400" s="804" t="str">
        <f t="shared" ca="1" si="327"/>
        <v>-</v>
      </c>
      <c r="W400" s="808">
        <v>1</v>
      </c>
      <c r="X400" s="794">
        <f t="shared" si="320"/>
        <v>61</v>
      </c>
      <c r="Y400" s="794">
        <v>1</v>
      </c>
      <c r="Z400" s="809" t="str">
        <f t="shared" ca="1" si="328"/>
        <v>ПОДЛЕЖИТ ПЕРЕПРОВЕРКЕ</v>
      </c>
      <c r="AA400" s="810">
        <f t="shared" ca="1" si="329"/>
        <v>121</v>
      </c>
      <c r="AB400" s="804"/>
      <c r="AC400" s="811">
        <f t="shared" ca="1" si="330"/>
        <v>43085</v>
      </c>
      <c r="AD400" s="798"/>
      <c r="AE400" s="794" t="str">
        <f t="shared" ca="1" si="331"/>
        <v>-</v>
      </c>
      <c r="AF400" s="798" t="str">
        <f t="shared" si="332"/>
        <v>-</v>
      </c>
      <c r="AG400" s="812" t="str">
        <f t="shared" si="333"/>
        <v>---------</v>
      </c>
      <c r="AH400" s="807">
        <v>43052</v>
      </c>
      <c r="AI400" s="807">
        <f t="shared" si="334"/>
        <v>43203</v>
      </c>
      <c r="AJ400" s="807">
        <f t="shared" si="335"/>
        <v>43233</v>
      </c>
      <c r="AK400" s="813"/>
      <c r="AL400" s="807">
        <f t="shared" si="336"/>
        <v>43272</v>
      </c>
      <c r="AM400" s="807">
        <f t="shared" si="337"/>
        <v>43293</v>
      </c>
      <c r="AN400" s="814">
        <f t="shared" ca="1" si="338"/>
        <v>-159</v>
      </c>
      <c r="AO400" s="815">
        <v>1</v>
      </c>
      <c r="AP400" s="816" t="str">
        <f t="shared" ca="1" si="339"/>
        <v>-</v>
      </c>
      <c r="AQ400" s="817"/>
      <c r="AR400" s="794" t="str">
        <f t="shared" si="340"/>
        <v>-</v>
      </c>
      <c r="AS400" s="818"/>
      <c r="AT400" s="794" t="str">
        <f t="shared" si="341"/>
        <v>-</v>
      </c>
      <c r="AU400" s="819">
        <v>1</v>
      </c>
      <c r="AV400" s="820"/>
      <c r="AW400" s="821"/>
      <c r="AX400" s="821"/>
      <c r="AY400" s="969" t="str">
        <f t="shared" si="342"/>
        <v>-</v>
      </c>
      <c r="AZ400" s="966" t="str">
        <f t="shared" si="343"/>
        <v>-</v>
      </c>
      <c r="BA400" s="971" t="str">
        <f t="shared" si="344"/>
        <v>-</v>
      </c>
      <c r="BB400" s="975"/>
      <c r="BC400" s="821"/>
      <c r="BD400" s="821"/>
      <c r="BE400" s="963" t="str">
        <f t="shared" si="345"/>
        <v>-</v>
      </c>
      <c r="BF400" s="984"/>
      <c r="BG400" s="988"/>
      <c r="BH400" s="982"/>
      <c r="BI400" s="991"/>
      <c r="BJ400" s="991"/>
      <c r="BK400" s="993" t="str">
        <f t="shared" si="346"/>
        <v>-</v>
      </c>
      <c r="BL400" s="820">
        <v>42979</v>
      </c>
      <c r="BM400" s="821">
        <v>5</v>
      </c>
      <c r="BN400" s="822">
        <f t="shared" ca="1" si="347"/>
        <v>155</v>
      </c>
      <c r="BO400" s="823">
        <f t="shared" si="348"/>
        <v>150.53333333333333</v>
      </c>
      <c r="BP400" s="824"/>
      <c r="BQ400" s="821"/>
      <c r="BR400" s="822" t="str">
        <f t="shared" si="349"/>
        <v>-</v>
      </c>
      <c r="BS400" s="823" t="str">
        <f t="shared" si="350"/>
        <v>-</v>
      </c>
      <c r="BT400" s="825" t="str">
        <f t="shared" ca="1" si="351"/>
        <v>-</v>
      </c>
      <c r="BU400" s="826"/>
      <c r="BV400" s="827"/>
      <c r="BW400" s="828" t="str">
        <f t="shared" si="352"/>
        <v>Ж-Е НЕ ВАКЦ.</v>
      </c>
      <c r="BX400" s="829" t="str">
        <f t="shared" si="353"/>
        <v>-</v>
      </c>
      <c r="BY400" s="830" t="str">
        <f t="shared" ca="1" si="354"/>
        <v>-</v>
      </c>
      <c r="BZ400" s="831">
        <v>42988</v>
      </c>
      <c r="CA400" s="832">
        <v>5</v>
      </c>
      <c r="CB400" s="833">
        <f t="shared" ca="1" si="355"/>
        <v>146</v>
      </c>
      <c r="CC400" s="834" t="str">
        <f t="shared" ca="1" si="356"/>
        <v>-</v>
      </c>
      <c r="CD400" s="835">
        <f t="shared" si="357"/>
        <v>43009</v>
      </c>
      <c r="CE400" s="831">
        <v>43009</v>
      </c>
      <c r="CF400" s="832">
        <v>5</v>
      </c>
      <c r="CG400" s="833">
        <f t="shared" ca="1" si="358"/>
        <v>125</v>
      </c>
      <c r="CH400" s="836">
        <f t="shared" si="359"/>
        <v>0</v>
      </c>
      <c r="CI400" s="837" t="str">
        <f t="shared" si="360"/>
        <v>УСПЕШНО</v>
      </c>
      <c r="CJ400" s="838" t="str">
        <f t="shared" ca="1" si="361"/>
        <v>-</v>
      </c>
      <c r="CK400" s="831"/>
      <c r="CL400" s="832"/>
      <c r="CM400" s="833" t="str">
        <f t="shared" si="362"/>
        <v>-</v>
      </c>
      <c r="CN400" s="834" t="str">
        <f t="shared" si="363"/>
        <v>-</v>
      </c>
      <c r="CO400" s="830" t="str">
        <f t="shared" ca="1" si="364"/>
        <v>-</v>
      </c>
      <c r="CP400" s="831">
        <v>42890</v>
      </c>
      <c r="CQ400" s="832">
        <v>2</v>
      </c>
      <c r="CR400" s="833">
        <f t="shared" si="365"/>
        <v>-123</v>
      </c>
      <c r="CS400" s="833">
        <f t="shared" ca="1" si="366"/>
        <v>244</v>
      </c>
      <c r="CT400" s="834" t="str">
        <f t="shared" ca="1" si="367"/>
        <v>-</v>
      </c>
      <c r="CU400" s="835">
        <f t="shared" si="368"/>
        <v>42911</v>
      </c>
      <c r="CV400" s="831">
        <v>42911</v>
      </c>
      <c r="CW400" s="832">
        <v>2</v>
      </c>
      <c r="CX400" s="833">
        <f t="shared" si="369"/>
        <v>0</v>
      </c>
      <c r="CY400" s="840" t="str">
        <f t="shared" si="370"/>
        <v>УСПЕШНО</v>
      </c>
      <c r="CZ400" s="833">
        <f t="shared" si="371"/>
        <v>-102</v>
      </c>
      <c r="DA400" s="838" t="str">
        <f t="shared" ca="1" si="372"/>
        <v>-</v>
      </c>
      <c r="DB400" s="841"/>
      <c r="DC400" s="832"/>
    </row>
    <row r="401" spans="1:107" s="842" customFormat="1" ht="15.95" customHeight="1" x14ac:dyDescent="0.25">
      <c r="A401" s="790">
        <v>402</v>
      </c>
      <c r="B401" s="791">
        <f t="shared" ca="1" si="321"/>
        <v>43134</v>
      </c>
      <c r="C401" s="792" t="s">
        <v>615</v>
      </c>
      <c r="D401" s="793" t="s">
        <v>1633</v>
      </c>
      <c r="E401" s="794" t="s">
        <v>847</v>
      </c>
      <c r="F401" s="854" t="s">
        <v>848</v>
      </c>
      <c r="G401" s="796">
        <f>SUMIFS(МОЛОКО!L8:L6958,МОЛОКО!F8:F6958,"7089",МОЛОКО!L8:L6958,"&gt;0")</f>
        <v>28</v>
      </c>
      <c r="H401" s="797" t="s">
        <v>721</v>
      </c>
      <c r="I401" s="798">
        <v>41024</v>
      </c>
      <c r="J401" s="799">
        <f t="shared" ca="1" si="322"/>
        <v>5.7808219178082192</v>
      </c>
      <c r="K401" s="799">
        <f t="shared" ca="1" si="323"/>
        <v>70.333333333333329</v>
      </c>
      <c r="L401" s="800">
        <f t="shared" ca="1" si="324"/>
        <v>2110</v>
      </c>
      <c r="M401" s="801">
        <v>41793</v>
      </c>
      <c r="N401" s="802">
        <v>42913</v>
      </c>
      <c r="O401" s="803">
        <f t="shared" ca="1" si="325"/>
        <v>221</v>
      </c>
      <c r="P401" s="804">
        <v>4</v>
      </c>
      <c r="Q401" s="805" t="s">
        <v>1451</v>
      </c>
      <c r="R401" s="806" t="s">
        <v>2269</v>
      </c>
      <c r="S401" s="807">
        <v>42971</v>
      </c>
      <c r="T401" s="798">
        <v>42994</v>
      </c>
      <c r="U401" s="798" t="str">
        <f t="shared" si="326"/>
        <v>-</v>
      </c>
      <c r="V401" s="804" t="str">
        <f t="shared" ca="1" si="327"/>
        <v>-</v>
      </c>
      <c r="W401" s="808">
        <v>2</v>
      </c>
      <c r="X401" s="794">
        <f t="shared" si="320"/>
        <v>81</v>
      </c>
      <c r="Y401" s="794">
        <v>1</v>
      </c>
      <c r="Z401" s="809" t="str">
        <f t="shared" ca="1" si="328"/>
        <v>ПОДЛЕЖИТ ПЕРЕПРОВЕРКЕ</v>
      </c>
      <c r="AA401" s="810">
        <f t="shared" ca="1" si="329"/>
        <v>140</v>
      </c>
      <c r="AB401" s="804"/>
      <c r="AC401" s="811">
        <f t="shared" ca="1" si="330"/>
        <v>43066</v>
      </c>
      <c r="AD401" s="798"/>
      <c r="AE401" s="794" t="str">
        <f t="shared" ca="1" si="331"/>
        <v>-</v>
      </c>
      <c r="AF401" s="798" t="str">
        <f t="shared" si="332"/>
        <v>-</v>
      </c>
      <c r="AG401" s="812" t="str">
        <f t="shared" si="333"/>
        <v>---------</v>
      </c>
      <c r="AH401" s="807">
        <v>43024</v>
      </c>
      <c r="AI401" s="807">
        <f t="shared" si="334"/>
        <v>43184</v>
      </c>
      <c r="AJ401" s="807">
        <f t="shared" si="335"/>
        <v>43214</v>
      </c>
      <c r="AK401" s="813"/>
      <c r="AL401" s="807">
        <f t="shared" si="336"/>
        <v>43253</v>
      </c>
      <c r="AM401" s="807">
        <f t="shared" si="337"/>
        <v>43274</v>
      </c>
      <c r="AN401" s="814">
        <f t="shared" ca="1" si="338"/>
        <v>-140</v>
      </c>
      <c r="AO401" s="815">
        <v>1</v>
      </c>
      <c r="AP401" s="816" t="str">
        <f t="shared" ca="1" si="339"/>
        <v>-</v>
      </c>
      <c r="AQ401" s="817"/>
      <c r="AR401" s="794" t="str">
        <f t="shared" si="340"/>
        <v>-</v>
      </c>
      <c r="AS401" s="818"/>
      <c r="AT401" s="794" t="str">
        <f t="shared" si="341"/>
        <v>-</v>
      </c>
      <c r="AU401" s="819">
        <v>1</v>
      </c>
      <c r="AV401" s="820"/>
      <c r="AW401" s="821"/>
      <c r="AX401" s="821"/>
      <c r="AY401" s="969" t="str">
        <f t="shared" si="342"/>
        <v>-</v>
      </c>
      <c r="AZ401" s="966" t="str">
        <f t="shared" si="343"/>
        <v>-</v>
      </c>
      <c r="BA401" s="971" t="str">
        <f t="shared" si="344"/>
        <v>-</v>
      </c>
      <c r="BB401" s="975"/>
      <c r="BC401" s="821"/>
      <c r="BD401" s="821"/>
      <c r="BE401" s="963" t="str">
        <f t="shared" si="345"/>
        <v>-</v>
      </c>
      <c r="BF401" s="984"/>
      <c r="BG401" s="988"/>
      <c r="BH401" s="982"/>
      <c r="BI401" s="991"/>
      <c r="BJ401" s="991"/>
      <c r="BK401" s="993" t="str">
        <f t="shared" si="346"/>
        <v>-</v>
      </c>
      <c r="BL401" s="820">
        <v>42979</v>
      </c>
      <c r="BM401" s="821">
        <v>5</v>
      </c>
      <c r="BN401" s="822">
        <f t="shared" ca="1" si="347"/>
        <v>155</v>
      </c>
      <c r="BO401" s="823">
        <f t="shared" si="348"/>
        <v>65.166666666666671</v>
      </c>
      <c r="BP401" s="824"/>
      <c r="BQ401" s="821"/>
      <c r="BR401" s="822" t="str">
        <f t="shared" si="349"/>
        <v>-</v>
      </c>
      <c r="BS401" s="823" t="str">
        <f t="shared" si="350"/>
        <v>-</v>
      </c>
      <c r="BT401" s="825" t="str">
        <f t="shared" ca="1" si="351"/>
        <v>-</v>
      </c>
      <c r="BU401" s="826"/>
      <c r="BV401" s="827"/>
      <c r="BW401" s="828" t="str">
        <f t="shared" si="352"/>
        <v>Ж-Е НЕ ВАКЦ.</v>
      </c>
      <c r="BX401" s="829" t="str">
        <f t="shared" si="353"/>
        <v>-</v>
      </c>
      <c r="BY401" s="830" t="str">
        <f t="shared" ca="1" si="354"/>
        <v>-</v>
      </c>
      <c r="BZ401" s="831">
        <v>42940</v>
      </c>
      <c r="CA401" s="832">
        <v>5</v>
      </c>
      <c r="CB401" s="833">
        <f t="shared" ca="1" si="355"/>
        <v>194</v>
      </c>
      <c r="CC401" s="834" t="str">
        <f t="shared" ca="1" si="356"/>
        <v>-</v>
      </c>
      <c r="CD401" s="835">
        <f t="shared" si="357"/>
        <v>42961</v>
      </c>
      <c r="CE401" s="831">
        <v>42969</v>
      </c>
      <c r="CF401" s="832">
        <v>5</v>
      </c>
      <c r="CG401" s="833">
        <f t="shared" ca="1" si="358"/>
        <v>165</v>
      </c>
      <c r="CH401" s="836">
        <f t="shared" si="359"/>
        <v>-8</v>
      </c>
      <c r="CI401" s="837" t="str">
        <f t="shared" si="360"/>
        <v>-</v>
      </c>
      <c r="CJ401" s="838" t="str">
        <f t="shared" ca="1" si="361"/>
        <v>-</v>
      </c>
      <c r="CK401" s="831"/>
      <c r="CL401" s="832"/>
      <c r="CM401" s="833" t="str">
        <f t="shared" si="362"/>
        <v>-</v>
      </c>
      <c r="CN401" s="834" t="str">
        <f t="shared" si="363"/>
        <v>-</v>
      </c>
      <c r="CO401" s="830" t="str">
        <f t="shared" ca="1" si="364"/>
        <v>-</v>
      </c>
      <c r="CP401" s="839"/>
      <c r="CQ401" s="832"/>
      <c r="CR401" s="833" t="str">
        <f t="shared" si="365"/>
        <v>-</v>
      </c>
      <c r="CS401" s="833" t="str">
        <f t="shared" si="366"/>
        <v>-</v>
      </c>
      <c r="CT401" s="834" t="str">
        <f t="shared" si="367"/>
        <v>-</v>
      </c>
      <c r="CU401" s="835" t="str">
        <f t="shared" si="368"/>
        <v>-</v>
      </c>
      <c r="CV401" s="839"/>
      <c r="CW401" s="832"/>
      <c r="CX401" s="833" t="str">
        <f t="shared" si="369"/>
        <v>-</v>
      </c>
      <c r="CY401" s="840" t="str">
        <f t="shared" si="370"/>
        <v>-</v>
      </c>
      <c r="CZ401" s="833" t="str">
        <f t="shared" si="371"/>
        <v>-</v>
      </c>
      <c r="DA401" s="838" t="str">
        <f t="shared" ca="1" si="372"/>
        <v>-</v>
      </c>
      <c r="DB401" s="841"/>
      <c r="DC401" s="832"/>
    </row>
    <row r="402" spans="1:107" s="842" customFormat="1" ht="15.95" customHeight="1" x14ac:dyDescent="0.25">
      <c r="A402" s="790">
        <v>403</v>
      </c>
      <c r="B402" s="791">
        <f t="shared" ca="1" si="321"/>
        <v>43134</v>
      </c>
      <c r="C402" s="792" t="s">
        <v>615</v>
      </c>
      <c r="D402" s="793" t="s">
        <v>1633</v>
      </c>
      <c r="E402" s="794" t="s">
        <v>206</v>
      </c>
      <c r="F402" s="854" t="s">
        <v>921</v>
      </c>
      <c r="G402" s="796">
        <f>SUMIFS(МОЛОКО!L8:L6958,МОЛОКО!F8:F6958,"7115",МОЛОКО!L8:L6958,"&gt;0")</f>
        <v>34</v>
      </c>
      <c r="H402" s="797" t="s">
        <v>721</v>
      </c>
      <c r="I402" s="798">
        <v>41046</v>
      </c>
      <c r="J402" s="799">
        <f t="shared" ca="1" si="322"/>
        <v>5.720547945205479</v>
      </c>
      <c r="K402" s="799">
        <f t="shared" ca="1" si="323"/>
        <v>69.599999999999994</v>
      </c>
      <c r="L402" s="800">
        <f t="shared" ca="1" si="324"/>
        <v>2088</v>
      </c>
      <c r="M402" s="801">
        <v>41872</v>
      </c>
      <c r="N402" s="802">
        <v>42931</v>
      </c>
      <c r="O402" s="803">
        <f t="shared" ca="1" si="325"/>
        <v>203</v>
      </c>
      <c r="P402" s="804">
        <v>3</v>
      </c>
      <c r="Q402" s="68" t="s">
        <v>2366</v>
      </c>
      <c r="R402" s="118" t="s">
        <v>2966</v>
      </c>
      <c r="S402" s="807">
        <v>42992</v>
      </c>
      <c r="T402" s="798">
        <v>43042</v>
      </c>
      <c r="U402" s="798">
        <f t="shared" si="326"/>
        <v>43060</v>
      </c>
      <c r="V402" s="804">
        <f t="shared" ca="1" si="327"/>
        <v>74</v>
      </c>
      <c r="W402" s="808">
        <v>2</v>
      </c>
      <c r="X402" s="794">
        <f t="shared" si="320"/>
        <v>111</v>
      </c>
      <c r="Y402" s="794">
        <v>3</v>
      </c>
      <c r="Z402" s="809" t="str">
        <f t="shared" ca="1" si="328"/>
        <v>-----</v>
      </c>
      <c r="AA402" s="810">
        <f t="shared" ca="1" si="329"/>
        <v>92</v>
      </c>
      <c r="AB402" s="804"/>
      <c r="AC402" s="811" t="str">
        <f t="shared" ca="1" si="330"/>
        <v>-----</v>
      </c>
      <c r="AD402" s="798"/>
      <c r="AE402" s="794" t="str">
        <f t="shared" ca="1" si="331"/>
        <v>-</v>
      </c>
      <c r="AF402" s="798">
        <f t="shared" si="332"/>
        <v>43077</v>
      </c>
      <c r="AG402" s="812">
        <f t="shared" ca="1" si="333"/>
        <v>57</v>
      </c>
      <c r="AH402" s="807">
        <v>43028</v>
      </c>
      <c r="AI402" s="807" t="str">
        <f t="shared" si="334"/>
        <v>-</v>
      </c>
      <c r="AJ402" s="807" t="str">
        <f t="shared" si="335"/>
        <v>-</v>
      </c>
      <c r="AK402" s="813"/>
      <c r="AL402" s="807" t="str">
        <f t="shared" si="336"/>
        <v>-</v>
      </c>
      <c r="AM402" s="807" t="str">
        <f t="shared" si="337"/>
        <v>-</v>
      </c>
      <c r="AN402" s="814" t="str">
        <f t="shared" ca="1" si="338"/>
        <v>-</v>
      </c>
      <c r="AO402" s="815">
        <v>1</v>
      </c>
      <c r="AP402" s="816" t="str">
        <f t="shared" ca="1" si="339"/>
        <v>-</v>
      </c>
      <c r="AQ402" s="817"/>
      <c r="AR402" s="794" t="str">
        <f t="shared" si="340"/>
        <v>-</v>
      </c>
      <c r="AS402" s="818"/>
      <c r="AT402" s="794" t="str">
        <f t="shared" si="341"/>
        <v>-</v>
      </c>
      <c r="AU402" s="819">
        <v>1</v>
      </c>
      <c r="AV402" s="820"/>
      <c r="AW402" s="821"/>
      <c r="AX402" s="821"/>
      <c r="AY402" s="969" t="str">
        <f t="shared" si="342"/>
        <v>-</v>
      </c>
      <c r="AZ402" s="966" t="str">
        <f t="shared" si="343"/>
        <v>-</v>
      </c>
      <c r="BA402" s="971" t="str">
        <f t="shared" si="344"/>
        <v>-</v>
      </c>
      <c r="BB402" s="975"/>
      <c r="BC402" s="821"/>
      <c r="BD402" s="821"/>
      <c r="BE402" s="963" t="str">
        <f t="shared" si="345"/>
        <v>-</v>
      </c>
      <c r="BF402" s="984"/>
      <c r="BG402" s="988"/>
      <c r="BH402" s="982"/>
      <c r="BI402" s="991"/>
      <c r="BJ402" s="991"/>
      <c r="BK402" s="993" t="str">
        <f t="shared" si="346"/>
        <v>-</v>
      </c>
      <c r="BL402" s="820">
        <v>42979</v>
      </c>
      <c r="BM402" s="821">
        <v>5</v>
      </c>
      <c r="BN402" s="822">
        <f t="shared" ca="1" si="347"/>
        <v>155</v>
      </c>
      <c r="BO402" s="823">
        <f t="shared" si="348"/>
        <v>64.433333333333337</v>
      </c>
      <c r="BP402" s="824"/>
      <c r="BQ402" s="821"/>
      <c r="BR402" s="822" t="str">
        <f t="shared" si="349"/>
        <v>-</v>
      </c>
      <c r="BS402" s="823" t="str">
        <f t="shared" si="350"/>
        <v>-</v>
      </c>
      <c r="BT402" s="825" t="str">
        <f t="shared" ca="1" si="351"/>
        <v>-</v>
      </c>
      <c r="BU402" s="826"/>
      <c r="BV402" s="827"/>
      <c r="BW402" s="828" t="str">
        <f t="shared" si="352"/>
        <v>Ж-Е НЕ ВАКЦ.</v>
      </c>
      <c r="BX402" s="829" t="str">
        <f t="shared" si="353"/>
        <v>-</v>
      </c>
      <c r="BY402" s="830" t="str">
        <f t="shared" ca="1" si="354"/>
        <v>-</v>
      </c>
      <c r="BZ402" s="831">
        <v>42964</v>
      </c>
      <c r="CA402" s="832">
        <v>5</v>
      </c>
      <c r="CB402" s="833">
        <f t="shared" ca="1" si="355"/>
        <v>170</v>
      </c>
      <c r="CC402" s="834" t="str">
        <f t="shared" ca="1" si="356"/>
        <v>-</v>
      </c>
      <c r="CD402" s="835">
        <f t="shared" si="357"/>
        <v>42985</v>
      </c>
      <c r="CE402" s="831">
        <v>42985</v>
      </c>
      <c r="CF402" s="832">
        <v>5</v>
      </c>
      <c r="CG402" s="833">
        <f t="shared" ca="1" si="358"/>
        <v>149</v>
      </c>
      <c r="CH402" s="836">
        <f t="shared" si="359"/>
        <v>0</v>
      </c>
      <c r="CI402" s="837" t="str">
        <f t="shared" si="360"/>
        <v>УСПЕШНО</v>
      </c>
      <c r="CJ402" s="838" t="str">
        <f t="shared" ca="1" si="361"/>
        <v>-</v>
      </c>
      <c r="CK402" s="831"/>
      <c r="CL402" s="832"/>
      <c r="CM402" s="833" t="str">
        <f t="shared" si="362"/>
        <v>-</v>
      </c>
      <c r="CN402" s="834" t="str">
        <f t="shared" si="363"/>
        <v>-</v>
      </c>
      <c r="CO402" s="830" t="str">
        <f t="shared" ca="1" si="364"/>
        <v>-</v>
      </c>
      <c r="CP402" s="831">
        <v>42882</v>
      </c>
      <c r="CQ402" s="832">
        <v>2</v>
      </c>
      <c r="CR402" s="833">
        <f t="shared" si="365"/>
        <v>-160</v>
      </c>
      <c r="CS402" s="833">
        <f t="shared" ca="1" si="366"/>
        <v>252</v>
      </c>
      <c r="CT402" s="834" t="str">
        <f t="shared" ca="1" si="367"/>
        <v>-</v>
      </c>
      <c r="CU402" s="835">
        <f t="shared" si="368"/>
        <v>42903</v>
      </c>
      <c r="CV402" s="831">
        <v>42903</v>
      </c>
      <c r="CW402" s="832">
        <v>2</v>
      </c>
      <c r="CX402" s="833">
        <f t="shared" si="369"/>
        <v>0</v>
      </c>
      <c r="CY402" s="840" t="str">
        <f t="shared" si="370"/>
        <v>УСПЕШНО</v>
      </c>
      <c r="CZ402" s="833">
        <f t="shared" si="371"/>
        <v>-139</v>
      </c>
      <c r="DA402" s="838" t="str">
        <f t="shared" ca="1" si="372"/>
        <v>-</v>
      </c>
      <c r="DB402" s="841"/>
      <c r="DC402" s="832"/>
    </row>
    <row r="403" spans="1:107" s="842" customFormat="1" ht="15.95" customHeight="1" x14ac:dyDescent="0.25">
      <c r="A403" s="790">
        <v>404</v>
      </c>
      <c r="B403" s="791">
        <f t="shared" ca="1" si="321"/>
        <v>43134</v>
      </c>
      <c r="C403" s="792" t="s">
        <v>615</v>
      </c>
      <c r="D403" s="793" t="s">
        <v>1633</v>
      </c>
      <c r="E403" s="794" t="s">
        <v>124</v>
      </c>
      <c r="F403" s="854" t="s">
        <v>125</v>
      </c>
      <c r="G403" s="796">
        <f>SUMIFS(МОЛОКО!L8:L6958,МОЛОКО!F8:F6958,"10208",МОЛОКО!L8:L6958,"&gt;0")</f>
        <v>30</v>
      </c>
      <c r="H403" s="797" t="s">
        <v>87</v>
      </c>
      <c r="I403" s="798">
        <v>40641</v>
      </c>
      <c r="J403" s="799">
        <f t="shared" ca="1" si="322"/>
        <v>6.8301369863013699</v>
      </c>
      <c r="K403" s="799">
        <f t="shared" ca="1" si="323"/>
        <v>83.1</v>
      </c>
      <c r="L403" s="800">
        <f t="shared" ca="1" si="324"/>
        <v>2493</v>
      </c>
      <c r="M403" s="801">
        <v>41572</v>
      </c>
      <c r="N403" s="802">
        <v>42958</v>
      </c>
      <c r="O403" s="803">
        <f t="shared" ca="1" si="325"/>
        <v>176</v>
      </c>
      <c r="P403" s="804">
        <v>4</v>
      </c>
      <c r="Q403" s="68" t="s">
        <v>2366</v>
      </c>
      <c r="R403" s="118" t="s">
        <v>2966</v>
      </c>
      <c r="S403" s="807">
        <v>43027</v>
      </c>
      <c r="T403" s="798">
        <v>43045</v>
      </c>
      <c r="U403" s="798">
        <f t="shared" si="326"/>
        <v>43063</v>
      </c>
      <c r="V403" s="804">
        <f t="shared" ca="1" si="327"/>
        <v>71</v>
      </c>
      <c r="W403" s="808">
        <v>1</v>
      </c>
      <c r="X403" s="794">
        <f t="shared" si="320"/>
        <v>87</v>
      </c>
      <c r="Y403" s="794">
        <v>3</v>
      </c>
      <c r="Z403" s="809" t="str">
        <f t="shared" ca="1" si="328"/>
        <v>-----</v>
      </c>
      <c r="AA403" s="810">
        <f t="shared" ca="1" si="329"/>
        <v>89</v>
      </c>
      <c r="AB403" s="804"/>
      <c r="AC403" s="811" t="str">
        <f t="shared" ca="1" si="330"/>
        <v>-----</v>
      </c>
      <c r="AD403" s="798"/>
      <c r="AE403" s="794" t="str">
        <f t="shared" ca="1" si="331"/>
        <v>-</v>
      </c>
      <c r="AF403" s="798">
        <f t="shared" si="332"/>
        <v>43080</v>
      </c>
      <c r="AG403" s="812">
        <f t="shared" ca="1" si="333"/>
        <v>54</v>
      </c>
      <c r="AH403" s="807"/>
      <c r="AI403" s="807" t="str">
        <f t="shared" si="334"/>
        <v>-</v>
      </c>
      <c r="AJ403" s="807" t="str">
        <f t="shared" si="335"/>
        <v>-</v>
      </c>
      <c r="AK403" s="813"/>
      <c r="AL403" s="807" t="str">
        <f t="shared" si="336"/>
        <v>-</v>
      </c>
      <c r="AM403" s="807" t="str">
        <f t="shared" si="337"/>
        <v>-</v>
      </c>
      <c r="AN403" s="814" t="str">
        <f t="shared" ca="1" si="338"/>
        <v>-</v>
      </c>
      <c r="AO403" s="815">
        <v>1</v>
      </c>
      <c r="AP403" s="816" t="str">
        <f t="shared" ca="1" si="339"/>
        <v>-</v>
      </c>
      <c r="AQ403" s="817"/>
      <c r="AR403" s="794" t="str">
        <f t="shared" si="340"/>
        <v>-</v>
      </c>
      <c r="AS403" s="818"/>
      <c r="AT403" s="794" t="str">
        <f t="shared" si="341"/>
        <v>-</v>
      </c>
      <c r="AU403" s="819">
        <v>1</v>
      </c>
      <c r="AV403" s="820"/>
      <c r="AW403" s="821"/>
      <c r="AX403" s="821"/>
      <c r="AY403" s="969" t="str">
        <f t="shared" si="342"/>
        <v>-</v>
      </c>
      <c r="AZ403" s="966" t="str">
        <f t="shared" si="343"/>
        <v>-</v>
      </c>
      <c r="BA403" s="971" t="str">
        <f t="shared" si="344"/>
        <v>-</v>
      </c>
      <c r="BB403" s="975"/>
      <c r="BC403" s="821"/>
      <c r="BD403" s="821"/>
      <c r="BE403" s="963" t="str">
        <f t="shared" si="345"/>
        <v>-</v>
      </c>
      <c r="BF403" s="984"/>
      <c r="BG403" s="988"/>
      <c r="BH403" s="982"/>
      <c r="BI403" s="991"/>
      <c r="BJ403" s="991"/>
      <c r="BK403" s="993" t="str">
        <f t="shared" si="346"/>
        <v>-</v>
      </c>
      <c r="BL403" s="820">
        <v>42979</v>
      </c>
      <c r="BM403" s="821">
        <v>5</v>
      </c>
      <c r="BN403" s="822">
        <f t="shared" ca="1" si="347"/>
        <v>155</v>
      </c>
      <c r="BO403" s="823">
        <f t="shared" si="348"/>
        <v>77.933333333333337</v>
      </c>
      <c r="BP403" s="824"/>
      <c r="BQ403" s="821"/>
      <c r="BR403" s="822" t="str">
        <f t="shared" si="349"/>
        <v>-</v>
      </c>
      <c r="BS403" s="823" t="str">
        <f t="shared" si="350"/>
        <v>-</v>
      </c>
      <c r="BT403" s="825" t="str">
        <f t="shared" ca="1" si="351"/>
        <v>-</v>
      </c>
      <c r="BU403" s="826"/>
      <c r="BV403" s="827"/>
      <c r="BW403" s="828" t="str">
        <f t="shared" si="352"/>
        <v>Ж-Е НЕ ВАКЦ.</v>
      </c>
      <c r="BX403" s="829" t="str">
        <f t="shared" si="353"/>
        <v>-</v>
      </c>
      <c r="BY403" s="830" t="str">
        <f t="shared" ca="1" si="354"/>
        <v>-</v>
      </c>
      <c r="BZ403" s="831">
        <v>42988</v>
      </c>
      <c r="CA403" s="832">
        <v>5</v>
      </c>
      <c r="CB403" s="833">
        <f t="shared" ca="1" si="355"/>
        <v>146</v>
      </c>
      <c r="CC403" s="834" t="str">
        <f t="shared" ca="1" si="356"/>
        <v>-</v>
      </c>
      <c r="CD403" s="835">
        <f t="shared" si="357"/>
        <v>43009</v>
      </c>
      <c r="CE403" s="831">
        <v>43009</v>
      </c>
      <c r="CF403" s="832">
        <v>5</v>
      </c>
      <c r="CG403" s="833">
        <f t="shared" ca="1" si="358"/>
        <v>125</v>
      </c>
      <c r="CH403" s="836">
        <f t="shared" si="359"/>
        <v>0</v>
      </c>
      <c r="CI403" s="837" t="str">
        <f t="shared" si="360"/>
        <v>УСПЕШНО</v>
      </c>
      <c r="CJ403" s="838" t="str">
        <f t="shared" ca="1" si="361"/>
        <v>-</v>
      </c>
      <c r="CK403" s="831"/>
      <c r="CL403" s="832"/>
      <c r="CM403" s="833" t="str">
        <f t="shared" si="362"/>
        <v>-</v>
      </c>
      <c r="CN403" s="834" t="str">
        <f t="shared" si="363"/>
        <v>-</v>
      </c>
      <c r="CO403" s="830" t="str">
        <f t="shared" ca="1" si="364"/>
        <v>-</v>
      </c>
      <c r="CP403" s="831">
        <v>42890</v>
      </c>
      <c r="CQ403" s="832">
        <v>2</v>
      </c>
      <c r="CR403" s="833">
        <f t="shared" si="365"/>
        <v>-155</v>
      </c>
      <c r="CS403" s="833">
        <f t="shared" ca="1" si="366"/>
        <v>244</v>
      </c>
      <c r="CT403" s="834" t="str">
        <f t="shared" ca="1" si="367"/>
        <v>-</v>
      </c>
      <c r="CU403" s="835">
        <f t="shared" si="368"/>
        <v>42911</v>
      </c>
      <c r="CV403" s="831">
        <v>42911</v>
      </c>
      <c r="CW403" s="832">
        <v>2</v>
      </c>
      <c r="CX403" s="833">
        <f t="shared" si="369"/>
        <v>0</v>
      </c>
      <c r="CY403" s="840" t="str">
        <f t="shared" si="370"/>
        <v>УСПЕШНО</v>
      </c>
      <c r="CZ403" s="833">
        <f t="shared" si="371"/>
        <v>-134</v>
      </c>
      <c r="DA403" s="838" t="str">
        <f t="shared" ca="1" si="372"/>
        <v>-</v>
      </c>
      <c r="DB403" s="841"/>
      <c r="DC403" s="832"/>
    </row>
    <row r="404" spans="1:107" s="842" customFormat="1" ht="15.95" customHeight="1" x14ac:dyDescent="0.25">
      <c r="A404" s="790">
        <v>405</v>
      </c>
      <c r="B404" s="791">
        <f t="shared" ca="1" si="321"/>
        <v>43134</v>
      </c>
      <c r="C404" s="29" t="s">
        <v>615</v>
      </c>
      <c r="D404" s="59" t="s">
        <v>1633</v>
      </c>
      <c r="E404" s="794" t="s">
        <v>69</v>
      </c>
      <c r="F404" s="854" t="s">
        <v>189</v>
      </c>
      <c r="G404" s="796">
        <f>SUMIFS(МОЛОКО!L8:L6958,МОЛОКО!F8:F6958,"10276",МОЛОКО!L8:L6958,"&gt;0")</f>
        <v>32</v>
      </c>
      <c r="H404" s="797" t="s">
        <v>87</v>
      </c>
      <c r="I404" s="798">
        <v>40645</v>
      </c>
      <c r="J404" s="799">
        <f t="shared" ca="1" si="322"/>
        <v>6.8191780821917805</v>
      </c>
      <c r="K404" s="799">
        <f t="shared" ca="1" si="323"/>
        <v>82.966666666666669</v>
      </c>
      <c r="L404" s="800">
        <f t="shared" ca="1" si="324"/>
        <v>2489</v>
      </c>
      <c r="M404" s="801">
        <v>41638</v>
      </c>
      <c r="N404" s="802">
        <v>43025</v>
      </c>
      <c r="O404" s="803">
        <f t="shared" ca="1" si="325"/>
        <v>109</v>
      </c>
      <c r="P404" s="804">
        <v>4</v>
      </c>
      <c r="Q404" s="805"/>
      <c r="R404" s="806"/>
      <c r="S404" s="807"/>
      <c r="T404" s="798"/>
      <c r="U404" s="798" t="str">
        <f t="shared" si="326"/>
        <v>-</v>
      </c>
      <c r="V404" s="804" t="str">
        <f t="shared" ca="1" si="327"/>
        <v>-</v>
      </c>
      <c r="W404" s="808">
        <v>0</v>
      </c>
      <c r="X404" s="794" t="str">
        <f t="shared" si="320"/>
        <v>-</v>
      </c>
      <c r="Y404" s="794">
        <v>0</v>
      </c>
      <c r="Z404" s="809" t="str">
        <f t="shared" ca="1" si="328"/>
        <v>-----</v>
      </c>
      <c r="AA404" s="810">
        <f t="shared" ca="1" si="329"/>
        <v>43134</v>
      </c>
      <c r="AB404" s="804"/>
      <c r="AC404" s="811" t="str">
        <f t="shared" ca="1" si="330"/>
        <v>-----</v>
      </c>
      <c r="AD404" s="798"/>
      <c r="AE404" s="794" t="str">
        <f t="shared" ca="1" si="331"/>
        <v>-</v>
      </c>
      <c r="AF404" s="798" t="str">
        <f t="shared" si="332"/>
        <v>-</v>
      </c>
      <c r="AG404" s="812" t="str">
        <f t="shared" si="333"/>
        <v>---------</v>
      </c>
      <c r="AH404" s="807"/>
      <c r="AI404" s="807" t="str">
        <f t="shared" si="334"/>
        <v>-</v>
      </c>
      <c r="AJ404" s="807" t="str">
        <f t="shared" si="335"/>
        <v>-</v>
      </c>
      <c r="AK404" s="813"/>
      <c r="AL404" s="807" t="str">
        <f t="shared" si="336"/>
        <v>-</v>
      </c>
      <c r="AM404" s="807" t="str">
        <f t="shared" si="337"/>
        <v>-</v>
      </c>
      <c r="AN404" s="814" t="str">
        <f t="shared" ca="1" si="338"/>
        <v>-</v>
      </c>
      <c r="AO404" s="815">
        <v>1</v>
      </c>
      <c r="AP404" s="816" t="str">
        <f t="shared" ca="1" si="339"/>
        <v>-</v>
      </c>
      <c r="AQ404" s="817"/>
      <c r="AR404" s="794" t="str">
        <f t="shared" si="340"/>
        <v>-</v>
      </c>
      <c r="AS404" s="818"/>
      <c r="AT404" s="794" t="str">
        <f t="shared" si="341"/>
        <v>-</v>
      </c>
      <c r="AU404" s="819">
        <v>1</v>
      </c>
      <c r="AV404" s="820"/>
      <c r="AW404" s="821"/>
      <c r="AX404" s="821"/>
      <c r="AY404" s="969" t="str">
        <f t="shared" si="342"/>
        <v>-</v>
      </c>
      <c r="AZ404" s="966" t="str">
        <f t="shared" si="343"/>
        <v>-</v>
      </c>
      <c r="BA404" s="971" t="str">
        <f t="shared" si="344"/>
        <v>-</v>
      </c>
      <c r="BB404" s="975"/>
      <c r="BC404" s="821"/>
      <c r="BD404" s="821"/>
      <c r="BE404" s="963" t="str">
        <f t="shared" si="345"/>
        <v>-</v>
      </c>
      <c r="BF404" s="984"/>
      <c r="BG404" s="988"/>
      <c r="BH404" s="982"/>
      <c r="BI404" s="991"/>
      <c r="BJ404" s="991"/>
      <c r="BK404" s="993" t="str">
        <f t="shared" si="346"/>
        <v>-</v>
      </c>
      <c r="BL404" s="820">
        <v>42978</v>
      </c>
      <c r="BM404" s="821">
        <v>5</v>
      </c>
      <c r="BN404" s="822">
        <f t="shared" ca="1" si="347"/>
        <v>156</v>
      </c>
      <c r="BO404" s="823">
        <f t="shared" si="348"/>
        <v>77.766666666666666</v>
      </c>
      <c r="BP404" s="824"/>
      <c r="BQ404" s="821"/>
      <c r="BR404" s="822" t="str">
        <f t="shared" si="349"/>
        <v>-</v>
      </c>
      <c r="BS404" s="823" t="str">
        <f t="shared" si="350"/>
        <v>-</v>
      </c>
      <c r="BT404" s="825" t="str">
        <f t="shared" ca="1" si="351"/>
        <v>-</v>
      </c>
      <c r="BU404" s="826"/>
      <c r="BV404" s="827"/>
      <c r="BW404" s="828" t="str">
        <f t="shared" si="352"/>
        <v>Ж-Е НЕ ВАКЦ.</v>
      </c>
      <c r="BX404" s="829" t="str">
        <f t="shared" si="353"/>
        <v>-</v>
      </c>
      <c r="BY404" s="830" t="str">
        <f t="shared" ca="1" si="354"/>
        <v>-</v>
      </c>
      <c r="BZ404" s="831">
        <v>42887</v>
      </c>
      <c r="CA404" s="832">
        <v>5</v>
      </c>
      <c r="CB404" s="833">
        <f t="shared" ca="1" si="355"/>
        <v>247</v>
      </c>
      <c r="CC404" s="834" t="str">
        <f t="shared" ca="1" si="356"/>
        <v>-</v>
      </c>
      <c r="CD404" s="835">
        <f t="shared" si="357"/>
        <v>42908</v>
      </c>
      <c r="CE404" s="831">
        <v>42908</v>
      </c>
      <c r="CF404" s="832">
        <v>5</v>
      </c>
      <c r="CG404" s="833">
        <f t="shared" ca="1" si="358"/>
        <v>226</v>
      </c>
      <c r="CH404" s="836">
        <f t="shared" si="359"/>
        <v>0</v>
      </c>
      <c r="CI404" s="837" t="str">
        <f t="shared" si="360"/>
        <v>УСПЕШНО</v>
      </c>
      <c r="CJ404" s="838" t="str">
        <f t="shared" ca="1" si="361"/>
        <v>-</v>
      </c>
      <c r="CK404" s="831"/>
      <c r="CL404" s="832"/>
      <c r="CM404" s="833" t="str">
        <f t="shared" si="362"/>
        <v>-</v>
      </c>
      <c r="CN404" s="834" t="str">
        <f t="shared" si="363"/>
        <v>-</v>
      </c>
      <c r="CO404" s="830" t="str">
        <f t="shared" ca="1" si="364"/>
        <v>-</v>
      </c>
      <c r="CP404" s="831">
        <v>42962</v>
      </c>
      <c r="CQ404" s="832">
        <v>2</v>
      </c>
      <c r="CR404" s="833">
        <f t="shared" si="365"/>
        <v>42962</v>
      </c>
      <c r="CS404" s="833">
        <f t="shared" ca="1" si="366"/>
        <v>172</v>
      </c>
      <c r="CT404" s="834" t="str">
        <f t="shared" ca="1" si="367"/>
        <v>-</v>
      </c>
      <c r="CU404" s="835">
        <f t="shared" si="368"/>
        <v>42983</v>
      </c>
      <c r="CV404" s="831">
        <v>42983</v>
      </c>
      <c r="CW404" s="832">
        <v>2</v>
      </c>
      <c r="CX404" s="833">
        <f t="shared" si="369"/>
        <v>0</v>
      </c>
      <c r="CY404" s="840" t="str">
        <f t="shared" si="370"/>
        <v>УСПЕШНО</v>
      </c>
      <c r="CZ404" s="833">
        <f t="shared" si="371"/>
        <v>42983</v>
      </c>
      <c r="DA404" s="838" t="str">
        <f t="shared" ca="1" si="372"/>
        <v>-</v>
      </c>
      <c r="DB404" s="841"/>
      <c r="DC404" s="832"/>
    </row>
    <row r="405" spans="1:107" s="842" customFormat="1" ht="15.95" customHeight="1" x14ac:dyDescent="0.25">
      <c r="A405" s="790">
        <v>406</v>
      </c>
      <c r="B405" s="791">
        <f t="shared" ca="1" si="321"/>
        <v>43134</v>
      </c>
      <c r="C405" s="792" t="s">
        <v>615</v>
      </c>
      <c r="D405" s="793" t="s">
        <v>1633</v>
      </c>
      <c r="E405" s="794" t="s">
        <v>173</v>
      </c>
      <c r="F405" s="854" t="s">
        <v>174</v>
      </c>
      <c r="G405" s="796">
        <f>SUMIFS(МОЛОКО!L8:L6958,МОЛОКО!F8:F6958,"11103",МОЛОКО!L8:L6958,"&gt;0")</f>
        <v>28</v>
      </c>
      <c r="H405" s="797" t="s">
        <v>87</v>
      </c>
      <c r="I405" s="798">
        <v>40620</v>
      </c>
      <c r="J405" s="799">
        <f t="shared" ca="1" si="322"/>
        <v>6.8876712328767127</v>
      </c>
      <c r="K405" s="799">
        <f t="shared" ca="1" si="323"/>
        <v>83.8</v>
      </c>
      <c r="L405" s="800">
        <f t="shared" ca="1" si="324"/>
        <v>2514</v>
      </c>
      <c r="M405" s="801">
        <v>41612</v>
      </c>
      <c r="N405" s="802">
        <v>42944</v>
      </c>
      <c r="O405" s="803">
        <f t="shared" ca="1" si="325"/>
        <v>190</v>
      </c>
      <c r="P405" s="804">
        <v>4</v>
      </c>
      <c r="Q405" s="68" t="s">
        <v>2366</v>
      </c>
      <c r="R405" s="118" t="s">
        <v>2962</v>
      </c>
      <c r="S405" s="807">
        <v>43007</v>
      </c>
      <c r="T405" s="798">
        <v>43034</v>
      </c>
      <c r="U405" s="798">
        <f t="shared" si="326"/>
        <v>43052</v>
      </c>
      <c r="V405" s="804">
        <f t="shared" ca="1" si="327"/>
        <v>82</v>
      </c>
      <c r="W405" s="808">
        <v>2</v>
      </c>
      <c r="X405" s="794">
        <f t="shared" si="320"/>
        <v>90</v>
      </c>
      <c r="Y405" s="794">
        <v>3</v>
      </c>
      <c r="Z405" s="809" t="str">
        <f t="shared" ca="1" si="328"/>
        <v>-----</v>
      </c>
      <c r="AA405" s="810">
        <f t="shared" ca="1" si="329"/>
        <v>100</v>
      </c>
      <c r="AB405" s="804"/>
      <c r="AC405" s="811" t="str">
        <f t="shared" ca="1" si="330"/>
        <v>-----</v>
      </c>
      <c r="AD405" s="798"/>
      <c r="AE405" s="794" t="str">
        <f t="shared" ca="1" si="331"/>
        <v>-</v>
      </c>
      <c r="AF405" s="798">
        <f t="shared" si="332"/>
        <v>43069</v>
      </c>
      <c r="AG405" s="812">
        <f t="shared" ca="1" si="333"/>
        <v>65</v>
      </c>
      <c r="AH405" s="807"/>
      <c r="AI405" s="807" t="str">
        <f t="shared" si="334"/>
        <v>-</v>
      </c>
      <c r="AJ405" s="807" t="str">
        <f t="shared" si="335"/>
        <v>-</v>
      </c>
      <c r="AK405" s="813"/>
      <c r="AL405" s="807" t="str">
        <f t="shared" si="336"/>
        <v>-</v>
      </c>
      <c r="AM405" s="807" t="str">
        <f t="shared" si="337"/>
        <v>-</v>
      </c>
      <c r="AN405" s="814" t="str">
        <f t="shared" ca="1" si="338"/>
        <v>-</v>
      </c>
      <c r="AO405" s="815">
        <v>1</v>
      </c>
      <c r="AP405" s="816" t="str">
        <f t="shared" ca="1" si="339"/>
        <v>-</v>
      </c>
      <c r="AQ405" s="817"/>
      <c r="AR405" s="794" t="str">
        <f t="shared" si="340"/>
        <v>-</v>
      </c>
      <c r="AS405" s="818"/>
      <c r="AT405" s="794" t="str">
        <f t="shared" si="341"/>
        <v>-</v>
      </c>
      <c r="AU405" s="819">
        <v>1</v>
      </c>
      <c r="AV405" s="820"/>
      <c r="AW405" s="821"/>
      <c r="AX405" s="821"/>
      <c r="AY405" s="969" t="str">
        <f t="shared" si="342"/>
        <v>-</v>
      </c>
      <c r="AZ405" s="966" t="str">
        <f t="shared" si="343"/>
        <v>-</v>
      </c>
      <c r="BA405" s="971" t="str">
        <f t="shared" si="344"/>
        <v>-</v>
      </c>
      <c r="BB405" s="975"/>
      <c r="BC405" s="821"/>
      <c r="BD405" s="821"/>
      <c r="BE405" s="963" t="str">
        <f t="shared" si="345"/>
        <v>-</v>
      </c>
      <c r="BF405" s="984"/>
      <c r="BG405" s="988"/>
      <c r="BH405" s="982"/>
      <c r="BI405" s="991"/>
      <c r="BJ405" s="991"/>
      <c r="BK405" s="993" t="str">
        <f t="shared" si="346"/>
        <v>-</v>
      </c>
      <c r="BL405" s="820">
        <v>42979</v>
      </c>
      <c r="BM405" s="821">
        <v>5</v>
      </c>
      <c r="BN405" s="822">
        <f t="shared" ca="1" si="347"/>
        <v>155</v>
      </c>
      <c r="BO405" s="823">
        <f t="shared" si="348"/>
        <v>78.63333333333334</v>
      </c>
      <c r="BP405" s="824"/>
      <c r="BQ405" s="821"/>
      <c r="BR405" s="822" t="str">
        <f t="shared" si="349"/>
        <v>-</v>
      </c>
      <c r="BS405" s="823" t="str">
        <f t="shared" si="350"/>
        <v>-</v>
      </c>
      <c r="BT405" s="825" t="str">
        <f t="shared" ca="1" si="351"/>
        <v>-</v>
      </c>
      <c r="BU405" s="826"/>
      <c r="BV405" s="827"/>
      <c r="BW405" s="828" t="str">
        <f t="shared" si="352"/>
        <v>Ж-Е НЕ ВАКЦ.</v>
      </c>
      <c r="BX405" s="829" t="str">
        <f t="shared" si="353"/>
        <v>-</v>
      </c>
      <c r="BY405" s="830" t="str">
        <f t="shared" ca="1" si="354"/>
        <v>-</v>
      </c>
      <c r="BZ405" s="831">
        <v>42964</v>
      </c>
      <c r="CA405" s="832">
        <v>5</v>
      </c>
      <c r="CB405" s="833">
        <f t="shared" ca="1" si="355"/>
        <v>170</v>
      </c>
      <c r="CC405" s="834" t="str">
        <f t="shared" ca="1" si="356"/>
        <v>-</v>
      </c>
      <c r="CD405" s="835">
        <f t="shared" si="357"/>
        <v>42985</v>
      </c>
      <c r="CE405" s="831">
        <v>42985</v>
      </c>
      <c r="CF405" s="832">
        <v>5</v>
      </c>
      <c r="CG405" s="833">
        <f t="shared" ca="1" si="358"/>
        <v>149</v>
      </c>
      <c r="CH405" s="836">
        <f t="shared" si="359"/>
        <v>0</v>
      </c>
      <c r="CI405" s="837" t="str">
        <f t="shared" si="360"/>
        <v>УСПЕШНО</v>
      </c>
      <c r="CJ405" s="838" t="str">
        <f t="shared" ca="1" si="361"/>
        <v>-</v>
      </c>
      <c r="CK405" s="831"/>
      <c r="CL405" s="832"/>
      <c r="CM405" s="833" t="str">
        <f t="shared" si="362"/>
        <v>-</v>
      </c>
      <c r="CN405" s="834" t="str">
        <f t="shared" si="363"/>
        <v>-</v>
      </c>
      <c r="CO405" s="830" t="str">
        <f t="shared" ca="1" si="364"/>
        <v>-</v>
      </c>
      <c r="CP405" s="831">
        <v>42882</v>
      </c>
      <c r="CQ405" s="832">
        <v>2</v>
      </c>
      <c r="CR405" s="833">
        <f t="shared" si="365"/>
        <v>-152</v>
      </c>
      <c r="CS405" s="833">
        <f t="shared" ca="1" si="366"/>
        <v>252</v>
      </c>
      <c r="CT405" s="834" t="str">
        <f t="shared" ca="1" si="367"/>
        <v>-</v>
      </c>
      <c r="CU405" s="835">
        <f t="shared" si="368"/>
        <v>42903</v>
      </c>
      <c r="CV405" s="831">
        <v>42903</v>
      </c>
      <c r="CW405" s="832">
        <v>2</v>
      </c>
      <c r="CX405" s="833">
        <f t="shared" si="369"/>
        <v>0</v>
      </c>
      <c r="CY405" s="840" t="str">
        <f t="shared" si="370"/>
        <v>УСПЕШНО</v>
      </c>
      <c r="CZ405" s="833">
        <f t="shared" si="371"/>
        <v>-131</v>
      </c>
      <c r="DA405" s="838" t="str">
        <f t="shared" ca="1" si="372"/>
        <v>-</v>
      </c>
      <c r="DB405" s="841"/>
      <c r="DC405" s="832"/>
    </row>
    <row r="406" spans="1:107" s="842" customFormat="1" ht="15.95" customHeight="1" x14ac:dyDescent="0.25">
      <c r="A406" s="790">
        <v>407</v>
      </c>
      <c r="B406" s="791">
        <f t="shared" ca="1" si="321"/>
        <v>43134</v>
      </c>
      <c r="C406" s="792" t="s">
        <v>615</v>
      </c>
      <c r="D406" s="793" t="s">
        <v>1633</v>
      </c>
      <c r="E406" s="794" t="s">
        <v>190</v>
      </c>
      <c r="F406" s="854" t="s">
        <v>191</v>
      </c>
      <c r="G406" s="796">
        <f>SUMIFS(МОЛОКО!L8:L6958,МОЛОКО!F8:F6958,"11114",МОЛОКО!L8:L6958,"&gt;0")</f>
        <v>44</v>
      </c>
      <c r="H406" s="797" t="s">
        <v>87</v>
      </c>
      <c r="I406" s="798">
        <v>40623</v>
      </c>
      <c r="J406" s="799">
        <f t="shared" ca="1" si="322"/>
        <v>6.8794520547945206</v>
      </c>
      <c r="K406" s="799">
        <f t="shared" ca="1" si="323"/>
        <v>83.7</v>
      </c>
      <c r="L406" s="800">
        <f t="shared" ca="1" si="324"/>
        <v>2511</v>
      </c>
      <c r="M406" s="801">
        <v>41663</v>
      </c>
      <c r="N406" s="802">
        <v>42975</v>
      </c>
      <c r="O406" s="803">
        <f t="shared" ca="1" si="325"/>
        <v>159</v>
      </c>
      <c r="P406" s="804">
        <v>4</v>
      </c>
      <c r="Q406" s="68" t="s">
        <v>2366</v>
      </c>
      <c r="R406" s="118" t="s">
        <v>2966</v>
      </c>
      <c r="S406" s="807">
        <v>43041</v>
      </c>
      <c r="T406" s="798">
        <v>43041</v>
      </c>
      <c r="U406" s="798">
        <f t="shared" si="326"/>
        <v>43059</v>
      </c>
      <c r="V406" s="804">
        <f t="shared" ca="1" si="327"/>
        <v>75</v>
      </c>
      <c r="W406" s="808">
        <v>1</v>
      </c>
      <c r="X406" s="794">
        <f t="shared" si="320"/>
        <v>66</v>
      </c>
      <c r="Y406" s="794">
        <v>3</v>
      </c>
      <c r="Z406" s="809" t="str">
        <f t="shared" ca="1" si="328"/>
        <v>-----</v>
      </c>
      <c r="AA406" s="810">
        <f t="shared" ca="1" si="329"/>
        <v>93</v>
      </c>
      <c r="AB406" s="804"/>
      <c r="AC406" s="811" t="str">
        <f t="shared" ca="1" si="330"/>
        <v>-----</v>
      </c>
      <c r="AD406" s="798"/>
      <c r="AE406" s="794" t="str">
        <f t="shared" ca="1" si="331"/>
        <v>-</v>
      </c>
      <c r="AF406" s="798">
        <f t="shared" si="332"/>
        <v>43076</v>
      </c>
      <c r="AG406" s="812">
        <f t="shared" ca="1" si="333"/>
        <v>58</v>
      </c>
      <c r="AH406" s="807"/>
      <c r="AI406" s="807" t="str">
        <f t="shared" si="334"/>
        <v>-</v>
      </c>
      <c r="AJ406" s="807" t="str">
        <f t="shared" si="335"/>
        <v>-</v>
      </c>
      <c r="AK406" s="813"/>
      <c r="AL406" s="807" t="str">
        <f t="shared" si="336"/>
        <v>-</v>
      </c>
      <c r="AM406" s="807" t="str">
        <f t="shared" si="337"/>
        <v>-</v>
      </c>
      <c r="AN406" s="814" t="str">
        <f t="shared" ca="1" si="338"/>
        <v>-</v>
      </c>
      <c r="AO406" s="815">
        <v>1</v>
      </c>
      <c r="AP406" s="816" t="str">
        <f t="shared" ca="1" si="339"/>
        <v>-</v>
      </c>
      <c r="AQ406" s="817"/>
      <c r="AR406" s="794" t="str">
        <f t="shared" si="340"/>
        <v>-</v>
      </c>
      <c r="AS406" s="818"/>
      <c r="AT406" s="794" t="str">
        <f t="shared" si="341"/>
        <v>-</v>
      </c>
      <c r="AU406" s="819">
        <v>1</v>
      </c>
      <c r="AV406" s="820"/>
      <c r="AW406" s="821"/>
      <c r="AX406" s="821"/>
      <c r="AY406" s="969" t="str">
        <f t="shared" si="342"/>
        <v>-</v>
      </c>
      <c r="AZ406" s="966" t="str">
        <f t="shared" si="343"/>
        <v>-</v>
      </c>
      <c r="BA406" s="971" t="str">
        <f t="shared" si="344"/>
        <v>-</v>
      </c>
      <c r="BB406" s="975"/>
      <c r="BC406" s="821"/>
      <c r="BD406" s="821"/>
      <c r="BE406" s="963" t="str">
        <f t="shared" si="345"/>
        <v>-</v>
      </c>
      <c r="BF406" s="984"/>
      <c r="BG406" s="988"/>
      <c r="BH406" s="982"/>
      <c r="BI406" s="991"/>
      <c r="BJ406" s="991"/>
      <c r="BK406" s="993" t="str">
        <f t="shared" si="346"/>
        <v>-</v>
      </c>
      <c r="BL406" s="820">
        <v>42982</v>
      </c>
      <c r="BM406" s="821">
        <v>5</v>
      </c>
      <c r="BN406" s="822">
        <f t="shared" ca="1" si="347"/>
        <v>152</v>
      </c>
      <c r="BO406" s="823">
        <f t="shared" si="348"/>
        <v>78.63333333333334</v>
      </c>
      <c r="BP406" s="824"/>
      <c r="BQ406" s="821"/>
      <c r="BR406" s="822" t="str">
        <f t="shared" si="349"/>
        <v>-</v>
      </c>
      <c r="BS406" s="823" t="str">
        <f t="shared" si="350"/>
        <v>-</v>
      </c>
      <c r="BT406" s="825" t="str">
        <f t="shared" ca="1" si="351"/>
        <v>-</v>
      </c>
      <c r="BU406" s="826"/>
      <c r="BV406" s="827"/>
      <c r="BW406" s="828" t="str">
        <f t="shared" si="352"/>
        <v>Ж-Е НЕ ВАКЦ.</v>
      </c>
      <c r="BX406" s="829" t="str">
        <f t="shared" si="353"/>
        <v>-</v>
      </c>
      <c r="BY406" s="830" t="str">
        <f t="shared" ca="1" si="354"/>
        <v>-</v>
      </c>
      <c r="BZ406" s="831">
        <v>42887</v>
      </c>
      <c r="CA406" s="832">
        <v>5</v>
      </c>
      <c r="CB406" s="833">
        <f t="shared" ca="1" si="355"/>
        <v>247</v>
      </c>
      <c r="CC406" s="834" t="str">
        <f t="shared" ca="1" si="356"/>
        <v>-</v>
      </c>
      <c r="CD406" s="835">
        <f t="shared" si="357"/>
        <v>42908</v>
      </c>
      <c r="CE406" s="831">
        <v>42908</v>
      </c>
      <c r="CF406" s="832">
        <v>5</v>
      </c>
      <c r="CG406" s="833">
        <f t="shared" ca="1" si="358"/>
        <v>226</v>
      </c>
      <c r="CH406" s="836">
        <f t="shared" si="359"/>
        <v>0</v>
      </c>
      <c r="CI406" s="837" t="str">
        <f t="shared" si="360"/>
        <v>УСПЕШНО</v>
      </c>
      <c r="CJ406" s="838" t="str">
        <f t="shared" ca="1" si="361"/>
        <v>-</v>
      </c>
      <c r="CK406" s="831"/>
      <c r="CL406" s="832"/>
      <c r="CM406" s="833" t="str">
        <f t="shared" si="362"/>
        <v>-</v>
      </c>
      <c r="CN406" s="834" t="str">
        <f t="shared" si="363"/>
        <v>-</v>
      </c>
      <c r="CO406" s="830" t="str">
        <f t="shared" ca="1" si="364"/>
        <v>-</v>
      </c>
      <c r="CP406" s="831">
        <v>42925</v>
      </c>
      <c r="CQ406" s="832">
        <v>2</v>
      </c>
      <c r="CR406" s="833">
        <f t="shared" si="365"/>
        <v>-116</v>
      </c>
      <c r="CS406" s="833">
        <f t="shared" ca="1" si="366"/>
        <v>209</v>
      </c>
      <c r="CT406" s="834" t="str">
        <f t="shared" ca="1" si="367"/>
        <v>-</v>
      </c>
      <c r="CU406" s="835">
        <f t="shared" si="368"/>
        <v>42946</v>
      </c>
      <c r="CV406" s="831">
        <v>42946</v>
      </c>
      <c r="CW406" s="832">
        <v>2</v>
      </c>
      <c r="CX406" s="833">
        <f t="shared" si="369"/>
        <v>0</v>
      </c>
      <c r="CY406" s="840" t="str">
        <f t="shared" si="370"/>
        <v>УСПЕШНО</v>
      </c>
      <c r="CZ406" s="833">
        <f t="shared" si="371"/>
        <v>-95</v>
      </c>
      <c r="DA406" s="838" t="str">
        <f t="shared" ca="1" si="372"/>
        <v>-</v>
      </c>
      <c r="DB406" s="841"/>
      <c r="DC406" s="832"/>
    </row>
    <row r="407" spans="1:107" s="842" customFormat="1" ht="15.95" customHeight="1" x14ac:dyDescent="0.25">
      <c r="A407" s="790">
        <v>408</v>
      </c>
      <c r="B407" s="791">
        <f t="shared" ca="1" si="321"/>
        <v>43134</v>
      </c>
      <c r="C407" s="792" t="s">
        <v>615</v>
      </c>
      <c r="D407" s="793" t="s">
        <v>1633</v>
      </c>
      <c r="E407" s="794" t="s">
        <v>163</v>
      </c>
      <c r="F407" s="854" t="s">
        <v>164</v>
      </c>
      <c r="G407" s="796">
        <f>SUMIFS(МОЛОКО!L8:L6958,МОЛОКО!F8:F6958,"11233",МОЛОКО!L8:L6958,"&gt;0")</f>
        <v>29</v>
      </c>
      <c r="H407" s="797" t="s">
        <v>87</v>
      </c>
      <c r="I407" s="798">
        <v>40719</v>
      </c>
      <c r="J407" s="799">
        <f t="shared" ca="1" si="322"/>
        <v>6.6164383561643838</v>
      </c>
      <c r="K407" s="799">
        <f t="shared" ca="1" si="323"/>
        <v>80.5</v>
      </c>
      <c r="L407" s="800">
        <f t="shared" ca="1" si="324"/>
        <v>2415</v>
      </c>
      <c r="M407" s="801">
        <v>41606</v>
      </c>
      <c r="N407" s="802">
        <v>42956</v>
      </c>
      <c r="O407" s="803">
        <f t="shared" ca="1" si="325"/>
        <v>178</v>
      </c>
      <c r="P407" s="804">
        <v>4</v>
      </c>
      <c r="Q407" s="805" t="s">
        <v>1451</v>
      </c>
      <c r="R407" s="806" t="s">
        <v>3020</v>
      </c>
      <c r="S407" s="807">
        <v>43020</v>
      </c>
      <c r="T407" s="798">
        <v>43020</v>
      </c>
      <c r="U407" s="798">
        <f t="shared" si="326"/>
        <v>43038</v>
      </c>
      <c r="V407" s="804">
        <f t="shared" ca="1" si="327"/>
        <v>96</v>
      </c>
      <c r="W407" s="808">
        <v>1</v>
      </c>
      <c r="X407" s="794">
        <f t="shared" si="320"/>
        <v>64</v>
      </c>
      <c r="Y407" s="794">
        <v>2</v>
      </c>
      <c r="Z407" s="809" t="str">
        <f t="shared" ca="1" si="328"/>
        <v>-----</v>
      </c>
      <c r="AA407" s="810">
        <f t="shared" ca="1" si="329"/>
        <v>114</v>
      </c>
      <c r="AB407" s="804"/>
      <c r="AC407" s="811" t="str">
        <f t="shared" ca="1" si="330"/>
        <v>-----</v>
      </c>
      <c r="AD407" s="798"/>
      <c r="AE407" s="794" t="str">
        <f t="shared" ca="1" si="331"/>
        <v>-</v>
      </c>
      <c r="AF407" s="798">
        <f t="shared" si="332"/>
        <v>43055</v>
      </c>
      <c r="AG407" s="812">
        <f t="shared" ca="1" si="333"/>
        <v>79</v>
      </c>
      <c r="AH407" s="807">
        <v>43052</v>
      </c>
      <c r="AI407" s="807" t="str">
        <f t="shared" si="334"/>
        <v>-</v>
      </c>
      <c r="AJ407" s="807" t="str">
        <f t="shared" si="335"/>
        <v>-</v>
      </c>
      <c r="AK407" s="813"/>
      <c r="AL407" s="807" t="str">
        <f t="shared" si="336"/>
        <v>-</v>
      </c>
      <c r="AM407" s="807" t="str">
        <f t="shared" si="337"/>
        <v>-</v>
      </c>
      <c r="AN407" s="814" t="str">
        <f t="shared" ca="1" si="338"/>
        <v>-</v>
      </c>
      <c r="AO407" s="815">
        <v>1</v>
      </c>
      <c r="AP407" s="816" t="str">
        <f t="shared" ca="1" si="339"/>
        <v>-</v>
      </c>
      <c r="AQ407" s="817"/>
      <c r="AR407" s="794" t="str">
        <f t="shared" si="340"/>
        <v>-</v>
      </c>
      <c r="AS407" s="818"/>
      <c r="AT407" s="794" t="str">
        <f t="shared" si="341"/>
        <v>-</v>
      </c>
      <c r="AU407" s="819">
        <v>1</v>
      </c>
      <c r="AV407" s="820"/>
      <c r="AW407" s="821"/>
      <c r="AX407" s="821"/>
      <c r="AY407" s="969" t="str">
        <f t="shared" si="342"/>
        <v>-</v>
      </c>
      <c r="AZ407" s="966" t="str">
        <f t="shared" si="343"/>
        <v>-</v>
      </c>
      <c r="BA407" s="971" t="str">
        <f t="shared" si="344"/>
        <v>-</v>
      </c>
      <c r="BB407" s="975"/>
      <c r="BC407" s="821"/>
      <c r="BD407" s="821"/>
      <c r="BE407" s="963" t="str">
        <f t="shared" si="345"/>
        <v>-</v>
      </c>
      <c r="BF407" s="984"/>
      <c r="BG407" s="988"/>
      <c r="BH407" s="982"/>
      <c r="BI407" s="991"/>
      <c r="BJ407" s="991"/>
      <c r="BK407" s="993" t="str">
        <f t="shared" si="346"/>
        <v>-</v>
      </c>
      <c r="BL407" s="820">
        <v>42979</v>
      </c>
      <c r="BM407" s="821">
        <v>5</v>
      </c>
      <c r="BN407" s="822">
        <f t="shared" ca="1" si="347"/>
        <v>155</v>
      </c>
      <c r="BO407" s="823">
        <f t="shared" si="348"/>
        <v>75.333333333333329</v>
      </c>
      <c r="BP407" s="824"/>
      <c r="BQ407" s="821"/>
      <c r="BR407" s="822" t="str">
        <f t="shared" si="349"/>
        <v>-</v>
      </c>
      <c r="BS407" s="823" t="str">
        <f t="shared" si="350"/>
        <v>-</v>
      </c>
      <c r="BT407" s="825" t="str">
        <f t="shared" ca="1" si="351"/>
        <v>-</v>
      </c>
      <c r="BU407" s="826"/>
      <c r="BV407" s="827"/>
      <c r="BW407" s="828" t="str">
        <f t="shared" si="352"/>
        <v>Ж-Е НЕ ВАКЦ.</v>
      </c>
      <c r="BX407" s="829" t="str">
        <f t="shared" si="353"/>
        <v>-</v>
      </c>
      <c r="BY407" s="830" t="str">
        <f t="shared" ca="1" si="354"/>
        <v>-</v>
      </c>
      <c r="BZ407" s="831">
        <v>42988</v>
      </c>
      <c r="CA407" s="832">
        <v>5</v>
      </c>
      <c r="CB407" s="833">
        <f t="shared" ca="1" si="355"/>
        <v>146</v>
      </c>
      <c r="CC407" s="834" t="str">
        <f t="shared" ca="1" si="356"/>
        <v>-</v>
      </c>
      <c r="CD407" s="835">
        <f t="shared" si="357"/>
        <v>43009</v>
      </c>
      <c r="CE407" s="831">
        <v>43009</v>
      </c>
      <c r="CF407" s="832">
        <v>5</v>
      </c>
      <c r="CG407" s="833">
        <f t="shared" ca="1" si="358"/>
        <v>125</v>
      </c>
      <c r="CH407" s="836">
        <f t="shared" si="359"/>
        <v>0</v>
      </c>
      <c r="CI407" s="837" t="str">
        <f t="shared" si="360"/>
        <v>УСПЕШНО</v>
      </c>
      <c r="CJ407" s="838" t="str">
        <f t="shared" ca="1" si="361"/>
        <v>-</v>
      </c>
      <c r="CK407" s="831"/>
      <c r="CL407" s="832"/>
      <c r="CM407" s="833" t="str">
        <f t="shared" si="362"/>
        <v>-</v>
      </c>
      <c r="CN407" s="834" t="str">
        <f t="shared" si="363"/>
        <v>-</v>
      </c>
      <c r="CO407" s="830" t="str">
        <f t="shared" ca="1" si="364"/>
        <v>-</v>
      </c>
      <c r="CP407" s="831">
        <v>42890</v>
      </c>
      <c r="CQ407" s="832">
        <v>2</v>
      </c>
      <c r="CR407" s="833">
        <f t="shared" si="365"/>
        <v>-130</v>
      </c>
      <c r="CS407" s="833">
        <f t="shared" ca="1" si="366"/>
        <v>244</v>
      </c>
      <c r="CT407" s="834" t="str">
        <f t="shared" ca="1" si="367"/>
        <v>-</v>
      </c>
      <c r="CU407" s="835">
        <f t="shared" si="368"/>
        <v>42911</v>
      </c>
      <c r="CV407" s="831">
        <v>42911</v>
      </c>
      <c r="CW407" s="832">
        <v>2</v>
      </c>
      <c r="CX407" s="833">
        <f t="shared" si="369"/>
        <v>0</v>
      </c>
      <c r="CY407" s="840" t="str">
        <f t="shared" si="370"/>
        <v>УСПЕШНО</v>
      </c>
      <c r="CZ407" s="833">
        <f t="shared" si="371"/>
        <v>-109</v>
      </c>
      <c r="DA407" s="838" t="str">
        <f t="shared" ca="1" si="372"/>
        <v>-</v>
      </c>
      <c r="DB407" s="841"/>
      <c r="DC407" s="832"/>
    </row>
    <row r="408" spans="1:107" s="842" customFormat="1" ht="15.95" customHeight="1" x14ac:dyDescent="0.25">
      <c r="A408" s="790">
        <v>409</v>
      </c>
      <c r="B408" s="791">
        <f t="shared" ca="1" si="321"/>
        <v>43134</v>
      </c>
      <c r="C408" s="792" t="s">
        <v>615</v>
      </c>
      <c r="D408" s="793" t="s">
        <v>1633</v>
      </c>
      <c r="E408" s="794" t="s">
        <v>1408</v>
      </c>
      <c r="F408" s="854" t="s">
        <v>1409</v>
      </c>
      <c r="G408" s="796">
        <f>SUMIFS(МОЛОКО!L8:L6958,МОЛОКО!F8:F6958,"13194",МОЛОКО!L8:L6958,"&gt;0")</f>
        <v>25</v>
      </c>
      <c r="H408" s="797" t="s">
        <v>87</v>
      </c>
      <c r="I408" s="798">
        <v>41458</v>
      </c>
      <c r="J408" s="799">
        <f t="shared" ca="1" si="322"/>
        <v>4.5917808219178085</v>
      </c>
      <c r="K408" s="799">
        <f t="shared" ca="1" si="323"/>
        <v>55.866666666666667</v>
      </c>
      <c r="L408" s="800">
        <f t="shared" ca="1" si="324"/>
        <v>1676</v>
      </c>
      <c r="M408" s="801">
        <v>42495</v>
      </c>
      <c r="N408" s="802">
        <v>42950</v>
      </c>
      <c r="O408" s="803">
        <f t="shared" ca="1" si="325"/>
        <v>184</v>
      </c>
      <c r="P408" s="804">
        <v>2</v>
      </c>
      <c r="Q408" s="805" t="s">
        <v>1451</v>
      </c>
      <c r="R408" s="806" t="s">
        <v>3020</v>
      </c>
      <c r="S408" s="807">
        <v>43012</v>
      </c>
      <c r="T408" s="798">
        <v>43012</v>
      </c>
      <c r="U408" s="798" t="str">
        <f t="shared" si="326"/>
        <v>-</v>
      </c>
      <c r="V408" s="804" t="str">
        <f t="shared" ca="1" si="327"/>
        <v>-</v>
      </c>
      <c r="W408" s="808">
        <v>1</v>
      </c>
      <c r="X408" s="794">
        <f t="shared" si="320"/>
        <v>62</v>
      </c>
      <c r="Y408" s="794">
        <v>1</v>
      </c>
      <c r="Z408" s="809" t="str">
        <f t="shared" ca="1" si="328"/>
        <v>ПОДЛЕЖИТ ПЕРЕПРОВЕРКЕ</v>
      </c>
      <c r="AA408" s="810">
        <f t="shared" ca="1" si="329"/>
        <v>122</v>
      </c>
      <c r="AB408" s="804"/>
      <c r="AC408" s="811">
        <f t="shared" ca="1" si="330"/>
        <v>43084</v>
      </c>
      <c r="AD408" s="798"/>
      <c r="AE408" s="794" t="str">
        <f t="shared" ca="1" si="331"/>
        <v>-</v>
      </c>
      <c r="AF408" s="798" t="str">
        <f t="shared" si="332"/>
        <v>-</v>
      </c>
      <c r="AG408" s="812" t="str">
        <f t="shared" si="333"/>
        <v>---------</v>
      </c>
      <c r="AH408" s="807">
        <v>43045</v>
      </c>
      <c r="AI408" s="807">
        <f t="shared" si="334"/>
        <v>43202</v>
      </c>
      <c r="AJ408" s="807">
        <f t="shared" si="335"/>
        <v>43232</v>
      </c>
      <c r="AK408" s="813"/>
      <c r="AL408" s="807">
        <f t="shared" si="336"/>
        <v>43271</v>
      </c>
      <c r="AM408" s="807">
        <f t="shared" si="337"/>
        <v>43292</v>
      </c>
      <c r="AN408" s="814">
        <f t="shared" ca="1" si="338"/>
        <v>-158</v>
      </c>
      <c r="AO408" s="815">
        <v>1</v>
      </c>
      <c r="AP408" s="816" t="str">
        <f t="shared" ca="1" si="339"/>
        <v>-</v>
      </c>
      <c r="AQ408" s="817"/>
      <c r="AR408" s="794" t="str">
        <f t="shared" si="340"/>
        <v>-</v>
      </c>
      <c r="AS408" s="818"/>
      <c r="AT408" s="794" t="str">
        <f t="shared" si="341"/>
        <v>-</v>
      </c>
      <c r="AU408" s="819">
        <v>1</v>
      </c>
      <c r="AV408" s="820"/>
      <c r="AW408" s="821"/>
      <c r="AX408" s="821"/>
      <c r="AY408" s="969" t="str">
        <f t="shared" si="342"/>
        <v>-</v>
      </c>
      <c r="AZ408" s="966" t="str">
        <f t="shared" si="343"/>
        <v>-</v>
      </c>
      <c r="BA408" s="971" t="str">
        <f t="shared" si="344"/>
        <v>-</v>
      </c>
      <c r="BB408" s="975"/>
      <c r="BC408" s="821"/>
      <c r="BD408" s="821"/>
      <c r="BE408" s="963" t="str">
        <f t="shared" si="345"/>
        <v>-</v>
      </c>
      <c r="BF408" s="984"/>
      <c r="BG408" s="988"/>
      <c r="BH408" s="982"/>
      <c r="BI408" s="991"/>
      <c r="BJ408" s="991"/>
      <c r="BK408" s="993" t="str">
        <f t="shared" si="346"/>
        <v>-</v>
      </c>
      <c r="BL408" s="820">
        <v>42979</v>
      </c>
      <c r="BM408" s="821">
        <v>5</v>
      </c>
      <c r="BN408" s="822">
        <f t="shared" ca="1" si="347"/>
        <v>155</v>
      </c>
      <c r="BO408" s="823">
        <f t="shared" si="348"/>
        <v>50.7</v>
      </c>
      <c r="BP408" s="824"/>
      <c r="BQ408" s="821"/>
      <c r="BR408" s="822" t="str">
        <f t="shared" si="349"/>
        <v>-</v>
      </c>
      <c r="BS408" s="823" t="str">
        <f t="shared" si="350"/>
        <v>-</v>
      </c>
      <c r="BT408" s="825" t="str">
        <f t="shared" ca="1" si="351"/>
        <v>-</v>
      </c>
      <c r="BU408" s="826"/>
      <c r="BV408" s="827"/>
      <c r="BW408" s="828" t="str">
        <f t="shared" si="352"/>
        <v>Ж-Е НЕ ВАКЦ.</v>
      </c>
      <c r="BX408" s="829" t="str">
        <f t="shared" si="353"/>
        <v>-</v>
      </c>
      <c r="BY408" s="830" t="str">
        <f t="shared" ca="1" si="354"/>
        <v>-</v>
      </c>
      <c r="BZ408" s="831">
        <v>42988</v>
      </c>
      <c r="CA408" s="832">
        <v>5</v>
      </c>
      <c r="CB408" s="833">
        <f t="shared" ca="1" si="355"/>
        <v>146</v>
      </c>
      <c r="CC408" s="834" t="str">
        <f t="shared" ca="1" si="356"/>
        <v>-</v>
      </c>
      <c r="CD408" s="835">
        <f t="shared" si="357"/>
        <v>43009</v>
      </c>
      <c r="CE408" s="831">
        <v>43009</v>
      </c>
      <c r="CF408" s="832">
        <v>5</v>
      </c>
      <c r="CG408" s="833">
        <f t="shared" ca="1" si="358"/>
        <v>125</v>
      </c>
      <c r="CH408" s="836">
        <f t="shared" si="359"/>
        <v>0</v>
      </c>
      <c r="CI408" s="837" t="str">
        <f t="shared" si="360"/>
        <v>УСПЕШНО</v>
      </c>
      <c r="CJ408" s="838" t="str">
        <f t="shared" ca="1" si="361"/>
        <v>-</v>
      </c>
      <c r="CK408" s="831"/>
      <c r="CL408" s="832"/>
      <c r="CM408" s="833" t="str">
        <f t="shared" si="362"/>
        <v>-</v>
      </c>
      <c r="CN408" s="834" t="str">
        <f t="shared" si="363"/>
        <v>-</v>
      </c>
      <c r="CO408" s="830" t="str">
        <f t="shared" ca="1" si="364"/>
        <v>-</v>
      </c>
      <c r="CP408" s="831">
        <v>42882</v>
      </c>
      <c r="CQ408" s="832">
        <v>2</v>
      </c>
      <c r="CR408" s="833">
        <f t="shared" si="365"/>
        <v>-130</v>
      </c>
      <c r="CS408" s="833">
        <f t="shared" ca="1" si="366"/>
        <v>252</v>
      </c>
      <c r="CT408" s="834" t="str">
        <f t="shared" ca="1" si="367"/>
        <v>-</v>
      </c>
      <c r="CU408" s="835">
        <f t="shared" si="368"/>
        <v>42903</v>
      </c>
      <c r="CV408" s="831">
        <v>42903</v>
      </c>
      <c r="CW408" s="832">
        <v>2</v>
      </c>
      <c r="CX408" s="833">
        <f t="shared" si="369"/>
        <v>0</v>
      </c>
      <c r="CY408" s="840" t="str">
        <f t="shared" si="370"/>
        <v>УСПЕШНО</v>
      </c>
      <c r="CZ408" s="833">
        <f t="shared" si="371"/>
        <v>-109</v>
      </c>
      <c r="DA408" s="838" t="str">
        <f t="shared" ca="1" si="372"/>
        <v>-</v>
      </c>
      <c r="DB408" s="841"/>
      <c r="DC408" s="832"/>
    </row>
    <row r="409" spans="1:107" s="842" customFormat="1" ht="15.95" customHeight="1" x14ac:dyDescent="0.25">
      <c r="A409" s="790">
        <v>410</v>
      </c>
      <c r="B409" s="791">
        <f t="shared" ca="1" si="321"/>
        <v>43134</v>
      </c>
      <c r="C409" s="792" t="s">
        <v>615</v>
      </c>
      <c r="D409" s="793" t="s">
        <v>1633</v>
      </c>
      <c r="E409" s="794" t="s">
        <v>541</v>
      </c>
      <c r="F409" s="854" t="s">
        <v>540</v>
      </c>
      <c r="G409" s="796">
        <f>SUMIFS(МОЛОКО!L8:L6958,МОЛОКО!F8:F6958,"14024",МОЛОКО!L8:L6958,"&gt;0")</f>
        <v>39</v>
      </c>
      <c r="H409" s="797" t="s">
        <v>87</v>
      </c>
      <c r="I409" s="798">
        <v>41648</v>
      </c>
      <c r="J409" s="799">
        <f t="shared" ca="1" si="322"/>
        <v>4.0712328767123287</v>
      </c>
      <c r="K409" s="799">
        <f t="shared" ca="1" si="323"/>
        <v>49.533333333333331</v>
      </c>
      <c r="L409" s="800">
        <f t="shared" ca="1" si="324"/>
        <v>1486</v>
      </c>
      <c r="M409" s="801">
        <v>42433</v>
      </c>
      <c r="N409" s="802">
        <v>42945</v>
      </c>
      <c r="O409" s="803">
        <f t="shared" ca="1" si="325"/>
        <v>189</v>
      </c>
      <c r="P409" s="804">
        <v>2</v>
      </c>
      <c r="Q409" s="805" t="s">
        <v>2366</v>
      </c>
      <c r="R409" s="806" t="s">
        <v>3020</v>
      </c>
      <c r="S409" s="807">
        <v>43007</v>
      </c>
      <c r="T409" s="798">
        <v>43007</v>
      </c>
      <c r="U409" s="798" t="str">
        <f t="shared" si="326"/>
        <v>-</v>
      </c>
      <c r="V409" s="804" t="str">
        <f t="shared" ca="1" si="327"/>
        <v>-</v>
      </c>
      <c r="W409" s="808">
        <v>1</v>
      </c>
      <c r="X409" s="794">
        <f t="shared" si="320"/>
        <v>62</v>
      </c>
      <c r="Y409" s="794">
        <v>1</v>
      </c>
      <c r="Z409" s="809" t="str">
        <f t="shared" ca="1" si="328"/>
        <v>ПОДЛЕЖИТ ПЕРЕПРОВЕРКЕ</v>
      </c>
      <c r="AA409" s="810">
        <f t="shared" ca="1" si="329"/>
        <v>127</v>
      </c>
      <c r="AB409" s="804"/>
      <c r="AC409" s="811">
        <f t="shared" ca="1" si="330"/>
        <v>43079</v>
      </c>
      <c r="AD409" s="798"/>
      <c r="AE409" s="794" t="str">
        <f t="shared" ca="1" si="331"/>
        <v>-</v>
      </c>
      <c r="AF409" s="798" t="str">
        <f t="shared" si="332"/>
        <v>-</v>
      </c>
      <c r="AG409" s="812" t="str">
        <f t="shared" si="333"/>
        <v>---------</v>
      </c>
      <c r="AH409" s="807">
        <v>43042</v>
      </c>
      <c r="AI409" s="807">
        <f t="shared" si="334"/>
        <v>43197</v>
      </c>
      <c r="AJ409" s="807">
        <f t="shared" si="335"/>
        <v>43227</v>
      </c>
      <c r="AK409" s="813"/>
      <c r="AL409" s="807">
        <f t="shared" si="336"/>
        <v>43266</v>
      </c>
      <c r="AM409" s="807">
        <f t="shared" si="337"/>
        <v>43287</v>
      </c>
      <c r="AN409" s="814">
        <f t="shared" ca="1" si="338"/>
        <v>-153</v>
      </c>
      <c r="AO409" s="815">
        <v>1</v>
      </c>
      <c r="AP409" s="816" t="str">
        <f t="shared" ca="1" si="339"/>
        <v>-</v>
      </c>
      <c r="AQ409" s="817"/>
      <c r="AR409" s="794" t="str">
        <f t="shared" si="340"/>
        <v>-</v>
      </c>
      <c r="AS409" s="818"/>
      <c r="AT409" s="794" t="str">
        <f t="shared" si="341"/>
        <v>-</v>
      </c>
      <c r="AU409" s="819">
        <v>1</v>
      </c>
      <c r="AV409" s="820"/>
      <c r="AW409" s="821"/>
      <c r="AX409" s="821"/>
      <c r="AY409" s="969" t="str">
        <f t="shared" si="342"/>
        <v>-</v>
      </c>
      <c r="AZ409" s="966" t="str">
        <f t="shared" si="343"/>
        <v>-</v>
      </c>
      <c r="BA409" s="971" t="str">
        <f t="shared" si="344"/>
        <v>-</v>
      </c>
      <c r="BB409" s="975"/>
      <c r="BC409" s="821"/>
      <c r="BD409" s="821"/>
      <c r="BE409" s="963" t="str">
        <f t="shared" si="345"/>
        <v>-</v>
      </c>
      <c r="BF409" s="984"/>
      <c r="BG409" s="988"/>
      <c r="BH409" s="982"/>
      <c r="BI409" s="991"/>
      <c r="BJ409" s="991"/>
      <c r="BK409" s="993" t="str">
        <f t="shared" si="346"/>
        <v>-</v>
      </c>
      <c r="BL409" s="820">
        <v>42979</v>
      </c>
      <c r="BM409" s="821">
        <v>5</v>
      </c>
      <c r="BN409" s="822">
        <f t="shared" ca="1" si="347"/>
        <v>155</v>
      </c>
      <c r="BO409" s="823">
        <f t="shared" si="348"/>
        <v>44.366666666666667</v>
      </c>
      <c r="BP409" s="824"/>
      <c r="BQ409" s="821"/>
      <c r="BR409" s="822" t="str">
        <f t="shared" si="349"/>
        <v>-</v>
      </c>
      <c r="BS409" s="823" t="str">
        <f t="shared" si="350"/>
        <v>-</v>
      </c>
      <c r="BT409" s="825" t="str">
        <f t="shared" ca="1" si="351"/>
        <v>-</v>
      </c>
      <c r="BU409" s="826"/>
      <c r="BV409" s="827"/>
      <c r="BW409" s="828" t="str">
        <f t="shared" si="352"/>
        <v>Ж-Е НЕ ВАКЦ.</v>
      </c>
      <c r="BX409" s="829" t="str">
        <f t="shared" si="353"/>
        <v>-</v>
      </c>
      <c r="BY409" s="830" t="str">
        <f t="shared" ca="1" si="354"/>
        <v>-</v>
      </c>
      <c r="BZ409" s="831">
        <v>42988</v>
      </c>
      <c r="CA409" s="832">
        <v>5</v>
      </c>
      <c r="CB409" s="833">
        <f t="shared" ca="1" si="355"/>
        <v>146</v>
      </c>
      <c r="CC409" s="834" t="str">
        <f t="shared" ca="1" si="356"/>
        <v>-</v>
      </c>
      <c r="CD409" s="835">
        <f t="shared" si="357"/>
        <v>43009</v>
      </c>
      <c r="CE409" s="831">
        <v>43009</v>
      </c>
      <c r="CF409" s="832">
        <v>5</v>
      </c>
      <c r="CG409" s="833">
        <f t="shared" ca="1" si="358"/>
        <v>125</v>
      </c>
      <c r="CH409" s="836">
        <f t="shared" si="359"/>
        <v>0</v>
      </c>
      <c r="CI409" s="837" t="str">
        <f t="shared" si="360"/>
        <v>УСПЕШНО</v>
      </c>
      <c r="CJ409" s="838" t="str">
        <f t="shared" ca="1" si="361"/>
        <v>-</v>
      </c>
      <c r="CK409" s="831"/>
      <c r="CL409" s="832"/>
      <c r="CM409" s="833" t="str">
        <f t="shared" si="362"/>
        <v>-</v>
      </c>
      <c r="CN409" s="834" t="str">
        <f t="shared" si="363"/>
        <v>-</v>
      </c>
      <c r="CO409" s="830" t="str">
        <f t="shared" ca="1" si="364"/>
        <v>-</v>
      </c>
      <c r="CP409" s="831">
        <v>42882</v>
      </c>
      <c r="CQ409" s="832">
        <v>2</v>
      </c>
      <c r="CR409" s="833">
        <f t="shared" si="365"/>
        <v>-125</v>
      </c>
      <c r="CS409" s="833">
        <f t="shared" ca="1" si="366"/>
        <v>252</v>
      </c>
      <c r="CT409" s="834" t="str">
        <f t="shared" ca="1" si="367"/>
        <v>-</v>
      </c>
      <c r="CU409" s="835">
        <f t="shared" si="368"/>
        <v>42903</v>
      </c>
      <c r="CV409" s="831">
        <v>42903</v>
      </c>
      <c r="CW409" s="832">
        <v>2</v>
      </c>
      <c r="CX409" s="833">
        <f t="shared" si="369"/>
        <v>0</v>
      </c>
      <c r="CY409" s="840" t="str">
        <f t="shared" si="370"/>
        <v>УСПЕШНО</v>
      </c>
      <c r="CZ409" s="833">
        <f t="shared" si="371"/>
        <v>-104</v>
      </c>
      <c r="DA409" s="838" t="str">
        <f t="shared" ca="1" si="372"/>
        <v>-</v>
      </c>
      <c r="DB409" s="841"/>
      <c r="DC409" s="832"/>
    </row>
    <row r="410" spans="1:107" s="842" customFormat="1" ht="15.95" customHeight="1" x14ac:dyDescent="0.25">
      <c r="A410" s="790">
        <v>411</v>
      </c>
      <c r="B410" s="791">
        <f t="shared" ca="1" si="321"/>
        <v>43134</v>
      </c>
      <c r="C410" s="29" t="s">
        <v>615</v>
      </c>
      <c r="D410" s="327" t="s">
        <v>1633</v>
      </c>
      <c r="E410" s="794" t="s">
        <v>566</v>
      </c>
      <c r="F410" s="854" t="s">
        <v>567</v>
      </c>
      <c r="G410" s="796">
        <f>SUMIFS(МОЛОКО!L8:L6958,МОЛОКО!F8:F6958,"44014",МОЛОКО!L8:L6958,"&gt;0")</f>
        <v>25.7</v>
      </c>
      <c r="H410" s="797" t="s">
        <v>78</v>
      </c>
      <c r="I410" s="798">
        <v>41451</v>
      </c>
      <c r="J410" s="799">
        <f t="shared" ca="1" si="322"/>
        <v>4.6109589041095891</v>
      </c>
      <c r="K410" s="799">
        <f t="shared" ca="1" si="323"/>
        <v>56.1</v>
      </c>
      <c r="L410" s="800">
        <f t="shared" ca="1" si="324"/>
        <v>1683</v>
      </c>
      <c r="M410" s="801">
        <v>42244</v>
      </c>
      <c r="N410" s="802">
        <v>43015</v>
      </c>
      <c r="O410" s="803">
        <f t="shared" ca="1" si="325"/>
        <v>119</v>
      </c>
      <c r="P410" s="804">
        <v>3</v>
      </c>
      <c r="Q410" s="805"/>
      <c r="R410" s="806"/>
      <c r="S410" s="807"/>
      <c r="T410" s="798"/>
      <c r="U410" s="798" t="str">
        <f t="shared" si="326"/>
        <v>-</v>
      </c>
      <c r="V410" s="804" t="str">
        <f t="shared" ca="1" si="327"/>
        <v>-</v>
      </c>
      <c r="W410" s="808">
        <v>0</v>
      </c>
      <c r="X410" s="794" t="str">
        <f t="shared" si="320"/>
        <v>-</v>
      </c>
      <c r="Y410" s="794">
        <v>0</v>
      </c>
      <c r="Z410" s="809" t="str">
        <f t="shared" ca="1" si="328"/>
        <v>-----</v>
      </c>
      <c r="AA410" s="810">
        <f t="shared" ca="1" si="329"/>
        <v>43134</v>
      </c>
      <c r="AB410" s="804"/>
      <c r="AC410" s="811" t="str">
        <f t="shared" ca="1" si="330"/>
        <v>-----</v>
      </c>
      <c r="AD410" s="798"/>
      <c r="AE410" s="794" t="str">
        <f t="shared" ca="1" si="331"/>
        <v>-</v>
      </c>
      <c r="AF410" s="798" t="str">
        <f t="shared" si="332"/>
        <v>-</v>
      </c>
      <c r="AG410" s="812" t="str">
        <f t="shared" si="333"/>
        <v>---------</v>
      </c>
      <c r="AH410" s="807"/>
      <c r="AI410" s="807" t="str">
        <f t="shared" si="334"/>
        <v>-</v>
      </c>
      <c r="AJ410" s="807" t="str">
        <f t="shared" si="335"/>
        <v>-</v>
      </c>
      <c r="AK410" s="813"/>
      <c r="AL410" s="807" t="str">
        <f t="shared" si="336"/>
        <v>-</v>
      </c>
      <c r="AM410" s="807" t="str">
        <f t="shared" si="337"/>
        <v>-</v>
      </c>
      <c r="AN410" s="814" t="str">
        <f t="shared" ca="1" si="338"/>
        <v>-</v>
      </c>
      <c r="AO410" s="815">
        <v>1</v>
      </c>
      <c r="AP410" s="816" t="str">
        <f t="shared" ca="1" si="339"/>
        <v>-</v>
      </c>
      <c r="AQ410" s="817"/>
      <c r="AR410" s="794" t="str">
        <f t="shared" si="340"/>
        <v>-</v>
      </c>
      <c r="AS410" s="818"/>
      <c r="AT410" s="794" t="str">
        <f t="shared" si="341"/>
        <v>-</v>
      </c>
      <c r="AU410" s="819">
        <v>1</v>
      </c>
      <c r="AV410" s="820"/>
      <c r="AW410" s="821"/>
      <c r="AX410" s="821"/>
      <c r="AY410" s="969" t="str">
        <f t="shared" si="342"/>
        <v>-</v>
      </c>
      <c r="AZ410" s="966" t="str">
        <f t="shared" si="343"/>
        <v>-</v>
      </c>
      <c r="BA410" s="971" t="str">
        <f t="shared" si="344"/>
        <v>-</v>
      </c>
      <c r="BB410" s="975"/>
      <c r="BC410" s="821"/>
      <c r="BD410" s="821"/>
      <c r="BE410" s="963" t="str">
        <f t="shared" si="345"/>
        <v>-</v>
      </c>
      <c r="BF410" s="984"/>
      <c r="BG410" s="988"/>
      <c r="BH410" s="982"/>
      <c r="BI410" s="991"/>
      <c r="BJ410" s="991"/>
      <c r="BK410" s="993" t="str">
        <f t="shared" si="346"/>
        <v>-</v>
      </c>
      <c r="BL410" s="820">
        <v>42978</v>
      </c>
      <c r="BM410" s="821">
        <v>5</v>
      </c>
      <c r="BN410" s="822">
        <f t="shared" ca="1" si="347"/>
        <v>156</v>
      </c>
      <c r="BO410" s="823">
        <f t="shared" si="348"/>
        <v>50.9</v>
      </c>
      <c r="BP410" s="824"/>
      <c r="BQ410" s="821"/>
      <c r="BR410" s="822" t="str">
        <f t="shared" si="349"/>
        <v>-</v>
      </c>
      <c r="BS410" s="823" t="str">
        <f t="shared" si="350"/>
        <v>-</v>
      </c>
      <c r="BT410" s="825" t="str">
        <f t="shared" ca="1" si="351"/>
        <v>-</v>
      </c>
      <c r="BU410" s="826"/>
      <c r="BV410" s="827"/>
      <c r="BW410" s="828" t="str">
        <f t="shared" si="352"/>
        <v>Ж-Е НЕ ВАКЦ.</v>
      </c>
      <c r="BX410" s="829" t="str">
        <f t="shared" si="353"/>
        <v>-</v>
      </c>
      <c r="BY410" s="830" t="str">
        <f t="shared" ca="1" si="354"/>
        <v>-</v>
      </c>
      <c r="BZ410" s="831">
        <v>42887</v>
      </c>
      <c r="CA410" s="832">
        <v>5</v>
      </c>
      <c r="CB410" s="833">
        <f t="shared" ca="1" si="355"/>
        <v>247</v>
      </c>
      <c r="CC410" s="834" t="str">
        <f t="shared" ca="1" si="356"/>
        <v>-</v>
      </c>
      <c r="CD410" s="835">
        <f t="shared" si="357"/>
        <v>42908</v>
      </c>
      <c r="CE410" s="831">
        <v>42908</v>
      </c>
      <c r="CF410" s="832">
        <v>5</v>
      </c>
      <c r="CG410" s="833">
        <f t="shared" ca="1" si="358"/>
        <v>226</v>
      </c>
      <c r="CH410" s="836">
        <f t="shared" si="359"/>
        <v>0</v>
      </c>
      <c r="CI410" s="837" t="str">
        <f t="shared" si="360"/>
        <v>УСПЕШНО</v>
      </c>
      <c r="CJ410" s="838" t="str">
        <f t="shared" ca="1" si="361"/>
        <v>-</v>
      </c>
      <c r="CK410" s="831"/>
      <c r="CL410" s="832"/>
      <c r="CM410" s="833" t="str">
        <f t="shared" si="362"/>
        <v>-</v>
      </c>
      <c r="CN410" s="834" t="str">
        <f t="shared" si="363"/>
        <v>-</v>
      </c>
      <c r="CO410" s="830" t="str">
        <f t="shared" ca="1" si="364"/>
        <v>-</v>
      </c>
      <c r="CP410" s="831">
        <v>42958</v>
      </c>
      <c r="CQ410" s="832">
        <v>2</v>
      </c>
      <c r="CR410" s="833">
        <f t="shared" si="365"/>
        <v>42958</v>
      </c>
      <c r="CS410" s="833">
        <f t="shared" ca="1" si="366"/>
        <v>176</v>
      </c>
      <c r="CT410" s="834" t="str">
        <f t="shared" ca="1" si="367"/>
        <v>-</v>
      </c>
      <c r="CU410" s="835">
        <f t="shared" si="368"/>
        <v>42979</v>
      </c>
      <c r="CV410" s="831">
        <v>42980</v>
      </c>
      <c r="CW410" s="832">
        <v>2</v>
      </c>
      <c r="CX410" s="833">
        <f t="shared" si="369"/>
        <v>1</v>
      </c>
      <c r="CY410" s="840" t="str">
        <f t="shared" si="370"/>
        <v>-</v>
      </c>
      <c r="CZ410" s="833">
        <f t="shared" si="371"/>
        <v>42980</v>
      </c>
      <c r="DA410" s="838" t="str">
        <f t="shared" ca="1" si="372"/>
        <v>-</v>
      </c>
      <c r="DB410" s="841"/>
      <c r="DC410" s="832"/>
    </row>
    <row r="411" spans="1:107" s="842" customFormat="1" ht="15.95" customHeight="1" x14ac:dyDescent="0.25">
      <c r="A411" s="790">
        <v>412</v>
      </c>
      <c r="B411" s="791">
        <f t="shared" ca="1" si="321"/>
        <v>43134</v>
      </c>
      <c r="C411" s="792" t="s">
        <v>615</v>
      </c>
      <c r="D411" s="793" t="s">
        <v>1633</v>
      </c>
      <c r="E411" s="794" t="s">
        <v>572</v>
      </c>
      <c r="F411" s="854" t="s">
        <v>573</v>
      </c>
      <c r="G411" s="796">
        <f>SUMIFS(МОЛОКО!L8:L6958,МОЛОКО!F8:F6958,"277321",МОЛОКО!L8:L6958,"&gt;0")</f>
        <v>27</v>
      </c>
      <c r="H411" s="797" t="s">
        <v>78</v>
      </c>
      <c r="I411" s="798">
        <v>41405</v>
      </c>
      <c r="J411" s="799">
        <f t="shared" ca="1" si="322"/>
        <v>4.7369863013698632</v>
      </c>
      <c r="K411" s="799">
        <f t="shared" ca="1" si="323"/>
        <v>57.633333333333333</v>
      </c>
      <c r="L411" s="800">
        <f t="shared" ca="1" si="324"/>
        <v>1729</v>
      </c>
      <c r="M411" s="801">
        <v>42228</v>
      </c>
      <c r="N411" s="802">
        <v>42903</v>
      </c>
      <c r="O411" s="803">
        <f t="shared" ca="1" si="325"/>
        <v>231</v>
      </c>
      <c r="P411" s="804">
        <v>3</v>
      </c>
      <c r="Q411" s="805" t="s">
        <v>1451</v>
      </c>
      <c r="R411" s="806" t="s">
        <v>2966</v>
      </c>
      <c r="S411" s="807">
        <v>42964</v>
      </c>
      <c r="T411" s="798">
        <v>43007</v>
      </c>
      <c r="U411" s="798" t="str">
        <f t="shared" si="326"/>
        <v>-</v>
      </c>
      <c r="V411" s="804" t="str">
        <f t="shared" ca="1" si="327"/>
        <v>-</v>
      </c>
      <c r="W411" s="808">
        <v>2</v>
      </c>
      <c r="X411" s="794">
        <f t="shared" si="320"/>
        <v>104</v>
      </c>
      <c r="Y411" s="794">
        <v>0</v>
      </c>
      <c r="Z411" s="809" t="str">
        <f t="shared" ca="1" si="328"/>
        <v>-----</v>
      </c>
      <c r="AA411" s="810">
        <f t="shared" ca="1" si="329"/>
        <v>127</v>
      </c>
      <c r="AB411" s="804"/>
      <c r="AC411" s="811" t="str">
        <f t="shared" ca="1" si="330"/>
        <v>-----</v>
      </c>
      <c r="AD411" s="798"/>
      <c r="AE411" s="794" t="str">
        <f t="shared" ca="1" si="331"/>
        <v>яловая</v>
      </c>
      <c r="AF411" s="798" t="str">
        <f t="shared" si="332"/>
        <v>-</v>
      </c>
      <c r="AG411" s="812" t="str">
        <f t="shared" si="333"/>
        <v>---------</v>
      </c>
      <c r="AH411" s="807">
        <v>43042</v>
      </c>
      <c r="AI411" s="807" t="str">
        <f t="shared" si="334"/>
        <v>-</v>
      </c>
      <c r="AJ411" s="807" t="str">
        <f t="shared" si="335"/>
        <v>-</v>
      </c>
      <c r="AK411" s="813"/>
      <c r="AL411" s="807" t="str">
        <f t="shared" si="336"/>
        <v>-</v>
      </c>
      <c r="AM411" s="807" t="str">
        <f t="shared" si="337"/>
        <v>-</v>
      </c>
      <c r="AN411" s="814" t="str">
        <f t="shared" ca="1" si="338"/>
        <v>-</v>
      </c>
      <c r="AO411" s="815">
        <v>1</v>
      </c>
      <c r="AP411" s="816" t="str">
        <f t="shared" ca="1" si="339"/>
        <v>-</v>
      </c>
      <c r="AQ411" s="817"/>
      <c r="AR411" s="794" t="str">
        <f t="shared" si="340"/>
        <v>-</v>
      </c>
      <c r="AS411" s="818"/>
      <c r="AT411" s="794" t="str">
        <f t="shared" si="341"/>
        <v>-</v>
      </c>
      <c r="AU411" s="819">
        <v>1</v>
      </c>
      <c r="AV411" s="820"/>
      <c r="AW411" s="821"/>
      <c r="AX411" s="821"/>
      <c r="AY411" s="969" t="str">
        <f t="shared" si="342"/>
        <v>-</v>
      </c>
      <c r="AZ411" s="966" t="str">
        <f t="shared" si="343"/>
        <v>-</v>
      </c>
      <c r="BA411" s="971" t="str">
        <f t="shared" si="344"/>
        <v>-</v>
      </c>
      <c r="BB411" s="975"/>
      <c r="BC411" s="821"/>
      <c r="BD411" s="821"/>
      <c r="BE411" s="963" t="str">
        <f t="shared" si="345"/>
        <v>-</v>
      </c>
      <c r="BF411" s="984"/>
      <c r="BG411" s="988"/>
      <c r="BH411" s="982"/>
      <c r="BI411" s="991"/>
      <c r="BJ411" s="991"/>
      <c r="BK411" s="993" t="str">
        <f t="shared" si="346"/>
        <v>-</v>
      </c>
      <c r="BL411" s="820">
        <v>42979</v>
      </c>
      <c r="BM411" s="821">
        <v>5</v>
      </c>
      <c r="BN411" s="822">
        <f t="shared" ca="1" si="347"/>
        <v>155</v>
      </c>
      <c r="BO411" s="823">
        <f t="shared" si="348"/>
        <v>52.466666666666669</v>
      </c>
      <c r="BP411" s="824"/>
      <c r="BQ411" s="821"/>
      <c r="BR411" s="822" t="str">
        <f t="shared" si="349"/>
        <v>-</v>
      </c>
      <c r="BS411" s="823" t="str">
        <f t="shared" si="350"/>
        <v>-</v>
      </c>
      <c r="BT411" s="825" t="str">
        <f t="shared" ca="1" si="351"/>
        <v>-</v>
      </c>
      <c r="BU411" s="826"/>
      <c r="BV411" s="827"/>
      <c r="BW411" s="828" t="str">
        <f t="shared" si="352"/>
        <v>Ж-Е НЕ ВАКЦ.</v>
      </c>
      <c r="BX411" s="829" t="str">
        <f t="shared" si="353"/>
        <v>-</v>
      </c>
      <c r="BY411" s="830" t="str">
        <f t="shared" ca="1" si="354"/>
        <v>-</v>
      </c>
      <c r="BZ411" s="831">
        <v>42940</v>
      </c>
      <c r="CA411" s="832">
        <v>5</v>
      </c>
      <c r="CB411" s="833">
        <f t="shared" ca="1" si="355"/>
        <v>194</v>
      </c>
      <c r="CC411" s="834" t="str">
        <f t="shared" ca="1" si="356"/>
        <v>-</v>
      </c>
      <c r="CD411" s="835">
        <f t="shared" si="357"/>
        <v>42961</v>
      </c>
      <c r="CE411" s="831">
        <v>42969</v>
      </c>
      <c r="CF411" s="832">
        <v>5</v>
      </c>
      <c r="CG411" s="833">
        <f t="shared" ca="1" si="358"/>
        <v>165</v>
      </c>
      <c r="CH411" s="836">
        <f t="shared" si="359"/>
        <v>-8</v>
      </c>
      <c r="CI411" s="837" t="str">
        <f t="shared" si="360"/>
        <v>-</v>
      </c>
      <c r="CJ411" s="838" t="str">
        <f t="shared" ca="1" si="361"/>
        <v>-</v>
      </c>
      <c r="CK411" s="831"/>
      <c r="CL411" s="832"/>
      <c r="CM411" s="833" t="str">
        <f t="shared" si="362"/>
        <v>-</v>
      </c>
      <c r="CN411" s="834" t="str">
        <f t="shared" si="363"/>
        <v>-</v>
      </c>
      <c r="CO411" s="830" t="str">
        <f t="shared" ca="1" si="364"/>
        <v>-</v>
      </c>
      <c r="CP411" s="839"/>
      <c r="CQ411" s="832"/>
      <c r="CR411" s="833" t="str">
        <f t="shared" si="365"/>
        <v>-</v>
      </c>
      <c r="CS411" s="833" t="str">
        <f t="shared" si="366"/>
        <v>-</v>
      </c>
      <c r="CT411" s="834" t="str">
        <f t="shared" si="367"/>
        <v>-</v>
      </c>
      <c r="CU411" s="835" t="str">
        <f t="shared" si="368"/>
        <v>-</v>
      </c>
      <c r="CV411" s="839"/>
      <c r="CW411" s="832"/>
      <c r="CX411" s="833" t="str">
        <f t="shared" si="369"/>
        <v>-</v>
      </c>
      <c r="CY411" s="840" t="str">
        <f t="shared" si="370"/>
        <v>-</v>
      </c>
      <c r="CZ411" s="833" t="str">
        <f t="shared" si="371"/>
        <v>-</v>
      </c>
      <c r="DA411" s="838" t="str">
        <f t="shared" ca="1" si="372"/>
        <v>-</v>
      </c>
      <c r="DB411" s="841"/>
      <c r="DC411" s="832"/>
    </row>
    <row r="412" spans="1:107" s="842" customFormat="1" ht="15.95" customHeight="1" x14ac:dyDescent="0.25">
      <c r="A412" s="790">
        <v>413</v>
      </c>
      <c r="B412" s="791">
        <f t="shared" ca="1" si="321"/>
        <v>43134</v>
      </c>
      <c r="C412" s="792" t="s">
        <v>615</v>
      </c>
      <c r="D412" s="793" t="s">
        <v>1633</v>
      </c>
      <c r="E412" s="794" t="s">
        <v>461</v>
      </c>
      <c r="F412" s="854" t="s">
        <v>462</v>
      </c>
      <c r="G412" s="796">
        <f>SUMIFS(МОЛОКО!L8:L6958,МОЛОКО!F8:F6958,"277637",МОЛОКО!L8:L6958,"&gt;0")</f>
        <v>30</v>
      </c>
      <c r="H412" s="797" t="s">
        <v>78</v>
      </c>
      <c r="I412" s="798">
        <v>41370</v>
      </c>
      <c r="J412" s="799">
        <f t="shared" ca="1" si="322"/>
        <v>4.8328767123287673</v>
      </c>
      <c r="K412" s="799">
        <f t="shared" ca="1" si="323"/>
        <v>58.8</v>
      </c>
      <c r="L412" s="800">
        <f t="shared" ca="1" si="324"/>
        <v>1764</v>
      </c>
      <c r="M412" s="801">
        <v>42183</v>
      </c>
      <c r="N412" s="802">
        <v>42801</v>
      </c>
      <c r="O412" s="803">
        <f t="shared" ca="1" si="325"/>
        <v>333</v>
      </c>
      <c r="P412" s="804">
        <v>2</v>
      </c>
      <c r="Q412" s="805" t="s">
        <v>2366</v>
      </c>
      <c r="R412" s="806" t="s">
        <v>2962</v>
      </c>
      <c r="S412" s="807">
        <v>42941</v>
      </c>
      <c r="T412" s="855">
        <v>42940</v>
      </c>
      <c r="U412" s="798" t="str">
        <f t="shared" si="326"/>
        <v>-</v>
      </c>
      <c r="V412" s="804" t="str">
        <f t="shared" ca="1" si="327"/>
        <v>-</v>
      </c>
      <c r="W412" s="808">
        <v>1</v>
      </c>
      <c r="X412" s="794">
        <f t="shared" si="320"/>
        <v>139</v>
      </c>
      <c r="Y412" s="794">
        <v>1</v>
      </c>
      <c r="Z412" s="809" t="str">
        <f t="shared" ca="1" si="328"/>
        <v>-----</v>
      </c>
      <c r="AA412" s="810" t="str">
        <f t="shared" ca="1" si="329"/>
        <v>-----</v>
      </c>
      <c r="AB412" s="804">
        <v>1</v>
      </c>
      <c r="AC412" s="811" t="str">
        <f t="shared" ca="1" si="330"/>
        <v>-----</v>
      </c>
      <c r="AD412" s="798">
        <v>43014</v>
      </c>
      <c r="AE412" s="794" t="str">
        <f t="shared" ca="1" si="331"/>
        <v>-</v>
      </c>
      <c r="AF412" s="798" t="str">
        <f t="shared" si="332"/>
        <v>-</v>
      </c>
      <c r="AG412" s="812" t="str">
        <f t="shared" si="333"/>
        <v>---------</v>
      </c>
      <c r="AH412" s="807">
        <v>42968</v>
      </c>
      <c r="AI412" s="807">
        <f t="shared" si="334"/>
        <v>43130</v>
      </c>
      <c r="AJ412" s="807">
        <f t="shared" si="335"/>
        <v>43160</v>
      </c>
      <c r="AK412" s="813"/>
      <c r="AL412" s="807">
        <f t="shared" si="336"/>
        <v>43199</v>
      </c>
      <c r="AM412" s="807">
        <f t="shared" si="337"/>
        <v>43220</v>
      </c>
      <c r="AN412" s="814">
        <f t="shared" ca="1" si="338"/>
        <v>-86</v>
      </c>
      <c r="AO412" s="815">
        <v>1</v>
      </c>
      <c r="AP412" s="816" t="str">
        <f t="shared" ca="1" si="339"/>
        <v>-</v>
      </c>
      <c r="AQ412" s="817"/>
      <c r="AR412" s="794" t="str">
        <f t="shared" si="340"/>
        <v>-</v>
      </c>
      <c r="AS412" s="818"/>
      <c r="AT412" s="794" t="str">
        <f t="shared" si="341"/>
        <v>-</v>
      </c>
      <c r="AU412" s="819">
        <v>1</v>
      </c>
      <c r="AV412" s="820"/>
      <c r="AW412" s="821"/>
      <c r="AX412" s="821"/>
      <c r="AY412" s="969" t="str">
        <f t="shared" si="342"/>
        <v>-</v>
      </c>
      <c r="AZ412" s="966" t="str">
        <f t="shared" si="343"/>
        <v>-</v>
      </c>
      <c r="BA412" s="971" t="str">
        <f t="shared" si="344"/>
        <v>-</v>
      </c>
      <c r="BB412" s="975"/>
      <c r="BC412" s="821"/>
      <c r="BD412" s="821"/>
      <c r="BE412" s="963" t="str">
        <f t="shared" si="345"/>
        <v>-</v>
      </c>
      <c r="BF412" s="984"/>
      <c r="BG412" s="988"/>
      <c r="BH412" s="982"/>
      <c r="BI412" s="991"/>
      <c r="BJ412" s="991"/>
      <c r="BK412" s="993" t="str">
        <f t="shared" si="346"/>
        <v>-</v>
      </c>
      <c r="BL412" s="820">
        <v>42979</v>
      </c>
      <c r="BM412" s="821">
        <v>5</v>
      </c>
      <c r="BN412" s="822">
        <f t="shared" ca="1" si="347"/>
        <v>155</v>
      </c>
      <c r="BO412" s="823">
        <f t="shared" si="348"/>
        <v>53.633333333333333</v>
      </c>
      <c r="BP412" s="824"/>
      <c r="BQ412" s="821"/>
      <c r="BR412" s="822" t="str">
        <f t="shared" si="349"/>
        <v>-</v>
      </c>
      <c r="BS412" s="823" t="str">
        <f t="shared" si="350"/>
        <v>-</v>
      </c>
      <c r="BT412" s="825" t="str">
        <f t="shared" ca="1" si="351"/>
        <v>-</v>
      </c>
      <c r="BU412" s="826"/>
      <c r="BV412" s="827"/>
      <c r="BW412" s="828" t="str">
        <f t="shared" si="352"/>
        <v>Ж-Е НЕ ВАКЦ.</v>
      </c>
      <c r="BX412" s="829" t="str">
        <f t="shared" si="353"/>
        <v>-</v>
      </c>
      <c r="BY412" s="830" t="str">
        <f t="shared" ca="1" si="354"/>
        <v>-</v>
      </c>
      <c r="BZ412" s="831">
        <v>42887</v>
      </c>
      <c r="CA412" s="832">
        <v>5</v>
      </c>
      <c r="CB412" s="833">
        <f t="shared" ca="1" si="355"/>
        <v>247</v>
      </c>
      <c r="CC412" s="834" t="str">
        <f t="shared" ca="1" si="356"/>
        <v>-</v>
      </c>
      <c r="CD412" s="835">
        <f t="shared" si="357"/>
        <v>42908</v>
      </c>
      <c r="CE412" s="831">
        <v>42908</v>
      </c>
      <c r="CF412" s="832">
        <v>5</v>
      </c>
      <c r="CG412" s="833">
        <f t="shared" ca="1" si="358"/>
        <v>226</v>
      </c>
      <c r="CH412" s="836">
        <f t="shared" si="359"/>
        <v>0</v>
      </c>
      <c r="CI412" s="837" t="str">
        <f t="shared" si="360"/>
        <v>УСПЕШНО</v>
      </c>
      <c r="CJ412" s="838" t="str">
        <f t="shared" ca="1" si="361"/>
        <v>-</v>
      </c>
      <c r="CK412" s="831"/>
      <c r="CL412" s="832"/>
      <c r="CM412" s="833" t="str">
        <f t="shared" si="362"/>
        <v>-</v>
      </c>
      <c r="CN412" s="834" t="str">
        <f t="shared" si="363"/>
        <v>-</v>
      </c>
      <c r="CO412" s="830" t="str">
        <f t="shared" ca="1" si="364"/>
        <v>-</v>
      </c>
      <c r="CP412" s="839"/>
      <c r="CQ412" s="832"/>
      <c r="CR412" s="833" t="str">
        <f t="shared" si="365"/>
        <v>-</v>
      </c>
      <c r="CS412" s="833" t="str">
        <f t="shared" si="366"/>
        <v>-</v>
      </c>
      <c r="CT412" s="834" t="str">
        <f t="shared" si="367"/>
        <v>-</v>
      </c>
      <c r="CU412" s="835" t="str">
        <f t="shared" si="368"/>
        <v>-</v>
      </c>
      <c r="CV412" s="839"/>
      <c r="CW412" s="832"/>
      <c r="CX412" s="833" t="str">
        <f t="shared" si="369"/>
        <v>-</v>
      </c>
      <c r="CY412" s="840" t="str">
        <f t="shared" si="370"/>
        <v>-</v>
      </c>
      <c r="CZ412" s="833" t="str">
        <f t="shared" si="371"/>
        <v>-</v>
      </c>
      <c r="DA412" s="838" t="str">
        <f t="shared" ca="1" si="372"/>
        <v>-</v>
      </c>
      <c r="DB412" s="841"/>
      <c r="DC412" s="832"/>
    </row>
    <row r="413" spans="1:107" s="842" customFormat="1" ht="15.95" customHeight="1" x14ac:dyDescent="0.25">
      <c r="A413" s="790">
        <v>414</v>
      </c>
      <c r="B413" s="791">
        <f t="shared" ca="1" si="321"/>
        <v>43134</v>
      </c>
      <c r="C413" s="792" t="s">
        <v>615</v>
      </c>
      <c r="D413" s="793" t="s">
        <v>908</v>
      </c>
      <c r="E413" s="794" t="s">
        <v>802</v>
      </c>
      <c r="F413" s="854" t="s">
        <v>803</v>
      </c>
      <c r="G413" s="796">
        <f>SUMIFS(МОЛОКО!L8:L6958,МОЛОКО!F8:F6958,"61",МОЛОКО!L8:L6958,"&gt;0")</f>
        <v>23</v>
      </c>
      <c r="H413" s="797" t="s">
        <v>603</v>
      </c>
      <c r="I413" s="798">
        <v>40830</v>
      </c>
      <c r="J413" s="799">
        <f t="shared" ca="1" si="322"/>
        <v>6.3123287671232875</v>
      </c>
      <c r="K413" s="799">
        <f t="shared" ca="1" si="323"/>
        <v>76.8</v>
      </c>
      <c r="L413" s="800">
        <f t="shared" ca="1" si="324"/>
        <v>2304</v>
      </c>
      <c r="M413" s="801">
        <v>41752</v>
      </c>
      <c r="N413" s="802">
        <v>42974</v>
      </c>
      <c r="O413" s="803">
        <f t="shared" ca="1" si="325"/>
        <v>160</v>
      </c>
      <c r="P413" s="804">
        <v>4</v>
      </c>
      <c r="Q413" s="68" t="s">
        <v>2366</v>
      </c>
      <c r="R413" s="118" t="s">
        <v>2966</v>
      </c>
      <c r="S413" s="807">
        <v>43033</v>
      </c>
      <c r="T413" s="798">
        <v>43033</v>
      </c>
      <c r="U413" s="798">
        <f t="shared" si="326"/>
        <v>43051</v>
      </c>
      <c r="V413" s="804">
        <f t="shared" ca="1" si="327"/>
        <v>83</v>
      </c>
      <c r="W413" s="808">
        <v>1</v>
      </c>
      <c r="X413" s="794">
        <f t="shared" si="320"/>
        <v>59</v>
      </c>
      <c r="Y413" s="794">
        <v>3</v>
      </c>
      <c r="Z413" s="809" t="str">
        <f t="shared" ca="1" si="328"/>
        <v>-----</v>
      </c>
      <c r="AA413" s="810">
        <f t="shared" ca="1" si="329"/>
        <v>101</v>
      </c>
      <c r="AB413" s="804"/>
      <c r="AC413" s="811" t="str">
        <f t="shared" ca="1" si="330"/>
        <v>-----</v>
      </c>
      <c r="AD413" s="798"/>
      <c r="AE413" s="794" t="str">
        <f t="shared" ca="1" si="331"/>
        <v>-</v>
      </c>
      <c r="AF413" s="798">
        <f t="shared" si="332"/>
        <v>43068</v>
      </c>
      <c r="AG413" s="812">
        <f t="shared" ca="1" si="333"/>
        <v>66</v>
      </c>
      <c r="AH413" s="807"/>
      <c r="AI413" s="807" t="str">
        <f t="shared" si="334"/>
        <v>-</v>
      </c>
      <c r="AJ413" s="807" t="str">
        <f t="shared" si="335"/>
        <v>-</v>
      </c>
      <c r="AK413" s="813"/>
      <c r="AL413" s="807" t="str">
        <f t="shared" si="336"/>
        <v>-</v>
      </c>
      <c r="AM413" s="807" t="str">
        <f t="shared" si="337"/>
        <v>-</v>
      </c>
      <c r="AN413" s="814" t="str">
        <f t="shared" ca="1" si="338"/>
        <v>-</v>
      </c>
      <c r="AO413" s="815">
        <v>1</v>
      </c>
      <c r="AP413" s="816" t="str">
        <f t="shared" ca="1" si="339"/>
        <v>-</v>
      </c>
      <c r="AQ413" s="817"/>
      <c r="AR413" s="794" t="str">
        <f t="shared" si="340"/>
        <v>-</v>
      </c>
      <c r="AS413" s="818"/>
      <c r="AT413" s="794" t="str">
        <f t="shared" si="341"/>
        <v>-</v>
      </c>
      <c r="AU413" s="819">
        <v>1</v>
      </c>
      <c r="AV413" s="820"/>
      <c r="AW413" s="821"/>
      <c r="AX413" s="821"/>
      <c r="AY413" s="969" t="str">
        <f t="shared" si="342"/>
        <v>-</v>
      </c>
      <c r="AZ413" s="966" t="str">
        <f t="shared" si="343"/>
        <v>-</v>
      </c>
      <c r="BA413" s="971" t="str">
        <f t="shared" si="344"/>
        <v>-</v>
      </c>
      <c r="BB413" s="975"/>
      <c r="BC413" s="821"/>
      <c r="BD413" s="821"/>
      <c r="BE413" s="963" t="str">
        <f t="shared" si="345"/>
        <v>-</v>
      </c>
      <c r="BF413" s="984"/>
      <c r="BG413" s="988"/>
      <c r="BH413" s="982"/>
      <c r="BI413" s="991"/>
      <c r="BJ413" s="991"/>
      <c r="BK413" s="993" t="str">
        <f t="shared" si="346"/>
        <v>-</v>
      </c>
      <c r="BL413" s="820">
        <v>42982</v>
      </c>
      <c r="BM413" s="821">
        <v>5</v>
      </c>
      <c r="BN413" s="822">
        <f t="shared" ca="1" si="347"/>
        <v>152</v>
      </c>
      <c r="BO413" s="823">
        <f t="shared" si="348"/>
        <v>71.733333333333334</v>
      </c>
      <c r="BP413" s="824"/>
      <c r="BQ413" s="821"/>
      <c r="BR413" s="822" t="str">
        <f t="shared" si="349"/>
        <v>-</v>
      </c>
      <c r="BS413" s="823" t="str">
        <f t="shared" si="350"/>
        <v>-</v>
      </c>
      <c r="BT413" s="825" t="str">
        <f t="shared" ca="1" si="351"/>
        <v>-</v>
      </c>
      <c r="BU413" s="826"/>
      <c r="BV413" s="827"/>
      <c r="BW413" s="828" t="str">
        <f t="shared" si="352"/>
        <v>Ж-Е НЕ ВАКЦ.</v>
      </c>
      <c r="BX413" s="829" t="str">
        <f t="shared" si="353"/>
        <v>-</v>
      </c>
      <c r="BY413" s="830" t="str">
        <f t="shared" ca="1" si="354"/>
        <v>-</v>
      </c>
      <c r="BZ413" s="831">
        <v>42887</v>
      </c>
      <c r="CA413" s="832">
        <v>5</v>
      </c>
      <c r="CB413" s="833">
        <f t="shared" ca="1" si="355"/>
        <v>247</v>
      </c>
      <c r="CC413" s="834" t="str">
        <f t="shared" ca="1" si="356"/>
        <v>-</v>
      </c>
      <c r="CD413" s="835">
        <f t="shared" si="357"/>
        <v>42908</v>
      </c>
      <c r="CE413" s="831">
        <v>42908</v>
      </c>
      <c r="CF413" s="832">
        <v>5</v>
      </c>
      <c r="CG413" s="833">
        <f t="shared" ca="1" si="358"/>
        <v>226</v>
      </c>
      <c r="CH413" s="836">
        <f t="shared" si="359"/>
        <v>0</v>
      </c>
      <c r="CI413" s="837" t="str">
        <f t="shared" si="360"/>
        <v>УСПЕШНО</v>
      </c>
      <c r="CJ413" s="838" t="str">
        <f t="shared" ca="1" si="361"/>
        <v>-</v>
      </c>
      <c r="CK413" s="831"/>
      <c r="CL413" s="832"/>
      <c r="CM413" s="833" t="str">
        <f t="shared" si="362"/>
        <v>-</v>
      </c>
      <c r="CN413" s="834" t="str">
        <f t="shared" si="363"/>
        <v>-</v>
      </c>
      <c r="CO413" s="830" t="str">
        <f t="shared" ca="1" si="364"/>
        <v>-</v>
      </c>
      <c r="CP413" s="831">
        <v>42925</v>
      </c>
      <c r="CQ413" s="832">
        <v>2</v>
      </c>
      <c r="CR413" s="833">
        <f t="shared" si="365"/>
        <v>-108</v>
      </c>
      <c r="CS413" s="833">
        <f t="shared" ca="1" si="366"/>
        <v>209</v>
      </c>
      <c r="CT413" s="834" t="str">
        <f t="shared" ca="1" si="367"/>
        <v>-</v>
      </c>
      <c r="CU413" s="835">
        <f t="shared" si="368"/>
        <v>42946</v>
      </c>
      <c r="CV413" s="831">
        <v>42946</v>
      </c>
      <c r="CW413" s="832">
        <v>2</v>
      </c>
      <c r="CX413" s="833">
        <f t="shared" si="369"/>
        <v>0</v>
      </c>
      <c r="CY413" s="840" t="str">
        <f t="shared" si="370"/>
        <v>УСПЕШНО</v>
      </c>
      <c r="CZ413" s="833">
        <f t="shared" si="371"/>
        <v>-87</v>
      </c>
      <c r="DA413" s="838" t="str">
        <f t="shared" ca="1" si="372"/>
        <v>-</v>
      </c>
      <c r="DB413" s="841"/>
      <c r="DC413" s="832"/>
    </row>
    <row r="414" spans="1:107" s="842" customFormat="1" ht="15.95" customHeight="1" x14ac:dyDescent="0.25">
      <c r="A414" s="790">
        <v>415</v>
      </c>
      <c r="B414" s="791">
        <f t="shared" ca="1" si="321"/>
        <v>43134</v>
      </c>
      <c r="C414" s="792" t="s">
        <v>615</v>
      </c>
      <c r="D414" s="793" t="s">
        <v>908</v>
      </c>
      <c r="E414" s="794" t="s">
        <v>204</v>
      </c>
      <c r="F414" s="854" t="s">
        <v>205</v>
      </c>
      <c r="G414" s="796">
        <f>SUMIFS(МОЛОКО!L8:L6958,МОЛОКО!F8:F6958,"303",МОЛОКО!L8:L6958,"&gt;0")</f>
        <v>19</v>
      </c>
      <c r="H414" s="797" t="s">
        <v>603</v>
      </c>
      <c r="I414" s="798">
        <v>39591</v>
      </c>
      <c r="J414" s="799">
        <f t="shared" ca="1" si="322"/>
        <v>9.706849315068494</v>
      </c>
      <c r="K414" s="799">
        <f t="shared" ca="1" si="323"/>
        <v>118.1</v>
      </c>
      <c r="L414" s="800">
        <f t="shared" ca="1" si="324"/>
        <v>3543</v>
      </c>
      <c r="M414" s="801">
        <v>40214</v>
      </c>
      <c r="N414" s="802">
        <v>42940</v>
      </c>
      <c r="O414" s="803">
        <f t="shared" ca="1" si="325"/>
        <v>194</v>
      </c>
      <c r="P414" s="804">
        <v>6</v>
      </c>
      <c r="Q414" s="805" t="s">
        <v>1451</v>
      </c>
      <c r="R414" s="806" t="s">
        <v>2966</v>
      </c>
      <c r="S414" s="807">
        <v>43007</v>
      </c>
      <c r="T414" s="798">
        <v>43007</v>
      </c>
      <c r="U414" s="798" t="str">
        <f t="shared" si="326"/>
        <v>-</v>
      </c>
      <c r="V414" s="804" t="str">
        <f t="shared" ca="1" si="327"/>
        <v>-</v>
      </c>
      <c r="W414" s="808">
        <v>1</v>
      </c>
      <c r="X414" s="794">
        <f t="shared" si="320"/>
        <v>67</v>
      </c>
      <c r="Y414" s="794">
        <v>1</v>
      </c>
      <c r="Z414" s="809" t="str">
        <f t="shared" ca="1" si="328"/>
        <v>ПОДЛЕЖИТ ПЕРЕПРОВЕРКЕ</v>
      </c>
      <c r="AA414" s="810">
        <f t="shared" ca="1" si="329"/>
        <v>127</v>
      </c>
      <c r="AB414" s="804"/>
      <c r="AC414" s="811">
        <f t="shared" ca="1" si="330"/>
        <v>43079</v>
      </c>
      <c r="AD414" s="798"/>
      <c r="AE414" s="794" t="str">
        <f t="shared" ca="1" si="331"/>
        <v>-</v>
      </c>
      <c r="AF414" s="798" t="str">
        <f t="shared" si="332"/>
        <v>-</v>
      </c>
      <c r="AG414" s="812" t="str">
        <f t="shared" si="333"/>
        <v>---------</v>
      </c>
      <c r="AH414" s="807">
        <v>43042</v>
      </c>
      <c r="AI414" s="807">
        <f t="shared" si="334"/>
        <v>43197</v>
      </c>
      <c r="AJ414" s="807">
        <f t="shared" si="335"/>
        <v>43227</v>
      </c>
      <c r="AK414" s="813"/>
      <c r="AL414" s="807">
        <f t="shared" si="336"/>
        <v>43266</v>
      </c>
      <c r="AM414" s="807">
        <f t="shared" si="337"/>
        <v>43287</v>
      </c>
      <c r="AN414" s="814">
        <f t="shared" ca="1" si="338"/>
        <v>-153</v>
      </c>
      <c r="AO414" s="815">
        <v>1</v>
      </c>
      <c r="AP414" s="816" t="str">
        <f t="shared" ca="1" si="339"/>
        <v>-</v>
      </c>
      <c r="AQ414" s="817"/>
      <c r="AR414" s="794" t="str">
        <f t="shared" si="340"/>
        <v>-</v>
      </c>
      <c r="AS414" s="818"/>
      <c r="AT414" s="794" t="str">
        <f t="shared" si="341"/>
        <v>-</v>
      </c>
      <c r="AU414" s="819">
        <v>1</v>
      </c>
      <c r="AV414" s="820"/>
      <c r="AW414" s="821"/>
      <c r="AX414" s="821"/>
      <c r="AY414" s="969" t="str">
        <f t="shared" si="342"/>
        <v>-</v>
      </c>
      <c r="AZ414" s="966" t="str">
        <f t="shared" si="343"/>
        <v>-</v>
      </c>
      <c r="BA414" s="971" t="str">
        <f t="shared" si="344"/>
        <v>-</v>
      </c>
      <c r="BB414" s="975"/>
      <c r="BC414" s="821"/>
      <c r="BD414" s="821"/>
      <c r="BE414" s="963" t="str">
        <f t="shared" si="345"/>
        <v>-</v>
      </c>
      <c r="BF414" s="984"/>
      <c r="BG414" s="988"/>
      <c r="BH414" s="982"/>
      <c r="BI414" s="991"/>
      <c r="BJ414" s="991"/>
      <c r="BK414" s="993" t="str">
        <f t="shared" si="346"/>
        <v>-</v>
      </c>
      <c r="BL414" s="820">
        <v>42979</v>
      </c>
      <c r="BM414" s="821">
        <v>5</v>
      </c>
      <c r="BN414" s="822">
        <f t="shared" ca="1" si="347"/>
        <v>155</v>
      </c>
      <c r="BO414" s="823">
        <f t="shared" si="348"/>
        <v>112.93333333333334</v>
      </c>
      <c r="BP414" s="824"/>
      <c r="BQ414" s="821"/>
      <c r="BR414" s="822" t="str">
        <f t="shared" si="349"/>
        <v>-</v>
      </c>
      <c r="BS414" s="823" t="str">
        <f t="shared" si="350"/>
        <v>-</v>
      </c>
      <c r="BT414" s="825" t="str">
        <f t="shared" ca="1" si="351"/>
        <v>-</v>
      </c>
      <c r="BU414" s="826"/>
      <c r="BV414" s="827"/>
      <c r="BW414" s="828" t="str">
        <f t="shared" si="352"/>
        <v>Ж-Е НЕ ВАКЦ.</v>
      </c>
      <c r="BX414" s="829" t="str">
        <f t="shared" si="353"/>
        <v>-</v>
      </c>
      <c r="BY414" s="830" t="str">
        <f t="shared" ca="1" si="354"/>
        <v>-</v>
      </c>
      <c r="BZ414" s="831">
        <v>42964</v>
      </c>
      <c r="CA414" s="832">
        <v>5</v>
      </c>
      <c r="CB414" s="833">
        <f t="shared" ca="1" si="355"/>
        <v>170</v>
      </c>
      <c r="CC414" s="834" t="str">
        <f t="shared" ca="1" si="356"/>
        <v>-</v>
      </c>
      <c r="CD414" s="835">
        <f t="shared" si="357"/>
        <v>42985</v>
      </c>
      <c r="CE414" s="831">
        <v>42985</v>
      </c>
      <c r="CF414" s="832">
        <v>5</v>
      </c>
      <c r="CG414" s="833">
        <f t="shared" ca="1" si="358"/>
        <v>149</v>
      </c>
      <c r="CH414" s="836">
        <f t="shared" si="359"/>
        <v>0</v>
      </c>
      <c r="CI414" s="837" t="str">
        <f t="shared" si="360"/>
        <v>УСПЕШНО</v>
      </c>
      <c r="CJ414" s="838" t="str">
        <f t="shared" ca="1" si="361"/>
        <v>-</v>
      </c>
      <c r="CK414" s="831"/>
      <c r="CL414" s="832"/>
      <c r="CM414" s="833" t="str">
        <f t="shared" si="362"/>
        <v>-</v>
      </c>
      <c r="CN414" s="834" t="str">
        <f t="shared" si="363"/>
        <v>-</v>
      </c>
      <c r="CO414" s="830" t="str">
        <f t="shared" ca="1" si="364"/>
        <v>-</v>
      </c>
      <c r="CP414" s="831">
        <v>42882</v>
      </c>
      <c r="CQ414" s="832">
        <v>2</v>
      </c>
      <c r="CR414" s="833">
        <f t="shared" si="365"/>
        <v>-125</v>
      </c>
      <c r="CS414" s="833">
        <f t="shared" ca="1" si="366"/>
        <v>252</v>
      </c>
      <c r="CT414" s="834" t="str">
        <f t="shared" ca="1" si="367"/>
        <v>-</v>
      </c>
      <c r="CU414" s="835">
        <f t="shared" si="368"/>
        <v>42903</v>
      </c>
      <c r="CV414" s="831">
        <v>42903</v>
      </c>
      <c r="CW414" s="832">
        <v>2</v>
      </c>
      <c r="CX414" s="833">
        <f t="shared" si="369"/>
        <v>0</v>
      </c>
      <c r="CY414" s="840" t="str">
        <f t="shared" si="370"/>
        <v>УСПЕШНО</v>
      </c>
      <c r="CZ414" s="833">
        <f t="shared" si="371"/>
        <v>-104</v>
      </c>
      <c r="DA414" s="838" t="str">
        <f t="shared" ca="1" si="372"/>
        <v>-</v>
      </c>
      <c r="DB414" s="841"/>
      <c r="DC414" s="832"/>
    </row>
    <row r="415" spans="1:107" s="842" customFormat="1" ht="15" customHeight="1" x14ac:dyDescent="0.25">
      <c r="A415" s="790">
        <v>416</v>
      </c>
      <c r="B415" s="791">
        <f t="shared" ca="1" si="321"/>
        <v>43134</v>
      </c>
      <c r="C415" s="792" t="s">
        <v>615</v>
      </c>
      <c r="D415" s="793" t="s">
        <v>908</v>
      </c>
      <c r="E415" s="794" t="s">
        <v>69</v>
      </c>
      <c r="F415" s="854" t="s">
        <v>70</v>
      </c>
      <c r="G415" s="796">
        <f>SUMIFS(МОЛОКО!L8:L6958,МОЛОКО!F8:F6958,"789",МОЛОКО!L8:L6958,"&gt;0")</f>
        <v>37.200000000000003</v>
      </c>
      <c r="H415" s="797" t="s">
        <v>603</v>
      </c>
      <c r="I415" s="798">
        <v>40491</v>
      </c>
      <c r="J415" s="799">
        <f t="shared" ca="1" si="322"/>
        <v>7.2410958904109588</v>
      </c>
      <c r="K415" s="799">
        <f t="shared" ca="1" si="323"/>
        <v>88.1</v>
      </c>
      <c r="L415" s="800">
        <f t="shared" ca="1" si="324"/>
        <v>2643</v>
      </c>
      <c r="M415" s="801">
        <v>41004</v>
      </c>
      <c r="N415" s="802">
        <v>42997</v>
      </c>
      <c r="O415" s="803">
        <f t="shared" ca="1" si="325"/>
        <v>137</v>
      </c>
      <c r="P415" s="804">
        <v>6</v>
      </c>
      <c r="Q415" s="68" t="s">
        <v>1451</v>
      </c>
      <c r="R415" s="118" t="s">
        <v>2966</v>
      </c>
      <c r="S415" s="807">
        <v>43054</v>
      </c>
      <c r="T415" s="798">
        <v>43054</v>
      </c>
      <c r="U415" s="798">
        <f t="shared" si="326"/>
        <v>43072</v>
      </c>
      <c r="V415" s="804">
        <f t="shared" ca="1" si="327"/>
        <v>62</v>
      </c>
      <c r="W415" s="808">
        <v>1</v>
      </c>
      <c r="X415" s="794">
        <f t="shared" si="320"/>
        <v>57</v>
      </c>
      <c r="Y415" s="794">
        <v>3</v>
      </c>
      <c r="Z415" s="809" t="str">
        <f t="shared" ca="1" si="328"/>
        <v>-----</v>
      </c>
      <c r="AA415" s="810">
        <f t="shared" ca="1" si="329"/>
        <v>80</v>
      </c>
      <c r="AB415" s="804"/>
      <c r="AC415" s="811" t="str">
        <f t="shared" ca="1" si="330"/>
        <v>-----</v>
      </c>
      <c r="AD415" s="798"/>
      <c r="AE415" s="794" t="str">
        <f t="shared" ca="1" si="331"/>
        <v>-</v>
      </c>
      <c r="AF415" s="798">
        <f t="shared" si="332"/>
        <v>43089</v>
      </c>
      <c r="AG415" s="812">
        <f t="shared" ca="1" si="333"/>
        <v>45</v>
      </c>
      <c r="AH415" s="807"/>
      <c r="AI415" s="807" t="str">
        <f t="shared" si="334"/>
        <v>-</v>
      </c>
      <c r="AJ415" s="807" t="str">
        <f t="shared" si="335"/>
        <v>-</v>
      </c>
      <c r="AK415" s="813"/>
      <c r="AL415" s="807" t="str">
        <f t="shared" si="336"/>
        <v>-</v>
      </c>
      <c r="AM415" s="807" t="str">
        <f t="shared" si="337"/>
        <v>-</v>
      </c>
      <c r="AN415" s="814" t="str">
        <f t="shared" ca="1" si="338"/>
        <v>-</v>
      </c>
      <c r="AO415" s="815">
        <v>1</v>
      </c>
      <c r="AP415" s="816" t="str">
        <f t="shared" ca="1" si="339"/>
        <v>-</v>
      </c>
      <c r="AQ415" s="817"/>
      <c r="AR415" s="794" t="str">
        <f t="shared" si="340"/>
        <v>-</v>
      </c>
      <c r="AS415" s="818"/>
      <c r="AT415" s="794" t="str">
        <f t="shared" si="341"/>
        <v>-</v>
      </c>
      <c r="AU415" s="819">
        <v>1</v>
      </c>
      <c r="AV415" s="820"/>
      <c r="AW415" s="821"/>
      <c r="AX415" s="821"/>
      <c r="AY415" s="969" t="str">
        <f t="shared" si="342"/>
        <v>-</v>
      </c>
      <c r="AZ415" s="966" t="str">
        <f t="shared" si="343"/>
        <v>-</v>
      </c>
      <c r="BA415" s="971" t="str">
        <f t="shared" si="344"/>
        <v>-</v>
      </c>
      <c r="BB415" s="975"/>
      <c r="BC415" s="821"/>
      <c r="BD415" s="821"/>
      <c r="BE415" s="963" t="str">
        <f t="shared" si="345"/>
        <v>-</v>
      </c>
      <c r="BF415" s="984"/>
      <c r="BG415" s="988"/>
      <c r="BH415" s="982"/>
      <c r="BI415" s="991"/>
      <c r="BJ415" s="991"/>
      <c r="BK415" s="993" t="str">
        <f t="shared" si="346"/>
        <v>-</v>
      </c>
      <c r="BL415" s="820">
        <v>42978</v>
      </c>
      <c r="BM415" s="821">
        <v>5</v>
      </c>
      <c r="BN415" s="822">
        <f t="shared" ca="1" si="347"/>
        <v>156</v>
      </c>
      <c r="BO415" s="823">
        <f t="shared" si="348"/>
        <v>82.9</v>
      </c>
      <c r="BP415" s="824"/>
      <c r="BQ415" s="821"/>
      <c r="BR415" s="822" t="str">
        <f t="shared" si="349"/>
        <v>-</v>
      </c>
      <c r="BS415" s="823" t="str">
        <f t="shared" si="350"/>
        <v>-</v>
      </c>
      <c r="BT415" s="825" t="str">
        <f t="shared" ca="1" si="351"/>
        <v>-</v>
      </c>
      <c r="BU415" s="826"/>
      <c r="BV415" s="827"/>
      <c r="BW415" s="828" t="str">
        <f t="shared" si="352"/>
        <v>Ж-Е НЕ ВАКЦ.</v>
      </c>
      <c r="BX415" s="829" t="str">
        <f t="shared" si="353"/>
        <v>-</v>
      </c>
      <c r="BY415" s="830" t="str">
        <f t="shared" ca="1" si="354"/>
        <v>-</v>
      </c>
      <c r="BZ415" s="831">
        <v>42887</v>
      </c>
      <c r="CA415" s="832">
        <v>5</v>
      </c>
      <c r="CB415" s="833">
        <f t="shared" ca="1" si="355"/>
        <v>247</v>
      </c>
      <c r="CC415" s="834" t="str">
        <f t="shared" ca="1" si="356"/>
        <v>-</v>
      </c>
      <c r="CD415" s="835">
        <f t="shared" si="357"/>
        <v>42908</v>
      </c>
      <c r="CE415" s="831">
        <v>42908</v>
      </c>
      <c r="CF415" s="832">
        <v>5</v>
      </c>
      <c r="CG415" s="833">
        <f t="shared" ca="1" si="358"/>
        <v>226</v>
      </c>
      <c r="CH415" s="836">
        <f t="shared" si="359"/>
        <v>0</v>
      </c>
      <c r="CI415" s="837" t="str">
        <f t="shared" si="360"/>
        <v>УСПЕШНО</v>
      </c>
      <c r="CJ415" s="838" t="str">
        <f t="shared" ca="1" si="361"/>
        <v>-</v>
      </c>
      <c r="CK415" s="831"/>
      <c r="CL415" s="832"/>
      <c r="CM415" s="833" t="str">
        <f t="shared" si="362"/>
        <v>-</v>
      </c>
      <c r="CN415" s="834" t="str">
        <f t="shared" si="363"/>
        <v>-</v>
      </c>
      <c r="CO415" s="830" t="str">
        <f t="shared" ca="1" si="364"/>
        <v>-</v>
      </c>
      <c r="CP415" s="831">
        <v>42958</v>
      </c>
      <c r="CQ415" s="832">
        <v>2</v>
      </c>
      <c r="CR415" s="833">
        <f t="shared" si="365"/>
        <v>-96</v>
      </c>
      <c r="CS415" s="833">
        <f t="shared" ca="1" si="366"/>
        <v>176</v>
      </c>
      <c r="CT415" s="834" t="str">
        <f t="shared" ca="1" si="367"/>
        <v>-</v>
      </c>
      <c r="CU415" s="835">
        <f t="shared" si="368"/>
        <v>42979</v>
      </c>
      <c r="CV415" s="831">
        <v>42980</v>
      </c>
      <c r="CW415" s="832">
        <v>2</v>
      </c>
      <c r="CX415" s="833">
        <f t="shared" si="369"/>
        <v>1</v>
      </c>
      <c r="CY415" s="840" t="str">
        <f t="shared" si="370"/>
        <v>-</v>
      </c>
      <c r="CZ415" s="833">
        <f t="shared" si="371"/>
        <v>-74</v>
      </c>
      <c r="DA415" s="838" t="str">
        <f t="shared" ca="1" si="372"/>
        <v>-</v>
      </c>
      <c r="DB415" s="841"/>
      <c r="DC415" s="832"/>
    </row>
    <row r="416" spans="1:107" s="842" customFormat="1" ht="15.95" customHeight="1" x14ac:dyDescent="0.25">
      <c r="A416" s="790">
        <v>417</v>
      </c>
      <c r="B416" s="791">
        <f t="shared" ca="1" si="321"/>
        <v>43134</v>
      </c>
      <c r="C416" s="792" t="s">
        <v>615</v>
      </c>
      <c r="D416" s="793" t="s">
        <v>908</v>
      </c>
      <c r="E416" s="794" t="s">
        <v>229</v>
      </c>
      <c r="F416" s="854" t="s">
        <v>374</v>
      </c>
      <c r="G416" s="796">
        <f>SUMIFS(МОЛОКО!L8:L6958,МОЛОКО!F8:F6958,"919",МОЛОКО!L8:L6958,"&gt;0")</f>
        <v>30</v>
      </c>
      <c r="H416" s="797" t="s">
        <v>603</v>
      </c>
      <c r="I416" s="798">
        <v>40254</v>
      </c>
      <c r="J416" s="799">
        <f t="shared" ca="1" si="322"/>
        <v>7.8904109589041092</v>
      </c>
      <c r="K416" s="799">
        <f t="shared" ca="1" si="323"/>
        <v>96</v>
      </c>
      <c r="L416" s="800">
        <f t="shared" ca="1" si="324"/>
        <v>2880</v>
      </c>
      <c r="M416" s="801">
        <v>41162</v>
      </c>
      <c r="N416" s="802">
        <v>42847</v>
      </c>
      <c r="O416" s="803">
        <f t="shared" ca="1" si="325"/>
        <v>287</v>
      </c>
      <c r="P416" s="804">
        <v>5</v>
      </c>
      <c r="Q416" s="68" t="s">
        <v>1451</v>
      </c>
      <c r="R416" s="118" t="s">
        <v>3020</v>
      </c>
      <c r="S416" s="807">
        <v>42908</v>
      </c>
      <c r="T416" s="798">
        <v>42933</v>
      </c>
      <c r="U416" s="798">
        <f t="shared" si="326"/>
        <v>42951</v>
      </c>
      <c r="V416" s="804">
        <f t="shared" ca="1" si="327"/>
        <v>183</v>
      </c>
      <c r="W416" s="808">
        <v>3</v>
      </c>
      <c r="X416" s="794">
        <f t="shared" si="320"/>
        <v>86</v>
      </c>
      <c r="Y416" s="794">
        <v>3</v>
      </c>
      <c r="Z416" s="809" t="str">
        <f t="shared" ca="1" si="328"/>
        <v>-----</v>
      </c>
      <c r="AA416" s="810">
        <f t="shared" ca="1" si="329"/>
        <v>201</v>
      </c>
      <c r="AB416" s="804">
        <v>0</v>
      </c>
      <c r="AC416" s="811" t="str">
        <f t="shared" ca="1" si="330"/>
        <v>-----</v>
      </c>
      <c r="AD416" s="798">
        <v>43043</v>
      </c>
      <c r="AE416" s="794" t="str">
        <f t="shared" ca="1" si="331"/>
        <v>-</v>
      </c>
      <c r="AF416" s="798">
        <f t="shared" si="332"/>
        <v>42968</v>
      </c>
      <c r="AG416" s="812">
        <f t="shared" ca="1" si="333"/>
        <v>166</v>
      </c>
      <c r="AH416" s="807">
        <v>42966</v>
      </c>
      <c r="AI416" s="807" t="str">
        <f t="shared" si="334"/>
        <v>-</v>
      </c>
      <c r="AJ416" s="807" t="str">
        <f t="shared" si="335"/>
        <v>-</v>
      </c>
      <c r="AK416" s="813"/>
      <c r="AL416" s="807" t="str">
        <f t="shared" si="336"/>
        <v>-</v>
      </c>
      <c r="AM416" s="807" t="str">
        <f t="shared" si="337"/>
        <v>-</v>
      </c>
      <c r="AN416" s="814" t="str">
        <f t="shared" ca="1" si="338"/>
        <v>-</v>
      </c>
      <c r="AO416" s="815">
        <v>1</v>
      </c>
      <c r="AP416" s="816" t="str">
        <f t="shared" ca="1" si="339"/>
        <v>-</v>
      </c>
      <c r="AQ416" s="817"/>
      <c r="AR416" s="794" t="str">
        <f t="shared" si="340"/>
        <v>-</v>
      </c>
      <c r="AS416" s="818"/>
      <c r="AT416" s="794" t="str">
        <f t="shared" si="341"/>
        <v>-</v>
      </c>
      <c r="AU416" s="819">
        <v>1</v>
      </c>
      <c r="AV416" s="820"/>
      <c r="AW416" s="821"/>
      <c r="AX416" s="821"/>
      <c r="AY416" s="969" t="str">
        <f t="shared" si="342"/>
        <v>-</v>
      </c>
      <c r="AZ416" s="966" t="str">
        <f t="shared" si="343"/>
        <v>-</v>
      </c>
      <c r="BA416" s="971" t="str">
        <f t="shared" si="344"/>
        <v>-</v>
      </c>
      <c r="BB416" s="975"/>
      <c r="BC416" s="821"/>
      <c r="BD416" s="821"/>
      <c r="BE416" s="963" t="str">
        <f t="shared" si="345"/>
        <v>-</v>
      </c>
      <c r="BF416" s="984"/>
      <c r="BG416" s="988"/>
      <c r="BH416" s="982"/>
      <c r="BI416" s="991"/>
      <c r="BJ416" s="991"/>
      <c r="BK416" s="993" t="str">
        <f t="shared" si="346"/>
        <v>-</v>
      </c>
      <c r="BL416" s="820">
        <v>42981</v>
      </c>
      <c r="BM416" s="821">
        <v>5</v>
      </c>
      <c r="BN416" s="822">
        <f t="shared" ca="1" si="347"/>
        <v>153</v>
      </c>
      <c r="BO416" s="823">
        <f t="shared" si="348"/>
        <v>90.9</v>
      </c>
      <c r="BP416" s="824"/>
      <c r="BQ416" s="821"/>
      <c r="BR416" s="822" t="str">
        <f t="shared" si="349"/>
        <v>-</v>
      </c>
      <c r="BS416" s="823" t="str">
        <f t="shared" si="350"/>
        <v>-</v>
      </c>
      <c r="BT416" s="825" t="str">
        <f t="shared" ca="1" si="351"/>
        <v>-</v>
      </c>
      <c r="BU416" s="826"/>
      <c r="BV416" s="827"/>
      <c r="BW416" s="828" t="str">
        <f t="shared" si="352"/>
        <v>Ж-Е НЕ ВАКЦ.</v>
      </c>
      <c r="BX416" s="829" t="str">
        <f t="shared" si="353"/>
        <v>-</v>
      </c>
      <c r="BY416" s="830" t="str">
        <f t="shared" ca="1" si="354"/>
        <v>-</v>
      </c>
      <c r="BZ416" s="831">
        <v>42887</v>
      </c>
      <c r="CA416" s="832">
        <v>5</v>
      </c>
      <c r="CB416" s="833">
        <f t="shared" ca="1" si="355"/>
        <v>247</v>
      </c>
      <c r="CC416" s="834" t="str">
        <f t="shared" ca="1" si="356"/>
        <v>-</v>
      </c>
      <c r="CD416" s="835">
        <f t="shared" si="357"/>
        <v>42908</v>
      </c>
      <c r="CE416" s="831">
        <v>42908</v>
      </c>
      <c r="CF416" s="832">
        <v>5</v>
      </c>
      <c r="CG416" s="833">
        <f t="shared" ca="1" si="358"/>
        <v>226</v>
      </c>
      <c r="CH416" s="836">
        <f t="shared" si="359"/>
        <v>0</v>
      </c>
      <c r="CI416" s="837" t="str">
        <f t="shared" si="360"/>
        <v>УСПЕШНО</v>
      </c>
      <c r="CJ416" s="838" t="str">
        <f t="shared" ca="1" si="361"/>
        <v>-</v>
      </c>
      <c r="CK416" s="831"/>
      <c r="CL416" s="832"/>
      <c r="CM416" s="833" t="str">
        <f t="shared" si="362"/>
        <v>-</v>
      </c>
      <c r="CN416" s="834" t="str">
        <f t="shared" si="363"/>
        <v>-</v>
      </c>
      <c r="CO416" s="830" t="str">
        <f t="shared" ca="1" si="364"/>
        <v>-</v>
      </c>
      <c r="CP416" s="839"/>
      <c r="CQ416" s="832"/>
      <c r="CR416" s="833" t="str">
        <f t="shared" si="365"/>
        <v>-</v>
      </c>
      <c r="CS416" s="833" t="str">
        <f t="shared" si="366"/>
        <v>-</v>
      </c>
      <c r="CT416" s="834" t="str">
        <f t="shared" si="367"/>
        <v>-</v>
      </c>
      <c r="CU416" s="835" t="str">
        <f t="shared" si="368"/>
        <v>-</v>
      </c>
      <c r="CV416" s="839"/>
      <c r="CW416" s="832"/>
      <c r="CX416" s="833" t="str">
        <f t="shared" si="369"/>
        <v>-</v>
      </c>
      <c r="CY416" s="840" t="str">
        <f t="shared" si="370"/>
        <v>-</v>
      </c>
      <c r="CZ416" s="833" t="str">
        <f t="shared" si="371"/>
        <v>-</v>
      </c>
      <c r="DA416" s="838" t="str">
        <f t="shared" ca="1" si="372"/>
        <v>-</v>
      </c>
      <c r="DB416" s="841"/>
      <c r="DC416" s="832"/>
    </row>
    <row r="417" spans="1:107" s="842" customFormat="1" ht="15.95" customHeight="1" x14ac:dyDescent="0.25">
      <c r="A417" s="790">
        <v>418</v>
      </c>
      <c r="B417" s="791">
        <f t="shared" ca="1" si="321"/>
        <v>43134</v>
      </c>
      <c r="C417" s="29" t="s">
        <v>615</v>
      </c>
      <c r="D417" s="59" t="s">
        <v>908</v>
      </c>
      <c r="E417" s="794" t="s">
        <v>365</v>
      </c>
      <c r="F417" s="854" t="s">
        <v>366</v>
      </c>
      <c r="G417" s="796">
        <f>SUMIFS(МОЛОКО!L8:L6958,МОЛОКО!F8:F6958,"1243",МОЛОКО!L8:L6958,"&gt;0")</f>
        <v>29.4</v>
      </c>
      <c r="H417" s="797" t="s">
        <v>603</v>
      </c>
      <c r="I417" s="798">
        <v>40630</v>
      </c>
      <c r="J417" s="799">
        <f t="shared" ca="1" si="322"/>
        <v>6.86027397260274</v>
      </c>
      <c r="K417" s="799">
        <f t="shared" ca="1" si="323"/>
        <v>83.466666666666669</v>
      </c>
      <c r="L417" s="800">
        <f t="shared" ca="1" si="324"/>
        <v>2504</v>
      </c>
      <c r="M417" s="801">
        <v>41660</v>
      </c>
      <c r="N417" s="802">
        <v>43001</v>
      </c>
      <c r="O417" s="803">
        <f t="shared" ca="1" si="325"/>
        <v>133</v>
      </c>
      <c r="P417" s="804">
        <v>4</v>
      </c>
      <c r="Q417" s="805"/>
      <c r="R417" s="806"/>
      <c r="S417" s="807"/>
      <c r="T417" s="798"/>
      <c r="U417" s="798" t="str">
        <f t="shared" si="326"/>
        <v>-</v>
      </c>
      <c r="V417" s="804" t="str">
        <f t="shared" ca="1" si="327"/>
        <v>-</v>
      </c>
      <c r="W417" s="808">
        <v>0</v>
      </c>
      <c r="X417" s="794" t="str">
        <f t="shared" si="320"/>
        <v>-</v>
      </c>
      <c r="Y417" s="794">
        <v>0</v>
      </c>
      <c r="Z417" s="809" t="str">
        <f t="shared" ca="1" si="328"/>
        <v>-----</v>
      </c>
      <c r="AA417" s="810">
        <f t="shared" ca="1" si="329"/>
        <v>43134</v>
      </c>
      <c r="AB417" s="804"/>
      <c r="AC417" s="811" t="str">
        <f t="shared" ca="1" si="330"/>
        <v>-----</v>
      </c>
      <c r="AD417" s="798"/>
      <c r="AE417" s="794" t="str">
        <f t="shared" ca="1" si="331"/>
        <v>яловая</v>
      </c>
      <c r="AF417" s="798" t="str">
        <f t="shared" si="332"/>
        <v>-</v>
      </c>
      <c r="AG417" s="812" t="str">
        <f t="shared" si="333"/>
        <v>---------</v>
      </c>
      <c r="AH417" s="807"/>
      <c r="AI417" s="807" t="str">
        <f t="shared" si="334"/>
        <v>-</v>
      </c>
      <c r="AJ417" s="807" t="str">
        <f t="shared" si="335"/>
        <v>-</v>
      </c>
      <c r="AK417" s="813"/>
      <c r="AL417" s="807" t="str">
        <f t="shared" si="336"/>
        <v>-</v>
      </c>
      <c r="AM417" s="807" t="str">
        <f t="shared" si="337"/>
        <v>-</v>
      </c>
      <c r="AN417" s="814" t="str">
        <f t="shared" ca="1" si="338"/>
        <v>-</v>
      </c>
      <c r="AO417" s="815">
        <v>1</v>
      </c>
      <c r="AP417" s="816" t="str">
        <f t="shared" ca="1" si="339"/>
        <v>-</v>
      </c>
      <c r="AQ417" s="817"/>
      <c r="AR417" s="794" t="str">
        <f t="shared" si="340"/>
        <v>-</v>
      </c>
      <c r="AS417" s="818"/>
      <c r="AT417" s="794" t="str">
        <f t="shared" si="341"/>
        <v>-</v>
      </c>
      <c r="AU417" s="819">
        <v>1</v>
      </c>
      <c r="AV417" s="820"/>
      <c r="AW417" s="821"/>
      <c r="AX417" s="821"/>
      <c r="AY417" s="969" t="str">
        <f t="shared" si="342"/>
        <v>-</v>
      </c>
      <c r="AZ417" s="966" t="str">
        <f t="shared" si="343"/>
        <v>-</v>
      </c>
      <c r="BA417" s="971" t="str">
        <f t="shared" si="344"/>
        <v>-</v>
      </c>
      <c r="BB417" s="975"/>
      <c r="BC417" s="821"/>
      <c r="BD417" s="821"/>
      <c r="BE417" s="963" t="str">
        <f t="shared" si="345"/>
        <v>-</v>
      </c>
      <c r="BF417" s="984"/>
      <c r="BG417" s="988"/>
      <c r="BH417" s="982"/>
      <c r="BI417" s="991"/>
      <c r="BJ417" s="991"/>
      <c r="BK417" s="993" t="str">
        <f t="shared" si="346"/>
        <v>-</v>
      </c>
      <c r="BL417" s="820">
        <v>42978</v>
      </c>
      <c r="BM417" s="821">
        <v>5</v>
      </c>
      <c r="BN417" s="822">
        <f t="shared" ca="1" si="347"/>
        <v>156</v>
      </c>
      <c r="BO417" s="823">
        <f t="shared" si="348"/>
        <v>78.266666666666666</v>
      </c>
      <c r="BP417" s="824"/>
      <c r="BQ417" s="821"/>
      <c r="BR417" s="822" t="str">
        <f t="shared" si="349"/>
        <v>-</v>
      </c>
      <c r="BS417" s="823" t="str">
        <f t="shared" si="350"/>
        <v>-</v>
      </c>
      <c r="BT417" s="825" t="str">
        <f t="shared" ca="1" si="351"/>
        <v>-</v>
      </c>
      <c r="BU417" s="826"/>
      <c r="BV417" s="827"/>
      <c r="BW417" s="828" t="str">
        <f t="shared" si="352"/>
        <v>Ж-Е НЕ ВАКЦ.</v>
      </c>
      <c r="BX417" s="829" t="str">
        <f t="shared" si="353"/>
        <v>-</v>
      </c>
      <c r="BY417" s="830" t="str">
        <f t="shared" ca="1" si="354"/>
        <v>-</v>
      </c>
      <c r="BZ417" s="831">
        <v>42887</v>
      </c>
      <c r="CA417" s="832">
        <v>5</v>
      </c>
      <c r="CB417" s="833">
        <f t="shared" ca="1" si="355"/>
        <v>247</v>
      </c>
      <c r="CC417" s="834" t="str">
        <f t="shared" ca="1" si="356"/>
        <v>-</v>
      </c>
      <c r="CD417" s="835">
        <f t="shared" si="357"/>
        <v>42908</v>
      </c>
      <c r="CE417" s="831">
        <v>42908</v>
      </c>
      <c r="CF417" s="832">
        <v>5</v>
      </c>
      <c r="CG417" s="833">
        <f t="shared" ca="1" si="358"/>
        <v>226</v>
      </c>
      <c r="CH417" s="836">
        <f t="shared" si="359"/>
        <v>0</v>
      </c>
      <c r="CI417" s="837" t="str">
        <f t="shared" si="360"/>
        <v>УСПЕШНО</v>
      </c>
      <c r="CJ417" s="838" t="str">
        <f t="shared" ca="1" si="361"/>
        <v>-</v>
      </c>
      <c r="CK417" s="831"/>
      <c r="CL417" s="832"/>
      <c r="CM417" s="833" t="str">
        <f t="shared" si="362"/>
        <v>-</v>
      </c>
      <c r="CN417" s="834" t="str">
        <f t="shared" si="363"/>
        <v>-</v>
      </c>
      <c r="CO417" s="830" t="str">
        <f t="shared" ca="1" si="364"/>
        <v>-</v>
      </c>
      <c r="CP417" s="831">
        <v>42958</v>
      </c>
      <c r="CQ417" s="832">
        <v>2</v>
      </c>
      <c r="CR417" s="833">
        <f t="shared" si="365"/>
        <v>42958</v>
      </c>
      <c r="CS417" s="833">
        <f t="shared" ca="1" si="366"/>
        <v>176</v>
      </c>
      <c r="CT417" s="834" t="str">
        <f t="shared" ca="1" si="367"/>
        <v>-</v>
      </c>
      <c r="CU417" s="835">
        <f t="shared" si="368"/>
        <v>42979</v>
      </c>
      <c r="CV417" s="831">
        <v>42980</v>
      </c>
      <c r="CW417" s="832">
        <v>2</v>
      </c>
      <c r="CX417" s="833">
        <f t="shared" si="369"/>
        <v>1</v>
      </c>
      <c r="CY417" s="840" t="str">
        <f t="shared" si="370"/>
        <v>-</v>
      </c>
      <c r="CZ417" s="833">
        <f t="shared" si="371"/>
        <v>42980</v>
      </c>
      <c r="DA417" s="838" t="str">
        <f t="shared" ca="1" si="372"/>
        <v>-</v>
      </c>
      <c r="DB417" s="841"/>
      <c r="DC417" s="832"/>
    </row>
    <row r="418" spans="1:107" s="842" customFormat="1" ht="15.95" customHeight="1" x14ac:dyDescent="0.25">
      <c r="A418" s="790">
        <v>419</v>
      </c>
      <c r="B418" s="791">
        <f t="shared" ca="1" si="321"/>
        <v>43134</v>
      </c>
      <c r="C418" s="792" t="s">
        <v>615</v>
      </c>
      <c r="D418" s="793" t="s">
        <v>908</v>
      </c>
      <c r="E418" s="794" t="s">
        <v>79</v>
      </c>
      <c r="F418" s="854" t="s">
        <v>80</v>
      </c>
      <c r="G418" s="796">
        <f>SUMIFS(МОЛОКО!L8:L6958,МОЛОКО!F8:F6958,"1254",МОЛОКО!L8:L6958,"&gt;0")</f>
        <v>27</v>
      </c>
      <c r="H418" s="797" t="s">
        <v>603</v>
      </c>
      <c r="I418" s="798">
        <v>40639</v>
      </c>
      <c r="J418" s="799">
        <f t="shared" ca="1" si="322"/>
        <v>6.8356164383561646</v>
      </c>
      <c r="K418" s="799">
        <f t="shared" ca="1" si="323"/>
        <v>83.166666666666671</v>
      </c>
      <c r="L418" s="800">
        <f t="shared" ca="1" si="324"/>
        <v>2495</v>
      </c>
      <c r="M418" s="801">
        <v>41364</v>
      </c>
      <c r="N418" s="802">
        <v>42924</v>
      </c>
      <c r="O418" s="803">
        <f t="shared" ca="1" si="325"/>
        <v>210</v>
      </c>
      <c r="P418" s="804">
        <v>4</v>
      </c>
      <c r="Q418" s="68" t="s">
        <v>2366</v>
      </c>
      <c r="R418" s="118" t="s">
        <v>2966</v>
      </c>
      <c r="S418" s="807">
        <v>43028</v>
      </c>
      <c r="T418" s="798">
        <v>43028</v>
      </c>
      <c r="U418" s="798">
        <f t="shared" si="326"/>
        <v>43046</v>
      </c>
      <c r="V418" s="804">
        <f t="shared" ca="1" si="327"/>
        <v>88</v>
      </c>
      <c r="W418" s="808">
        <v>1</v>
      </c>
      <c r="X418" s="794">
        <f t="shared" si="320"/>
        <v>104</v>
      </c>
      <c r="Y418" s="794">
        <v>3</v>
      </c>
      <c r="Z418" s="809" t="str">
        <f t="shared" ca="1" si="328"/>
        <v>-----</v>
      </c>
      <c r="AA418" s="810">
        <f t="shared" ca="1" si="329"/>
        <v>106</v>
      </c>
      <c r="AB418" s="804"/>
      <c r="AC418" s="811" t="str">
        <f t="shared" ca="1" si="330"/>
        <v>-----</v>
      </c>
      <c r="AD418" s="798"/>
      <c r="AE418" s="794" t="str">
        <f t="shared" ca="1" si="331"/>
        <v>-</v>
      </c>
      <c r="AF418" s="798">
        <f t="shared" si="332"/>
        <v>43063</v>
      </c>
      <c r="AG418" s="812">
        <f t="shared" ca="1" si="333"/>
        <v>71</v>
      </c>
      <c r="AH418" s="807"/>
      <c r="AI418" s="807" t="str">
        <f t="shared" si="334"/>
        <v>-</v>
      </c>
      <c r="AJ418" s="807" t="str">
        <f t="shared" si="335"/>
        <v>-</v>
      </c>
      <c r="AK418" s="813"/>
      <c r="AL418" s="807" t="str">
        <f t="shared" si="336"/>
        <v>-</v>
      </c>
      <c r="AM418" s="807" t="str">
        <f t="shared" si="337"/>
        <v>-</v>
      </c>
      <c r="AN418" s="814" t="str">
        <f t="shared" ca="1" si="338"/>
        <v>-</v>
      </c>
      <c r="AO418" s="815">
        <v>1</v>
      </c>
      <c r="AP418" s="816" t="str">
        <f t="shared" ca="1" si="339"/>
        <v>-</v>
      </c>
      <c r="AQ418" s="817"/>
      <c r="AR418" s="794" t="str">
        <f t="shared" si="340"/>
        <v>-</v>
      </c>
      <c r="AS418" s="818"/>
      <c r="AT418" s="794" t="str">
        <f t="shared" si="341"/>
        <v>-</v>
      </c>
      <c r="AU418" s="819">
        <v>1</v>
      </c>
      <c r="AV418" s="820"/>
      <c r="AW418" s="821"/>
      <c r="AX418" s="821"/>
      <c r="AY418" s="969" t="str">
        <f t="shared" si="342"/>
        <v>-</v>
      </c>
      <c r="AZ418" s="966" t="str">
        <f t="shared" si="343"/>
        <v>-</v>
      </c>
      <c r="BA418" s="971" t="str">
        <f t="shared" si="344"/>
        <v>-</v>
      </c>
      <c r="BB418" s="975"/>
      <c r="BC418" s="821"/>
      <c r="BD418" s="821"/>
      <c r="BE418" s="963" t="str">
        <f t="shared" si="345"/>
        <v>-</v>
      </c>
      <c r="BF418" s="984"/>
      <c r="BG418" s="988"/>
      <c r="BH418" s="982"/>
      <c r="BI418" s="991"/>
      <c r="BJ418" s="991"/>
      <c r="BK418" s="993" t="str">
        <f t="shared" si="346"/>
        <v>-</v>
      </c>
      <c r="BL418" s="820">
        <v>42979</v>
      </c>
      <c r="BM418" s="821">
        <v>5</v>
      </c>
      <c r="BN418" s="822">
        <f t="shared" ca="1" si="347"/>
        <v>155</v>
      </c>
      <c r="BO418" s="823">
        <f t="shared" si="348"/>
        <v>78</v>
      </c>
      <c r="BP418" s="824"/>
      <c r="BQ418" s="821"/>
      <c r="BR418" s="822" t="str">
        <f t="shared" si="349"/>
        <v>-</v>
      </c>
      <c r="BS418" s="823" t="str">
        <f t="shared" si="350"/>
        <v>-</v>
      </c>
      <c r="BT418" s="825" t="str">
        <f t="shared" ca="1" si="351"/>
        <v>-</v>
      </c>
      <c r="BU418" s="826"/>
      <c r="BV418" s="827"/>
      <c r="BW418" s="828" t="str">
        <f t="shared" si="352"/>
        <v>Ж-Е НЕ ВАКЦ.</v>
      </c>
      <c r="BX418" s="829" t="str">
        <f t="shared" si="353"/>
        <v>-</v>
      </c>
      <c r="BY418" s="830" t="str">
        <f t="shared" ca="1" si="354"/>
        <v>-</v>
      </c>
      <c r="BZ418" s="831">
        <v>42964</v>
      </c>
      <c r="CA418" s="832">
        <v>5</v>
      </c>
      <c r="CB418" s="833">
        <f t="shared" ca="1" si="355"/>
        <v>170</v>
      </c>
      <c r="CC418" s="834" t="str">
        <f t="shared" ca="1" si="356"/>
        <v>-</v>
      </c>
      <c r="CD418" s="835">
        <f t="shared" si="357"/>
        <v>42985</v>
      </c>
      <c r="CE418" s="831">
        <v>42985</v>
      </c>
      <c r="CF418" s="832">
        <v>5</v>
      </c>
      <c r="CG418" s="833">
        <f t="shared" ca="1" si="358"/>
        <v>149</v>
      </c>
      <c r="CH418" s="836">
        <f t="shared" si="359"/>
        <v>0</v>
      </c>
      <c r="CI418" s="837" t="str">
        <f t="shared" si="360"/>
        <v>УСПЕШНО</v>
      </c>
      <c r="CJ418" s="838" t="str">
        <f t="shared" ca="1" si="361"/>
        <v>-</v>
      </c>
      <c r="CK418" s="831"/>
      <c r="CL418" s="832"/>
      <c r="CM418" s="833" t="str">
        <f t="shared" si="362"/>
        <v>-</v>
      </c>
      <c r="CN418" s="834" t="str">
        <f t="shared" si="363"/>
        <v>-</v>
      </c>
      <c r="CO418" s="830" t="str">
        <f t="shared" ca="1" si="364"/>
        <v>-</v>
      </c>
      <c r="CP418" s="831">
        <v>42882</v>
      </c>
      <c r="CQ418" s="832">
        <v>2</v>
      </c>
      <c r="CR418" s="833">
        <f t="shared" si="365"/>
        <v>-146</v>
      </c>
      <c r="CS418" s="833">
        <f t="shared" ca="1" si="366"/>
        <v>252</v>
      </c>
      <c r="CT418" s="834" t="str">
        <f t="shared" ca="1" si="367"/>
        <v>-</v>
      </c>
      <c r="CU418" s="835">
        <f t="shared" si="368"/>
        <v>42903</v>
      </c>
      <c r="CV418" s="831">
        <v>42903</v>
      </c>
      <c r="CW418" s="832">
        <v>2</v>
      </c>
      <c r="CX418" s="833">
        <f t="shared" si="369"/>
        <v>0</v>
      </c>
      <c r="CY418" s="840" t="str">
        <f t="shared" si="370"/>
        <v>УСПЕШНО</v>
      </c>
      <c r="CZ418" s="833">
        <f t="shared" si="371"/>
        <v>-125</v>
      </c>
      <c r="DA418" s="838" t="str">
        <f t="shared" ca="1" si="372"/>
        <v>-</v>
      </c>
      <c r="DB418" s="841"/>
      <c r="DC418" s="832"/>
    </row>
    <row r="419" spans="1:107" s="842" customFormat="1" ht="15.95" customHeight="1" x14ac:dyDescent="0.25">
      <c r="A419" s="790">
        <v>420</v>
      </c>
      <c r="B419" s="791">
        <f t="shared" ca="1" si="321"/>
        <v>43134</v>
      </c>
      <c r="C419" s="792" t="s">
        <v>615</v>
      </c>
      <c r="D419" s="793" t="s">
        <v>908</v>
      </c>
      <c r="E419" s="794" t="s">
        <v>766</v>
      </c>
      <c r="F419" s="854" t="s">
        <v>767</v>
      </c>
      <c r="G419" s="796">
        <f>SUMIFS(МОЛОКО!L8:L6958,МОЛОКО!F8:F6958,"1395",МОЛОКО!L8:L6958,"&gt;0")</f>
        <v>26</v>
      </c>
      <c r="H419" s="797" t="s">
        <v>603</v>
      </c>
      <c r="I419" s="798">
        <v>40858</v>
      </c>
      <c r="J419" s="799">
        <f t="shared" ca="1" si="322"/>
        <v>6.2356164383561641</v>
      </c>
      <c r="K419" s="799">
        <f t="shared" ca="1" si="323"/>
        <v>75.86666666666666</v>
      </c>
      <c r="L419" s="800">
        <f t="shared" ca="1" si="324"/>
        <v>2276</v>
      </c>
      <c r="M419" s="801">
        <v>41800</v>
      </c>
      <c r="N419" s="802">
        <v>42981</v>
      </c>
      <c r="O419" s="803">
        <f t="shared" ca="1" si="325"/>
        <v>153</v>
      </c>
      <c r="P419" s="804">
        <v>3</v>
      </c>
      <c r="Q419" s="68" t="s">
        <v>2366</v>
      </c>
      <c r="R419" s="118" t="s">
        <v>2966</v>
      </c>
      <c r="S419" s="807">
        <v>43041</v>
      </c>
      <c r="T419" s="798">
        <v>43041</v>
      </c>
      <c r="U419" s="798">
        <f t="shared" si="326"/>
        <v>43059</v>
      </c>
      <c r="V419" s="804">
        <f t="shared" ca="1" si="327"/>
        <v>75</v>
      </c>
      <c r="W419" s="808">
        <v>1</v>
      </c>
      <c r="X419" s="794">
        <f t="shared" si="320"/>
        <v>60</v>
      </c>
      <c r="Y419" s="794">
        <v>3</v>
      </c>
      <c r="Z419" s="809" t="str">
        <f t="shared" ca="1" si="328"/>
        <v>-----</v>
      </c>
      <c r="AA419" s="810">
        <f t="shared" ca="1" si="329"/>
        <v>93</v>
      </c>
      <c r="AB419" s="804"/>
      <c r="AC419" s="811" t="str">
        <f t="shared" ca="1" si="330"/>
        <v>-----</v>
      </c>
      <c r="AD419" s="798"/>
      <c r="AE419" s="794" t="str">
        <f t="shared" ca="1" si="331"/>
        <v>-</v>
      </c>
      <c r="AF419" s="798">
        <f t="shared" si="332"/>
        <v>43076</v>
      </c>
      <c r="AG419" s="812">
        <f t="shared" ca="1" si="333"/>
        <v>58</v>
      </c>
      <c r="AH419" s="807"/>
      <c r="AI419" s="807" t="str">
        <f t="shared" si="334"/>
        <v>-</v>
      </c>
      <c r="AJ419" s="807" t="str">
        <f t="shared" si="335"/>
        <v>-</v>
      </c>
      <c r="AK419" s="813"/>
      <c r="AL419" s="807" t="str">
        <f t="shared" si="336"/>
        <v>-</v>
      </c>
      <c r="AM419" s="807" t="str">
        <f t="shared" si="337"/>
        <v>-</v>
      </c>
      <c r="AN419" s="814" t="str">
        <f t="shared" ca="1" si="338"/>
        <v>-</v>
      </c>
      <c r="AO419" s="815">
        <v>1</v>
      </c>
      <c r="AP419" s="816" t="str">
        <f t="shared" ca="1" si="339"/>
        <v>-</v>
      </c>
      <c r="AQ419" s="817"/>
      <c r="AR419" s="794" t="str">
        <f t="shared" si="340"/>
        <v>-</v>
      </c>
      <c r="AS419" s="818"/>
      <c r="AT419" s="794" t="str">
        <f t="shared" si="341"/>
        <v>-</v>
      </c>
      <c r="AU419" s="819">
        <v>1</v>
      </c>
      <c r="AV419" s="820"/>
      <c r="AW419" s="821"/>
      <c r="AX419" s="821"/>
      <c r="AY419" s="969" t="str">
        <f t="shared" si="342"/>
        <v>-</v>
      </c>
      <c r="AZ419" s="966" t="str">
        <f t="shared" si="343"/>
        <v>-</v>
      </c>
      <c r="BA419" s="971" t="str">
        <f t="shared" si="344"/>
        <v>-</v>
      </c>
      <c r="BB419" s="975"/>
      <c r="BC419" s="821"/>
      <c r="BD419" s="821"/>
      <c r="BE419" s="963" t="str">
        <f t="shared" si="345"/>
        <v>-</v>
      </c>
      <c r="BF419" s="984"/>
      <c r="BG419" s="988"/>
      <c r="BH419" s="982"/>
      <c r="BI419" s="991"/>
      <c r="BJ419" s="991"/>
      <c r="BK419" s="993" t="str">
        <f t="shared" si="346"/>
        <v>-</v>
      </c>
      <c r="BL419" s="820">
        <v>42982</v>
      </c>
      <c r="BM419" s="821">
        <v>5</v>
      </c>
      <c r="BN419" s="822">
        <f t="shared" ca="1" si="347"/>
        <v>152</v>
      </c>
      <c r="BO419" s="823">
        <f t="shared" si="348"/>
        <v>70.8</v>
      </c>
      <c r="BP419" s="824"/>
      <c r="BQ419" s="821"/>
      <c r="BR419" s="822" t="str">
        <f t="shared" si="349"/>
        <v>-</v>
      </c>
      <c r="BS419" s="823" t="str">
        <f t="shared" si="350"/>
        <v>-</v>
      </c>
      <c r="BT419" s="825" t="str">
        <f t="shared" ca="1" si="351"/>
        <v>-</v>
      </c>
      <c r="BU419" s="826"/>
      <c r="BV419" s="827"/>
      <c r="BW419" s="828" t="str">
        <f t="shared" si="352"/>
        <v>Ж-Е НЕ ВАКЦ.</v>
      </c>
      <c r="BX419" s="829" t="str">
        <f t="shared" si="353"/>
        <v>-</v>
      </c>
      <c r="BY419" s="830" t="str">
        <f t="shared" ca="1" si="354"/>
        <v>-</v>
      </c>
      <c r="BZ419" s="831">
        <v>42887</v>
      </c>
      <c r="CA419" s="832">
        <v>5</v>
      </c>
      <c r="CB419" s="833">
        <f t="shared" ca="1" si="355"/>
        <v>247</v>
      </c>
      <c r="CC419" s="834" t="str">
        <f t="shared" ca="1" si="356"/>
        <v>-</v>
      </c>
      <c r="CD419" s="835">
        <f t="shared" si="357"/>
        <v>42908</v>
      </c>
      <c r="CE419" s="831">
        <v>42908</v>
      </c>
      <c r="CF419" s="832">
        <v>5</v>
      </c>
      <c r="CG419" s="833">
        <f t="shared" ca="1" si="358"/>
        <v>226</v>
      </c>
      <c r="CH419" s="836">
        <f t="shared" si="359"/>
        <v>0</v>
      </c>
      <c r="CI419" s="837" t="str">
        <f t="shared" si="360"/>
        <v>УСПЕШНО</v>
      </c>
      <c r="CJ419" s="838" t="str">
        <f t="shared" ca="1" si="361"/>
        <v>-</v>
      </c>
      <c r="CK419" s="831"/>
      <c r="CL419" s="832"/>
      <c r="CM419" s="833" t="str">
        <f t="shared" si="362"/>
        <v>-</v>
      </c>
      <c r="CN419" s="834" t="str">
        <f t="shared" si="363"/>
        <v>-</v>
      </c>
      <c r="CO419" s="830" t="str">
        <f t="shared" ca="1" si="364"/>
        <v>-</v>
      </c>
      <c r="CP419" s="831">
        <v>42925</v>
      </c>
      <c r="CQ419" s="832">
        <v>2</v>
      </c>
      <c r="CR419" s="833">
        <f t="shared" si="365"/>
        <v>-116</v>
      </c>
      <c r="CS419" s="833">
        <f t="shared" ca="1" si="366"/>
        <v>209</v>
      </c>
      <c r="CT419" s="834" t="str">
        <f t="shared" ca="1" si="367"/>
        <v>-</v>
      </c>
      <c r="CU419" s="835">
        <f t="shared" si="368"/>
        <v>42946</v>
      </c>
      <c r="CV419" s="831">
        <v>42946</v>
      </c>
      <c r="CW419" s="832">
        <v>2</v>
      </c>
      <c r="CX419" s="833">
        <f t="shared" si="369"/>
        <v>0</v>
      </c>
      <c r="CY419" s="840" t="str">
        <f t="shared" si="370"/>
        <v>УСПЕШНО</v>
      </c>
      <c r="CZ419" s="833">
        <f t="shared" si="371"/>
        <v>-95</v>
      </c>
      <c r="DA419" s="838" t="str">
        <f t="shared" ca="1" si="372"/>
        <v>-</v>
      </c>
      <c r="DB419" s="841"/>
      <c r="DC419" s="832"/>
    </row>
    <row r="420" spans="1:107" s="842" customFormat="1" ht="15.95" customHeight="1" x14ac:dyDescent="0.25">
      <c r="A420" s="790">
        <v>421</v>
      </c>
      <c r="B420" s="791">
        <f t="shared" ca="1" si="321"/>
        <v>43134</v>
      </c>
      <c r="C420" s="792" t="s">
        <v>615</v>
      </c>
      <c r="D420" s="793" t="s">
        <v>908</v>
      </c>
      <c r="E420" s="794" t="s">
        <v>872</v>
      </c>
      <c r="F420" s="854" t="s">
        <v>873</v>
      </c>
      <c r="G420" s="796">
        <f>SUMIFS(МОЛОКО!L8:L6958,МОЛОКО!F8:F6958,"1403",МОЛОКО!L8:L6958,"&gt;0")</f>
        <v>21</v>
      </c>
      <c r="H420" s="797" t="s">
        <v>603</v>
      </c>
      <c r="I420" s="798">
        <v>40864</v>
      </c>
      <c r="J420" s="799">
        <f t="shared" ca="1" si="322"/>
        <v>6.2191780821917808</v>
      </c>
      <c r="K420" s="799">
        <f t="shared" ca="1" si="323"/>
        <v>75.666666666666671</v>
      </c>
      <c r="L420" s="800">
        <f t="shared" ca="1" si="324"/>
        <v>2270</v>
      </c>
      <c r="M420" s="801">
        <v>41842</v>
      </c>
      <c r="N420" s="802">
        <v>42976</v>
      </c>
      <c r="O420" s="803">
        <f t="shared" ca="1" si="325"/>
        <v>158</v>
      </c>
      <c r="P420" s="804">
        <v>3</v>
      </c>
      <c r="Q420" s="68" t="s">
        <v>2366</v>
      </c>
      <c r="R420" s="118" t="s">
        <v>2966</v>
      </c>
      <c r="S420" s="807">
        <v>43041</v>
      </c>
      <c r="T420" s="798">
        <v>43041</v>
      </c>
      <c r="U420" s="798">
        <f t="shared" si="326"/>
        <v>43059</v>
      </c>
      <c r="V420" s="804">
        <f t="shared" ca="1" si="327"/>
        <v>75</v>
      </c>
      <c r="W420" s="808">
        <v>1</v>
      </c>
      <c r="X420" s="794">
        <f t="shared" si="320"/>
        <v>65</v>
      </c>
      <c r="Y420" s="794">
        <v>3</v>
      </c>
      <c r="Z420" s="809" t="str">
        <f t="shared" ca="1" si="328"/>
        <v>-----</v>
      </c>
      <c r="AA420" s="810">
        <f t="shared" ca="1" si="329"/>
        <v>93</v>
      </c>
      <c r="AB420" s="804"/>
      <c r="AC420" s="811" t="str">
        <f t="shared" ca="1" si="330"/>
        <v>-----</v>
      </c>
      <c r="AD420" s="798"/>
      <c r="AE420" s="794" t="str">
        <f t="shared" ca="1" si="331"/>
        <v>-</v>
      </c>
      <c r="AF420" s="798">
        <f t="shared" si="332"/>
        <v>43076</v>
      </c>
      <c r="AG420" s="812">
        <f t="shared" ca="1" si="333"/>
        <v>58</v>
      </c>
      <c r="AH420" s="807"/>
      <c r="AI420" s="807" t="str">
        <f t="shared" si="334"/>
        <v>-</v>
      </c>
      <c r="AJ420" s="807" t="str">
        <f t="shared" si="335"/>
        <v>-</v>
      </c>
      <c r="AK420" s="813"/>
      <c r="AL420" s="807" t="str">
        <f t="shared" si="336"/>
        <v>-</v>
      </c>
      <c r="AM420" s="807" t="str">
        <f t="shared" si="337"/>
        <v>-</v>
      </c>
      <c r="AN420" s="814" t="str">
        <f t="shared" ca="1" si="338"/>
        <v>-</v>
      </c>
      <c r="AO420" s="815">
        <v>1</v>
      </c>
      <c r="AP420" s="816" t="str">
        <f t="shared" ca="1" si="339"/>
        <v>-</v>
      </c>
      <c r="AQ420" s="817"/>
      <c r="AR420" s="794" t="str">
        <f t="shared" si="340"/>
        <v>-</v>
      </c>
      <c r="AS420" s="818"/>
      <c r="AT420" s="794" t="str">
        <f t="shared" si="341"/>
        <v>-</v>
      </c>
      <c r="AU420" s="819">
        <v>1</v>
      </c>
      <c r="AV420" s="820"/>
      <c r="AW420" s="821"/>
      <c r="AX420" s="821"/>
      <c r="AY420" s="969" t="str">
        <f t="shared" si="342"/>
        <v>-</v>
      </c>
      <c r="AZ420" s="966" t="str">
        <f t="shared" si="343"/>
        <v>-</v>
      </c>
      <c r="BA420" s="971" t="str">
        <f t="shared" si="344"/>
        <v>-</v>
      </c>
      <c r="BB420" s="975"/>
      <c r="BC420" s="821"/>
      <c r="BD420" s="821"/>
      <c r="BE420" s="963" t="str">
        <f t="shared" si="345"/>
        <v>-</v>
      </c>
      <c r="BF420" s="984"/>
      <c r="BG420" s="988"/>
      <c r="BH420" s="982"/>
      <c r="BI420" s="991"/>
      <c r="BJ420" s="991"/>
      <c r="BK420" s="993" t="str">
        <f t="shared" si="346"/>
        <v>-</v>
      </c>
      <c r="BL420" s="820">
        <v>42982</v>
      </c>
      <c r="BM420" s="821">
        <v>5</v>
      </c>
      <c r="BN420" s="822">
        <f t="shared" ca="1" si="347"/>
        <v>152</v>
      </c>
      <c r="BO420" s="823">
        <f t="shared" si="348"/>
        <v>70.599999999999994</v>
      </c>
      <c r="BP420" s="824"/>
      <c r="BQ420" s="821"/>
      <c r="BR420" s="822" t="str">
        <f t="shared" si="349"/>
        <v>-</v>
      </c>
      <c r="BS420" s="823" t="str">
        <f t="shared" si="350"/>
        <v>-</v>
      </c>
      <c r="BT420" s="825" t="str">
        <f t="shared" ca="1" si="351"/>
        <v>-</v>
      </c>
      <c r="BU420" s="826"/>
      <c r="BV420" s="827"/>
      <c r="BW420" s="828" t="str">
        <f t="shared" si="352"/>
        <v>Ж-Е НЕ ВАКЦ.</v>
      </c>
      <c r="BX420" s="829" t="str">
        <f t="shared" si="353"/>
        <v>-</v>
      </c>
      <c r="BY420" s="830" t="str">
        <f t="shared" ca="1" si="354"/>
        <v>-</v>
      </c>
      <c r="BZ420" s="831">
        <v>42887</v>
      </c>
      <c r="CA420" s="832">
        <v>5</v>
      </c>
      <c r="CB420" s="833">
        <f t="shared" ca="1" si="355"/>
        <v>247</v>
      </c>
      <c r="CC420" s="834" t="str">
        <f t="shared" ca="1" si="356"/>
        <v>-</v>
      </c>
      <c r="CD420" s="835">
        <f t="shared" si="357"/>
        <v>42908</v>
      </c>
      <c r="CE420" s="831">
        <v>42908</v>
      </c>
      <c r="CF420" s="832">
        <v>5</v>
      </c>
      <c r="CG420" s="833">
        <f t="shared" ca="1" si="358"/>
        <v>226</v>
      </c>
      <c r="CH420" s="836">
        <f t="shared" si="359"/>
        <v>0</v>
      </c>
      <c r="CI420" s="837" t="str">
        <f t="shared" si="360"/>
        <v>УСПЕШНО</v>
      </c>
      <c r="CJ420" s="838" t="str">
        <f t="shared" ca="1" si="361"/>
        <v>-</v>
      </c>
      <c r="CK420" s="831"/>
      <c r="CL420" s="832"/>
      <c r="CM420" s="833" t="str">
        <f t="shared" si="362"/>
        <v>-</v>
      </c>
      <c r="CN420" s="834" t="str">
        <f t="shared" si="363"/>
        <v>-</v>
      </c>
      <c r="CO420" s="830" t="str">
        <f t="shared" ca="1" si="364"/>
        <v>-</v>
      </c>
      <c r="CP420" s="831">
        <v>42925</v>
      </c>
      <c r="CQ420" s="832">
        <v>2</v>
      </c>
      <c r="CR420" s="833">
        <f t="shared" si="365"/>
        <v>-116</v>
      </c>
      <c r="CS420" s="833">
        <f t="shared" ca="1" si="366"/>
        <v>209</v>
      </c>
      <c r="CT420" s="834" t="str">
        <f t="shared" ca="1" si="367"/>
        <v>-</v>
      </c>
      <c r="CU420" s="835">
        <f t="shared" si="368"/>
        <v>42946</v>
      </c>
      <c r="CV420" s="831">
        <v>42946</v>
      </c>
      <c r="CW420" s="832">
        <v>2</v>
      </c>
      <c r="CX420" s="833">
        <f t="shared" si="369"/>
        <v>0</v>
      </c>
      <c r="CY420" s="840" t="str">
        <f t="shared" si="370"/>
        <v>УСПЕШНО</v>
      </c>
      <c r="CZ420" s="833">
        <f t="shared" si="371"/>
        <v>-95</v>
      </c>
      <c r="DA420" s="838" t="str">
        <f t="shared" ca="1" si="372"/>
        <v>-</v>
      </c>
      <c r="DB420" s="841"/>
      <c r="DC420" s="832"/>
    </row>
    <row r="421" spans="1:107" s="842" customFormat="1" ht="15.95" customHeight="1" x14ac:dyDescent="0.25">
      <c r="A421" s="790">
        <v>422</v>
      </c>
      <c r="B421" s="791">
        <f t="shared" ca="1" si="321"/>
        <v>43134</v>
      </c>
      <c r="C421" s="29" t="s">
        <v>615</v>
      </c>
      <c r="D421" s="793" t="s">
        <v>908</v>
      </c>
      <c r="E421" s="794" t="s">
        <v>264</v>
      </c>
      <c r="F421" s="854" t="s">
        <v>265</v>
      </c>
      <c r="G421" s="796">
        <f>SUMIFS(МОЛОКО!L8:L6958,МОЛОКО!F8:F6958,"1509",МОЛОКО!L8:L6958,"&gt;0")</f>
        <v>13</v>
      </c>
      <c r="H421" s="797" t="s">
        <v>603</v>
      </c>
      <c r="I421" s="798">
        <v>41004</v>
      </c>
      <c r="J421" s="799">
        <f t="shared" ca="1" si="322"/>
        <v>5.8356164383561646</v>
      </c>
      <c r="K421" s="799">
        <f t="shared" ca="1" si="323"/>
        <v>71</v>
      </c>
      <c r="L421" s="800">
        <f t="shared" ca="1" si="324"/>
        <v>2130</v>
      </c>
      <c r="M421" s="801">
        <v>41996</v>
      </c>
      <c r="N421" s="802">
        <v>43006</v>
      </c>
      <c r="O421" s="803">
        <f t="shared" ca="1" si="325"/>
        <v>128</v>
      </c>
      <c r="P421" s="804">
        <v>4</v>
      </c>
      <c r="Q421" s="805"/>
      <c r="R421" s="806"/>
      <c r="S421" s="807"/>
      <c r="T421" s="798"/>
      <c r="U421" s="798" t="str">
        <f t="shared" si="326"/>
        <v>-</v>
      </c>
      <c r="V421" s="804" t="str">
        <f t="shared" ca="1" si="327"/>
        <v>-</v>
      </c>
      <c r="W421" s="808">
        <v>0</v>
      </c>
      <c r="X421" s="794" t="str">
        <f t="shared" si="320"/>
        <v>-</v>
      </c>
      <c r="Y421" s="794">
        <v>0</v>
      </c>
      <c r="Z421" s="809" t="str">
        <f t="shared" ca="1" si="328"/>
        <v>-----</v>
      </c>
      <c r="AA421" s="810">
        <f t="shared" ca="1" si="329"/>
        <v>43134</v>
      </c>
      <c r="AB421" s="804"/>
      <c r="AC421" s="811" t="str">
        <f t="shared" ca="1" si="330"/>
        <v>-----</v>
      </c>
      <c r="AD421" s="798"/>
      <c r="AE421" s="794" t="str">
        <f t="shared" ca="1" si="331"/>
        <v>яловая</v>
      </c>
      <c r="AF421" s="798" t="str">
        <f t="shared" si="332"/>
        <v>-</v>
      </c>
      <c r="AG421" s="812" t="str">
        <f t="shared" si="333"/>
        <v>---------</v>
      </c>
      <c r="AH421" s="807"/>
      <c r="AI421" s="807" t="str">
        <f t="shared" si="334"/>
        <v>-</v>
      </c>
      <c r="AJ421" s="807" t="str">
        <f t="shared" si="335"/>
        <v>-</v>
      </c>
      <c r="AK421" s="813"/>
      <c r="AL421" s="807" t="str">
        <f t="shared" si="336"/>
        <v>-</v>
      </c>
      <c r="AM421" s="807" t="str">
        <f t="shared" si="337"/>
        <v>-</v>
      </c>
      <c r="AN421" s="814" t="str">
        <f t="shared" ca="1" si="338"/>
        <v>-</v>
      </c>
      <c r="AO421" s="815">
        <v>1</v>
      </c>
      <c r="AP421" s="816" t="str">
        <f t="shared" ca="1" si="339"/>
        <v>-</v>
      </c>
      <c r="AQ421" s="441" t="s">
        <v>3454</v>
      </c>
      <c r="AR421" s="794" t="str">
        <f t="shared" si="340"/>
        <v>-</v>
      </c>
      <c r="AS421" s="818"/>
      <c r="AT421" s="794" t="str">
        <f t="shared" si="341"/>
        <v>-</v>
      </c>
      <c r="AU421" s="819">
        <v>1</v>
      </c>
      <c r="AV421" s="820"/>
      <c r="AW421" s="821"/>
      <c r="AX421" s="821"/>
      <c r="AY421" s="969" t="str">
        <f t="shared" si="342"/>
        <v>-</v>
      </c>
      <c r="AZ421" s="966" t="str">
        <f t="shared" si="343"/>
        <v>-</v>
      </c>
      <c r="BA421" s="971" t="str">
        <f t="shared" si="344"/>
        <v>-</v>
      </c>
      <c r="BB421" s="975"/>
      <c r="BC421" s="821"/>
      <c r="BD421" s="821"/>
      <c r="BE421" s="963" t="str">
        <f t="shared" si="345"/>
        <v>-</v>
      </c>
      <c r="BF421" s="984"/>
      <c r="BG421" s="988"/>
      <c r="BH421" s="982"/>
      <c r="BI421" s="991"/>
      <c r="BJ421" s="991"/>
      <c r="BK421" s="993" t="str">
        <f t="shared" si="346"/>
        <v>-</v>
      </c>
      <c r="BL421" s="820">
        <v>42978</v>
      </c>
      <c r="BM421" s="821">
        <v>5</v>
      </c>
      <c r="BN421" s="822">
        <f t="shared" ca="1" si="347"/>
        <v>156</v>
      </c>
      <c r="BO421" s="823">
        <f t="shared" si="348"/>
        <v>65.8</v>
      </c>
      <c r="BP421" s="824"/>
      <c r="BQ421" s="821"/>
      <c r="BR421" s="822" t="str">
        <f t="shared" si="349"/>
        <v>-</v>
      </c>
      <c r="BS421" s="823" t="str">
        <f t="shared" si="350"/>
        <v>-</v>
      </c>
      <c r="BT421" s="825" t="str">
        <f t="shared" ca="1" si="351"/>
        <v>-</v>
      </c>
      <c r="BU421" s="826"/>
      <c r="BV421" s="827"/>
      <c r="BW421" s="828" t="str">
        <f t="shared" si="352"/>
        <v>Ж-Е НЕ ВАКЦ.</v>
      </c>
      <c r="BX421" s="829" t="str">
        <f t="shared" si="353"/>
        <v>-</v>
      </c>
      <c r="BY421" s="830" t="str">
        <f t="shared" ca="1" si="354"/>
        <v>-</v>
      </c>
      <c r="BZ421" s="831">
        <v>42887</v>
      </c>
      <c r="CA421" s="832">
        <v>5</v>
      </c>
      <c r="CB421" s="833">
        <f t="shared" ca="1" si="355"/>
        <v>247</v>
      </c>
      <c r="CC421" s="834" t="str">
        <f t="shared" ca="1" si="356"/>
        <v>-</v>
      </c>
      <c r="CD421" s="835">
        <f t="shared" si="357"/>
        <v>42908</v>
      </c>
      <c r="CE421" s="831">
        <v>42908</v>
      </c>
      <c r="CF421" s="832">
        <v>5</v>
      </c>
      <c r="CG421" s="833">
        <f t="shared" ca="1" si="358"/>
        <v>226</v>
      </c>
      <c r="CH421" s="836">
        <f t="shared" si="359"/>
        <v>0</v>
      </c>
      <c r="CI421" s="837" t="str">
        <f t="shared" si="360"/>
        <v>УСПЕШНО</v>
      </c>
      <c r="CJ421" s="838" t="str">
        <f t="shared" ca="1" si="361"/>
        <v>-</v>
      </c>
      <c r="CK421" s="831"/>
      <c r="CL421" s="832"/>
      <c r="CM421" s="833" t="str">
        <f t="shared" si="362"/>
        <v>-</v>
      </c>
      <c r="CN421" s="834" t="str">
        <f t="shared" si="363"/>
        <v>-</v>
      </c>
      <c r="CO421" s="830" t="str">
        <f t="shared" ca="1" si="364"/>
        <v>-</v>
      </c>
      <c r="CP421" s="831">
        <v>42958</v>
      </c>
      <c r="CQ421" s="832">
        <v>2</v>
      </c>
      <c r="CR421" s="833">
        <f t="shared" si="365"/>
        <v>42958</v>
      </c>
      <c r="CS421" s="833">
        <f t="shared" ca="1" si="366"/>
        <v>176</v>
      </c>
      <c r="CT421" s="834" t="str">
        <f t="shared" ca="1" si="367"/>
        <v>-</v>
      </c>
      <c r="CU421" s="835">
        <f t="shared" si="368"/>
        <v>42979</v>
      </c>
      <c r="CV421" s="831">
        <v>42980</v>
      </c>
      <c r="CW421" s="832">
        <v>2</v>
      </c>
      <c r="CX421" s="833">
        <f t="shared" si="369"/>
        <v>1</v>
      </c>
      <c r="CY421" s="840" t="str">
        <f t="shared" si="370"/>
        <v>-</v>
      </c>
      <c r="CZ421" s="833">
        <f t="shared" si="371"/>
        <v>42980</v>
      </c>
      <c r="DA421" s="838" t="str">
        <f t="shared" ca="1" si="372"/>
        <v>-</v>
      </c>
      <c r="DB421" s="841"/>
      <c r="DC421" s="832"/>
    </row>
    <row r="422" spans="1:107" s="842" customFormat="1" ht="15.95" customHeight="1" x14ac:dyDescent="0.25">
      <c r="A422" s="790">
        <v>423</v>
      </c>
      <c r="B422" s="791">
        <f t="shared" ca="1" si="321"/>
        <v>43134</v>
      </c>
      <c r="C422" s="792" t="s">
        <v>615</v>
      </c>
      <c r="D422" s="793" t="s">
        <v>908</v>
      </c>
      <c r="E422" s="794" t="s">
        <v>820</v>
      </c>
      <c r="F422" s="854" t="s">
        <v>821</v>
      </c>
      <c r="G422" s="796">
        <f>SUMIFS(МОЛОКО!L8:L6958,МОЛОКО!F8:F6958,"1518",МОЛОКО!L8:L6958,"&gt;0")</f>
        <v>4</v>
      </c>
      <c r="H422" s="797" t="s">
        <v>603</v>
      </c>
      <c r="I422" s="798">
        <v>41011</v>
      </c>
      <c r="J422" s="799">
        <f t="shared" ca="1" si="322"/>
        <v>5.816438356164384</v>
      </c>
      <c r="K422" s="799">
        <f t="shared" ca="1" si="323"/>
        <v>70.766666666666666</v>
      </c>
      <c r="L422" s="800">
        <f t="shared" ca="1" si="324"/>
        <v>2123</v>
      </c>
      <c r="M422" s="801">
        <v>41768</v>
      </c>
      <c r="N422" s="802">
        <v>42977</v>
      </c>
      <c r="O422" s="803">
        <f t="shared" ca="1" si="325"/>
        <v>157</v>
      </c>
      <c r="P422" s="804">
        <v>3</v>
      </c>
      <c r="Q422" s="805"/>
      <c r="R422" s="806"/>
      <c r="S422" s="807"/>
      <c r="T422" s="798"/>
      <c r="U422" s="798" t="str">
        <f t="shared" si="326"/>
        <v>-</v>
      </c>
      <c r="V422" s="804" t="str">
        <f t="shared" ca="1" si="327"/>
        <v>-</v>
      </c>
      <c r="W422" s="808">
        <v>0</v>
      </c>
      <c r="X422" s="794" t="str">
        <f t="shared" si="320"/>
        <v>-</v>
      </c>
      <c r="Y422" s="794">
        <v>0</v>
      </c>
      <c r="Z422" s="809" t="str">
        <f t="shared" ca="1" si="328"/>
        <v>-----</v>
      </c>
      <c r="AA422" s="810">
        <f t="shared" ca="1" si="329"/>
        <v>43134</v>
      </c>
      <c r="AB422" s="804"/>
      <c r="AC422" s="811" t="str">
        <f t="shared" ca="1" si="330"/>
        <v>-----</v>
      </c>
      <c r="AD422" s="798"/>
      <c r="AE422" s="794" t="str">
        <f t="shared" ca="1" si="331"/>
        <v>яловая</v>
      </c>
      <c r="AF422" s="798" t="str">
        <f t="shared" si="332"/>
        <v>-</v>
      </c>
      <c r="AG422" s="812" t="str">
        <f t="shared" si="333"/>
        <v>---------</v>
      </c>
      <c r="AH422" s="807"/>
      <c r="AI422" s="807" t="str">
        <f t="shared" si="334"/>
        <v>-</v>
      </c>
      <c r="AJ422" s="807" t="str">
        <f t="shared" si="335"/>
        <v>-</v>
      </c>
      <c r="AK422" s="813"/>
      <c r="AL422" s="807" t="str">
        <f t="shared" si="336"/>
        <v>-</v>
      </c>
      <c r="AM422" s="807" t="str">
        <f t="shared" si="337"/>
        <v>-</v>
      </c>
      <c r="AN422" s="814" t="str">
        <f t="shared" ca="1" si="338"/>
        <v>-</v>
      </c>
      <c r="AO422" s="815">
        <v>1</v>
      </c>
      <c r="AP422" s="816" t="str">
        <f t="shared" ca="1" si="339"/>
        <v>-</v>
      </c>
      <c r="AQ422" s="817" t="s">
        <v>3162</v>
      </c>
      <c r="AR422" s="794" t="str">
        <f t="shared" si="340"/>
        <v>-</v>
      </c>
      <c r="AS422" s="818"/>
      <c r="AT422" s="794" t="str">
        <f t="shared" si="341"/>
        <v>-</v>
      </c>
      <c r="AU422" s="819">
        <v>1</v>
      </c>
      <c r="AV422" s="820"/>
      <c r="AW422" s="821"/>
      <c r="AX422" s="821"/>
      <c r="AY422" s="969" t="str">
        <f t="shared" si="342"/>
        <v>-</v>
      </c>
      <c r="AZ422" s="966" t="str">
        <f t="shared" si="343"/>
        <v>-</v>
      </c>
      <c r="BA422" s="971" t="str">
        <f t="shared" si="344"/>
        <v>-</v>
      </c>
      <c r="BB422" s="975"/>
      <c r="BC422" s="821"/>
      <c r="BD422" s="821"/>
      <c r="BE422" s="963" t="str">
        <f t="shared" si="345"/>
        <v>-</v>
      </c>
      <c r="BF422" s="984"/>
      <c r="BG422" s="988"/>
      <c r="BH422" s="982"/>
      <c r="BI422" s="991"/>
      <c r="BJ422" s="991"/>
      <c r="BK422" s="993" t="str">
        <f t="shared" si="346"/>
        <v>-</v>
      </c>
      <c r="BL422" s="820">
        <v>42982</v>
      </c>
      <c r="BM422" s="821">
        <v>5</v>
      </c>
      <c r="BN422" s="822">
        <f t="shared" ca="1" si="347"/>
        <v>152</v>
      </c>
      <c r="BO422" s="823">
        <f t="shared" si="348"/>
        <v>65.7</v>
      </c>
      <c r="BP422" s="824"/>
      <c r="BQ422" s="821"/>
      <c r="BR422" s="822" t="str">
        <f t="shared" si="349"/>
        <v>-</v>
      </c>
      <c r="BS422" s="823" t="str">
        <f t="shared" si="350"/>
        <v>-</v>
      </c>
      <c r="BT422" s="825" t="str">
        <f t="shared" ca="1" si="351"/>
        <v>-</v>
      </c>
      <c r="BU422" s="826"/>
      <c r="BV422" s="827"/>
      <c r="BW422" s="828" t="str">
        <f t="shared" si="352"/>
        <v>Ж-Е НЕ ВАКЦ.</v>
      </c>
      <c r="BX422" s="829" t="str">
        <f t="shared" si="353"/>
        <v>-</v>
      </c>
      <c r="BY422" s="830" t="str">
        <f t="shared" ca="1" si="354"/>
        <v>-</v>
      </c>
      <c r="BZ422" s="831">
        <v>42887</v>
      </c>
      <c r="CA422" s="832">
        <v>5</v>
      </c>
      <c r="CB422" s="833">
        <f t="shared" ca="1" si="355"/>
        <v>247</v>
      </c>
      <c r="CC422" s="834" t="str">
        <f t="shared" ca="1" si="356"/>
        <v>-</v>
      </c>
      <c r="CD422" s="835">
        <f t="shared" si="357"/>
        <v>42908</v>
      </c>
      <c r="CE422" s="831">
        <v>42908</v>
      </c>
      <c r="CF422" s="832">
        <v>5</v>
      </c>
      <c r="CG422" s="833">
        <f t="shared" ca="1" si="358"/>
        <v>226</v>
      </c>
      <c r="CH422" s="836">
        <f t="shared" si="359"/>
        <v>0</v>
      </c>
      <c r="CI422" s="837" t="str">
        <f t="shared" si="360"/>
        <v>УСПЕШНО</v>
      </c>
      <c r="CJ422" s="838" t="str">
        <f t="shared" ca="1" si="361"/>
        <v>-</v>
      </c>
      <c r="CK422" s="831"/>
      <c r="CL422" s="832"/>
      <c r="CM422" s="833" t="str">
        <f t="shared" si="362"/>
        <v>-</v>
      </c>
      <c r="CN422" s="834" t="str">
        <f t="shared" si="363"/>
        <v>-</v>
      </c>
      <c r="CO422" s="830" t="str">
        <f t="shared" ca="1" si="364"/>
        <v>-</v>
      </c>
      <c r="CP422" s="831">
        <v>42925</v>
      </c>
      <c r="CQ422" s="832">
        <v>2</v>
      </c>
      <c r="CR422" s="833">
        <f t="shared" si="365"/>
        <v>42925</v>
      </c>
      <c r="CS422" s="833">
        <f t="shared" ca="1" si="366"/>
        <v>209</v>
      </c>
      <c r="CT422" s="834" t="str">
        <f t="shared" ca="1" si="367"/>
        <v>-</v>
      </c>
      <c r="CU422" s="835">
        <f t="shared" si="368"/>
        <v>42946</v>
      </c>
      <c r="CV422" s="831">
        <v>42946</v>
      </c>
      <c r="CW422" s="832">
        <v>2</v>
      </c>
      <c r="CX422" s="833">
        <f t="shared" si="369"/>
        <v>0</v>
      </c>
      <c r="CY422" s="840" t="str">
        <f t="shared" si="370"/>
        <v>УСПЕШНО</v>
      </c>
      <c r="CZ422" s="833">
        <f t="shared" si="371"/>
        <v>42946</v>
      </c>
      <c r="DA422" s="838" t="str">
        <f t="shared" ca="1" si="372"/>
        <v>-</v>
      </c>
      <c r="DB422" s="841"/>
      <c r="DC422" s="832"/>
    </row>
    <row r="423" spans="1:107" s="842" customFormat="1" ht="15.95" customHeight="1" x14ac:dyDescent="0.25">
      <c r="A423" s="790">
        <v>424</v>
      </c>
      <c r="B423" s="791">
        <f t="shared" ca="1" si="321"/>
        <v>43134</v>
      </c>
      <c r="C423" s="792" t="s">
        <v>615</v>
      </c>
      <c r="D423" s="793" t="s">
        <v>908</v>
      </c>
      <c r="E423" s="794" t="s">
        <v>829</v>
      </c>
      <c r="F423" s="854" t="s">
        <v>830</v>
      </c>
      <c r="G423" s="796">
        <f>SUMIFS(МОЛОКО!L8:L6958,МОЛОКО!F8:F6958,"1579",МОЛОКО!L8:L6958,"&gt;0")</f>
        <v>26.2</v>
      </c>
      <c r="H423" s="797" t="s">
        <v>603</v>
      </c>
      <c r="I423" s="798">
        <v>41053</v>
      </c>
      <c r="J423" s="799">
        <f t="shared" ca="1" si="322"/>
        <v>5.7013698630136984</v>
      </c>
      <c r="K423" s="799">
        <f t="shared" ca="1" si="323"/>
        <v>69.36666666666666</v>
      </c>
      <c r="L423" s="800">
        <f t="shared" ca="1" si="324"/>
        <v>2081</v>
      </c>
      <c r="M423" s="801">
        <v>42173</v>
      </c>
      <c r="N423" s="802">
        <v>42953</v>
      </c>
      <c r="O423" s="803">
        <f t="shared" ca="1" si="325"/>
        <v>181</v>
      </c>
      <c r="P423" s="804">
        <v>4</v>
      </c>
      <c r="Q423" s="805" t="s">
        <v>1451</v>
      </c>
      <c r="R423" s="806" t="s">
        <v>2962</v>
      </c>
      <c r="S423" s="807">
        <v>43013</v>
      </c>
      <c r="T423" s="798">
        <v>43036</v>
      </c>
      <c r="U423" s="798">
        <f t="shared" si="326"/>
        <v>43054</v>
      </c>
      <c r="V423" s="804">
        <f t="shared" ca="1" si="327"/>
        <v>80</v>
      </c>
      <c r="W423" s="808">
        <v>2</v>
      </c>
      <c r="X423" s="794">
        <f t="shared" si="320"/>
        <v>83</v>
      </c>
      <c r="Y423" s="794">
        <v>3</v>
      </c>
      <c r="Z423" s="809" t="str">
        <f t="shared" ca="1" si="328"/>
        <v>-----</v>
      </c>
      <c r="AA423" s="810">
        <f t="shared" ca="1" si="329"/>
        <v>98</v>
      </c>
      <c r="AB423" s="804"/>
      <c r="AC423" s="811" t="str">
        <f t="shared" ca="1" si="330"/>
        <v>-----</v>
      </c>
      <c r="AD423" s="798"/>
      <c r="AE423" s="794" t="str">
        <f t="shared" ca="1" si="331"/>
        <v>-</v>
      </c>
      <c r="AF423" s="798">
        <f t="shared" si="332"/>
        <v>43071</v>
      </c>
      <c r="AG423" s="812">
        <f t="shared" ca="1" si="333"/>
        <v>63</v>
      </c>
      <c r="AH423" s="807"/>
      <c r="AI423" s="807" t="str">
        <f t="shared" si="334"/>
        <v>-</v>
      </c>
      <c r="AJ423" s="807" t="str">
        <f t="shared" si="335"/>
        <v>-</v>
      </c>
      <c r="AK423" s="813"/>
      <c r="AL423" s="807" t="str">
        <f t="shared" si="336"/>
        <v>-</v>
      </c>
      <c r="AM423" s="807" t="str">
        <f t="shared" si="337"/>
        <v>-</v>
      </c>
      <c r="AN423" s="814" t="str">
        <f t="shared" ca="1" si="338"/>
        <v>-</v>
      </c>
      <c r="AO423" s="815">
        <v>1</v>
      </c>
      <c r="AP423" s="816" t="str">
        <f t="shared" ca="1" si="339"/>
        <v>-</v>
      </c>
      <c r="AQ423" s="817"/>
      <c r="AR423" s="794" t="str">
        <f t="shared" si="340"/>
        <v>-</v>
      </c>
      <c r="AS423" s="818"/>
      <c r="AT423" s="794" t="str">
        <f t="shared" si="341"/>
        <v>-</v>
      </c>
      <c r="AU423" s="819">
        <v>1</v>
      </c>
      <c r="AV423" s="820"/>
      <c r="AW423" s="821"/>
      <c r="AX423" s="821"/>
      <c r="AY423" s="969" t="str">
        <f t="shared" si="342"/>
        <v>-</v>
      </c>
      <c r="AZ423" s="966" t="str">
        <f t="shared" si="343"/>
        <v>-</v>
      </c>
      <c r="BA423" s="971" t="str">
        <f t="shared" si="344"/>
        <v>-</v>
      </c>
      <c r="BB423" s="975"/>
      <c r="BC423" s="821"/>
      <c r="BD423" s="821"/>
      <c r="BE423" s="963" t="str">
        <f t="shared" si="345"/>
        <v>-</v>
      </c>
      <c r="BF423" s="984"/>
      <c r="BG423" s="988"/>
      <c r="BH423" s="982"/>
      <c r="BI423" s="991"/>
      <c r="BJ423" s="991"/>
      <c r="BK423" s="993" t="str">
        <f t="shared" si="346"/>
        <v>-</v>
      </c>
      <c r="BL423" s="820">
        <v>42979</v>
      </c>
      <c r="BM423" s="821">
        <v>5</v>
      </c>
      <c r="BN423" s="822">
        <f t="shared" ca="1" si="347"/>
        <v>155</v>
      </c>
      <c r="BO423" s="823">
        <f t="shared" si="348"/>
        <v>64.2</v>
      </c>
      <c r="BP423" s="824"/>
      <c r="BQ423" s="821"/>
      <c r="BR423" s="822" t="str">
        <f t="shared" si="349"/>
        <v>-</v>
      </c>
      <c r="BS423" s="823" t="str">
        <f t="shared" si="350"/>
        <v>-</v>
      </c>
      <c r="BT423" s="825" t="str">
        <f t="shared" ca="1" si="351"/>
        <v>-</v>
      </c>
      <c r="BU423" s="826"/>
      <c r="BV423" s="827"/>
      <c r="BW423" s="828" t="str">
        <f t="shared" si="352"/>
        <v>Ж-Е НЕ ВАКЦ.</v>
      </c>
      <c r="BX423" s="829" t="str">
        <f t="shared" si="353"/>
        <v>-</v>
      </c>
      <c r="BY423" s="830" t="str">
        <f t="shared" ca="1" si="354"/>
        <v>-</v>
      </c>
      <c r="BZ423" s="831">
        <v>42988</v>
      </c>
      <c r="CA423" s="832">
        <v>5</v>
      </c>
      <c r="CB423" s="833">
        <f t="shared" ca="1" si="355"/>
        <v>146</v>
      </c>
      <c r="CC423" s="834" t="str">
        <f t="shared" ca="1" si="356"/>
        <v>-</v>
      </c>
      <c r="CD423" s="835">
        <f t="shared" si="357"/>
        <v>43009</v>
      </c>
      <c r="CE423" s="831">
        <v>43009</v>
      </c>
      <c r="CF423" s="832">
        <v>5</v>
      </c>
      <c r="CG423" s="833">
        <f t="shared" ca="1" si="358"/>
        <v>125</v>
      </c>
      <c r="CH423" s="836">
        <f t="shared" si="359"/>
        <v>0</v>
      </c>
      <c r="CI423" s="837" t="str">
        <f t="shared" si="360"/>
        <v>УСПЕШНО</v>
      </c>
      <c r="CJ423" s="838" t="str">
        <f t="shared" ca="1" si="361"/>
        <v>-</v>
      </c>
      <c r="CK423" s="831"/>
      <c r="CL423" s="832"/>
      <c r="CM423" s="833" t="str">
        <f t="shared" si="362"/>
        <v>-</v>
      </c>
      <c r="CN423" s="834" t="str">
        <f t="shared" si="363"/>
        <v>-</v>
      </c>
      <c r="CO423" s="830" t="str">
        <f t="shared" ca="1" si="364"/>
        <v>-</v>
      </c>
      <c r="CP423" s="831">
        <v>42882</v>
      </c>
      <c r="CQ423" s="832">
        <v>2</v>
      </c>
      <c r="CR423" s="833">
        <f t="shared" si="365"/>
        <v>-154</v>
      </c>
      <c r="CS423" s="833">
        <f t="shared" ca="1" si="366"/>
        <v>252</v>
      </c>
      <c r="CT423" s="834" t="str">
        <f t="shared" ca="1" si="367"/>
        <v>-</v>
      </c>
      <c r="CU423" s="835">
        <f t="shared" si="368"/>
        <v>42903</v>
      </c>
      <c r="CV423" s="831">
        <v>42903</v>
      </c>
      <c r="CW423" s="832">
        <v>2</v>
      </c>
      <c r="CX423" s="833">
        <f t="shared" si="369"/>
        <v>0</v>
      </c>
      <c r="CY423" s="840" t="str">
        <f t="shared" si="370"/>
        <v>УСПЕШНО</v>
      </c>
      <c r="CZ423" s="833">
        <f t="shared" si="371"/>
        <v>-133</v>
      </c>
      <c r="DA423" s="838" t="str">
        <f t="shared" ca="1" si="372"/>
        <v>-</v>
      </c>
      <c r="DB423" s="841"/>
      <c r="DC423" s="832"/>
    </row>
    <row r="424" spans="1:107" s="842" customFormat="1" ht="15.95" customHeight="1" x14ac:dyDescent="0.25">
      <c r="A424" s="790">
        <v>425</v>
      </c>
      <c r="B424" s="791">
        <f t="shared" ca="1" si="321"/>
        <v>43134</v>
      </c>
      <c r="C424" s="29" t="s">
        <v>615</v>
      </c>
      <c r="D424" s="59" t="s">
        <v>908</v>
      </c>
      <c r="E424" s="794" t="s">
        <v>105</v>
      </c>
      <c r="F424" s="854" t="s">
        <v>883</v>
      </c>
      <c r="G424" s="796">
        <f>SUMIFS(МОЛОКО!L8:L6958,МОЛОКО!F8:F6958,"1607",МОЛОКО!L8:L6958,"&gt;0")</f>
        <v>23.3</v>
      </c>
      <c r="H424" s="797" t="s">
        <v>603</v>
      </c>
      <c r="I424" s="798">
        <v>41083</v>
      </c>
      <c r="J424" s="799">
        <f t="shared" ca="1" si="322"/>
        <v>5.6191780821917812</v>
      </c>
      <c r="K424" s="799">
        <f t="shared" ca="1" si="323"/>
        <v>68.36666666666666</v>
      </c>
      <c r="L424" s="800">
        <f t="shared" ca="1" si="324"/>
        <v>2051</v>
      </c>
      <c r="M424" s="801">
        <v>41858</v>
      </c>
      <c r="N424" s="802">
        <v>43014</v>
      </c>
      <c r="O424" s="803">
        <f t="shared" ca="1" si="325"/>
        <v>120</v>
      </c>
      <c r="P424" s="804">
        <v>3</v>
      </c>
      <c r="Q424" s="805"/>
      <c r="R424" s="806"/>
      <c r="S424" s="807"/>
      <c r="T424" s="798"/>
      <c r="U424" s="798" t="str">
        <f t="shared" si="326"/>
        <v>-</v>
      </c>
      <c r="V424" s="804" t="str">
        <f t="shared" ca="1" si="327"/>
        <v>-</v>
      </c>
      <c r="W424" s="808">
        <v>0</v>
      </c>
      <c r="X424" s="794" t="str">
        <f t="shared" si="320"/>
        <v>-</v>
      </c>
      <c r="Y424" s="794">
        <v>0</v>
      </c>
      <c r="Z424" s="809" t="str">
        <f t="shared" ca="1" si="328"/>
        <v>-----</v>
      </c>
      <c r="AA424" s="810">
        <f t="shared" ca="1" si="329"/>
        <v>43134</v>
      </c>
      <c r="AB424" s="804"/>
      <c r="AC424" s="811" t="str">
        <f t="shared" ca="1" si="330"/>
        <v>-----</v>
      </c>
      <c r="AD424" s="798"/>
      <c r="AE424" s="794" t="str">
        <f t="shared" ca="1" si="331"/>
        <v>-</v>
      </c>
      <c r="AF424" s="798" t="str">
        <f t="shared" si="332"/>
        <v>-</v>
      </c>
      <c r="AG424" s="812" t="str">
        <f t="shared" si="333"/>
        <v>---------</v>
      </c>
      <c r="AH424" s="807"/>
      <c r="AI424" s="807" t="str">
        <f t="shared" si="334"/>
        <v>-</v>
      </c>
      <c r="AJ424" s="807" t="str">
        <f t="shared" si="335"/>
        <v>-</v>
      </c>
      <c r="AK424" s="813"/>
      <c r="AL424" s="807" t="str">
        <f t="shared" si="336"/>
        <v>-</v>
      </c>
      <c r="AM424" s="807" t="str">
        <f t="shared" si="337"/>
        <v>-</v>
      </c>
      <c r="AN424" s="814" t="str">
        <f t="shared" ca="1" si="338"/>
        <v>-</v>
      </c>
      <c r="AO424" s="815">
        <v>1</v>
      </c>
      <c r="AP424" s="816" t="str">
        <f t="shared" ca="1" si="339"/>
        <v>-</v>
      </c>
      <c r="AQ424" s="817"/>
      <c r="AR424" s="794" t="str">
        <f t="shared" si="340"/>
        <v>-</v>
      </c>
      <c r="AS424" s="818"/>
      <c r="AT424" s="794" t="str">
        <f t="shared" si="341"/>
        <v>-</v>
      </c>
      <c r="AU424" s="819">
        <v>1</v>
      </c>
      <c r="AV424" s="820"/>
      <c r="AW424" s="821"/>
      <c r="AX424" s="821"/>
      <c r="AY424" s="969" t="str">
        <f t="shared" si="342"/>
        <v>-</v>
      </c>
      <c r="AZ424" s="966" t="str">
        <f t="shared" si="343"/>
        <v>-</v>
      </c>
      <c r="BA424" s="971" t="str">
        <f t="shared" si="344"/>
        <v>-</v>
      </c>
      <c r="BB424" s="975"/>
      <c r="BC424" s="821"/>
      <c r="BD424" s="821"/>
      <c r="BE424" s="963" t="str">
        <f t="shared" si="345"/>
        <v>-</v>
      </c>
      <c r="BF424" s="984"/>
      <c r="BG424" s="988"/>
      <c r="BH424" s="982"/>
      <c r="BI424" s="991"/>
      <c r="BJ424" s="991"/>
      <c r="BK424" s="993" t="str">
        <f t="shared" si="346"/>
        <v>-</v>
      </c>
      <c r="BL424" s="820">
        <v>42978</v>
      </c>
      <c r="BM424" s="821">
        <v>5</v>
      </c>
      <c r="BN424" s="822">
        <f t="shared" ca="1" si="347"/>
        <v>156</v>
      </c>
      <c r="BO424" s="823">
        <f t="shared" si="348"/>
        <v>63.166666666666664</v>
      </c>
      <c r="BP424" s="824"/>
      <c r="BQ424" s="821"/>
      <c r="BR424" s="822" t="str">
        <f t="shared" si="349"/>
        <v>-</v>
      </c>
      <c r="BS424" s="823" t="str">
        <f t="shared" si="350"/>
        <v>-</v>
      </c>
      <c r="BT424" s="825" t="str">
        <f t="shared" ca="1" si="351"/>
        <v>-</v>
      </c>
      <c r="BU424" s="826"/>
      <c r="BV424" s="827"/>
      <c r="BW424" s="828" t="str">
        <f t="shared" si="352"/>
        <v>Ж-Е НЕ ВАКЦ.</v>
      </c>
      <c r="BX424" s="829" t="str">
        <f t="shared" si="353"/>
        <v>-</v>
      </c>
      <c r="BY424" s="830" t="str">
        <f t="shared" ca="1" si="354"/>
        <v>-</v>
      </c>
      <c r="BZ424" s="831">
        <v>42887</v>
      </c>
      <c r="CA424" s="832">
        <v>5</v>
      </c>
      <c r="CB424" s="833">
        <f t="shared" ca="1" si="355"/>
        <v>247</v>
      </c>
      <c r="CC424" s="834" t="str">
        <f t="shared" ca="1" si="356"/>
        <v>-</v>
      </c>
      <c r="CD424" s="835">
        <f t="shared" si="357"/>
        <v>42908</v>
      </c>
      <c r="CE424" s="831">
        <v>42908</v>
      </c>
      <c r="CF424" s="832">
        <v>5</v>
      </c>
      <c r="CG424" s="833">
        <f t="shared" ca="1" si="358"/>
        <v>226</v>
      </c>
      <c r="CH424" s="836">
        <f t="shared" si="359"/>
        <v>0</v>
      </c>
      <c r="CI424" s="837" t="str">
        <f t="shared" si="360"/>
        <v>УСПЕШНО</v>
      </c>
      <c r="CJ424" s="838" t="str">
        <f t="shared" ca="1" si="361"/>
        <v>-</v>
      </c>
      <c r="CK424" s="831"/>
      <c r="CL424" s="832"/>
      <c r="CM424" s="833" t="str">
        <f t="shared" si="362"/>
        <v>-</v>
      </c>
      <c r="CN424" s="834" t="str">
        <f t="shared" si="363"/>
        <v>-</v>
      </c>
      <c r="CO424" s="830" t="str">
        <f t="shared" ca="1" si="364"/>
        <v>-</v>
      </c>
      <c r="CP424" s="831">
        <v>42958</v>
      </c>
      <c r="CQ424" s="832">
        <v>2</v>
      </c>
      <c r="CR424" s="833">
        <f t="shared" si="365"/>
        <v>42958</v>
      </c>
      <c r="CS424" s="833">
        <f t="shared" ca="1" si="366"/>
        <v>176</v>
      </c>
      <c r="CT424" s="834" t="str">
        <f t="shared" ca="1" si="367"/>
        <v>-</v>
      </c>
      <c r="CU424" s="835">
        <f t="shared" si="368"/>
        <v>42979</v>
      </c>
      <c r="CV424" s="831">
        <v>42980</v>
      </c>
      <c r="CW424" s="832">
        <v>2</v>
      </c>
      <c r="CX424" s="833">
        <f t="shared" si="369"/>
        <v>1</v>
      </c>
      <c r="CY424" s="840" t="str">
        <f t="shared" si="370"/>
        <v>-</v>
      </c>
      <c r="CZ424" s="833">
        <f t="shared" si="371"/>
        <v>42980</v>
      </c>
      <c r="DA424" s="838" t="str">
        <f t="shared" ca="1" si="372"/>
        <v>-</v>
      </c>
      <c r="DB424" s="841"/>
      <c r="DC424" s="832"/>
    </row>
    <row r="425" spans="1:107" s="842" customFormat="1" ht="15.95" customHeight="1" x14ac:dyDescent="0.25">
      <c r="A425" s="790">
        <v>426</v>
      </c>
      <c r="B425" s="791">
        <f t="shared" ca="1" si="321"/>
        <v>43134</v>
      </c>
      <c r="C425" s="792" t="s">
        <v>615</v>
      </c>
      <c r="D425" s="793" t="s">
        <v>908</v>
      </c>
      <c r="E425" s="794" t="s">
        <v>885</v>
      </c>
      <c r="F425" s="854" t="s">
        <v>886</v>
      </c>
      <c r="G425" s="796">
        <f>SUMIFS(МОЛОКО!L8:L6958,МОЛОКО!F8:F6958,"1628",МОЛОКО!L8:L6958,"&gt;0")</f>
        <v>34</v>
      </c>
      <c r="H425" s="797" t="s">
        <v>603</v>
      </c>
      <c r="I425" s="798">
        <v>41104</v>
      </c>
      <c r="J425" s="799">
        <f t="shared" ca="1" si="322"/>
        <v>5.5616438356164384</v>
      </c>
      <c r="K425" s="799">
        <f t="shared" ca="1" si="323"/>
        <v>67.666666666666671</v>
      </c>
      <c r="L425" s="800">
        <f t="shared" ca="1" si="324"/>
        <v>2030</v>
      </c>
      <c r="M425" s="801">
        <v>41927</v>
      </c>
      <c r="N425" s="802">
        <v>42963</v>
      </c>
      <c r="O425" s="803">
        <f t="shared" ca="1" si="325"/>
        <v>171</v>
      </c>
      <c r="P425" s="804">
        <v>3</v>
      </c>
      <c r="Q425" s="68" t="s">
        <v>2366</v>
      </c>
      <c r="R425" s="118" t="s">
        <v>3020</v>
      </c>
      <c r="S425" s="807">
        <v>43027</v>
      </c>
      <c r="T425" s="798">
        <v>43027</v>
      </c>
      <c r="U425" s="798">
        <f t="shared" si="326"/>
        <v>43045</v>
      </c>
      <c r="V425" s="804">
        <f t="shared" ca="1" si="327"/>
        <v>89</v>
      </c>
      <c r="W425" s="808">
        <v>1</v>
      </c>
      <c r="X425" s="794">
        <f t="shared" si="320"/>
        <v>64</v>
      </c>
      <c r="Y425" s="794">
        <v>3</v>
      </c>
      <c r="Z425" s="809" t="str">
        <f t="shared" ca="1" si="328"/>
        <v>-----</v>
      </c>
      <c r="AA425" s="810">
        <f t="shared" ca="1" si="329"/>
        <v>107</v>
      </c>
      <c r="AB425" s="804"/>
      <c r="AC425" s="811" t="str">
        <f t="shared" ca="1" si="330"/>
        <v>-----</v>
      </c>
      <c r="AD425" s="798"/>
      <c r="AE425" s="794" t="str">
        <f t="shared" ca="1" si="331"/>
        <v>-</v>
      </c>
      <c r="AF425" s="798">
        <f t="shared" si="332"/>
        <v>43062</v>
      </c>
      <c r="AG425" s="812">
        <f t="shared" ca="1" si="333"/>
        <v>72</v>
      </c>
      <c r="AH425" s="807"/>
      <c r="AI425" s="807" t="str">
        <f t="shared" si="334"/>
        <v>-</v>
      </c>
      <c r="AJ425" s="807" t="str">
        <f t="shared" si="335"/>
        <v>-</v>
      </c>
      <c r="AK425" s="813"/>
      <c r="AL425" s="807" t="str">
        <f t="shared" si="336"/>
        <v>-</v>
      </c>
      <c r="AM425" s="807" t="str">
        <f t="shared" si="337"/>
        <v>-</v>
      </c>
      <c r="AN425" s="814" t="str">
        <f t="shared" ca="1" si="338"/>
        <v>-</v>
      </c>
      <c r="AO425" s="815">
        <v>1</v>
      </c>
      <c r="AP425" s="816" t="str">
        <f t="shared" ca="1" si="339"/>
        <v>-</v>
      </c>
      <c r="AQ425" s="817"/>
      <c r="AR425" s="794" t="str">
        <f t="shared" si="340"/>
        <v>-</v>
      </c>
      <c r="AS425" s="818"/>
      <c r="AT425" s="794" t="str">
        <f t="shared" si="341"/>
        <v>-</v>
      </c>
      <c r="AU425" s="819">
        <v>1</v>
      </c>
      <c r="AV425" s="820"/>
      <c r="AW425" s="821"/>
      <c r="AX425" s="821"/>
      <c r="AY425" s="969" t="str">
        <f t="shared" si="342"/>
        <v>-</v>
      </c>
      <c r="AZ425" s="966" t="str">
        <f t="shared" si="343"/>
        <v>-</v>
      </c>
      <c r="BA425" s="971" t="str">
        <f t="shared" si="344"/>
        <v>-</v>
      </c>
      <c r="BB425" s="975"/>
      <c r="BC425" s="821"/>
      <c r="BD425" s="821"/>
      <c r="BE425" s="963" t="str">
        <f t="shared" si="345"/>
        <v>-</v>
      </c>
      <c r="BF425" s="984"/>
      <c r="BG425" s="988"/>
      <c r="BH425" s="982"/>
      <c r="BI425" s="991"/>
      <c r="BJ425" s="991"/>
      <c r="BK425" s="993" t="str">
        <f t="shared" si="346"/>
        <v>-</v>
      </c>
      <c r="BL425" s="820">
        <v>42982</v>
      </c>
      <c r="BM425" s="821">
        <v>5</v>
      </c>
      <c r="BN425" s="822">
        <f t="shared" ca="1" si="347"/>
        <v>152</v>
      </c>
      <c r="BO425" s="823">
        <f t="shared" si="348"/>
        <v>62.6</v>
      </c>
      <c r="BP425" s="824"/>
      <c r="BQ425" s="821"/>
      <c r="BR425" s="822" t="str">
        <f t="shared" si="349"/>
        <v>-</v>
      </c>
      <c r="BS425" s="823" t="str">
        <f t="shared" si="350"/>
        <v>-</v>
      </c>
      <c r="BT425" s="825" t="str">
        <f t="shared" ca="1" si="351"/>
        <v>-</v>
      </c>
      <c r="BU425" s="826"/>
      <c r="BV425" s="827"/>
      <c r="BW425" s="828" t="str">
        <f t="shared" si="352"/>
        <v>Ж-Е НЕ ВАКЦ.</v>
      </c>
      <c r="BX425" s="829" t="str">
        <f t="shared" si="353"/>
        <v>-</v>
      </c>
      <c r="BY425" s="830" t="str">
        <f t="shared" ca="1" si="354"/>
        <v>-</v>
      </c>
      <c r="BZ425" s="831">
        <v>42887</v>
      </c>
      <c r="CA425" s="832">
        <v>5</v>
      </c>
      <c r="CB425" s="833">
        <f t="shared" ca="1" si="355"/>
        <v>247</v>
      </c>
      <c r="CC425" s="834" t="str">
        <f t="shared" ca="1" si="356"/>
        <v>-</v>
      </c>
      <c r="CD425" s="835">
        <f t="shared" si="357"/>
        <v>42908</v>
      </c>
      <c r="CE425" s="831">
        <v>42908</v>
      </c>
      <c r="CF425" s="832">
        <v>5</v>
      </c>
      <c r="CG425" s="833">
        <f t="shared" ca="1" si="358"/>
        <v>226</v>
      </c>
      <c r="CH425" s="836">
        <f t="shared" si="359"/>
        <v>0</v>
      </c>
      <c r="CI425" s="837" t="str">
        <f t="shared" si="360"/>
        <v>УСПЕШНО</v>
      </c>
      <c r="CJ425" s="838" t="str">
        <f t="shared" ca="1" si="361"/>
        <v>-</v>
      </c>
      <c r="CK425" s="831"/>
      <c r="CL425" s="832"/>
      <c r="CM425" s="833" t="str">
        <f t="shared" si="362"/>
        <v>-</v>
      </c>
      <c r="CN425" s="834" t="str">
        <f t="shared" si="363"/>
        <v>-</v>
      </c>
      <c r="CO425" s="830" t="str">
        <f t="shared" ca="1" si="364"/>
        <v>-</v>
      </c>
      <c r="CP425" s="831">
        <v>42925</v>
      </c>
      <c r="CQ425" s="832">
        <v>2</v>
      </c>
      <c r="CR425" s="833">
        <f t="shared" si="365"/>
        <v>-102</v>
      </c>
      <c r="CS425" s="833">
        <f t="shared" ca="1" si="366"/>
        <v>209</v>
      </c>
      <c r="CT425" s="834" t="str">
        <f t="shared" ca="1" si="367"/>
        <v>-</v>
      </c>
      <c r="CU425" s="835">
        <f t="shared" si="368"/>
        <v>42946</v>
      </c>
      <c r="CV425" s="831">
        <v>42946</v>
      </c>
      <c r="CW425" s="832">
        <v>2</v>
      </c>
      <c r="CX425" s="833">
        <f t="shared" si="369"/>
        <v>0</v>
      </c>
      <c r="CY425" s="840" t="str">
        <f t="shared" si="370"/>
        <v>УСПЕШНО</v>
      </c>
      <c r="CZ425" s="833">
        <f t="shared" si="371"/>
        <v>-81</v>
      </c>
      <c r="DA425" s="838" t="str">
        <f t="shared" ca="1" si="372"/>
        <v>-</v>
      </c>
      <c r="DB425" s="841"/>
      <c r="DC425" s="832"/>
    </row>
    <row r="426" spans="1:107" s="842" customFormat="1" ht="15.95" customHeight="1" x14ac:dyDescent="0.25">
      <c r="A426" s="790">
        <v>427</v>
      </c>
      <c r="B426" s="791">
        <f t="shared" ca="1" si="321"/>
        <v>43134</v>
      </c>
      <c r="C426" s="792" t="s">
        <v>615</v>
      </c>
      <c r="D426" s="793" t="s">
        <v>908</v>
      </c>
      <c r="E426" s="794" t="s">
        <v>627</v>
      </c>
      <c r="F426" s="998" t="s">
        <v>628</v>
      </c>
      <c r="G426" s="796">
        <f>SUMIFS(МОЛОКО!L8:L6958,МОЛОКО!F8:F6958,"1629",МОЛОКО!L8:L6958,"&gt;0")</f>
        <v>35</v>
      </c>
      <c r="H426" s="797" t="s">
        <v>603</v>
      </c>
      <c r="I426" s="798">
        <v>41105</v>
      </c>
      <c r="J426" s="799">
        <f t="shared" ca="1" si="322"/>
        <v>5.558904109589041</v>
      </c>
      <c r="K426" s="799">
        <f t="shared" ca="1" si="323"/>
        <v>67.63333333333334</v>
      </c>
      <c r="L426" s="800">
        <f t="shared" ca="1" si="324"/>
        <v>2029</v>
      </c>
      <c r="M426" s="801">
        <v>41883</v>
      </c>
      <c r="N426" s="802">
        <v>42983</v>
      </c>
      <c r="O426" s="803">
        <f t="shared" ca="1" si="325"/>
        <v>151</v>
      </c>
      <c r="P426" s="804">
        <v>4</v>
      </c>
      <c r="Q426" s="68" t="s">
        <v>1451</v>
      </c>
      <c r="R426" s="118" t="s">
        <v>2966</v>
      </c>
      <c r="S426" s="807">
        <v>43048</v>
      </c>
      <c r="T426" s="798">
        <v>43048</v>
      </c>
      <c r="U426" s="798">
        <f t="shared" si="326"/>
        <v>43066</v>
      </c>
      <c r="V426" s="804">
        <f t="shared" ca="1" si="327"/>
        <v>68</v>
      </c>
      <c r="W426" s="808">
        <v>1</v>
      </c>
      <c r="X426" s="794">
        <f t="shared" si="320"/>
        <v>65</v>
      </c>
      <c r="Y426" s="794">
        <v>3</v>
      </c>
      <c r="Z426" s="809" t="str">
        <f t="shared" ca="1" si="328"/>
        <v>-----</v>
      </c>
      <c r="AA426" s="810">
        <f t="shared" ca="1" si="329"/>
        <v>86</v>
      </c>
      <c r="AB426" s="804"/>
      <c r="AC426" s="811" t="str">
        <f t="shared" ca="1" si="330"/>
        <v>-----</v>
      </c>
      <c r="AD426" s="798"/>
      <c r="AE426" s="794" t="str">
        <f t="shared" ca="1" si="331"/>
        <v>-</v>
      </c>
      <c r="AF426" s="798">
        <f t="shared" si="332"/>
        <v>43083</v>
      </c>
      <c r="AG426" s="812">
        <f t="shared" ca="1" si="333"/>
        <v>51</v>
      </c>
      <c r="AH426" s="807"/>
      <c r="AI426" s="807" t="str">
        <f t="shared" si="334"/>
        <v>-</v>
      </c>
      <c r="AJ426" s="807" t="str">
        <f t="shared" si="335"/>
        <v>-</v>
      </c>
      <c r="AK426" s="813"/>
      <c r="AL426" s="807" t="str">
        <f t="shared" si="336"/>
        <v>-</v>
      </c>
      <c r="AM426" s="807" t="str">
        <f t="shared" si="337"/>
        <v>-</v>
      </c>
      <c r="AN426" s="814" t="str">
        <f t="shared" ca="1" si="338"/>
        <v>-</v>
      </c>
      <c r="AO426" s="815">
        <v>1</v>
      </c>
      <c r="AP426" s="816" t="str">
        <f t="shared" ca="1" si="339"/>
        <v>-</v>
      </c>
      <c r="AQ426" s="817"/>
      <c r="AR426" s="794" t="str">
        <f t="shared" si="340"/>
        <v>-</v>
      </c>
      <c r="AS426" s="818"/>
      <c r="AT426" s="794" t="str">
        <f t="shared" si="341"/>
        <v>-</v>
      </c>
      <c r="AU426" s="300" t="s">
        <v>2696</v>
      </c>
      <c r="AV426" s="820"/>
      <c r="AW426" s="821"/>
      <c r="AX426" s="821"/>
      <c r="AY426" s="969" t="str">
        <f t="shared" si="342"/>
        <v>-</v>
      </c>
      <c r="AZ426" s="966" t="str">
        <f t="shared" si="343"/>
        <v>-</v>
      </c>
      <c r="BA426" s="971" t="str">
        <f t="shared" si="344"/>
        <v>-</v>
      </c>
      <c r="BB426" s="975"/>
      <c r="BC426" s="821"/>
      <c r="BD426" s="821"/>
      <c r="BE426" s="963" t="str">
        <f t="shared" si="345"/>
        <v>-</v>
      </c>
      <c r="BF426" s="984"/>
      <c r="BG426" s="988"/>
      <c r="BH426" s="982"/>
      <c r="BI426" s="991"/>
      <c r="BJ426" s="991"/>
      <c r="BK426" s="993" t="str">
        <f t="shared" si="346"/>
        <v>-</v>
      </c>
      <c r="BL426" s="820">
        <v>42982</v>
      </c>
      <c r="BM426" s="821">
        <v>5</v>
      </c>
      <c r="BN426" s="822">
        <f t="shared" ca="1" si="347"/>
        <v>152</v>
      </c>
      <c r="BO426" s="823">
        <f t="shared" si="348"/>
        <v>62.56666666666667</v>
      </c>
      <c r="BP426" s="824"/>
      <c r="BQ426" s="821"/>
      <c r="BR426" s="822" t="str">
        <f t="shared" si="349"/>
        <v>-</v>
      </c>
      <c r="BS426" s="823" t="str">
        <f t="shared" si="350"/>
        <v>-</v>
      </c>
      <c r="BT426" s="825" t="str">
        <f t="shared" ca="1" si="351"/>
        <v>-</v>
      </c>
      <c r="BU426" s="826"/>
      <c r="BV426" s="827"/>
      <c r="BW426" s="828" t="str">
        <f t="shared" si="352"/>
        <v>Ж-Е НЕ ВАКЦ.</v>
      </c>
      <c r="BX426" s="829" t="str">
        <f t="shared" si="353"/>
        <v>-</v>
      </c>
      <c r="BY426" s="830" t="str">
        <f t="shared" ca="1" si="354"/>
        <v>-</v>
      </c>
      <c r="BZ426" s="831">
        <v>42887</v>
      </c>
      <c r="CA426" s="832">
        <v>5</v>
      </c>
      <c r="CB426" s="833">
        <f t="shared" ca="1" si="355"/>
        <v>247</v>
      </c>
      <c r="CC426" s="834" t="str">
        <f t="shared" ca="1" si="356"/>
        <v>-</v>
      </c>
      <c r="CD426" s="835">
        <f t="shared" si="357"/>
        <v>42908</v>
      </c>
      <c r="CE426" s="831">
        <v>42908</v>
      </c>
      <c r="CF426" s="832">
        <v>5</v>
      </c>
      <c r="CG426" s="833">
        <f t="shared" ca="1" si="358"/>
        <v>226</v>
      </c>
      <c r="CH426" s="836">
        <f t="shared" si="359"/>
        <v>0</v>
      </c>
      <c r="CI426" s="837" t="str">
        <f t="shared" si="360"/>
        <v>УСПЕШНО</v>
      </c>
      <c r="CJ426" s="838" t="str">
        <f t="shared" ca="1" si="361"/>
        <v>-</v>
      </c>
      <c r="CK426" s="831"/>
      <c r="CL426" s="832"/>
      <c r="CM426" s="833" t="str">
        <f t="shared" si="362"/>
        <v>-</v>
      </c>
      <c r="CN426" s="834" t="str">
        <f t="shared" si="363"/>
        <v>-</v>
      </c>
      <c r="CO426" s="830" t="str">
        <f t="shared" ca="1" si="364"/>
        <v>-</v>
      </c>
      <c r="CP426" s="831">
        <v>42925</v>
      </c>
      <c r="CQ426" s="832">
        <v>2</v>
      </c>
      <c r="CR426" s="833">
        <f t="shared" si="365"/>
        <v>-123</v>
      </c>
      <c r="CS426" s="833">
        <f t="shared" ca="1" si="366"/>
        <v>209</v>
      </c>
      <c r="CT426" s="834" t="str">
        <f t="shared" ca="1" si="367"/>
        <v>-</v>
      </c>
      <c r="CU426" s="835">
        <f t="shared" si="368"/>
        <v>42946</v>
      </c>
      <c r="CV426" s="831">
        <v>42946</v>
      </c>
      <c r="CW426" s="832">
        <v>2</v>
      </c>
      <c r="CX426" s="833">
        <f t="shared" si="369"/>
        <v>0</v>
      </c>
      <c r="CY426" s="840" t="str">
        <f t="shared" si="370"/>
        <v>УСПЕШНО</v>
      </c>
      <c r="CZ426" s="833">
        <f t="shared" si="371"/>
        <v>-102</v>
      </c>
      <c r="DA426" s="838" t="str">
        <f t="shared" ca="1" si="372"/>
        <v>-</v>
      </c>
      <c r="DB426" s="841"/>
      <c r="DC426" s="832"/>
    </row>
    <row r="427" spans="1:107" s="842" customFormat="1" ht="15.95" customHeight="1" x14ac:dyDescent="0.25">
      <c r="A427" s="790">
        <v>428</v>
      </c>
      <c r="B427" s="791">
        <f t="shared" ca="1" si="321"/>
        <v>43134</v>
      </c>
      <c r="C427" s="792" t="s">
        <v>615</v>
      </c>
      <c r="D427" s="793" t="s">
        <v>908</v>
      </c>
      <c r="E427" s="794" t="s">
        <v>777</v>
      </c>
      <c r="F427" s="854" t="s">
        <v>778</v>
      </c>
      <c r="G427" s="796">
        <f>SUMIFS(МОЛОКО!L8:L6958,МОЛОКО!F8:F6958,"1631",МОЛОКО!L8:L6958,"&gt;0")</f>
        <v>30</v>
      </c>
      <c r="H427" s="797" t="s">
        <v>603</v>
      </c>
      <c r="I427" s="798">
        <v>41108</v>
      </c>
      <c r="J427" s="799">
        <f t="shared" ca="1" si="322"/>
        <v>5.5506849315068489</v>
      </c>
      <c r="K427" s="799">
        <f t="shared" ca="1" si="323"/>
        <v>67.533333333333331</v>
      </c>
      <c r="L427" s="800">
        <f t="shared" ca="1" si="324"/>
        <v>2026</v>
      </c>
      <c r="M427" s="801">
        <v>41933</v>
      </c>
      <c r="N427" s="802">
        <v>42922</v>
      </c>
      <c r="O427" s="803">
        <f t="shared" ca="1" si="325"/>
        <v>212</v>
      </c>
      <c r="P427" s="804">
        <v>3</v>
      </c>
      <c r="Q427" s="805" t="s">
        <v>1451</v>
      </c>
      <c r="R427" s="806" t="s">
        <v>3020</v>
      </c>
      <c r="S427" s="807">
        <v>42978</v>
      </c>
      <c r="T427" s="798">
        <v>43020</v>
      </c>
      <c r="U427" s="798" t="str">
        <f t="shared" si="326"/>
        <v>-</v>
      </c>
      <c r="V427" s="804" t="str">
        <f t="shared" ca="1" si="327"/>
        <v>-</v>
      </c>
      <c r="W427" s="808">
        <v>2</v>
      </c>
      <c r="X427" s="794">
        <f t="shared" si="320"/>
        <v>98</v>
      </c>
      <c r="Y427" s="794">
        <v>1</v>
      </c>
      <c r="Z427" s="809" t="str">
        <f t="shared" ca="1" si="328"/>
        <v>ПОДЛЕЖИТ ПЕРЕПРОВЕРКЕ</v>
      </c>
      <c r="AA427" s="810">
        <f t="shared" ca="1" si="329"/>
        <v>114</v>
      </c>
      <c r="AB427" s="804"/>
      <c r="AC427" s="811">
        <f t="shared" ca="1" si="330"/>
        <v>43092</v>
      </c>
      <c r="AD427" s="798"/>
      <c r="AE427" s="794" t="str">
        <f t="shared" ca="1" si="331"/>
        <v>-</v>
      </c>
      <c r="AF427" s="798" t="str">
        <f t="shared" si="332"/>
        <v>-</v>
      </c>
      <c r="AG427" s="812" t="str">
        <f t="shared" si="333"/>
        <v>---------</v>
      </c>
      <c r="AH427" s="807">
        <v>43052</v>
      </c>
      <c r="AI427" s="807">
        <f t="shared" si="334"/>
        <v>43210</v>
      </c>
      <c r="AJ427" s="807">
        <f t="shared" si="335"/>
        <v>43240</v>
      </c>
      <c r="AK427" s="813"/>
      <c r="AL427" s="807">
        <f t="shared" si="336"/>
        <v>43279</v>
      </c>
      <c r="AM427" s="807">
        <f t="shared" si="337"/>
        <v>43300</v>
      </c>
      <c r="AN427" s="814">
        <f t="shared" ca="1" si="338"/>
        <v>-166</v>
      </c>
      <c r="AO427" s="815">
        <v>1</v>
      </c>
      <c r="AP427" s="816" t="str">
        <f t="shared" ca="1" si="339"/>
        <v>-</v>
      </c>
      <c r="AQ427" s="817"/>
      <c r="AR427" s="794" t="str">
        <f t="shared" si="340"/>
        <v>-</v>
      </c>
      <c r="AS427" s="818"/>
      <c r="AT427" s="794" t="str">
        <f t="shared" si="341"/>
        <v>-</v>
      </c>
      <c r="AU427" s="819">
        <v>1</v>
      </c>
      <c r="AV427" s="820"/>
      <c r="AW427" s="821"/>
      <c r="AX427" s="821"/>
      <c r="AY427" s="969" t="str">
        <f t="shared" si="342"/>
        <v>-</v>
      </c>
      <c r="AZ427" s="966" t="str">
        <f t="shared" si="343"/>
        <v>-</v>
      </c>
      <c r="BA427" s="971" t="str">
        <f t="shared" si="344"/>
        <v>-</v>
      </c>
      <c r="BB427" s="975"/>
      <c r="BC427" s="821"/>
      <c r="BD427" s="821"/>
      <c r="BE427" s="963" t="str">
        <f t="shared" si="345"/>
        <v>-</v>
      </c>
      <c r="BF427" s="984"/>
      <c r="BG427" s="988"/>
      <c r="BH427" s="982"/>
      <c r="BI427" s="991"/>
      <c r="BJ427" s="991"/>
      <c r="BK427" s="993" t="str">
        <f t="shared" si="346"/>
        <v>-</v>
      </c>
      <c r="BL427" s="820">
        <v>42979</v>
      </c>
      <c r="BM427" s="821">
        <v>5</v>
      </c>
      <c r="BN427" s="822">
        <f t="shared" ca="1" si="347"/>
        <v>155</v>
      </c>
      <c r="BO427" s="823">
        <f t="shared" si="348"/>
        <v>62.366666666666667</v>
      </c>
      <c r="BP427" s="824"/>
      <c r="BQ427" s="821"/>
      <c r="BR427" s="822" t="str">
        <f t="shared" si="349"/>
        <v>-</v>
      </c>
      <c r="BS427" s="823" t="str">
        <f t="shared" si="350"/>
        <v>-</v>
      </c>
      <c r="BT427" s="825" t="str">
        <f t="shared" ca="1" si="351"/>
        <v>-</v>
      </c>
      <c r="BU427" s="826"/>
      <c r="BV427" s="827"/>
      <c r="BW427" s="828" t="str">
        <f t="shared" si="352"/>
        <v>Ж-Е НЕ ВАКЦ.</v>
      </c>
      <c r="BX427" s="829" t="str">
        <f t="shared" si="353"/>
        <v>-</v>
      </c>
      <c r="BY427" s="830" t="str">
        <f t="shared" ca="1" si="354"/>
        <v>-</v>
      </c>
      <c r="BZ427" s="831">
        <v>42964</v>
      </c>
      <c r="CA427" s="832">
        <v>5</v>
      </c>
      <c r="CB427" s="833">
        <f t="shared" ca="1" si="355"/>
        <v>170</v>
      </c>
      <c r="CC427" s="834" t="str">
        <f t="shared" ca="1" si="356"/>
        <v>-</v>
      </c>
      <c r="CD427" s="835">
        <f t="shared" si="357"/>
        <v>42985</v>
      </c>
      <c r="CE427" s="831">
        <v>42985</v>
      </c>
      <c r="CF427" s="832">
        <v>5</v>
      </c>
      <c r="CG427" s="833">
        <f t="shared" ca="1" si="358"/>
        <v>149</v>
      </c>
      <c r="CH427" s="836">
        <f t="shared" si="359"/>
        <v>0</v>
      </c>
      <c r="CI427" s="837" t="str">
        <f t="shared" si="360"/>
        <v>УСПЕШНО</v>
      </c>
      <c r="CJ427" s="838" t="str">
        <f t="shared" ca="1" si="361"/>
        <v>-</v>
      </c>
      <c r="CK427" s="831"/>
      <c r="CL427" s="832"/>
      <c r="CM427" s="833" t="str">
        <f t="shared" si="362"/>
        <v>-</v>
      </c>
      <c r="CN427" s="834" t="str">
        <f t="shared" si="363"/>
        <v>-</v>
      </c>
      <c r="CO427" s="830" t="str">
        <f t="shared" ca="1" si="364"/>
        <v>-</v>
      </c>
      <c r="CP427" s="839"/>
      <c r="CQ427" s="832"/>
      <c r="CR427" s="833" t="str">
        <f t="shared" si="365"/>
        <v>-</v>
      </c>
      <c r="CS427" s="833" t="str">
        <f t="shared" si="366"/>
        <v>-</v>
      </c>
      <c r="CT427" s="834" t="str">
        <f t="shared" si="367"/>
        <v>-</v>
      </c>
      <c r="CU427" s="835" t="str">
        <f t="shared" si="368"/>
        <v>-</v>
      </c>
      <c r="CV427" s="839"/>
      <c r="CW427" s="832"/>
      <c r="CX427" s="833" t="str">
        <f t="shared" si="369"/>
        <v>-</v>
      </c>
      <c r="CY427" s="840" t="str">
        <f t="shared" si="370"/>
        <v>-</v>
      </c>
      <c r="CZ427" s="833" t="str">
        <f t="shared" si="371"/>
        <v>-</v>
      </c>
      <c r="DA427" s="838" t="str">
        <f t="shared" ca="1" si="372"/>
        <v>-</v>
      </c>
      <c r="DB427" s="841"/>
      <c r="DC427" s="832"/>
    </row>
    <row r="428" spans="1:107" s="842" customFormat="1" ht="15.95" customHeight="1" x14ac:dyDescent="0.25">
      <c r="A428" s="790">
        <v>429</v>
      </c>
      <c r="B428" s="791">
        <f t="shared" ca="1" si="321"/>
        <v>43134</v>
      </c>
      <c r="C428" s="792" t="s">
        <v>615</v>
      </c>
      <c r="D428" s="793" t="s">
        <v>908</v>
      </c>
      <c r="E428" s="794" t="s">
        <v>148</v>
      </c>
      <c r="F428" s="854" t="s">
        <v>887</v>
      </c>
      <c r="G428" s="796">
        <f>SUMIFS(МОЛОКО!L8:L6958,МОЛОКО!F8:F6958,"1632",МОЛОКО!L8:L6958,"&gt;0")</f>
        <v>28</v>
      </c>
      <c r="H428" s="797" t="s">
        <v>603</v>
      </c>
      <c r="I428" s="798">
        <v>41110</v>
      </c>
      <c r="J428" s="799">
        <f t="shared" ca="1" si="322"/>
        <v>5.5452054794520551</v>
      </c>
      <c r="K428" s="799">
        <f t="shared" ca="1" si="323"/>
        <v>67.466666666666669</v>
      </c>
      <c r="L428" s="800">
        <f t="shared" ca="1" si="324"/>
        <v>2024</v>
      </c>
      <c r="M428" s="801">
        <v>41928</v>
      </c>
      <c r="N428" s="802">
        <v>42992</v>
      </c>
      <c r="O428" s="803">
        <f t="shared" ca="1" si="325"/>
        <v>142</v>
      </c>
      <c r="P428" s="804">
        <v>5</v>
      </c>
      <c r="Q428" s="805"/>
      <c r="R428" s="806"/>
      <c r="S428" s="807"/>
      <c r="T428" s="798"/>
      <c r="U428" s="798" t="str">
        <f t="shared" si="326"/>
        <v>-</v>
      </c>
      <c r="V428" s="804" t="str">
        <f t="shared" ca="1" si="327"/>
        <v>-</v>
      </c>
      <c r="W428" s="808">
        <v>0</v>
      </c>
      <c r="X428" s="794" t="str">
        <f t="shared" si="320"/>
        <v>-</v>
      </c>
      <c r="Y428" s="794">
        <v>0</v>
      </c>
      <c r="Z428" s="809" t="str">
        <f t="shared" ca="1" si="328"/>
        <v>-----</v>
      </c>
      <c r="AA428" s="810">
        <f t="shared" ca="1" si="329"/>
        <v>43134</v>
      </c>
      <c r="AB428" s="804"/>
      <c r="AC428" s="811" t="str">
        <f t="shared" ca="1" si="330"/>
        <v>-----</v>
      </c>
      <c r="AD428" s="798"/>
      <c r="AE428" s="794" t="str">
        <f t="shared" ca="1" si="331"/>
        <v>яловая</v>
      </c>
      <c r="AF428" s="798" t="str">
        <f t="shared" si="332"/>
        <v>-</v>
      </c>
      <c r="AG428" s="812" t="str">
        <f t="shared" si="333"/>
        <v>---------</v>
      </c>
      <c r="AH428" s="807"/>
      <c r="AI428" s="807" t="str">
        <f t="shared" si="334"/>
        <v>-</v>
      </c>
      <c r="AJ428" s="807" t="str">
        <f t="shared" si="335"/>
        <v>-</v>
      </c>
      <c r="AK428" s="813"/>
      <c r="AL428" s="807" t="str">
        <f t="shared" si="336"/>
        <v>-</v>
      </c>
      <c r="AM428" s="807" t="str">
        <f t="shared" si="337"/>
        <v>-</v>
      </c>
      <c r="AN428" s="814" t="str">
        <f t="shared" ca="1" si="338"/>
        <v>-</v>
      </c>
      <c r="AO428" s="815">
        <v>1</v>
      </c>
      <c r="AP428" s="816" t="str">
        <f t="shared" ca="1" si="339"/>
        <v>-</v>
      </c>
      <c r="AQ428" s="817"/>
      <c r="AR428" s="794" t="str">
        <f t="shared" si="340"/>
        <v>-</v>
      </c>
      <c r="AS428" s="818"/>
      <c r="AT428" s="794" t="str">
        <f t="shared" si="341"/>
        <v>-</v>
      </c>
      <c r="AU428" s="819">
        <v>1</v>
      </c>
      <c r="AV428" s="820"/>
      <c r="AW428" s="821"/>
      <c r="AX428" s="821"/>
      <c r="AY428" s="969" t="str">
        <f t="shared" si="342"/>
        <v>-</v>
      </c>
      <c r="AZ428" s="966" t="str">
        <f t="shared" si="343"/>
        <v>-</v>
      </c>
      <c r="BA428" s="971" t="str">
        <f t="shared" si="344"/>
        <v>-</v>
      </c>
      <c r="BB428" s="975"/>
      <c r="BC428" s="821"/>
      <c r="BD428" s="821"/>
      <c r="BE428" s="963" t="str">
        <f t="shared" si="345"/>
        <v>-</v>
      </c>
      <c r="BF428" s="984"/>
      <c r="BG428" s="988"/>
      <c r="BH428" s="982"/>
      <c r="BI428" s="991"/>
      <c r="BJ428" s="991"/>
      <c r="BK428" s="993" t="str">
        <f t="shared" si="346"/>
        <v>-</v>
      </c>
      <c r="BL428" s="820">
        <v>42982</v>
      </c>
      <c r="BM428" s="821">
        <v>5</v>
      </c>
      <c r="BN428" s="822">
        <f t="shared" ca="1" si="347"/>
        <v>152</v>
      </c>
      <c r="BO428" s="823">
        <f t="shared" si="348"/>
        <v>62.4</v>
      </c>
      <c r="BP428" s="824"/>
      <c r="BQ428" s="821"/>
      <c r="BR428" s="822" t="str">
        <f t="shared" si="349"/>
        <v>-</v>
      </c>
      <c r="BS428" s="823" t="str">
        <f t="shared" si="350"/>
        <v>-</v>
      </c>
      <c r="BT428" s="825" t="str">
        <f t="shared" ca="1" si="351"/>
        <v>-</v>
      </c>
      <c r="BU428" s="826"/>
      <c r="BV428" s="827"/>
      <c r="BW428" s="828" t="str">
        <f t="shared" si="352"/>
        <v>Ж-Е НЕ ВАКЦ.</v>
      </c>
      <c r="BX428" s="829" t="str">
        <f t="shared" si="353"/>
        <v>-</v>
      </c>
      <c r="BY428" s="830" t="str">
        <f t="shared" ca="1" si="354"/>
        <v>-</v>
      </c>
      <c r="BZ428" s="831">
        <v>42887</v>
      </c>
      <c r="CA428" s="832">
        <v>5</v>
      </c>
      <c r="CB428" s="833">
        <f t="shared" ca="1" si="355"/>
        <v>247</v>
      </c>
      <c r="CC428" s="834" t="str">
        <f t="shared" ca="1" si="356"/>
        <v>-</v>
      </c>
      <c r="CD428" s="835">
        <f t="shared" si="357"/>
        <v>42908</v>
      </c>
      <c r="CE428" s="831">
        <v>42908</v>
      </c>
      <c r="CF428" s="832">
        <v>5</v>
      </c>
      <c r="CG428" s="833">
        <f t="shared" ca="1" si="358"/>
        <v>226</v>
      </c>
      <c r="CH428" s="836">
        <f t="shared" si="359"/>
        <v>0</v>
      </c>
      <c r="CI428" s="837" t="str">
        <f t="shared" si="360"/>
        <v>УСПЕШНО</v>
      </c>
      <c r="CJ428" s="838" t="str">
        <f t="shared" ca="1" si="361"/>
        <v>-</v>
      </c>
      <c r="CK428" s="831"/>
      <c r="CL428" s="832"/>
      <c r="CM428" s="833" t="str">
        <f t="shared" si="362"/>
        <v>-</v>
      </c>
      <c r="CN428" s="834" t="str">
        <f t="shared" si="363"/>
        <v>-</v>
      </c>
      <c r="CO428" s="830" t="str">
        <f t="shared" ca="1" si="364"/>
        <v>-</v>
      </c>
      <c r="CP428" s="831">
        <v>42941</v>
      </c>
      <c r="CQ428" s="832">
        <v>2</v>
      </c>
      <c r="CR428" s="833">
        <f t="shared" si="365"/>
        <v>42941</v>
      </c>
      <c r="CS428" s="833">
        <f t="shared" ca="1" si="366"/>
        <v>193</v>
      </c>
      <c r="CT428" s="834" t="str">
        <f t="shared" ca="1" si="367"/>
        <v>-</v>
      </c>
      <c r="CU428" s="835">
        <f t="shared" si="368"/>
        <v>42962</v>
      </c>
      <c r="CV428" s="831">
        <v>42962</v>
      </c>
      <c r="CW428" s="832">
        <v>2</v>
      </c>
      <c r="CX428" s="833">
        <f t="shared" si="369"/>
        <v>0</v>
      </c>
      <c r="CY428" s="840" t="str">
        <f t="shared" si="370"/>
        <v>УСПЕШНО</v>
      </c>
      <c r="CZ428" s="833">
        <f t="shared" si="371"/>
        <v>42962</v>
      </c>
      <c r="DA428" s="838" t="str">
        <f t="shared" ca="1" si="372"/>
        <v>-</v>
      </c>
      <c r="DB428" s="841"/>
      <c r="DC428" s="832"/>
    </row>
    <row r="429" spans="1:107" s="842" customFormat="1" ht="15.95" customHeight="1" x14ac:dyDescent="0.25">
      <c r="A429" s="790">
        <v>430</v>
      </c>
      <c r="B429" s="791">
        <f t="shared" ca="1" si="321"/>
        <v>43134</v>
      </c>
      <c r="C429" s="792" t="s">
        <v>615</v>
      </c>
      <c r="D429" s="793" t="s">
        <v>908</v>
      </c>
      <c r="E429" s="794" t="s">
        <v>287</v>
      </c>
      <c r="F429" s="854" t="s">
        <v>288</v>
      </c>
      <c r="G429" s="796">
        <f>SUMIFS(МОЛОКО!L8:L6958,МОЛОКО!F8:F6958,"1652",МОЛОКО!L8:L6958,"&gt;0")</f>
        <v>34.799999999999997</v>
      </c>
      <c r="H429" s="797" t="s">
        <v>603</v>
      </c>
      <c r="I429" s="798">
        <v>41130</v>
      </c>
      <c r="J429" s="799">
        <f t="shared" ca="1" si="322"/>
        <v>5.4904109589041097</v>
      </c>
      <c r="K429" s="799">
        <f t="shared" ca="1" si="323"/>
        <v>66.8</v>
      </c>
      <c r="L429" s="800">
        <f t="shared" ca="1" si="324"/>
        <v>2004</v>
      </c>
      <c r="M429" s="801">
        <v>42018</v>
      </c>
      <c r="N429" s="802">
        <v>42997</v>
      </c>
      <c r="O429" s="803">
        <f t="shared" ca="1" si="325"/>
        <v>137</v>
      </c>
      <c r="P429" s="804">
        <v>3</v>
      </c>
      <c r="Q429" s="68" t="s">
        <v>1451</v>
      </c>
      <c r="R429" s="118" t="s">
        <v>2435</v>
      </c>
      <c r="S429" s="807">
        <v>43055</v>
      </c>
      <c r="T429" s="798">
        <v>43055</v>
      </c>
      <c r="U429" s="798">
        <f t="shared" si="326"/>
        <v>43073</v>
      </c>
      <c r="V429" s="804">
        <f t="shared" ca="1" si="327"/>
        <v>61</v>
      </c>
      <c r="W429" s="808">
        <v>1</v>
      </c>
      <c r="X429" s="794">
        <f t="shared" si="320"/>
        <v>58</v>
      </c>
      <c r="Y429" s="794">
        <v>3</v>
      </c>
      <c r="Z429" s="809" t="str">
        <f t="shared" ca="1" si="328"/>
        <v>-----</v>
      </c>
      <c r="AA429" s="810">
        <f t="shared" ca="1" si="329"/>
        <v>79</v>
      </c>
      <c r="AB429" s="804"/>
      <c r="AC429" s="811" t="str">
        <f t="shared" ca="1" si="330"/>
        <v>-----</v>
      </c>
      <c r="AD429" s="798"/>
      <c r="AE429" s="794" t="str">
        <f t="shared" ca="1" si="331"/>
        <v>-</v>
      </c>
      <c r="AF429" s="798">
        <f t="shared" si="332"/>
        <v>43090</v>
      </c>
      <c r="AG429" s="812">
        <f t="shared" ca="1" si="333"/>
        <v>44</v>
      </c>
      <c r="AH429" s="807"/>
      <c r="AI429" s="807" t="str">
        <f t="shared" si="334"/>
        <v>-</v>
      </c>
      <c r="AJ429" s="807" t="str">
        <f t="shared" si="335"/>
        <v>-</v>
      </c>
      <c r="AK429" s="813"/>
      <c r="AL429" s="807" t="str">
        <f t="shared" si="336"/>
        <v>-</v>
      </c>
      <c r="AM429" s="807" t="str">
        <f t="shared" si="337"/>
        <v>-</v>
      </c>
      <c r="AN429" s="814" t="str">
        <f t="shared" ca="1" si="338"/>
        <v>-</v>
      </c>
      <c r="AO429" s="815">
        <v>1</v>
      </c>
      <c r="AP429" s="816" t="str">
        <f t="shared" ca="1" si="339"/>
        <v>-</v>
      </c>
      <c r="AQ429" s="817"/>
      <c r="AR429" s="794" t="str">
        <f t="shared" si="340"/>
        <v>-</v>
      </c>
      <c r="AS429" s="818"/>
      <c r="AT429" s="794" t="str">
        <f t="shared" si="341"/>
        <v>-</v>
      </c>
      <c r="AU429" s="819">
        <v>1</v>
      </c>
      <c r="AV429" s="820"/>
      <c r="AW429" s="821"/>
      <c r="AX429" s="821"/>
      <c r="AY429" s="969" t="str">
        <f t="shared" si="342"/>
        <v>-</v>
      </c>
      <c r="AZ429" s="966" t="str">
        <f t="shared" si="343"/>
        <v>-</v>
      </c>
      <c r="BA429" s="971" t="str">
        <f t="shared" si="344"/>
        <v>-</v>
      </c>
      <c r="BB429" s="975"/>
      <c r="BC429" s="821"/>
      <c r="BD429" s="821"/>
      <c r="BE429" s="963" t="str">
        <f t="shared" si="345"/>
        <v>-</v>
      </c>
      <c r="BF429" s="984"/>
      <c r="BG429" s="988"/>
      <c r="BH429" s="982"/>
      <c r="BI429" s="991"/>
      <c r="BJ429" s="991"/>
      <c r="BK429" s="993" t="str">
        <f t="shared" si="346"/>
        <v>-</v>
      </c>
      <c r="BL429" s="820">
        <v>42982</v>
      </c>
      <c r="BM429" s="821">
        <v>5</v>
      </c>
      <c r="BN429" s="822">
        <f t="shared" ca="1" si="347"/>
        <v>152</v>
      </c>
      <c r="BO429" s="823">
        <f t="shared" si="348"/>
        <v>61.733333333333334</v>
      </c>
      <c r="BP429" s="824"/>
      <c r="BQ429" s="821"/>
      <c r="BR429" s="822" t="str">
        <f t="shared" si="349"/>
        <v>-</v>
      </c>
      <c r="BS429" s="823" t="str">
        <f t="shared" si="350"/>
        <v>-</v>
      </c>
      <c r="BT429" s="825" t="str">
        <f t="shared" ca="1" si="351"/>
        <v>-</v>
      </c>
      <c r="BU429" s="826"/>
      <c r="BV429" s="827"/>
      <c r="BW429" s="828" t="str">
        <f t="shared" si="352"/>
        <v>Ж-Е НЕ ВАКЦ.</v>
      </c>
      <c r="BX429" s="829" t="str">
        <f t="shared" si="353"/>
        <v>-</v>
      </c>
      <c r="BY429" s="830" t="str">
        <f t="shared" ca="1" si="354"/>
        <v>-</v>
      </c>
      <c r="BZ429" s="831">
        <v>42887</v>
      </c>
      <c r="CA429" s="832">
        <v>5</v>
      </c>
      <c r="CB429" s="833">
        <f t="shared" ca="1" si="355"/>
        <v>247</v>
      </c>
      <c r="CC429" s="834" t="str">
        <f t="shared" ca="1" si="356"/>
        <v>-</v>
      </c>
      <c r="CD429" s="835">
        <f t="shared" si="357"/>
        <v>42908</v>
      </c>
      <c r="CE429" s="831">
        <v>42908</v>
      </c>
      <c r="CF429" s="832">
        <v>5</v>
      </c>
      <c r="CG429" s="833">
        <f t="shared" ca="1" si="358"/>
        <v>226</v>
      </c>
      <c r="CH429" s="836">
        <f t="shared" si="359"/>
        <v>0</v>
      </c>
      <c r="CI429" s="837" t="str">
        <f t="shared" si="360"/>
        <v>УСПЕШНО</v>
      </c>
      <c r="CJ429" s="838" t="str">
        <f t="shared" ca="1" si="361"/>
        <v>-</v>
      </c>
      <c r="CK429" s="831"/>
      <c r="CL429" s="832"/>
      <c r="CM429" s="833" t="str">
        <f t="shared" si="362"/>
        <v>-</v>
      </c>
      <c r="CN429" s="834" t="str">
        <f t="shared" si="363"/>
        <v>-</v>
      </c>
      <c r="CO429" s="830" t="str">
        <f t="shared" ca="1" si="364"/>
        <v>-</v>
      </c>
      <c r="CP429" s="831">
        <v>42941</v>
      </c>
      <c r="CQ429" s="832">
        <v>2</v>
      </c>
      <c r="CR429" s="833">
        <f t="shared" si="365"/>
        <v>-114</v>
      </c>
      <c r="CS429" s="833">
        <f t="shared" ca="1" si="366"/>
        <v>193</v>
      </c>
      <c r="CT429" s="834" t="str">
        <f t="shared" ca="1" si="367"/>
        <v>-</v>
      </c>
      <c r="CU429" s="835">
        <f t="shared" si="368"/>
        <v>42962</v>
      </c>
      <c r="CV429" s="831">
        <v>42962</v>
      </c>
      <c r="CW429" s="832">
        <v>2</v>
      </c>
      <c r="CX429" s="833">
        <f t="shared" si="369"/>
        <v>0</v>
      </c>
      <c r="CY429" s="840" t="str">
        <f t="shared" si="370"/>
        <v>УСПЕШНО</v>
      </c>
      <c r="CZ429" s="833">
        <f t="shared" si="371"/>
        <v>-93</v>
      </c>
      <c r="DA429" s="838" t="str">
        <f t="shared" ca="1" si="372"/>
        <v>-</v>
      </c>
      <c r="DB429" s="841"/>
      <c r="DC429" s="832"/>
    </row>
    <row r="430" spans="1:107" s="842" customFormat="1" ht="15.95" customHeight="1" x14ac:dyDescent="0.25">
      <c r="A430" s="790">
        <v>431</v>
      </c>
      <c r="B430" s="791">
        <f t="shared" ca="1" si="321"/>
        <v>43134</v>
      </c>
      <c r="C430" s="792" t="s">
        <v>615</v>
      </c>
      <c r="D430" s="793" t="s">
        <v>908</v>
      </c>
      <c r="E430" s="794" t="s">
        <v>245</v>
      </c>
      <c r="F430" s="854" t="s">
        <v>246</v>
      </c>
      <c r="G430" s="796">
        <f>SUMIFS(МОЛОКО!L8:L6958,МОЛОКО!F8:F6958,"1729",МОЛОКО!L8:L6958,"&gt;0")</f>
        <v>19</v>
      </c>
      <c r="H430" s="797" t="s">
        <v>603</v>
      </c>
      <c r="I430" s="798">
        <v>41238</v>
      </c>
      <c r="J430" s="799">
        <f t="shared" ca="1" si="322"/>
        <v>5.1945205479452055</v>
      </c>
      <c r="K430" s="799">
        <f t="shared" ca="1" si="323"/>
        <v>63.2</v>
      </c>
      <c r="L430" s="800">
        <f t="shared" ca="1" si="324"/>
        <v>1896</v>
      </c>
      <c r="M430" s="801">
        <v>41976</v>
      </c>
      <c r="N430" s="802">
        <v>42915</v>
      </c>
      <c r="O430" s="803">
        <f t="shared" ca="1" si="325"/>
        <v>219</v>
      </c>
      <c r="P430" s="804">
        <v>3</v>
      </c>
      <c r="Q430" s="805" t="s">
        <v>2366</v>
      </c>
      <c r="R430" s="806" t="s">
        <v>3020</v>
      </c>
      <c r="S430" s="807">
        <v>42971</v>
      </c>
      <c r="T430" s="798">
        <v>42971</v>
      </c>
      <c r="U430" s="798" t="str">
        <f t="shared" si="326"/>
        <v>-</v>
      </c>
      <c r="V430" s="804" t="str">
        <f t="shared" ca="1" si="327"/>
        <v>-</v>
      </c>
      <c r="W430" s="808">
        <v>1</v>
      </c>
      <c r="X430" s="794">
        <f t="shared" si="320"/>
        <v>56</v>
      </c>
      <c r="Y430" s="794">
        <v>1</v>
      </c>
      <c r="Z430" s="809" t="str">
        <f t="shared" ca="1" si="328"/>
        <v>-----</v>
      </c>
      <c r="AA430" s="810" t="str">
        <f t="shared" ca="1" si="329"/>
        <v>-----</v>
      </c>
      <c r="AB430" s="804">
        <v>1</v>
      </c>
      <c r="AC430" s="811" t="str">
        <f t="shared" ca="1" si="330"/>
        <v>-----</v>
      </c>
      <c r="AD430" s="798">
        <v>43047</v>
      </c>
      <c r="AE430" s="794" t="str">
        <f t="shared" ca="1" si="331"/>
        <v>-</v>
      </c>
      <c r="AF430" s="798" t="str">
        <f t="shared" si="332"/>
        <v>-</v>
      </c>
      <c r="AG430" s="812" t="str">
        <f t="shared" si="333"/>
        <v>---------</v>
      </c>
      <c r="AH430" s="807">
        <v>43003</v>
      </c>
      <c r="AI430" s="807">
        <f t="shared" si="334"/>
        <v>43161</v>
      </c>
      <c r="AJ430" s="807">
        <f t="shared" si="335"/>
        <v>43191</v>
      </c>
      <c r="AK430" s="813"/>
      <c r="AL430" s="807">
        <f t="shared" si="336"/>
        <v>43230</v>
      </c>
      <c r="AM430" s="807">
        <f t="shared" si="337"/>
        <v>43251</v>
      </c>
      <c r="AN430" s="814">
        <f t="shared" ca="1" si="338"/>
        <v>-117</v>
      </c>
      <c r="AO430" s="815">
        <v>1</v>
      </c>
      <c r="AP430" s="816" t="str">
        <f t="shared" ca="1" si="339"/>
        <v>-</v>
      </c>
      <c r="AQ430" s="817"/>
      <c r="AR430" s="794" t="str">
        <f t="shared" si="340"/>
        <v>-</v>
      </c>
      <c r="AS430" s="818"/>
      <c r="AT430" s="794" t="str">
        <f t="shared" si="341"/>
        <v>-</v>
      </c>
      <c r="AU430" s="819">
        <v>1</v>
      </c>
      <c r="AV430" s="820"/>
      <c r="AW430" s="821"/>
      <c r="AX430" s="821"/>
      <c r="AY430" s="969" t="str">
        <f t="shared" si="342"/>
        <v>-</v>
      </c>
      <c r="AZ430" s="966" t="str">
        <f t="shared" si="343"/>
        <v>-</v>
      </c>
      <c r="BA430" s="971" t="str">
        <f t="shared" si="344"/>
        <v>-</v>
      </c>
      <c r="BB430" s="975"/>
      <c r="BC430" s="821"/>
      <c r="BD430" s="821"/>
      <c r="BE430" s="963" t="str">
        <f t="shared" si="345"/>
        <v>-</v>
      </c>
      <c r="BF430" s="984"/>
      <c r="BG430" s="988"/>
      <c r="BH430" s="982"/>
      <c r="BI430" s="991"/>
      <c r="BJ430" s="991"/>
      <c r="BK430" s="993" t="str">
        <f t="shared" si="346"/>
        <v>-</v>
      </c>
      <c r="BL430" s="820">
        <v>42979</v>
      </c>
      <c r="BM430" s="821">
        <v>5</v>
      </c>
      <c r="BN430" s="822">
        <f t="shared" ca="1" si="347"/>
        <v>155</v>
      </c>
      <c r="BO430" s="823">
        <f t="shared" si="348"/>
        <v>58.033333333333331</v>
      </c>
      <c r="BP430" s="824"/>
      <c r="BQ430" s="821"/>
      <c r="BR430" s="822" t="str">
        <f t="shared" si="349"/>
        <v>-</v>
      </c>
      <c r="BS430" s="823" t="str">
        <f t="shared" si="350"/>
        <v>-</v>
      </c>
      <c r="BT430" s="825" t="str">
        <f t="shared" ca="1" si="351"/>
        <v>-</v>
      </c>
      <c r="BU430" s="826"/>
      <c r="BV430" s="827"/>
      <c r="BW430" s="828" t="str">
        <f t="shared" si="352"/>
        <v>Ж-Е НЕ ВАКЦ.</v>
      </c>
      <c r="BX430" s="829" t="str">
        <f t="shared" si="353"/>
        <v>-</v>
      </c>
      <c r="BY430" s="830" t="str">
        <f t="shared" ca="1" si="354"/>
        <v>-</v>
      </c>
      <c r="BZ430" s="831">
        <v>42940</v>
      </c>
      <c r="CA430" s="832">
        <v>5</v>
      </c>
      <c r="CB430" s="833">
        <f t="shared" ca="1" si="355"/>
        <v>194</v>
      </c>
      <c r="CC430" s="834" t="str">
        <f t="shared" ca="1" si="356"/>
        <v>-</v>
      </c>
      <c r="CD430" s="835">
        <f t="shared" si="357"/>
        <v>42961</v>
      </c>
      <c r="CE430" s="831">
        <v>42969</v>
      </c>
      <c r="CF430" s="832">
        <v>5</v>
      </c>
      <c r="CG430" s="833">
        <f t="shared" ca="1" si="358"/>
        <v>165</v>
      </c>
      <c r="CH430" s="836">
        <f t="shared" si="359"/>
        <v>-8</v>
      </c>
      <c r="CI430" s="837" t="str">
        <f t="shared" si="360"/>
        <v>-</v>
      </c>
      <c r="CJ430" s="838" t="str">
        <f t="shared" ca="1" si="361"/>
        <v>-</v>
      </c>
      <c r="CK430" s="831"/>
      <c r="CL430" s="832"/>
      <c r="CM430" s="833" t="str">
        <f t="shared" si="362"/>
        <v>-</v>
      </c>
      <c r="CN430" s="834" t="str">
        <f t="shared" si="363"/>
        <v>-</v>
      </c>
      <c r="CO430" s="830" t="str">
        <f t="shared" ca="1" si="364"/>
        <v>-</v>
      </c>
      <c r="CP430" s="839"/>
      <c r="CQ430" s="832"/>
      <c r="CR430" s="833" t="str">
        <f t="shared" si="365"/>
        <v>-</v>
      </c>
      <c r="CS430" s="833" t="str">
        <f t="shared" si="366"/>
        <v>-</v>
      </c>
      <c r="CT430" s="834" t="str">
        <f t="shared" si="367"/>
        <v>-</v>
      </c>
      <c r="CU430" s="835" t="str">
        <f t="shared" si="368"/>
        <v>-</v>
      </c>
      <c r="CV430" s="839"/>
      <c r="CW430" s="832"/>
      <c r="CX430" s="833" t="str">
        <f t="shared" si="369"/>
        <v>-</v>
      </c>
      <c r="CY430" s="840" t="str">
        <f t="shared" si="370"/>
        <v>-</v>
      </c>
      <c r="CZ430" s="833" t="str">
        <f t="shared" si="371"/>
        <v>-</v>
      </c>
      <c r="DA430" s="838" t="str">
        <f t="shared" ca="1" si="372"/>
        <v>-</v>
      </c>
      <c r="DB430" s="841"/>
      <c r="DC430" s="832"/>
    </row>
    <row r="431" spans="1:107" s="842" customFormat="1" ht="15.95" customHeight="1" x14ac:dyDescent="0.25">
      <c r="A431" s="790">
        <v>432</v>
      </c>
      <c r="B431" s="791">
        <f t="shared" ca="1" si="321"/>
        <v>43134</v>
      </c>
      <c r="C431" s="792" t="s">
        <v>615</v>
      </c>
      <c r="D431" s="793" t="s">
        <v>908</v>
      </c>
      <c r="E431" s="794" t="s">
        <v>894</v>
      </c>
      <c r="F431" s="854" t="s">
        <v>895</v>
      </c>
      <c r="G431" s="796">
        <f>SUMIFS(МОЛОКО!L8:L6958,МОЛОКО!F8:F6958,"1733",МОЛОКО!L8:L6958,"&gt;0")</f>
        <v>37</v>
      </c>
      <c r="H431" s="797" t="s">
        <v>603</v>
      </c>
      <c r="I431" s="798">
        <v>41240</v>
      </c>
      <c r="J431" s="799">
        <f t="shared" ca="1" si="322"/>
        <v>5.1890410958904107</v>
      </c>
      <c r="K431" s="799">
        <f t="shared" ca="1" si="323"/>
        <v>63.133333333333333</v>
      </c>
      <c r="L431" s="800">
        <f t="shared" ca="1" si="324"/>
        <v>1894</v>
      </c>
      <c r="M431" s="801">
        <v>41931</v>
      </c>
      <c r="N431" s="802">
        <v>42941</v>
      </c>
      <c r="O431" s="803">
        <f t="shared" ca="1" si="325"/>
        <v>193</v>
      </c>
      <c r="P431" s="804">
        <v>4</v>
      </c>
      <c r="Q431" s="805" t="s">
        <v>1451</v>
      </c>
      <c r="R431" s="118" t="s">
        <v>2962</v>
      </c>
      <c r="S431" s="807">
        <v>43007</v>
      </c>
      <c r="T431" s="798">
        <v>43049</v>
      </c>
      <c r="U431" s="798">
        <f t="shared" si="326"/>
        <v>43067</v>
      </c>
      <c r="V431" s="804">
        <f t="shared" ca="1" si="327"/>
        <v>67</v>
      </c>
      <c r="W431" s="808">
        <v>2</v>
      </c>
      <c r="X431" s="794">
        <f t="shared" si="320"/>
        <v>108</v>
      </c>
      <c r="Y431" s="794">
        <v>3</v>
      </c>
      <c r="Z431" s="809" t="str">
        <f t="shared" ca="1" si="328"/>
        <v>-----</v>
      </c>
      <c r="AA431" s="810">
        <f t="shared" ca="1" si="329"/>
        <v>85</v>
      </c>
      <c r="AB431" s="804"/>
      <c r="AC431" s="811" t="str">
        <f t="shared" ca="1" si="330"/>
        <v>-----</v>
      </c>
      <c r="AD431" s="798"/>
      <c r="AE431" s="794" t="str">
        <f t="shared" ca="1" si="331"/>
        <v>-</v>
      </c>
      <c r="AF431" s="798">
        <f t="shared" si="332"/>
        <v>43084</v>
      </c>
      <c r="AG431" s="812">
        <f t="shared" ca="1" si="333"/>
        <v>50</v>
      </c>
      <c r="AH431" s="807">
        <v>43044</v>
      </c>
      <c r="AI431" s="807" t="str">
        <f t="shared" si="334"/>
        <v>-</v>
      </c>
      <c r="AJ431" s="807" t="str">
        <f t="shared" si="335"/>
        <v>-</v>
      </c>
      <c r="AK431" s="813"/>
      <c r="AL431" s="807" t="str">
        <f t="shared" si="336"/>
        <v>-</v>
      </c>
      <c r="AM431" s="807" t="str">
        <f t="shared" si="337"/>
        <v>-</v>
      </c>
      <c r="AN431" s="814" t="str">
        <f t="shared" ca="1" si="338"/>
        <v>-</v>
      </c>
      <c r="AO431" s="815">
        <v>1</v>
      </c>
      <c r="AP431" s="816" t="str">
        <f t="shared" ca="1" si="339"/>
        <v>-</v>
      </c>
      <c r="AQ431" s="817"/>
      <c r="AR431" s="794" t="str">
        <f t="shared" si="340"/>
        <v>-</v>
      </c>
      <c r="AS431" s="818"/>
      <c r="AT431" s="794" t="str">
        <f t="shared" si="341"/>
        <v>-</v>
      </c>
      <c r="AU431" s="819">
        <v>1</v>
      </c>
      <c r="AV431" s="820"/>
      <c r="AW431" s="821"/>
      <c r="AX431" s="821"/>
      <c r="AY431" s="969" t="str">
        <f t="shared" si="342"/>
        <v>-</v>
      </c>
      <c r="AZ431" s="966" t="str">
        <f t="shared" si="343"/>
        <v>-</v>
      </c>
      <c r="BA431" s="971" t="str">
        <f t="shared" si="344"/>
        <v>-</v>
      </c>
      <c r="BB431" s="975"/>
      <c r="BC431" s="821"/>
      <c r="BD431" s="821"/>
      <c r="BE431" s="963" t="str">
        <f t="shared" si="345"/>
        <v>-</v>
      </c>
      <c r="BF431" s="984"/>
      <c r="BG431" s="988"/>
      <c r="BH431" s="982"/>
      <c r="BI431" s="991"/>
      <c r="BJ431" s="991"/>
      <c r="BK431" s="993" t="str">
        <f t="shared" si="346"/>
        <v>-</v>
      </c>
      <c r="BL431" s="820">
        <v>42979</v>
      </c>
      <c r="BM431" s="821">
        <v>5</v>
      </c>
      <c r="BN431" s="822">
        <f t="shared" ca="1" si="347"/>
        <v>155</v>
      </c>
      <c r="BO431" s="823">
        <f t="shared" si="348"/>
        <v>57.966666666666669</v>
      </c>
      <c r="BP431" s="824"/>
      <c r="BQ431" s="821"/>
      <c r="BR431" s="822" t="str">
        <f t="shared" si="349"/>
        <v>-</v>
      </c>
      <c r="BS431" s="823" t="str">
        <f t="shared" si="350"/>
        <v>-</v>
      </c>
      <c r="BT431" s="825" t="str">
        <f t="shared" ca="1" si="351"/>
        <v>-</v>
      </c>
      <c r="BU431" s="826"/>
      <c r="BV431" s="827"/>
      <c r="BW431" s="828" t="str">
        <f t="shared" si="352"/>
        <v>Ж-Е НЕ ВАКЦ.</v>
      </c>
      <c r="BX431" s="829" t="str">
        <f t="shared" si="353"/>
        <v>-</v>
      </c>
      <c r="BY431" s="830" t="str">
        <f t="shared" ca="1" si="354"/>
        <v>-</v>
      </c>
      <c r="BZ431" s="831">
        <v>42964</v>
      </c>
      <c r="CA431" s="832">
        <v>5</v>
      </c>
      <c r="CB431" s="833">
        <f t="shared" ca="1" si="355"/>
        <v>170</v>
      </c>
      <c r="CC431" s="834" t="str">
        <f t="shared" ca="1" si="356"/>
        <v>-</v>
      </c>
      <c r="CD431" s="835">
        <f t="shared" si="357"/>
        <v>42985</v>
      </c>
      <c r="CE431" s="831">
        <v>42985</v>
      </c>
      <c r="CF431" s="832">
        <v>5</v>
      </c>
      <c r="CG431" s="833">
        <f t="shared" ca="1" si="358"/>
        <v>149</v>
      </c>
      <c r="CH431" s="836">
        <f t="shared" si="359"/>
        <v>0</v>
      </c>
      <c r="CI431" s="837" t="str">
        <f t="shared" si="360"/>
        <v>УСПЕШНО</v>
      </c>
      <c r="CJ431" s="838" t="str">
        <f t="shared" ca="1" si="361"/>
        <v>-</v>
      </c>
      <c r="CK431" s="831"/>
      <c r="CL431" s="832"/>
      <c r="CM431" s="833" t="str">
        <f t="shared" si="362"/>
        <v>-</v>
      </c>
      <c r="CN431" s="834" t="str">
        <f t="shared" si="363"/>
        <v>-</v>
      </c>
      <c r="CO431" s="830" t="str">
        <f t="shared" ca="1" si="364"/>
        <v>-</v>
      </c>
      <c r="CP431" s="831">
        <v>42882</v>
      </c>
      <c r="CQ431" s="832">
        <v>2</v>
      </c>
      <c r="CR431" s="833">
        <f t="shared" si="365"/>
        <v>-167</v>
      </c>
      <c r="CS431" s="833">
        <f t="shared" ca="1" si="366"/>
        <v>252</v>
      </c>
      <c r="CT431" s="834" t="str">
        <f t="shared" ca="1" si="367"/>
        <v>-</v>
      </c>
      <c r="CU431" s="835">
        <f t="shared" si="368"/>
        <v>42903</v>
      </c>
      <c r="CV431" s="831">
        <v>42903</v>
      </c>
      <c r="CW431" s="832">
        <v>2</v>
      </c>
      <c r="CX431" s="833">
        <f t="shared" si="369"/>
        <v>0</v>
      </c>
      <c r="CY431" s="840" t="str">
        <f t="shared" si="370"/>
        <v>УСПЕШНО</v>
      </c>
      <c r="CZ431" s="833">
        <f t="shared" si="371"/>
        <v>-146</v>
      </c>
      <c r="DA431" s="838" t="str">
        <f t="shared" ca="1" si="372"/>
        <v>-</v>
      </c>
      <c r="DB431" s="841"/>
      <c r="DC431" s="832"/>
    </row>
    <row r="432" spans="1:107" s="842" customFormat="1" ht="15.95" customHeight="1" x14ac:dyDescent="0.25">
      <c r="A432" s="790">
        <v>433</v>
      </c>
      <c r="B432" s="791">
        <f t="shared" ca="1" si="321"/>
        <v>43134</v>
      </c>
      <c r="C432" s="792" t="s">
        <v>615</v>
      </c>
      <c r="D432" s="793" t="s">
        <v>908</v>
      </c>
      <c r="E432" s="794" t="s">
        <v>211</v>
      </c>
      <c r="F432" s="854" t="s">
        <v>300</v>
      </c>
      <c r="G432" s="796">
        <f>SUMIFS(МОЛОКО!L8:L6958,МОЛОКО!F8:F6958,"1758",МОЛОКО!L8:L6958,"&gt;0")</f>
        <v>33</v>
      </c>
      <c r="H432" s="797" t="s">
        <v>603</v>
      </c>
      <c r="I432" s="798">
        <v>41270</v>
      </c>
      <c r="J432" s="799">
        <f t="shared" ca="1" si="322"/>
        <v>5.1068493150684935</v>
      </c>
      <c r="K432" s="799">
        <f t="shared" ca="1" si="323"/>
        <v>62.133333333333333</v>
      </c>
      <c r="L432" s="800">
        <f t="shared" ca="1" si="324"/>
        <v>1864</v>
      </c>
      <c r="M432" s="801">
        <v>42032</v>
      </c>
      <c r="N432" s="802">
        <v>42931</v>
      </c>
      <c r="O432" s="803">
        <f t="shared" ca="1" si="325"/>
        <v>203</v>
      </c>
      <c r="P432" s="804">
        <v>3</v>
      </c>
      <c r="Q432" s="805" t="s">
        <v>2366</v>
      </c>
      <c r="R432" s="118" t="s">
        <v>3020</v>
      </c>
      <c r="S432" s="807">
        <v>42990</v>
      </c>
      <c r="T432" s="798">
        <v>43042</v>
      </c>
      <c r="U432" s="798">
        <f t="shared" si="326"/>
        <v>43060</v>
      </c>
      <c r="V432" s="804">
        <f t="shared" ca="1" si="327"/>
        <v>74</v>
      </c>
      <c r="W432" s="808">
        <v>2</v>
      </c>
      <c r="X432" s="794">
        <f t="shared" si="320"/>
        <v>111</v>
      </c>
      <c r="Y432" s="794">
        <v>3</v>
      </c>
      <c r="Z432" s="809" t="str">
        <f t="shared" ca="1" si="328"/>
        <v>-----</v>
      </c>
      <c r="AA432" s="810">
        <f t="shared" ca="1" si="329"/>
        <v>92</v>
      </c>
      <c r="AB432" s="804"/>
      <c r="AC432" s="811" t="str">
        <f t="shared" ca="1" si="330"/>
        <v>-----</v>
      </c>
      <c r="AD432" s="798"/>
      <c r="AE432" s="794" t="str">
        <f t="shared" ca="1" si="331"/>
        <v>-</v>
      </c>
      <c r="AF432" s="798">
        <f t="shared" si="332"/>
        <v>43077</v>
      </c>
      <c r="AG432" s="812">
        <f t="shared" ca="1" si="333"/>
        <v>57</v>
      </c>
      <c r="AH432" s="807">
        <v>43028</v>
      </c>
      <c r="AI432" s="807" t="str">
        <f t="shared" si="334"/>
        <v>-</v>
      </c>
      <c r="AJ432" s="807" t="str">
        <f t="shared" si="335"/>
        <v>-</v>
      </c>
      <c r="AK432" s="813"/>
      <c r="AL432" s="807" t="str">
        <f t="shared" si="336"/>
        <v>-</v>
      </c>
      <c r="AM432" s="807" t="str">
        <f t="shared" si="337"/>
        <v>-</v>
      </c>
      <c r="AN432" s="814" t="str">
        <f t="shared" ca="1" si="338"/>
        <v>-</v>
      </c>
      <c r="AO432" s="815">
        <v>1</v>
      </c>
      <c r="AP432" s="816" t="str">
        <f t="shared" ca="1" si="339"/>
        <v>-</v>
      </c>
      <c r="AQ432" s="817"/>
      <c r="AR432" s="794" t="str">
        <f t="shared" si="340"/>
        <v>-</v>
      </c>
      <c r="AS432" s="818"/>
      <c r="AT432" s="794" t="str">
        <f t="shared" si="341"/>
        <v>-</v>
      </c>
      <c r="AU432" s="819">
        <v>1</v>
      </c>
      <c r="AV432" s="820"/>
      <c r="AW432" s="821"/>
      <c r="AX432" s="821"/>
      <c r="AY432" s="969" t="str">
        <f t="shared" si="342"/>
        <v>-</v>
      </c>
      <c r="AZ432" s="966" t="str">
        <f t="shared" si="343"/>
        <v>-</v>
      </c>
      <c r="BA432" s="971" t="str">
        <f t="shared" si="344"/>
        <v>-</v>
      </c>
      <c r="BB432" s="975"/>
      <c r="BC432" s="821"/>
      <c r="BD432" s="821"/>
      <c r="BE432" s="963" t="str">
        <f t="shared" si="345"/>
        <v>-</v>
      </c>
      <c r="BF432" s="984"/>
      <c r="BG432" s="988"/>
      <c r="BH432" s="982"/>
      <c r="BI432" s="991"/>
      <c r="BJ432" s="991"/>
      <c r="BK432" s="993" t="str">
        <f t="shared" si="346"/>
        <v>-</v>
      </c>
      <c r="BL432" s="820">
        <v>42979</v>
      </c>
      <c r="BM432" s="821">
        <v>5</v>
      </c>
      <c r="BN432" s="822">
        <f t="shared" ca="1" si="347"/>
        <v>155</v>
      </c>
      <c r="BO432" s="823">
        <f t="shared" si="348"/>
        <v>56.966666666666669</v>
      </c>
      <c r="BP432" s="824"/>
      <c r="BQ432" s="821"/>
      <c r="BR432" s="822" t="str">
        <f t="shared" si="349"/>
        <v>-</v>
      </c>
      <c r="BS432" s="823" t="str">
        <f t="shared" si="350"/>
        <v>-</v>
      </c>
      <c r="BT432" s="825" t="str">
        <f t="shared" ca="1" si="351"/>
        <v>-</v>
      </c>
      <c r="BU432" s="826"/>
      <c r="BV432" s="827"/>
      <c r="BW432" s="828" t="str">
        <f t="shared" si="352"/>
        <v>Ж-Е НЕ ВАКЦ.</v>
      </c>
      <c r="BX432" s="829" t="str">
        <f t="shared" si="353"/>
        <v>-</v>
      </c>
      <c r="BY432" s="830" t="str">
        <f t="shared" ca="1" si="354"/>
        <v>-</v>
      </c>
      <c r="BZ432" s="831">
        <v>42964</v>
      </c>
      <c r="CA432" s="832">
        <v>5</v>
      </c>
      <c r="CB432" s="833">
        <f t="shared" ca="1" si="355"/>
        <v>170</v>
      </c>
      <c r="CC432" s="834" t="str">
        <f t="shared" ca="1" si="356"/>
        <v>-</v>
      </c>
      <c r="CD432" s="835">
        <f t="shared" si="357"/>
        <v>42985</v>
      </c>
      <c r="CE432" s="831">
        <v>42985</v>
      </c>
      <c r="CF432" s="832">
        <v>5</v>
      </c>
      <c r="CG432" s="833">
        <f t="shared" ca="1" si="358"/>
        <v>149</v>
      </c>
      <c r="CH432" s="836">
        <f t="shared" si="359"/>
        <v>0</v>
      </c>
      <c r="CI432" s="837" t="str">
        <f t="shared" si="360"/>
        <v>УСПЕШНО</v>
      </c>
      <c r="CJ432" s="838" t="str">
        <f t="shared" ca="1" si="361"/>
        <v>-</v>
      </c>
      <c r="CK432" s="831"/>
      <c r="CL432" s="832"/>
      <c r="CM432" s="833" t="str">
        <f t="shared" si="362"/>
        <v>-</v>
      </c>
      <c r="CN432" s="834" t="str">
        <f t="shared" si="363"/>
        <v>-</v>
      </c>
      <c r="CO432" s="830" t="str">
        <f t="shared" ca="1" si="364"/>
        <v>-</v>
      </c>
      <c r="CP432" s="831">
        <v>42882</v>
      </c>
      <c r="CQ432" s="832">
        <v>2</v>
      </c>
      <c r="CR432" s="833">
        <f t="shared" si="365"/>
        <v>-160</v>
      </c>
      <c r="CS432" s="833">
        <f t="shared" ca="1" si="366"/>
        <v>252</v>
      </c>
      <c r="CT432" s="834" t="str">
        <f t="shared" ca="1" si="367"/>
        <v>-</v>
      </c>
      <c r="CU432" s="835">
        <f t="shared" si="368"/>
        <v>42903</v>
      </c>
      <c r="CV432" s="831">
        <v>42903</v>
      </c>
      <c r="CW432" s="832">
        <v>2</v>
      </c>
      <c r="CX432" s="833">
        <f t="shared" si="369"/>
        <v>0</v>
      </c>
      <c r="CY432" s="840" t="str">
        <f t="shared" si="370"/>
        <v>УСПЕШНО</v>
      </c>
      <c r="CZ432" s="833">
        <f t="shared" si="371"/>
        <v>-139</v>
      </c>
      <c r="DA432" s="838" t="str">
        <f t="shared" ca="1" si="372"/>
        <v>-</v>
      </c>
      <c r="DB432" s="841"/>
      <c r="DC432" s="832"/>
    </row>
    <row r="433" spans="1:107" s="842" customFormat="1" ht="15.95" customHeight="1" x14ac:dyDescent="0.25">
      <c r="A433" s="790">
        <v>434</v>
      </c>
      <c r="B433" s="791">
        <f t="shared" ca="1" si="321"/>
        <v>43134</v>
      </c>
      <c r="C433" s="792" t="s">
        <v>615</v>
      </c>
      <c r="D433" s="793" t="s">
        <v>908</v>
      </c>
      <c r="E433" s="794" t="s">
        <v>233</v>
      </c>
      <c r="F433" s="854" t="s">
        <v>487</v>
      </c>
      <c r="G433" s="796">
        <f>SUMIFS(МОЛОКО!L8:L6958,МОЛОКО!F8:F6958,"1838",МОЛОКО!L8:L6958,"&gt;0")</f>
        <v>32.6</v>
      </c>
      <c r="H433" s="797" t="s">
        <v>603</v>
      </c>
      <c r="I433" s="798">
        <v>41381</v>
      </c>
      <c r="J433" s="799">
        <f t="shared" ca="1" si="322"/>
        <v>4.8027397260273972</v>
      </c>
      <c r="K433" s="799">
        <f t="shared" ca="1" si="323"/>
        <v>58.43333333333333</v>
      </c>
      <c r="L433" s="800">
        <f t="shared" ca="1" si="324"/>
        <v>1753</v>
      </c>
      <c r="M433" s="801">
        <v>42198</v>
      </c>
      <c r="N433" s="802">
        <v>42955</v>
      </c>
      <c r="O433" s="803">
        <f t="shared" ca="1" si="325"/>
        <v>179</v>
      </c>
      <c r="P433" s="804">
        <v>3</v>
      </c>
      <c r="Q433" s="805" t="s">
        <v>1451</v>
      </c>
      <c r="R433" s="118" t="s">
        <v>3020</v>
      </c>
      <c r="S433" s="807">
        <v>43020</v>
      </c>
      <c r="T433" s="798">
        <v>43037</v>
      </c>
      <c r="U433" s="798">
        <f t="shared" si="326"/>
        <v>43055</v>
      </c>
      <c r="V433" s="804">
        <f t="shared" ca="1" si="327"/>
        <v>79</v>
      </c>
      <c r="W433" s="808">
        <v>2</v>
      </c>
      <c r="X433" s="794">
        <f t="shared" si="320"/>
        <v>82</v>
      </c>
      <c r="Y433" s="794">
        <v>3</v>
      </c>
      <c r="Z433" s="809" t="str">
        <f t="shared" ca="1" si="328"/>
        <v>-----</v>
      </c>
      <c r="AA433" s="810">
        <f t="shared" ca="1" si="329"/>
        <v>97</v>
      </c>
      <c r="AB433" s="804"/>
      <c r="AC433" s="811" t="str">
        <f t="shared" ca="1" si="330"/>
        <v>-----</v>
      </c>
      <c r="AD433" s="798"/>
      <c r="AE433" s="794" t="str">
        <f t="shared" ca="1" si="331"/>
        <v>-</v>
      </c>
      <c r="AF433" s="798">
        <f t="shared" si="332"/>
        <v>43072</v>
      </c>
      <c r="AG433" s="812">
        <f t="shared" ca="1" si="333"/>
        <v>62</v>
      </c>
      <c r="AH433" s="807"/>
      <c r="AI433" s="807" t="str">
        <f t="shared" si="334"/>
        <v>-</v>
      </c>
      <c r="AJ433" s="807" t="str">
        <f t="shared" si="335"/>
        <v>-</v>
      </c>
      <c r="AK433" s="813"/>
      <c r="AL433" s="807" t="str">
        <f t="shared" si="336"/>
        <v>-</v>
      </c>
      <c r="AM433" s="807" t="str">
        <f t="shared" si="337"/>
        <v>-</v>
      </c>
      <c r="AN433" s="814" t="str">
        <f t="shared" ca="1" si="338"/>
        <v>-</v>
      </c>
      <c r="AO433" s="815">
        <v>1</v>
      </c>
      <c r="AP433" s="816" t="str">
        <f t="shared" ca="1" si="339"/>
        <v>-</v>
      </c>
      <c r="AQ433" s="817"/>
      <c r="AR433" s="794" t="str">
        <f t="shared" si="340"/>
        <v>-</v>
      </c>
      <c r="AS433" s="818"/>
      <c r="AT433" s="794" t="str">
        <f t="shared" si="341"/>
        <v>-</v>
      </c>
      <c r="AU433" s="819">
        <v>1</v>
      </c>
      <c r="AV433" s="820"/>
      <c r="AW433" s="821"/>
      <c r="AX433" s="821"/>
      <c r="AY433" s="969" t="str">
        <f t="shared" si="342"/>
        <v>-</v>
      </c>
      <c r="AZ433" s="966" t="str">
        <f t="shared" si="343"/>
        <v>-</v>
      </c>
      <c r="BA433" s="971" t="str">
        <f t="shared" si="344"/>
        <v>-</v>
      </c>
      <c r="BB433" s="975"/>
      <c r="BC433" s="821"/>
      <c r="BD433" s="821"/>
      <c r="BE433" s="963" t="str">
        <f t="shared" si="345"/>
        <v>-</v>
      </c>
      <c r="BF433" s="984"/>
      <c r="BG433" s="988"/>
      <c r="BH433" s="982"/>
      <c r="BI433" s="991"/>
      <c r="BJ433" s="991"/>
      <c r="BK433" s="993" t="str">
        <f t="shared" si="346"/>
        <v>-</v>
      </c>
      <c r="BL433" s="820">
        <v>42979</v>
      </c>
      <c r="BM433" s="821">
        <v>5</v>
      </c>
      <c r="BN433" s="822">
        <f t="shared" ca="1" si="347"/>
        <v>155</v>
      </c>
      <c r="BO433" s="823">
        <f t="shared" si="348"/>
        <v>53.266666666666666</v>
      </c>
      <c r="BP433" s="824"/>
      <c r="BQ433" s="821"/>
      <c r="BR433" s="822" t="str">
        <f t="shared" si="349"/>
        <v>-</v>
      </c>
      <c r="BS433" s="823" t="str">
        <f t="shared" si="350"/>
        <v>-</v>
      </c>
      <c r="BT433" s="825" t="str">
        <f t="shared" ca="1" si="351"/>
        <v>-</v>
      </c>
      <c r="BU433" s="826"/>
      <c r="BV433" s="827"/>
      <c r="BW433" s="828" t="str">
        <f t="shared" si="352"/>
        <v>Ж-Е НЕ ВАКЦ.</v>
      </c>
      <c r="BX433" s="829" t="str">
        <f t="shared" si="353"/>
        <v>-</v>
      </c>
      <c r="BY433" s="830" t="str">
        <f t="shared" ca="1" si="354"/>
        <v>-</v>
      </c>
      <c r="BZ433" s="831">
        <v>42988</v>
      </c>
      <c r="CA433" s="832">
        <v>5</v>
      </c>
      <c r="CB433" s="833">
        <f t="shared" ca="1" si="355"/>
        <v>146</v>
      </c>
      <c r="CC433" s="834" t="str">
        <f t="shared" ca="1" si="356"/>
        <v>-</v>
      </c>
      <c r="CD433" s="835">
        <f t="shared" si="357"/>
        <v>43009</v>
      </c>
      <c r="CE433" s="831">
        <v>43009</v>
      </c>
      <c r="CF433" s="832">
        <v>5</v>
      </c>
      <c r="CG433" s="833">
        <f t="shared" ca="1" si="358"/>
        <v>125</v>
      </c>
      <c r="CH433" s="836">
        <f t="shared" si="359"/>
        <v>0</v>
      </c>
      <c r="CI433" s="837" t="str">
        <f t="shared" si="360"/>
        <v>УСПЕШНО</v>
      </c>
      <c r="CJ433" s="838" t="str">
        <f t="shared" ca="1" si="361"/>
        <v>-</v>
      </c>
      <c r="CK433" s="831"/>
      <c r="CL433" s="832"/>
      <c r="CM433" s="833" t="str">
        <f t="shared" si="362"/>
        <v>-</v>
      </c>
      <c r="CN433" s="834" t="str">
        <f t="shared" si="363"/>
        <v>-</v>
      </c>
      <c r="CO433" s="830" t="str">
        <f t="shared" ca="1" si="364"/>
        <v>-</v>
      </c>
      <c r="CP433" s="831">
        <v>42890</v>
      </c>
      <c r="CQ433" s="832">
        <v>2</v>
      </c>
      <c r="CR433" s="833">
        <f t="shared" si="365"/>
        <v>-147</v>
      </c>
      <c r="CS433" s="833">
        <f t="shared" ca="1" si="366"/>
        <v>244</v>
      </c>
      <c r="CT433" s="834" t="str">
        <f t="shared" ca="1" si="367"/>
        <v>-</v>
      </c>
      <c r="CU433" s="835">
        <f t="shared" si="368"/>
        <v>42911</v>
      </c>
      <c r="CV433" s="831">
        <v>42911</v>
      </c>
      <c r="CW433" s="832">
        <v>2</v>
      </c>
      <c r="CX433" s="833">
        <f t="shared" si="369"/>
        <v>0</v>
      </c>
      <c r="CY433" s="840" t="str">
        <f t="shared" si="370"/>
        <v>УСПЕШНО</v>
      </c>
      <c r="CZ433" s="833">
        <f t="shared" si="371"/>
        <v>-126</v>
      </c>
      <c r="DA433" s="838" t="str">
        <f t="shared" ca="1" si="372"/>
        <v>-</v>
      </c>
      <c r="DB433" s="841"/>
      <c r="DC433" s="832"/>
    </row>
    <row r="434" spans="1:107" s="842" customFormat="1" ht="15.95" customHeight="1" x14ac:dyDescent="0.25">
      <c r="A434" s="790">
        <v>435</v>
      </c>
      <c r="B434" s="791">
        <f t="shared" ca="1" si="321"/>
        <v>43134</v>
      </c>
      <c r="C434" s="29" t="s">
        <v>615</v>
      </c>
      <c r="D434" s="59" t="s">
        <v>908</v>
      </c>
      <c r="E434" s="794" t="s">
        <v>478</v>
      </c>
      <c r="F434" s="854" t="s">
        <v>1427</v>
      </c>
      <c r="G434" s="796">
        <f>SUMIFS(МОЛОКО!L8:L6958,МОЛОКО!F8:F6958,"1946",МОЛОКО!L8:L6958,"&gt;0")</f>
        <v>28</v>
      </c>
      <c r="H434" s="797" t="s">
        <v>603</v>
      </c>
      <c r="I434" s="798">
        <v>41521</v>
      </c>
      <c r="J434" s="799">
        <f t="shared" ca="1" si="322"/>
        <v>4.419178082191781</v>
      </c>
      <c r="K434" s="799">
        <f t="shared" ca="1" si="323"/>
        <v>53.766666666666666</v>
      </c>
      <c r="L434" s="800">
        <f t="shared" ca="1" si="324"/>
        <v>1613</v>
      </c>
      <c r="M434" s="801">
        <v>42503</v>
      </c>
      <c r="N434" s="802">
        <v>42998</v>
      </c>
      <c r="O434" s="803">
        <f t="shared" ca="1" si="325"/>
        <v>136</v>
      </c>
      <c r="P434" s="804">
        <v>2</v>
      </c>
      <c r="Q434" s="68" t="s">
        <v>2366</v>
      </c>
      <c r="R434" s="118" t="s">
        <v>2435</v>
      </c>
      <c r="S434" s="807">
        <v>43055</v>
      </c>
      <c r="T434" s="798">
        <v>43055</v>
      </c>
      <c r="U434" s="798">
        <f t="shared" si="326"/>
        <v>43073</v>
      </c>
      <c r="V434" s="804">
        <f t="shared" ca="1" si="327"/>
        <v>61</v>
      </c>
      <c r="W434" s="808">
        <v>1</v>
      </c>
      <c r="X434" s="794">
        <f t="shared" si="320"/>
        <v>57</v>
      </c>
      <c r="Y434" s="794">
        <v>3</v>
      </c>
      <c r="Z434" s="809" t="str">
        <f t="shared" ca="1" si="328"/>
        <v>-----</v>
      </c>
      <c r="AA434" s="810">
        <f t="shared" ca="1" si="329"/>
        <v>79</v>
      </c>
      <c r="AB434" s="804"/>
      <c r="AC434" s="811" t="str">
        <f t="shared" ca="1" si="330"/>
        <v>-----</v>
      </c>
      <c r="AD434" s="798"/>
      <c r="AE434" s="794" t="str">
        <f t="shared" ca="1" si="331"/>
        <v>-</v>
      </c>
      <c r="AF434" s="798">
        <f t="shared" si="332"/>
        <v>43090</v>
      </c>
      <c r="AG434" s="812">
        <f t="shared" ca="1" si="333"/>
        <v>44</v>
      </c>
      <c r="AH434" s="807"/>
      <c r="AI434" s="807" t="str">
        <f t="shared" si="334"/>
        <v>-</v>
      </c>
      <c r="AJ434" s="807" t="str">
        <f t="shared" si="335"/>
        <v>-</v>
      </c>
      <c r="AK434" s="813"/>
      <c r="AL434" s="807" t="str">
        <f t="shared" si="336"/>
        <v>-</v>
      </c>
      <c r="AM434" s="807" t="str">
        <f t="shared" si="337"/>
        <v>-</v>
      </c>
      <c r="AN434" s="814" t="str">
        <f t="shared" ca="1" si="338"/>
        <v>-</v>
      </c>
      <c r="AO434" s="815">
        <v>1</v>
      </c>
      <c r="AP434" s="816" t="str">
        <f t="shared" ca="1" si="339"/>
        <v>-</v>
      </c>
      <c r="AQ434" s="817"/>
      <c r="AR434" s="794" t="str">
        <f t="shared" si="340"/>
        <v>-</v>
      </c>
      <c r="AS434" s="818"/>
      <c r="AT434" s="794" t="str">
        <f t="shared" si="341"/>
        <v>-</v>
      </c>
      <c r="AU434" s="819">
        <v>1</v>
      </c>
      <c r="AV434" s="820"/>
      <c r="AW434" s="821"/>
      <c r="AX434" s="821"/>
      <c r="AY434" s="969" t="str">
        <f t="shared" si="342"/>
        <v>-</v>
      </c>
      <c r="AZ434" s="966" t="str">
        <f t="shared" si="343"/>
        <v>-</v>
      </c>
      <c r="BA434" s="971" t="str">
        <f t="shared" si="344"/>
        <v>-</v>
      </c>
      <c r="BB434" s="975"/>
      <c r="BC434" s="821"/>
      <c r="BD434" s="821"/>
      <c r="BE434" s="963" t="str">
        <f t="shared" si="345"/>
        <v>-</v>
      </c>
      <c r="BF434" s="984"/>
      <c r="BG434" s="988"/>
      <c r="BH434" s="982"/>
      <c r="BI434" s="991"/>
      <c r="BJ434" s="991"/>
      <c r="BK434" s="993" t="str">
        <f t="shared" si="346"/>
        <v>-</v>
      </c>
      <c r="BL434" s="820">
        <v>42982</v>
      </c>
      <c r="BM434" s="821">
        <v>5</v>
      </c>
      <c r="BN434" s="822">
        <f t="shared" ca="1" si="347"/>
        <v>152</v>
      </c>
      <c r="BO434" s="823">
        <f t="shared" si="348"/>
        <v>48.7</v>
      </c>
      <c r="BP434" s="824">
        <v>43001</v>
      </c>
      <c r="BQ434" s="821">
        <v>2</v>
      </c>
      <c r="BR434" s="822">
        <f t="shared" ca="1" si="349"/>
        <v>133</v>
      </c>
      <c r="BS434" s="823">
        <f t="shared" si="350"/>
        <v>16.600000000000001</v>
      </c>
      <c r="BT434" s="825" t="str">
        <f t="shared" ca="1" si="351"/>
        <v>-</v>
      </c>
      <c r="BU434" s="826"/>
      <c r="BV434" s="827"/>
      <c r="BW434" s="828" t="str">
        <f t="shared" si="352"/>
        <v>Ж-Е НЕ ВАКЦ.</v>
      </c>
      <c r="BX434" s="829" t="str">
        <f t="shared" si="353"/>
        <v>-</v>
      </c>
      <c r="BY434" s="830" t="str">
        <f t="shared" ca="1" si="354"/>
        <v>-</v>
      </c>
      <c r="BZ434" s="831">
        <v>42887</v>
      </c>
      <c r="CA434" s="832">
        <v>5</v>
      </c>
      <c r="CB434" s="833">
        <f t="shared" ca="1" si="355"/>
        <v>247</v>
      </c>
      <c r="CC434" s="834" t="str">
        <f t="shared" ca="1" si="356"/>
        <v>-</v>
      </c>
      <c r="CD434" s="835">
        <f t="shared" si="357"/>
        <v>42908</v>
      </c>
      <c r="CE434" s="831">
        <v>42908</v>
      </c>
      <c r="CF434" s="832">
        <v>5</v>
      </c>
      <c r="CG434" s="833">
        <f t="shared" ca="1" si="358"/>
        <v>226</v>
      </c>
      <c r="CH434" s="836">
        <f t="shared" si="359"/>
        <v>0</v>
      </c>
      <c r="CI434" s="837" t="str">
        <f t="shared" si="360"/>
        <v>УСПЕШНО</v>
      </c>
      <c r="CJ434" s="838" t="str">
        <f t="shared" ca="1" si="361"/>
        <v>-</v>
      </c>
      <c r="CK434" s="831"/>
      <c r="CL434" s="832"/>
      <c r="CM434" s="833" t="str">
        <f t="shared" si="362"/>
        <v>-</v>
      </c>
      <c r="CN434" s="834" t="str">
        <f t="shared" si="363"/>
        <v>-</v>
      </c>
      <c r="CO434" s="830" t="str">
        <f t="shared" ca="1" si="364"/>
        <v>-</v>
      </c>
      <c r="CP434" s="831">
        <v>42941</v>
      </c>
      <c r="CQ434" s="832">
        <v>2</v>
      </c>
      <c r="CR434" s="833">
        <f t="shared" si="365"/>
        <v>-114</v>
      </c>
      <c r="CS434" s="833">
        <f t="shared" ca="1" si="366"/>
        <v>193</v>
      </c>
      <c r="CT434" s="834" t="str">
        <f t="shared" ca="1" si="367"/>
        <v>-</v>
      </c>
      <c r="CU434" s="835">
        <f t="shared" si="368"/>
        <v>42962</v>
      </c>
      <c r="CV434" s="831">
        <v>42962</v>
      </c>
      <c r="CW434" s="832">
        <v>2</v>
      </c>
      <c r="CX434" s="833">
        <f t="shared" si="369"/>
        <v>0</v>
      </c>
      <c r="CY434" s="840" t="str">
        <f t="shared" si="370"/>
        <v>УСПЕШНО</v>
      </c>
      <c r="CZ434" s="833">
        <f t="shared" si="371"/>
        <v>-93</v>
      </c>
      <c r="DA434" s="838" t="str">
        <f t="shared" ca="1" si="372"/>
        <v>-</v>
      </c>
      <c r="DB434" s="841"/>
      <c r="DC434" s="832"/>
    </row>
    <row r="435" spans="1:107" s="842" customFormat="1" ht="15.95" customHeight="1" x14ac:dyDescent="0.25">
      <c r="A435" s="790">
        <v>436</v>
      </c>
      <c r="B435" s="791">
        <f t="shared" ca="1" si="321"/>
        <v>43134</v>
      </c>
      <c r="C435" s="792" t="s">
        <v>615</v>
      </c>
      <c r="D435" s="793" t="s">
        <v>908</v>
      </c>
      <c r="E435" s="794" t="s">
        <v>503</v>
      </c>
      <c r="F435" s="854" t="s">
        <v>551</v>
      </c>
      <c r="G435" s="796">
        <f>SUMIFS(МОЛОКО!L8:L6958,МОЛОКО!F8:F6958,"1959",МОЛОКО!L8:L6958,"&gt;0")</f>
        <v>34</v>
      </c>
      <c r="H435" s="797" t="s">
        <v>603</v>
      </c>
      <c r="I435" s="798">
        <v>41530</v>
      </c>
      <c r="J435" s="799">
        <f t="shared" ca="1" si="322"/>
        <v>4.3945205479452056</v>
      </c>
      <c r="K435" s="799">
        <f t="shared" ca="1" si="323"/>
        <v>53.466666666666669</v>
      </c>
      <c r="L435" s="800">
        <f t="shared" ca="1" si="324"/>
        <v>1604</v>
      </c>
      <c r="M435" s="801">
        <v>42280</v>
      </c>
      <c r="N435" s="802">
        <v>42986</v>
      </c>
      <c r="O435" s="803">
        <f t="shared" ca="1" si="325"/>
        <v>148</v>
      </c>
      <c r="P435" s="804">
        <v>3</v>
      </c>
      <c r="Q435" s="68" t="s">
        <v>1451</v>
      </c>
      <c r="R435" s="118" t="s">
        <v>2962</v>
      </c>
      <c r="S435" s="807">
        <v>43048</v>
      </c>
      <c r="T435" s="798">
        <v>43048</v>
      </c>
      <c r="U435" s="798">
        <f t="shared" si="326"/>
        <v>43066</v>
      </c>
      <c r="V435" s="804">
        <f t="shared" ca="1" si="327"/>
        <v>68</v>
      </c>
      <c r="W435" s="808">
        <v>1</v>
      </c>
      <c r="X435" s="794">
        <f t="shared" si="320"/>
        <v>62</v>
      </c>
      <c r="Y435" s="794">
        <v>3</v>
      </c>
      <c r="Z435" s="809" t="str">
        <f t="shared" ca="1" si="328"/>
        <v>-----</v>
      </c>
      <c r="AA435" s="810">
        <f t="shared" ca="1" si="329"/>
        <v>86</v>
      </c>
      <c r="AB435" s="804"/>
      <c r="AC435" s="811" t="str">
        <f t="shared" ca="1" si="330"/>
        <v>-----</v>
      </c>
      <c r="AD435" s="798"/>
      <c r="AE435" s="794" t="str">
        <f t="shared" ca="1" si="331"/>
        <v>-</v>
      </c>
      <c r="AF435" s="798">
        <f t="shared" si="332"/>
        <v>43083</v>
      </c>
      <c r="AG435" s="812">
        <f t="shared" ca="1" si="333"/>
        <v>51</v>
      </c>
      <c r="AH435" s="807"/>
      <c r="AI435" s="807" t="str">
        <f t="shared" si="334"/>
        <v>-</v>
      </c>
      <c r="AJ435" s="807" t="str">
        <f t="shared" si="335"/>
        <v>-</v>
      </c>
      <c r="AK435" s="813"/>
      <c r="AL435" s="807" t="str">
        <f t="shared" si="336"/>
        <v>-</v>
      </c>
      <c r="AM435" s="807" t="str">
        <f t="shared" si="337"/>
        <v>-</v>
      </c>
      <c r="AN435" s="814" t="str">
        <f t="shared" ca="1" si="338"/>
        <v>-</v>
      </c>
      <c r="AO435" s="815">
        <v>1</v>
      </c>
      <c r="AP435" s="816" t="str">
        <f t="shared" ca="1" si="339"/>
        <v>-</v>
      </c>
      <c r="AQ435" s="817"/>
      <c r="AR435" s="794" t="str">
        <f t="shared" si="340"/>
        <v>-</v>
      </c>
      <c r="AS435" s="818"/>
      <c r="AT435" s="794" t="str">
        <f t="shared" si="341"/>
        <v>-</v>
      </c>
      <c r="AU435" s="819">
        <v>1</v>
      </c>
      <c r="AV435" s="820"/>
      <c r="AW435" s="821"/>
      <c r="AX435" s="821"/>
      <c r="AY435" s="969" t="str">
        <f t="shared" si="342"/>
        <v>-</v>
      </c>
      <c r="AZ435" s="966" t="str">
        <f t="shared" si="343"/>
        <v>-</v>
      </c>
      <c r="BA435" s="971" t="str">
        <f t="shared" si="344"/>
        <v>-</v>
      </c>
      <c r="BB435" s="975"/>
      <c r="BC435" s="821"/>
      <c r="BD435" s="821"/>
      <c r="BE435" s="963" t="str">
        <f t="shared" si="345"/>
        <v>-</v>
      </c>
      <c r="BF435" s="984"/>
      <c r="BG435" s="988"/>
      <c r="BH435" s="982"/>
      <c r="BI435" s="991"/>
      <c r="BJ435" s="991"/>
      <c r="BK435" s="993" t="str">
        <f t="shared" si="346"/>
        <v>-</v>
      </c>
      <c r="BL435" s="820">
        <v>42982</v>
      </c>
      <c r="BM435" s="821">
        <v>5</v>
      </c>
      <c r="BN435" s="822">
        <f t="shared" ca="1" si="347"/>
        <v>152</v>
      </c>
      <c r="BO435" s="823">
        <f t="shared" si="348"/>
        <v>48.4</v>
      </c>
      <c r="BP435" s="824">
        <v>43001</v>
      </c>
      <c r="BQ435" s="821">
        <v>2</v>
      </c>
      <c r="BR435" s="822">
        <f t="shared" ca="1" si="349"/>
        <v>133</v>
      </c>
      <c r="BS435" s="823">
        <f t="shared" si="350"/>
        <v>24.033333333333335</v>
      </c>
      <c r="BT435" s="825" t="str">
        <f t="shared" ca="1" si="351"/>
        <v>-</v>
      </c>
      <c r="BU435" s="826"/>
      <c r="BV435" s="827"/>
      <c r="BW435" s="828" t="str">
        <f t="shared" si="352"/>
        <v>Ж-Е НЕ ВАКЦ.</v>
      </c>
      <c r="BX435" s="829" t="str">
        <f t="shared" si="353"/>
        <v>-</v>
      </c>
      <c r="BY435" s="830" t="str">
        <f t="shared" ca="1" si="354"/>
        <v>-</v>
      </c>
      <c r="BZ435" s="831">
        <v>42887</v>
      </c>
      <c r="CA435" s="832">
        <v>5</v>
      </c>
      <c r="CB435" s="833">
        <f t="shared" ca="1" si="355"/>
        <v>247</v>
      </c>
      <c r="CC435" s="834" t="str">
        <f t="shared" ca="1" si="356"/>
        <v>-</v>
      </c>
      <c r="CD435" s="835">
        <f t="shared" si="357"/>
        <v>42908</v>
      </c>
      <c r="CE435" s="831">
        <v>42908</v>
      </c>
      <c r="CF435" s="832">
        <v>5</v>
      </c>
      <c r="CG435" s="833">
        <f t="shared" ca="1" si="358"/>
        <v>226</v>
      </c>
      <c r="CH435" s="836">
        <f t="shared" si="359"/>
        <v>0</v>
      </c>
      <c r="CI435" s="837" t="str">
        <f t="shared" si="360"/>
        <v>УСПЕШНО</v>
      </c>
      <c r="CJ435" s="838" t="str">
        <f t="shared" ca="1" si="361"/>
        <v>-</v>
      </c>
      <c r="CK435" s="831"/>
      <c r="CL435" s="832"/>
      <c r="CM435" s="833" t="str">
        <f t="shared" si="362"/>
        <v>-</v>
      </c>
      <c r="CN435" s="834" t="str">
        <f t="shared" si="363"/>
        <v>-</v>
      </c>
      <c r="CO435" s="830" t="str">
        <f t="shared" ca="1" si="364"/>
        <v>-</v>
      </c>
      <c r="CP435" s="831">
        <v>42925</v>
      </c>
      <c r="CQ435" s="832">
        <v>2</v>
      </c>
      <c r="CR435" s="833">
        <f t="shared" si="365"/>
        <v>-123</v>
      </c>
      <c r="CS435" s="833">
        <f t="shared" ca="1" si="366"/>
        <v>209</v>
      </c>
      <c r="CT435" s="834" t="str">
        <f t="shared" ca="1" si="367"/>
        <v>-</v>
      </c>
      <c r="CU435" s="835">
        <f t="shared" si="368"/>
        <v>42946</v>
      </c>
      <c r="CV435" s="831">
        <v>42946</v>
      </c>
      <c r="CW435" s="832">
        <v>2</v>
      </c>
      <c r="CX435" s="833">
        <f t="shared" si="369"/>
        <v>0</v>
      </c>
      <c r="CY435" s="840" t="str">
        <f t="shared" si="370"/>
        <v>УСПЕШНО</v>
      </c>
      <c r="CZ435" s="833">
        <f t="shared" si="371"/>
        <v>-102</v>
      </c>
      <c r="DA435" s="838" t="str">
        <f t="shared" ca="1" si="372"/>
        <v>-</v>
      </c>
      <c r="DB435" s="841"/>
      <c r="DC435" s="832"/>
    </row>
    <row r="436" spans="1:107" s="842" customFormat="1" ht="15.95" customHeight="1" x14ac:dyDescent="0.25">
      <c r="A436" s="790">
        <v>437</v>
      </c>
      <c r="B436" s="791">
        <f t="shared" ca="1" si="321"/>
        <v>43134</v>
      </c>
      <c r="C436" s="792" t="s">
        <v>615</v>
      </c>
      <c r="D436" s="793" t="s">
        <v>908</v>
      </c>
      <c r="E436" s="794" t="s">
        <v>1294</v>
      </c>
      <c r="F436" s="854" t="s">
        <v>1170</v>
      </c>
      <c r="G436" s="796">
        <f>SUMIFS(МОЛОКО!L8:L6958,МОЛОКО!F8:F6958,"2192",МОЛОКО!L8:L6958,"&gt;0")</f>
        <v>36</v>
      </c>
      <c r="H436" s="797" t="s">
        <v>603</v>
      </c>
      <c r="I436" s="798">
        <v>41749</v>
      </c>
      <c r="J436" s="799">
        <f t="shared" ca="1" si="322"/>
        <v>3.7945205479452055</v>
      </c>
      <c r="K436" s="799">
        <f t="shared" ca="1" si="323"/>
        <v>46.166666666666664</v>
      </c>
      <c r="L436" s="800">
        <f t="shared" ca="1" si="324"/>
        <v>1385</v>
      </c>
      <c r="M436" s="801">
        <v>42524</v>
      </c>
      <c r="N436" s="802">
        <v>42975</v>
      </c>
      <c r="O436" s="803">
        <f t="shared" ca="1" si="325"/>
        <v>159</v>
      </c>
      <c r="P436" s="804">
        <v>2</v>
      </c>
      <c r="Q436" s="68" t="s">
        <v>2366</v>
      </c>
      <c r="R436" s="118" t="s">
        <v>2966</v>
      </c>
      <c r="S436" s="807">
        <v>43033</v>
      </c>
      <c r="T436" s="798">
        <v>43033</v>
      </c>
      <c r="U436" s="798">
        <f t="shared" si="326"/>
        <v>43051</v>
      </c>
      <c r="V436" s="804">
        <f t="shared" ca="1" si="327"/>
        <v>83</v>
      </c>
      <c r="W436" s="808">
        <v>1</v>
      </c>
      <c r="X436" s="794">
        <f t="shared" si="320"/>
        <v>58</v>
      </c>
      <c r="Y436" s="794">
        <v>3</v>
      </c>
      <c r="Z436" s="809" t="str">
        <f t="shared" ca="1" si="328"/>
        <v>-----</v>
      </c>
      <c r="AA436" s="810">
        <f t="shared" ca="1" si="329"/>
        <v>101</v>
      </c>
      <c r="AB436" s="804"/>
      <c r="AC436" s="811" t="str">
        <f t="shared" ca="1" si="330"/>
        <v>-----</v>
      </c>
      <c r="AD436" s="798"/>
      <c r="AE436" s="794" t="str">
        <f t="shared" ca="1" si="331"/>
        <v>-</v>
      </c>
      <c r="AF436" s="798">
        <f t="shared" si="332"/>
        <v>43068</v>
      </c>
      <c r="AG436" s="812">
        <f t="shared" ca="1" si="333"/>
        <v>66</v>
      </c>
      <c r="AH436" s="807"/>
      <c r="AI436" s="807" t="str">
        <f t="shared" si="334"/>
        <v>-</v>
      </c>
      <c r="AJ436" s="807" t="str">
        <f t="shared" si="335"/>
        <v>-</v>
      </c>
      <c r="AK436" s="813"/>
      <c r="AL436" s="807" t="str">
        <f t="shared" si="336"/>
        <v>-</v>
      </c>
      <c r="AM436" s="807" t="str">
        <f t="shared" si="337"/>
        <v>-</v>
      </c>
      <c r="AN436" s="814" t="str">
        <f t="shared" ca="1" si="338"/>
        <v>-</v>
      </c>
      <c r="AO436" s="815">
        <v>1</v>
      </c>
      <c r="AP436" s="816" t="str">
        <f t="shared" ca="1" si="339"/>
        <v>-</v>
      </c>
      <c r="AQ436" s="817"/>
      <c r="AR436" s="794" t="str">
        <f t="shared" si="340"/>
        <v>-</v>
      </c>
      <c r="AS436" s="818"/>
      <c r="AT436" s="794" t="str">
        <f t="shared" si="341"/>
        <v>-</v>
      </c>
      <c r="AU436" s="819">
        <v>1</v>
      </c>
      <c r="AV436" s="820"/>
      <c r="AW436" s="821"/>
      <c r="AX436" s="821"/>
      <c r="AY436" s="969" t="str">
        <f t="shared" si="342"/>
        <v>-</v>
      </c>
      <c r="AZ436" s="966" t="str">
        <f t="shared" si="343"/>
        <v>-</v>
      </c>
      <c r="BA436" s="971" t="str">
        <f t="shared" si="344"/>
        <v>-</v>
      </c>
      <c r="BB436" s="975"/>
      <c r="BC436" s="821"/>
      <c r="BD436" s="821"/>
      <c r="BE436" s="963" t="str">
        <f t="shared" si="345"/>
        <v>-</v>
      </c>
      <c r="BF436" s="984"/>
      <c r="BG436" s="988"/>
      <c r="BH436" s="982"/>
      <c r="BI436" s="991"/>
      <c r="BJ436" s="991"/>
      <c r="BK436" s="993" t="str">
        <f t="shared" si="346"/>
        <v>-</v>
      </c>
      <c r="BL436" s="820">
        <v>42982</v>
      </c>
      <c r="BM436" s="821">
        <v>5</v>
      </c>
      <c r="BN436" s="822">
        <f t="shared" ca="1" si="347"/>
        <v>152</v>
      </c>
      <c r="BO436" s="823">
        <f t="shared" si="348"/>
        <v>41.1</v>
      </c>
      <c r="BP436" s="824">
        <v>43001</v>
      </c>
      <c r="BQ436" s="821">
        <v>2</v>
      </c>
      <c r="BR436" s="822">
        <f t="shared" ca="1" si="349"/>
        <v>133</v>
      </c>
      <c r="BS436" s="823">
        <f t="shared" si="350"/>
        <v>15.9</v>
      </c>
      <c r="BT436" s="825" t="str">
        <f t="shared" ca="1" si="351"/>
        <v>-</v>
      </c>
      <c r="BU436" s="826"/>
      <c r="BV436" s="827"/>
      <c r="BW436" s="828" t="str">
        <f t="shared" si="352"/>
        <v>Ж-Е НЕ ВАКЦ.</v>
      </c>
      <c r="BX436" s="829" t="str">
        <f t="shared" si="353"/>
        <v>-</v>
      </c>
      <c r="BY436" s="830" t="str">
        <f t="shared" ca="1" si="354"/>
        <v>-</v>
      </c>
      <c r="BZ436" s="831">
        <v>42887</v>
      </c>
      <c r="CA436" s="832">
        <v>5</v>
      </c>
      <c r="CB436" s="833">
        <f t="shared" ca="1" si="355"/>
        <v>247</v>
      </c>
      <c r="CC436" s="834" t="str">
        <f t="shared" ca="1" si="356"/>
        <v>-</v>
      </c>
      <c r="CD436" s="835">
        <f t="shared" si="357"/>
        <v>42908</v>
      </c>
      <c r="CE436" s="831">
        <v>42908</v>
      </c>
      <c r="CF436" s="832">
        <v>5</v>
      </c>
      <c r="CG436" s="833">
        <f t="shared" ca="1" si="358"/>
        <v>226</v>
      </c>
      <c r="CH436" s="836">
        <f t="shared" si="359"/>
        <v>0</v>
      </c>
      <c r="CI436" s="837" t="str">
        <f t="shared" si="360"/>
        <v>УСПЕШНО</v>
      </c>
      <c r="CJ436" s="838" t="str">
        <f t="shared" ca="1" si="361"/>
        <v>-</v>
      </c>
      <c r="CK436" s="831"/>
      <c r="CL436" s="832"/>
      <c r="CM436" s="833" t="str">
        <f t="shared" si="362"/>
        <v>-</v>
      </c>
      <c r="CN436" s="834" t="str">
        <f t="shared" si="363"/>
        <v>-</v>
      </c>
      <c r="CO436" s="830" t="str">
        <f t="shared" ca="1" si="364"/>
        <v>-</v>
      </c>
      <c r="CP436" s="831">
        <v>42925</v>
      </c>
      <c r="CQ436" s="832">
        <v>2</v>
      </c>
      <c r="CR436" s="833">
        <f t="shared" si="365"/>
        <v>-108</v>
      </c>
      <c r="CS436" s="833">
        <f t="shared" ca="1" si="366"/>
        <v>209</v>
      </c>
      <c r="CT436" s="834" t="str">
        <f t="shared" ca="1" si="367"/>
        <v>-</v>
      </c>
      <c r="CU436" s="835">
        <f t="shared" si="368"/>
        <v>42946</v>
      </c>
      <c r="CV436" s="831">
        <v>42946</v>
      </c>
      <c r="CW436" s="832">
        <v>2</v>
      </c>
      <c r="CX436" s="833">
        <f t="shared" si="369"/>
        <v>0</v>
      </c>
      <c r="CY436" s="840" t="str">
        <f t="shared" si="370"/>
        <v>УСПЕШНО</v>
      </c>
      <c r="CZ436" s="833">
        <f t="shared" si="371"/>
        <v>-87</v>
      </c>
      <c r="DA436" s="838" t="str">
        <f t="shared" ca="1" si="372"/>
        <v>-</v>
      </c>
      <c r="DB436" s="841"/>
      <c r="DC436" s="832"/>
    </row>
    <row r="437" spans="1:107" s="842" customFormat="1" ht="15.95" customHeight="1" x14ac:dyDescent="0.25">
      <c r="A437" s="790">
        <v>438</v>
      </c>
      <c r="B437" s="791">
        <f t="shared" ca="1" si="321"/>
        <v>43134</v>
      </c>
      <c r="C437" s="792" t="s">
        <v>615</v>
      </c>
      <c r="D437" s="793" t="s">
        <v>908</v>
      </c>
      <c r="E437" s="794" t="s">
        <v>1297</v>
      </c>
      <c r="F437" s="854" t="s">
        <v>1173</v>
      </c>
      <c r="G437" s="796">
        <f>SUMIFS(МОЛОКО!L8:L6958,МОЛОКО!F8:F6958,"2200",МОЛОКО!L8:L6958,"&gt;0")</f>
        <v>29</v>
      </c>
      <c r="H437" s="797" t="s">
        <v>603</v>
      </c>
      <c r="I437" s="798">
        <v>41753</v>
      </c>
      <c r="J437" s="799">
        <f t="shared" ca="1" si="322"/>
        <v>3.7835616438356166</v>
      </c>
      <c r="K437" s="799">
        <f t="shared" ca="1" si="323"/>
        <v>46.033333333333331</v>
      </c>
      <c r="L437" s="800">
        <f t="shared" ca="1" si="324"/>
        <v>1381</v>
      </c>
      <c r="M437" s="801">
        <v>42549</v>
      </c>
      <c r="N437" s="802">
        <v>42963</v>
      </c>
      <c r="O437" s="803">
        <f t="shared" ca="1" si="325"/>
        <v>171</v>
      </c>
      <c r="P437" s="804">
        <v>2</v>
      </c>
      <c r="Q437" s="68" t="s">
        <v>2366</v>
      </c>
      <c r="R437" s="118" t="s">
        <v>2962</v>
      </c>
      <c r="S437" s="807">
        <v>43027</v>
      </c>
      <c r="T437" s="798">
        <v>43027</v>
      </c>
      <c r="U437" s="798">
        <f t="shared" si="326"/>
        <v>43045</v>
      </c>
      <c r="V437" s="804">
        <f t="shared" ca="1" si="327"/>
        <v>89</v>
      </c>
      <c r="W437" s="808">
        <v>1</v>
      </c>
      <c r="X437" s="794">
        <f t="shared" si="320"/>
        <v>64</v>
      </c>
      <c r="Y437" s="794">
        <v>3</v>
      </c>
      <c r="Z437" s="809" t="str">
        <f t="shared" ca="1" si="328"/>
        <v>-----</v>
      </c>
      <c r="AA437" s="810">
        <f t="shared" ca="1" si="329"/>
        <v>107</v>
      </c>
      <c r="AB437" s="804"/>
      <c r="AC437" s="811" t="str">
        <f t="shared" ca="1" si="330"/>
        <v>-----</v>
      </c>
      <c r="AD437" s="798"/>
      <c r="AE437" s="794" t="str">
        <f t="shared" ca="1" si="331"/>
        <v>-</v>
      </c>
      <c r="AF437" s="798">
        <f t="shared" si="332"/>
        <v>43062</v>
      </c>
      <c r="AG437" s="812">
        <f t="shared" ca="1" si="333"/>
        <v>72</v>
      </c>
      <c r="AH437" s="807"/>
      <c r="AI437" s="807" t="str">
        <f t="shared" si="334"/>
        <v>-</v>
      </c>
      <c r="AJ437" s="807" t="str">
        <f t="shared" si="335"/>
        <v>-</v>
      </c>
      <c r="AK437" s="813"/>
      <c r="AL437" s="807" t="str">
        <f t="shared" si="336"/>
        <v>-</v>
      </c>
      <c r="AM437" s="807" t="str">
        <f t="shared" si="337"/>
        <v>-</v>
      </c>
      <c r="AN437" s="814" t="str">
        <f t="shared" ca="1" si="338"/>
        <v>-</v>
      </c>
      <c r="AO437" s="815">
        <v>1</v>
      </c>
      <c r="AP437" s="816" t="str">
        <f t="shared" ca="1" si="339"/>
        <v>-</v>
      </c>
      <c r="AQ437" s="817"/>
      <c r="AR437" s="794" t="str">
        <f t="shared" si="340"/>
        <v>-</v>
      </c>
      <c r="AS437" s="818"/>
      <c r="AT437" s="794" t="str">
        <f t="shared" si="341"/>
        <v>-</v>
      </c>
      <c r="AU437" s="819">
        <v>1</v>
      </c>
      <c r="AV437" s="820"/>
      <c r="AW437" s="821"/>
      <c r="AX437" s="821"/>
      <c r="AY437" s="969" t="str">
        <f t="shared" si="342"/>
        <v>-</v>
      </c>
      <c r="AZ437" s="966" t="str">
        <f t="shared" si="343"/>
        <v>-</v>
      </c>
      <c r="BA437" s="971" t="str">
        <f t="shared" si="344"/>
        <v>-</v>
      </c>
      <c r="BB437" s="975"/>
      <c r="BC437" s="821"/>
      <c r="BD437" s="821"/>
      <c r="BE437" s="963" t="str">
        <f t="shared" si="345"/>
        <v>-</v>
      </c>
      <c r="BF437" s="984"/>
      <c r="BG437" s="988"/>
      <c r="BH437" s="982"/>
      <c r="BI437" s="991"/>
      <c r="BJ437" s="991"/>
      <c r="BK437" s="993" t="str">
        <f t="shared" si="346"/>
        <v>-</v>
      </c>
      <c r="BL437" s="820">
        <v>42982</v>
      </c>
      <c r="BM437" s="821">
        <v>5</v>
      </c>
      <c r="BN437" s="822">
        <f t="shared" ca="1" si="347"/>
        <v>152</v>
      </c>
      <c r="BO437" s="823">
        <f t="shared" si="348"/>
        <v>40.966666666666669</v>
      </c>
      <c r="BP437" s="824">
        <v>43001</v>
      </c>
      <c r="BQ437" s="821">
        <v>2</v>
      </c>
      <c r="BR437" s="822">
        <f t="shared" ca="1" si="349"/>
        <v>133</v>
      </c>
      <c r="BS437" s="823">
        <f t="shared" si="350"/>
        <v>15.066666666666666</v>
      </c>
      <c r="BT437" s="825" t="str">
        <f t="shared" ca="1" si="351"/>
        <v>-</v>
      </c>
      <c r="BU437" s="826"/>
      <c r="BV437" s="827"/>
      <c r="BW437" s="828" t="str">
        <f t="shared" si="352"/>
        <v>Ж-Е НЕ ВАКЦ.</v>
      </c>
      <c r="BX437" s="829" t="str">
        <f t="shared" si="353"/>
        <v>-</v>
      </c>
      <c r="BY437" s="830" t="str">
        <f t="shared" ca="1" si="354"/>
        <v>-</v>
      </c>
      <c r="BZ437" s="831">
        <v>43011</v>
      </c>
      <c r="CA437" s="832">
        <v>5</v>
      </c>
      <c r="CB437" s="833">
        <f t="shared" ca="1" si="355"/>
        <v>123</v>
      </c>
      <c r="CC437" s="834" t="str">
        <f t="shared" ca="1" si="356"/>
        <v>-</v>
      </c>
      <c r="CD437" s="835">
        <f t="shared" si="357"/>
        <v>43032</v>
      </c>
      <c r="CE437" s="831">
        <v>43033</v>
      </c>
      <c r="CF437" s="832">
        <v>5</v>
      </c>
      <c r="CG437" s="833">
        <f t="shared" ca="1" si="358"/>
        <v>101</v>
      </c>
      <c r="CH437" s="836">
        <f t="shared" si="359"/>
        <v>-1</v>
      </c>
      <c r="CI437" s="837" t="str">
        <f t="shared" si="360"/>
        <v>-</v>
      </c>
      <c r="CJ437" s="838" t="str">
        <f t="shared" ca="1" si="361"/>
        <v>-</v>
      </c>
      <c r="CK437" s="831"/>
      <c r="CL437" s="832"/>
      <c r="CM437" s="833" t="str">
        <f t="shared" si="362"/>
        <v>-</v>
      </c>
      <c r="CN437" s="834" t="str">
        <f t="shared" si="363"/>
        <v>-</v>
      </c>
      <c r="CO437" s="830" t="str">
        <f t="shared" ca="1" si="364"/>
        <v>-</v>
      </c>
      <c r="CP437" s="831">
        <v>42890</v>
      </c>
      <c r="CQ437" s="832">
        <v>2</v>
      </c>
      <c r="CR437" s="833">
        <f t="shared" si="365"/>
        <v>-137</v>
      </c>
      <c r="CS437" s="833">
        <f t="shared" ca="1" si="366"/>
        <v>244</v>
      </c>
      <c r="CT437" s="834" t="str">
        <f t="shared" ca="1" si="367"/>
        <v>-</v>
      </c>
      <c r="CU437" s="835">
        <f t="shared" si="368"/>
        <v>42911</v>
      </c>
      <c r="CV437" s="831">
        <v>42911</v>
      </c>
      <c r="CW437" s="832">
        <v>2</v>
      </c>
      <c r="CX437" s="833">
        <f t="shared" si="369"/>
        <v>0</v>
      </c>
      <c r="CY437" s="840" t="str">
        <f t="shared" si="370"/>
        <v>УСПЕШНО</v>
      </c>
      <c r="CZ437" s="833">
        <f t="shared" si="371"/>
        <v>-116</v>
      </c>
      <c r="DA437" s="838" t="str">
        <f t="shared" ca="1" si="372"/>
        <v>-</v>
      </c>
      <c r="DB437" s="841"/>
      <c r="DC437" s="832"/>
    </row>
    <row r="438" spans="1:107" s="842" customFormat="1" ht="15.95" customHeight="1" x14ac:dyDescent="0.25">
      <c r="A438" s="790">
        <v>439</v>
      </c>
      <c r="B438" s="791">
        <f t="shared" ca="1" si="321"/>
        <v>43134</v>
      </c>
      <c r="C438" s="792" t="s">
        <v>615</v>
      </c>
      <c r="D438" s="793" t="s">
        <v>908</v>
      </c>
      <c r="E438" s="794" t="s">
        <v>1302</v>
      </c>
      <c r="F438" s="854" t="s">
        <v>1180</v>
      </c>
      <c r="G438" s="796">
        <f>SUMIFS(МОЛОКО!L8:L6958,МОЛОКО!F8:F6958,"2212",МОЛОКО!L8:L6958,"&gt;0")</f>
        <v>30.2</v>
      </c>
      <c r="H438" s="797" t="s">
        <v>603</v>
      </c>
      <c r="I438" s="798">
        <v>41763</v>
      </c>
      <c r="J438" s="799">
        <f t="shared" ca="1" si="322"/>
        <v>3.7561643835616438</v>
      </c>
      <c r="K438" s="799">
        <f t="shared" ca="1" si="323"/>
        <v>45.7</v>
      </c>
      <c r="L438" s="800">
        <f t="shared" ca="1" si="324"/>
        <v>1371</v>
      </c>
      <c r="M438" s="801">
        <v>42550</v>
      </c>
      <c r="N438" s="802">
        <v>42988</v>
      </c>
      <c r="O438" s="803">
        <f t="shared" ca="1" si="325"/>
        <v>146</v>
      </c>
      <c r="P438" s="804">
        <v>2</v>
      </c>
      <c r="Q438" s="68" t="s">
        <v>1451</v>
      </c>
      <c r="R438" s="118" t="s">
        <v>2962</v>
      </c>
      <c r="S438" s="807">
        <v>43047</v>
      </c>
      <c r="T438" s="798">
        <v>43047</v>
      </c>
      <c r="U438" s="798">
        <f t="shared" si="326"/>
        <v>43065</v>
      </c>
      <c r="V438" s="804">
        <f t="shared" ca="1" si="327"/>
        <v>69</v>
      </c>
      <c r="W438" s="808">
        <v>1</v>
      </c>
      <c r="X438" s="794">
        <f t="shared" ref="X438:X501" si="373">IF(AND(N438&gt;0,T438&gt;0),T438-N438,"-")</f>
        <v>59</v>
      </c>
      <c r="Y438" s="794">
        <v>3</v>
      </c>
      <c r="Z438" s="809" t="str">
        <f t="shared" ca="1" si="328"/>
        <v>-----</v>
      </c>
      <c r="AA438" s="810">
        <f t="shared" ca="1" si="329"/>
        <v>87</v>
      </c>
      <c r="AB438" s="804"/>
      <c r="AC438" s="811" t="str">
        <f t="shared" ca="1" si="330"/>
        <v>-----</v>
      </c>
      <c r="AD438" s="798"/>
      <c r="AE438" s="794" t="str">
        <f t="shared" ca="1" si="331"/>
        <v>-</v>
      </c>
      <c r="AF438" s="798">
        <f t="shared" si="332"/>
        <v>43082</v>
      </c>
      <c r="AG438" s="812">
        <f t="shared" ca="1" si="333"/>
        <v>52</v>
      </c>
      <c r="AH438" s="807"/>
      <c r="AI438" s="807" t="str">
        <f t="shared" si="334"/>
        <v>-</v>
      </c>
      <c r="AJ438" s="807" t="str">
        <f t="shared" si="335"/>
        <v>-</v>
      </c>
      <c r="AK438" s="813"/>
      <c r="AL438" s="807" t="str">
        <f t="shared" si="336"/>
        <v>-</v>
      </c>
      <c r="AM438" s="807" t="str">
        <f t="shared" si="337"/>
        <v>-</v>
      </c>
      <c r="AN438" s="814" t="str">
        <f t="shared" ca="1" si="338"/>
        <v>-</v>
      </c>
      <c r="AO438" s="815">
        <v>1</v>
      </c>
      <c r="AP438" s="816" t="str">
        <f t="shared" ca="1" si="339"/>
        <v>-</v>
      </c>
      <c r="AQ438" s="817"/>
      <c r="AR438" s="794" t="str">
        <f t="shared" si="340"/>
        <v>-</v>
      </c>
      <c r="AS438" s="818"/>
      <c r="AT438" s="794" t="str">
        <f t="shared" si="341"/>
        <v>-</v>
      </c>
      <c r="AU438" s="819">
        <v>1</v>
      </c>
      <c r="AV438" s="820"/>
      <c r="AW438" s="821"/>
      <c r="AX438" s="821"/>
      <c r="AY438" s="969" t="str">
        <f t="shared" si="342"/>
        <v>-</v>
      </c>
      <c r="AZ438" s="966" t="str">
        <f t="shared" si="343"/>
        <v>-</v>
      </c>
      <c r="BA438" s="971" t="str">
        <f t="shared" si="344"/>
        <v>-</v>
      </c>
      <c r="BB438" s="975"/>
      <c r="BC438" s="821"/>
      <c r="BD438" s="821"/>
      <c r="BE438" s="963" t="str">
        <f t="shared" si="345"/>
        <v>-</v>
      </c>
      <c r="BF438" s="984"/>
      <c r="BG438" s="988"/>
      <c r="BH438" s="982"/>
      <c r="BI438" s="991"/>
      <c r="BJ438" s="991"/>
      <c r="BK438" s="993" t="str">
        <f t="shared" si="346"/>
        <v>-</v>
      </c>
      <c r="BL438" s="820">
        <v>42982</v>
      </c>
      <c r="BM438" s="821">
        <v>5</v>
      </c>
      <c r="BN438" s="822">
        <f t="shared" ca="1" si="347"/>
        <v>152</v>
      </c>
      <c r="BO438" s="823">
        <f t="shared" si="348"/>
        <v>40.633333333333333</v>
      </c>
      <c r="BP438" s="824">
        <v>43001</v>
      </c>
      <c r="BQ438" s="821">
        <v>2</v>
      </c>
      <c r="BR438" s="822">
        <f t="shared" ca="1" si="349"/>
        <v>133</v>
      </c>
      <c r="BS438" s="823">
        <f t="shared" si="350"/>
        <v>15.033333333333333</v>
      </c>
      <c r="BT438" s="825" t="str">
        <f t="shared" ca="1" si="351"/>
        <v>-</v>
      </c>
      <c r="BU438" s="826"/>
      <c r="BV438" s="827"/>
      <c r="BW438" s="828" t="str">
        <f t="shared" si="352"/>
        <v>Ж-Е НЕ ВАКЦ.</v>
      </c>
      <c r="BX438" s="829" t="str">
        <f t="shared" si="353"/>
        <v>-</v>
      </c>
      <c r="BY438" s="830" t="str">
        <f t="shared" ca="1" si="354"/>
        <v>-</v>
      </c>
      <c r="BZ438" s="831">
        <v>42887</v>
      </c>
      <c r="CA438" s="832">
        <v>5</v>
      </c>
      <c r="CB438" s="833">
        <f t="shared" ca="1" si="355"/>
        <v>247</v>
      </c>
      <c r="CC438" s="834" t="str">
        <f t="shared" ca="1" si="356"/>
        <v>-</v>
      </c>
      <c r="CD438" s="835">
        <f t="shared" si="357"/>
        <v>42908</v>
      </c>
      <c r="CE438" s="831">
        <v>42908</v>
      </c>
      <c r="CF438" s="832">
        <v>5</v>
      </c>
      <c r="CG438" s="833">
        <f t="shared" ca="1" si="358"/>
        <v>226</v>
      </c>
      <c r="CH438" s="836">
        <f t="shared" si="359"/>
        <v>0</v>
      </c>
      <c r="CI438" s="837" t="str">
        <f t="shared" si="360"/>
        <v>УСПЕШНО</v>
      </c>
      <c r="CJ438" s="838" t="str">
        <f t="shared" ca="1" si="361"/>
        <v>-</v>
      </c>
      <c r="CK438" s="831"/>
      <c r="CL438" s="832"/>
      <c r="CM438" s="833" t="str">
        <f t="shared" si="362"/>
        <v>-</v>
      </c>
      <c r="CN438" s="834" t="str">
        <f t="shared" si="363"/>
        <v>-</v>
      </c>
      <c r="CO438" s="830" t="str">
        <f t="shared" ca="1" si="364"/>
        <v>-</v>
      </c>
      <c r="CP438" s="831">
        <v>42958</v>
      </c>
      <c r="CQ438" s="832">
        <v>2</v>
      </c>
      <c r="CR438" s="833">
        <f t="shared" si="365"/>
        <v>-89</v>
      </c>
      <c r="CS438" s="833">
        <f t="shared" ca="1" si="366"/>
        <v>176</v>
      </c>
      <c r="CT438" s="834" t="str">
        <f t="shared" ca="1" si="367"/>
        <v>-</v>
      </c>
      <c r="CU438" s="835">
        <f t="shared" si="368"/>
        <v>42979</v>
      </c>
      <c r="CV438" s="831">
        <v>42980</v>
      </c>
      <c r="CW438" s="832">
        <v>2</v>
      </c>
      <c r="CX438" s="833">
        <f t="shared" si="369"/>
        <v>1</v>
      </c>
      <c r="CY438" s="840" t="str">
        <f t="shared" si="370"/>
        <v>-</v>
      </c>
      <c r="CZ438" s="833">
        <f t="shared" si="371"/>
        <v>-67</v>
      </c>
      <c r="DA438" s="838" t="str">
        <f t="shared" ca="1" si="372"/>
        <v>-</v>
      </c>
      <c r="DB438" s="841"/>
      <c r="DC438" s="832"/>
    </row>
    <row r="439" spans="1:107" s="842" customFormat="1" ht="15.95" customHeight="1" x14ac:dyDescent="0.25">
      <c r="A439" s="790">
        <v>440</v>
      </c>
      <c r="B439" s="791">
        <f t="shared" ca="1" si="321"/>
        <v>43134</v>
      </c>
      <c r="C439" s="29" t="s">
        <v>615</v>
      </c>
      <c r="D439" s="59" t="s">
        <v>908</v>
      </c>
      <c r="E439" s="794" t="s">
        <v>1303</v>
      </c>
      <c r="F439" s="854" t="s">
        <v>1184</v>
      </c>
      <c r="G439" s="796">
        <f>SUMIFS(МОЛОКО!L8:L6958,МОЛОКО!F8:F6958,"2231",МОЛОКО!L8:L6958,"&gt;0")</f>
        <v>22.9</v>
      </c>
      <c r="H439" s="797" t="s">
        <v>603</v>
      </c>
      <c r="I439" s="798">
        <v>41782</v>
      </c>
      <c r="J439" s="799">
        <f t="shared" ca="1" si="322"/>
        <v>3.7041095890410958</v>
      </c>
      <c r="K439" s="799">
        <f t="shared" ca="1" si="323"/>
        <v>45.06666666666667</v>
      </c>
      <c r="L439" s="800">
        <f t="shared" ca="1" si="324"/>
        <v>1352</v>
      </c>
      <c r="M439" s="801">
        <v>42583</v>
      </c>
      <c r="N439" s="802">
        <v>43030</v>
      </c>
      <c r="O439" s="803">
        <f t="shared" ca="1" si="325"/>
        <v>104</v>
      </c>
      <c r="P439" s="804">
        <v>2</v>
      </c>
      <c r="Q439" s="805"/>
      <c r="R439" s="806"/>
      <c r="S439" s="807"/>
      <c r="T439" s="798"/>
      <c r="U439" s="798" t="str">
        <f t="shared" si="326"/>
        <v>-</v>
      </c>
      <c r="V439" s="804" t="str">
        <f t="shared" ca="1" si="327"/>
        <v>-</v>
      </c>
      <c r="W439" s="808">
        <v>0</v>
      </c>
      <c r="X439" s="794" t="str">
        <f t="shared" si="373"/>
        <v>-</v>
      </c>
      <c r="Y439" s="794">
        <v>0</v>
      </c>
      <c r="Z439" s="809" t="str">
        <f t="shared" ca="1" si="328"/>
        <v>-----</v>
      </c>
      <c r="AA439" s="810">
        <f t="shared" ca="1" si="329"/>
        <v>43134</v>
      </c>
      <c r="AB439" s="804"/>
      <c r="AC439" s="811" t="str">
        <f t="shared" ca="1" si="330"/>
        <v>-----</v>
      </c>
      <c r="AD439" s="798"/>
      <c r="AE439" s="794" t="str">
        <f t="shared" ca="1" si="331"/>
        <v>-</v>
      </c>
      <c r="AF439" s="798" t="str">
        <f t="shared" si="332"/>
        <v>-</v>
      </c>
      <c r="AG439" s="812" t="str">
        <f t="shared" si="333"/>
        <v>---------</v>
      </c>
      <c r="AH439" s="807"/>
      <c r="AI439" s="807" t="str">
        <f t="shared" si="334"/>
        <v>-</v>
      </c>
      <c r="AJ439" s="807" t="str">
        <f t="shared" si="335"/>
        <v>-</v>
      </c>
      <c r="AK439" s="813"/>
      <c r="AL439" s="807" t="str">
        <f t="shared" si="336"/>
        <v>-</v>
      </c>
      <c r="AM439" s="807" t="str">
        <f t="shared" si="337"/>
        <v>-</v>
      </c>
      <c r="AN439" s="814" t="str">
        <f t="shared" ca="1" si="338"/>
        <v>-</v>
      </c>
      <c r="AO439" s="815">
        <v>1</v>
      </c>
      <c r="AP439" s="816" t="str">
        <f t="shared" ca="1" si="339"/>
        <v>-</v>
      </c>
      <c r="AQ439" s="817"/>
      <c r="AR439" s="794" t="str">
        <f t="shared" si="340"/>
        <v>-</v>
      </c>
      <c r="AS439" s="818"/>
      <c r="AT439" s="794" t="str">
        <f t="shared" si="341"/>
        <v>-</v>
      </c>
      <c r="AU439" s="819">
        <v>1</v>
      </c>
      <c r="AV439" s="820"/>
      <c r="AW439" s="821"/>
      <c r="AX439" s="821"/>
      <c r="AY439" s="969" t="str">
        <f t="shared" si="342"/>
        <v>-</v>
      </c>
      <c r="AZ439" s="966" t="str">
        <f t="shared" si="343"/>
        <v>-</v>
      </c>
      <c r="BA439" s="971" t="str">
        <f t="shared" si="344"/>
        <v>-</v>
      </c>
      <c r="BB439" s="975"/>
      <c r="BC439" s="821"/>
      <c r="BD439" s="821"/>
      <c r="BE439" s="963" t="str">
        <f t="shared" si="345"/>
        <v>-</v>
      </c>
      <c r="BF439" s="984"/>
      <c r="BG439" s="988"/>
      <c r="BH439" s="982"/>
      <c r="BI439" s="991"/>
      <c r="BJ439" s="991"/>
      <c r="BK439" s="993" t="str">
        <f t="shared" si="346"/>
        <v>-</v>
      </c>
      <c r="BL439" s="820">
        <v>42981</v>
      </c>
      <c r="BM439" s="821">
        <v>5</v>
      </c>
      <c r="BN439" s="822">
        <f t="shared" ca="1" si="347"/>
        <v>153</v>
      </c>
      <c r="BO439" s="823">
        <f t="shared" si="348"/>
        <v>39.966666666666669</v>
      </c>
      <c r="BP439" s="824"/>
      <c r="BQ439" s="821"/>
      <c r="BR439" s="822" t="str">
        <f t="shared" si="349"/>
        <v>-</v>
      </c>
      <c r="BS439" s="823" t="str">
        <f t="shared" si="350"/>
        <v>-</v>
      </c>
      <c r="BT439" s="825" t="str">
        <f t="shared" ca="1" si="351"/>
        <v>-</v>
      </c>
      <c r="BU439" s="826"/>
      <c r="BV439" s="827"/>
      <c r="BW439" s="828" t="str">
        <f t="shared" si="352"/>
        <v>Ж-Е НЕ ВАКЦ.</v>
      </c>
      <c r="BX439" s="829" t="str">
        <f t="shared" si="353"/>
        <v>-</v>
      </c>
      <c r="BY439" s="830" t="str">
        <f t="shared" ca="1" si="354"/>
        <v>-</v>
      </c>
      <c r="BZ439" s="831">
        <v>42887</v>
      </c>
      <c r="CA439" s="832">
        <v>5</v>
      </c>
      <c r="CB439" s="833">
        <f t="shared" ca="1" si="355"/>
        <v>247</v>
      </c>
      <c r="CC439" s="834" t="str">
        <f t="shared" ca="1" si="356"/>
        <v>-</v>
      </c>
      <c r="CD439" s="835">
        <f t="shared" si="357"/>
        <v>42908</v>
      </c>
      <c r="CE439" s="831">
        <v>42908</v>
      </c>
      <c r="CF439" s="832">
        <v>5</v>
      </c>
      <c r="CG439" s="833">
        <f t="shared" ca="1" si="358"/>
        <v>226</v>
      </c>
      <c r="CH439" s="836">
        <f t="shared" si="359"/>
        <v>0</v>
      </c>
      <c r="CI439" s="837" t="str">
        <f t="shared" si="360"/>
        <v>УСПЕШНО</v>
      </c>
      <c r="CJ439" s="838" t="str">
        <f t="shared" ca="1" si="361"/>
        <v>-</v>
      </c>
      <c r="CK439" s="831"/>
      <c r="CL439" s="832"/>
      <c r="CM439" s="833" t="str">
        <f t="shared" si="362"/>
        <v>-</v>
      </c>
      <c r="CN439" s="834" t="str">
        <f t="shared" si="363"/>
        <v>-</v>
      </c>
      <c r="CO439" s="830" t="str">
        <f t="shared" ca="1" si="364"/>
        <v>-</v>
      </c>
      <c r="CP439" s="831">
        <v>42989</v>
      </c>
      <c r="CQ439" s="832">
        <v>2</v>
      </c>
      <c r="CR439" s="833">
        <f t="shared" si="365"/>
        <v>42989</v>
      </c>
      <c r="CS439" s="833">
        <f t="shared" ca="1" si="366"/>
        <v>145</v>
      </c>
      <c r="CT439" s="834" t="str">
        <f t="shared" ca="1" si="367"/>
        <v>-</v>
      </c>
      <c r="CU439" s="835">
        <f t="shared" si="368"/>
        <v>43010</v>
      </c>
      <c r="CV439" s="831">
        <v>43011</v>
      </c>
      <c r="CW439" s="832">
        <v>2</v>
      </c>
      <c r="CX439" s="833">
        <f t="shared" si="369"/>
        <v>1</v>
      </c>
      <c r="CY439" s="840" t="str">
        <f t="shared" si="370"/>
        <v>-</v>
      </c>
      <c r="CZ439" s="833">
        <f t="shared" si="371"/>
        <v>43011</v>
      </c>
      <c r="DA439" s="838" t="str">
        <f t="shared" ca="1" si="372"/>
        <v>-</v>
      </c>
      <c r="DB439" s="841"/>
      <c r="DC439" s="832"/>
    </row>
    <row r="440" spans="1:107" s="842" customFormat="1" ht="15.95" customHeight="1" x14ac:dyDescent="0.25">
      <c r="A440" s="790">
        <v>441</v>
      </c>
      <c r="B440" s="791">
        <f t="shared" ca="1" si="321"/>
        <v>43134</v>
      </c>
      <c r="C440" s="792" t="s">
        <v>615</v>
      </c>
      <c r="D440" s="793" t="s">
        <v>908</v>
      </c>
      <c r="E440" s="794" t="s">
        <v>1114</v>
      </c>
      <c r="F440" s="854" t="s">
        <v>1192</v>
      </c>
      <c r="G440" s="796">
        <f>SUMIFS(МОЛОКО!L8:L6958,МОЛОКО!F8:F6958,"2243",МОЛОКО!L8:L6958,"&gt;0")</f>
        <v>32</v>
      </c>
      <c r="H440" s="797" t="s">
        <v>603</v>
      </c>
      <c r="I440" s="798">
        <v>41794</v>
      </c>
      <c r="J440" s="799">
        <f t="shared" ca="1" si="322"/>
        <v>3.6712328767123288</v>
      </c>
      <c r="K440" s="799">
        <f t="shared" ca="1" si="323"/>
        <v>44.666666666666664</v>
      </c>
      <c r="L440" s="800">
        <f t="shared" ca="1" si="324"/>
        <v>1340</v>
      </c>
      <c r="M440" s="801">
        <v>42559</v>
      </c>
      <c r="N440" s="802">
        <v>42895</v>
      </c>
      <c r="O440" s="803">
        <f t="shared" ca="1" si="325"/>
        <v>239</v>
      </c>
      <c r="P440" s="804">
        <v>2</v>
      </c>
      <c r="Q440" s="805" t="s">
        <v>1451</v>
      </c>
      <c r="R440" s="806" t="s">
        <v>2962</v>
      </c>
      <c r="S440" s="807">
        <v>42957</v>
      </c>
      <c r="T440" s="798">
        <v>42957</v>
      </c>
      <c r="U440" s="798" t="str">
        <f t="shared" si="326"/>
        <v>-</v>
      </c>
      <c r="V440" s="804" t="str">
        <f t="shared" ca="1" si="327"/>
        <v>-</v>
      </c>
      <c r="W440" s="808">
        <v>1</v>
      </c>
      <c r="X440" s="794">
        <f t="shared" si="373"/>
        <v>62</v>
      </c>
      <c r="Y440" s="794">
        <v>1</v>
      </c>
      <c r="Z440" s="809" t="str">
        <f t="shared" ca="1" si="328"/>
        <v>-----</v>
      </c>
      <c r="AA440" s="810" t="str">
        <f t="shared" ca="1" si="329"/>
        <v>-----</v>
      </c>
      <c r="AB440" s="804">
        <v>1</v>
      </c>
      <c r="AC440" s="811" t="str">
        <f t="shared" ca="1" si="330"/>
        <v>-----</v>
      </c>
      <c r="AD440" s="798">
        <v>43011</v>
      </c>
      <c r="AE440" s="794" t="str">
        <f t="shared" ca="1" si="331"/>
        <v>-</v>
      </c>
      <c r="AF440" s="798" t="str">
        <f t="shared" si="332"/>
        <v>-</v>
      </c>
      <c r="AG440" s="812" t="str">
        <f t="shared" si="333"/>
        <v>---------</v>
      </c>
      <c r="AH440" s="807">
        <v>42995</v>
      </c>
      <c r="AI440" s="807">
        <f t="shared" si="334"/>
        <v>43147</v>
      </c>
      <c r="AJ440" s="807">
        <f t="shared" si="335"/>
        <v>43177</v>
      </c>
      <c r="AK440" s="813"/>
      <c r="AL440" s="807">
        <f t="shared" si="336"/>
        <v>43216</v>
      </c>
      <c r="AM440" s="807">
        <f t="shared" si="337"/>
        <v>43237</v>
      </c>
      <c r="AN440" s="814">
        <f t="shared" ca="1" si="338"/>
        <v>-103</v>
      </c>
      <c r="AO440" s="815">
        <v>1</v>
      </c>
      <c r="AP440" s="816" t="str">
        <f t="shared" ca="1" si="339"/>
        <v>-</v>
      </c>
      <c r="AQ440" s="817"/>
      <c r="AR440" s="794" t="str">
        <f t="shared" si="340"/>
        <v>-</v>
      </c>
      <c r="AS440" s="818"/>
      <c r="AT440" s="794" t="str">
        <f t="shared" si="341"/>
        <v>-</v>
      </c>
      <c r="AU440" s="819">
        <v>1</v>
      </c>
      <c r="AV440" s="820"/>
      <c r="AW440" s="821"/>
      <c r="AX440" s="821"/>
      <c r="AY440" s="969" t="str">
        <f t="shared" si="342"/>
        <v>-</v>
      </c>
      <c r="AZ440" s="966" t="str">
        <f t="shared" si="343"/>
        <v>-</v>
      </c>
      <c r="BA440" s="971" t="str">
        <f t="shared" si="344"/>
        <v>-</v>
      </c>
      <c r="BB440" s="975"/>
      <c r="BC440" s="821"/>
      <c r="BD440" s="821"/>
      <c r="BE440" s="963" t="str">
        <f t="shared" si="345"/>
        <v>-</v>
      </c>
      <c r="BF440" s="984"/>
      <c r="BG440" s="988"/>
      <c r="BH440" s="982"/>
      <c r="BI440" s="991"/>
      <c r="BJ440" s="991"/>
      <c r="BK440" s="993" t="str">
        <f t="shared" si="346"/>
        <v>-</v>
      </c>
      <c r="BL440" s="820">
        <v>42979</v>
      </c>
      <c r="BM440" s="821">
        <v>5</v>
      </c>
      <c r="BN440" s="822">
        <f t="shared" ca="1" si="347"/>
        <v>155</v>
      </c>
      <c r="BO440" s="823">
        <f t="shared" si="348"/>
        <v>39.5</v>
      </c>
      <c r="BP440" s="824">
        <v>43001</v>
      </c>
      <c r="BQ440" s="821">
        <v>2</v>
      </c>
      <c r="BR440" s="822">
        <f t="shared" ca="1" si="349"/>
        <v>133</v>
      </c>
      <c r="BS440" s="823">
        <f t="shared" si="350"/>
        <v>14.733333333333333</v>
      </c>
      <c r="BT440" s="825" t="str">
        <f t="shared" ca="1" si="351"/>
        <v>-</v>
      </c>
      <c r="BU440" s="826"/>
      <c r="BV440" s="827"/>
      <c r="BW440" s="828" t="str">
        <f t="shared" si="352"/>
        <v>Ж-Е НЕ ВАКЦ.</v>
      </c>
      <c r="BX440" s="829" t="str">
        <f t="shared" si="353"/>
        <v>-</v>
      </c>
      <c r="BY440" s="830" t="str">
        <f t="shared" ca="1" si="354"/>
        <v>-</v>
      </c>
      <c r="BZ440" s="831">
        <v>42916</v>
      </c>
      <c r="CA440" s="832">
        <v>5</v>
      </c>
      <c r="CB440" s="833">
        <f t="shared" ca="1" si="355"/>
        <v>218</v>
      </c>
      <c r="CC440" s="834" t="str">
        <f t="shared" ca="1" si="356"/>
        <v>-</v>
      </c>
      <c r="CD440" s="835">
        <f t="shared" si="357"/>
        <v>42937</v>
      </c>
      <c r="CE440" s="831">
        <v>42937</v>
      </c>
      <c r="CF440" s="832">
        <v>5</v>
      </c>
      <c r="CG440" s="833">
        <f t="shared" ca="1" si="358"/>
        <v>197</v>
      </c>
      <c r="CH440" s="836">
        <f t="shared" si="359"/>
        <v>0</v>
      </c>
      <c r="CI440" s="837" t="str">
        <f t="shared" si="360"/>
        <v>УСПЕШНО</v>
      </c>
      <c r="CJ440" s="838" t="str">
        <f t="shared" ca="1" si="361"/>
        <v>-</v>
      </c>
      <c r="CK440" s="831"/>
      <c r="CL440" s="832"/>
      <c r="CM440" s="833" t="str">
        <f t="shared" si="362"/>
        <v>-</v>
      </c>
      <c r="CN440" s="834" t="str">
        <f t="shared" si="363"/>
        <v>-</v>
      </c>
      <c r="CO440" s="830" t="str">
        <f t="shared" ca="1" si="364"/>
        <v>-</v>
      </c>
      <c r="CP440" s="839"/>
      <c r="CQ440" s="832"/>
      <c r="CR440" s="833" t="str">
        <f t="shared" si="365"/>
        <v>-</v>
      </c>
      <c r="CS440" s="833" t="str">
        <f t="shared" si="366"/>
        <v>-</v>
      </c>
      <c r="CT440" s="834" t="str">
        <f t="shared" si="367"/>
        <v>-</v>
      </c>
      <c r="CU440" s="835" t="str">
        <f t="shared" si="368"/>
        <v>-</v>
      </c>
      <c r="CV440" s="839"/>
      <c r="CW440" s="832"/>
      <c r="CX440" s="833" t="str">
        <f t="shared" si="369"/>
        <v>-</v>
      </c>
      <c r="CY440" s="840" t="str">
        <f t="shared" si="370"/>
        <v>-</v>
      </c>
      <c r="CZ440" s="833" t="str">
        <f t="shared" si="371"/>
        <v>-</v>
      </c>
      <c r="DA440" s="838" t="str">
        <f t="shared" ca="1" si="372"/>
        <v>-</v>
      </c>
      <c r="DB440" s="841"/>
      <c r="DC440" s="832"/>
    </row>
    <row r="441" spans="1:107" s="842" customFormat="1" ht="15.95" customHeight="1" x14ac:dyDescent="0.25">
      <c r="A441" s="790">
        <v>442</v>
      </c>
      <c r="B441" s="791">
        <f t="shared" ca="1" si="321"/>
        <v>43134</v>
      </c>
      <c r="C441" s="29" t="s">
        <v>615</v>
      </c>
      <c r="D441" s="793" t="s">
        <v>908</v>
      </c>
      <c r="E441" s="794" t="s">
        <v>1311</v>
      </c>
      <c r="F441" s="854" t="s">
        <v>1193</v>
      </c>
      <c r="G441" s="796">
        <f>SUMIFS(МОЛОКО!L8:L6958,МОЛОКО!F8:F6958,"2245",МОЛОКО!L8:L6958,"&gt;0")</f>
        <v>27</v>
      </c>
      <c r="H441" s="797" t="s">
        <v>603</v>
      </c>
      <c r="I441" s="798">
        <v>41795</v>
      </c>
      <c r="J441" s="799">
        <f t="shared" ca="1" si="322"/>
        <v>3.6684931506849314</v>
      </c>
      <c r="K441" s="799">
        <f t="shared" ca="1" si="323"/>
        <v>44.633333333333333</v>
      </c>
      <c r="L441" s="800">
        <f t="shared" ca="1" si="324"/>
        <v>1339</v>
      </c>
      <c r="M441" s="801">
        <v>42566</v>
      </c>
      <c r="N441" s="802">
        <v>43013</v>
      </c>
      <c r="O441" s="803">
        <f t="shared" ca="1" si="325"/>
        <v>121</v>
      </c>
      <c r="P441" s="804">
        <v>2</v>
      </c>
      <c r="Q441" s="805"/>
      <c r="R441" s="806"/>
      <c r="S441" s="807"/>
      <c r="T441" s="798"/>
      <c r="U441" s="798" t="str">
        <f t="shared" si="326"/>
        <v>-</v>
      </c>
      <c r="V441" s="804" t="str">
        <f t="shared" ca="1" si="327"/>
        <v>-</v>
      </c>
      <c r="W441" s="808">
        <v>0</v>
      </c>
      <c r="X441" s="794" t="str">
        <f t="shared" si="373"/>
        <v>-</v>
      </c>
      <c r="Y441" s="794">
        <v>0</v>
      </c>
      <c r="Z441" s="809" t="str">
        <f t="shared" ca="1" si="328"/>
        <v>-----</v>
      </c>
      <c r="AA441" s="810">
        <f t="shared" ca="1" si="329"/>
        <v>43134</v>
      </c>
      <c r="AB441" s="804"/>
      <c r="AC441" s="811" t="str">
        <f t="shared" ca="1" si="330"/>
        <v>-----</v>
      </c>
      <c r="AD441" s="798"/>
      <c r="AE441" s="794" t="str">
        <f t="shared" ca="1" si="331"/>
        <v>яловая</v>
      </c>
      <c r="AF441" s="798" t="str">
        <f t="shared" si="332"/>
        <v>-</v>
      </c>
      <c r="AG441" s="812" t="str">
        <f t="shared" si="333"/>
        <v>---------</v>
      </c>
      <c r="AH441" s="807"/>
      <c r="AI441" s="807" t="str">
        <f t="shared" si="334"/>
        <v>-</v>
      </c>
      <c r="AJ441" s="807" t="str">
        <f t="shared" si="335"/>
        <v>-</v>
      </c>
      <c r="AK441" s="813"/>
      <c r="AL441" s="807" t="str">
        <f t="shared" si="336"/>
        <v>-</v>
      </c>
      <c r="AM441" s="807" t="str">
        <f t="shared" si="337"/>
        <v>-</v>
      </c>
      <c r="AN441" s="814" t="str">
        <f t="shared" ca="1" si="338"/>
        <v>-</v>
      </c>
      <c r="AO441" s="815">
        <v>1</v>
      </c>
      <c r="AP441" s="816" t="str">
        <f t="shared" ca="1" si="339"/>
        <v>-</v>
      </c>
      <c r="AQ441" s="817"/>
      <c r="AR441" s="794" t="str">
        <f t="shared" si="340"/>
        <v>-</v>
      </c>
      <c r="AS441" s="818"/>
      <c r="AT441" s="794" t="str">
        <f t="shared" si="341"/>
        <v>-</v>
      </c>
      <c r="AU441" s="819">
        <v>1</v>
      </c>
      <c r="AV441" s="820"/>
      <c r="AW441" s="821"/>
      <c r="AX441" s="821"/>
      <c r="AY441" s="969" t="str">
        <f t="shared" si="342"/>
        <v>-</v>
      </c>
      <c r="AZ441" s="966" t="str">
        <f t="shared" si="343"/>
        <v>-</v>
      </c>
      <c r="BA441" s="971" t="str">
        <f t="shared" si="344"/>
        <v>-</v>
      </c>
      <c r="BB441" s="975"/>
      <c r="BC441" s="821"/>
      <c r="BD441" s="821"/>
      <c r="BE441" s="963" t="str">
        <f t="shared" si="345"/>
        <v>-</v>
      </c>
      <c r="BF441" s="984"/>
      <c r="BG441" s="988"/>
      <c r="BH441" s="982"/>
      <c r="BI441" s="991"/>
      <c r="BJ441" s="991"/>
      <c r="BK441" s="993" t="str">
        <f t="shared" si="346"/>
        <v>-</v>
      </c>
      <c r="BL441" s="820">
        <v>42978</v>
      </c>
      <c r="BM441" s="821">
        <v>5</v>
      </c>
      <c r="BN441" s="822">
        <f t="shared" ca="1" si="347"/>
        <v>156</v>
      </c>
      <c r="BO441" s="823">
        <f t="shared" si="348"/>
        <v>39.43333333333333</v>
      </c>
      <c r="BP441" s="824">
        <v>43001</v>
      </c>
      <c r="BQ441" s="821">
        <v>2</v>
      </c>
      <c r="BR441" s="822">
        <f t="shared" ca="1" si="349"/>
        <v>133</v>
      </c>
      <c r="BS441" s="823">
        <f t="shared" si="350"/>
        <v>14.5</v>
      </c>
      <c r="BT441" s="825" t="str">
        <f t="shared" ca="1" si="351"/>
        <v>-</v>
      </c>
      <c r="BU441" s="826"/>
      <c r="BV441" s="827"/>
      <c r="BW441" s="828" t="str">
        <f t="shared" si="352"/>
        <v>Ж-Е НЕ ВАКЦ.</v>
      </c>
      <c r="BX441" s="829" t="str">
        <f t="shared" si="353"/>
        <v>-</v>
      </c>
      <c r="BY441" s="830" t="str">
        <f t="shared" ca="1" si="354"/>
        <v>-</v>
      </c>
      <c r="BZ441" s="831">
        <v>42887</v>
      </c>
      <c r="CA441" s="832">
        <v>5</v>
      </c>
      <c r="CB441" s="833">
        <f t="shared" ca="1" si="355"/>
        <v>247</v>
      </c>
      <c r="CC441" s="834" t="str">
        <f t="shared" ca="1" si="356"/>
        <v>-</v>
      </c>
      <c r="CD441" s="835">
        <f t="shared" si="357"/>
        <v>42908</v>
      </c>
      <c r="CE441" s="831">
        <v>42908</v>
      </c>
      <c r="CF441" s="832">
        <v>5</v>
      </c>
      <c r="CG441" s="833">
        <f t="shared" ca="1" si="358"/>
        <v>226</v>
      </c>
      <c r="CH441" s="836">
        <f t="shared" si="359"/>
        <v>0</v>
      </c>
      <c r="CI441" s="837" t="str">
        <f t="shared" si="360"/>
        <v>УСПЕШНО</v>
      </c>
      <c r="CJ441" s="838" t="str">
        <f t="shared" ca="1" si="361"/>
        <v>-</v>
      </c>
      <c r="CK441" s="831"/>
      <c r="CL441" s="832"/>
      <c r="CM441" s="833" t="str">
        <f t="shared" si="362"/>
        <v>-</v>
      </c>
      <c r="CN441" s="834" t="str">
        <f t="shared" si="363"/>
        <v>-</v>
      </c>
      <c r="CO441" s="830" t="str">
        <f t="shared" ca="1" si="364"/>
        <v>-</v>
      </c>
      <c r="CP441" s="831">
        <v>42958</v>
      </c>
      <c r="CQ441" s="832">
        <v>2</v>
      </c>
      <c r="CR441" s="833">
        <f t="shared" si="365"/>
        <v>42958</v>
      </c>
      <c r="CS441" s="833">
        <f t="shared" ca="1" si="366"/>
        <v>176</v>
      </c>
      <c r="CT441" s="834" t="str">
        <f t="shared" ca="1" si="367"/>
        <v>-</v>
      </c>
      <c r="CU441" s="835">
        <f t="shared" si="368"/>
        <v>42979</v>
      </c>
      <c r="CV441" s="831">
        <v>42980</v>
      </c>
      <c r="CW441" s="832">
        <v>2</v>
      </c>
      <c r="CX441" s="833">
        <f t="shared" si="369"/>
        <v>1</v>
      </c>
      <c r="CY441" s="840" t="str">
        <f t="shared" si="370"/>
        <v>-</v>
      </c>
      <c r="CZ441" s="833">
        <f t="shared" si="371"/>
        <v>42980</v>
      </c>
      <c r="DA441" s="838" t="str">
        <f t="shared" ca="1" si="372"/>
        <v>-</v>
      </c>
      <c r="DB441" s="841"/>
      <c r="DC441" s="832"/>
    </row>
    <row r="442" spans="1:107" s="842" customFormat="1" ht="15.95" customHeight="1" x14ac:dyDescent="0.25">
      <c r="A442" s="790">
        <v>443</v>
      </c>
      <c r="B442" s="791">
        <f t="shared" ca="1" si="321"/>
        <v>43134</v>
      </c>
      <c r="C442" s="792" t="s">
        <v>615</v>
      </c>
      <c r="D442" s="793" t="s">
        <v>908</v>
      </c>
      <c r="E442" s="794" t="s">
        <v>1317</v>
      </c>
      <c r="F442" s="854" t="s">
        <v>1199</v>
      </c>
      <c r="G442" s="796">
        <f>SUMIFS(МОЛОКО!L8:L6958,МОЛОКО!F8:F6958,"2263",МОЛОКО!L8:L6958,"&gt;0")</f>
        <v>34</v>
      </c>
      <c r="H442" s="797" t="s">
        <v>603</v>
      </c>
      <c r="I442" s="798">
        <v>41804</v>
      </c>
      <c r="J442" s="799">
        <f t="shared" ca="1" si="322"/>
        <v>3.6438356164383561</v>
      </c>
      <c r="K442" s="799">
        <f t="shared" ca="1" si="323"/>
        <v>44.333333333333336</v>
      </c>
      <c r="L442" s="800">
        <f t="shared" ca="1" si="324"/>
        <v>1330</v>
      </c>
      <c r="M442" s="801">
        <v>42595</v>
      </c>
      <c r="N442" s="802">
        <v>42974</v>
      </c>
      <c r="O442" s="803">
        <f t="shared" ca="1" si="325"/>
        <v>160</v>
      </c>
      <c r="P442" s="804">
        <v>2</v>
      </c>
      <c r="Q442" s="68" t="s">
        <v>1451</v>
      </c>
      <c r="R442" s="118" t="s">
        <v>2962</v>
      </c>
      <c r="S442" s="807">
        <v>43034</v>
      </c>
      <c r="T442" s="798">
        <v>43034</v>
      </c>
      <c r="U442" s="798">
        <f t="shared" si="326"/>
        <v>43052</v>
      </c>
      <c r="V442" s="804">
        <f t="shared" ca="1" si="327"/>
        <v>82</v>
      </c>
      <c r="W442" s="808">
        <v>1</v>
      </c>
      <c r="X442" s="794">
        <f t="shared" si="373"/>
        <v>60</v>
      </c>
      <c r="Y442" s="794">
        <v>3</v>
      </c>
      <c r="Z442" s="809" t="str">
        <f t="shared" ca="1" si="328"/>
        <v>-----</v>
      </c>
      <c r="AA442" s="810">
        <f t="shared" ca="1" si="329"/>
        <v>100</v>
      </c>
      <c r="AB442" s="804"/>
      <c r="AC442" s="811" t="str">
        <f t="shared" ca="1" si="330"/>
        <v>-----</v>
      </c>
      <c r="AD442" s="798"/>
      <c r="AE442" s="794" t="str">
        <f t="shared" ca="1" si="331"/>
        <v>-</v>
      </c>
      <c r="AF442" s="798">
        <f t="shared" si="332"/>
        <v>43069</v>
      </c>
      <c r="AG442" s="812">
        <f t="shared" ca="1" si="333"/>
        <v>65</v>
      </c>
      <c r="AH442" s="807"/>
      <c r="AI442" s="807" t="str">
        <f t="shared" si="334"/>
        <v>-</v>
      </c>
      <c r="AJ442" s="807" t="str">
        <f t="shared" si="335"/>
        <v>-</v>
      </c>
      <c r="AK442" s="813"/>
      <c r="AL442" s="807" t="str">
        <f t="shared" si="336"/>
        <v>-</v>
      </c>
      <c r="AM442" s="807" t="str">
        <f t="shared" si="337"/>
        <v>-</v>
      </c>
      <c r="AN442" s="814" t="str">
        <f t="shared" ca="1" si="338"/>
        <v>-</v>
      </c>
      <c r="AO442" s="815">
        <v>1</v>
      </c>
      <c r="AP442" s="816" t="str">
        <f t="shared" ca="1" si="339"/>
        <v>-</v>
      </c>
      <c r="AQ442" s="817"/>
      <c r="AR442" s="794" t="str">
        <f t="shared" si="340"/>
        <v>-</v>
      </c>
      <c r="AS442" s="818"/>
      <c r="AT442" s="794" t="str">
        <f t="shared" si="341"/>
        <v>-</v>
      </c>
      <c r="AU442" s="819">
        <v>1</v>
      </c>
      <c r="AV442" s="820"/>
      <c r="AW442" s="821"/>
      <c r="AX442" s="821"/>
      <c r="AY442" s="969" t="str">
        <f t="shared" si="342"/>
        <v>-</v>
      </c>
      <c r="AZ442" s="966" t="str">
        <f t="shared" si="343"/>
        <v>-</v>
      </c>
      <c r="BA442" s="971" t="str">
        <f t="shared" si="344"/>
        <v>-</v>
      </c>
      <c r="BB442" s="975"/>
      <c r="BC442" s="821"/>
      <c r="BD442" s="821"/>
      <c r="BE442" s="963" t="str">
        <f t="shared" si="345"/>
        <v>-</v>
      </c>
      <c r="BF442" s="984"/>
      <c r="BG442" s="988"/>
      <c r="BH442" s="982"/>
      <c r="BI442" s="991"/>
      <c r="BJ442" s="991"/>
      <c r="BK442" s="993" t="str">
        <f t="shared" si="346"/>
        <v>-</v>
      </c>
      <c r="BL442" s="820">
        <v>42982</v>
      </c>
      <c r="BM442" s="821">
        <v>5</v>
      </c>
      <c r="BN442" s="822">
        <f t="shared" ca="1" si="347"/>
        <v>152</v>
      </c>
      <c r="BO442" s="823">
        <f t="shared" si="348"/>
        <v>39.266666666666666</v>
      </c>
      <c r="BP442" s="824">
        <v>43001</v>
      </c>
      <c r="BQ442" s="821">
        <v>2</v>
      </c>
      <c r="BR442" s="822">
        <f t="shared" ca="1" si="349"/>
        <v>133</v>
      </c>
      <c r="BS442" s="823">
        <f t="shared" si="350"/>
        <v>13.533333333333333</v>
      </c>
      <c r="BT442" s="825" t="str">
        <f t="shared" ca="1" si="351"/>
        <v>-</v>
      </c>
      <c r="BU442" s="826"/>
      <c r="BV442" s="827"/>
      <c r="BW442" s="828" t="str">
        <f t="shared" si="352"/>
        <v>Ж-Е НЕ ВАКЦ.</v>
      </c>
      <c r="BX442" s="829" t="str">
        <f t="shared" si="353"/>
        <v>-</v>
      </c>
      <c r="BY442" s="830" t="str">
        <f t="shared" ca="1" si="354"/>
        <v>-</v>
      </c>
      <c r="BZ442" s="831">
        <v>42887</v>
      </c>
      <c r="CA442" s="832">
        <v>5</v>
      </c>
      <c r="CB442" s="833">
        <f t="shared" ca="1" si="355"/>
        <v>247</v>
      </c>
      <c r="CC442" s="834" t="str">
        <f t="shared" ca="1" si="356"/>
        <v>-</v>
      </c>
      <c r="CD442" s="835">
        <f t="shared" si="357"/>
        <v>42908</v>
      </c>
      <c r="CE442" s="831">
        <v>42908</v>
      </c>
      <c r="CF442" s="832">
        <v>5</v>
      </c>
      <c r="CG442" s="833">
        <f t="shared" ca="1" si="358"/>
        <v>226</v>
      </c>
      <c r="CH442" s="836">
        <f t="shared" si="359"/>
        <v>0</v>
      </c>
      <c r="CI442" s="837" t="str">
        <f t="shared" si="360"/>
        <v>УСПЕШНО</v>
      </c>
      <c r="CJ442" s="838" t="str">
        <f t="shared" ca="1" si="361"/>
        <v>-</v>
      </c>
      <c r="CK442" s="831"/>
      <c r="CL442" s="832"/>
      <c r="CM442" s="833" t="str">
        <f t="shared" si="362"/>
        <v>-</v>
      </c>
      <c r="CN442" s="834" t="str">
        <f t="shared" si="363"/>
        <v>-</v>
      </c>
      <c r="CO442" s="830" t="str">
        <f t="shared" ca="1" si="364"/>
        <v>-</v>
      </c>
      <c r="CP442" s="831">
        <v>42925</v>
      </c>
      <c r="CQ442" s="832">
        <v>2</v>
      </c>
      <c r="CR442" s="833">
        <f t="shared" si="365"/>
        <v>-109</v>
      </c>
      <c r="CS442" s="833">
        <f t="shared" ca="1" si="366"/>
        <v>209</v>
      </c>
      <c r="CT442" s="834" t="str">
        <f t="shared" ca="1" si="367"/>
        <v>-</v>
      </c>
      <c r="CU442" s="835">
        <f t="shared" si="368"/>
        <v>42946</v>
      </c>
      <c r="CV442" s="831">
        <v>42946</v>
      </c>
      <c r="CW442" s="832">
        <v>2</v>
      </c>
      <c r="CX442" s="833">
        <f t="shared" si="369"/>
        <v>0</v>
      </c>
      <c r="CY442" s="840" t="str">
        <f t="shared" si="370"/>
        <v>УСПЕШНО</v>
      </c>
      <c r="CZ442" s="833">
        <f t="shared" si="371"/>
        <v>-88</v>
      </c>
      <c r="DA442" s="838" t="str">
        <f t="shared" ca="1" si="372"/>
        <v>-</v>
      </c>
      <c r="DB442" s="841"/>
      <c r="DC442" s="832"/>
    </row>
    <row r="443" spans="1:107" s="842" customFormat="1" ht="15.95" customHeight="1" x14ac:dyDescent="0.25">
      <c r="A443" s="790">
        <v>444</v>
      </c>
      <c r="B443" s="791">
        <f t="shared" ca="1" si="321"/>
        <v>43134</v>
      </c>
      <c r="C443" s="792" t="s">
        <v>615</v>
      </c>
      <c r="D443" s="793" t="s">
        <v>908</v>
      </c>
      <c r="E443" s="794" t="s">
        <v>1319</v>
      </c>
      <c r="F443" s="854" t="s">
        <v>1201</v>
      </c>
      <c r="G443" s="796">
        <f>SUMIFS(МОЛОКО!L8:L6958,МОЛОКО!F8:F6958,"2278",МОЛОКО!L8:L6958,"&gt;0")</f>
        <v>31</v>
      </c>
      <c r="H443" s="797" t="s">
        <v>603</v>
      </c>
      <c r="I443" s="798">
        <v>41823</v>
      </c>
      <c r="J443" s="799">
        <f t="shared" ca="1" si="322"/>
        <v>3.591780821917808</v>
      </c>
      <c r="K443" s="799">
        <f t="shared" ca="1" si="323"/>
        <v>43.7</v>
      </c>
      <c r="L443" s="800">
        <f t="shared" ca="1" si="324"/>
        <v>1311</v>
      </c>
      <c r="M443" s="801">
        <v>42542</v>
      </c>
      <c r="N443" s="802">
        <v>42956</v>
      </c>
      <c r="O443" s="803">
        <f t="shared" ca="1" si="325"/>
        <v>178</v>
      </c>
      <c r="P443" s="804">
        <v>2</v>
      </c>
      <c r="Q443" s="805" t="s">
        <v>2366</v>
      </c>
      <c r="R443" s="806" t="s">
        <v>2966</v>
      </c>
      <c r="S443" s="807">
        <v>43020</v>
      </c>
      <c r="T443" s="798">
        <v>43020</v>
      </c>
      <c r="U443" s="798" t="str">
        <f t="shared" si="326"/>
        <v>-</v>
      </c>
      <c r="V443" s="804" t="str">
        <f t="shared" ca="1" si="327"/>
        <v>-</v>
      </c>
      <c r="W443" s="808">
        <v>1</v>
      </c>
      <c r="X443" s="794">
        <f t="shared" si="373"/>
        <v>64</v>
      </c>
      <c r="Y443" s="794">
        <v>1</v>
      </c>
      <c r="Z443" s="809" t="str">
        <f t="shared" ca="1" si="328"/>
        <v>ПОДЛЕЖИТ ПЕРЕПРОВЕРКЕ</v>
      </c>
      <c r="AA443" s="810">
        <f t="shared" ca="1" si="329"/>
        <v>114</v>
      </c>
      <c r="AB443" s="804"/>
      <c r="AC443" s="811">
        <f t="shared" ca="1" si="330"/>
        <v>43092</v>
      </c>
      <c r="AD443" s="798"/>
      <c r="AE443" s="794" t="str">
        <f t="shared" ca="1" si="331"/>
        <v>-</v>
      </c>
      <c r="AF443" s="798" t="str">
        <f t="shared" si="332"/>
        <v>-</v>
      </c>
      <c r="AG443" s="812" t="str">
        <f t="shared" si="333"/>
        <v>---------</v>
      </c>
      <c r="AH443" s="807">
        <v>43052</v>
      </c>
      <c r="AI443" s="807">
        <f t="shared" si="334"/>
        <v>43210</v>
      </c>
      <c r="AJ443" s="807">
        <f t="shared" si="335"/>
        <v>43240</v>
      </c>
      <c r="AK443" s="813"/>
      <c r="AL443" s="807">
        <f t="shared" si="336"/>
        <v>43279</v>
      </c>
      <c r="AM443" s="807">
        <f t="shared" si="337"/>
        <v>43300</v>
      </c>
      <c r="AN443" s="814">
        <f t="shared" ca="1" si="338"/>
        <v>-166</v>
      </c>
      <c r="AO443" s="815">
        <v>1</v>
      </c>
      <c r="AP443" s="816" t="str">
        <f t="shared" ca="1" si="339"/>
        <v>-</v>
      </c>
      <c r="AQ443" s="817"/>
      <c r="AR443" s="794" t="str">
        <f t="shared" si="340"/>
        <v>-</v>
      </c>
      <c r="AS443" s="818"/>
      <c r="AT443" s="794" t="str">
        <f t="shared" si="341"/>
        <v>-</v>
      </c>
      <c r="AU443" s="819">
        <v>1</v>
      </c>
      <c r="AV443" s="820"/>
      <c r="AW443" s="821"/>
      <c r="AX443" s="821"/>
      <c r="AY443" s="969" t="str">
        <f t="shared" si="342"/>
        <v>-</v>
      </c>
      <c r="AZ443" s="966" t="str">
        <f t="shared" si="343"/>
        <v>-</v>
      </c>
      <c r="BA443" s="971" t="str">
        <f t="shared" si="344"/>
        <v>-</v>
      </c>
      <c r="BB443" s="975"/>
      <c r="BC443" s="821"/>
      <c r="BD443" s="821"/>
      <c r="BE443" s="963" t="str">
        <f t="shared" si="345"/>
        <v>-</v>
      </c>
      <c r="BF443" s="984"/>
      <c r="BG443" s="988"/>
      <c r="BH443" s="982"/>
      <c r="BI443" s="991"/>
      <c r="BJ443" s="991"/>
      <c r="BK443" s="993" t="str">
        <f t="shared" si="346"/>
        <v>-</v>
      </c>
      <c r="BL443" s="820">
        <v>42979</v>
      </c>
      <c r="BM443" s="821">
        <v>5</v>
      </c>
      <c r="BN443" s="822">
        <f t="shared" ca="1" si="347"/>
        <v>155</v>
      </c>
      <c r="BO443" s="823">
        <f t="shared" si="348"/>
        <v>38.533333333333331</v>
      </c>
      <c r="BP443" s="824">
        <v>43001</v>
      </c>
      <c r="BQ443" s="821">
        <v>2</v>
      </c>
      <c r="BR443" s="822">
        <f t="shared" ca="1" si="349"/>
        <v>133</v>
      </c>
      <c r="BS443" s="823">
        <f t="shared" si="350"/>
        <v>15.3</v>
      </c>
      <c r="BT443" s="825" t="str">
        <f t="shared" ca="1" si="351"/>
        <v>-</v>
      </c>
      <c r="BU443" s="826"/>
      <c r="BV443" s="827"/>
      <c r="BW443" s="828" t="str">
        <f t="shared" si="352"/>
        <v>Ж-Е НЕ ВАКЦ.</v>
      </c>
      <c r="BX443" s="829" t="str">
        <f t="shared" si="353"/>
        <v>-</v>
      </c>
      <c r="BY443" s="830" t="str">
        <f t="shared" ca="1" si="354"/>
        <v>-</v>
      </c>
      <c r="BZ443" s="831">
        <v>42887</v>
      </c>
      <c r="CA443" s="832">
        <v>5</v>
      </c>
      <c r="CB443" s="833">
        <f t="shared" ca="1" si="355"/>
        <v>247</v>
      </c>
      <c r="CC443" s="834" t="str">
        <f t="shared" ca="1" si="356"/>
        <v>-</v>
      </c>
      <c r="CD443" s="835">
        <f t="shared" si="357"/>
        <v>42908</v>
      </c>
      <c r="CE443" s="831">
        <v>42908</v>
      </c>
      <c r="CF443" s="832">
        <v>5</v>
      </c>
      <c r="CG443" s="833">
        <f t="shared" ca="1" si="358"/>
        <v>226</v>
      </c>
      <c r="CH443" s="836">
        <f t="shared" si="359"/>
        <v>0</v>
      </c>
      <c r="CI443" s="837" t="str">
        <f t="shared" si="360"/>
        <v>УСПЕШНО</v>
      </c>
      <c r="CJ443" s="838" t="str">
        <f t="shared" ca="1" si="361"/>
        <v>-</v>
      </c>
      <c r="CK443" s="831"/>
      <c r="CL443" s="832"/>
      <c r="CM443" s="833" t="str">
        <f t="shared" si="362"/>
        <v>-</v>
      </c>
      <c r="CN443" s="834" t="str">
        <f t="shared" si="363"/>
        <v>-</v>
      </c>
      <c r="CO443" s="830" t="str">
        <f t="shared" ca="1" si="364"/>
        <v>-</v>
      </c>
      <c r="CP443" s="839"/>
      <c r="CQ443" s="832"/>
      <c r="CR443" s="833" t="str">
        <f t="shared" si="365"/>
        <v>-</v>
      </c>
      <c r="CS443" s="833" t="str">
        <f t="shared" si="366"/>
        <v>-</v>
      </c>
      <c r="CT443" s="834" t="str">
        <f t="shared" si="367"/>
        <v>-</v>
      </c>
      <c r="CU443" s="835" t="str">
        <f t="shared" si="368"/>
        <v>-</v>
      </c>
      <c r="CV443" s="839"/>
      <c r="CW443" s="832"/>
      <c r="CX443" s="833" t="str">
        <f t="shared" si="369"/>
        <v>-</v>
      </c>
      <c r="CY443" s="840" t="str">
        <f t="shared" si="370"/>
        <v>-</v>
      </c>
      <c r="CZ443" s="833" t="str">
        <f t="shared" si="371"/>
        <v>-</v>
      </c>
      <c r="DA443" s="838" t="str">
        <f t="shared" ca="1" si="372"/>
        <v>-</v>
      </c>
      <c r="DB443" s="841"/>
      <c r="DC443" s="832"/>
    </row>
    <row r="444" spans="1:107" ht="15.95" customHeight="1" x14ac:dyDescent="0.25">
      <c r="A444" s="790">
        <v>445</v>
      </c>
      <c r="B444" s="791">
        <f t="shared" ca="1" si="321"/>
        <v>43134</v>
      </c>
      <c r="C444" s="792" t="s">
        <v>615</v>
      </c>
      <c r="D444" s="793" t="s">
        <v>908</v>
      </c>
      <c r="E444" s="794" t="s">
        <v>1324</v>
      </c>
      <c r="F444" s="854" t="s">
        <v>1207</v>
      </c>
      <c r="G444" s="796">
        <f>SUMIFS(МОЛОКО!L8:L6958,МОЛОКО!F8:F6958,"2303",МОЛОКО!L8:L6958,"&gt;0")</f>
        <v>25</v>
      </c>
      <c r="H444" s="797" t="s">
        <v>603</v>
      </c>
      <c r="I444" s="798">
        <v>41852</v>
      </c>
      <c r="J444" s="799">
        <f t="shared" ca="1" si="322"/>
        <v>3.5123287671232877</v>
      </c>
      <c r="K444" s="799">
        <f t="shared" ca="1" si="323"/>
        <v>42.733333333333334</v>
      </c>
      <c r="L444" s="800">
        <f t="shared" ca="1" si="324"/>
        <v>1282</v>
      </c>
      <c r="M444" s="801">
        <v>42567</v>
      </c>
      <c r="N444" s="802">
        <v>42973</v>
      </c>
      <c r="O444" s="803">
        <f t="shared" ca="1" si="325"/>
        <v>161</v>
      </c>
      <c r="P444" s="804">
        <v>2</v>
      </c>
      <c r="Q444" s="68" t="s">
        <v>1451</v>
      </c>
      <c r="R444" s="118" t="s">
        <v>2966</v>
      </c>
      <c r="S444" s="807">
        <v>43034</v>
      </c>
      <c r="T444" s="798">
        <v>43034</v>
      </c>
      <c r="U444" s="798">
        <f t="shared" si="326"/>
        <v>43052</v>
      </c>
      <c r="V444" s="804">
        <f t="shared" ca="1" si="327"/>
        <v>82</v>
      </c>
      <c r="W444" s="808">
        <v>1</v>
      </c>
      <c r="X444" s="794">
        <f t="shared" si="373"/>
        <v>61</v>
      </c>
      <c r="Y444" s="794">
        <v>3</v>
      </c>
      <c r="Z444" s="809" t="str">
        <f t="shared" ca="1" si="328"/>
        <v>-----</v>
      </c>
      <c r="AA444" s="810">
        <f t="shared" ca="1" si="329"/>
        <v>100</v>
      </c>
      <c r="AB444" s="804"/>
      <c r="AC444" s="811" t="str">
        <f t="shared" ca="1" si="330"/>
        <v>-----</v>
      </c>
      <c r="AD444" s="798"/>
      <c r="AE444" s="794" t="str">
        <f t="shared" ca="1" si="331"/>
        <v>-</v>
      </c>
      <c r="AF444" s="798">
        <f t="shared" si="332"/>
        <v>43069</v>
      </c>
      <c r="AG444" s="812">
        <f t="shared" ca="1" si="333"/>
        <v>65</v>
      </c>
      <c r="AH444" s="807"/>
      <c r="AI444" s="807" t="str">
        <f t="shared" si="334"/>
        <v>-</v>
      </c>
      <c r="AJ444" s="807" t="str">
        <f t="shared" si="335"/>
        <v>-</v>
      </c>
      <c r="AK444" s="813"/>
      <c r="AL444" s="807" t="str">
        <f t="shared" si="336"/>
        <v>-</v>
      </c>
      <c r="AM444" s="807" t="str">
        <f t="shared" si="337"/>
        <v>-</v>
      </c>
      <c r="AN444" s="814" t="str">
        <f t="shared" ca="1" si="338"/>
        <v>-</v>
      </c>
      <c r="AO444" s="815">
        <v>1</v>
      </c>
      <c r="AP444" s="816" t="str">
        <f t="shared" ca="1" si="339"/>
        <v>-</v>
      </c>
      <c r="AQ444" s="441" t="s">
        <v>3491</v>
      </c>
      <c r="AR444" s="794" t="str">
        <f t="shared" si="340"/>
        <v>-</v>
      </c>
      <c r="AS444" s="818"/>
      <c r="AT444" s="794" t="str">
        <f t="shared" si="341"/>
        <v>-</v>
      </c>
      <c r="AU444" s="819">
        <v>1</v>
      </c>
      <c r="AV444" s="820"/>
      <c r="AW444" s="821"/>
      <c r="AX444" s="821"/>
      <c r="AY444" s="969" t="str">
        <f t="shared" si="342"/>
        <v>-</v>
      </c>
      <c r="AZ444" s="966" t="str">
        <f t="shared" si="343"/>
        <v>-</v>
      </c>
      <c r="BA444" s="971" t="str">
        <f t="shared" si="344"/>
        <v>-</v>
      </c>
      <c r="BB444" s="975"/>
      <c r="BC444" s="821"/>
      <c r="BD444" s="821"/>
      <c r="BE444" s="963" t="str">
        <f t="shared" si="345"/>
        <v>-</v>
      </c>
      <c r="BF444" s="984"/>
      <c r="BG444" s="988"/>
      <c r="BH444" s="982"/>
      <c r="BI444" s="991"/>
      <c r="BJ444" s="991"/>
      <c r="BK444" s="993" t="str">
        <f t="shared" si="346"/>
        <v>-</v>
      </c>
      <c r="BL444" s="820">
        <v>42982</v>
      </c>
      <c r="BM444" s="821">
        <v>5</v>
      </c>
      <c r="BN444" s="822">
        <f t="shared" ca="1" si="347"/>
        <v>152</v>
      </c>
      <c r="BO444" s="823">
        <f t="shared" si="348"/>
        <v>37.666666666666664</v>
      </c>
      <c r="BP444" s="824">
        <v>43001</v>
      </c>
      <c r="BQ444" s="821">
        <v>2</v>
      </c>
      <c r="BR444" s="822">
        <f t="shared" ca="1" si="349"/>
        <v>133</v>
      </c>
      <c r="BS444" s="823">
        <f t="shared" si="350"/>
        <v>14.466666666666667</v>
      </c>
      <c r="BT444" s="825" t="str">
        <f t="shared" ca="1" si="351"/>
        <v>-</v>
      </c>
      <c r="BU444" s="826"/>
      <c r="BV444" s="827"/>
      <c r="BW444" s="828" t="str">
        <f t="shared" si="352"/>
        <v>Ж-Е НЕ ВАКЦ.</v>
      </c>
      <c r="BX444" s="829" t="str">
        <f t="shared" si="353"/>
        <v>-</v>
      </c>
      <c r="BY444" s="830" t="str">
        <f t="shared" ca="1" si="354"/>
        <v>-</v>
      </c>
      <c r="BZ444" s="831">
        <v>42887</v>
      </c>
      <c r="CA444" s="832">
        <v>5</v>
      </c>
      <c r="CB444" s="833">
        <f t="shared" ca="1" si="355"/>
        <v>247</v>
      </c>
      <c r="CC444" s="834" t="str">
        <f t="shared" ca="1" si="356"/>
        <v>-</v>
      </c>
      <c r="CD444" s="835">
        <f t="shared" si="357"/>
        <v>42908</v>
      </c>
      <c r="CE444" s="831">
        <v>42908</v>
      </c>
      <c r="CF444" s="832">
        <v>5</v>
      </c>
      <c r="CG444" s="833">
        <f t="shared" ca="1" si="358"/>
        <v>226</v>
      </c>
      <c r="CH444" s="836">
        <f t="shared" si="359"/>
        <v>0</v>
      </c>
      <c r="CI444" s="837" t="str">
        <f t="shared" si="360"/>
        <v>УСПЕШНО</v>
      </c>
      <c r="CJ444" s="838" t="str">
        <f t="shared" ca="1" si="361"/>
        <v>-</v>
      </c>
      <c r="CK444" s="831"/>
      <c r="CL444" s="832"/>
      <c r="CM444" s="833" t="str">
        <f t="shared" si="362"/>
        <v>-</v>
      </c>
      <c r="CN444" s="834" t="str">
        <f t="shared" si="363"/>
        <v>-</v>
      </c>
      <c r="CO444" s="830" t="str">
        <f t="shared" ca="1" si="364"/>
        <v>-</v>
      </c>
      <c r="CP444" s="831">
        <v>42925</v>
      </c>
      <c r="CQ444" s="832">
        <v>2</v>
      </c>
      <c r="CR444" s="833">
        <f t="shared" si="365"/>
        <v>-109</v>
      </c>
      <c r="CS444" s="833">
        <f t="shared" ca="1" si="366"/>
        <v>209</v>
      </c>
      <c r="CT444" s="834" t="str">
        <f t="shared" ca="1" si="367"/>
        <v>-</v>
      </c>
      <c r="CU444" s="835">
        <f t="shared" si="368"/>
        <v>42946</v>
      </c>
      <c r="CV444" s="831">
        <v>42946</v>
      </c>
      <c r="CW444" s="832">
        <v>2</v>
      </c>
      <c r="CX444" s="833">
        <f t="shared" si="369"/>
        <v>0</v>
      </c>
      <c r="CY444" s="840" t="str">
        <f t="shared" si="370"/>
        <v>УСПЕШНО</v>
      </c>
      <c r="CZ444" s="833">
        <f t="shared" si="371"/>
        <v>-88</v>
      </c>
      <c r="DA444" s="838" t="str">
        <f t="shared" ca="1" si="372"/>
        <v>-</v>
      </c>
      <c r="DB444" s="841"/>
      <c r="DC444" s="832"/>
    </row>
    <row r="445" spans="1:107" s="842" customFormat="1" ht="15.95" customHeight="1" x14ac:dyDescent="0.25">
      <c r="A445" s="790">
        <v>446</v>
      </c>
      <c r="B445" s="791">
        <f t="shared" ca="1" si="321"/>
        <v>43134</v>
      </c>
      <c r="C445" s="792" t="s">
        <v>615</v>
      </c>
      <c r="D445" s="793" t="s">
        <v>908</v>
      </c>
      <c r="E445" s="794" t="s">
        <v>1335</v>
      </c>
      <c r="F445" s="854" t="s">
        <v>1219</v>
      </c>
      <c r="G445" s="796">
        <f>SUMIFS(МОЛОКО!L8:L6958,МОЛОКО!E8:E6958,"Макрель",МОЛОКО!F8:F6958,"2342",МОЛОКО!L8:L6958,"&gt;0")</f>
        <v>33</v>
      </c>
      <c r="H445" s="797" t="s">
        <v>603</v>
      </c>
      <c r="I445" s="798">
        <v>41883</v>
      </c>
      <c r="J445" s="799">
        <f t="shared" ca="1" si="322"/>
        <v>3.4273972602739726</v>
      </c>
      <c r="K445" s="799">
        <f t="shared" ca="1" si="323"/>
        <v>41.7</v>
      </c>
      <c r="L445" s="800">
        <f t="shared" ca="1" si="324"/>
        <v>1251</v>
      </c>
      <c r="M445" s="801">
        <v>42575</v>
      </c>
      <c r="N445" s="802">
        <v>42979</v>
      </c>
      <c r="O445" s="803">
        <f t="shared" ca="1" si="325"/>
        <v>155</v>
      </c>
      <c r="P445" s="804">
        <v>2</v>
      </c>
      <c r="Q445" s="68" t="s">
        <v>2366</v>
      </c>
      <c r="R445" s="118" t="s">
        <v>3020</v>
      </c>
      <c r="S445" s="807">
        <v>43041</v>
      </c>
      <c r="T445" s="798">
        <v>43041</v>
      </c>
      <c r="U445" s="798">
        <f t="shared" si="326"/>
        <v>43059</v>
      </c>
      <c r="V445" s="804">
        <f t="shared" ca="1" si="327"/>
        <v>75</v>
      </c>
      <c r="W445" s="808">
        <v>1</v>
      </c>
      <c r="X445" s="794">
        <f t="shared" si="373"/>
        <v>62</v>
      </c>
      <c r="Y445" s="794">
        <v>3</v>
      </c>
      <c r="Z445" s="809" t="str">
        <f t="shared" ca="1" si="328"/>
        <v>-----</v>
      </c>
      <c r="AA445" s="810">
        <f t="shared" ca="1" si="329"/>
        <v>93</v>
      </c>
      <c r="AB445" s="804"/>
      <c r="AC445" s="811" t="str">
        <f t="shared" ca="1" si="330"/>
        <v>-----</v>
      </c>
      <c r="AD445" s="798"/>
      <c r="AE445" s="794" t="str">
        <f t="shared" ca="1" si="331"/>
        <v>-</v>
      </c>
      <c r="AF445" s="798">
        <f t="shared" si="332"/>
        <v>43076</v>
      </c>
      <c r="AG445" s="812">
        <f t="shared" ca="1" si="333"/>
        <v>58</v>
      </c>
      <c r="AH445" s="807"/>
      <c r="AI445" s="807" t="str">
        <f t="shared" si="334"/>
        <v>-</v>
      </c>
      <c r="AJ445" s="807" t="str">
        <f t="shared" si="335"/>
        <v>-</v>
      </c>
      <c r="AK445" s="813"/>
      <c r="AL445" s="807" t="str">
        <f t="shared" si="336"/>
        <v>-</v>
      </c>
      <c r="AM445" s="807" t="str">
        <f t="shared" si="337"/>
        <v>-</v>
      </c>
      <c r="AN445" s="814" t="str">
        <f t="shared" ca="1" si="338"/>
        <v>-</v>
      </c>
      <c r="AO445" s="815">
        <v>1</v>
      </c>
      <c r="AP445" s="816" t="str">
        <f t="shared" ca="1" si="339"/>
        <v>-</v>
      </c>
      <c r="AQ445" s="817"/>
      <c r="AR445" s="794" t="str">
        <f t="shared" si="340"/>
        <v>-</v>
      </c>
      <c r="AS445" s="818"/>
      <c r="AT445" s="794" t="str">
        <f t="shared" si="341"/>
        <v>-</v>
      </c>
      <c r="AU445" s="819">
        <v>1</v>
      </c>
      <c r="AV445" s="820"/>
      <c r="AW445" s="821"/>
      <c r="AX445" s="821"/>
      <c r="AY445" s="969" t="str">
        <f t="shared" si="342"/>
        <v>-</v>
      </c>
      <c r="AZ445" s="966" t="str">
        <f t="shared" si="343"/>
        <v>-</v>
      </c>
      <c r="BA445" s="971" t="str">
        <f t="shared" si="344"/>
        <v>-</v>
      </c>
      <c r="BB445" s="975"/>
      <c r="BC445" s="821"/>
      <c r="BD445" s="821"/>
      <c r="BE445" s="963" t="str">
        <f t="shared" si="345"/>
        <v>-</v>
      </c>
      <c r="BF445" s="984"/>
      <c r="BG445" s="988"/>
      <c r="BH445" s="982"/>
      <c r="BI445" s="991"/>
      <c r="BJ445" s="991"/>
      <c r="BK445" s="993" t="str">
        <f t="shared" si="346"/>
        <v>-</v>
      </c>
      <c r="BL445" s="820">
        <v>42982</v>
      </c>
      <c r="BM445" s="821">
        <v>5</v>
      </c>
      <c r="BN445" s="822">
        <f t="shared" ca="1" si="347"/>
        <v>152</v>
      </c>
      <c r="BO445" s="823">
        <f t="shared" si="348"/>
        <v>36.633333333333333</v>
      </c>
      <c r="BP445" s="824">
        <v>43001</v>
      </c>
      <c r="BQ445" s="821">
        <v>2</v>
      </c>
      <c r="BR445" s="822">
        <f t="shared" ca="1" si="349"/>
        <v>133</v>
      </c>
      <c r="BS445" s="823">
        <f t="shared" si="350"/>
        <v>14.2</v>
      </c>
      <c r="BT445" s="825" t="str">
        <f t="shared" ca="1" si="351"/>
        <v>-</v>
      </c>
      <c r="BU445" s="826"/>
      <c r="BV445" s="827"/>
      <c r="BW445" s="828" t="str">
        <f t="shared" si="352"/>
        <v>Ж-Е НЕ ВАКЦ.</v>
      </c>
      <c r="BX445" s="829" t="str">
        <f t="shared" si="353"/>
        <v>-</v>
      </c>
      <c r="BY445" s="830" t="str">
        <f t="shared" ca="1" si="354"/>
        <v>-</v>
      </c>
      <c r="BZ445" s="831">
        <v>42887</v>
      </c>
      <c r="CA445" s="832">
        <v>5</v>
      </c>
      <c r="CB445" s="833">
        <f t="shared" ca="1" si="355"/>
        <v>247</v>
      </c>
      <c r="CC445" s="834" t="str">
        <f t="shared" ca="1" si="356"/>
        <v>-</v>
      </c>
      <c r="CD445" s="835">
        <f t="shared" si="357"/>
        <v>42908</v>
      </c>
      <c r="CE445" s="831">
        <v>42908</v>
      </c>
      <c r="CF445" s="832">
        <v>5</v>
      </c>
      <c r="CG445" s="833">
        <f t="shared" ca="1" si="358"/>
        <v>226</v>
      </c>
      <c r="CH445" s="836">
        <f t="shared" si="359"/>
        <v>0</v>
      </c>
      <c r="CI445" s="837" t="str">
        <f t="shared" si="360"/>
        <v>УСПЕШНО</v>
      </c>
      <c r="CJ445" s="838" t="str">
        <f t="shared" ca="1" si="361"/>
        <v>-</v>
      </c>
      <c r="CK445" s="831"/>
      <c r="CL445" s="832"/>
      <c r="CM445" s="833" t="str">
        <f t="shared" si="362"/>
        <v>-</v>
      </c>
      <c r="CN445" s="834" t="str">
        <f t="shared" si="363"/>
        <v>-</v>
      </c>
      <c r="CO445" s="830" t="str">
        <f t="shared" ca="1" si="364"/>
        <v>-</v>
      </c>
      <c r="CP445" s="831">
        <v>42925</v>
      </c>
      <c r="CQ445" s="832">
        <v>2</v>
      </c>
      <c r="CR445" s="833">
        <f t="shared" si="365"/>
        <v>-116</v>
      </c>
      <c r="CS445" s="833">
        <f t="shared" ca="1" si="366"/>
        <v>209</v>
      </c>
      <c r="CT445" s="834" t="str">
        <f t="shared" ca="1" si="367"/>
        <v>-</v>
      </c>
      <c r="CU445" s="835">
        <f t="shared" si="368"/>
        <v>42946</v>
      </c>
      <c r="CV445" s="831">
        <v>42946</v>
      </c>
      <c r="CW445" s="832">
        <v>2</v>
      </c>
      <c r="CX445" s="833">
        <f t="shared" si="369"/>
        <v>0</v>
      </c>
      <c r="CY445" s="840" t="str">
        <f t="shared" si="370"/>
        <v>УСПЕШНО</v>
      </c>
      <c r="CZ445" s="833">
        <f t="shared" si="371"/>
        <v>-95</v>
      </c>
      <c r="DA445" s="838" t="str">
        <f t="shared" ca="1" si="372"/>
        <v>-</v>
      </c>
      <c r="DB445" s="841"/>
      <c r="DC445" s="832"/>
    </row>
    <row r="446" spans="1:107" s="842" customFormat="1" ht="15.95" customHeight="1" x14ac:dyDescent="0.25">
      <c r="A446" s="790">
        <v>447</v>
      </c>
      <c r="B446" s="791">
        <f t="shared" ca="1" si="321"/>
        <v>43134</v>
      </c>
      <c r="C446" s="792" t="s">
        <v>615</v>
      </c>
      <c r="D446" s="793" t="s">
        <v>908</v>
      </c>
      <c r="E446" s="794" t="s">
        <v>1354</v>
      </c>
      <c r="F446" s="998" t="s">
        <v>1238</v>
      </c>
      <c r="G446" s="796">
        <f>SUMIFS(МОЛОКО!L8:L6958,МОЛОКО!F8:F6958,"2373",МОЛОКО!L8:L6958,"&gt;0")</f>
        <v>29</v>
      </c>
      <c r="H446" s="797" t="s">
        <v>603</v>
      </c>
      <c r="I446" s="798">
        <v>41927</v>
      </c>
      <c r="J446" s="799">
        <f t="shared" ca="1" si="322"/>
        <v>3.3068493150684932</v>
      </c>
      <c r="K446" s="799">
        <f t="shared" ca="1" si="323"/>
        <v>40.233333333333334</v>
      </c>
      <c r="L446" s="800">
        <f t="shared" ca="1" si="324"/>
        <v>1207</v>
      </c>
      <c r="M446" s="801">
        <v>42579</v>
      </c>
      <c r="N446" s="802">
        <v>42960</v>
      </c>
      <c r="O446" s="803">
        <f t="shared" ca="1" si="325"/>
        <v>174</v>
      </c>
      <c r="P446" s="804">
        <v>2</v>
      </c>
      <c r="Q446" s="68" t="s">
        <v>2366</v>
      </c>
      <c r="R446" s="118" t="s">
        <v>3020</v>
      </c>
      <c r="S446" s="807">
        <v>43027</v>
      </c>
      <c r="T446" s="798">
        <v>43027</v>
      </c>
      <c r="U446" s="798">
        <f t="shared" si="326"/>
        <v>43045</v>
      </c>
      <c r="V446" s="804">
        <f t="shared" ca="1" si="327"/>
        <v>89</v>
      </c>
      <c r="W446" s="808">
        <v>1</v>
      </c>
      <c r="X446" s="794">
        <f t="shared" si="373"/>
        <v>67</v>
      </c>
      <c r="Y446" s="794">
        <v>3</v>
      </c>
      <c r="Z446" s="809" t="str">
        <f t="shared" ca="1" si="328"/>
        <v>-----</v>
      </c>
      <c r="AA446" s="810">
        <f t="shared" ca="1" si="329"/>
        <v>107</v>
      </c>
      <c r="AB446" s="804"/>
      <c r="AC446" s="811" t="str">
        <f t="shared" ca="1" si="330"/>
        <v>-----</v>
      </c>
      <c r="AD446" s="798"/>
      <c r="AE446" s="794" t="str">
        <f t="shared" ca="1" si="331"/>
        <v>-</v>
      </c>
      <c r="AF446" s="798">
        <f t="shared" si="332"/>
        <v>43062</v>
      </c>
      <c r="AG446" s="812">
        <f t="shared" ca="1" si="333"/>
        <v>72</v>
      </c>
      <c r="AH446" s="807"/>
      <c r="AI446" s="807" t="str">
        <f t="shared" si="334"/>
        <v>-</v>
      </c>
      <c r="AJ446" s="807" t="str">
        <f t="shared" si="335"/>
        <v>-</v>
      </c>
      <c r="AK446" s="813"/>
      <c r="AL446" s="807" t="str">
        <f t="shared" si="336"/>
        <v>-</v>
      </c>
      <c r="AM446" s="807" t="str">
        <f t="shared" si="337"/>
        <v>-</v>
      </c>
      <c r="AN446" s="814" t="str">
        <f t="shared" ca="1" si="338"/>
        <v>-</v>
      </c>
      <c r="AO446" s="815">
        <v>1</v>
      </c>
      <c r="AP446" s="816" t="str">
        <f t="shared" ca="1" si="339"/>
        <v>-</v>
      </c>
      <c r="AQ446" s="817"/>
      <c r="AR446" s="794" t="str">
        <f t="shared" si="340"/>
        <v>-</v>
      </c>
      <c r="AS446" s="818"/>
      <c r="AT446" s="794" t="str">
        <f t="shared" si="341"/>
        <v>-</v>
      </c>
      <c r="AU446" s="300" t="s">
        <v>2696</v>
      </c>
      <c r="AV446" s="820"/>
      <c r="AW446" s="821"/>
      <c r="AX446" s="821"/>
      <c r="AY446" s="969" t="str">
        <f t="shared" si="342"/>
        <v>-</v>
      </c>
      <c r="AZ446" s="966" t="str">
        <f t="shared" si="343"/>
        <v>-</v>
      </c>
      <c r="BA446" s="971" t="str">
        <f t="shared" si="344"/>
        <v>-</v>
      </c>
      <c r="BB446" s="975"/>
      <c r="BC446" s="821"/>
      <c r="BD446" s="821"/>
      <c r="BE446" s="963" t="str">
        <f t="shared" si="345"/>
        <v>-</v>
      </c>
      <c r="BF446" s="984"/>
      <c r="BG446" s="988"/>
      <c r="BH446" s="982"/>
      <c r="BI446" s="991"/>
      <c r="BJ446" s="991"/>
      <c r="BK446" s="993" t="str">
        <f t="shared" si="346"/>
        <v>-</v>
      </c>
      <c r="BL446" s="820">
        <v>42979</v>
      </c>
      <c r="BM446" s="821">
        <v>5</v>
      </c>
      <c r="BN446" s="822">
        <f t="shared" ca="1" si="347"/>
        <v>155</v>
      </c>
      <c r="BO446" s="823">
        <f t="shared" si="348"/>
        <v>35.06666666666667</v>
      </c>
      <c r="BP446" s="824">
        <v>43001</v>
      </c>
      <c r="BQ446" s="821">
        <v>2</v>
      </c>
      <c r="BR446" s="822">
        <f t="shared" ca="1" si="349"/>
        <v>133</v>
      </c>
      <c r="BS446" s="823">
        <f t="shared" si="350"/>
        <v>14.066666666666666</v>
      </c>
      <c r="BT446" s="825" t="str">
        <f t="shared" ca="1" si="351"/>
        <v>-</v>
      </c>
      <c r="BU446" s="826"/>
      <c r="BV446" s="827"/>
      <c r="BW446" s="828" t="str">
        <f t="shared" si="352"/>
        <v>Ж-Е НЕ ВАКЦ.</v>
      </c>
      <c r="BX446" s="829" t="str">
        <f t="shared" si="353"/>
        <v>-</v>
      </c>
      <c r="BY446" s="830" t="str">
        <f t="shared" ca="1" si="354"/>
        <v>-</v>
      </c>
      <c r="BZ446" s="831">
        <v>43011</v>
      </c>
      <c r="CA446" s="832">
        <v>5</v>
      </c>
      <c r="CB446" s="833">
        <f t="shared" ca="1" si="355"/>
        <v>123</v>
      </c>
      <c r="CC446" s="834" t="str">
        <f t="shared" ca="1" si="356"/>
        <v>ТРЕБУЕТСЯ БУСТЕРНАЯ ДОЗА</v>
      </c>
      <c r="CD446" s="835">
        <f t="shared" si="357"/>
        <v>43032</v>
      </c>
      <c r="CE446" s="306" t="s">
        <v>3336</v>
      </c>
      <c r="CF446" s="832"/>
      <c r="CG446" s="833" t="str">
        <f t="shared" si="358"/>
        <v>-</v>
      </c>
      <c r="CH446" s="836" t="str">
        <f t="shared" si="359"/>
        <v>-</v>
      </c>
      <c r="CI446" s="837" t="str">
        <f t="shared" si="360"/>
        <v>-</v>
      </c>
      <c r="CJ446" s="838" t="str">
        <f t="shared" si="361"/>
        <v>-</v>
      </c>
      <c r="CK446" s="831"/>
      <c r="CL446" s="832"/>
      <c r="CM446" s="833" t="str">
        <f t="shared" si="362"/>
        <v>-</v>
      </c>
      <c r="CN446" s="834" t="str">
        <f t="shared" si="363"/>
        <v>-</v>
      </c>
      <c r="CO446" s="830" t="str">
        <f t="shared" ca="1" si="364"/>
        <v>-</v>
      </c>
      <c r="CP446" s="831">
        <v>42890</v>
      </c>
      <c r="CQ446" s="832">
        <v>2</v>
      </c>
      <c r="CR446" s="833">
        <f t="shared" si="365"/>
        <v>-137</v>
      </c>
      <c r="CS446" s="833">
        <f t="shared" ca="1" si="366"/>
        <v>244</v>
      </c>
      <c r="CT446" s="834" t="str">
        <f t="shared" ca="1" si="367"/>
        <v>-</v>
      </c>
      <c r="CU446" s="835">
        <f t="shared" si="368"/>
        <v>42911</v>
      </c>
      <c r="CV446" s="831">
        <v>42911</v>
      </c>
      <c r="CW446" s="832">
        <v>2</v>
      </c>
      <c r="CX446" s="833">
        <f t="shared" si="369"/>
        <v>0</v>
      </c>
      <c r="CY446" s="840" t="str">
        <f t="shared" si="370"/>
        <v>УСПЕШНО</v>
      </c>
      <c r="CZ446" s="833">
        <f t="shared" si="371"/>
        <v>-116</v>
      </c>
      <c r="DA446" s="838" t="str">
        <f t="shared" ca="1" si="372"/>
        <v>-</v>
      </c>
      <c r="DB446" s="841"/>
      <c r="DC446" s="832"/>
    </row>
    <row r="447" spans="1:107" s="842" customFormat="1" ht="15.95" customHeight="1" x14ac:dyDescent="0.25">
      <c r="A447" s="790">
        <v>448</v>
      </c>
      <c r="B447" s="791">
        <f t="shared" ca="1" si="321"/>
        <v>43134</v>
      </c>
      <c r="C447" s="792" t="s">
        <v>615</v>
      </c>
      <c r="D447" s="793" t="s">
        <v>908</v>
      </c>
      <c r="E447" s="794" t="s">
        <v>1063</v>
      </c>
      <c r="F447" s="854" t="s">
        <v>986</v>
      </c>
      <c r="G447" s="796">
        <f>SUMIFS(МОЛОКО!L8:L6958,МОЛОКО!F8:F6958,"2491",МОЛОКО!L8:L6958,"&gt;0")</f>
        <v>27</v>
      </c>
      <c r="H447" s="797" t="s">
        <v>603</v>
      </c>
      <c r="I447" s="798">
        <v>42016</v>
      </c>
      <c r="J447" s="799">
        <f t="shared" ca="1" si="322"/>
        <v>3.0630136986301371</v>
      </c>
      <c r="K447" s="799">
        <f t="shared" ca="1" si="323"/>
        <v>37.266666666666666</v>
      </c>
      <c r="L447" s="800">
        <f t="shared" ca="1" si="324"/>
        <v>1118</v>
      </c>
      <c r="M447" s="801">
        <v>42654</v>
      </c>
      <c r="N447" s="802">
        <v>42981</v>
      </c>
      <c r="O447" s="803">
        <f t="shared" ca="1" si="325"/>
        <v>153</v>
      </c>
      <c r="P447" s="804">
        <v>2</v>
      </c>
      <c r="Q447" s="68" t="s">
        <v>2366</v>
      </c>
      <c r="R447" s="118" t="s">
        <v>2962</v>
      </c>
      <c r="S447" s="807">
        <v>43042</v>
      </c>
      <c r="T447" s="798">
        <v>43042</v>
      </c>
      <c r="U447" s="798">
        <f t="shared" si="326"/>
        <v>43060</v>
      </c>
      <c r="V447" s="804">
        <f t="shared" ca="1" si="327"/>
        <v>74</v>
      </c>
      <c r="W447" s="808">
        <v>1</v>
      </c>
      <c r="X447" s="794">
        <f t="shared" si="373"/>
        <v>61</v>
      </c>
      <c r="Y447" s="794">
        <v>3</v>
      </c>
      <c r="Z447" s="809" t="str">
        <f t="shared" ca="1" si="328"/>
        <v>-----</v>
      </c>
      <c r="AA447" s="810">
        <f t="shared" ca="1" si="329"/>
        <v>92</v>
      </c>
      <c r="AB447" s="804"/>
      <c r="AC447" s="811" t="str">
        <f t="shared" ca="1" si="330"/>
        <v>-----</v>
      </c>
      <c r="AD447" s="798"/>
      <c r="AE447" s="794" t="str">
        <f t="shared" ca="1" si="331"/>
        <v>-</v>
      </c>
      <c r="AF447" s="798">
        <f t="shared" si="332"/>
        <v>43077</v>
      </c>
      <c r="AG447" s="812">
        <f t="shared" ca="1" si="333"/>
        <v>57</v>
      </c>
      <c r="AH447" s="807"/>
      <c r="AI447" s="807" t="str">
        <f t="shared" si="334"/>
        <v>-</v>
      </c>
      <c r="AJ447" s="807" t="str">
        <f t="shared" si="335"/>
        <v>-</v>
      </c>
      <c r="AK447" s="813"/>
      <c r="AL447" s="807" t="str">
        <f t="shared" si="336"/>
        <v>-</v>
      </c>
      <c r="AM447" s="807" t="str">
        <f t="shared" si="337"/>
        <v>-</v>
      </c>
      <c r="AN447" s="814" t="str">
        <f t="shared" ca="1" si="338"/>
        <v>-</v>
      </c>
      <c r="AO447" s="815">
        <v>1</v>
      </c>
      <c r="AP447" s="816" t="str">
        <f t="shared" ca="1" si="339"/>
        <v>-</v>
      </c>
      <c r="AQ447" s="817"/>
      <c r="AR447" s="794" t="str">
        <f t="shared" si="340"/>
        <v>-</v>
      </c>
      <c r="AS447" s="818"/>
      <c r="AT447" s="794" t="str">
        <f t="shared" si="341"/>
        <v>-</v>
      </c>
      <c r="AU447" s="819">
        <v>1</v>
      </c>
      <c r="AV447" s="820"/>
      <c r="AW447" s="821"/>
      <c r="AX447" s="821"/>
      <c r="AY447" s="969" t="str">
        <f t="shared" si="342"/>
        <v>-</v>
      </c>
      <c r="AZ447" s="966" t="str">
        <f t="shared" si="343"/>
        <v>-</v>
      </c>
      <c r="BA447" s="971" t="str">
        <f t="shared" si="344"/>
        <v>-</v>
      </c>
      <c r="BB447" s="975"/>
      <c r="BC447" s="821"/>
      <c r="BD447" s="821"/>
      <c r="BE447" s="963" t="str">
        <f t="shared" si="345"/>
        <v>-</v>
      </c>
      <c r="BF447" s="984"/>
      <c r="BG447" s="988"/>
      <c r="BH447" s="982"/>
      <c r="BI447" s="991"/>
      <c r="BJ447" s="991"/>
      <c r="BK447" s="993" t="str">
        <f t="shared" si="346"/>
        <v>-</v>
      </c>
      <c r="BL447" s="820">
        <v>42982</v>
      </c>
      <c r="BM447" s="821">
        <v>5</v>
      </c>
      <c r="BN447" s="822">
        <f t="shared" ca="1" si="347"/>
        <v>152</v>
      </c>
      <c r="BO447" s="823">
        <f t="shared" si="348"/>
        <v>32.200000000000003</v>
      </c>
      <c r="BP447" s="824">
        <v>43001</v>
      </c>
      <c r="BQ447" s="821">
        <v>2</v>
      </c>
      <c r="BR447" s="822">
        <f t="shared" ca="1" si="349"/>
        <v>133</v>
      </c>
      <c r="BS447" s="823">
        <f t="shared" si="350"/>
        <v>11.566666666666666</v>
      </c>
      <c r="BT447" s="825" t="str">
        <f t="shared" ca="1" si="351"/>
        <v>-</v>
      </c>
      <c r="BU447" s="826"/>
      <c r="BV447" s="827"/>
      <c r="BW447" s="828" t="str">
        <f t="shared" si="352"/>
        <v>Ж-Е НЕ ВАКЦ.</v>
      </c>
      <c r="BX447" s="829" t="str">
        <f t="shared" si="353"/>
        <v>-</v>
      </c>
      <c r="BY447" s="830" t="str">
        <f t="shared" ca="1" si="354"/>
        <v>-</v>
      </c>
      <c r="BZ447" s="831">
        <v>42887</v>
      </c>
      <c r="CA447" s="832">
        <v>5</v>
      </c>
      <c r="CB447" s="833">
        <f t="shared" ca="1" si="355"/>
        <v>247</v>
      </c>
      <c r="CC447" s="834" t="str">
        <f t="shared" ca="1" si="356"/>
        <v>-</v>
      </c>
      <c r="CD447" s="835">
        <f t="shared" si="357"/>
        <v>42908</v>
      </c>
      <c r="CE447" s="831">
        <v>42908</v>
      </c>
      <c r="CF447" s="832">
        <v>5</v>
      </c>
      <c r="CG447" s="833">
        <f t="shared" ca="1" si="358"/>
        <v>226</v>
      </c>
      <c r="CH447" s="836">
        <f t="shared" si="359"/>
        <v>0</v>
      </c>
      <c r="CI447" s="837" t="str">
        <f t="shared" si="360"/>
        <v>УСПЕШНО</v>
      </c>
      <c r="CJ447" s="838" t="str">
        <f t="shared" ca="1" si="361"/>
        <v>-</v>
      </c>
      <c r="CK447" s="831"/>
      <c r="CL447" s="832"/>
      <c r="CM447" s="833" t="str">
        <f t="shared" si="362"/>
        <v>-</v>
      </c>
      <c r="CN447" s="834" t="str">
        <f t="shared" si="363"/>
        <v>-</v>
      </c>
      <c r="CO447" s="830" t="str">
        <f t="shared" ca="1" si="364"/>
        <v>-</v>
      </c>
      <c r="CP447" s="831">
        <v>42941</v>
      </c>
      <c r="CQ447" s="832">
        <v>2</v>
      </c>
      <c r="CR447" s="833">
        <f t="shared" si="365"/>
        <v>-101</v>
      </c>
      <c r="CS447" s="833">
        <f t="shared" ca="1" si="366"/>
        <v>193</v>
      </c>
      <c r="CT447" s="834" t="str">
        <f t="shared" ca="1" si="367"/>
        <v>-</v>
      </c>
      <c r="CU447" s="835">
        <f t="shared" si="368"/>
        <v>42962</v>
      </c>
      <c r="CV447" s="831">
        <v>42962</v>
      </c>
      <c r="CW447" s="832">
        <v>2</v>
      </c>
      <c r="CX447" s="833">
        <f t="shared" si="369"/>
        <v>0</v>
      </c>
      <c r="CY447" s="840" t="str">
        <f t="shared" si="370"/>
        <v>УСПЕШНО</v>
      </c>
      <c r="CZ447" s="833">
        <f t="shared" si="371"/>
        <v>-80</v>
      </c>
      <c r="DA447" s="838" t="str">
        <f t="shared" ca="1" si="372"/>
        <v>-</v>
      </c>
      <c r="DB447" s="841"/>
      <c r="DC447" s="832"/>
    </row>
    <row r="448" spans="1:107" s="842" customFormat="1" ht="15.95" customHeight="1" x14ac:dyDescent="0.25">
      <c r="A448" s="790">
        <v>449</v>
      </c>
      <c r="B448" s="791">
        <f t="shared" ca="1" si="321"/>
        <v>43134</v>
      </c>
      <c r="C448" s="29" t="s">
        <v>615</v>
      </c>
      <c r="D448" s="793" t="s">
        <v>908</v>
      </c>
      <c r="E448" s="794" t="s">
        <v>1097</v>
      </c>
      <c r="F448" s="854" t="s">
        <v>1007</v>
      </c>
      <c r="G448" s="796">
        <f>SUMIFS(МОЛОКО!L8:L6958,МОЛОКО!F8:F6958,"2501",МОЛОКО!L8:L6958,"&gt;0")</f>
        <v>30</v>
      </c>
      <c r="H448" s="797" t="s">
        <v>603</v>
      </c>
      <c r="I448" s="798">
        <v>41661</v>
      </c>
      <c r="J448" s="799">
        <f t="shared" ca="1" si="322"/>
        <v>4.0356164383561648</v>
      </c>
      <c r="K448" s="799">
        <f t="shared" ca="1" si="323"/>
        <v>49.1</v>
      </c>
      <c r="L448" s="800">
        <f t="shared" ca="1" si="324"/>
        <v>1473</v>
      </c>
      <c r="M448" s="801">
        <v>42668</v>
      </c>
      <c r="N448" s="802">
        <v>43012</v>
      </c>
      <c r="O448" s="803">
        <f t="shared" ca="1" si="325"/>
        <v>122</v>
      </c>
      <c r="P448" s="804">
        <v>2</v>
      </c>
      <c r="Q448" s="805"/>
      <c r="R448" s="806"/>
      <c r="S448" s="807"/>
      <c r="T448" s="798"/>
      <c r="U448" s="798" t="str">
        <f t="shared" si="326"/>
        <v>-</v>
      </c>
      <c r="V448" s="804" t="str">
        <f t="shared" ca="1" si="327"/>
        <v>-</v>
      </c>
      <c r="W448" s="808">
        <v>0</v>
      </c>
      <c r="X448" s="794" t="str">
        <f t="shared" si="373"/>
        <v>-</v>
      </c>
      <c r="Y448" s="794">
        <v>0</v>
      </c>
      <c r="Z448" s="809" t="str">
        <f t="shared" ca="1" si="328"/>
        <v>-----</v>
      </c>
      <c r="AA448" s="810">
        <f t="shared" ca="1" si="329"/>
        <v>43134</v>
      </c>
      <c r="AB448" s="804"/>
      <c r="AC448" s="811" t="str">
        <f t="shared" ca="1" si="330"/>
        <v>-----</v>
      </c>
      <c r="AD448" s="798"/>
      <c r="AE448" s="794" t="str">
        <f t="shared" ca="1" si="331"/>
        <v>яловая</v>
      </c>
      <c r="AF448" s="798" t="str">
        <f t="shared" si="332"/>
        <v>-</v>
      </c>
      <c r="AG448" s="812" t="str">
        <f t="shared" si="333"/>
        <v>---------</v>
      </c>
      <c r="AH448" s="807"/>
      <c r="AI448" s="807" t="str">
        <f t="shared" si="334"/>
        <v>-</v>
      </c>
      <c r="AJ448" s="807" t="str">
        <f t="shared" si="335"/>
        <v>-</v>
      </c>
      <c r="AK448" s="813"/>
      <c r="AL448" s="807" t="str">
        <f t="shared" si="336"/>
        <v>-</v>
      </c>
      <c r="AM448" s="807" t="str">
        <f t="shared" si="337"/>
        <v>-</v>
      </c>
      <c r="AN448" s="814" t="str">
        <f t="shared" ca="1" si="338"/>
        <v>-</v>
      </c>
      <c r="AO448" s="815">
        <v>1</v>
      </c>
      <c r="AP448" s="816" t="str">
        <f t="shared" ca="1" si="339"/>
        <v>-</v>
      </c>
      <c r="AQ448" s="817"/>
      <c r="AR448" s="794" t="str">
        <f t="shared" si="340"/>
        <v>-</v>
      </c>
      <c r="AS448" s="818"/>
      <c r="AT448" s="794" t="str">
        <f t="shared" si="341"/>
        <v>-</v>
      </c>
      <c r="AU448" s="819">
        <v>1</v>
      </c>
      <c r="AV448" s="820"/>
      <c r="AW448" s="821"/>
      <c r="AX448" s="821"/>
      <c r="AY448" s="969" t="str">
        <f t="shared" si="342"/>
        <v>-</v>
      </c>
      <c r="AZ448" s="966" t="str">
        <f t="shared" si="343"/>
        <v>-</v>
      </c>
      <c r="BA448" s="971" t="str">
        <f t="shared" si="344"/>
        <v>-</v>
      </c>
      <c r="BB448" s="975"/>
      <c r="BC448" s="821"/>
      <c r="BD448" s="821"/>
      <c r="BE448" s="963" t="str">
        <f t="shared" si="345"/>
        <v>-</v>
      </c>
      <c r="BF448" s="984"/>
      <c r="BG448" s="988"/>
      <c r="BH448" s="982"/>
      <c r="BI448" s="991"/>
      <c r="BJ448" s="991"/>
      <c r="BK448" s="993" t="str">
        <f t="shared" si="346"/>
        <v>-</v>
      </c>
      <c r="BL448" s="820">
        <v>42978</v>
      </c>
      <c r="BM448" s="821">
        <v>5</v>
      </c>
      <c r="BN448" s="822">
        <f t="shared" ca="1" si="347"/>
        <v>156</v>
      </c>
      <c r="BO448" s="823">
        <f t="shared" si="348"/>
        <v>43.9</v>
      </c>
      <c r="BP448" s="824">
        <v>43001</v>
      </c>
      <c r="BQ448" s="821">
        <v>2</v>
      </c>
      <c r="BR448" s="822">
        <f t="shared" ca="1" si="349"/>
        <v>133</v>
      </c>
      <c r="BS448" s="823">
        <f t="shared" si="350"/>
        <v>11.1</v>
      </c>
      <c r="BT448" s="825" t="str">
        <f t="shared" ca="1" si="351"/>
        <v>-</v>
      </c>
      <c r="BU448" s="826"/>
      <c r="BV448" s="827"/>
      <c r="BW448" s="828" t="str">
        <f t="shared" si="352"/>
        <v>Ж-Е НЕ ВАКЦ.</v>
      </c>
      <c r="BX448" s="829" t="str">
        <f t="shared" si="353"/>
        <v>-</v>
      </c>
      <c r="BY448" s="830" t="str">
        <f t="shared" ca="1" si="354"/>
        <v>-</v>
      </c>
      <c r="BZ448" s="831">
        <v>42887</v>
      </c>
      <c r="CA448" s="832">
        <v>5</v>
      </c>
      <c r="CB448" s="833">
        <f t="shared" ca="1" si="355"/>
        <v>247</v>
      </c>
      <c r="CC448" s="834" t="str">
        <f t="shared" ca="1" si="356"/>
        <v>-</v>
      </c>
      <c r="CD448" s="835">
        <f t="shared" si="357"/>
        <v>42908</v>
      </c>
      <c r="CE448" s="831">
        <v>42908</v>
      </c>
      <c r="CF448" s="832">
        <v>5</v>
      </c>
      <c r="CG448" s="833">
        <f t="shared" ca="1" si="358"/>
        <v>226</v>
      </c>
      <c r="CH448" s="836">
        <f t="shared" si="359"/>
        <v>0</v>
      </c>
      <c r="CI448" s="837" t="str">
        <f t="shared" si="360"/>
        <v>УСПЕШНО</v>
      </c>
      <c r="CJ448" s="838" t="str">
        <f t="shared" ca="1" si="361"/>
        <v>-</v>
      </c>
      <c r="CK448" s="831"/>
      <c r="CL448" s="832"/>
      <c r="CM448" s="833" t="str">
        <f t="shared" si="362"/>
        <v>-</v>
      </c>
      <c r="CN448" s="834" t="str">
        <f t="shared" si="363"/>
        <v>-</v>
      </c>
      <c r="CO448" s="830" t="str">
        <f t="shared" ca="1" si="364"/>
        <v>-</v>
      </c>
      <c r="CP448" s="831">
        <v>42958</v>
      </c>
      <c r="CQ448" s="832">
        <v>2</v>
      </c>
      <c r="CR448" s="833">
        <f t="shared" si="365"/>
        <v>42958</v>
      </c>
      <c r="CS448" s="833">
        <f t="shared" ca="1" si="366"/>
        <v>176</v>
      </c>
      <c r="CT448" s="834" t="str">
        <f t="shared" ca="1" si="367"/>
        <v>-</v>
      </c>
      <c r="CU448" s="835">
        <f t="shared" si="368"/>
        <v>42979</v>
      </c>
      <c r="CV448" s="831">
        <v>42980</v>
      </c>
      <c r="CW448" s="832">
        <v>2</v>
      </c>
      <c r="CX448" s="833">
        <f t="shared" si="369"/>
        <v>1</v>
      </c>
      <c r="CY448" s="840" t="str">
        <f t="shared" si="370"/>
        <v>-</v>
      </c>
      <c r="CZ448" s="833">
        <f t="shared" si="371"/>
        <v>42980</v>
      </c>
      <c r="DA448" s="838" t="str">
        <f t="shared" ca="1" si="372"/>
        <v>-</v>
      </c>
      <c r="DB448" s="841"/>
      <c r="DC448" s="832"/>
    </row>
    <row r="449" spans="1:107" s="842" customFormat="1" ht="15.95" customHeight="1" x14ac:dyDescent="0.25">
      <c r="A449" s="790">
        <v>450</v>
      </c>
      <c r="B449" s="791">
        <f t="shared" ca="1" si="321"/>
        <v>43134</v>
      </c>
      <c r="C449" s="792" t="s">
        <v>615</v>
      </c>
      <c r="D449" s="793" t="s">
        <v>908</v>
      </c>
      <c r="E449" s="794" t="s">
        <v>75</v>
      </c>
      <c r="F449" s="862" t="s">
        <v>1473</v>
      </c>
      <c r="G449" s="796">
        <f>SUMIFS(МОЛОКО!L8:L6958,МОЛОКО!F8:F6958,"2543",МОЛОКО!L8:L6958,"&gt;0")</f>
        <v>31</v>
      </c>
      <c r="H449" s="797" t="s">
        <v>603</v>
      </c>
      <c r="I449" s="798">
        <v>42062</v>
      </c>
      <c r="J449" s="799">
        <f t="shared" ca="1" si="322"/>
        <v>2.9369863013698629</v>
      </c>
      <c r="K449" s="799">
        <f t="shared" ca="1" si="323"/>
        <v>35.733333333333334</v>
      </c>
      <c r="L449" s="800">
        <f t="shared" ca="1" si="324"/>
        <v>1072</v>
      </c>
      <c r="M449" s="801">
        <v>42970</v>
      </c>
      <c r="N449" s="802">
        <v>42970</v>
      </c>
      <c r="O449" s="803">
        <f t="shared" ca="1" si="325"/>
        <v>164</v>
      </c>
      <c r="P449" s="804">
        <v>1</v>
      </c>
      <c r="Q449" s="805"/>
      <c r="R449" s="806"/>
      <c r="S449" s="807">
        <v>43023</v>
      </c>
      <c r="T449" s="798">
        <v>43023</v>
      </c>
      <c r="U449" s="798">
        <f t="shared" si="326"/>
        <v>43041</v>
      </c>
      <c r="V449" s="804">
        <f t="shared" ca="1" si="327"/>
        <v>93</v>
      </c>
      <c r="W449" s="808">
        <v>0</v>
      </c>
      <c r="X449" s="794">
        <f t="shared" si="373"/>
        <v>53</v>
      </c>
      <c r="Y449" s="794">
        <v>5</v>
      </c>
      <c r="Z449" s="809" t="str">
        <f t="shared" ca="1" si="328"/>
        <v>-----</v>
      </c>
      <c r="AA449" s="810">
        <f t="shared" ca="1" si="329"/>
        <v>111</v>
      </c>
      <c r="AB449" s="804"/>
      <c r="AC449" s="811" t="str">
        <f t="shared" ca="1" si="330"/>
        <v>-----</v>
      </c>
      <c r="AD449" s="798"/>
      <c r="AE449" s="794" t="str">
        <f t="shared" ca="1" si="331"/>
        <v>-</v>
      </c>
      <c r="AF449" s="798" t="str">
        <f t="shared" si="332"/>
        <v>-</v>
      </c>
      <c r="AG449" s="812" t="str">
        <f t="shared" si="333"/>
        <v>---------</v>
      </c>
      <c r="AH449" s="807"/>
      <c r="AI449" s="807" t="str">
        <f t="shared" si="334"/>
        <v>-</v>
      </c>
      <c r="AJ449" s="807" t="str">
        <f t="shared" si="335"/>
        <v>-</v>
      </c>
      <c r="AK449" s="813"/>
      <c r="AL449" s="807" t="str">
        <f t="shared" si="336"/>
        <v>-</v>
      </c>
      <c r="AM449" s="807" t="str">
        <f t="shared" si="337"/>
        <v>-</v>
      </c>
      <c r="AN449" s="814" t="str">
        <f t="shared" ca="1" si="338"/>
        <v>-</v>
      </c>
      <c r="AO449" s="815">
        <v>1</v>
      </c>
      <c r="AP449" s="816" t="str">
        <f t="shared" ca="1" si="339"/>
        <v>-</v>
      </c>
      <c r="AQ449" s="817"/>
      <c r="AR449" s="794" t="str">
        <f t="shared" si="340"/>
        <v>-</v>
      </c>
      <c r="AS449" s="818"/>
      <c r="AT449" s="794" t="str">
        <f t="shared" si="341"/>
        <v>-</v>
      </c>
      <c r="AU449" s="819">
        <v>1</v>
      </c>
      <c r="AV449" s="820"/>
      <c r="AW449" s="821"/>
      <c r="AX449" s="821"/>
      <c r="AY449" s="969" t="str">
        <f t="shared" si="342"/>
        <v>-</v>
      </c>
      <c r="AZ449" s="966" t="str">
        <f t="shared" si="343"/>
        <v>-</v>
      </c>
      <c r="BA449" s="971" t="str">
        <f t="shared" si="344"/>
        <v>-</v>
      </c>
      <c r="BB449" s="975"/>
      <c r="BC449" s="821"/>
      <c r="BD449" s="821"/>
      <c r="BE449" s="963" t="str">
        <f t="shared" si="345"/>
        <v>-</v>
      </c>
      <c r="BF449" s="984"/>
      <c r="BG449" s="988"/>
      <c r="BH449" s="982"/>
      <c r="BI449" s="991"/>
      <c r="BJ449" s="991"/>
      <c r="BK449" s="993" t="str">
        <f t="shared" si="346"/>
        <v>-</v>
      </c>
      <c r="BL449" s="820">
        <v>42982</v>
      </c>
      <c r="BM449" s="821">
        <v>5</v>
      </c>
      <c r="BN449" s="822">
        <f t="shared" ca="1" si="347"/>
        <v>152</v>
      </c>
      <c r="BO449" s="823">
        <f t="shared" si="348"/>
        <v>30.666666666666668</v>
      </c>
      <c r="BP449" s="824">
        <v>43001</v>
      </c>
      <c r="BQ449" s="821">
        <v>2</v>
      </c>
      <c r="BR449" s="822">
        <f t="shared" ca="1" si="349"/>
        <v>133</v>
      </c>
      <c r="BS449" s="823">
        <f t="shared" si="350"/>
        <v>1.0333333333333334</v>
      </c>
      <c r="BT449" s="825" t="str">
        <f t="shared" ca="1" si="351"/>
        <v>-</v>
      </c>
      <c r="BU449" s="826"/>
      <c r="BV449" s="827"/>
      <c r="BW449" s="828" t="str">
        <f t="shared" si="352"/>
        <v>Ж-Е НЕ ВАКЦ.</v>
      </c>
      <c r="BX449" s="829" t="str">
        <f t="shared" si="353"/>
        <v>-</v>
      </c>
      <c r="BY449" s="830" t="str">
        <f t="shared" ca="1" si="354"/>
        <v>-</v>
      </c>
      <c r="BZ449" s="831">
        <v>43011</v>
      </c>
      <c r="CA449" s="832">
        <v>5</v>
      </c>
      <c r="CB449" s="833">
        <f t="shared" ca="1" si="355"/>
        <v>123</v>
      </c>
      <c r="CC449" s="834" t="str">
        <f t="shared" ca="1" si="356"/>
        <v>-</v>
      </c>
      <c r="CD449" s="835">
        <f t="shared" si="357"/>
        <v>43032</v>
      </c>
      <c r="CE449" s="831">
        <v>43033</v>
      </c>
      <c r="CF449" s="832">
        <v>5</v>
      </c>
      <c r="CG449" s="833">
        <f t="shared" ca="1" si="358"/>
        <v>101</v>
      </c>
      <c r="CH449" s="836">
        <f t="shared" si="359"/>
        <v>-1</v>
      </c>
      <c r="CI449" s="837" t="str">
        <f t="shared" si="360"/>
        <v>-</v>
      </c>
      <c r="CJ449" s="838" t="str">
        <f t="shared" ca="1" si="361"/>
        <v>-</v>
      </c>
      <c r="CK449" s="831"/>
      <c r="CL449" s="832"/>
      <c r="CM449" s="833" t="str">
        <f t="shared" si="362"/>
        <v>-</v>
      </c>
      <c r="CN449" s="834" t="str">
        <f t="shared" si="363"/>
        <v>-</v>
      </c>
      <c r="CO449" s="830" t="str">
        <f t="shared" ca="1" si="364"/>
        <v>-</v>
      </c>
      <c r="CP449" s="831">
        <v>42890</v>
      </c>
      <c r="CQ449" s="832">
        <v>2</v>
      </c>
      <c r="CR449" s="833">
        <f t="shared" si="365"/>
        <v>-133</v>
      </c>
      <c r="CS449" s="833">
        <f t="shared" ca="1" si="366"/>
        <v>244</v>
      </c>
      <c r="CT449" s="834" t="str">
        <f t="shared" ca="1" si="367"/>
        <v>-</v>
      </c>
      <c r="CU449" s="835">
        <f t="shared" si="368"/>
        <v>42911</v>
      </c>
      <c r="CV449" s="831">
        <v>42911</v>
      </c>
      <c r="CW449" s="832">
        <v>2</v>
      </c>
      <c r="CX449" s="833">
        <f t="shared" si="369"/>
        <v>0</v>
      </c>
      <c r="CY449" s="840" t="str">
        <f t="shared" si="370"/>
        <v>УСПЕШНО</v>
      </c>
      <c r="CZ449" s="833">
        <f t="shared" si="371"/>
        <v>-112</v>
      </c>
      <c r="DA449" s="838" t="str">
        <f t="shared" ca="1" si="372"/>
        <v>-</v>
      </c>
      <c r="DB449" s="841"/>
      <c r="DC449" s="832"/>
    </row>
    <row r="450" spans="1:107" s="842" customFormat="1" ht="15.95" customHeight="1" x14ac:dyDescent="0.25">
      <c r="A450" s="790">
        <v>452</v>
      </c>
      <c r="B450" s="791">
        <f t="shared" ca="1" si="321"/>
        <v>43134</v>
      </c>
      <c r="C450" s="792" t="s">
        <v>615</v>
      </c>
      <c r="D450" s="793" t="s">
        <v>908</v>
      </c>
      <c r="E450" s="794" t="s">
        <v>165</v>
      </c>
      <c r="F450" s="854" t="s">
        <v>166</v>
      </c>
      <c r="G450" s="796">
        <f>SUMIFS(МОЛОКО!L8:L6958,МОЛОКО!F8:F6958,"11170",МОЛОКО!L8:L6958,"&gt;0")</f>
        <v>49</v>
      </c>
      <c r="H450" s="797" t="s">
        <v>87</v>
      </c>
      <c r="I450" s="798">
        <v>40661</v>
      </c>
      <c r="J450" s="799">
        <f t="shared" ca="1" si="322"/>
        <v>6.7753424657534245</v>
      </c>
      <c r="K450" s="799">
        <f t="shared" ca="1" si="323"/>
        <v>82.433333333333337</v>
      </c>
      <c r="L450" s="800">
        <f t="shared" ca="1" si="324"/>
        <v>2473</v>
      </c>
      <c r="M450" s="801">
        <v>41607</v>
      </c>
      <c r="N450" s="802">
        <v>42964</v>
      </c>
      <c r="O450" s="803">
        <f t="shared" ca="1" si="325"/>
        <v>170</v>
      </c>
      <c r="P450" s="804">
        <v>4</v>
      </c>
      <c r="Q450" s="68" t="s">
        <v>2366</v>
      </c>
      <c r="R450" s="118" t="s">
        <v>3020</v>
      </c>
      <c r="S450" s="807">
        <v>43027</v>
      </c>
      <c r="T450" s="798">
        <v>43027</v>
      </c>
      <c r="U450" s="798">
        <f t="shared" si="326"/>
        <v>43045</v>
      </c>
      <c r="V450" s="804">
        <f t="shared" ca="1" si="327"/>
        <v>89</v>
      </c>
      <c r="W450" s="808">
        <v>1</v>
      </c>
      <c r="X450" s="794">
        <f t="shared" si="373"/>
        <v>63</v>
      </c>
      <c r="Y450" s="794">
        <v>3</v>
      </c>
      <c r="Z450" s="809" t="str">
        <f t="shared" ca="1" si="328"/>
        <v>-----</v>
      </c>
      <c r="AA450" s="810">
        <f t="shared" ca="1" si="329"/>
        <v>107</v>
      </c>
      <c r="AB450" s="804"/>
      <c r="AC450" s="811" t="str">
        <f t="shared" ca="1" si="330"/>
        <v>-----</v>
      </c>
      <c r="AD450" s="798"/>
      <c r="AE450" s="794" t="str">
        <f t="shared" ca="1" si="331"/>
        <v>-</v>
      </c>
      <c r="AF450" s="798">
        <f t="shared" si="332"/>
        <v>43062</v>
      </c>
      <c r="AG450" s="812">
        <f t="shared" ca="1" si="333"/>
        <v>72</v>
      </c>
      <c r="AH450" s="807"/>
      <c r="AI450" s="807" t="str">
        <f t="shared" si="334"/>
        <v>-</v>
      </c>
      <c r="AJ450" s="807" t="str">
        <f t="shared" si="335"/>
        <v>-</v>
      </c>
      <c r="AK450" s="813"/>
      <c r="AL450" s="807" t="str">
        <f t="shared" si="336"/>
        <v>-</v>
      </c>
      <c r="AM450" s="807" t="str">
        <f t="shared" si="337"/>
        <v>-</v>
      </c>
      <c r="AN450" s="814" t="str">
        <f t="shared" ca="1" si="338"/>
        <v>-</v>
      </c>
      <c r="AO450" s="815">
        <v>1</v>
      </c>
      <c r="AP450" s="816" t="str">
        <f t="shared" ca="1" si="339"/>
        <v>-</v>
      </c>
      <c r="AQ450" s="817"/>
      <c r="AR450" s="794" t="str">
        <f t="shared" si="340"/>
        <v>-</v>
      </c>
      <c r="AS450" s="818"/>
      <c r="AT450" s="794" t="str">
        <f t="shared" si="341"/>
        <v>-</v>
      </c>
      <c r="AU450" s="819">
        <v>1</v>
      </c>
      <c r="AV450" s="820"/>
      <c r="AW450" s="821"/>
      <c r="AX450" s="821"/>
      <c r="AY450" s="969" t="str">
        <f t="shared" si="342"/>
        <v>-</v>
      </c>
      <c r="AZ450" s="966" t="str">
        <f t="shared" si="343"/>
        <v>-</v>
      </c>
      <c r="BA450" s="971" t="str">
        <f t="shared" si="344"/>
        <v>-</v>
      </c>
      <c r="BB450" s="975"/>
      <c r="BC450" s="821"/>
      <c r="BD450" s="821"/>
      <c r="BE450" s="963" t="str">
        <f t="shared" si="345"/>
        <v>-</v>
      </c>
      <c r="BF450" s="984"/>
      <c r="BG450" s="988"/>
      <c r="BH450" s="982"/>
      <c r="BI450" s="991"/>
      <c r="BJ450" s="991"/>
      <c r="BK450" s="993" t="str">
        <f t="shared" si="346"/>
        <v>-</v>
      </c>
      <c r="BL450" s="820">
        <v>42979</v>
      </c>
      <c r="BM450" s="821">
        <v>5</v>
      </c>
      <c r="BN450" s="822">
        <f t="shared" ca="1" si="347"/>
        <v>155</v>
      </c>
      <c r="BO450" s="823">
        <f t="shared" si="348"/>
        <v>77.266666666666666</v>
      </c>
      <c r="BP450" s="824"/>
      <c r="BQ450" s="821"/>
      <c r="BR450" s="822" t="str">
        <f t="shared" si="349"/>
        <v>-</v>
      </c>
      <c r="BS450" s="823" t="str">
        <f t="shared" si="350"/>
        <v>-</v>
      </c>
      <c r="BT450" s="825" t="str">
        <f t="shared" ca="1" si="351"/>
        <v>-</v>
      </c>
      <c r="BU450" s="826"/>
      <c r="BV450" s="827"/>
      <c r="BW450" s="828" t="str">
        <f t="shared" si="352"/>
        <v>Ж-Е НЕ ВАКЦ.</v>
      </c>
      <c r="BX450" s="829" t="str">
        <f t="shared" si="353"/>
        <v>-</v>
      </c>
      <c r="BY450" s="830" t="str">
        <f t="shared" ca="1" si="354"/>
        <v>-</v>
      </c>
      <c r="BZ450" s="831">
        <v>43011</v>
      </c>
      <c r="CA450" s="832">
        <v>5</v>
      </c>
      <c r="CB450" s="833">
        <f t="shared" ca="1" si="355"/>
        <v>123</v>
      </c>
      <c r="CC450" s="834" t="str">
        <f t="shared" ca="1" si="356"/>
        <v>-</v>
      </c>
      <c r="CD450" s="835">
        <f t="shared" si="357"/>
        <v>43032</v>
      </c>
      <c r="CE450" s="831">
        <v>43033</v>
      </c>
      <c r="CF450" s="832">
        <v>5</v>
      </c>
      <c r="CG450" s="833">
        <f t="shared" ca="1" si="358"/>
        <v>101</v>
      </c>
      <c r="CH450" s="836">
        <f t="shared" si="359"/>
        <v>-1</v>
      </c>
      <c r="CI450" s="837" t="str">
        <f t="shared" si="360"/>
        <v>-</v>
      </c>
      <c r="CJ450" s="838" t="str">
        <f t="shared" ca="1" si="361"/>
        <v>-</v>
      </c>
      <c r="CK450" s="831"/>
      <c r="CL450" s="832"/>
      <c r="CM450" s="833" t="str">
        <f t="shared" si="362"/>
        <v>-</v>
      </c>
      <c r="CN450" s="834" t="str">
        <f t="shared" si="363"/>
        <v>-</v>
      </c>
      <c r="CO450" s="830" t="str">
        <f t="shared" ca="1" si="364"/>
        <v>-</v>
      </c>
      <c r="CP450" s="831">
        <v>42882</v>
      </c>
      <c r="CQ450" s="832">
        <v>2</v>
      </c>
      <c r="CR450" s="833">
        <f t="shared" si="365"/>
        <v>-145</v>
      </c>
      <c r="CS450" s="833">
        <f t="shared" ca="1" si="366"/>
        <v>252</v>
      </c>
      <c r="CT450" s="834" t="str">
        <f t="shared" ca="1" si="367"/>
        <v>-</v>
      </c>
      <c r="CU450" s="835">
        <f t="shared" si="368"/>
        <v>42903</v>
      </c>
      <c r="CV450" s="831">
        <v>42903</v>
      </c>
      <c r="CW450" s="832">
        <v>2</v>
      </c>
      <c r="CX450" s="833">
        <f t="shared" si="369"/>
        <v>0</v>
      </c>
      <c r="CY450" s="840" t="str">
        <f t="shared" si="370"/>
        <v>УСПЕШНО</v>
      </c>
      <c r="CZ450" s="833">
        <f t="shared" si="371"/>
        <v>-124</v>
      </c>
      <c r="DA450" s="838" t="str">
        <f t="shared" ca="1" si="372"/>
        <v>-</v>
      </c>
      <c r="DB450" s="841"/>
      <c r="DC450" s="832"/>
    </row>
    <row r="451" spans="1:107" s="842" customFormat="1" ht="15.95" customHeight="1" x14ac:dyDescent="0.25">
      <c r="A451" s="790">
        <v>453</v>
      </c>
      <c r="B451" s="791">
        <f t="shared" ref="B451:B514" ca="1" si="374">TODAY()</f>
        <v>43134</v>
      </c>
      <c r="C451" s="792" t="s">
        <v>615</v>
      </c>
      <c r="D451" s="793" t="s">
        <v>908</v>
      </c>
      <c r="E451" s="794" t="s">
        <v>471</v>
      </c>
      <c r="F451" s="854" t="s">
        <v>472</v>
      </c>
      <c r="G451" s="796">
        <f>SUMIFS(МОЛОКО!L8:L6958,МОЛОКО!F8:F6958,"277303",МОЛОКО!L8:L6958,"&gt;0")</f>
        <v>42</v>
      </c>
      <c r="H451" s="797" t="s">
        <v>78</v>
      </c>
      <c r="I451" s="798">
        <v>41381</v>
      </c>
      <c r="J451" s="799">
        <f t="shared" ref="J451:J514" ca="1" si="375">(B451-I451)/365</f>
        <v>4.8027397260273972</v>
      </c>
      <c r="K451" s="799">
        <f t="shared" ref="K451:K514" ca="1" si="376">(B451-I451)/30</f>
        <v>58.43333333333333</v>
      </c>
      <c r="L451" s="800">
        <f t="shared" ref="L451:L514" ca="1" si="377">B451-I451</f>
        <v>1753</v>
      </c>
      <c r="M451" s="801">
        <v>42177</v>
      </c>
      <c r="N451" s="802">
        <v>42995</v>
      </c>
      <c r="O451" s="803">
        <f t="shared" ref="O451:O514" ca="1" si="378">IF(AND(B451&gt;0,N451&gt;0),B451-N451,"-")</f>
        <v>139</v>
      </c>
      <c r="P451" s="804">
        <v>3</v>
      </c>
      <c r="Q451" s="68" t="s">
        <v>2366</v>
      </c>
      <c r="R451" s="118" t="s">
        <v>2435</v>
      </c>
      <c r="S451" s="807">
        <v>43055</v>
      </c>
      <c r="T451" s="798">
        <v>43055</v>
      </c>
      <c r="U451" s="798">
        <f t="shared" ref="U451:U514" si="379">IF(AND(Y451&gt;1,T451&gt;0),T451+18,"-")</f>
        <v>43073</v>
      </c>
      <c r="V451" s="804">
        <f t="shared" ref="V451:V514" ca="1" si="380">IF(AND(U451&gt;0,B451&gt;0,Y451&gt;1),B451-U451,"-")</f>
        <v>61</v>
      </c>
      <c r="W451" s="808">
        <v>1</v>
      </c>
      <c r="X451" s="794">
        <f t="shared" si="373"/>
        <v>60</v>
      </c>
      <c r="Y451" s="794">
        <v>3</v>
      </c>
      <c r="Z451" s="809" t="str">
        <f t="shared" ref="Z451:Z514" ca="1" si="381">IF(AND(Y451=1,AA451&gt;71,OR(ISBLANK(AB451),AB451=2)),"ПОДЛЕЖИТ ПЕРЕПРОВЕРКЕ","-----")</f>
        <v>-----</v>
      </c>
      <c r="AA451" s="810">
        <f t="shared" ref="AA451:AA514" ca="1" si="382">IF(AND(O451&gt;-1,W451&gt;0,Y451=1,AB451=1),"-----",B451-T451)</f>
        <v>79</v>
      </c>
      <c r="AB451" s="804"/>
      <c r="AC451" s="811" t="str">
        <f t="shared" ref="AC451:AC514" ca="1" si="383">IF(AND(AB451&lt;1,Z451="ПОДЛЕЖИТ ПЕРЕПРОВЕРКЕ",Y451=1),T451+72,"-----")</f>
        <v>-----</v>
      </c>
      <c r="AD451" s="798"/>
      <c r="AE451" s="794" t="str">
        <f t="shared" ref="AE451:AE514" ca="1" si="384">IF(AND(O451&gt;120,Y451=0,N451&gt;0),"яловая","-")</f>
        <v>-</v>
      </c>
      <c r="AF451" s="798">
        <f t="shared" ref="AF451:AF514" si="385">IF(AND(T451&gt;0,OR(Y451=3,Y451=2)),T451+35,"-")</f>
        <v>43090</v>
      </c>
      <c r="AG451" s="812">
        <f t="shared" ref="AG451:AG514" ca="1" si="386">IF(AND(T451&gt;0,W451&gt;0,Q451&gt;0,OR(Y451=3,Y451=2)),B451-AF451,"---------")</f>
        <v>44</v>
      </c>
      <c r="AH451" s="807"/>
      <c r="AI451" s="807" t="str">
        <f t="shared" ref="AI451:AI514" si="387">IF(AND($T451&gt;0,$N451&gt;0,$Y451=1),$T451+280-90,"-")</f>
        <v>-</v>
      </c>
      <c r="AJ451" s="807" t="str">
        <f t="shared" ref="AJ451:AJ514" si="388">IF(AND(T451&gt;0,Y451=1,N451&gt;0),T451+280-60,"-")</f>
        <v>-</v>
      </c>
      <c r="AK451" s="813"/>
      <c r="AL451" s="807" t="str">
        <f t="shared" ref="AL451:AL514" si="389">IF(AND($T451&gt;0,$Y451=1),$T451+280-21,"-")</f>
        <v>-</v>
      </c>
      <c r="AM451" s="807" t="str">
        <f t="shared" ref="AM451:AM514" si="390">IF(AND(T451&gt;0,Y451=1),T451+280,"-")</f>
        <v>-</v>
      </c>
      <c r="AN451" s="814" t="str">
        <f t="shared" ref="AN451:AN514" ca="1" si="391">IF(AND(B451&gt;0,AM451&gt;0,AH451&gt;0,Y451=1),B451-AM451,"-")</f>
        <v>-</v>
      </c>
      <c r="AO451" s="815">
        <v>1</v>
      </c>
      <c r="AP451" s="816" t="str">
        <f t="shared" ref="AP451:AP514" ca="1" si="392">IF(AND(AE451="яловая",O451&gt;300),"БРАК","-")</f>
        <v>-</v>
      </c>
      <c r="AQ451" s="817"/>
      <c r="AR451" s="794" t="str">
        <f t="shared" ref="AR451:AR514" si="393">IF(AND(Y451=1,P451=0),"НЕТЕЛЬ","-")</f>
        <v>-</v>
      </c>
      <c r="AS451" s="818"/>
      <c r="AT451" s="794" t="str">
        <f t="shared" ref="AT451:AT514" si="394">IF(AND(N451&gt;0,T451&gt;0,W451&gt;0,Y451=1,AH451&gt;0,AK451&gt;0),"DRY COW","-")</f>
        <v>-</v>
      </c>
      <c r="AU451" s="819">
        <v>1</v>
      </c>
      <c r="AV451" s="820"/>
      <c r="AW451" s="821"/>
      <c r="AX451" s="821"/>
      <c r="AY451" s="969" t="str">
        <f t="shared" ref="AY451:AY514" si="395">IF(AND(AV451&gt;0,AW451&gt;0,AX451&gt;0),B451-AV451,"-")</f>
        <v>-</v>
      </c>
      <c r="AZ451" s="966" t="str">
        <f t="shared" ref="AZ451:AZ514" si="396">IF(AND(AV451&gt;0,AW451&gt;0,AX451&gt;0,AY451&gt;10,BB451=0,BC451=0,BD451=0),"РЕВАКЦИНАЦИЯ","-")</f>
        <v>-</v>
      </c>
      <c r="BA451" s="971" t="str">
        <f t="shared" ref="BA451:BA514" si="397">IF(AND(AV451&gt;0,AW451&gt;0,AX451&gt;0),AV451+10,"-")</f>
        <v>-</v>
      </c>
      <c r="BB451" s="975"/>
      <c r="BC451" s="821"/>
      <c r="BD451" s="821"/>
      <c r="BE451" s="963" t="str">
        <f t="shared" ref="BE451:BE514" si="398">IF(AND(BB451&gt;0,BC451&gt;0,BD451&gt;0),B451-BB451,"-")</f>
        <v>-</v>
      </c>
      <c r="BF451" s="984"/>
      <c r="BG451" s="988"/>
      <c r="BH451" s="982"/>
      <c r="BI451" s="991"/>
      <c r="BJ451" s="991"/>
      <c r="BK451" s="993" t="str">
        <f t="shared" ref="BK451:BK514" si="399">IF(AND(BF451&gt;0,BG451&gt;0,BH451&gt;0,BI451&gt;0,BJ451&gt;0),B451-BF451,"-")</f>
        <v>-</v>
      </c>
      <c r="BL451" s="820">
        <v>42978</v>
      </c>
      <c r="BM451" s="821">
        <v>5</v>
      </c>
      <c r="BN451" s="822">
        <f t="shared" ref="BN451:BN514" ca="1" si="400">IF(AND(BL451&gt;0,BM451&gt;0),B451-BL451,"-")</f>
        <v>156</v>
      </c>
      <c r="BO451" s="823">
        <f t="shared" ref="BO451:BO514" si="401">IF(AND(BL451&gt;0,BM451&gt;0),(BL451-I451)/30,"-")</f>
        <v>53.233333333333334</v>
      </c>
      <c r="BP451" s="824"/>
      <c r="BQ451" s="821"/>
      <c r="BR451" s="822" t="str">
        <f t="shared" ref="BR451:BR514" si="402">IF(AND(BP451&gt;0,BQ451&gt;0),B451-BP451,"-")</f>
        <v>-</v>
      </c>
      <c r="BS451" s="823" t="str">
        <f t="shared" ref="BS451:BS514" si="403">IF(AND(BP451&gt;0,BQ451&gt;0),(BP451-M451)/30,"-")</f>
        <v>-</v>
      </c>
      <c r="BT451" s="825" t="str">
        <f t="shared" ref="BT451:BT514" ca="1" si="404">IF(AND(OR(E451="тёлочка",E451="бычок"),L451&gt;0,BV451&lt;2,L451&lt;60),"ПОДЛЕЖИТ ВАКЦИНАЦИИ","-")</f>
        <v>-</v>
      </c>
      <c r="BU451" s="826"/>
      <c r="BV451" s="827"/>
      <c r="BW451" s="828" t="str">
        <f t="shared" ref="BW451:BW514" si="405">IF(AND(BU451&gt;0,BV451=2),BU451-I451,"Ж-Е НЕ ВАКЦ.")</f>
        <v>Ж-Е НЕ ВАКЦ.</v>
      </c>
      <c r="BX451" s="829" t="str">
        <f t="shared" ref="BX451:BX514" si="406">IF(AND(BU451&gt;0,BV451=2),B451-BU451,"-")</f>
        <v>-</v>
      </c>
      <c r="BY451" s="830" t="str">
        <f t="shared" ref="BY451:BY514" ca="1" si="407">IF(AND(L451&gt;42,CA451&lt;5),"ПОДЛЕЖИТ ВАКЦИНАЦИИ","-")</f>
        <v>-</v>
      </c>
      <c r="BZ451" s="831">
        <v>42887</v>
      </c>
      <c r="CA451" s="832">
        <v>5</v>
      </c>
      <c r="CB451" s="833">
        <f t="shared" ref="CB451:CB514" ca="1" si="408">IF(AND(BZ451&gt;0,CA451=5),B451-BZ451,"-")</f>
        <v>247</v>
      </c>
      <c r="CC451" s="834" t="str">
        <f t="shared" ref="CC451:CC514" ca="1" si="409">IF(AND(CA451=5,CB451&gt;20,CF451&lt;5),"ТРЕБУЕТСЯ БУСТЕРНАЯ ДОЗА","-")</f>
        <v>-</v>
      </c>
      <c r="CD451" s="835">
        <f t="shared" ref="CD451:CD514" si="410">IF(AND(BZ451&gt;0,CA451=5),BZ451+21,"-")</f>
        <v>42908</v>
      </c>
      <c r="CE451" s="831">
        <v>42908</v>
      </c>
      <c r="CF451" s="832">
        <v>5</v>
      </c>
      <c r="CG451" s="833">
        <f t="shared" ref="CG451:CG514" ca="1" si="411">IF(AND(CE451&gt;0,CF451=5),B451-CE451,"-")</f>
        <v>226</v>
      </c>
      <c r="CH451" s="836">
        <f t="shared" ref="CH451:CH514" si="412">IF(AND(CD451&gt;0,CE451&gt;0,CF451=5),CD451-CE451,"-")</f>
        <v>0</v>
      </c>
      <c r="CI451" s="837" t="str">
        <f t="shared" ref="CI451:CI514" si="413">IF(AND(CF451=5,CH451=0),"УСПЕШНО","-")</f>
        <v>УСПЕШНО</v>
      </c>
      <c r="CJ451" s="838" t="str">
        <f t="shared" ref="CJ451:CJ514" ca="1" si="414">IF(AND(BZ451&gt;0,CA451=5,CE451&gt;0,CF451=5,CG451&gt;240,CL451&lt;5),"НЕОБХОДИМА РЕВАКЦИНАЦИЯ","-")</f>
        <v>-</v>
      </c>
      <c r="CK451" s="831"/>
      <c r="CL451" s="832"/>
      <c r="CM451" s="833" t="str">
        <f t="shared" ref="CM451:CM514" si="415">IF(AND(CK451&gt;0,CL451=5),N451-CK451,"-")</f>
        <v>-</v>
      </c>
      <c r="CN451" s="834" t="str">
        <f t="shared" ref="CN451:CN514" si="416">IF(AND(CK451&gt;0,CL451=5,CM451&gt;240),"НЕОБХОДИМА РЕВАКЦИНАЦИЯ","-")</f>
        <v>-</v>
      </c>
      <c r="CO451" s="830" t="str">
        <f t="shared" ref="CO451:CO514" ca="1" si="417">IF(AND(Y451=1,AN451&gt;-70,CQ451&lt;2),"ТРЕБУЕТСЯ ВАКЦИНАЦИЯ","-")</f>
        <v>-</v>
      </c>
      <c r="CP451" s="831">
        <v>42941</v>
      </c>
      <c r="CQ451" s="832">
        <v>2</v>
      </c>
      <c r="CR451" s="833">
        <f t="shared" ref="CR451:CR514" si="418">IF(AND(CP451&gt;0,CQ451=2),CP451-T451,"-")</f>
        <v>-114</v>
      </c>
      <c r="CS451" s="833">
        <f t="shared" ref="CS451:CS514" ca="1" si="419">IF(AND(CP451&gt;0,CQ451=2),B451-CP451,"-")</f>
        <v>193</v>
      </c>
      <c r="CT451" s="834" t="str">
        <f t="shared" ref="CT451:CT514" ca="1" si="420">IF(AND(CQ451=2,CS451&gt;20,CW451&lt;2),"ТРЕБУЕТСЯ БУСТЕРНАЯ ДОЗА","-")</f>
        <v>-</v>
      </c>
      <c r="CU451" s="835">
        <f t="shared" ref="CU451:CU514" si="421">IF(AND(CP451&gt;0,CQ451=2),CP451+21,"-")</f>
        <v>42962</v>
      </c>
      <c r="CV451" s="831">
        <v>42962</v>
      </c>
      <c r="CW451" s="832">
        <v>2</v>
      </c>
      <c r="CX451" s="833">
        <f t="shared" ref="CX451:CX514" si="422">IF(AND(CU451&gt;0,CV451&gt;0,CW451=2),CV451-CU451,"-")</f>
        <v>0</v>
      </c>
      <c r="CY451" s="840" t="str">
        <f t="shared" ref="CY451:CY514" si="423">IF(AND(CW451=2,CX451=0),"УСПЕШНО","-")</f>
        <v>УСПЕШНО</v>
      </c>
      <c r="CZ451" s="833">
        <f t="shared" ref="CZ451:CZ514" si="424">IF(AND(CV451&gt;0,CW451=2),CV451-T451,"-")</f>
        <v>-93</v>
      </c>
      <c r="DA451" s="838" t="str">
        <f t="shared" ref="DA451:DA514" ca="1" si="425">IF(AND(CP451&gt;0,CQ451=2,CV451&gt;0,CW451=2,Y451=1,AN451&gt;-50,DC451&lt;2),"ТРЕБУЕТСЯ РЕВАКЦИНАЦИЯ","-")</f>
        <v>-</v>
      </c>
      <c r="DB451" s="841"/>
      <c r="DC451" s="832"/>
    </row>
    <row r="452" spans="1:107" s="842" customFormat="1" ht="15.95" customHeight="1" x14ac:dyDescent="0.25">
      <c r="A452" s="790">
        <v>454</v>
      </c>
      <c r="B452" s="791">
        <f t="shared" ca="1" si="374"/>
        <v>43134</v>
      </c>
      <c r="C452" s="792" t="s">
        <v>615</v>
      </c>
      <c r="D452" s="793" t="s">
        <v>908</v>
      </c>
      <c r="E452" s="794" t="s">
        <v>578</v>
      </c>
      <c r="F452" s="854" t="s">
        <v>579</v>
      </c>
      <c r="G452" s="796">
        <f>SUMIFS(МОЛОКО!L8:L6958,МОЛОКО!F8:F6958,"277360",МОЛОКО!L8:L6958,"&gt;0")</f>
        <v>39</v>
      </c>
      <c r="H452" s="797" t="s">
        <v>78</v>
      </c>
      <c r="I452" s="798">
        <v>41460</v>
      </c>
      <c r="J452" s="799">
        <f t="shared" ca="1" si="375"/>
        <v>4.5863013698630137</v>
      </c>
      <c r="K452" s="799">
        <f t="shared" ca="1" si="376"/>
        <v>55.8</v>
      </c>
      <c r="L452" s="800">
        <f t="shared" ca="1" si="377"/>
        <v>1674</v>
      </c>
      <c r="M452" s="801">
        <v>42163</v>
      </c>
      <c r="N452" s="802">
        <v>42996</v>
      </c>
      <c r="O452" s="803">
        <f t="shared" ca="1" si="378"/>
        <v>138</v>
      </c>
      <c r="P452" s="804">
        <v>3</v>
      </c>
      <c r="Q452" s="805"/>
      <c r="R452" s="806"/>
      <c r="S452" s="807"/>
      <c r="T452" s="798"/>
      <c r="U452" s="798" t="str">
        <f t="shared" si="379"/>
        <v>-</v>
      </c>
      <c r="V452" s="804" t="str">
        <f t="shared" ca="1" si="380"/>
        <v>-</v>
      </c>
      <c r="W452" s="808">
        <v>0</v>
      </c>
      <c r="X452" s="794" t="str">
        <f t="shared" si="373"/>
        <v>-</v>
      </c>
      <c r="Y452" s="794">
        <v>0</v>
      </c>
      <c r="Z452" s="809" t="str">
        <f t="shared" ca="1" si="381"/>
        <v>-----</v>
      </c>
      <c r="AA452" s="810">
        <f t="shared" ca="1" si="382"/>
        <v>43134</v>
      </c>
      <c r="AB452" s="804"/>
      <c r="AC452" s="811" t="str">
        <f t="shared" ca="1" si="383"/>
        <v>-----</v>
      </c>
      <c r="AD452" s="798"/>
      <c r="AE452" s="794" t="str">
        <f t="shared" ca="1" si="384"/>
        <v>яловая</v>
      </c>
      <c r="AF452" s="798" t="str">
        <f t="shared" si="385"/>
        <v>-</v>
      </c>
      <c r="AG452" s="812" t="str">
        <f t="shared" si="386"/>
        <v>---------</v>
      </c>
      <c r="AH452" s="807"/>
      <c r="AI452" s="807" t="str">
        <f t="shared" si="387"/>
        <v>-</v>
      </c>
      <c r="AJ452" s="807" t="str">
        <f t="shared" si="388"/>
        <v>-</v>
      </c>
      <c r="AK452" s="813"/>
      <c r="AL452" s="807" t="str">
        <f t="shared" si="389"/>
        <v>-</v>
      </c>
      <c r="AM452" s="807" t="str">
        <f t="shared" si="390"/>
        <v>-</v>
      </c>
      <c r="AN452" s="814" t="str">
        <f t="shared" ca="1" si="391"/>
        <v>-</v>
      </c>
      <c r="AO452" s="815">
        <v>1</v>
      </c>
      <c r="AP452" s="816" t="str">
        <f t="shared" ca="1" si="392"/>
        <v>-</v>
      </c>
      <c r="AQ452" s="817"/>
      <c r="AR452" s="794" t="str">
        <f t="shared" si="393"/>
        <v>-</v>
      </c>
      <c r="AS452" s="818"/>
      <c r="AT452" s="794" t="str">
        <f t="shared" si="394"/>
        <v>-</v>
      </c>
      <c r="AU452" s="819">
        <v>1</v>
      </c>
      <c r="AV452" s="820"/>
      <c r="AW452" s="821"/>
      <c r="AX452" s="821"/>
      <c r="AY452" s="969" t="str">
        <f t="shared" si="395"/>
        <v>-</v>
      </c>
      <c r="AZ452" s="966" t="str">
        <f t="shared" si="396"/>
        <v>-</v>
      </c>
      <c r="BA452" s="971" t="str">
        <f t="shared" si="397"/>
        <v>-</v>
      </c>
      <c r="BB452" s="975"/>
      <c r="BC452" s="821"/>
      <c r="BD452" s="821"/>
      <c r="BE452" s="963" t="str">
        <f t="shared" si="398"/>
        <v>-</v>
      </c>
      <c r="BF452" s="984"/>
      <c r="BG452" s="988"/>
      <c r="BH452" s="982"/>
      <c r="BI452" s="991"/>
      <c r="BJ452" s="991"/>
      <c r="BK452" s="993" t="str">
        <f t="shared" si="399"/>
        <v>-</v>
      </c>
      <c r="BL452" s="820">
        <v>42982</v>
      </c>
      <c r="BM452" s="821">
        <v>5</v>
      </c>
      <c r="BN452" s="822">
        <f t="shared" ca="1" si="400"/>
        <v>152</v>
      </c>
      <c r="BO452" s="823">
        <f t="shared" si="401"/>
        <v>50.733333333333334</v>
      </c>
      <c r="BP452" s="824"/>
      <c r="BQ452" s="821"/>
      <c r="BR452" s="822" t="str">
        <f t="shared" si="402"/>
        <v>-</v>
      </c>
      <c r="BS452" s="823" t="str">
        <f t="shared" si="403"/>
        <v>-</v>
      </c>
      <c r="BT452" s="825" t="str">
        <f t="shared" ca="1" si="404"/>
        <v>-</v>
      </c>
      <c r="BU452" s="826"/>
      <c r="BV452" s="827"/>
      <c r="BW452" s="828" t="str">
        <f t="shared" si="405"/>
        <v>Ж-Е НЕ ВАКЦ.</v>
      </c>
      <c r="BX452" s="829" t="str">
        <f t="shared" si="406"/>
        <v>-</v>
      </c>
      <c r="BY452" s="830" t="str">
        <f t="shared" ca="1" si="407"/>
        <v>-</v>
      </c>
      <c r="BZ452" s="831">
        <v>42887</v>
      </c>
      <c r="CA452" s="832">
        <v>5</v>
      </c>
      <c r="CB452" s="833">
        <f t="shared" ca="1" si="408"/>
        <v>247</v>
      </c>
      <c r="CC452" s="834" t="str">
        <f t="shared" ca="1" si="409"/>
        <v>-</v>
      </c>
      <c r="CD452" s="835">
        <f t="shared" si="410"/>
        <v>42908</v>
      </c>
      <c r="CE452" s="831">
        <v>42908</v>
      </c>
      <c r="CF452" s="832">
        <v>5</v>
      </c>
      <c r="CG452" s="833">
        <f t="shared" ca="1" si="411"/>
        <v>226</v>
      </c>
      <c r="CH452" s="836">
        <f t="shared" si="412"/>
        <v>0</v>
      </c>
      <c r="CI452" s="837" t="str">
        <f t="shared" si="413"/>
        <v>УСПЕШНО</v>
      </c>
      <c r="CJ452" s="838" t="str">
        <f t="shared" ca="1" si="414"/>
        <v>-</v>
      </c>
      <c r="CK452" s="831"/>
      <c r="CL452" s="832"/>
      <c r="CM452" s="833" t="str">
        <f t="shared" si="415"/>
        <v>-</v>
      </c>
      <c r="CN452" s="834" t="str">
        <f t="shared" si="416"/>
        <v>-</v>
      </c>
      <c r="CO452" s="830" t="str">
        <f t="shared" ca="1" si="417"/>
        <v>-</v>
      </c>
      <c r="CP452" s="831">
        <v>42941</v>
      </c>
      <c r="CQ452" s="832">
        <v>2</v>
      </c>
      <c r="CR452" s="833">
        <f t="shared" si="418"/>
        <v>42941</v>
      </c>
      <c r="CS452" s="833">
        <f t="shared" ca="1" si="419"/>
        <v>193</v>
      </c>
      <c r="CT452" s="834" t="str">
        <f t="shared" ca="1" si="420"/>
        <v>-</v>
      </c>
      <c r="CU452" s="835">
        <f t="shared" si="421"/>
        <v>42962</v>
      </c>
      <c r="CV452" s="831">
        <v>42962</v>
      </c>
      <c r="CW452" s="832">
        <v>2</v>
      </c>
      <c r="CX452" s="833">
        <f t="shared" si="422"/>
        <v>0</v>
      </c>
      <c r="CY452" s="840" t="str">
        <f t="shared" si="423"/>
        <v>УСПЕШНО</v>
      </c>
      <c r="CZ452" s="833">
        <f t="shared" si="424"/>
        <v>42962</v>
      </c>
      <c r="DA452" s="838" t="str">
        <f t="shared" ca="1" si="425"/>
        <v>-</v>
      </c>
      <c r="DB452" s="841"/>
      <c r="DC452" s="832"/>
    </row>
    <row r="453" spans="1:107" s="842" customFormat="1" ht="15.95" customHeight="1" x14ac:dyDescent="0.25">
      <c r="A453" s="790">
        <v>455</v>
      </c>
      <c r="B453" s="791">
        <f t="shared" ca="1" si="374"/>
        <v>43134</v>
      </c>
      <c r="C453" s="792" t="s">
        <v>615</v>
      </c>
      <c r="D453" s="793" t="s">
        <v>908</v>
      </c>
      <c r="E453" s="794" t="s">
        <v>456</v>
      </c>
      <c r="F453" s="854" t="s">
        <v>457</v>
      </c>
      <c r="G453" s="796">
        <f>SUMIFS(МОЛОКО!L8:L6958,МОЛОКО!F8:F6958,"277594",МОЛОКО!L8:L6958,"&gt;0")</f>
        <v>37</v>
      </c>
      <c r="H453" s="797" t="s">
        <v>78</v>
      </c>
      <c r="I453" s="798">
        <v>41313</v>
      </c>
      <c r="J453" s="799">
        <f t="shared" ca="1" si="375"/>
        <v>4.9890410958904106</v>
      </c>
      <c r="K453" s="799">
        <f t="shared" ca="1" si="376"/>
        <v>60.7</v>
      </c>
      <c r="L453" s="800">
        <f t="shared" ca="1" si="377"/>
        <v>1821</v>
      </c>
      <c r="M453" s="801">
        <v>42192</v>
      </c>
      <c r="N453" s="802">
        <v>42728</v>
      </c>
      <c r="O453" s="803">
        <f t="shared" ca="1" si="378"/>
        <v>406</v>
      </c>
      <c r="P453" s="804">
        <v>2</v>
      </c>
      <c r="Q453" s="805" t="s">
        <v>2366</v>
      </c>
      <c r="R453" s="806" t="s">
        <v>1876</v>
      </c>
      <c r="S453" s="807">
        <v>42789</v>
      </c>
      <c r="T453" s="798">
        <v>42901</v>
      </c>
      <c r="U453" s="798" t="str">
        <f t="shared" si="379"/>
        <v>-</v>
      </c>
      <c r="V453" s="804" t="str">
        <f t="shared" ca="1" si="380"/>
        <v>-</v>
      </c>
      <c r="W453" s="808">
        <v>4</v>
      </c>
      <c r="X453" s="794">
        <f t="shared" si="373"/>
        <v>173</v>
      </c>
      <c r="Y453" s="794">
        <v>1</v>
      </c>
      <c r="Z453" s="809" t="str">
        <f t="shared" ca="1" si="381"/>
        <v>-----</v>
      </c>
      <c r="AA453" s="810" t="str">
        <f t="shared" ca="1" si="382"/>
        <v>-----</v>
      </c>
      <c r="AB453" s="804">
        <v>1</v>
      </c>
      <c r="AC453" s="811" t="str">
        <f t="shared" ca="1" si="383"/>
        <v>-----</v>
      </c>
      <c r="AD453" s="798"/>
      <c r="AE453" s="794" t="str">
        <f t="shared" ca="1" si="384"/>
        <v>-</v>
      </c>
      <c r="AF453" s="798" t="str">
        <f t="shared" si="385"/>
        <v>-</v>
      </c>
      <c r="AG453" s="812" t="str">
        <f t="shared" si="386"/>
        <v>---------</v>
      </c>
      <c r="AH453" s="807">
        <v>42964</v>
      </c>
      <c r="AI453" s="807">
        <f t="shared" si="387"/>
        <v>43091</v>
      </c>
      <c r="AJ453" s="807">
        <f t="shared" si="388"/>
        <v>43121</v>
      </c>
      <c r="AK453" s="813"/>
      <c r="AL453" s="807">
        <f t="shared" si="389"/>
        <v>43160</v>
      </c>
      <c r="AM453" s="807">
        <f t="shared" si="390"/>
        <v>43181</v>
      </c>
      <c r="AN453" s="814">
        <f t="shared" ca="1" si="391"/>
        <v>-47</v>
      </c>
      <c r="AO453" s="815">
        <v>1</v>
      </c>
      <c r="AP453" s="816" t="str">
        <f t="shared" ca="1" si="392"/>
        <v>-</v>
      </c>
      <c r="AQ453" s="817"/>
      <c r="AR453" s="794" t="str">
        <f t="shared" si="393"/>
        <v>-</v>
      </c>
      <c r="AS453" s="818"/>
      <c r="AT453" s="794" t="str">
        <f t="shared" si="394"/>
        <v>-</v>
      </c>
      <c r="AU453" s="819">
        <v>1</v>
      </c>
      <c r="AV453" s="820"/>
      <c r="AW453" s="821"/>
      <c r="AX453" s="821"/>
      <c r="AY453" s="969" t="str">
        <f t="shared" si="395"/>
        <v>-</v>
      </c>
      <c r="AZ453" s="966" t="str">
        <f t="shared" si="396"/>
        <v>-</v>
      </c>
      <c r="BA453" s="971" t="str">
        <f t="shared" si="397"/>
        <v>-</v>
      </c>
      <c r="BB453" s="975"/>
      <c r="BC453" s="821"/>
      <c r="BD453" s="821"/>
      <c r="BE453" s="963" t="str">
        <f t="shared" si="398"/>
        <v>-</v>
      </c>
      <c r="BF453" s="984"/>
      <c r="BG453" s="988"/>
      <c r="BH453" s="982"/>
      <c r="BI453" s="991"/>
      <c r="BJ453" s="991"/>
      <c r="BK453" s="993" t="str">
        <f t="shared" si="399"/>
        <v>-</v>
      </c>
      <c r="BL453" s="820">
        <v>42979</v>
      </c>
      <c r="BM453" s="821">
        <v>5</v>
      </c>
      <c r="BN453" s="822">
        <f t="shared" ca="1" si="400"/>
        <v>155</v>
      </c>
      <c r="BO453" s="823">
        <f t="shared" si="401"/>
        <v>55.533333333333331</v>
      </c>
      <c r="BP453" s="824"/>
      <c r="BQ453" s="821"/>
      <c r="BR453" s="822" t="str">
        <f t="shared" si="402"/>
        <v>-</v>
      </c>
      <c r="BS453" s="823" t="str">
        <f t="shared" si="403"/>
        <v>-</v>
      </c>
      <c r="BT453" s="825" t="str">
        <f t="shared" ca="1" si="404"/>
        <v>-</v>
      </c>
      <c r="BU453" s="826"/>
      <c r="BV453" s="827"/>
      <c r="BW453" s="828" t="str">
        <f t="shared" si="405"/>
        <v>Ж-Е НЕ ВАКЦ.</v>
      </c>
      <c r="BX453" s="829" t="str">
        <f t="shared" si="406"/>
        <v>-</v>
      </c>
      <c r="BY453" s="830" t="str">
        <f t="shared" ca="1" si="407"/>
        <v>-</v>
      </c>
      <c r="BZ453" s="831">
        <v>42887</v>
      </c>
      <c r="CA453" s="832">
        <v>5</v>
      </c>
      <c r="CB453" s="833">
        <f t="shared" ca="1" si="408"/>
        <v>247</v>
      </c>
      <c r="CC453" s="834" t="str">
        <f t="shared" ca="1" si="409"/>
        <v>-</v>
      </c>
      <c r="CD453" s="835">
        <f t="shared" si="410"/>
        <v>42908</v>
      </c>
      <c r="CE453" s="831">
        <v>42908</v>
      </c>
      <c r="CF453" s="832">
        <v>5</v>
      </c>
      <c r="CG453" s="833">
        <f t="shared" ca="1" si="411"/>
        <v>226</v>
      </c>
      <c r="CH453" s="836">
        <f t="shared" si="412"/>
        <v>0</v>
      </c>
      <c r="CI453" s="837" t="str">
        <f t="shared" si="413"/>
        <v>УСПЕШНО</v>
      </c>
      <c r="CJ453" s="838" t="str">
        <f t="shared" ca="1" si="414"/>
        <v>-</v>
      </c>
      <c r="CK453" s="831"/>
      <c r="CL453" s="832"/>
      <c r="CM453" s="833" t="str">
        <f t="shared" si="415"/>
        <v>-</v>
      </c>
      <c r="CN453" s="834" t="str">
        <f t="shared" si="416"/>
        <v>-</v>
      </c>
      <c r="CO453" s="830" t="str">
        <f t="shared" ca="1" si="417"/>
        <v>ТРЕБУЕТСЯ ВАКЦИНАЦИЯ</v>
      </c>
      <c r="CP453" s="839"/>
      <c r="CQ453" s="832"/>
      <c r="CR453" s="833" t="str">
        <f t="shared" si="418"/>
        <v>-</v>
      </c>
      <c r="CS453" s="833" t="str">
        <f t="shared" si="419"/>
        <v>-</v>
      </c>
      <c r="CT453" s="834" t="str">
        <f t="shared" si="420"/>
        <v>-</v>
      </c>
      <c r="CU453" s="835" t="str">
        <f t="shared" si="421"/>
        <v>-</v>
      </c>
      <c r="CV453" s="839"/>
      <c r="CW453" s="832"/>
      <c r="CX453" s="833" t="str">
        <f t="shared" si="422"/>
        <v>-</v>
      </c>
      <c r="CY453" s="840" t="str">
        <f t="shared" si="423"/>
        <v>-</v>
      </c>
      <c r="CZ453" s="833" t="str">
        <f t="shared" si="424"/>
        <v>-</v>
      </c>
      <c r="DA453" s="838" t="str">
        <f t="shared" ca="1" si="425"/>
        <v>-</v>
      </c>
      <c r="DB453" s="841"/>
      <c r="DC453" s="832"/>
    </row>
    <row r="454" spans="1:107" s="842" customFormat="1" ht="15.95" customHeight="1" x14ac:dyDescent="0.25">
      <c r="A454" s="790">
        <v>456</v>
      </c>
      <c r="B454" s="791">
        <f t="shared" ca="1" si="374"/>
        <v>43134</v>
      </c>
      <c r="C454" s="792" t="s">
        <v>615</v>
      </c>
      <c r="D454" s="793" t="s">
        <v>908</v>
      </c>
      <c r="E454" s="794" t="s">
        <v>1501</v>
      </c>
      <c r="F454" s="854" t="s">
        <v>588</v>
      </c>
      <c r="G454" s="796">
        <f>SUMIFS(МОЛОКО!L8:L6958,МОЛОКО!F8:F6958,"277616",МОЛОКО!L8:L6958,"&gt;0")</f>
        <v>33</v>
      </c>
      <c r="H454" s="995" t="s">
        <v>78</v>
      </c>
      <c r="I454" s="798">
        <v>41354</v>
      </c>
      <c r="J454" s="799">
        <f t="shared" ca="1" si="375"/>
        <v>4.8767123287671232</v>
      </c>
      <c r="K454" s="799">
        <f t="shared" ca="1" si="376"/>
        <v>59.333333333333336</v>
      </c>
      <c r="L454" s="800">
        <f t="shared" ca="1" si="377"/>
        <v>1780</v>
      </c>
      <c r="M454" s="801">
        <v>42150</v>
      </c>
      <c r="N454" s="802">
        <v>42974</v>
      </c>
      <c r="O454" s="803">
        <f t="shared" ca="1" si="378"/>
        <v>160</v>
      </c>
      <c r="P454" s="804">
        <v>3</v>
      </c>
      <c r="Q454" s="68" t="s">
        <v>2366</v>
      </c>
      <c r="R454" s="118" t="s">
        <v>2966</v>
      </c>
      <c r="S454" s="807">
        <v>43033</v>
      </c>
      <c r="T454" s="798">
        <v>43033</v>
      </c>
      <c r="U454" s="798">
        <f t="shared" si="379"/>
        <v>43051</v>
      </c>
      <c r="V454" s="804">
        <f t="shared" ca="1" si="380"/>
        <v>83</v>
      </c>
      <c r="W454" s="808">
        <v>1</v>
      </c>
      <c r="X454" s="794">
        <f t="shared" si="373"/>
        <v>59</v>
      </c>
      <c r="Y454" s="794">
        <v>3</v>
      </c>
      <c r="Z454" s="809" t="str">
        <f t="shared" ca="1" si="381"/>
        <v>-----</v>
      </c>
      <c r="AA454" s="810">
        <f t="shared" ca="1" si="382"/>
        <v>101</v>
      </c>
      <c r="AB454" s="804"/>
      <c r="AC454" s="811" t="str">
        <f t="shared" ca="1" si="383"/>
        <v>-----</v>
      </c>
      <c r="AD454" s="798"/>
      <c r="AE454" s="794" t="str">
        <f t="shared" ca="1" si="384"/>
        <v>-</v>
      </c>
      <c r="AF454" s="798">
        <f t="shared" si="385"/>
        <v>43068</v>
      </c>
      <c r="AG454" s="812">
        <f t="shared" ca="1" si="386"/>
        <v>66</v>
      </c>
      <c r="AH454" s="807"/>
      <c r="AI454" s="807" t="str">
        <f t="shared" si="387"/>
        <v>-</v>
      </c>
      <c r="AJ454" s="807" t="str">
        <f t="shared" si="388"/>
        <v>-</v>
      </c>
      <c r="AK454" s="813"/>
      <c r="AL454" s="807" t="str">
        <f t="shared" si="389"/>
        <v>-</v>
      </c>
      <c r="AM454" s="807" t="str">
        <f t="shared" si="390"/>
        <v>-</v>
      </c>
      <c r="AN454" s="814" t="str">
        <f t="shared" ca="1" si="391"/>
        <v>-</v>
      </c>
      <c r="AO454" s="815">
        <v>1</v>
      </c>
      <c r="AP454" s="816" t="str">
        <f t="shared" ca="1" si="392"/>
        <v>-</v>
      </c>
      <c r="AQ454" s="817"/>
      <c r="AR454" s="794" t="str">
        <f t="shared" si="393"/>
        <v>-</v>
      </c>
      <c r="AS454" s="818"/>
      <c r="AT454" s="794" t="str">
        <f t="shared" si="394"/>
        <v>-</v>
      </c>
      <c r="AU454" s="819">
        <v>1</v>
      </c>
      <c r="AV454" s="820"/>
      <c r="AW454" s="821"/>
      <c r="AX454" s="821"/>
      <c r="AY454" s="969" t="str">
        <f t="shared" si="395"/>
        <v>-</v>
      </c>
      <c r="AZ454" s="966" t="str">
        <f t="shared" si="396"/>
        <v>-</v>
      </c>
      <c r="BA454" s="971" t="str">
        <f t="shared" si="397"/>
        <v>-</v>
      </c>
      <c r="BB454" s="975"/>
      <c r="BC454" s="821"/>
      <c r="BD454" s="821"/>
      <c r="BE454" s="963" t="str">
        <f t="shared" si="398"/>
        <v>-</v>
      </c>
      <c r="BF454" s="984"/>
      <c r="BG454" s="988"/>
      <c r="BH454" s="982"/>
      <c r="BI454" s="991"/>
      <c r="BJ454" s="991"/>
      <c r="BK454" s="993" t="str">
        <f t="shared" si="399"/>
        <v>-</v>
      </c>
      <c r="BL454" s="820">
        <v>42982</v>
      </c>
      <c r="BM454" s="821">
        <v>5</v>
      </c>
      <c r="BN454" s="822">
        <f t="shared" ca="1" si="400"/>
        <v>152</v>
      </c>
      <c r="BO454" s="823">
        <f t="shared" si="401"/>
        <v>54.266666666666666</v>
      </c>
      <c r="BP454" s="824"/>
      <c r="BQ454" s="821"/>
      <c r="BR454" s="822" t="str">
        <f t="shared" si="402"/>
        <v>-</v>
      </c>
      <c r="BS454" s="823" t="str">
        <f t="shared" si="403"/>
        <v>-</v>
      </c>
      <c r="BT454" s="825" t="str">
        <f t="shared" ca="1" si="404"/>
        <v>-</v>
      </c>
      <c r="BU454" s="826"/>
      <c r="BV454" s="827"/>
      <c r="BW454" s="828" t="str">
        <f t="shared" si="405"/>
        <v>Ж-Е НЕ ВАКЦ.</v>
      </c>
      <c r="BX454" s="829" t="str">
        <f t="shared" si="406"/>
        <v>-</v>
      </c>
      <c r="BY454" s="830" t="str">
        <f t="shared" ca="1" si="407"/>
        <v>-</v>
      </c>
      <c r="BZ454" s="831">
        <v>42887</v>
      </c>
      <c r="CA454" s="832">
        <v>5</v>
      </c>
      <c r="CB454" s="833">
        <f t="shared" ca="1" si="408"/>
        <v>247</v>
      </c>
      <c r="CC454" s="834" t="str">
        <f t="shared" ca="1" si="409"/>
        <v>-</v>
      </c>
      <c r="CD454" s="835">
        <f t="shared" si="410"/>
        <v>42908</v>
      </c>
      <c r="CE454" s="831">
        <v>42908</v>
      </c>
      <c r="CF454" s="832">
        <v>5</v>
      </c>
      <c r="CG454" s="833">
        <f t="shared" ca="1" si="411"/>
        <v>226</v>
      </c>
      <c r="CH454" s="836">
        <f t="shared" si="412"/>
        <v>0</v>
      </c>
      <c r="CI454" s="837" t="str">
        <f t="shared" si="413"/>
        <v>УСПЕШНО</v>
      </c>
      <c r="CJ454" s="838" t="str">
        <f t="shared" ca="1" si="414"/>
        <v>-</v>
      </c>
      <c r="CK454" s="831"/>
      <c r="CL454" s="832"/>
      <c r="CM454" s="833" t="str">
        <f t="shared" si="415"/>
        <v>-</v>
      </c>
      <c r="CN454" s="834" t="str">
        <f t="shared" si="416"/>
        <v>-</v>
      </c>
      <c r="CO454" s="830" t="str">
        <f t="shared" ca="1" si="417"/>
        <v>-</v>
      </c>
      <c r="CP454" s="831">
        <v>42925</v>
      </c>
      <c r="CQ454" s="832">
        <v>2</v>
      </c>
      <c r="CR454" s="833">
        <f t="shared" si="418"/>
        <v>-108</v>
      </c>
      <c r="CS454" s="833">
        <f t="shared" ca="1" si="419"/>
        <v>209</v>
      </c>
      <c r="CT454" s="834" t="str">
        <f t="shared" ca="1" si="420"/>
        <v>-</v>
      </c>
      <c r="CU454" s="835">
        <f t="shared" si="421"/>
        <v>42946</v>
      </c>
      <c r="CV454" s="831">
        <v>42946</v>
      </c>
      <c r="CW454" s="832">
        <v>2</v>
      </c>
      <c r="CX454" s="833">
        <f t="shared" si="422"/>
        <v>0</v>
      </c>
      <c r="CY454" s="840" t="str">
        <f t="shared" si="423"/>
        <v>УСПЕШНО</v>
      </c>
      <c r="CZ454" s="833">
        <f t="shared" si="424"/>
        <v>-87</v>
      </c>
      <c r="DA454" s="838" t="str">
        <f t="shared" ca="1" si="425"/>
        <v>-</v>
      </c>
      <c r="DB454" s="841"/>
      <c r="DC454" s="832"/>
    </row>
    <row r="455" spans="1:107" s="842" customFormat="1" ht="15.95" customHeight="1" x14ac:dyDescent="0.25">
      <c r="A455" s="790">
        <v>457</v>
      </c>
      <c r="B455" s="791">
        <f t="shared" ca="1" si="374"/>
        <v>43134</v>
      </c>
      <c r="C455" s="792" t="s">
        <v>615</v>
      </c>
      <c r="D455" s="793" t="s">
        <v>908</v>
      </c>
      <c r="E455" s="794" t="s">
        <v>718</v>
      </c>
      <c r="F455" s="854" t="s">
        <v>719</v>
      </c>
      <c r="G455" s="796">
        <f>SUMIFS(МОЛОКО!L8:L6958,МОЛОКО!F8:F6958,"277941",МОЛОКО!L8:L6958,"&gt;0")</f>
        <v>41</v>
      </c>
      <c r="H455" s="797" t="s">
        <v>78</v>
      </c>
      <c r="I455" s="798">
        <v>41295</v>
      </c>
      <c r="J455" s="799">
        <f t="shared" ca="1" si="375"/>
        <v>5.0383561643835613</v>
      </c>
      <c r="K455" s="799">
        <f t="shared" ca="1" si="376"/>
        <v>61.3</v>
      </c>
      <c r="L455" s="800">
        <f t="shared" ca="1" si="377"/>
        <v>1839</v>
      </c>
      <c r="M455" s="801">
        <v>42167</v>
      </c>
      <c r="N455" s="802">
        <v>42915</v>
      </c>
      <c r="O455" s="803">
        <f t="shared" ca="1" si="378"/>
        <v>219</v>
      </c>
      <c r="P455" s="804">
        <v>3</v>
      </c>
      <c r="Q455" s="68" t="s">
        <v>1451</v>
      </c>
      <c r="R455" s="118" t="s">
        <v>2962</v>
      </c>
      <c r="S455" s="807">
        <v>42985</v>
      </c>
      <c r="T455" s="798">
        <v>43035</v>
      </c>
      <c r="U455" s="798">
        <f t="shared" si="379"/>
        <v>43053</v>
      </c>
      <c r="V455" s="804">
        <f t="shared" ca="1" si="380"/>
        <v>81</v>
      </c>
      <c r="W455" s="808">
        <v>3</v>
      </c>
      <c r="X455" s="794">
        <f t="shared" si="373"/>
        <v>120</v>
      </c>
      <c r="Y455" s="794">
        <v>3</v>
      </c>
      <c r="Z455" s="809" t="str">
        <f t="shared" ca="1" si="381"/>
        <v>-----</v>
      </c>
      <c r="AA455" s="810">
        <f t="shared" ca="1" si="382"/>
        <v>99</v>
      </c>
      <c r="AB455" s="804"/>
      <c r="AC455" s="811" t="str">
        <f t="shared" ca="1" si="383"/>
        <v>-----</v>
      </c>
      <c r="AD455" s="798"/>
      <c r="AE455" s="794" t="str">
        <f t="shared" ca="1" si="384"/>
        <v>-</v>
      </c>
      <c r="AF455" s="798">
        <f t="shared" si="385"/>
        <v>43070</v>
      </c>
      <c r="AG455" s="812">
        <f t="shared" ca="1" si="386"/>
        <v>64</v>
      </c>
      <c r="AH455" s="807">
        <v>43028</v>
      </c>
      <c r="AI455" s="807" t="str">
        <f t="shared" si="387"/>
        <v>-</v>
      </c>
      <c r="AJ455" s="807" t="str">
        <f t="shared" si="388"/>
        <v>-</v>
      </c>
      <c r="AK455" s="813"/>
      <c r="AL455" s="807" t="str">
        <f t="shared" si="389"/>
        <v>-</v>
      </c>
      <c r="AM455" s="807" t="str">
        <f t="shared" si="390"/>
        <v>-</v>
      </c>
      <c r="AN455" s="814" t="str">
        <f t="shared" ca="1" si="391"/>
        <v>-</v>
      </c>
      <c r="AO455" s="815">
        <v>1</v>
      </c>
      <c r="AP455" s="816" t="str">
        <f t="shared" ca="1" si="392"/>
        <v>-</v>
      </c>
      <c r="AQ455" s="817"/>
      <c r="AR455" s="794" t="str">
        <f t="shared" si="393"/>
        <v>-</v>
      </c>
      <c r="AS455" s="818"/>
      <c r="AT455" s="794" t="str">
        <f t="shared" si="394"/>
        <v>-</v>
      </c>
      <c r="AU455" s="819">
        <v>1</v>
      </c>
      <c r="AV455" s="820"/>
      <c r="AW455" s="821"/>
      <c r="AX455" s="821"/>
      <c r="AY455" s="969" t="str">
        <f t="shared" si="395"/>
        <v>-</v>
      </c>
      <c r="AZ455" s="966" t="str">
        <f t="shared" si="396"/>
        <v>-</v>
      </c>
      <c r="BA455" s="971" t="str">
        <f t="shared" si="397"/>
        <v>-</v>
      </c>
      <c r="BB455" s="975"/>
      <c r="BC455" s="821"/>
      <c r="BD455" s="821"/>
      <c r="BE455" s="963" t="str">
        <f t="shared" si="398"/>
        <v>-</v>
      </c>
      <c r="BF455" s="984"/>
      <c r="BG455" s="988"/>
      <c r="BH455" s="982"/>
      <c r="BI455" s="991"/>
      <c r="BJ455" s="991"/>
      <c r="BK455" s="993" t="str">
        <f t="shared" si="399"/>
        <v>-</v>
      </c>
      <c r="BL455" s="820">
        <v>42979</v>
      </c>
      <c r="BM455" s="821">
        <v>5</v>
      </c>
      <c r="BN455" s="822">
        <f t="shared" ca="1" si="400"/>
        <v>155</v>
      </c>
      <c r="BO455" s="823">
        <f t="shared" si="401"/>
        <v>56.133333333333333</v>
      </c>
      <c r="BP455" s="824"/>
      <c r="BQ455" s="821"/>
      <c r="BR455" s="822" t="str">
        <f t="shared" si="402"/>
        <v>-</v>
      </c>
      <c r="BS455" s="823" t="str">
        <f t="shared" si="403"/>
        <v>-</v>
      </c>
      <c r="BT455" s="825" t="str">
        <f t="shared" ca="1" si="404"/>
        <v>-</v>
      </c>
      <c r="BU455" s="826"/>
      <c r="BV455" s="827"/>
      <c r="BW455" s="828" t="str">
        <f t="shared" si="405"/>
        <v>Ж-Е НЕ ВАКЦ.</v>
      </c>
      <c r="BX455" s="829" t="str">
        <f t="shared" si="406"/>
        <v>-</v>
      </c>
      <c r="BY455" s="830" t="str">
        <f t="shared" ca="1" si="407"/>
        <v>-</v>
      </c>
      <c r="BZ455" s="831">
        <v>42940</v>
      </c>
      <c r="CA455" s="832">
        <v>5</v>
      </c>
      <c r="CB455" s="833">
        <f t="shared" ca="1" si="408"/>
        <v>194</v>
      </c>
      <c r="CC455" s="834" t="str">
        <f t="shared" ca="1" si="409"/>
        <v>-</v>
      </c>
      <c r="CD455" s="835">
        <f t="shared" si="410"/>
        <v>42961</v>
      </c>
      <c r="CE455" s="831">
        <v>42969</v>
      </c>
      <c r="CF455" s="832">
        <v>5</v>
      </c>
      <c r="CG455" s="833">
        <f t="shared" ca="1" si="411"/>
        <v>165</v>
      </c>
      <c r="CH455" s="836">
        <f t="shared" si="412"/>
        <v>-8</v>
      </c>
      <c r="CI455" s="837" t="str">
        <f t="shared" si="413"/>
        <v>-</v>
      </c>
      <c r="CJ455" s="838" t="str">
        <f t="shared" ca="1" si="414"/>
        <v>-</v>
      </c>
      <c r="CK455" s="831"/>
      <c r="CL455" s="832"/>
      <c r="CM455" s="833" t="str">
        <f t="shared" si="415"/>
        <v>-</v>
      </c>
      <c r="CN455" s="834" t="str">
        <f t="shared" si="416"/>
        <v>-</v>
      </c>
      <c r="CO455" s="830" t="str">
        <f t="shared" ca="1" si="417"/>
        <v>-</v>
      </c>
      <c r="CP455" s="839"/>
      <c r="CQ455" s="832"/>
      <c r="CR455" s="833" t="str">
        <f t="shared" si="418"/>
        <v>-</v>
      </c>
      <c r="CS455" s="833" t="str">
        <f t="shared" si="419"/>
        <v>-</v>
      </c>
      <c r="CT455" s="834" t="str">
        <f t="shared" si="420"/>
        <v>-</v>
      </c>
      <c r="CU455" s="835" t="str">
        <f t="shared" si="421"/>
        <v>-</v>
      </c>
      <c r="CV455" s="839"/>
      <c r="CW455" s="832"/>
      <c r="CX455" s="833" t="str">
        <f t="shared" si="422"/>
        <v>-</v>
      </c>
      <c r="CY455" s="840" t="str">
        <f t="shared" si="423"/>
        <v>-</v>
      </c>
      <c r="CZ455" s="833" t="str">
        <f t="shared" si="424"/>
        <v>-</v>
      </c>
      <c r="DA455" s="838" t="str">
        <f t="shared" ca="1" si="425"/>
        <v>-</v>
      </c>
      <c r="DB455" s="841"/>
      <c r="DC455" s="832"/>
    </row>
    <row r="456" spans="1:107" s="842" customFormat="1" ht="15.95" customHeight="1" x14ac:dyDescent="0.25">
      <c r="A456" s="790">
        <v>458</v>
      </c>
      <c r="B456" s="791">
        <f t="shared" ca="1" si="374"/>
        <v>43134</v>
      </c>
      <c r="C456" s="29" t="s">
        <v>2404</v>
      </c>
      <c r="D456" s="427" t="s">
        <v>1456</v>
      </c>
      <c r="E456" s="794" t="s">
        <v>640</v>
      </c>
      <c r="F456" s="795" t="s">
        <v>855</v>
      </c>
      <c r="G456" s="796">
        <f>SUMIFS(МОЛОКО!L8:L6958,МОЛОКО!F8:F6958,"4",МОЛОКО!L8:L6958,"&gt;0")</f>
        <v>0</v>
      </c>
      <c r="H456" s="797" t="s">
        <v>603</v>
      </c>
      <c r="I456" s="798">
        <v>40461</v>
      </c>
      <c r="J456" s="799">
        <f t="shared" ca="1" si="375"/>
        <v>7.3232876712328769</v>
      </c>
      <c r="K456" s="799">
        <f t="shared" ca="1" si="376"/>
        <v>89.1</v>
      </c>
      <c r="L456" s="800">
        <f t="shared" ca="1" si="377"/>
        <v>2673</v>
      </c>
      <c r="M456" s="801">
        <v>40992</v>
      </c>
      <c r="N456" s="802">
        <v>43049</v>
      </c>
      <c r="O456" s="803">
        <f t="shared" ca="1" si="378"/>
        <v>85</v>
      </c>
      <c r="P456" s="804">
        <v>5</v>
      </c>
      <c r="Q456" s="805"/>
      <c r="R456" s="806"/>
      <c r="S456" s="807"/>
      <c r="T456" s="798"/>
      <c r="U456" s="798" t="str">
        <f t="shared" si="379"/>
        <v>-</v>
      </c>
      <c r="V456" s="804" t="str">
        <f t="shared" ca="1" si="380"/>
        <v>-</v>
      </c>
      <c r="W456" s="808">
        <v>0</v>
      </c>
      <c r="X456" s="794" t="str">
        <f t="shared" si="373"/>
        <v>-</v>
      </c>
      <c r="Y456" s="794">
        <v>0</v>
      </c>
      <c r="Z456" s="809" t="str">
        <f t="shared" ca="1" si="381"/>
        <v>-----</v>
      </c>
      <c r="AA456" s="810">
        <f t="shared" ca="1" si="382"/>
        <v>43134</v>
      </c>
      <c r="AB456" s="804"/>
      <c r="AC456" s="811" t="str">
        <f t="shared" ca="1" si="383"/>
        <v>-----</v>
      </c>
      <c r="AD456" s="798"/>
      <c r="AE456" s="794" t="str">
        <f t="shared" ca="1" si="384"/>
        <v>-</v>
      </c>
      <c r="AF456" s="798" t="str">
        <f t="shared" si="385"/>
        <v>-</v>
      </c>
      <c r="AG456" s="812" t="str">
        <f t="shared" si="386"/>
        <v>---------</v>
      </c>
      <c r="AH456" s="807"/>
      <c r="AI456" s="807" t="str">
        <f t="shared" si="387"/>
        <v>-</v>
      </c>
      <c r="AJ456" s="807" t="str">
        <f t="shared" si="388"/>
        <v>-</v>
      </c>
      <c r="AK456" s="813"/>
      <c r="AL456" s="807" t="str">
        <f t="shared" si="389"/>
        <v>-</v>
      </c>
      <c r="AM456" s="807" t="str">
        <f t="shared" si="390"/>
        <v>-</v>
      </c>
      <c r="AN456" s="814" t="str">
        <f t="shared" ca="1" si="391"/>
        <v>-</v>
      </c>
      <c r="AO456" s="815">
        <v>1</v>
      </c>
      <c r="AP456" s="816" t="str">
        <f t="shared" ca="1" si="392"/>
        <v>-</v>
      </c>
      <c r="AQ456" s="817"/>
      <c r="AR456" s="794" t="str">
        <f t="shared" si="393"/>
        <v>-</v>
      </c>
      <c r="AS456" s="818"/>
      <c r="AT456" s="794" t="str">
        <f t="shared" si="394"/>
        <v>-</v>
      </c>
      <c r="AU456" s="819"/>
      <c r="AV456" s="820"/>
      <c r="AW456" s="821"/>
      <c r="AX456" s="821"/>
      <c r="AY456" s="969" t="str">
        <f t="shared" si="395"/>
        <v>-</v>
      </c>
      <c r="AZ456" s="966" t="str">
        <f t="shared" si="396"/>
        <v>-</v>
      </c>
      <c r="BA456" s="971" t="str">
        <f t="shared" si="397"/>
        <v>-</v>
      </c>
      <c r="BB456" s="975"/>
      <c r="BC456" s="821"/>
      <c r="BD456" s="821"/>
      <c r="BE456" s="963" t="str">
        <f t="shared" si="398"/>
        <v>-</v>
      </c>
      <c r="BF456" s="984"/>
      <c r="BG456" s="988"/>
      <c r="BH456" s="982"/>
      <c r="BI456" s="991"/>
      <c r="BJ456" s="991"/>
      <c r="BK456" s="993" t="str">
        <f t="shared" si="399"/>
        <v>-</v>
      </c>
      <c r="BL456" s="820">
        <v>42981</v>
      </c>
      <c r="BM456" s="821">
        <v>5</v>
      </c>
      <c r="BN456" s="822">
        <f t="shared" ca="1" si="400"/>
        <v>153</v>
      </c>
      <c r="BO456" s="823">
        <f t="shared" si="401"/>
        <v>84</v>
      </c>
      <c r="BP456" s="824"/>
      <c r="BQ456" s="821"/>
      <c r="BR456" s="822" t="str">
        <f t="shared" si="402"/>
        <v>-</v>
      </c>
      <c r="BS456" s="823" t="str">
        <f t="shared" si="403"/>
        <v>-</v>
      </c>
      <c r="BT456" s="825" t="str">
        <f t="shared" ca="1" si="404"/>
        <v>-</v>
      </c>
      <c r="BU456" s="826"/>
      <c r="BV456" s="827"/>
      <c r="BW456" s="828" t="str">
        <f t="shared" si="405"/>
        <v>Ж-Е НЕ ВАКЦ.</v>
      </c>
      <c r="BX456" s="829" t="str">
        <f t="shared" si="406"/>
        <v>-</v>
      </c>
      <c r="BY456" s="830" t="str">
        <f t="shared" ca="1" si="407"/>
        <v>-</v>
      </c>
      <c r="BZ456" s="831">
        <v>42887</v>
      </c>
      <c r="CA456" s="832">
        <v>5</v>
      </c>
      <c r="CB456" s="833">
        <f t="shared" ca="1" si="408"/>
        <v>247</v>
      </c>
      <c r="CC456" s="834" t="str">
        <f t="shared" ca="1" si="409"/>
        <v>-</v>
      </c>
      <c r="CD456" s="835">
        <f t="shared" si="410"/>
        <v>42908</v>
      </c>
      <c r="CE456" s="831">
        <v>42908</v>
      </c>
      <c r="CF456" s="832">
        <v>5</v>
      </c>
      <c r="CG456" s="833">
        <f t="shared" ca="1" si="411"/>
        <v>226</v>
      </c>
      <c r="CH456" s="836">
        <f t="shared" si="412"/>
        <v>0</v>
      </c>
      <c r="CI456" s="837" t="str">
        <f t="shared" si="413"/>
        <v>УСПЕШНО</v>
      </c>
      <c r="CJ456" s="838" t="str">
        <f t="shared" ca="1" si="414"/>
        <v>-</v>
      </c>
      <c r="CK456" s="831"/>
      <c r="CL456" s="832"/>
      <c r="CM456" s="833" t="str">
        <f t="shared" si="415"/>
        <v>-</v>
      </c>
      <c r="CN456" s="834" t="str">
        <f t="shared" si="416"/>
        <v>-</v>
      </c>
      <c r="CO456" s="830" t="str">
        <f t="shared" ca="1" si="417"/>
        <v>-</v>
      </c>
      <c r="CP456" s="831">
        <v>42990</v>
      </c>
      <c r="CQ456" s="832">
        <v>2</v>
      </c>
      <c r="CR456" s="833">
        <f t="shared" si="418"/>
        <v>42990</v>
      </c>
      <c r="CS456" s="833">
        <f t="shared" ca="1" si="419"/>
        <v>144</v>
      </c>
      <c r="CT456" s="834" t="str">
        <f t="shared" ca="1" si="420"/>
        <v>-</v>
      </c>
      <c r="CU456" s="835">
        <f t="shared" si="421"/>
        <v>43011</v>
      </c>
      <c r="CV456" s="831">
        <v>43012</v>
      </c>
      <c r="CW456" s="832">
        <v>2</v>
      </c>
      <c r="CX456" s="833">
        <f t="shared" si="422"/>
        <v>1</v>
      </c>
      <c r="CY456" s="840" t="str">
        <f t="shared" si="423"/>
        <v>-</v>
      </c>
      <c r="CZ456" s="833">
        <f t="shared" si="424"/>
        <v>43012</v>
      </c>
      <c r="DA456" s="838" t="str">
        <f t="shared" ca="1" si="425"/>
        <v>-</v>
      </c>
      <c r="DB456" s="841"/>
      <c r="DC456" s="832"/>
    </row>
    <row r="457" spans="1:107" s="842" customFormat="1" ht="15.95" customHeight="1" x14ac:dyDescent="0.25">
      <c r="A457" s="790">
        <v>459</v>
      </c>
      <c r="B457" s="791">
        <f t="shared" ca="1" si="374"/>
        <v>43134</v>
      </c>
      <c r="C457" s="29" t="s">
        <v>2404</v>
      </c>
      <c r="D457" s="59" t="s">
        <v>1456</v>
      </c>
      <c r="E457" s="794" t="s">
        <v>319</v>
      </c>
      <c r="F457" s="795" t="s">
        <v>320</v>
      </c>
      <c r="G457" s="796">
        <f>SUMIFS(МОЛОКО!L8:L6958,МОЛОКО!F8:F6958,"987",МОЛОКО!L8:L6958,"&gt;0")</f>
        <v>0</v>
      </c>
      <c r="H457" s="797" t="s">
        <v>603</v>
      </c>
      <c r="I457" s="798">
        <v>40311</v>
      </c>
      <c r="J457" s="799">
        <f t="shared" ca="1" si="375"/>
        <v>7.7342465753424658</v>
      </c>
      <c r="K457" s="799">
        <f t="shared" ca="1" si="376"/>
        <v>94.1</v>
      </c>
      <c r="L457" s="800">
        <f t="shared" ca="1" si="377"/>
        <v>2823</v>
      </c>
      <c r="M457" s="801">
        <v>41297</v>
      </c>
      <c r="N457" s="802">
        <v>43046</v>
      </c>
      <c r="O457" s="803">
        <f t="shared" ca="1" si="378"/>
        <v>88</v>
      </c>
      <c r="P457" s="804">
        <v>5</v>
      </c>
      <c r="Q457" s="805"/>
      <c r="R457" s="806"/>
      <c r="S457" s="807"/>
      <c r="T457" s="798"/>
      <c r="U457" s="798" t="str">
        <f t="shared" si="379"/>
        <v>-</v>
      </c>
      <c r="V457" s="804" t="str">
        <f t="shared" ca="1" si="380"/>
        <v>-</v>
      </c>
      <c r="W457" s="808">
        <v>0</v>
      </c>
      <c r="X457" s="794" t="str">
        <f t="shared" si="373"/>
        <v>-</v>
      </c>
      <c r="Y457" s="794">
        <v>0</v>
      </c>
      <c r="Z457" s="809" t="str">
        <f t="shared" ca="1" si="381"/>
        <v>-----</v>
      </c>
      <c r="AA457" s="810">
        <f t="shared" ca="1" si="382"/>
        <v>43134</v>
      </c>
      <c r="AB457" s="804"/>
      <c r="AC457" s="811" t="str">
        <f t="shared" ca="1" si="383"/>
        <v>-----</v>
      </c>
      <c r="AD457" s="798"/>
      <c r="AE457" s="794" t="str">
        <f t="shared" ca="1" si="384"/>
        <v>-</v>
      </c>
      <c r="AF457" s="798" t="str">
        <f t="shared" si="385"/>
        <v>-</v>
      </c>
      <c r="AG457" s="812" t="str">
        <f t="shared" si="386"/>
        <v>---------</v>
      </c>
      <c r="AH457" s="807"/>
      <c r="AI457" s="807" t="str">
        <f t="shared" si="387"/>
        <v>-</v>
      </c>
      <c r="AJ457" s="807" t="str">
        <f t="shared" si="388"/>
        <v>-</v>
      </c>
      <c r="AK457" s="813"/>
      <c r="AL457" s="807" t="str">
        <f t="shared" si="389"/>
        <v>-</v>
      </c>
      <c r="AM457" s="807" t="str">
        <f t="shared" si="390"/>
        <v>-</v>
      </c>
      <c r="AN457" s="814" t="str">
        <f t="shared" ca="1" si="391"/>
        <v>-</v>
      </c>
      <c r="AO457" s="815">
        <v>1</v>
      </c>
      <c r="AP457" s="816" t="str">
        <f t="shared" ca="1" si="392"/>
        <v>-</v>
      </c>
      <c r="AQ457" s="817"/>
      <c r="AR457" s="794" t="str">
        <f t="shared" si="393"/>
        <v>-</v>
      </c>
      <c r="AS457" s="818"/>
      <c r="AT457" s="794" t="str">
        <f t="shared" si="394"/>
        <v>-</v>
      </c>
      <c r="AU457" s="819"/>
      <c r="AV457" s="820"/>
      <c r="AW457" s="821"/>
      <c r="AX457" s="821"/>
      <c r="AY457" s="969" t="str">
        <f t="shared" si="395"/>
        <v>-</v>
      </c>
      <c r="AZ457" s="966" t="str">
        <f t="shared" si="396"/>
        <v>-</v>
      </c>
      <c r="BA457" s="971" t="str">
        <f t="shared" si="397"/>
        <v>-</v>
      </c>
      <c r="BB457" s="975"/>
      <c r="BC457" s="821"/>
      <c r="BD457" s="821"/>
      <c r="BE457" s="963" t="str">
        <f t="shared" si="398"/>
        <v>-</v>
      </c>
      <c r="BF457" s="984"/>
      <c r="BG457" s="988"/>
      <c r="BH457" s="982"/>
      <c r="BI457" s="991"/>
      <c r="BJ457" s="991"/>
      <c r="BK457" s="993" t="str">
        <f t="shared" si="399"/>
        <v>-</v>
      </c>
      <c r="BL457" s="820">
        <v>42980</v>
      </c>
      <c r="BM457" s="821">
        <v>5</v>
      </c>
      <c r="BN457" s="822">
        <f t="shared" ca="1" si="400"/>
        <v>154</v>
      </c>
      <c r="BO457" s="823">
        <f t="shared" si="401"/>
        <v>88.966666666666669</v>
      </c>
      <c r="BP457" s="824"/>
      <c r="BQ457" s="821"/>
      <c r="BR457" s="822" t="str">
        <f t="shared" si="402"/>
        <v>-</v>
      </c>
      <c r="BS457" s="823" t="str">
        <f t="shared" si="403"/>
        <v>-</v>
      </c>
      <c r="BT457" s="825" t="str">
        <f t="shared" ca="1" si="404"/>
        <v>-</v>
      </c>
      <c r="BU457" s="826"/>
      <c r="BV457" s="827"/>
      <c r="BW457" s="828" t="str">
        <f t="shared" si="405"/>
        <v>Ж-Е НЕ ВАКЦ.</v>
      </c>
      <c r="BX457" s="829" t="str">
        <f t="shared" si="406"/>
        <v>-</v>
      </c>
      <c r="BY457" s="830" t="str">
        <f t="shared" ca="1" si="407"/>
        <v>-</v>
      </c>
      <c r="BZ457" s="831">
        <v>42887</v>
      </c>
      <c r="CA457" s="832">
        <v>5</v>
      </c>
      <c r="CB457" s="833">
        <f t="shared" ca="1" si="408"/>
        <v>247</v>
      </c>
      <c r="CC457" s="834" t="str">
        <f t="shared" ca="1" si="409"/>
        <v>-</v>
      </c>
      <c r="CD457" s="835">
        <f t="shared" si="410"/>
        <v>42908</v>
      </c>
      <c r="CE457" s="831">
        <v>42908</v>
      </c>
      <c r="CF457" s="832">
        <v>5</v>
      </c>
      <c r="CG457" s="833">
        <f t="shared" ca="1" si="411"/>
        <v>226</v>
      </c>
      <c r="CH457" s="836">
        <f t="shared" si="412"/>
        <v>0</v>
      </c>
      <c r="CI457" s="837" t="str">
        <f t="shared" si="413"/>
        <v>УСПЕШНО</v>
      </c>
      <c r="CJ457" s="838" t="str">
        <f t="shared" ca="1" si="414"/>
        <v>-</v>
      </c>
      <c r="CK457" s="831"/>
      <c r="CL457" s="832"/>
      <c r="CM457" s="833" t="str">
        <f t="shared" si="415"/>
        <v>-</v>
      </c>
      <c r="CN457" s="834" t="str">
        <f t="shared" si="416"/>
        <v>-</v>
      </c>
      <c r="CO457" s="830" t="str">
        <f t="shared" ca="1" si="417"/>
        <v>-</v>
      </c>
      <c r="CP457" s="831">
        <v>43006</v>
      </c>
      <c r="CQ457" s="832">
        <v>2</v>
      </c>
      <c r="CR457" s="833">
        <f t="shared" si="418"/>
        <v>43006</v>
      </c>
      <c r="CS457" s="833">
        <f t="shared" ca="1" si="419"/>
        <v>128</v>
      </c>
      <c r="CT457" s="834" t="str">
        <f t="shared" ca="1" si="420"/>
        <v>-</v>
      </c>
      <c r="CU457" s="835">
        <f t="shared" si="421"/>
        <v>43027</v>
      </c>
      <c r="CV457" s="831">
        <v>43027</v>
      </c>
      <c r="CW457" s="832">
        <v>2</v>
      </c>
      <c r="CX457" s="833">
        <f t="shared" si="422"/>
        <v>0</v>
      </c>
      <c r="CY457" s="840" t="str">
        <f t="shared" si="423"/>
        <v>УСПЕШНО</v>
      </c>
      <c r="CZ457" s="833">
        <f t="shared" si="424"/>
        <v>43027</v>
      </c>
      <c r="DA457" s="838" t="str">
        <f t="shared" ca="1" si="425"/>
        <v>-</v>
      </c>
      <c r="DB457" s="841"/>
      <c r="DC457" s="832"/>
    </row>
    <row r="458" spans="1:107" s="842" customFormat="1" ht="15.95" customHeight="1" x14ac:dyDescent="0.25">
      <c r="A458" s="790">
        <v>460</v>
      </c>
      <c r="B458" s="791">
        <f t="shared" ca="1" si="374"/>
        <v>43134</v>
      </c>
      <c r="C458" s="29" t="s">
        <v>2404</v>
      </c>
      <c r="D458" s="59" t="s">
        <v>1456</v>
      </c>
      <c r="E458" s="794" t="s">
        <v>229</v>
      </c>
      <c r="F458" s="854" t="s">
        <v>230</v>
      </c>
      <c r="G458" s="796">
        <f>SUMIFS(МОЛОКО!L8:L6958,МОЛОКО!F8:F6958,"1648",МОЛОКО!L8:L6958,"&gt;0")</f>
        <v>0</v>
      </c>
      <c r="H458" s="797" t="s">
        <v>603</v>
      </c>
      <c r="I458" s="798">
        <v>41128</v>
      </c>
      <c r="J458" s="799">
        <f t="shared" ca="1" si="375"/>
        <v>5.4958904109589044</v>
      </c>
      <c r="K458" s="799">
        <f t="shared" ca="1" si="376"/>
        <v>66.86666666666666</v>
      </c>
      <c r="L458" s="800">
        <f t="shared" ca="1" si="377"/>
        <v>2006</v>
      </c>
      <c r="M458" s="801">
        <v>41963</v>
      </c>
      <c r="N458" s="802">
        <v>43045</v>
      </c>
      <c r="O458" s="803">
        <f t="shared" ca="1" si="378"/>
        <v>89</v>
      </c>
      <c r="P458" s="804">
        <v>3</v>
      </c>
      <c r="Q458" s="805"/>
      <c r="R458" s="806"/>
      <c r="S458" s="807"/>
      <c r="T458" s="798"/>
      <c r="U458" s="798" t="str">
        <f t="shared" si="379"/>
        <v>-</v>
      </c>
      <c r="V458" s="804" t="str">
        <f t="shared" ca="1" si="380"/>
        <v>-</v>
      </c>
      <c r="W458" s="808">
        <v>0</v>
      </c>
      <c r="X458" s="794" t="str">
        <f t="shared" si="373"/>
        <v>-</v>
      </c>
      <c r="Y458" s="794">
        <v>0</v>
      </c>
      <c r="Z458" s="809" t="str">
        <f t="shared" ca="1" si="381"/>
        <v>-----</v>
      </c>
      <c r="AA458" s="810">
        <f t="shared" ca="1" si="382"/>
        <v>43134</v>
      </c>
      <c r="AB458" s="804"/>
      <c r="AC458" s="811" t="str">
        <f t="shared" ca="1" si="383"/>
        <v>-----</v>
      </c>
      <c r="AD458" s="798"/>
      <c r="AE458" s="794" t="str">
        <f t="shared" ca="1" si="384"/>
        <v>-</v>
      </c>
      <c r="AF458" s="798" t="str">
        <f t="shared" si="385"/>
        <v>-</v>
      </c>
      <c r="AG458" s="812" t="str">
        <f t="shared" si="386"/>
        <v>---------</v>
      </c>
      <c r="AH458" s="807"/>
      <c r="AI458" s="807" t="str">
        <f t="shared" si="387"/>
        <v>-</v>
      </c>
      <c r="AJ458" s="807" t="str">
        <f t="shared" si="388"/>
        <v>-</v>
      </c>
      <c r="AK458" s="813"/>
      <c r="AL458" s="807" t="str">
        <f t="shared" si="389"/>
        <v>-</v>
      </c>
      <c r="AM458" s="807" t="str">
        <f t="shared" si="390"/>
        <v>-</v>
      </c>
      <c r="AN458" s="814" t="str">
        <f t="shared" ca="1" si="391"/>
        <v>-</v>
      </c>
      <c r="AO458" s="815">
        <v>1</v>
      </c>
      <c r="AP458" s="816" t="str">
        <f t="shared" ca="1" si="392"/>
        <v>-</v>
      </c>
      <c r="AQ458" s="817"/>
      <c r="AR458" s="794" t="str">
        <f t="shared" si="393"/>
        <v>-</v>
      </c>
      <c r="AS458" s="818"/>
      <c r="AT458" s="794" t="str">
        <f t="shared" si="394"/>
        <v>-</v>
      </c>
      <c r="AU458" s="819">
        <v>1</v>
      </c>
      <c r="AV458" s="820"/>
      <c r="AW458" s="821"/>
      <c r="AX458" s="821"/>
      <c r="AY458" s="969" t="str">
        <f t="shared" si="395"/>
        <v>-</v>
      </c>
      <c r="AZ458" s="966" t="str">
        <f t="shared" si="396"/>
        <v>-</v>
      </c>
      <c r="BA458" s="971" t="str">
        <f t="shared" si="397"/>
        <v>-</v>
      </c>
      <c r="BB458" s="975"/>
      <c r="BC458" s="821"/>
      <c r="BD458" s="821"/>
      <c r="BE458" s="963" t="str">
        <f t="shared" si="398"/>
        <v>-</v>
      </c>
      <c r="BF458" s="984"/>
      <c r="BG458" s="988"/>
      <c r="BH458" s="982"/>
      <c r="BI458" s="991"/>
      <c r="BJ458" s="991"/>
      <c r="BK458" s="993" t="str">
        <f t="shared" si="399"/>
        <v>-</v>
      </c>
      <c r="BL458" s="820">
        <v>42981</v>
      </c>
      <c r="BM458" s="821">
        <v>5</v>
      </c>
      <c r="BN458" s="822">
        <f t="shared" ca="1" si="400"/>
        <v>153</v>
      </c>
      <c r="BO458" s="823">
        <f t="shared" si="401"/>
        <v>61.766666666666666</v>
      </c>
      <c r="BP458" s="824"/>
      <c r="BQ458" s="821"/>
      <c r="BR458" s="822" t="str">
        <f t="shared" si="402"/>
        <v>-</v>
      </c>
      <c r="BS458" s="823" t="str">
        <f t="shared" si="403"/>
        <v>-</v>
      </c>
      <c r="BT458" s="825" t="str">
        <f t="shared" ca="1" si="404"/>
        <v>-</v>
      </c>
      <c r="BU458" s="826"/>
      <c r="BV458" s="827"/>
      <c r="BW458" s="828" t="str">
        <f t="shared" si="405"/>
        <v>Ж-Е НЕ ВАКЦ.</v>
      </c>
      <c r="BX458" s="829" t="str">
        <f t="shared" si="406"/>
        <v>-</v>
      </c>
      <c r="BY458" s="830" t="str">
        <f t="shared" ca="1" si="407"/>
        <v>-</v>
      </c>
      <c r="BZ458" s="831">
        <v>42887</v>
      </c>
      <c r="CA458" s="832">
        <v>5</v>
      </c>
      <c r="CB458" s="833">
        <f t="shared" ca="1" si="408"/>
        <v>247</v>
      </c>
      <c r="CC458" s="834" t="str">
        <f t="shared" ca="1" si="409"/>
        <v>-</v>
      </c>
      <c r="CD458" s="835">
        <f t="shared" si="410"/>
        <v>42908</v>
      </c>
      <c r="CE458" s="831">
        <v>42908</v>
      </c>
      <c r="CF458" s="832">
        <v>5</v>
      </c>
      <c r="CG458" s="833">
        <f t="shared" ca="1" si="411"/>
        <v>226</v>
      </c>
      <c r="CH458" s="836">
        <f t="shared" si="412"/>
        <v>0</v>
      </c>
      <c r="CI458" s="837" t="str">
        <f t="shared" si="413"/>
        <v>УСПЕШНО</v>
      </c>
      <c r="CJ458" s="838" t="str">
        <f t="shared" ca="1" si="414"/>
        <v>-</v>
      </c>
      <c r="CK458" s="831"/>
      <c r="CL458" s="832"/>
      <c r="CM458" s="833" t="str">
        <f t="shared" si="415"/>
        <v>-</v>
      </c>
      <c r="CN458" s="834" t="str">
        <f t="shared" si="416"/>
        <v>-</v>
      </c>
      <c r="CO458" s="830" t="str">
        <f t="shared" ca="1" si="417"/>
        <v>-</v>
      </c>
      <c r="CP458" s="831">
        <v>42989</v>
      </c>
      <c r="CQ458" s="832">
        <v>2</v>
      </c>
      <c r="CR458" s="833">
        <f t="shared" si="418"/>
        <v>42989</v>
      </c>
      <c r="CS458" s="833">
        <f t="shared" ca="1" si="419"/>
        <v>145</v>
      </c>
      <c r="CT458" s="834" t="str">
        <f t="shared" ca="1" si="420"/>
        <v>-</v>
      </c>
      <c r="CU458" s="835">
        <f t="shared" si="421"/>
        <v>43010</v>
      </c>
      <c r="CV458" s="831">
        <v>43011</v>
      </c>
      <c r="CW458" s="832">
        <v>2</v>
      </c>
      <c r="CX458" s="833">
        <f t="shared" si="422"/>
        <v>1</v>
      </c>
      <c r="CY458" s="840" t="str">
        <f t="shared" si="423"/>
        <v>-</v>
      </c>
      <c r="CZ458" s="833">
        <f t="shared" si="424"/>
        <v>43011</v>
      </c>
      <c r="DA458" s="838" t="str">
        <f t="shared" ca="1" si="425"/>
        <v>-</v>
      </c>
      <c r="DB458" s="841"/>
      <c r="DC458" s="832"/>
    </row>
    <row r="459" spans="1:107" s="842" customFormat="1" ht="15.95" customHeight="1" x14ac:dyDescent="0.25">
      <c r="A459" s="790">
        <v>461</v>
      </c>
      <c r="B459" s="791">
        <f t="shared" ca="1" si="374"/>
        <v>43134</v>
      </c>
      <c r="C459" s="29" t="s">
        <v>2404</v>
      </c>
      <c r="D459" s="59" t="s">
        <v>1456</v>
      </c>
      <c r="E459" s="794" t="s">
        <v>247</v>
      </c>
      <c r="F459" s="854" t="s">
        <v>248</v>
      </c>
      <c r="G459" s="796">
        <f>SUMIFS(МОЛОКО!L8:L6958,МОЛОКО!F8:F6958,"1747",МОЛОКО!L8:L6958,"&gt;0")</f>
        <v>0</v>
      </c>
      <c r="H459" s="797" t="s">
        <v>603</v>
      </c>
      <c r="I459" s="798">
        <v>41255</v>
      </c>
      <c r="J459" s="799">
        <f t="shared" ca="1" si="375"/>
        <v>5.1479452054794521</v>
      </c>
      <c r="K459" s="799">
        <f t="shared" ca="1" si="376"/>
        <v>62.633333333333333</v>
      </c>
      <c r="L459" s="800">
        <f t="shared" ca="1" si="377"/>
        <v>1879</v>
      </c>
      <c r="M459" s="801">
        <v>41977</v>
      </c>
      <c r="N459" s="802">
        <v>43050</v>
      </c>
      <c r="O459" s="803">
        <f t="shared" ca="1" si="378"/>
        <v>84</v>
      </c>
      <c r="P459" s="804">
        <v>3</v>
      </c>
      <c r="Q459" s="805"/>
      <c r="R459" s="806"/>
      <c r="S459" s="807"/>
      <c r="T459" s="798"/>
      <c r="U459" s="798" t="str">
        <f t="shared" si="379"/>
        <v>-</v>
      </c>
      <c r="V459" s="804" t="str">
        <f t="shared" ca="1" si="380"/>
        <v>-</v>
      </c>
      <c r="W459" s="808">
        <v>0</v>
      </c>
      <c r="X459" s="794" t="str">
        <f t="shared" si="373"/>
        <v>-</v>
      </c>
      <c r="Y459" s="794">
        <v>0</v>
      </c>
      <c r="Z459" s="809" t="str">
        <f t="shared" ca="1" si="381"/>
        <v>-----</v>
      </c>
      <c r="AA459" s="810">
        <f t="shared" ca="1" si="382"/>
        <v>43134</v>
      </c>
      <c r="AB459" s="804"/>
      <c r="AC459" s="811" t="str">
        <f t="shared" ca="1" si="383"/>
        <v>-----</v>
      </c>
      <c r="AD459" s="798"/>
      <c r="AE459" s="794" t="str">
        <f t="shared" ca="1" si="384"/>
        <v>-</v>
      </c>
      <c r="AF459" s="798" t="str">
        <f t="shared" si="385"/>
        <v>-</v>
      </c>
      <c r="AG459" s="812" t="str">
        <f t="shared" si="386"/>
        <v>---------</v>
      </c>
      <c r="AH459" s="807"/>
      <c r="AI459" s="807" t="str">
        <f t="shared" si="387"/>
        <v>-</v>
      </c>
      <c r="AJ459" s="807" t="str">
        <f t="shared" si="388"/>
        <v>-</v>
      </c>
      <c r="AK459" s="813"/>
      <c r="AL459" s="807" t="str">
        <f t="shared" si="389"/>
        <v>-</v>
      </c>
      <c r="AM459" s="807" t="str">
        <f t="shared" si="390"/>
        <v>-</v>
      </c>
      <c r="AN459" s="814" t="str">
        <f t="shared" ca="1" si="391"/>
        <v>-</v>
      </c>
      <c r="AO459" s="815">
        <v>1</v>
      </c>
      <c r="AP459" s="816" t="str">
        <f t="shared" ca="1" si="392"/>
        <v>-</v>
      </c>
      <c r="AQ459" s="817"/>
      <c r="AR459" s="794" t="str">
        <f t="shared" si="393"/>
        <v>-</v>
      </c>
      <c r="AS459" s="818"/>
      <c r="AT459" s="794" t="str">
        <f t="shared" si="394"/>
        <v>-</v>
      </c>
      <c r="AU459" s="819">
        <v>1</v>
      </c>
      <c r="AV459" s="820"/>
      <c r="AW459" s="821"/>
      <c r="AX459" s="821"/>
      <c r="AY459" s="969" t="str">
        <f t="shared" si="395"/>
        <v>-</v>
      </c>
      <c r="AZ459" s="966" t="str">
        <f t="shared" si="396"/>
        <v>-</v>
      </c>
      <c r="BA459" s="971" t="str">
        <f t="shared" si="397"/>
        <v>-</v>
      </c>
      <c r="BB459" s="975"/>
      <c r="BC459" s="821"/>
      <c r="BD459" s="821"/>
      <c r="BE459" s="963" t="str">
        <f t="shared" si="398"/>
        <v>-</v>
      </c>
      <c r="BF459" s="984"/>
      <c r="BG459" s="988"/>
      <c r="BH459" s="982"/>
      <c r="BI459" s="991"/>
      <c r="BJ459" s="991"/>
      <c r="BK459" s="993" t="str">
        <f t="shared" si="399"/>
        <v>-</v>
      </c>
      <c r="BL459" s="820">
        <v>42981</v>
      </c>
      <c r="BM459" s="821">
        <v>5</v>
      </c>
      <c r="BN459" s="822">
        <f t="shared" ca="1" si="400"/>
        <v>153</v>
      </c>
      <c r="BO459" s="823">
        <f t="shared" si="401"/>
        <v>57.533333333333331</v>
      </c>
      <c r="BP459" s="824"/>
      <c r="BQ459" s="821"/>
      <c r="BR459" s="822" t="str">
        <f t="shared" si="402"/>
        <v>-</v>
      </c>
      <c r="BS459" s="823" t="str">
        <f t="shared" si="403"/>
        <v>-</v>
      </c>
      <c r="BT459" s="825" t="str">
        <f t="shared" ca="1" si="404"/>
        <v>-</v>
      </c>
      <c r="BU459" s="826"/>
      <c r="BV459" s="827"/>
      <c r="BW459" s="828" t="str">
        <f t="shared" si="405"/>
        <v>Ж-Е НЕ ВАКЦ.</v>
      </c>
      <c r="BX459" s="829" t="str">
        <f t="shared" si="406"/>
        <v>-</v>
      </c>
      <c r="BY459" s="830" t="str">
        <f t="shared" ca="1" si="407"/>
        <v>-</v>
      </c>
      <c r="BZ459" s="831">
        <v>42887</v>
      </c>
      <c r="CA459" s="832">
        <v>5</v>
      </c>
      <c r="CB459" s="833">
        <f t="shared" ca="1" si="408"/>
        <v>247</v>
      </c>
      <c r="CC459" s="834" t="str">
        <f t="shared" ca="1" si="409"/>
        <v>-</v>
      </c>
      <c r="CD459" s="835">
        <f t="shared" si="410"/>
        <v>42908</v>
      </c>
      <c r="CE459" s="831">
        <v>42908</v>
      </c>
      <c r="CF459" s="832">
        <v>5</v>
      </c>
      <c r="CG459" s="833">
        <f t="shared" ca="1" si="411"/>
        <v>226</v>
      </c>
      <c r="CH459" s="836">
        <f t="shared" si="412"/>
        <v>0</v>
      </c>
      <c r="CI459" s="837" t="str">
        <f t="shared" si="413"/>
        <v>УСПЕШНО</v>
      </c>
      <c r="CJ459" s="838" t="str">
        <f t="shared" ca="1" si="414"/>
        <v>-</v>
      </c>
      <c r="CK459" s="831"/>
      <c r="CL459" s="832"/>
      <c r="CM459" s="833" t="str">
        <f t="shared" si="415"/>
        <v>-</v>
      </c>
      <c r="CN459" s="834" t="str">
        <f t="shared" si="416"/>
        <v>-</v>
      </c>
      <c r="CO459" s="830" t="str">
        <f t="shared" ca="1" si="417"/>
        <v>-</v>
      </c>
      <c r="CP459" s="831">
        <v>42989</v>
      </c>
      <c r="CQ459" s="832">
        <v>2</v>
      </c>
      <c r="CR459" s="833">
        <f t="shared" si="418"/>
        <v>42989</v>
      </c>
      <c r="CS459" s="833">
        <f t="shared" ca="1" si="419"/>
        <v>145</v>
      </c>
      <c r="CT459" s="834" t="str">
        <f t="shared" ca="1" si="420"/>
        <v>-</v>
      </c>
      <c r="CU459" s="835">
        <f t="shared" si="421"/>
        <v>43010</v>
      </c>
      <c r="CV459" s="831">
        <v>43011</v>
      </c>
      <c r="CW459" s="832">
        <v>2</v>
      </c>
      <c r="CX459" s="833">
        <f t="shared" si="422"/>
        <v>1</v>
      </c>
      <c r="CY459" s="840" t="str">
        <f t="shared" si="423"/>
        <v>-</v>
      </c>
      <c r="CZ459" s="833">
        <f t="shared" si="424"/>
        <v>43011</v>
      </c>
      <c r="DA459" s="838" t="str">
        <f t="shared" ca="1" si="425"/>
        <v>-</v>
      </c>
      <c r="DB459" s="841"/>
      <c r="DC459" s="832"/>
    </row>
    <row r="460" spans="1:107" s="842" customFormat="1" ht="15.95" customHeight="1" x14ac:dyDescent="0.25">
      <c r="A460" s="790">
        <v>462</v>
      </c>
      <c r="B460" s="791">
        <f t="shared" ca="1" si="374"/>
        <v>43134</v>
      </c>
      <c r="C460" s="792" t="s">
        <v>2404</v>
      </c>
      <c r="D460" s="427" t="s">
        <v>1456</v>
      </c>
      <c r="E460" s="794" t="s">
        <v>283</v>
      </c>
      <c r="F460" s="795" t="s">
        <v>497</v>
      </c>
      <c r="G460" s="796">
        <f>SUMIFS(МОЛОКО!L8:L6958,МОЛОКО!F8:F6958,"1877",МОЛОКО!L8:L6958,"&gt;0")</f>
        <v>0</v>
      </c>
      <c r="H460" s="797" t="s">
        <v>603</v>
      </c>
      <c r="I460" s="798">
        <v>41418</v>
      </c>
      <c r="J460" s="799">
        <f t="shared" ca="1" si="375"/>
        <v>4.7013698630136984</v>
      </c>
      <c r="K460" s="799">
        <f t="shared" ca="1" si="376"/>
        <v>57.2</v>
      </c>
      <c r="L460" s="800">
        <f t="shared" ca="1" si="377"/>
        <v>1716</v>
      </c>
      <c r="M460" s="801">
        <v>42227</v>
      </c>
      <c r="N460" s="802">
        <v>43041</v>
      </c>
      <c r="O460" s="803">
        <f t="shared" ca="1" si="378"/>
        <v>93</v>
      </c>
      <c r="P460" s="804">
        <v>3</v>
      </c>
      <c r="Q460" s="805"/>
      <c r="R460" s="806"/>
      <c r="S460" s="807"/>
      <c r="T460" s="798"/>
      <c r="U460" s="798" t="str">
        <f t="shared" si="379"/>
        <v>-</v>
      </c>
      <c r="V460" s="804" t="str">
        <f t="shared" ca="1" si="380"/>
        <v>-</v>
      </c>
      <c r="W460" s="808">
        <v>0</v>
      </c>
      <c r="X460" s="794" t="str">
        <f t="shared" si="373"/>
        <v>-</v>
      </c>
      <c r="Y460" s="794">
        <v>0</v>
      </c>
      <c r="Z460" s="809" t="str">
        <f t="shared" ca="1" si="381"/>
        <v>-----</v>
      </c>
      <c r="AA460" s="810">
        <f t="shared" ca="1" si="382"/>
        <v>43134</v>
      </c>
      <c r="AB460" s="804"/>
      <c r="AC460" s="811" t="str">
        <f t="shared" ca="1" si="383"/>
        <v>-----</v>
      </c>
      <c r="AD460" s="798"/>
      <c r="AE460" s="794" t="str">
        <f t="shared" ca="1" si="384"/>
        <v>-</v>
      </c>
      <c r="AF460" s="798" t="str">
        <f t="shared" si="385"/>
        <v>-</v>
      </c>
      <c r="AG460" s="812" t="str">
        <f t="shared" si="386"/>
        <v>---------</v>
      </c>
      <c r="AH460" s="807"/>
      <c r="AI460" s="807" t="str">
        <f t="shared" si="387"/>
        <v>-</v>
      </c>
      <c r="AJ460" s="807" t="str">
        <f t="shared" si="388"/>
        <v>-</v>
      </c>
      <c r="AK460" s="813"/>
      <c r="AL460" s="807" t="str">
        <f t="shared" si="389"/>
        <v>-</v>
      </c>
      <c r="AM460" s="807" t="str">
        <f t="shared" si="390"/>
        <v>-</v>
      </c>
      <c r="AN460" s="814" t="str">
        <f t="shared" ca="1" si="391"/>
        <v>-</v>
      </c>
      <c r="AO460" s="815">
        <v>1</v>
      </c>
      <c r="AP460" s="816" t="str">
        <f t="shared" ca="1" si="392"/>
        <v>-</v>
      </c>
      <c r="AQ460" s="817"/>
      <c r="AR460" s="794" t="str">
        <f t="shared" si="393"/>
        <v>-</v>
      </c>
      <c r="AS460" s="818"/>
      <c r="AT460" s="794" t="str">
        <f t="shared" si="394"/>
        <v>-</v>
      </c>
      <c r="AU460" s="819"/>
      <c r="AV460" s="820"/>
      <c r="AW460" s="821"/>
      <c r="AX460" s="821"/>
      <c r="AY460" s="969" t="str">
        <f t="shared" si="395"/>
        <v>-</v>
      </c>
      <c r="AZ460" s="966" t="str">
        <f t="shared" si="396"/>
        <v>-</v>
      </c>
      <c r="BA460" s="971" t="str">
        <f t="shared" si="397"/>
        <v>-</v>
      </c>
      <c r="BB460" s="975"/>
      <c r="BC460" s="821"/>
      <c r="BD460" s="821"/>
      <c r="BE460" s="963" t="str">
        <f t="shared" si="398"/>
        <v>-</v>
      </c>
      <c r="BF460" s="984"/>
      <c r="BG460" s="988"/>
      <c r="BH460" s="982"/>
      <c r="BI460" s="991"/>
      <c r="BJ460" s="991"/>
      <c r="BK460" s="993" t="str">
        <f t="shared" si="399"/>
        <v>-</v>
      </c>
      <c r="BL460" s="820">
        <v>42981</v>
      </c>
      <c r="BM460" s="821">
        <v>5</v>
      </c>
      <c r="BN460" s="822">
        <f t="shared" ca="1" si="400"/>
        <v>153</v>
      </c>
      <c r="BO460" s="823">
        <f t="shared" si="401"/>
        <v>52.1</v>
      </c>
      <c r="BP460" s="824"/>
      <c r="BQ460" s="821"/>
      <c r="BR460" s="822" t="str">
        <f t="shared" si="402"/>
        <v>-</v>
      </c>
      <c r="BS460" s="823" t="str">
        <f t="shared" si="403"/>
        <v>-</v>
      </c>
      <c r="BT460" s="825" t="str">
        <f t="shared" ca="1" si="404"/>
        <v>-</v>
      </c>
      <c r="BU460" s="826"/>
      <c r="BV460" s="827"/>
      <c r="BW460" s="828" t="str">
        <f t="shared" si="405"/>
        <v>Ж-Е НЕ ВАКЦ.</v>
      </c>
      <c r="BX460" s="829" t="str">
        <f t="shared" si="406"/>
        <v>-</v>
      </c>
      <c r="BY460" s="830" t="str">
        <f t="shared" ca="1" si="407"/>
        <v>-</v>
      </c>
      <c r="BZ460" s="831">
        <v>42887</v>
      </c>
      <c r="CA460" s="832">
        <v>5</v>
      </c>
      <c r="CB460" s="833">
        <f t="shared" ca="1" si="408"/>
        <v>247</v>
      </c>
      <c r="CC460" s="834" t="str">
        <f t="shared" ca="1" si="409"/>
        <v>-</v>
      </c>
      <c r="CD460" s="835">
        <f t="shared" si="410"/>
        <v>42908</v>
      </c>
      <c r="CE460" s="831">
        <v>42908</v>
      </c>
      <c r="CF460" s="832">
        <v>5</v>
      </c>
      <c r="CG460" s="833">
        <f t="shared" ca="1" si="411"/>
        <v>226</v>
      </c>
      <c r="CH460" s="836">
        <f t="shared" si="412"/>
        <v>0</v>
      </c>
      <c r="CI460" s="837" t="str">
        <f t="shared" si="413"/>
        <v>УСПЕШНО</v>
      </c>
      <c r="CJ460" s="838" t="str">
        <f t="shared" ca="1" si="414"/>
        <v>-</v>
      </c>
      <c r="CK460" s="831"/>
      <c r="CL460" s="832"/>
      <c r="CM460" s="833" t="str">
        <f t="shared" si="415"/>
        <v>-</v>
      </c>
      <c r="CN460" s="834" t="str">
        <f t="shared" si="416"/>
        <v>-</v>
      </c>
      <c r="CO460" s="830" t="str">
        <f t="shared" ca="1" si="417"/>
        <v>-</v>
      </c>
      <c r="CP460" s="831">
        <v>42990</v>
      </c>
      <c r="CQ460" s="832">
        <v>2</v>
      </c>
      <c r="CR460" s="833">
        <f t="shared" si="418"/>
        <v>42990</v>
      </c>
      <c r="CS460" s="833">
        <f t="shared" ca="1" si="419"/>
        <v>144</v>
      </c>
      <c r="CT460" s="834" t="str">
        <f t="shared" ca="1" si="420"/>
        <v>-</v>
      </c>
      <c r="CU460" s="835">
        <f t="shared" si="421"/>
        <v>43011</v>
      </c>
      <c r="CV460" s="831">
        <v>43012</v>
      </c>
      <c r="CW460" s="832">
        <v>2</v>
      </c>
      <c r="CX460" s="833">
        <f t="shared" si="422"/>
        <v>1</v>
      </c>
      <c r="CY460" s="840" t="str">
        <f t="shared" si="423"/>
        <v>-</v>
      </c>
      <c r="CZ460" s="833">
        <f t="shared" si="424"/>
        <v>43012</v>
      </c>
      <c r="DA460" s="838" t="str">
        <f t="shared" ca="1" si="425"/>
        <v>-</v>
      </c>
      <c r="DB460" s="841"/>
      <c r="DC460" s="832"/>
    </row>
    <row r="461" spans="1:107" s="842" customFormat="1" ht="15.95" customHeight="1" x14ac:dyDescent="0.25">
      <c r="A461" s="790">
        <v>463</v>
      </c>
      <c r="B461" s="791">
        <f t="shared" ca="1" si="374"/>
        <v>43134</v>
      </c>
      <c r="C461" s="792" t="s">
        <v>2404</v>
      </c>
      <c r="D461" s="793" t="s">
        <v>1456</v>
      </c>
      <c r="E461" s="794" t="s">
        <v>650</v>
      </c>
      <c r="F461" s="795" t="s">
        <v>651</v>
      </c>
      <c r="G461" s="796">
        <f>SUMIFS(МОЛОКО!L8:L6958,МОЛОКО!F8:F6958,"2153",МОЛОКО!L8:L6958,"&gt;0")</f>
        <v>13.8</v>
      </c>
      <c r="H461" s="797" t="s">
        <v>603</v>
      </c>
      <c r="I461" s="798">
        <v>41337</v>
      </c>
      <c r="J461" s="799">
        <f t="shared" ca="1" si="375"/>
        <v>4.9232876712328766</v>
      </c>
      <c r="K461" s="799">
        <f t="shared" ca="1" si="376"/>
        <v>59.9</v>
      </c>
      <c r="L461" s="800">
        <f t="shared" ca="1" si="377"/>
        <v>1797</v>
      </c>
      <c r="M461" s="801">
        <v>42417</v>
      </c>
      <c r="N461" s="802">
        <v>42907</v>
      </c>
      <c r="O461" s="803">
        <f t="shared" ca="1" si="378"/>
        <v>227</v>
      </c>
      <c r="P461" s="804">
        <v>2</v>
      </c>
      <c r="Q461" s="805" t="s">
        <v>1451</v>
      </c>
      <c r="R461" s="806" t="s">
        <v>2966</v>
      </c>
      <c r="S461" s="807">
        <v>42964</v>
      </c>
      <c r="T461" s="798">
        <v>42964</v>
      </c>
      <c r="U461" s="798" t="str">
        <f t="shared" si="379"/>
        <v>-</v>
      </c>
      <c r="V461" s="804" t="str">
        <f t="shared" ca="1" si="380"/>
        <v>-</v>
      </c>
      <c r="W461" s="808">
        <v>1</v>
      </c>
      <c r="X461" s="794">
        <f t="shared" si="373"/>
        <v>57</v>
      </c>
      <c r="Y461" s="794">
        <v>1</v>
      </c>
      <c r="Z461" s="809" t="str">
        <f t="shared" ca="1" si="381"/>
        <v>-----</v>
      </c>
      <c r="AA461" s="810" t="str">
        <f t="shared" ca="1" si="382"/>
        <v>-----</v>
      </c>
      <c r="AB461" s="804">
        <v>1</v>
      </c>
      <c r="AC461" s="811" t="str">
        <f t="shared" ca="1" si="383"/>
        <v>-----</v>
      </c>
      <c r="AD461" s="798">
        <v>43043</v>
      </c>
      <c r="AE461" s="794" t="str">
        <f t="shared" ca="1" si="384"/>
        <v>-</v>
      </c>
      <c r="AF461" s="798" t="str">
        <f t="shared" si="385"/>
        <v>-</v>
      </c>
      <c r="AG461" s="812" t="str">
        <f t="shared" si="386"/>
        <v>---------</v>
      </c>
      <c r="AH461" s="807">
        <v>42996</v>
      </c>
      <c r="AI461" s="807">
        <f t="shared" si="387"/>
        <v>43154</v>
      </c>
      <c r="AJ461" s="807">
        <f t="shared" si="388"/>
        <v>43184</v>
      </c>
      <c r="AK461" s="813"/>
      <c r="AL461" s="807">
        <f t="shared" si="389"/>
        <v>43223</v>
      </c>
      <c r="AM461" s="807">
        <f t="shared" si="390"/>
        <v>43244</v>
      </c>
      <c r="AN461" s="814">
        <f t="shared" ca="1" si="391"/>
        <v>-110</v>
      </c>
      <c r="AO461" s="815">
        <v>1</v>
      </c>
      <c r="AP461" s="816" t="str">
        <f t="shared" ca="1" si="392"/>
        <v>-</v>
      </c>
      <c r="AQ461" s="817"/>
      <c r="AR461" s="794" t="str">
        <f t="shared" si="393"/>
        <v>-</v>
      </c>
      <c r="AS461" s="818"/>
      <c r="AT461" s="794" t="str">
        <f t="shared" si="394"/>
        <v>-</v>
      </c>
      <c r="AU461" s="819"/>
      <c r="AV461" s="820"/>
      <c r="AW461" s="821"/>
      <c r="AX461" s="821"/>
      <c r="AY461" s="969" t="str">
        <f t="shared" si="395"/>
        <v>-</v>
      </c>
      <c r="AZ461" s="966" t="str">
        <f t="shared" si="396"/>
        <v>-</v>
      </c>
      <c r="BA461" s="971" t="str">
        <f t="shared" si="397"/>
        <v>-</v>
      </c>
      <c r="BB461" s="975"/>
      <c r="BC461" s="821"/>
      <c r="BD461" s="821"/>
      <c r="BE461" s="963" t="str">
        <f t="shared" si="398"/>
        <v>-</v>
      </c>
      <c r="BF461" s="984"/>
      <c r="BG461" s="988"/>
      <c r="BH461" s="982"/>
      <c r="BI461" s="991"/>
      <c r="BJ461" s="991"/>
      <c r="BK461" s="993" t="str">
        <f t="shared" si="399"/>
        <v>-</v>
      </c>
      <c r="BL461" s="820">
        <v>42980</v>
      </c>
      <c r="BM461" s="821">
        <v>5</v>
      </c>
      <c r="BN461" s="822">
        <f t="shared" ca="1" si="400"/>
        <v>154</v>
      </c>
      <c r="BO461" s="823">
        <f t="shared" si="401"/>
        <v>54.766666666666666</v>
      </c>
      <c r="BP461" s="824"/>
      <c r="BQ461" s="821"/>
      <c r="BR461" s="822" t="str">
        <f t="shared" si="402"/>
        <v>-</v>
      </c>
      <c r="BS461" s="823" t="str">
        <f t="shared" si="403"/>
        <v>-</v>
      </c>
      <c r="BT461" s="825" t="str">
        <f t="shared" ca="1" si="404"/>
        <v>-</v>
      </c>
      <c r="BU461" s="826"/>
      <c r="BV461" s="827"/>
      <c r="BW461" s="828" t="str">
        <f t="shared" si="405"/>
        <v>Ж-Е НЕ ВАКЦ.</v>
      </c>
      <c r="BX461" s="829" t="str">
        <f t="shared" si="406"/>
        <v>-</v>
      </c>
      <c r="BY461" s="830" t="str">
        <f t="shared" ca="1" si="407"/>
        <v>-</v>
      </c>
      <c r="BZ461" s="831">
        <v>42940</v>
      </c>
      <c r="CA461" s="832">
        <v>5</v>
      </c>
      <c r="CB461" s="833">
        <f t="shared" ca="1" si="408"/>
        <v>194</v>
      </c>
      <c r="CC461" s="834" t="str">
        <f t="shared" ca="1" si="409"/>
        <v>-</v>
      </c>
      <c r="CD461" s="835">
        <f t="shared" si="410"/>
        <v>42961</v>
      </c>
      <c r="CE461" s="831">
        <v>42969</v>
      </c>
      <c r="CF461" s="832">
        <v>5</v>
      </c>
      <c r="CG461" s="833">
        <f t="shared" ca="1" si="411"/>
        <v>165</v>
      </c>
      <c r="CH461" s="836">
        <f t="shared" si="412"/>
        <v>-8</v>
      </c>
      <c r="CI461" s="837" t="str">
        <f t="shared" si="413"/>
        <v>-</v>
      </c>
      <c r="CJ461" s="838" t="str">
        <f t="shared" ca="1" si="414"/>
        <v>-</v>
      </c>
      <c r="CK461" s="831"/>
      <c r="CL461" s="832"/>
      <c r="CM461" s="833" t="str">
        <f t="shared" si="415"/>
        <v>-</v>
      </c>
      <c r="CN461" s="834" t="str">
        <f t="shared" si="416"/>
        <v>-</v>
      </c>
      <c r="CO461" s="830" t="str">
        <f t="shared" ca="1" si="417"/>
        <v>-</v>
      </c>
      <c r="CP461" s="839"/>
      <c r="CQ461" s="832"/>
      <c r="CR461" s="833" t="str">
        <f t="shared" si="418"/>
        <v>-</v>
      </c>
      <c r="CS461" s="833" t="str">
        <f t="shared" si="419"/>
        <v>-</v>
      </c>
      <c r="CT461" s="834" t="str">
        <f t="shared" si="420"/>
        <v>-</v>
      </c>
      <c r="CU461" s="835" t="str">
        <f t="shared" si="421"/>
        <v>-</v>
      </c>
      <c r="CV461" s="839"/>
      <c r="CW461" s="832"/>
      <c r="CX461" s="833" t="str">
        <f t="shared" si="422"/>
        <v>-</v>
      </c>
      <c r="CY461" s="840" t="str">
        <f t="shared" si="423"/>
        <v>-</v>
      </c>
      <c r="CZ461" s="833" t="str">
        <f t="shared" si="424"/>
        <v>-</v>
      </c>
      <c r="DA461" s="838" t="str">
        <f t="shared" ca="1" si="425"/>
        <v>-</v>
      </c>
      <c r="DB461" s="841"/>
      <c r="DC461" s="832"/>
    </row>
    <row r="462" spans="1:107" s="842" customFormat="1" ht="15.95" customHeight="1" x14ac:dyDescent="0.25">
      <c r="A462" s="790">
        <v>464</v>
      </c>
      <c r="B462" s="791">
        <f t="shared" ca="1" si="374"/>
        <v>43134</v>
      </c>
      <c r="C462" s="792" t="s">
        <v>2404</v>
      </c>
      <c r="D462" s="427" t="s">
        <v>1456</v>
      </c>
      <c r="E462" s="794" t="s">
        <v>1283</v>
      </c>
      <c r="F462" s="795" t="s">
        <v>1158</v>
      </c>
      <c r="G462" s="796">
        <f>SUMIFS(МОЛОКО!L8:L6958,МОЛОКО!F8:F6958,"2167",МОЛОКО!L8:L6958,"&gt;0")</f>
        <v>0</v>
      </c>
      <c r="H462" s="797" t="s">
        <v>603</v>
      </c>
      <c r="I462" s="798">
        <v>41731</v>
      </c>
      <c r="J462" s="799">
        <f t="shared" ca="1" si="375"/>
        <v>3.8438356164383563</v>
      </c>
      <c r="K462" s="799">
        <f t="shared" ca="1" si="376"/>
        <v>46.766666666666666</v>
      </c>
      <c r="L462" s="800">
        <f t="shared" ca="1" si="377"/>
        <v>1403</v>
      </c>
      <c r="M462" s="801">
        <v>42651</v>
      </c>
      <c r="N462" s="802">
        <v>43041</v>
      </c>
      <c r="O462" s="803">
        <f t="shared" ca="1" si="378"/>
        <v>93</v>
      </c>
      <c r="P462" s="804">
        <v>2</v>
      </c>
      <c r="Q462" s="805"/>
      <c r="R462" s="806"/>
      <c r="S462" s="807"/>
      <c r="T462" s="798"/>
      <c r="U462" s="798" t="str">
        <f t="shared" si="379"/>
        <v>-</v>
      </c>
      <c r="V462" s="804" t="str">
        <f t="shared" ca="1" si="380"/>
        <v>-</v>
      </c>
      <c r="W462" s="808">
        <v>0</v>
      </c>
      <c r="X462" s="794" t="str">
        <f t="shared" si="373"/>
        <v>-</v>
      </c>
      <c r="Y462" s="794">
        <v>0</v>
      </c>
      <c r="Z462" s="809" t="str">
        <f t="shared" ca="1" si="381"/>
        <v>-----</v>
      </c>
      <c r="AA462" s="810">
        <f t="shared" ca="1" si="382"/>
        <v>43134</v>
      </c>
      <c r="AB462" s="804"/>
      <c r="AC462" s="811" t="str">
        <f t="shared" ca="1" si="383"/>
        <v>-----</v>
      </c>
      <c r="AD462" s="798"/>
      <c r="AE462" s="794" t="str">
        <f t="shared" ca="1" si="384"/>
        <v>-</v>
      </c>
      <c r="AF462" s="798" t="str">
        <f t="shared" si="385"/>
        <v>-</v>
      </c>
      <c r="AG462" s="812" t="str">
        <f t="shared" si="386"/>
        <v>---------</v>
      </c>
      <c r="AH462" s="807"/>
      <c r="AI462" s="807" t="str">
        <f t="shared" si="387"/>
        <v>-</v>
      </c>
      <c r="AJ462" s="807" t="str">
        <f t="shared" si="388"/>
        <v>-</v>
      </c>
      <c r="AK462" s="813"/>
      <c r="AL462" s="807" t="str">
        <f t="shared" si="389"/>
        <v>-</v>
      </c>
      <c r="AM462" s="807" t="str">
        <f t="shared" si="390"/>
        <v>-</v>
      </c>
      <c r="AN462" s="814" t="str">
        <f t="shared" ca="1" si="391"/>
        <v>-</v>
      </c>
      <c r="AO462" s="815">
        <v>1</v>
      </c>
      <c r="AP462" s="816" t="str">
        <f t="shared" ca="1" si="392"/>
        <v>-</v>
      </c>
      <c r="AQ462" s="817"/>
      <c r="AR462" s="794" t="str">
        <f t="shared" si="393"/>
        <v>-</v>
      </c>
      <c r="AS462" s="818"/>
      <c r="AT462" s="794" t="str">
        <f t="shared" si="394"/>
        <v>-</v>
      </c>
      <c r="AU462" s="819"/>
      <c r="AV462" s="820"/>
      <c r="AW462" s="821"/>
      <c r="AX462" s="821"/>
      <c r="AY462" s="969" t="str">
        <f t="shared" si="395"/>
        <v>-</v>
      </c>
      <c r="AZ462" s="966" t="str">
        <f t="shared" si="396"/>
        <v>-</v>
      </c>
      <c r="BA462" s="971" t="str">
        <f t="shared" si="397"/>
        <v>-</v>
      </c>
      <c r="BB462" s="975"/>
      <c r="BC462" s="821"/>
      <c r="BD462" s="821"/>
      <c r="BE462" s="963" t="str">
        <f t="shared" si="398"/>
        <v>-</v>
      </c>
      <c r="BF462" s="984"/>
      <c r="BG462" s="988"/>
      <c r="BH462" s="982"/>
      <c r="BI462" s="991"/>
      <c r="BJ462" s="991"/>
      <c r="BK462" s="993" t="str">
        <f t="shared" si="399"/>
        <v>-</v>
      </c>
      <c r="BL462" s="820">
        <v>42978</v>
      </c>
      <c r="BM462" s="821">
        <v>5</v>
      </c>
      <c r="BN462" s="822">
        <f t="shared" ca="1" si="400"/>
        <v>156</v>
      </c>
      <c r="BO462" s="823">
        <f t="shared" si="401"/>
        <v>41.56666666666667</v>
      </c>
      <c r="BP462" s="824">
        <v>43001</v>
      </c>
      <c r="BQ462" s="821">
        <v>2</v>
      </c>
      <c r="BR462" s="822">
        <f t="shared" ca="1" si="402"/>
        <v>133</v>
      </c>
      <c r="BS462" s="823">
        <f t="shared" si="403"/>
        <v>11.666666666666666</v>
      </c>
      <c r="BT462" s="825" t="str">
        <f t="shared" ca="1" si="404"/>
        <v>-</v>
      </c>
      <c r="BU462" s="826"/>
      <c r="BV462" s="827"/>
      <c r="BW462" s="828" t="str">
        <f t="shared" si="405"/>
        <v>Ж-Е НЕ ВАКЦ.</v>
      </c>
      <c r="BX462" s="829" t="str">
        <f t="shared" si="406"/>
        <v>-</v>
      </c>
      <c r="BY462" s="830" t="str">
        <f t="shared" ca="1" si="407"/>
        <v>-</v>
      </c>
      <c r="BZ462" s="831">
        <v>42887</v>
      </c>
      <c r="CA462" s="832">
        <v>5</v>
      </c>
      <c r="CB462" s="833">
        <f t="shared" ca="1" si="408"/>
        <v>247</v>
      </c>
      <c r="CC462" s="834" t="str">
        <f t="shared" ca="1" si="409"/>
        <v>-</v>
      </c>
      <c r="CD462" s="835">
        <f t="shared" si="410"/>
        <v>42908</v>
      </c>
      <c r="CE462" s="831">
        <v>42908</v>
      </c>
      <c r="CF462" s="832">
        <v>5</v>
      </c>
      <c r="CG462" s="833">
        <f t="shared" ca="1" si="411"/>
        <v>226</v>
      </c>
      <c r="CH462" s="836">
        <f t="shared" si="412"/>
        <v>0</v>
      </c>
      <c r="CI462" s="837" t="str">
        <f t="shared" si="413"/>
        <v>УСПЕШНО</v>
      </c>
      <c r="CJ462" s="838" t="str">
        <f t="shared" ca="1" si="414"/>
        <v>-</v>
      </c>
      <c r="CK462" s="831"/>
      <c r="CL462" s="832"/>
      <c r="CM462" s="833" t="str">
        <f t="shared" si="415"/>
        <v>-</v>
      </c>
      <c r="CN462" s="834" t="str">
        <f t="shared" si="416"/>
        <v>-</v>
      </c>
      <c r="CO462" s="830" t="str">
        <f t="shared" ca="1" si="417"/>
        <v>-</v>
      </c>
      <c r="CP462" s="831">
        <v>42975</v>
      </c>
      <c r="CQ462" s="832">
        <v>2</v>
      </c>
      <c r="CR462" s="833">
        <f t="shared" si="418"/>
        <v>42975</v>
      </c>
      <c r="CS462" s="833">
        <f t="shared" ca="1" si="419"/>
        <v>159</v>
      </c>
      <c r="CT462" s="834" t="str">
        <f t="shared" ca="1" si="420"/>
        <v>-</v>
      </c>
      <c r="CU462" s="835">
        <f t="shared" si="421"/>
        <v>42996</v>
      </c>
      <c r="CV462" s="831">
        <v>42996</v>
      </c>
      <c r="CW462" s="832">
        <v>2</v>
      </c>
      <c r="CX462" s="833">
        <f t="shared" si="422"/>
        <v>0</v>
      </c>
      <c r="CY462" s="840" t="str">
        <f t="shared" si="423"/>
        <v>УСПЕШНО</v>
      </c>
      <c r="CZ462" s="833">
        <f t="shared" si="424"/>
        <v>42996</v>
      </c>
      <c r="DA462" s="838" t="str">
        <f t="shared" ca="1" si="425"/>
        <v>-</v>
      </c>
      <c r="DB462" s="841"/>
      <c r="DC462" s="832"/>
    </row>
    <row r="463" spans="1:107" s="842" customFormat="1" ht="15.95" customHeight="1" x14ac:dyDescent="0.25">
      <c r="A463" s="790">
        <v>465</v>
      </c>
      <c r="B463" s="791">
        <f t="shared" ca="1" si="374"/>
        <v>43134</v>
      </c>
      <c r="C463" s="792" t="s">
        <v>2404</v>
      </c>
      <c r="D463" s="59" t="s">
        <v>1456</v>
      </c>
      <c r="E463" s="794" t="s">
        <v>1314</v>
      </c>
      <c r="F463" s="795" t="s">
        <v>1196</v>
      </c>
      <c r="G463" s="796">
        <f>SUMIFS(МОЛОКО!L8:L6958,МОЛОКО!F8:F6958,"2257",МОЛОКО!L8:L6958,"&gt;0")</f>
        <v>0</v>
      </c>
      <c r="H463" s="797" t="s">
        <v>603</v>
      </c>
      <c r="I463" s="798">
        <v>41799</v>
      </c>
      <c r="J463" s="799">
        <f t="shared" ca="1" si="375"/>
        <v>3.6575342465753424</v>
      </c>
      <c r="K463" s="799">
        <f t="shared" ca="1" si="376"/>
        <v>44.5</v>
      </c>
      <c r="L463" s="800">
        <f t="shared" ca="1" si="377"/>
        <v>1335</v>
      </c>
      <c r="M463" s="801">
        <v>42498</v>
      </c>
      <c r="N463" s="802">
        <v>43039</v>
      </c>
      <c r="O463" s="803">
        <f t="shared" ca="1" si="378"/>
        <v>95</v>
      </c>
      <c r="P463" s="804">
        <v>2</v>
      </c>
      <c r="Q463" s="805"/>
      <c r="R463" s="806"/>
      <c r="S463" s="807"/>
      <c r="T463" s="798"/>
      <c r="U463" s="798" t="str">
        <f t="shared" si="379"/>
        <v>-</v>
      </c>
      <c r="V463" s="804" t="str">
        <f t="shared" ca="1" si="380"/>
        <v>-</v>
      </c>
      <c r="W463" s="808">
        <v>0</v>
      </c>
      <c r="X463" s="794" t="str">
        <f t="shared" si="373"/>
        <v>-</v>
      </c>
      <c r="Y463" s="794">
        <v>0</v>
      </c>
      <c r="Z463" s="809" t="str">
        <f t="shared" ca="1" si="381"/>
        <v>-----</v>
      </c>
      <c r="AA463" s="810">
        <f t="shared" ca="1" si="382"/>
        <v>43134</v>
      </c>
      <c r="AB463" s="804"/>
      <c r="AC463" s="811" t="str">
        <f t="shared" ca="1" si="383"/>
        <v>-----</v>
      </c>
      <c r="AD463" s="798"/>
      <c r="AE463" s="794" t="str">
        <f t="shared" ca="1" si="384"/>
        <v>-</v>
      </c>
      <c r="AF463" s="798" t="str">
        <f t="shared" si="385"/>
        <v>-</v>
      </c>
      <c r="AG463" s="812" t="str">
        <f t="shared" si="386"/>
        <v>---------</v>
      </c>
      <c r="AH463" s="807"/>
      <c r="AI463" s="807" t="str">
        <f t="shared" si="387"/>
        <v>-</v>
      </c>
      <c r="AJ463" s="807" t="str">
        <f t="shared" si="388"/>
        <v>-</v>
      </c>
      <c r="AK463" s="813"/>
      <c r="AL463" s="807" t="str">
        <f t="shared" si="389"/>
        <v>-</v>
      </c>
      <c r="AM463" s="807" t="str">
        <f t="shared" si="390"/>
        <v>-</v>
      </c>
      <c r="AN463" s="814" t="str">
        <f t="shared" ca="1" si="391"/>
        <v>-</v>
      </c>
      <c r="AO463" s="815">
        <v>1</v>
      </c>
      <c r="AP463" s="816" t="str">
        <f t="shared" ca="1" si="392"/>
        <v>-</v>
      </c>
      <c r="AQ463" s="817"/>
      <c r="AR463" s="794" t="str">
        <f t="shared" si="393"/>
        <v>-</v>
      </c>
      <c r="AS463" s="818"/>
      <c r="AT463" s="794" t="str">
        <f t="shared" si="394"/>
        <v>-</v>
      </c>
      <c r="AU463" s="819"/>
      <c r="AV463" s="820"/>
      <c r="AW463" s="821"/>
      <c r="AX463" s="821"/>
      <c r="AY463" s="969" t="str">
        <f t="shared" si="395"/>
        <v>-</v>
      </c>
      <c r="AZ463" s="966" t="str">
        <f t="shared" si="396"/>
        <v>-</v>
      </c>
      <c r="BA463" s="971" t="str">
        <f t="shared" si="397"/>
        <v>-</v>
      </c>
      <c r="BB463" s="975"/>
      <c r="BC463" s="821"/>
      <c r="BD463" s="821"/>
      <c r="BE463" s="963" t="str">
        <f t="shared" si="398"/>
        <v>-</v>
      </c>
      <c r="BF463" s="984"/>
      <c r="BG463" s="988"/>
      <c r="BH463" s="982"/>
      <c r="BI463" s="991"/>
      <c r="BJ463" s="991"/>
      <c r="BK463" s="993" t="str">
        <f t="shared" si="399"/>
        <v>-</v>
      </c>
      <c r="BL463" s="820">
        <v>42978</v>
      </c>
      <c r="BM463" s="821">
        <v>5</v>
      </c>
      <c r="BN463" s="822">
        <f t="shared" ca="1" si="400"/>
        <v>156</v>
      </c>
      <c r="BO463" s="823">
        <f t="shared" si="401"/>
        <v>39.299999999999997</v>
      </c>
      <c r="BP463" s="824">
        <v>43001</v>
      </c>
      <c r="BQ463" s="821">
        <v>2</v>
      </c>
      <c r="BR463" s="822">
        <f t="shared" ca="1" si="402"/>
        <v>133</v>
      </c>
      <c r="BS463" s="823">
        <f t="shared" si="403"/>
        <v>16.766666666666666</v>
      </c>
      <c r="BT463" s="825" t="str">
        <f t="shared" ca="1" si="404"/>
        <v>-</v>
      </c>
      <c r="BU463" s="826"/>
      <c r="BV463" s="827"/>
      <c r="BW463" s="828" t="str">
        <f t="shared" si="405"/>
        <v>Ж-Е НЕ ВАКЦ.</v>
      </c>
      <c r="BX463" s="829" t="str">
        <f t="shared" si="406"/>
        <v>-</v>
      </c>
      <c r="BY463" s="830" t="str">
        <f t="shared" ca="1" si="407"/>
        <v>-</v>
      </c>
      <c r="BZ463" s="831">
        <v>42887</v>
      </c>
      <c r="CA463" s="832">
        <v>5</v>
      </c>
      <c r="CB463" s="833">
        <f t="shared" ca="1" si="408"/>
        <v>247</v>
      </c>
      <c r="CC463" s="834" t="str">
        <f t="shared" ca="1" si="409"/>
        <v>-</v>
      </c>
      <c r="CD463" s="835">
        <f t="shared" si="410"/>
        <v>42908</v>
      </c>
      <c r="CE463" s="831">
        <v>42908</v>
      </c>
      <c r="CF463" s="832">
        <v>5</v>
      </c>
      <c r="CG463" s="833">
        <f t="shared" ca="1" si="411"/>
        <v>226</v>
      </c>
      <c r="CH463" s="836">
        <f t="shared" si="412"/>
        <v>0</v>
      </c>
      <c r="CI463" s="837" t="str">
        <f t="shared" si="413"/>
        <v>УСПЕШНО</v>
      </c>
      <c r="CJ463" s="838" t="str">
        <f t="shared" ca="1" si="414"/>
        <v>-</v>
      </c>
      <c r="CK463" s="831"/>
      <c r="CL463" s="832"/>
      <c r="CM463" s="833" t="str">
        <f t="shared" si="415"/>
        <v>-</v>
      </c>
      <c r="CN463" s="834" t="str">
        <f t="shared" si="416"/>
        <v>-</v>
      </c>
      <c r="CO463" s="830" t="str">
        <f t="shared" ca="1" si="417"/>
        <v>-</v>
      </c>
      <c r="CP463" s="831">
        <v>42975</v>
      </c>
      <c r="CQ463" s="832">
        <v>2</v>
      </c>
      <c r="CR463" s="833">
        <f t="shared" si="418"/>
        <v>42975</v>
      </c>
      <c r="CS463" s="833">
        <f t="shared" ca="1" si="419"/>
        <v>159</v>
      </c>
      <c r="CT463" s="834" t="str">
        <f t="shared" ca="1" si="420"/>
        <v>-</v>
      </c>
      <c r="CU463" s="835">
        <f t="shared" si="421"/>
        <v>42996</v>
      </c>
      <c r="CV463" s="831">
        <v>42996</v>
      </c>
      <c r="CW463" s="832">
        <v>2</v>
      </c>
      <c r="CX463" s="833">
        <f t="shared" si="422"/>
        <v>0</v>
      </c>
      <c r="CY463" s="840" t="str">
        <f t="shared" si="423"/>
        <v>УСПЕШНО</v>
      </c>
      <c r="CZ463" s="833">
        <f t="shared" si="424"/>
        <v>42996</v>
      </c>
      <c r="DA463" s="838" t="str">
        <f t="shared" ca="1" si="425"/>
        <v>-</v>
      </c>
      <c r="DB463" s="841"/>
      <c r="DC463" s="832"/>
    </row>
    <row r="464" spans="1:107" s="842" customFormat="1" ht="15.95" customHeight="1" x14ac:dyDescent="0.25">
      <c r="A464" s="790">
        <v>466</v>
      </c>
      <c r="B464" s="791">
        <f t="shared" ca="1" si="374"/>
        <v>43134</v>
      </c>
      <c r="C464" s="29" t="s">
        <v>2404</v>
      </c>
      <c r="D464" s="59" t="s">
        <v>1456</v>
      </c>
      <c r="E464" s="794" t="s">
        <v>1334</v>
      </c>
      <c r="F464" s="795" t="s">
        <v>1218</v>
      </c>
      <c r="G464" s="796">
        <f>SUMIFS(МОЛОКО!L8:L6958,МОЛОКО!F8:F6958,"2339",МОЛОКО!L8:L6958,"&gt;0")</f>
        <v>13</v>
      </c>
      <c r="H464" s="797" t="s">
        <v>603</v>
      </c>
      <c r="I464" s="798">
        <v>41880</v>
      </c>
      <c r="J464" s="799">
        <f t="shared" ca="1" si="375"/>
        <v>3.4356164383561643</v>
      </c>
      <c r="K464" s="799">
        <f t="shared" ca="1" si="376"/>
        <v>41.8</v>
      </c>
      <c r="L464" s="800">
        <f t="shared" ca="1" si="377"/>
        <v>1254</v>
      </c>
      <c r="M464" s="801">
        <v>42529</v>
      </c>
      <c r="N464" s="802">
        <v>42918</v>
      </c>
      <c r="O464" s="803">
        <f t="shared" ca="1" si="378"/>
        <v>216</v>
      </c>
      <c r="P464" s="804">
        <v>2</v>
      </c>
      <c r="Q464" s="805" t="s">
        <v>2366</v>
      </c>
      <c r="R464" s="806" t="s">
        <v>2966</v>
      </c>
      <c r="S464" s="807">
        <v>42978</v>
      </c>
      <c r="T464" s="798">
        <v>42978</v>
      </c>
      <c r="U464" s="798" t="str">
        <f t="shared" si="379"/>
        <v>-</v>
      </c>
      <c r="V464" s="804" t="str">
        <f t="shared" ca="1" si="380"/>
        <v>-</v>
      </c>
      <c r="W464" s="808">
        <v>1</v>
      </c>
      <c r="X464" s="794">
        <f t="shared" si="373"/>
        <v>60</v>
      </c>
      <c r="Y464" s="794">
        <v>0</v>
      </c>
      <c r="Z464" s="809" t="str">
        <f t="shared" ca="1" si="381"/>
        <v>-----</v>
      </c>
      <c r="AA464" s="810">
        <f t="shared" ca="1" si="382"/>
        <v>156</v>
      </c>
      <c r="AB464" s="804"/>
      <c r="AC464" s="811" t="str">
        <f t="shared" ca="1" si="383"/>
        <v>-----</v>
      </c>
      <c r="AD464" s="798"/>
      <c r="AE464" s="794" t="str">
        <f t="shared" ca="1" si="384"/>
        <v>яловая</v>
      </c>
      <c r="AF464" s="798" t="str">
        <f t="shared" si="385"/>
        <v>-</v>
      </c>
      <c r="AG464" s="812" t="str">
        <f t="shared" si="386"/>
        <v>---------</v>
      </c>
      <c r="AH464" s="807">
        <v>43014</v>
      </c>
      <c r="AI464" s="807" t="str">
        <f t="shared" si="387"/>
        <v>-</v>
      </c>
      <c r="AJ464" s="807" t="str">
        <f t="shared" si="388"/>
        <v>-</v>
      </c>
      <c r="AK464" s="813"/>
      <c r="AL464" s="807" t="str">
        <f t="shared" si="389"/>
        <v>-</v>
      </c>
      <c r="AM464" s="807" t="str">
        <f t="shared" si="390"/>
        <v>-</v>
      </c>
      <c r="AN464" s="814" t="str">
        <f t="shared" ca="1" si="391"/>
        <v>-</v>
      </c>
      <c r="AO464" s="815">
        <v>1</v>
      </c>
      <c r="AP464" s="816" t="str">
        <f t="shared" ca="1" si="392"/>
        <v>-</v>
      </c>
      <c r="AQ464" s="817"/>
      <c r="AR464" s="794" t="str">
        <f t="shared" si="393"/>
        <v>-</v>
      </c>
      <c r="AS464" s="818"/>
      <c r="AT464" s="794" t="str">
        <f t="shared" si="394"/>
        <v>-</v>
      </c>
      <c r="AU464" s="819"/>
      <c r="AV464" s="820"/>
      <c r="AW464" s="821"/>
      <c r="AX464" s="821"/>
      <c r="AY464" s="969" t="str">
        <f t="shared" si="395"/>
        <v>-</v>
      </c>
      <c r="AZ464" s="966" t="str">
        <f t="shared" si="396"/>
        <v>-</v>
      </c>
      <c r="BA464" s="971" t="str">
        <f t="shared" si="397"/>
        <v>-</v>
      </c>
      <c r="BB464" s="975"/>
      <c r="BC464" s="821"/>
      <c r="BD464" s="821"/>
      <c r="BE464" s="963" t="str">
        <f t="shared" si="398"/>
        <v>-</v>
      </c>
      <c r="BF464" s="984"/>
      <c r="BG464" s="988"/>
      <c r="BH464" s="982"/>
      <c r="BI464" s="991"/>
      <c r="BJ464" s="991"/>
      <c r="BK464" s="993" t="str">
        <f t="shared" si="399"/>
        <v>-</v>
      </c>
      <c r="BL464" s="820">
        <v>42980</v>
      </c>
      <c r="BM464" s="821">
        <v>5</v>
      </c>
      <c r="BN464" s="822">
        <f t="shared" ca="1" si="400"/>
        <v>154</v>
      </c>
      <c r="BO464" s="823">
        <f t="shared" si="401"/>
        <v>36.666666666666664</v>
      </c>
      <c r="BP464" s="824">
        <v>43001</v>
      </c>
      <c r="BQ464" s="821">
        <v>2</v>
      </c>
      <c r="BR464" s="822">
        <f t="shared" ca="1" si="402"/>
        <v>133</v>
      </c>
      <c r="BS464" s="823">
        <f t="shared" si="403"/>
        <v>15.733333333333333</v>
      </c>
      <c r="BT464" s="825" t="str">
        <f t="shared" ca="1" si="404"/>
        <v>-</v>
      </c>
      <c r="BU464" s="826"/>
      <c r="BV464" s="827"/>
      <c r="BW464" s="828" t="str">
        <f t="shared" si="405"/>
        <v>Ж-Е НЕ ВАКЦ.</v>
      </c>
      <c r="BX464" s="829" t="str">
        <f t="shared" si="406"/>
        <v>-</v>
      </c>
      <c r="BY464" s="830" t="str">
        <f t="shared" ca="1" si="407"/>
        <v>-</v>
      </c>
      <c r="BZ464" s="831">
        <v>42964</v>
      </c>
      <c r="CA464" s="832">
        <v>5</v>
      </c>
      <c r="CB464" s="833">
        <f t="shared" ca="1" si="408"/>
        <v>170</v>
      </c>
      <c r="CC464" s="834" t="str">
        <f t="shared" ca="1" si="409"/>
        <v>-</v>
      </c>
      <c r="CD464" s="835">
        <f t="shared" si="410"/>
        <v>42985</v>
      </c>
      <c r="CE464" s="831">
        <v>42985</v>
      </c>
      <c r="CF464" s="832">
        <v>5</v>
      </c>
      <c r="CG464" s="833">
        <f t="shared" ca="1" si="411"/>
        <v>149</v>
      </c>
      <c r="CH464" s="836">
        <f t="shared" si="412"/>
        <v>0</v>
      </c>
      <c r="CI464" s="837" t="str">
        <f t="shared" si="413"/>
        <v>УСПЕШНО</v>
      </c>
      <c r="CJ464" s="838" t="str">
        <f t="shared" ca="1" si="414"/>
        <v>-</v>
      </c>
      <c r="CK464" s="831"/>
      <c r="CL464" s="832"/>
      <c r="CM464" s="833" t="str">
        <f t="shared" si="415"/>
        <v>-</v>
      </c>
      <c r="CN464" s="834" t="str">
        <f t="shared" si="416"/>
        <v>-</v>
      </c>
      <c r="CO464" s="830" t="str">
        <f t="shared" ca="1" si="417"/>
        <v>-</v>
      </c>
      <c r="CP464" s="839"/>
      <c r="CQ464" s="832"/>
      <c r="CR464" s="833" t="str">
        <f t="shared" si="418"/>
        <v>-</v>
      </c>
      <c r="CS464" s="833" t="str">
        <f t="shared" si="419"/>
        <v>-</v>
      </c>
      <c r="CT464" s="834" t="str">
        <f t="shared" si="420"/>
        <v>-</v>
      </c>
      <c r="CU464" s="835" t="str">
        <f t="shared" si="421"/>
        <v>-</v>
      </c>
      <c r="CV464" s="839"/>
      <c r="CW464" s="832"/>
      <c r="CX464" s="833" t="str">
        <f t="shared" si="422"/>
        <v>-</v>
      </c>
      <c r="CY464" s="840" t="str">
        <f t="shared" si="423"/>
        <v>-</v>
      </c>
      <c r="CZ464" s="833" t="str">
        <f t="shared" si="424"/>
        <v>-</v>
      </c>
      <c r="DA464" s="838" t="str">
        <f t="shared" ca="1" si="425"/>
        <v>-</v>
      </c>
      <c r="DB464" s="841"/>
      <c r="DC464" s="832"/>
    </row>
    <row r="465" spans="1:107" s="842" customFormat="1" ht="15.95" customHeight="1" x14ac:dyDescent="0.25">
      <c r="A465" s="790">
        <v>467</v>
      </c>
      <c r="B465" s="791">
        <f t="shared" ca="1" si="374"/>
        <v>43134</v>
      </c>
      <c r="C465" s="792" t="s">
        <v>2404</v>
      </c>
      <c r="D465" s="427" t="s">
        <v>1456</v>
      </c>
      <c r="E465" s="794" t="s">
        <v>1337</v>
      </c>
      <c r="F465" s="795" t="s">
        <v>1221</v>
      </c>
      <c r="G465" s="796">
        <f>SUMIFS(МОЛОКО!L8:L6958,МОЛОКО!F8:F6958,"2345",МОЛОКО!L8:L6958,"&gt;0")</f>
        <v>0</v>
      </c>
      <c r="H465" s="797" t="s">
        <v>603</v>
      </c>
      <c r="I465" s="798">
        <v>41886</v>
      </c>
      <c r="J465" s="799">
        <f t="shared" ca="1" si="375"/>
        <v>3.419178082191781</v>
      </c>
      <c r="K465" s="799">
        <f t="shared" ca="1" si="376"/>
        <v>41.6</v>
      </c>
      <c r="L465" s="800">
        <f t="shared" ca="1" si="377"/>
        <v>1248</v>
      </c>
      <c r="M465" s="801">
        <v>42565</v>
      </c>
      <c r="N465" s="802">
        <v>43040</v>
      </c>
      <c r="O465" s="803">
        <f t="shared" ca="1" si="378"/>
        <v>94</v>
      </c>
      <c r="P465" s="804">
        <v>2</v>
      </c>
      <c r="Q465" s="805"/>
      <c r="R465" s="806"/>
      <c r="S465" s="807"/>
      <c r="T465" s="798"/>
      <c r="U465" s="798" t="str">
        <f t="shared" si="379"/>
        <v>-</v>
      </c>
      <c r="V465" s="804" t="str">
        <f t="shared" ca="1" si="380"/>
        <v>-</v>
      </c>
      <c r="W465" s="808">
        <v>0</v>
      </c>
      <c r="X465" s="794" t="str">
        <f t="shared" si="373"/>
        <v>-</v>
      </c>
      <c r="Y465" s="794">
        <v>0</v>
      </c>
      <c r="Z465" s="809" t="str">
        <f t="shared" ca="1" si="381"/>
        <v>-----</v>
      </c>
      <c r="AA465" s="810">
        <f t="shared" ca="1" si="382"/>
        <v>43134</v>
      </c>
      <c r="AB465" s="804"/>
      <c r="AC465" s="811" t="str">
        <f t="shared" ca="1" si="383"/>
        <v>-----</v>
      </c>
      <c r="AD465" s="798"/>
      <c r="AE465" s="794" t="str">
        <f t="shared" ca="1" si="384"/>
        <v>-</v>
      </c>
      <c r="AF465" s="798" t="str">
        <f t="shared" si="385"/>
        <v>-</v>
      </c>
      <c r="AG465" s="812" t="str">
        <f t="shared" si="386"/>
        <v>---------</v>
      </c>
      <c r="AH465" s="807"/>
      <c r="AI465" s="807" t="str">
        <f t="shared" si="387"/>
        <v>-</v>
      </c>
      <c r="AJ465" s="807" t="str">
        <f t="shared" si="388"/>
        <v>-</v>
      </c>
      <c r="AK465" s="813"/>
      <c r="AL465" s="807" t="str">
        <f t="shared" si="389"/>
        <v>-</v>
      </c>
      <c r="AM465" s="807" t="str">
        <f t="shared" si="390"/>
        <v>-</v>
      </c>
      <c r="AN465" s="814" t="str">
        <f t="shared" ca="1" si="391"/>
        <v>-</v>
      </c>
      <c r="AO465" s="815">
        <v>1</v>
      </c>
      <c r="AP465" s="816" t="str">
        <f t="shared" ca="1" si="392"/>
        <v>-</v>
      </c>
      <c r="AQ465" s="817"/>
      <c r="AR465" s="794" t="str">
        <f t="shared" si="393"/>
        <v>-</v>
      </c>
      <c r="AS465" s="818"/>
      <c r="AT465" s="794" t="str">
        <f t="shared" si="394"/>
        <v>-</v>
      </c>
      <c r="AU465" s="819"/>
      <c r="AV465" s="820"/>
      <c r="AW465" s="821"/>
      <c r="AX465" s="821"/>
      <c r="AY465" s="969" t="str">
        <f t="shared" si="395"/>
        <v>-</v>
      </c>
      <c r="AZ465" s="966" t="str">
        <f t="shared" si="396"/>
        <v>-</v>
      </c>
      <c r="BA465" s="971" t="str">
        <f t="shared" si="397"/>
        <v>-</v>
      </c>
      <c r="BB465" s="975"/>
      <c r="BC465" s="821"/>
      <c r="BD465" s="821"/>
      <c r="BE465" s="963" t="str">
        <f t="shared" si="398"/>
        <v>-</v>
      </c>
      <c r="BF465" s="984"/>
      <c r="BG465" s="988"/>
      <c r="BH465" s="982"/>
      <c r="BI465" s="991"/>
      <c r="BJ465" s="991"/>
      <c r="BK465" s="993" t="str">
        <f t="shared" si="399"/>
        <v>-</v>
      </c>
      <c r="BL465" s="820">
        <v>42981</v>
      </c>
      <c r="BM465" s="821">
        <v>5</v>
      </c>
      <c r="BN465" s="822">
        <f t="shared" ca="1" si="400"/>
        <v>153</v>
      </c>
      <c r="BO465" s="823">
        <f t="shared" si="401"/>
        <v>36.5</v>
      </c>
      <c r="BP465" s="824"/>
      <c r="BQ465" s="821"/>
      <c r="BR465" s="822" t="str">
        <f t="shared" si="402"/>
        <v>-</v>
      </c>
      <c r="BS465" s="823" t="str">
        <f t="shared" si="403"/>
        <v>-</v>
      </c>
      <c r="BT465" s="825" t="str">
        <f t="shared" ca="1" si="404"/>
        <v>-</v>
      </c>
      <c r="BU465" s="826"/>
      <c r="BV465" s="827"/>
      <c r="BW465" s="828" t="str">
        <f t="shared" si="405"/>
        <v>Ж-Е НЕ ВАКЦ.</v>
      </c>
      <c r="BX465" s="829" t="str">
        <f t="shared" si="406"/>
        <v>-</v>
      </c>
      <c r="BY465" s="830" t="str">
        <f t="shared" ca="1" si="407"/>
        <v>-</v>
      </c>
      <c r="BZ465" s="831">
        <v>42887</v>
      </c>
      <c r="CA465" s="832">
        <v>5</v>
      </c>
      <c r="CB465" s="833">
        <f t="shared" ca="1" si="408"/>
        <v>247</v>
      </c>
      <c r="CC465" s="834" t="str">
        <f t="shared" ca="1" si="409"/>
        <v>-</v>
      </c>
      <c r="CD465" s="835">
        <f t="shared" si="410"/>
        <v>42908</v>
      </c>
      <c r="CE465" s="831">
        <v>42908</v>
      </c>
      <c r="CF465" s="832">
        <v>5</v>
      </c>
      <c r="CG465" s="833">
        <f t="shared" ca="1" si="411"/>
        <v>226</v>
      </c>
      <c r="CH465" s="836">
        <f t="shared" si="412"/>
        <v>0</v>
      </c>
      <c r="CI465" s="837" t="str">
        <f t="shared" si="413"/>
        <v>УСПЕШНО</v>
      </c>
      <c r="CJ465" s="838" t="str">
        <f t="shared" ca="1" si="414"/>
        <v>-</v>
      </c>
      <c r="CK465" s="831"/>
      <c r="CL465" s="832"/>
      <c r="CM465" s="833" t="str">
        <f t="shared" si="415"/>
        <v>-</v>
      </c>
      <c r="CN465" s="834" t="str">
        <f t="shared" si="416"/>
        <v>-</v>
      </c>
      <c r="CO465" s="830" t="str">
        <f t="shared" ca="1" si="417"/>
        <v>-</v>
      </c>
      <c r="CP465" s="831">
        <v>42990</v>
      </c>
      <c r="CQ465" s="832">
        <v>2</v>
      </c>
      <c r="CR465" s="833">
        <f t="shared" si="418"/>
        <v>42990</v>
      </c>
      <c r="CS465" s="833">
        <f t="shared" ca="1" si="419"/>
        <v>144</v>
      </c>
      <c r="CT465" s="834" t="str">
        <f t="shared" ca="1" si="420"/>
        <v>-</v>
      </c>
      <c r="CU465" s="835">
        <f t="shared" si="421"/>
        <v>43011</v>
      </c>
      <c r="CV465" s="831">
        <v>43012</v>
      </c>
      <c r="CW465" s="832">
        <v>2</v>
      </c>
      <c r="CX465" s="833">
        <f t="shared" si="422"/>
        <v>1</v>
      </c>
      <c r="CY465" s="840" t="str">
        <f t="shared" si="423"/>
        <v>-</v>
      </c>
      <c r="CZ465" s="833">
        <f t="shared" si="424"/>
        <v>43012</v>
      </c>
      <c r="DA465" s="838" t="str">
        <f t="shared" ca="1" si="425"/>
        <v>-</v>
      </c>
      <c r="DB465" s="841"/>
      <c r="DC465" s="832"/>
    </row>
    <row r="466" spans="1:107" s="842" customFormat="1" ht="15.95" customHeight="1" x14ac:dyDescent="0.25">
      <c r="A466" s="790">
        <v>468</v>
      </c>
      <c r="B466" s="791">
        <f t="shared" ca="1" si="374"/>
        <v>43134</v>
      </c>
      <c r="C466" s="792" t="s">
        <v>2404</v>
      </c>
      <c r="D466" s="427" t="s">
        <v>1456</v>
      </c>
      <c r="E466" s="794" t="s">
        <v>946</v>
      </c>
      <c r="F466" s="795" t="s">
        <v>966</v>
      </c>
      <c r="G466" s="796">
        <f>SUMIFS(МОЛОКО!L8:L6958,МОЛОКО!F8:F6958,"2367",МОЛОКО!L8:L6958,"&gt;0")</f>
        <v>0</v>
      </c>
      <c r="H466" s="797" t="s">
        <v>603</v>
      </c>
      <c r="I466" s="798">
        <v>41920</v>
      </c>
      <c r="J466" s="799">
        <f t="shared" ca="1" si="375"/>
        <v>3.3260273972602739</v>
      </c>
      <c r="K466" s="799">
        <f t="shared" ca="1" si="376"/>
        <v>40.466666666666669</v>
      </c>
      <c r="L466" s="800">
        <f t="shared" ca="1" si="377"/>
        <v>1214</v>
      </c>
      <c r="M466" s="801">
        <v>42655</v>
      </c>
      <c r="N466" s="802">
        <v>43038</v>
      </c>
      <c r="O466" s="803">
        <f t="shared" ca="1" si="378"/>
        <v>96</v>
      </c>
      <c r="P466" s="804">
        <v>2</v>
      </c>
      <c r="Q466" s="805"/>
      <c r="R466" s="806"/>
      <c r="S466" s="807"/>
      <c r="T466" s="798"/>
      <c r="U466" s="798" t="str">
        <f t="shared" si="379"/>
        <v>-</v>
      </c>
      <c r="V466" s="804" t="str">
        <f t="shared" ca="1" si="380"/>
        <v>-</v>
      </c>
      <c r="W466" s="808">
        <v>0</v>
      </c>
      <c r="X466" s="794" t="str">
        <f t="shared" si="373"/>
        <v>-</v>
      </c>
      <c r="Y466" s="794">
        <v>0</v>
      </c>
      <c r="Z466" s="809" t="str">
        <f t="shared" ca="1" si="381"/>
        <v>-----</v>
      </c>
      <c r="AA466" s="810">
        <f t="shared" ca="1" si="382"/>
        <v>43134</v>
      </c>
      <c r="AB466" s="804"/>
      <c r="AC466" s="811" t="str">
        <f t="shared" ca="1" si="383"/>
        <v>-----</v>
      </c>
      <c r="AD466" s="798"/>
      <c r="AE466" s="794" t="str">
        <f t="shared" ca="1" si="384"/>
        <v>-</v>
      </c>
      <c r="AF466" s="798" t="str">
        <f t="shared" si="385"/>
        <v>-</v>
      </c>
      <c r="AG466" s="812" t="str">
        <f t="shared" si="386"/>
        <v>---------</v>
      </c>
      <c r="AH466" s="807"/>
      <c r="AI466" s="807" t="str">
        <f t="shared" si="387"/>
        <v>-</v>
      </c>
      <c r="AJ466" s="807" t="str">
        <f t="shared" si="388"/>
        <v>-</v>
      </c>
      <c r="AK466" s="813"/>
      <c r="AL466" s="807" t="str">
        <f t="shared" si="389"/>
        <v>-</v>
      </c>
      <c r="AM466" s="807" t="str">
        <f t="shared" si="390"/>
        <v>-</v>
      </c>
      <c r="AN466" s="814" t="str">
        <f t="shared" ca="1" si="391"/>
        <v>-</v>
      </c>
      <c r="AO466" s="815">
        <v>1</v>
      </c>
      <c r="AP466" s="816" t="str">
        <f t="shared" ca="1" si="392"/>
        <v>-</v>
      </c>
      <c r="AQ466" s="817"/>
      <c r="AR466" s="794" t="str">
        <f t="shared" si="393"/>
        <v>-</v>
      </c>
      <c r="AS466" s="818"/>
      <c r="AT466" s="794" t="str">
        <f t="shared" si="394"/>
        <v>-</v>
      </c>
      <c r="AU466" s="819"/>
      <c r="AV466" s="820"/>
      <c r="AW466" s="821"/>
      <c r="AX466" s="821"/>
      <c r="AY466" s="969" t="str">
        <f t="shared" si="395"/>
        <v>-</v>
      </c>
      <c r="AZ466" s="966" t="str">
        <f t="shared" si="396"/>
        <v>-</v>
      </c>
      <c r="BA466" s="971" t="str">
        <f t="shared" si="397"/>
        <v>-</v>
      </c>
      <c r="BB466" s="975"/>
      <c r="BC466" s="821"/>
      <c r="BD466" s="821"/>
      <c r="BE466" s="963" t="str">
        <f t="shared" si="398"/>
        <v>-</v>
      </c>
      <c r="BF466" s="984"/>
      <c r="BG466" s="988"/>
      <c r="BH466" s="982"/>
      <c r="BI466" s="991"/>
      <c r="BJ466" s="991"/>
      <c r="BK466" s="993" t="str">
        <f t="shared" si="399"/>
        <v>-</v>
      </c>
      <c r="BL466" s="820">
        <v>42981</v>
      </c>
      <c r="BM466" s="821">
        <v>5</v>
      </c>
      <c r="BN466" s="822">
        <f t="shared" ca="1" si="400"/>
        <v>153</v>
      </c>
      <c r="BO466" s="823">
        <f t="shared" si="401"/>
        <v>35.366666666666667</v>
      </c>
      <c r="BP466" s="824"/>
      <c r="BQ466" s="821"/>
      <c r="BR466" s="822" t="str">
        <f t="shared" si="402"/>
        <v>-</v>
      </c>
      <c r="BS466" s="823" t="str">
        <f t="shared" si="403"/>
        <v>-</v>
      </c>
      <c r="BT466" s="825" t="str">
        <f t="shared" ca="1" si="404"/>
        <v>-</v>
      </c>
      <c r="BU466" s="826"/>
      <c r="BV466" s="827"/>
      <c r="BW466" s="828" t="str">
        <f t="shared" si="405"/>
        <v>Ж-Е НЕ ВАКЦ.</v>
      </c>
      <c r="BX466" s="829" t="str">
        <f t="shared" si="406"/>
        <v>-</v>
      </c>
      <c r="BY466" s="830" t="str">
        <f t="shared" ca="1" si="407"/>
        <v>-</v>
      </c>
      <c r="BZ466" s="831">
        <v>42887</v>
      </c>
      <c r="CA466" s="832">
        <v>5</v>
      </c>
      <c r="CB466" s="833">
        <f t="shared" ca="1" si="408"/>
        <v>247</v>
      </c>
      <c r="CC466" s="834" t="str">
        <f t="shared" ca="1" si="409"/>
        <v>-</v>
      </c>
      <c r="CD466" s="835">
        <f t="shared" si="410"/>
        <v>42908</v>
      </c>
      <c r="CE466" s="831">
        <v>42908</v>
      </c>
      <c r="CF466" s="832">
        <v>5</v>
      </c>
      <c r="CG466" s="833">
        <f t="shared" ca="1" si="411"/>
        <v>226</v>
      </c>
      <c r="CH466" s="836">
        <f t="shared" si="412"/>
        <v>0</v>
      </c>
      <c r="CI466" s="837" t="str">
        <f t="shared" si="413"/>
        <v>УСПЕШНО</v>
      </c>
      <c r="CJ466" s="838" t="str">
        <f t="shared" ca="1" si="414"/>
        <v>-</v>
      </c>
      <c r="CK466" s="831"/>
      <c r="CL466" s="832"/>
      <c r="CM466" s="833" t="str">
        <f t="shared" si="415"/>
        <v>-</v>
      </c>
      <c r="CN466" s="834" t="str">
        <f t="shared" si="416"/>
        <v>-</v>
      </c>
      <c r="CO466" s="830" t="str">
        <f t="shared" ca="1" si="417"/>
        <v>-</v>
      </c>
      <c r="CP466" s="831">
        <v>42990</v>
      </c>
      <c r="CQ466" s="832">
        <v>2</v>
      </c>
      <c r="CR466" s="833">
        <f t="shared" si="418"/>
        <v>42990</v>
      </c>
      <c r="CS466" s="833">
        <f t="shared" ca="1" si="419"/>
        <v>144</v>
      </c>
      <c r="CT466" s="834" t="str">
        <f t="shared" ca="1" si="420"/>
        <v>-</v>
      </c>
      <c r="CU466" s="835">
        <f t="shared" si="421"/>
        <v>43011</v>
      </c>
      <c r="CV466" s="831">
        <v>43012</v>
      </c>
      <c r="CW466" s="832">
        <v>2</v>
      </c>
      <c r="CX466" s="833">
        <f t="shared" si="422"/>
        <v>1</v>
      </c>
      <c r="CY466" s="840" t="str">
        <f t="shared" si="423"/>
        <v>-</v>
      </c>
      <c r="CZ466" s="833">
        <f t="shared" si="424"/>
        <v>43012</v>
      </c>
      <c r="DA466" s="838" t="str">
        <f t="shared" ca="1" si="425"/>
        <v>-</v>
      </c>
      <c r="DB466" s="841"/>
      <c r="DC466" s="832"/>
    </row>
    <row r="467" spans="1:107" s="842" customFormat="1" ht="15.95" customHeight="1" x14ac:dyDescent="0.25">
      <c r="A467" s="790">
        <v>469</v>
      </c>
      <c r="B467" s="791">
        <f t="shared" ca="1" si="374"/>
        <v>43134</v>
      </c>
      <c r="C467" s="29" t="s">
        <v>2404</v>
      </c>
      <c r="D467" s="427" t="s">
        <v>1456</v>
      </c>
      <c r="E467" s="794" t="s">
        <v>138</v>
      </c>
      <c r="F467" s="795" t="s">
        <v>970</v>
      </c>
      <c r="G467" s="796">
        <f>SUMIFS(МОЛОКО!L8:L6958,МОЛОКО!F8:F6958,"2401",МОЛОКО!L8:L6958,"&gt;0")</f>
        <v>0</v>
      </c>
      <c r="H467" s="797" t="s">
        <v>603</v>
      </c>
      <c r="I467" s="798">
        <v>41957</v>
      </c>
      <c r="J467" s="799">
        <f t="shared" ca="1" si="375"/>
        <v>3.2246575342465755</v>
      </c>
      <c r="K467" s="799">
        <f t="shared" ca="1" si="376"/>
        <v>39.233333333333334</v>
      </c>
      <c r="L467" s="800">
        <f t="shared" ca="1" si="377"/>
        <v>1177</v>
      </c>
      <c r="M467" s="801">
        <v>42665</v>
      </c>
      <c r="N467" s="802">
        <v>43042</v>
      </c>
      <c r="O467" s="803">
        <f t="shared" ca="1" si="378"/>
        <v>92</v>
      </c>
      <c r="P467" s="804">
        <v>2</v>
      </c>
      <c r="Q467" s="805"/>
      <c r="R467" s="806"/>
      <c r="S467" s="807"/>
      <c r="T467" s="798"/>
      <c r="U467" s="798" t="str">
        <f t="shared" si="379"/>
        <v>-</v>
      </c>
      <c r="V467" s="804" t="str">
        <f t="shared" ca="1" si="380"/>
        <v>-</v>
      </c>
      <c r="W467" s="808">
        <v>0</v>
      </c>
      <c r="X467" s="794" t="str">
        <f t="shared" si="373"/>
        <v>-</v>
      </c>
      <c r="Y467" s="794">
        <v>0</v>
      </c>
      <c r="Z467" s="809" t="str">
        <f t="shared" ca="1" si="381"/>
        <v>-----</v>
      </c>
      <c r="AA467" s="810">
        <f t="shared" ca="1" si="382"/>
        <v>43134</v>
      </c>
      <c r="AB467" s="804"/>
      <c r="AC467" s="811" t="str">
        <f t="shared" ca="1" si="383"/>
        <v>-----</v>
      </c>
      <c r="AD467" s="798"/>
      <c r="AE467" s="794" t="str">
        <f t="shared" ca="1" si="384"/>
        <v>-</v>
      </c>
      <c r="AF467" s="798" t="str">
        <f t="shared" si="385"/>
        <v>-</v>
      </c>
      <c r="AG467" s="812" t="str">
        <f t="shared" si="386"/>
        <v>---------</v>
      </c>
      <c r="AH467" s="807"/>
      <c r="AI467" s="807" t="str">
        <f t="shared" si="387"/>
        <v>-</v>
      </c>
      <c r="AJ467" s="807" t="str">
        <f t="shared" si="388"/>
        <v>-</v>
      </c>
      <c r="AK467" s="813"/>
      <c r="AL467" s="807" t="str">
        <f t="shared" si="389"/>
        <v>-</v>
      </c>
      <c r="AM467" s="807" t="str">
        <f t="shared" si="390"/>
        <v>-</v>
      </c>
      <c r="AN467" s="814" t="str">
        <f t="shared" ca="1" si="391"/>
        <v>-</v>
      </c>
      <c r="AO467" s="815">
        <v>1</v>
      </c>
      <c r="AP467" s="816" t="str">
        <f t="shared" ca="1" si="392"/>
        <v>-</v>
      </c>
      <c r="AQ467" s="817"/>
      <c r="AR467" s="794" t="str">
        <f t="shared" si="393"/>
        <v>-</v>
      </c>
      <c r="AS467" s="818"/>
      <c r="AT467" s="794" t="str">
        <f t="shared" si="394"/>
        <v>-</v>
      </c>
      <c r="AU467" s="819"/>
      <c r="AV467" s="820"/>
      <c r="AW467" s="821"/>
      <c r="AX467" s="821"/>
      <c r="AY467" s="969" t="str">
        <f t="shared" si="395"/>
        <v>-</v>
      </c>
      <c r="AZ467" s="966" t="str">
        <f t="shared" si="396"/>
        <v>-</v>
      </c>
      <c r="BA467" s="971" t="str">
        <f t="shared" si="397"/>
        <v>-</v>
      </c>
      <c r="BB467" s="975"/>
      <c r="BC467" s="821"/>
      <c r="BD467" s="821"/>
      <c r="BE467" s="963" t="str">
        <f t="shared" si="398"/>
        <v>-</v>
      </c>
      <c r="BF467" s="984"/>
      <c r="BG467" s="988"/>
      <c r="BH467" s="982"/>
      <c r="BI467" s="991"/>
      <c r="BJ467" s="991"/>
      <c r="BK467" s="993" t="str">
        <f t="shared" si="399"/>
        <v>-</v>
      </c>
      <c r="BL467" s="820">
        <v>42981</v>
      </c>
      <c r="BM467" s="821">
        <v>5</v>
      </c>
      <c r="BN467" s="822">
        <f t="shared" ca="1" si="400"/>
        <v>153</v>
      </c>
      <c r="BO467" s="823">
        <f t="shared" si="401"/>
        <v>34.133333333333333</v>
      </c>
      <c r="BP467" s="824"/>
      <c r="BQ467" s="821"/>
      <c r="BR467" s="822" t="str">
        <f t="shared" si="402"/>
        <v>-</v>
      </c>
      <c r="BS467" s="823" t="str">
        <f t="shared" si="403"/>
        <v>-</v>
      </c>
      <c r="BT467" s="825" t="str">
        <f t="shared" ca="1" si="404"/>
        <v>-</v>
      </c>
      <c r="BU467" s="826"/>
      <c r="BV467" s="827"/>
      <c r="BW467" s="828" t="str">
        <f t="shared" si="405"/>
        <v>Ж-Е НЕ ВАКЦ.</v>
      </c>
      <c r="BX467" s="829" t="str">
        <f t="shared" si="406"/>
        <v>-</v>
      </c>
      <c r="BY467" s="830" t="str">
        <f t="shared" ca="1" si="407"/>
        <v>-</v>
      </c>
      <c r="BZ467" s="831">
        <v>42887</v>
      </c>
      <c r="CA467" s="832">
        <v>5</v>
      </c>
      <c r="CB467" s="833">
        <f t="shared" ca="1" si="408"/>
        <v>247</v>
      </c>
      <c r="CC467" s="834" t="str">
        <f t="shared" ca="1" si="409"/>
        <v>-</v>
      </c>
      <c r="CD467" s="835">
        <f t="shared" si="410"/>
        <v>42908</v>
      </c>
      <c r="CE467" s="831">
        <v>42908</v>
      </c>
      <c r="CF467" s="832">
        <v>5</v>
      </c>
      <c r="CG467" s="833">
        <f t="shared" ca="1" si="411"/>
        <v>226</v>
      </c>
      <c r="CH467" s="836">
        <f t="shared" si="412"/>
        <v>0</v>
      </c>
      <c r="CI467" s="837" t="str">
        <f t="shared" si="413"/>
        <v>УСПЕШНО</v>
      </c>
      <c r="CJ467" s="838" t="str">
        <f t="shared" ca="1" si="414"/>
        <v>-</v>
      </c>
      <c r="CK467" s="831"/>
      <c r="CL467" s="832"/>
      <c r="CM467" s="833" t="str">
        <f t="shared" si="415"/>
        <v>-</v>
      </c>
      <c r="CN467" s="834" t="str">
        <f t="shared" si="416"/>
        <v>-</v>
      </c>
      <c r="CO467" s="830" t="str">
        <f t="shared" ca="1" si="417"/>
        <v>-</v>
      </c>
      <c r="CP467" s="831">
        <v>42989</v>
      </c>
      <c r="CQ467" s="832">
        <v>2</v>
      </c>
      <c r="CR467" s="833">
        <f t="shared" si="418"/>
        <v>42989</v>
      </c>
      <c r="CS467" s="833">
        <f t="shared" ca="1" si="419"/>
        <v>145</v>
      </c>
      <c r="CT467" s="834" t="str">
        <f t="shared" ca="1" si="420"/>
        <v>-</v>
      </c>
      <c r="CU467" s="835">
        <f t="shared" si="421"/>
        <v>43010</v>
      </c>
      <c r="CV467" s="831">
        <v>43011</v>
      </c>
      <c r="CW467" s="832">
        <v>2</v>
      </c>
      <c r="CX467" s="833">
        <f t="shared" si="422"/>
        <v>1</v>
      </c>
      <c r="CY467" s="840" t="str">
        <f t="shared" si="423"/>
        <v>-</v>
      </c>
      <c r="CZ467" s="833">
        <f t="shared" si="424"/>
        <v>43011</v>
      </c>
      <c r="DA467" s="838" t="str">
        <f t="shared" ca="1" si="425"/>
        <v>-</v>
      </c>
      <c r="DB467" s="841"/>
      <c r="DC467" s="832"/>
    </row>
    <row r="468" spans="1:107" s="842" customFormat="1" ht="15.95" customHeight="1" x14ac:dyDescent="0.25">
      <c r="A468" s="790">
        <v>470</v>
      </c>
      <c r="B468" s="791">
        <f t="shared" ca="1" si="374"/>
        <v>43134</v>
      </c>
      <c r="C468" s="29" t="s">
        <v>2404</v>
      </c>
      <c r="D468" s="427" t="s">
        <v>1456</v>
      </c>
      <c r="E468" s="794" t="s">
        <v>1355</v>
      </c>
      <c r="F468" s="795" t="s">
        <v>1239</v>
      </c>
      <c r="G468" s="796">
        <f>SUMIFS(МОЛОКО!L8:L6958,МОЛОКО!F8:F6958,"2415",МОЛОКО!L8:L6958,"&gt;0")</f>
        <v>0</v>
      </c>
      <c r="H468" s="797" t="s">
        <v>603</v>
      </c>
      <c r="I468" s="798">
        <v>41967</v>
      </c>
      <c r="J468" s="799">
        <f t="shared" ca="1" si="375"/>
        <v>3.1972602739726028</v>
      </c>
      <c r="K468" s="799">
        <f t="shared" ca="1" si="376"/>
        <v>38.9</v>
      </c>
      <c r="L468" s="800">
        <f t="shared" ca="1" si="377"/>
        <v>1167</v>
      </c>
      <c r="M468" s="801">
        <v>42627</v>
      </c>
      <c r="N468" s="802">
        <v>43051</v>
      </c>
      <c r="O468" s="803">
        <f t="shared" ca="1" si="378"/>
        <v>83</v>
      </c>
      <c r="P468" s="804">
        <v>2</v>
      </c>
      <c r="Q468" s="805"/>
      <c r="R468" s="806"/>
      <c r="S468" s="807"/>
      <c r="T468" s="798"/>
      <c r="U468" s="798" t="str">
        <f t="shared" si="379"/>
        <v>-</v>
      </c>
      <c r="V468" s="804" t="str">
        <f t="shared" ca="1" si="380"/>
        <v>-</v>
      </c>
      <c r="W468" s="808">
        <v>0</v>
      </c>
      <c r="X468" s="794" t="str">
        <f t="shared" si="373"/>
        <v>-</v>
      </c>
      <c r="Y468" s="794">
        <v>0</v>
      </c>
      <c r="Z468" s="809" t="str">
        <f t="shared" ca="1" si="381"/>
        <v>-----</v>
      </c>
      <c r="AA468" s="810">
        <f t="shared" ca="1" si="382"/>
        <v>43134</v>
      </c>
      <c r="AB468" s="804"/>
      <c r="AC468" s="811" t="str">
        <f t="shared" ca="1" si="383"/>
        <v>-----</v>
      </c>
      <c r="AD468" s="798"/>
      <c r="AE468" s="794" t="str">
        <f t="shared" ca="1" si="384"/>
        <v>-</v>
      </c>
      <c r="AF468" s="798" t="str">
        <f t="shared" si="385"/>
        <v>-</v>
      </c>
      <c r="AG468" s="812" t="str">
        <f t="shared" si="386"/>
        <v>---------</v>
      </c>
      <c r="AH468" s="807"/>
      <c r="AI468" s="807" t="str">
        <f t="shared" si="387"/>
        <v>-</v>
      </c>
      <c r="AJ468" s="807" t="str">
        <f t="shared" si="388"/>
        <v>-</v>
      </c>
      <c r="AK468" s="813"/>
      <c r="AL468" s="807" t="str">
        <f t="shared" si="389"/>
        <v>-</v>
      </c>
      <c r="AM468" s="807" t="str">
        <f t="shared" si="390"/>
        <v>-</v>
      </c>
      <c r="AN468" s="814" t="str">
        <f t="shared" ca="1" si="391"/>
        <v>-</v>
      </c>
      <c r="AO468" s="815">
        <v>1</v>
      </c>
      <c r="AP468" s="816" t="str">
        <f t="shared" ca="1" si="392"/>
        <v>-</v>
      </c>
      <c r="AQ468" s="817"/>
      <c r="AR468" s="794" t="str">
        <f t="shared" si="393"/>
        <v>-</v>
      </c>
      <c r="AS468" s="818"/>
      <c r="AT468" s="794" t="str">
        <f t="shared" si="394"/>
        <v>-</v>
      </c>
      <c r="AU468" s="819"/>
      <c r="AV468" s="820"/>
      <c r="AW468" s="821"/>
      <c r="AX468" s="821"/>
      <c r="AY468" s="969" t="str">
        <f t="shared" si="395"/>
        <v>-</v>
      </c>
      <c r="AZ468" s="966" t="str">
        <f t="shared" si="396"/>
        <v>-</v>
      </c>
      <c r="BA468" s="971" t="str">
        <f t="shared" si="397"/>
        <v>-</v>
      </c>
      <c r="BB468" s="975"/>
      <c r="BC468" s="821"/>
      <c r="BD468" s="821"/>
      <c r="BE468" s="963" t="str">
        <f t="shared" si="398"/>
        <v>-</v>
      </c>
      <c r="BF468" s="984"/>
      <c r="BG468" s="988"/>
      <c r="BH468" s="982"/>
      <c r="BI468" s="991"/>
      <c r="BJ468" s="991"/>
      <c r="BK468" s="993" t="str">
        <f t="shared" si="399"/>
        <v>-</v>
      </c>
      <c r="BL468" s="820">
        <v>42981</v>
      </c>
      <c r="BM468" s="821">
        <v>5</v>
      </c>
      <c r="BN468" s="822">
        <f t="shared" ca="1" si="400"/>
        <v>153</v>
      </c>
      <c r="BO468" s="823">
        <f t="shared" si="401"/>
        <v>33.799999999999997</v>
      </c>
      <c r="BP468" s="824"/>
      <c r="BQ468" s="821"/>
      <c r="BR468" s="822" t="str">
        <f t="shared" si="402"/>
        <v>-</v>
      </c>
      <c r="BS468" s="823" t="str">
        <f t="shared" si="403"/>
        <v>-</v>
      </c>
      <c r="BT468" s="825" t="str">
        <f t="shared" ca="1" si="404"/>
        <v>-</v>
      </c>
      <c r="BU468" s="826"/>
      <c r="BV468" s="827"/>
      <c r="BW468" s="828" t="str">
        <f t="shared" si="405"/>
        <v>Ж-Е НЕ ВАКЦ.</v>
      </c>
      <c r="BX468" s="829" t="str">
        <f t="shared" si="406"/>
        <v>-</v>
      </c>
      <c r="BY468" s="830" t="str">
        <f t="shared" ca="1" si="407"/>
        <v>-</v>
      </c>
      <c r="BZ468" s="831">
        <v>42887</v>
      </c>
      <c r="CA468" s="832">
        <v>5</v>
      </c>
      <c r="CB468" s="833">
        <f t="shared" ca="1" si="408"/>
        <v>247</v>
      </c>
      <c r="CC468" s="834" t="str">
        <f t="shared" ca="1" si="409"/>
        <v>-</v>
      </c>
      <c r="CD468" s="835">
        <f t="shared" si="410"/>
        <v>42908</v>
      </c>
      <c r="CE468" s="831">
        <v>42908</v>
      </c>
      <c r="CF468" s="832">
        <v>5</v>
      </c>
      <c r="CG468" s="833">
        <f t="shared" ca="1" si="411"/>
        <v>226</v>
      </c>
      <c r="CH468" s="836">
        <f t="shared" si="412"/>
        <v>0</v>
      </c>
      <c r="CI468" s="837" t="str">
        <f t="shared" si="413"/>
        <v>УСПЕШНО</v>
      </c>
      <c r="CJ468" s="838" t="str">
        <f t="shared" ca="1" si="414"/>
        <v>-</v>
      </c>
      <c r="CK468" s="831"/>
      <c r="CL468" s="832"/>
      <c r="CM468" s="833" t="str">
        <f t="shared" si="415"/>
        <v>-</v>
      </c>
      <c r="CN468" s="834" t="str">
        <f t="shared" si="416"/>
        <v>-</v>
      </c>
      <c r="CO468" s="830" t="str">
        <f t="shared" ca="1" si="417"/>
        <v>-</v>
      </c>
      <c r="CP468" s="831">
        <v>42990</v>
      </c>
      <c r="CQ468" s="832">
        <v>2</v>
      </c>
      <c r="CR468" s="833">
        <f t="shared" si="418"/>
        <v>42990</v>
      </c>
      <c r="CS468" s="833">
        <f t="shared" ca="1" si="419"/>
        <v>144</v>
      </c>
      <c r="CT468" s="834" t="str">
        <f t="shared" ca="1" si="420"/>
        <v>-</v>
      </c>
      <c r="CU468" s="835">
        <f t="shared" si="421"/>
        <v>43011</v>
      </c>
      <c r="CV468" s="831">
        <v>43012</v>
      </c>
      <c r="CW468" s="832">
        <v>2</v>
      </c>
      <c r="CX468" s="833">
        <f t="shared" si="422"/>
        <v>1</v>
      </c>
      <c r="CY468" s="840" t="str">
        <f t="shared" si="423"/>
        <v>-</v>
      </c>
      <c r="CZ468" s="833">
        <f t="shared" si="424"/>
        <v>43012</v>
      </c>
      <c r="DA468" s="838" t="str">
        <f t="shared" ca="1" si="425"/>
        <v>-</v>
      </c>
      <c r="DB468" s="841"/>
      <c r="DC468" s="832"/>
    </row>
    <row r="469" spans="1:107" s="842" customFormat="1" ht="15.95" customHeight="1" x14ac:dyDescent="0.25">
      <c r="A469" s="790">
        <v>471</v>
      </c>
      <c r="B469" s="791">
        <f t="shared" ca="1" si="374"/>
        <v>43134</v>
      </c>
      <c r="C469" s="29" t="s">
        <v>2404</v>
      </c>
      <c r="D469" s="427" t="s">
        <v>1456</v>
      </c>
      <c r="E469" s="794" t="s">
        <v>585</v>
      </c>
      <c r="F469" s="795" t="s">
        <v>1013</v>
      </c>
      <c r="G469" s="796">
        <f>SUMIFS(МОЛОКО!L8:L6958,МОЛОКО!F8:F6958,"2506",МОЛОКО!L8:L6958,"&gt;0")</f>
        <v>0</v>
      </c>
      <c r="H469" s="797" t="s">
        <v>603</v>
      </c>
      <c r="I469" s="798">
        <v>42029</v>
      </c>
      <c r="J469" s="799">
        <f t="shared" ca="1" si="375"/>
        <v>3.0273972602739727</v>
      </c>
      <c r="K469" s="799">
        <f t="shared" ca="1" si="376"/>
        <v>36.833333333333336</v>
      </c>
      <c r="L469" s="800">
        <f t="shared" ca="1" si="377"/>
        <v>1105</v>
      </c>
      <c r="M469" s="801">
        <v>42697</v>
      </c>
      <c r="N469" s="802">
        <v>43048</v>
      </c>
      <c r="O469" s="803">
        <f t="shared" ca="1" si="378"/>
        <v>86</v>
      </c>
      <c r="P469" s="804">
        <v>2</v>
      </c>
      <c r="Q469" s="805"/>
      <c r="R469" s="806"/>
      <c r="S469" s="807"/>
      <c r="T469" s="798"/>
      <c r="U469" s="798" t="str">
        <f t="shared" si="379"/>
        <v>-</v>
      </c>
      <c r="V469" s="804" t="str">
        <f t="shared" ca="1" si="380"/>
        <v>-</v>
      </c>
      <c r="W469" s="808">
        <v>0</v>
      </c>
      <c r="X469" s="794" t="str">
        <f t="shared" si="373"/>
        <v>-</v>
      </c>
      <c r="Y469" s="794">
        <v>0</v>
      </c>
      <c r="Z469" s="809" t="str">
        <f t="shared" ca="1" si="381"/>
        <v>-----</v>
      </c>
      <c r="AA469" s="810">
        <f t="shared" ca="1" si="382"/>
        <v>43134</v>
      </c>
      <c r="AB469" s="804"/>
      <c r="AC469" s="811" t="str">
        <f t="shared" ca="1" si="383"/>
        <v>-----</v>
      </c>
      <c r="AD469" s="798"/>
      <c r="AE469" s="794" t="str">
        <f t="shared" ca="1" si="384"/>
        <v>-</v>
      </c>
      <c r="AF469" s="798" t="str">
        <f t="shared" si="385"/>
        <v>-</v>
      </c>
      <c r="AG469" s="812" t="str">
        <f t="shared" si="386"/>
        <v>---------</v>
      </c>
      <c r="AH469" s="807"/>
      <c r="AI469" s="807" t="str">
        <f t="shared" si="387"/>
        <v>-</v>
      </c>
      <c r="AJ469" s="807" t="str">
        <f t="shared" si="388"/>
        <v>-</v>
      </c>
      <c r="AK469" s="813"/>
      <c r="AL469" s="807" t="str">
        <f t="shared" si="389"/>
        <v>-</v>
      </c>
      <c r="AM469" s="807" t="str">
        <f t="shared" si="390"/>
        <v>-</v>
      </c>
      <c r="AN469" s="814" t="str">
        <f t="shared" ca="1" si="391"/>
        <v>-</v>
      </c>
      <c r="AO469" s="815">
        <v>1</v>
      </c>
      <c r="AP469" s="816" t="str">
        <f t="shared" ca="1" si="392"/>
        <v>-</v>
      </c>
      <c r="AQ469" s="817"/>
      <c r="AR469" s="794" t="str">
        <f t="shared" si="393"/>
        <v>-</v>
      </c>
      <c r="AS469" s="818"/>
      <c r="AT469" s="794" t="str">
        <f t="shared" si="394"/>
        <v>-</v>
      </c>
      <c r="AU469" s="819"/>
      <c r="AV469" s="820"/>
      <c r="AW469" s="821"/>
      <c r="AX469" s="821"/>
      <c r="AY469" s="969" t="str">
        <f t="shared" si="395"/>
        <v>-</v>
      </c>
      <c r="AZ469" s="966" t="str">
        <f t="shared" si="396"/>
        <v>-</v>
      </c>
      <c r="BA469" s="971" t="str">
        <f t="shared" si="397"/>
        <v>-</v>
      </c>
      <c r="BB469" s="975"/>
      <c r="BC469" s="821"/>
      <c r="BD469" s="821"/>
      <c r="BE469" s="963" t="str">
        <f t="shared" si="398"/>
        <v>-</v>
      </c>
      <c r="BF469" s="984"/>
      <c r="BG469" s="988"/>
      <c r="BH469" s="982"/>
      <c r="BI469" s="991"/>
      <c r="BJ469" s="991"/>
      <c r="BK469" s="993" t="str">
        <f t="shared" si="399"/>
        <v>-</v>
      </c>
      <c r="BL469" s="820">
        <v>42981</v>
      </c>
      <c r="BM469" s="821">
        <v>5</v>
      </c>
      <c r="BN469" s="822">
        <f t="shared" ca="1" si="400"/>
        <v>153</v>
      </c>
      <c r="BO469" s="823">
        <f t="shared" si="401"/>
        <v>31.733333333333334</v>
      </c>
      <c r="BP469" s="824"/>
      <c r="BQ469" s="821"/>
      <c r="BR469" s="822" t="str">
        <f t="shared" si="402"/>
        <v>-</v>
      </c>
      <c r="BS469" s="823" t="str">
        <f t="shared" si="403"/>
        <v>-</v>
      </c>
      <c r="BT469" s="825" t="str">
        <f t="shared" ca="1" si="404"/>
        <v>-</v>
      </c>
      <c r="BU469" s="826"/>
      <c r="BV469" s="827"/>
      <c r="BW469" s="828" t="str">
        <f t="shared" si="405"/>
        <v>Ж-Е НЕ ВАКЦ.</v>
      </c>
      <c r="BX469" s="829" t="str">
        <f t="shared" si="406"/>
        <v>-</v>
      </c>
      <c r="BY469" s="830" t="str">
        <f t="shared" ca="1" si="407"/>
        <v>-</v>
      </c>
      <c r="BZ469" s="831">
        <v>42887</v>
      </c>
      <c r="CA469" s="832">
        <v>5</v>
      </c>
      <c r="CB469" s="833">
        <f t="shared" ca="1" si="408"/>
        <v>247</v>
      </c>
      <c r="CC469" s="834" t="str">
        <f t="shared" ca="1" si="409"/>
        <v>-</v>
      </c>
      <c r="CD469" s="835">
        <f t="shared" si="410"/>
        <v>42908</v>
      </c>
      <c r="CE469" s="831">
        <v>42908</v>
      </c>
      <c r="CF469" s="832">
        <v>5</v>
      </c>
      <c r="CG469" s="833">
        <f t="shared" ca="1" si="411"/>
        <v>226</v>
      </c>
      <c r="CH469" s="836">
        <f t="shared" si="412"/>
        <v>0</v>
      </c>
      <c r="CI469" s="837" t="str">
        <f t="shared" si="413"/>
        <v>УСПЕШНО</v>
      </c>
      <c r="CJ469" s="838" t="str">
        <f t="shared" ca="1" si="414"/>
        <v>-</v>
      </c>
      <c r="CK469" s="831"/>
      <c r="CL469" s="832"/>
      <c r="CM469" s="833" t="str">
        <f t="shared" si="415"/>
        <v>-</v>
      </c>
      <c r="CN469" s="834" t="str">
        <f t="shared" si="416"/>
        <v>-</v>
      </c>
      <c r="CO469" s="830" t="str">
        <f t="shared" ca="1" si="417"/>
        <v>-</v>
      </c>
      <c r="CP469" s="831">
        <v>42990</v>
      </c>
      <c r="CQ469" s="832">
        <v>2</v>
      </c>
      <c r="CR469" s="833">
        <f t="shared" si="418"/>
        <v>42990</v>
      </c>
      <c r="CS469" s="833">
        <f t="shared" ca="1" si="419"/>
        <v>144</v>
      </c>
      <c r="CT469" s="834" t="str">
        <f t="shared" ca="1" si="420"/>
        <v>-</v>
      </c>
      <c r="CU469" s="835">
        <f t="shared" si="421"/>
        <v>43011</v>
      </c>
      <c r="CV469" s="831">
        <v>43012</v>
      </c>
      <c r="CW469" s="832">
        <v>2</v>
      </c>
      <c r="CX469" s="833">
        <f t="shared" si="422"/>
        <v>1</v>
      </c>
      <c r="CY469" s="840" t="str">
        <f t="shared" si="423"/>
        <v>-</v>
      </c>
      <c r="CZ469" s="833">
        <f t="shared" si="424"/>
        <v>43012</v>
      </c>
      <c r="DA469" s="838" t="str">
        <f t="shared" ca="1" si="425"/>
        <v>-</v>
      </c>
      <c r="DB469" s="841"/>
      <c r="DC469" s="832"/>
    </row>
    <row r="470" spans="1:107" s="842" customFormat="1" ht="15.95" customHeight="1" x14ac:dyDescent="0.25">
      <c r="A470" s="790">
        <v>472</v>
      </c>
      <c r="B470" s="791">
        <f t="shared" ca="1" si="374"/>
        <v>43134</v>
      </c>
      <c r="C470" s="792" t="s">
        <v>2404</v>
      </c>
      <c r="D470" s="793" t="s">
        <v>1456</v>
      </c>
      <c r="E470" s="794" t="s">
        <v>1123</v>
      </c>
      <c r="F470" s="795" t="s">
        <v>1039</v>
      </c>
      <c r="G470" s="796">
        <f>SUMIFS(МОЛОКО!L8:L6958,МОЛОКО!F8:F6958,"2554",МОЛОКО!L8:L6958,"&gt;0")</f>
        <v>21.8</v>
      </c>
      <c r="H470" s="797" t="s">
        <v>603</v>
      </c>
      <c r="I470" s="798">
        <v>42071</v>
      </c>
      <c r="J470" s="799">
        <f t="shared" ca="1" si="375"/>
        <v>2.9123287671232876</v>
      </c>
      <c r="K470" s="799">
        <f t="shared" ca="1" si="376"/>
        <v>35.43333333333333</v>
      </c>
      <c r="L470" s="800">
        <f t="shared" ca="1" si="377"/>
        <v>1063</v>
      </c>
      <c r="M470" s="801">
        <v>42902</v>
      </c>
      <c r="N470" s="802">
        <v>42916</v>
      </c>
      <c r="O470" s="803">
        <f t="shared" ca="1" si="378"/>
        <v>218</v>
      </c>
      <c r="P470" s="804">
        <v>1</v>
      </c>
      <c r="Q470" s="805"/>
      <c r="R470" s="806"/>
      <c r="S470" s="807"/>
      <c r="T470" s="798"/>
      <c r="U470" s="798" t="str">
        <f t="shared" si="379"/>
        <v>-</v>
      </c>
      <c r="V470" s="804" t="str">
        <f t="shared" ca="1" si="380"/>
        <v>-</v>
      </c>
      <c r="W470" s="808">
        <v>0</v>
      </c>
      <c r="X470" s="794" t="str">
        <f t="shared" si="373"/>
        <v>-</v>
      </c>
      <c r="Y470" s="794">
        <v>0</v>
      </c>
      <c r="Z470" s="809" t="str">
        <f t="shared" ca="1" si="381"/>
        <v>-----</v>
      </c>
      <c r="AA470" s="810">
        <f t="shared" ca="1" si="382"/>
        <v>43134</v>
      </c>
      <c r="AB470" s="804"/>
      <c r="AC470" s="811" t="str">
        <f t="shared" ca="1" si="383"/>
        <v>-----</v>
      </c>
      <c r="AD470" s="798"/>
      <c r="AE470" s="794" t="str">
        <f t="shared" ca="1" si="384"/>
        <v>яловая</v>
      </c>
      <c r="AF470" s="798" t="str">
        <f t="shared" si="385"/>
        <v>-</v>
      </c>
      <c r="AG470" s="812" t="str">
        <f t="shared" si="386"/>
        <v>---------</v>
      </c>
      <c r="AH470" s="807"/>
      <c r="AI470" s="807" t="str">
        <f t="shared" si="387"/>
        <v>-</v>
      </c>
      <c r="AJ470" s="807" t="str">
        <f t="shared" si="388"/>
        <v>-</v>
      </c>
      <c r="AK470" s="813"/>
      <c r="AL470" s="807" t="str">
        <f t="shared" si="389"/>
        <v>-</v>
      </c>
      <c r="AM470" s="807" t="str">
        <f t="shared" si="390"/>
        <v>-</v>
      </c>
      <c r="AN470" s="814" t="str">
        <f t="shared" ca="1" si="391"/>
        <v>-</v>
      </c>
      <c r="AO470" s="815">
        <v>1</v>
      </c>
      <c r="AP470" s="816" t="str">
        <f t="shared" ca="1" si="392"/>
        <v>-</v>
      </c>
      <c r="AQ470" s="817"/>
      <c r="AR470" s="794" t="str">
        <f t="shared" si="393"/>
        <v>-</v>
      </c>
      <c r="AS470" s="818"/>
      <c r="AT470" s="794" t="str">
        <f t="shared" si="394"/>
        <v>-</v>
      </c>
      <c r="AU470" s="819"/>
      <c r="AV470" s="820"/>
      <c r="AW470" s="821"/>
      <c r="AX470" s="821"/>
      <c r="AY470" s="969" t="str">
        <f t="shared" si="395"/>
        <v>-</v>
      </c>
      <c r="AZ470" s="966" t="str">
        <f t="shared" si="396"/>
        <v>-</v>
      </c>
      <c r="BA470" s="971" t="str">
        <f t="shared" si="397"/>
        <v>-</v>
      </c>
      <c r="BB470" s="975"/>
      <c r="BC470" s="821"/>
      <c r="BD470" s="821"/>
      <c r="BE470" s="963" t="str">
        <f t="shared" si="398"/>
        <v>-</v>
      </c>
      <c r="BF470" s="984"/>
      <c r="BG470" s="988"/>
      <c r="BH470" s="982"/>
      <c r="BI470" s="991"/>
      <c r="BJ470" s="991"/>
      <c r="BK470" s="993" t="str">
        <f t="shared" si="399"/>
        <v>-</v>
      </c>
      <c r="BL470" s="820">
        <v>42981</v>
      </c>
      <c r="BM470" s="821">
        <v>5</v>
      </c>
      <c r="BN470" s="822">
        <f t="shared" ca="1" si="400"/>
        <v>153</v>
      </c>
      <c r="BO470" s="823">
        <f t="shared" si="401"/>
        <v>30.333333333333332</v>
      </c>
      <c r="BP470" s="824">
        <v>43001</v>
      </c>
      <c r="BQ470" s="821">
        <v>2</v>
      </c>
      <c r="BR470" s="822">
        <f t="shared" ca="1" si="402"/>
        <v>133</v>
      </c>
      <c r="BS470" s="823">
        <f t="shared" si="403"/>
        <v>3.3</v>
      </c>
      <c r="BT470" s="825" t="str">
        <f t="shared" ca="1" si="404"/>
        <v>-</v>
      </c>
      <c r="BU470" s="826"/>
      <c r="BV470" s="827"/>
      <c r="BW470" s="828" t="str">
        <f t="shared" si="405"/>
        <v>Ж-Е НЕ ВАКЦ.</v>
      </c>
      <c r="BX470" s="829" t="str">
        <f t="shared" si="406"/>
        <v>-</v>
      </c>
      <c r="BY470" s="830" t="str">
        <f t="shared" ca="1" si="407"/>
        <v>-</v>
      </c>
      <c r="BZ470" s="831">
        <v>42940</v>
      </c>
      <c r="CA470" s="832">
        <v>5</v>
      </c>
      <c r="CB470" s="833">
        <f t="shared" ca="1" si="408"/>
        <v>194</v>
      </c>
      <c r="CC470" s="834" t="str">
        <f t="shared" ca="1" si="409"/>
        <v>-</v>
      </c>
      <c r="CD470" s="835">
        <f t="shared" si="410"/>
        <v>42961</v>
      </c>
      <c r="CE470" s="831">
        <v>42969</v>
      </c>
      <c r="CF470" s="832">
        <v>5</v>
      </c>
      <c r="CG470" s="833">
        <f t="shared" ca="1" si="411"/>
        <v>165</v>
      </c>
      <c r="CH470" s="836">
        <f t="shared" si="412"/>
        <v>-8</v>
      </c>
      <c r="CI470" s="837" t="str">
        <f t="shared" si="413"/>
        <v>-</v>
      </c>
      <c r="CJ470" s="838" t="str">
        <f t="shared" ca="1" si="414"/>
        <v>-</v>
      </c>
      <c r="CK470" s="831"/>
      <c r="CL470" s="832"/>
      <c r="CM470" s="833" t="str">
        <f t="shared" si="415"/>
        <v>-</v>
      </c>
      <c r="CN470" s="834" t="str">
        <f t="shared" si="416"/>
        <v>-</v>
      </c>
      <c r="CO470" s="830" t="str">
        <f t="shared" ca="1" si="417"/>
        <v>-</v>
      </c>
      <c r="CP470" s="839"/>
      <c r="CQ470" s="832"/>
      <c r="CR470" s="833" t="str">
        <f t="shared" si="418"/>
        <v>-</v>
      </c>
      <c r="CS470" s="833" t="str">
        <f t="shared" si="419"/>
        <v>-</v>
      </c>
      <c r="CT470" s="834" t="str">
        <f t="shared" si="420"/>
        <v>-</v>
      </c>
      <c r="CU470" s="835" t="str">
        <f t="shared" si="421"/>
        <v>-</v>
      </c>
      <c r="CV470" s="839"/>
      <c r="CW470" s="832"/>
      <c r="CX470" s="833" t="str">
        <f t="shared" si="422"/>
        <v>-</v>
      </c>
      <c r="CY470" s="840" t="str">
        <f t="shared" si="423"/>
        <v>-</v>
      </c>
      <c r="CZ470" s="833" t="str">
        <f t="shared" si="424"/>
        <v>-</v>
      </c>
      <c r="DA470" s="838" t="str">
        <f t="shared" ca="1" si="425"/>
        <v>-</v>
      </c>
      <c r="DB470" s="841"/>
      <c r="DC470" s="832"/>
    </row>
    <row r="471" spans="1:107" s="842" customFormat="1" ht="15.95" customHeight="1" x14ac:dyDescent="0.25">
      <c r="A471" s="790">
        <v>473</v>
      </c>
      <c r="B471" s="791">
        <f t="shared" ca="1" si="374"/>
        <v>43134</v>
      </c>
      <c r="C471" s="29" t="s">
        <v>2404</v>
      </c>
      <c r="D471" s="59" t="s">
        <v>1456</v>
      </c>
      <c r="E471" s="794" t="s">
        <v>1275</v>
      </c>
      <c r="F471" s="854" t="s">
        <v>1511</v>
      </c>
      <c r="G471" s="796">
        <f>SUMIFS(МОЛОКО!L8:L6958,МОЛОКО!F8:F6958,"2608",МОЛОКО!L8:L6958,"&gt;0")</f>
        <v>0</v>
      </c>
      <c r="H471" s="797" t="s">
        <v>603</v>
      </c>
      <c r="I471" s="798">
        <v>42117</v>
      </c>
      <c r="J471" s="799">
        <f t="shared" ca="1" si="375"/>
        <v>2.7863013698630139</v>
      </c>
      <c r="K471" s="799">
        <f t="shared" ca="1" si="376"/>
        <v>33.9</v>
      </c>
      <c r="L471" s="800">
        <f t="shared" ca="1" si="377"/>
        <v>1017</v>
      </c>
      <c r="M471" s="801">
        <v>42816</v>
      </c>
      <c r="N471" s="802">
        <v>43050</v>
      </c>
      <c r="O471" s="803">
        <f t="shared" ca="1" si="378"/>
        <v>84</v>
      </c>
      <c r="P471" s="804">
        <v>2</v>
      </c>
      <c r="Q471" s="805"/>
      <c r="R471" s="806"/>
      <c r="S471" s="807"/>
      <c r="T471" s="798"/>
      <c r="U471" s="798" t="str">
        <f t="shared" si="379"/>
        <v>-</v>
      </c>
      <c r="V471" s="804" t="str">
        <f t="shared" ca="1" si="380"/>
        <v>-</v>
      </c>
      <c r="W471" s="808">
        <v>0</v>
      </c>
      <c r="X471" s="794" t="str">
        <f t="shared" si="373"/>
        <v>-</v>
      </c>
      <c r="Y471" s="794">
        <v>0</v>
      </c>
      <c r="Z471" s="809" t="str">
        <f t="shared" ca="1" si="381"/>
        <v>-----</v>
      </c>
      <c r="AA471" s="810">
        <f t="shared" ca="1" si="382"/>
        <v>43134</v>
      </c>
      <c r="AB471" s="804"/>
      <c r="AC471" s="811" t="str">
        <f t="shared" ca="1" si="383"/>
        <v>-----</v>
      </c>
      <c r="AD471" s="798"/>
      <c r="AE471" s="794" t="str">
        <f t="shared" ca="1" si="384"/>
        <v>-</v>
      </c>
      <c r="AF471" s="798" t="str">
        <f t="shared" si="385"/>
        <v>-</v>
      </c>
      <c r="AG471" s="812" t="str">
        <f t="shared" si="386"/>
        <v>---------</v>
      </c>
      <c r="AH471" s="807"/>
      <c r="AI471" s="807" t="str">
        <f t="shared" si="387"/>
        <v>-</v>
      </c>
      <c r="AJ471" s="807" t="str">
        <f t="shared" si="388"/>
        <v>-</v>
      </c>
      <c r="AK471" s="813"/>
      <c r="AL471" s="807" t="str">
        <f t="shared" si="389"/>
        <v>-</v>
      </c>
      <c r="AM471" s="807" t="str">
        <f t="shared" si="390"/>
        <v>-</v>
      </c>
      <c r="AN471" s="814" t="str">
        <f t="shared" ca="1" si="391"/>
        <v>-</v>
      </c>
      <c r="AO471" s="815">
        <v>1</v>
      </c>
      <c r="AP471" s="816" t="str">
        <f t="shared" ca="1" si="392"/>
        <v>-</v>
      </c>
      <c r="AQ471" s="817"/>
      <c r="AR471" s="794" t="str">
        <f t="shared" si="393"/>
        <v>-</v>
      </c>
      <c r="AS471" s="234">
        <v>43050</v>
      </c>
      <c r="AT471" s="794" t="str">
        <f t="shared" si="394"/>
        <v>-</v>
      </c>
      <c r="AU471" s="819">
        <v>1</v>
      </c>
      <c r="AV471" s="820"/>
      <c r="AW471" s="821"/>
      <c r="AX471" s="821"/>
      <c r="AY471" s="969" t="str">
        <f t="shared" si="395"/>
        <v>-</v>
      </c>
      <c r="AZ471" s="966" t="str">
        <f t="shared" si="396"/>
        <v>-</v>
      </c>
      <c r="BA471" s="971" t="str">
        <f t="shared" si="397"/>
        <v>-</v>
      </c>
      <c r="BB471" s="975"/>
      <c r="BC471" s="821"/>
      <c r="BD471" s="821"/>
      <c r="BE471" s="963" t="str">
        <f t="shared" si="398"/>
        <v>-</v>
      </c>
      <c r="BF471" s="984"/>
      <c r="BG471" s="988"/>
      <c r="BH471" s="982"/>
      <c r="BI471" s="991"/>
      <c r="BJ471" s="991"/>
      <c r="BK471" s="993" t="str">
        <f t="shared" si="399"/>
        <v>-</v>
      </c>
      <c r="BL471" s="820">
        <v>42981</v>
      </c>
      <c r="BM471" s="821">
        <v>5</v>
      </c>
      <c r="BN471" s="822">
        <f t="shared" ca="1" si="400"/>
        <v>153</v>
      </c>
      <c r="BO471" s="823">
        <f t="shared" si="401"/>
        <v>28.8</v>
      </c>
      <c r="BP471" s="824">
        <v>43001</v>
      </c>
      <c r="BQ471" s="821">
        <v>2</v>
      </c>
      <c r="BR471" s="822">
        <f t="shared" ca="1" si="402"/>
        <v>133</v>
      </c>
      <c r="BS471" s="823">
        <f t="shared" si="403"/>
        <v>6.166666666666667</v>
      </c>
      <c r="BT471" s="825" t="str">
        <f t="shared" ca="1" si="404"/>
        <v>-</v>
      </c>
      <c r="BU471" s="826"/>
      <c r="BV471" s="827"/>
      <c r="BW471" s="828" t="str">
        <f t="shared" si="405"/>
        <v>Ж-Е НЕ ВАКЦ.</v>
      </c>
      <c r="BX471" s="829" t="str">
        <f t="shared" si="406"/>
        <v>-</v>
      </c>
      <c r="BY471" s="830" t="str">
        <f t="shared" ca="1" si="407"/>
        <v>-</v>
      </c>
      <c r="BZ471" s="831">
        <v>42887</v>
      </c>
      <c r="CA471" s="832">
        <v>5</v>
      </c>
      <c r="CB471" s="833">
        <f t="shared" ca="1" si="408"/>
        <v>247</v>
      </c>
      <c r="CC471" s="834" t="str">
        <f t="shared" ca="1" si="409"/>
        <v>-</v>
      </c>
      <c r="CD471" s="835">
        <f t="shared" si="410"/>
        <v>42908</v>
      </c>
      <c r="CE471" s="831">
        <v>42908</v>
      </c>
      <c r="CF471" s="832">
        <v>5</v>
      </c>
      <c r="CG471" s="833">
        <f t="shared" ca="1" si="411"/>
        <v>226</v>
      </c>
      <c r="CH471" s="836">
        <f t="shared" si="412"/>
        <v>0</v>
      </c>
      <c r="CI471" s="837" t="str">
        <f t="shared" si="413"/>
        <v>УСПЕШНО</v>
      </c>
      <c r="CJ471" s="838" t="str">
        <f t="shared" ca="1" si="414"/>
        <v>-</v>
      </c>
      <c r="CK471" s="831"/>
      <c r="CL471" s="832"/>
      <c r="CM471" s="833" t="str">
        <f t="shared" si="415"/>
        <v>-</v>
      </c>
      <c r="CN471" s="834" t="str">
        <f t="shared" si="416"/>
        <v>-</v>
      </c>
      <c r="CO471" s="830" t="str">
        <f t="shared" ca="1" si="417"/>
        <v>-</v>
      </c>
      <c r="CP471" s="839"/>
      <c r="CQ471" s="832"/>
      <c r="CR471" s="833" t="str">
        <f t="shared" si="418"/>
        <v>-</v>
      </c>
      <c r="CS471" s="833" t="str">
        <f t="shared" si="419"/>
        <v>-</v>
      </c>
      <c r="CT471" s="834" t="str">
        <f t="shared" si="420"/>
        <v>-</v>
      </c>
      <c r="CU471" s="835" t="str">
        <f t="shared" si="421"/>
        <v>-</v>
      </c>
      <c r="CV471" s="839"/>
      <c r="CW471" s="832"/>
      <c r="CX471" s="833" t="str">
        <f t="shared" si="422"/>
        <v>-</v>
      </c>
      <c r="CY471" s="840" t="str">
        <f t="shared" si="423"/>
        <v>-</v>
      </c>
      <c r="CZ471" s="833" t="str">
        <f t="shared" si="424"/>
        <v>-</v>
      </c>
      <c r="DA471" s="838" t="str">
        <f t="shared" ca="1" si="425"/>
        <v>-</v>
      </c>
      <c r="DB471" s="841"/>
      <c r="DC471" s="832"/>
    </row>
    <row r="472" spans="1:107" s="842" customFormat="1" ht="15.95" customHeight="1" x14ac:dyDescent="0.25">
      <c r="A472" s="790">
        <v>474</v>
      </c>
      <c r="B472" s="791">
        <f t="shared" ca="1" si="374"/>
        <v>43134</v>
      </c>
      <c r="C472" s="792" t="s">
        <v>2404</v>
      </c>
      <c r="D472" s="793" t="s">
        <v>1456</v>
      </c>
      <c r="E472" s="794" t="s">
        <v>1360</v>
      </c>
      <c r="F472" s="795" t="s">
        <v>1824</v>
      </c>
      <c r="G472" s="796">
        <f>SUMIFS(МОЛОКО!L8:L6958,МОЛОКО!F8:F6958,"2670",МОЛОКО!L8:L6958,"&gt;0")</f>
        <v>26</v>
      </c>
      <c r="H472" s="797" t="s">
        <v>603</v>
      </c>
      <c r="I472" s="798">
        <v>42223</v>
      </c>
      <c r="J472" s="799">
        <f t="shared" ca="1" si="375"/>
        <v>2.495890410958904</v>
      </c>
      <c r="K472" s="799">
        <f t="shared" ca="1" si="376"/>
        <v>30.366666666666667</v>
      </c>
      <c r="L472" s="800">
        <f t="shared" ca="1" si="377"/>
        <v>911</v>
      </c>
      <c r="M472" s="801">
        <v>42966</v>
      </c>
      <c r="N472" s="802">
        <v>42966</v>
      </c>
      <c r="O472" s="803">
        <f t="shared" ca="1" si="378"/>
        <v>168</v>
      </c>
      <c r="P472" s="804">
        <v>1</v>
      </c>
      <c r="Q472" s="805"/>
      <c r="R472" s="806"/>
      <c r="S472" s="807"/>
      <c r="T472" s="798"/>
      <c r="U472" s="798" t="str">
        <f t="shared" si="379"/>
        <v>-</v>
      </c>
      <c r="V472" s="804" t="str">
        <f t="shared" ca="1" si="380"/>
        <v>-</v>
      </c>
      <c r="W472" s="808">
        <v>0</v>
      </c>
      <c r="X472" s="794" t="str">
        <f t="shared" si="373"/>
        <v>-</v>
      </c>
      <c r="Y472" s="794">
        <v>0</v>
      </c>
      <c r="Z472" s="809" t="str">
        <f t="shared" ca="1" si="381"/>
        <v>-----</v>
      </c>
      <c r="AA472" s="810">
        <f t="shared" ca="1" si="382"/>
        <v>43134</v>
      </c>
      <c r="AB472" s="804"/>
      <c r="AC472" s="811" t="str">
        <f t="shared" ca="1" si="383"/>
        <v>-----</v>
      </c>
      <c r="AD472" s="798"/>
      <c r="AE472" s="794" t="str">
        <f t="shared" ca="1" si="384"/>
        <v>яловая</v>
      </c>
      <c r="AF472" s="798" t="str">
        <f t="shared" si="385"/>
        <v>-</v>
      </c>
      <c r="AG472" s="812" t="str">
        <f t="shared" si="386"/>
        <v>---------</v>
      </c>
      <c r="AH472" s="807"/>
      <c r="AI472" s="807" t="str">
        <f t="shared" si="387"/>
        <v>-</v>
      </c>
      <c r="AJ472" s="807" t="str">
        <f t="shared" si="388"/>
        <v>-</v>
      </c>
      <c r="AK472" s="813"/>
      <c r="AL472" s="807" t="str">
        <f t="shared" si="389"/>
        <v>-</v>
      </c>
      <c r="AM472" s="807" t="str">
        <f t="shared" si="390"/>
        <v>-</v>
      </c>
      <c r="AN472" s="814" t="str">
        <f t="shared" ca="1" si="391"/>
        <v>-</v>
      </c>
      <c r="AO472" s="815">
        <v>1</v>
      </c>
      <c r="AP472" s="816" t="str">
        <f t="shared" ca="1" si="392"/>
        <v>-</v>
      </c>
      <c r="AQ472" s="817"/>
      <c r="AR472" s="794" t="str">
        <f t="shared" si="393"/>
        <v>-</v>
      </c>
      <c r="AS472" s="818"/>
      <c r="AT472" s="794" t="str">
        <f t="shared" si="394"/>
        <v>-</v>
      </c>
      <c r="AU472" s="819"/>
      <c r="AV472" s="820"/>
      <c r="AW472" s="821"/>
      <c r="AX472" s="821"/>
      <c r="AY472" s="969" t="str">
        <f t="shared" si="395"/>
        <v>-</v>
      </c>
      <c r="AZ472" s="966" t="str">
        <f t="shared" si="396"/>
        <v>-</v>
      </c>
      <c r="BA472" s="971" t="str">
        <f t="shared" si="397"/>
        <v>-</v>
      </c>
      <c r="BB472" s="975"/>
      <c r="BC472" s="821"/>
      <c r="BD472" s="821"/>
      <c r="BE472" s="963" t="str">
        <f t="shared" si="398"/>
        <v>-</v>
      </c>
      <c r="BF472" s="984"/>
      <c r="BG472" s="988"/>
      <c r="BH472" s="982"/>
      <c r="BI472" s="991"/>
      <c r="BJ472" s="991"/>
      <c r="BK472" s="993" t="str">
        <f t="shared" si="399"/>
        <v>-</v>
      </c>
      <c r="BL472" s="820">
        <v>42982</v>
      </c>
      <c r="BM472" s="821">
        <v>5</v>
      </c>
      <c r="BN472" s="822">
        <f t="shared" ca="1" si="400"/>
        <v>152</v>
      </c>
      <c r="BO472" s="823">
        <f t="shared" si="401"/>
        <v>25.3</v>
      </c>
      <c r="BP472" s="824">
        <v>43001</v>
      </c>
      <c r="BQ472" s="821">
        <v>2</v>
      </c>
      <c r="BR472" s="822">
        <f t="shared" ca="1" si="402"/>
        <v>133</v>
      </c>
      <c r="BS472" s="823">
        <f t="shared" si="403"/>
        <v>1.1666666666666667</v>
      </c>
      <c r="BT472" s="825" t="str">
        <f t="shared" ca="1" si="404"/>
        <v>-</v>
      </c>
      <c r="BU472" s="826"/>
      <c r="BV472" s="827"/>
      <c r="BW472" s="828" t="str">
        <f t="shared" si="405"/>
        <v>Ж-Е НЕ ВАКЦ.</v>
      </c>
      <c r="BX472" s="829" t="str">
        <f t="shared" si="406"/>
        <v>-</v>
      </c>
      <c r="BY472" s="830" t="str">
        <f t="shared" ca="1" si="407"/>
        <v>-</v>
      </c>
      <c r="BZ472" s="831">
        <v>43011</v>
      </c>
      <c r="CA472" s="832">
        <v>5</v>
      </c>
      <c r="CB472" s="833">
        <f t="shared" ca="1" si="408"/>
        <v>123</v>
      </c>
      <c r="CC472" s="834" t="str">
        <f t="shared" ca="1" si="409"/>
        <v>-</v>
      </c>
      <c r="CD472" s="835">
        <f t="shared" si="410"/>
        <v>43032</v>
      </c>
      <c r="CE472" s="831">
        <v>43033</v>
      </c>
      <c r="CF472" s="832">
        <v>5</v>
      </c>
      <c r="CG472" s="833">
        <f t="shared" ca="1" si="411"/>
        <v>101</v>
      </c>
      <c r="CH472" s="836">
        <f t="shared" si="412"/>
        <v>-1</v>
      </c>
      <c r="CI472" s="837" t="str">
        <f t="shared" si="413"/>
        <v>-</v>
      </c>
      <c r="CJ472" s="838" t="str">
        <f t="shared" ca="1" si="414"/>
        <v>-</v>
      </c>
      <c r="CK472" s="831"/>
      <c r="CL472" s="832"/>
      <c r="CM472" s="833" t="str">
        <f t="shared" si="415"/>
        <v>-</v>
      </c>
      <c r="CN472" s="834" t="str">
        <f t="shared" si="416"/>
        <v>-</v>
      </c>
      <c r="CO472" s="830" t="str">
        <f t="shared" ca="1" si="417"/>
        <v>-</v>
      </c>
      <c r="CP472" s="831">
        <v>42890</v>
      </c>
      <c r="CQ472" s="832">
        <v>2</v>
      </c>
      <c r="CR472" s="833">
        <f t="shared" si="418"/>
        <v>42890</v>
      </c>
      <c r="CS472" s="833">
        <f t="shared" ca="1" si="419"/>
        <v>244</v>
      </c>
      <c r="CT472" s="834" t="str">
        <f t="shared" ca="1" si="420"/>
        <v>-</v>
      </c>
      <c r="CU472" s="835">
        <f t="shared" si="421"/>
        <v>42911</v>
      </c>
      <c r="CV472" s="831">
        <v>42911</v>
      </c>
      <c r="CW472" s="832">
        <v>2</v>
      </c>
      <c r="CX472" s="833">
        <f t="shared" si="422"/>
        <v>0</v>
      </c>
      <c r="CY472" s="840" t="str">
        <f t="shared" si="423"/>
        <v>УСПЕШНО</v>
      </c>
      <c r="CZ472" s="833">
        <f t="shared" si="424"/>
        <v>42911</v>
      </c>
      <c r="DA472" s="838" t="str">
        <f t="shared" ca="1" si="425"/>
        <v>-</v>
      </c>
      <c r="DB472" s="841"/>
      <c r="DC472" s="832"/>
    </row>
    <row r="473" spans="1:107" s="842" customFormat="1" ht="15.95" customHeight="1" x14ac:dyDescent="0.25">
      <c r="A473" s="790">
        <v>475</v>
      </c>
      <c r="B473" s="791">
        <f t="shared" ca="1" si="374"/>
        <v>43134</v>
      </c>
      <c r="C473" s="847" t="s">
        <v>2404</v>
      </c>
      <c r="D473" s="59" t="s">
        <v>1456</v>
      </c>
      <c r="E473" s="794" t="s">
        <v>2802</v>
      </c>
      <c r="F473" s="795" t="s">
        <v>2083</v>
      </c>
      <c r="G473" s="796">
        <f>SUMIFS(МОЛОКО!L8:L6958,МОЛОКО!F8:F6958,"2725",МОЛОКО!L8:L6958,"&gt;0")</f>
        <v>0</v>
      </c>
      <c r="H473" s="797" t="s">
        <v>603</v>
      </c>
      <c r="I473" s="798">
        <v>42298</v>
      </c>
      <c r="J473" s="799">
        <f t="shared" ca="1" si="375"/>
        <v>2.2904109589041095</v>
      </c>
      <c r="K473" s="799">
        <f t="shared" ca="1" si="376"/>
        <v>27.866666666666667</v>
      </c>
      <c r="L473" s="800">
        <f t="shared" ca="1" si="377"/>
        <v>836</v>
      </c>
      <c r="M473" s="801">
        <v>43039</v>
      </c>
      <c r="N473" s="802">
        <v>43039</v>
      </c>
      <c r="O473" s="803">
        <f t="shared" ca="1" si="378"/>
        <v>95</v>
      </c>
      <c r="P473" s="804">
        <v>1</v>
      </c>
      <c r="Q473" s="805"/>
      <c r="R473" s="806"/>
      <c r="S473" s="807"/>
      <c r="T473" s="798"/>
      <c r="U473" s="798" t="str">
        <f t="shared" si="379"/>
        <v>-</v>
      </c>
      <c r="V473" s="804" t="str">
        <f t="shared" ca="1" si="380"/>
        <v>-</v>
      </c>
      <c r="W473" s="808">
        <v>0</v>
      </c>
      <c r="X473" s="794" t="str">
        <f t="shared" si="373"/>
        <v>-</v>
      </c>
      <c r="Y473" s="794">
        <v>0</v>
      </c>
      <c r="Z473" s="809" t="str">
        <f t="shared" ca="1" si="381"/>
        <v>-----</v>
      </c>
      <c r="AA473" s="810">
        <f t="shared" ca="1" si="382"/>
        <v>43134</v>
      </c>
      <c r="AB473" s="804"/>
      <c r="AC473" s="811" t="str">
        <f t="shared" ca="1" si="383"/>
        <v>-----</v>
      </c>
      <c r="AD473" s="798"/>
      <c r="AE473" s="794" t="str">
        <f t="shared" ca="1" si="384"/>
        <v>-</v>
      </c>
      <c r="AF473" s="798" t="str">
        <f t="shared" si="385"/>
        <v>-</v>
      </c>
      <c r="AG473" s="812" t="str">
        <f t="shared" si="386"/>
        <v>---------</v>
      </c>
      <c r="AH473" s="807"/>
      <c r="AI473" s="807" t="str">
        <f t="shared" si="387"/>
        <v>-</v>
      </c>
      <c r="AJ473" s="807" t="str">
        <f t="shared" si="388"/>
        <v>-</v>
      </c>
      <c r="AK473" s="813"/>
      <c r="AL473" s="807" t="str">
        <f t="shared" si="389"/>
        <v>-</v>
      </c>
      <c r="AM473" s="807" t="str">
        <f t="shared" si="390"/>
        <v>-</v>
      </c>
      <c r="AN473" s="814" t="str">
        <f t="shared" ca="1" si="391"/>
        <v>-</v>
      </c>
      <c r="AO473" s="815">
        <v>1</v>
      </c>
      <c r="AP473" s="816" t="str">
        <f t="shared" ca="1" si="392"/>
        <v>-</v>
      </c>
      <c r="AQ473" s="817"/>
      <c r="AR473" s="794" t="str">
        <f t="shared" si="393"/>
        <v>-</v>
      </c>
      <c r="AS473" s="818"/>
      <c r="AT473" s="794" t="str">
        <f t="shared" si="394"/>
        <v>-</v>
      </c>
      <c r="AU473" s="819"/>
      <c r="AV473" s="820"/>
      <c r="AW473" s="821"/>
      <c r="AX473" s="821"/>
      <c r="AY473" s="969" t="str">
        <f t="shared" si="395"/>
        <v>-</v>
      </c>
      <c r="AZ473" s="966" t="str">
        <f t="shared" si="396"/>
        <v>-</v>
      </c>
      <c r="BA473" s="971" t="str">
        <f t="shared" si="397"/>
        <v>-</v>
      </c>
      <c r="BB473" s="975"/>
      <c r="BC473" s="821"/>
      <c r="BD473" s="821"/>
      <c r="BE473" s="963" t="str">
        <f t="shared" si="398"/>
        <v>-</v>
      </c>
      <c r="BF473" s="984"/>
      <c r="BG473" s="988"/>
      <c r="BH473" s="982"/>
      <c r="BI473" s="991"/>
      <c r="BJ473" s="991"/>
      <c r="BK473" s="993" t="str">
        <f t="shared" si="399"/>
        <v>-</v>
      </c>
      <c r="BL473" s="820">
        <v>42978</v>
      </c>
      <c r="BM473" s="821">
        <v>5</v>
      </c>
      <c r="BN473" s="822">
        <f t="shared" ca="1" si="400"/>
        <v>156</v>
      </c>
      <c r="BO473" s="823">
        <f t="shared" si="401"/>
        <v>22.666666666666668</v>
      </c>
      <c r="BP473" s="824"/>
      <c r="BQ473" s="821"/>
      <c r="BR473" s="822" t="str">
        <f t="shared" si="402"/>
        <v>-</v>
      </c>
      <c r="BS473" s="823" t="str">
        <f t="shared" si="403"/>
        <v>-</v>
      </c>
      <c r="BT473" s="825" t="str">
        <f t="shared" ca="1" si="404"/>
        <v>-</v>
      </c>
      <c r="BU473" s="826"/>
      <c r="BV473" s="827"/>
      <c r="BW473" s="828" t="str">
        <f t="shared" si="405"/>
        <v>Ж-Е НЕ ВАКЦ.</v>
      </c>
      <c r="BX473" s="829" t="str">
        <f t="shared" si="406"/>
        <v>-</v>
      </c>
      <c r="BY473" s="830" t="str">
        <f t="shared" ca="1" si="407"/>
        <v>-</v>
      </c>
      <c r="BZ473" s="831">
        <v>42894</v>
      </c>
      <c r="CA473" s="832">
        <v>5</v>
      </c>
      <c r="CB473" s="833">
        <f t="shared" ca="1" si="408"/>
        <v>240</v>
      </c>
      <c r="CC473" s="834" t="str">
        <f t="shared" ca="1" si="409"/>
        <v>-</v>
      </c>
      <c r="CD473" s="835">
        <f t="shared" si="410"/>
        <v>42915</v>
      </c>
      <c r="CE473" s="831">
        <v>42915</v>
      </c>
      <c r="CF473" s="832">
        <v>5</v>
      </c>
      <c r="CG473" s="833">
        <f t="shared" ca="1" si="411"/>
        <v>219</v>
      </c>
      <c r="CH473" s="836">
        <f t="shared" si="412"/>
        <v>0</v>
      </c>
      <c r="CI473" s="837" t="str">
        <f t="shared" si="413"/>
        <v>УСПЕШНО</v>
      </c>
      <c r="CJ473" s="838" t="str">
        <f t="shared" ca="1" si="414"/>
        <v>-</v>
      </c>
      <c r="CK473" s="831"/>
      <c r="CL473" s="832"/>
      <c r="CM473" s="833" t="str">
        <f t="shared" si="415"/>
        <v>-</v>
      </c>
      <c r="CN473" s="834" t="str">
        <f t="shared" si="416"/>
        <v>-</v>
      </c>
      <c r="CO473" s="830" t="str">
        <f t="shared" ca="1" si="417"/>
        <v>-</v>
      </c>
      <c r="CP473" s="831">
        <v>42958</v>
      </c>
      <c r="CQ473" s="832">
        <v>2</v>
      </c>
      <c r="CR473" s="833">
        <f t="shared" si="418"/>
        <v>42958</v>
      </c>
      <c r="CS473" s="833">
        <f t="shared" ca="1" si="419"/>
        <v>176</v>
      </c>
      <c r="CT473" s="834" t="str">
        <f t="shared" ca="1" si="420"/>
        <v>-</v>
      </c>
      <c r="CU473" s="835">
        <f t="shared" si="421"/>
        <v>42979</v>
      </c>
      <c r="CV473" s="831">
        <v>42980</v>
      </c>
      <c r="CW473" s="832">
        <v>2</v>
      </c>
      <c r="CX473" s="833">
        <f t="shared" si="422"/>
        <v>1</v>
      </c>
      <c r="CY473" s="840" t="str">
        <f t="shared" si="423"/>
        <v>-</v>
      </c>
      <c r="CZ473" s="833">
        <f t="shared" si="424"/>
        <v>42980</v>
      </c>
      <c r="DA473" s="838" t="str">
        <f t="shared" ca="1" si="425"/>
        <v>-</v>
      </c>
      <c r="DB473" s="841"/>
      <c r="DC473" s="832"/>
    </row>
    <row r="474" spans="1:107" s="842" customFormat="1" ht="15.95" customHeight="1" x14ac:dyDescent="0.25">
      <c r="A474" s="790">
        <v>476</v>
      </c>
      <c r="B474" s="791">
        <f t="shared" ca="1" si="374"/>
        <v>43134</v>
      </c>
      <c r="C474" s="271" t="s">
        <v>2404</v>
      </c>
      <c r="D474" s="59" t="s">
        <v>1456</v>
      </c>
      <c r="E474" s="794" t="s">
        <v>2806</v>
      </c>
      <c r="F474" s="795" t="s">
        <v>2090</v>
      </c>
      <c r="G474" s="796">
        <f>SUMIFS(МОЛОКО!L8:L6958,МОЛОКО!F8:F6958,"2747",МОЛОКО!L8:L6958,"&gt;0")</f>
        <v>0</v>
      </c>
      <c r="H474" s="797" t="s">
        <v>603</v>
      </c>
      <c r="I474" s="798">
        <v>42334</v>
      </c>
      <c r="J474" s="799">
        <f t="shared" ca="1" si="375"/>
        <v>2.1917808219178081</v>
      </c>
      <c r="K474" s="799">
        <f t="shared" ca="1" si="376"/>
        <v>26.666666666666668</v>
      </c>
      <c r="L474" s="800">
        <f t="shared" ca="1" si="377"/>
        <v>800</v>
      </c>
      <c r="M474" s="801">
        <v>43046</v>
      </c>
      <c r="N474" s="802">
        <v>43046</v>
      </c>
      <c r="O474" s="803">
        <f t="shared" ca="1" si="378"/>
        <v>88</v>
      </c>
      <c r="P474" s="804">
        <v>1</v>
      </c>
      <c r="Q474" s="805"/>
      <c r="R474" s="806"/>
      <c r="S474" s="807"/>
      <c r="T474" s="798"/>
      <c r="U474" s="798" t="str">
        <f t="shared" si="379"/>
        <v>-</v>
      </c>
      <c r="V474" s="804" t="str">
        <f t="shared" ca="1" si="380"/>
        <v>-</v>
      </c>
      <c r="W474" s="808">
        <v>0</v>
      </c>
      <c r="X474" s="794" t="str">
        <f t="shared" si="373"/>
        <v>-</v>
      </c>
      <c r="Y474" s="794">
        <v>0</v>
      </c>
      <c r="Z474" s="809" t="str">
        <f t="shared" ca="1" si="381"/>
        <v>-----</v>
      </c>
      <c r="AA474" s="810">
        <f t="shared" ca="1" si="382"/>
        <v>43134</v>
      </c>
      <c r="AB474" s="804"/>
      <c r="AC474" s="811" t="str">
        <f t="shared" ca="1" si="383"/>
        <v>-----</v>
      </c>
      <c r="AD474" s="798"/>
      <c r="AE474" s="794" t="str">
        <f t="shared" ca="1" si="384"/>
        <v>-</v>
      </c>
      <c r="AF474" s="798" t="str">
        <f t="shared" si="385"/>
        <v>-</v>
      </c>
      <c r="AG474" s="812" t="str">
        <f t="shared" si="386"/>
        <v>---------</v>
      </c>
      <c r="AH474" s="807"/>
      <c r="AI474" s="807" t="str">
        <f t="shared" si="387"/>
        <v>-</v>
      </c>
      <c r="AJ474" s="807" t="str">
        <f t="shared" si="388"/>
        <v>-</v>
      </c>
      <c r="AK474" s="813"/>
      <c r="AL474" s="807" t="str">
        <f t="shared" si="389"/>
        <v>-</v>
      </c>
      <c r="AM474" s="807" t="str">
        <f t="shared" si="390"/>
        <v>-</v>
      </c>
      <c r="AN474" s="814" t="str">
        <f t="shared" ca="1" si="391"/>
        <v>-</v>
      </c>
      <c r="AO474" s="815">
        <v>1</v>
      </c>
      <c r="AP474" s="816" t="str">
        <f t="shared" ca="1" si="392"/>
        <v>-</v>
      </c>
      <c r="AQ474" s="817"/>
      <c r="AR474" s="794" t="str">
        <f t="shared" si="393"/>
        <v>-</v>
      </c>
      <c r="AS474" s="818"/>
      <c r="AT474" s="794" t="str">
        <f t="shared" si="394"/>
        <v>-</v>
      </c>
      <c r="AU474" s="819"/>
      <c r="AV474" s="820"/>
      <c r="AW474" s="821"/>
      <c r="AX474" s="821"/>
      <c r="AY474" s="969" t="str">
        <f t="shared" si="395"/>
        <v>-</v>
      </c>
      <c r="AZ474" s="966" t="str">
        <f t="shared" si="396"/>
        <v>-</v>
      </c>
      <c r="BA474" s="971" t="str">
        <f t="shared" si="397"/>
        <v>-</v>
      </c>
      <c r="BB474" s="975"/>
      <c r="BC474" s="821"/>
      <c r="BD474" s="821"/>
      <c r="BE474" s="963" t="str">
        <f t="shared" si="398"/>
        <v>-</v>
      </c>
      <c r="BF474" s="984"/>
      <c r="BG474" s="988"/>
      <c r="BH474" s="982"/>
      <c r="BI474" s="991"/>
      <c r="BJ474" s="991"/>
      <c r="BK474" s="993" t="str">
        <f t="shared" si="399"/>
        <v>-</v>
      </c>
      <c r="BL474" s="820">
        <v>42978</v>
      </c>
      <c r="BM474" s="821">
        <v>5</v>
      </c>
      <c r="BN474" s="822">
        <f t="shared" ca="1" si="400"/>
        <v>156</v>
      </c>
      <c r="BO474" s="823">
        <f t="shared" si="401"/>
        <v>21.466666666666665</v>
      </c>
      <c r="BP474" s="824"/>
      <c r="BQ474" s="821"/>
      <c r="BR474" s="822" t="str">
        <f t="shared" si="402"/>
        <v>-</v>
      </c>
      <c r="BS474" s="823" t="str">
        <f t="shared" si="403"/>
        <v>-</v>
      </c>
      <c r="BT474" s="825" t="str">
        <f t="shared" ca="1" si="404"/>
        <v>-</v>
      </c>
      <c r="BU474" s="826"/>
      <c r="BV474" s="827"/>
      <c r="BW474" s="828" t="str">
        <f t="shared" si="405"/>
        <v>Ж-Е НЕ ВАКЦ.</v>
      </c>
      <c r="BX474" s="829" t="str">
        <f t="shared" si="406"/>
        <v>-</v>
      </c>
      <c r="BY474" s="830" t="str">
        <f t="shared" ca="1" si="407"/>
        <v>-</v>
      </c>
      <c r="BZ474" s="831">
        <v>42894</v>
      </c>
      <c r="CA474" s="832">
        <v>5</v>
      </c>
      <c r="CB474" s="833">
        <f t="shared" ca="1" si="408"/>
        <v>240</v>
      </c>
      <c r="CC474" s="834" t="str">
        <f t="shared" ca="1" si="409"/>
        <v>-</v>
      </c>
      <c r="CD474" s="835">
        <f t="shared" si="410"/>
        <v>42915</v>
      </c>
      <c r="CE474" s="831">
        <v>42915</v>
      </c>
      <c r="CF474" s="832">
        <v>5</v>
      </c>
      <c r="CG474" s="833">
        <f t="shared" ca="1" si="411"/>
        <v>219</v>
      </c>
      <c r="CH474" s="836">
        <f t="shared" si="412"/>
        <v>0</v>
      </c>
      <c r="CI474" s="837" t="str">
        <f t="shared" si="413"/>
        <v>УСПЕШНО</v>
      </c>
      <c r="CJ474" s="838" t="str">
        <f t="shared" ca="1" si="414"/>
        <v>-</v>
      </c>
      <c r="CK474" s="831"/>
      <c r="CL474" s="832"/>
      <c r="CM474" s="833" t="str">
        <f t="shared" si="415"/>
        <v>-</v>
      </c>
      <c r="CN474" s="834" t="str">
        <f t="shared" si="416"/>
        <v>-</v>
      </c>
      <c r="CO474" s="830" t="str">
        <f t="shared" ca="1" si="417"/>
        <v>-</v>
      </c>
      <c r="CP474" s="831">
        <v>42958</v>
      </c>
      <c r="CQ474" s="832">
        <v>2</v>
      </c>
      <c r="CR474" s="833">
        <f t="shared" si="418"/>
        <v>42958</v>
      </c>
      <c r="CS474" s="833">
        <f t="shared" ca="1" si="419"/>
        <v>176</v>
      </c>
      <c r="CT474" s="834" t="str">
        <f t="shared" ca="1" si="420"/>
        <v>-</v>
      </c>
      <c r="CU474" s="835">
        <f t="shared" si="421"/>
        <v>42979</v>
      </c>
      <c r="CV474" s="831">
        <v>42980</v>
      </c>
      <c r="CW474" s="832">
        <v>2</v>
      </c>
      <c r="CX474" s="833">
        <f t="shared" si="422"/>
        <v>1</v>
      </c>
      <c r="CY474" s="840" t="str">
        <f t="shared" si="423"/>
        <v>-</v>
      </c>
      <c r="CZ474" s="833">
        <f t="shared" si="424"/>
        <v>42980</v>
      </c>
      <c r="DA474" s="838" t="str">
        <f t="shared" ca="1" si="425"/>
        <v>-</v>
      </c>
      <c r="DB474" s="841"/>
      <c r="DC474" s="832"/>
    </row>
    <row r="475" spans="1:107" s="842" customFormat="1" ht="15.95" customHeight="1" x14ac:dyDescent="0.25">
      <c r="A475" s="790">
        <v>477</v>
      </c>
      <c r="B475" s="791">
        <f t="shared" ca="1" si="374"/>
        <v>43134</v>
      </c>
      <c r="C475" s="792" t="s">
        <v>2404</v>
      </c>
      <c r="D475" s="59" t="s">
        <v>1456</v>
      </c>
      <c r="E475" s="794" t="s">
        <v>810</v>
      </c>
      <c r="F475" s="853" t="s">
        <v>2094</v>
      </c>
      <c r="G475" s="796">
        <f>SUMIFS(МОЛОКО!L8:L6958,МОЛОКО!F8:F6958,"2755",МОЛОКО!L8:L6958,"&gt;0")</f>
        <v>0</v>
      </c>
      <c r="H475" s="797" t="s">
        <v>603</v>
      </c>
      <c r="I475" s="798">
        <v>42341</v>
      </c>
      <c r="J475" s="799">
        <f t="shared" ca="1" si="375"/>
        <v>2.1726027397260275</v>
      </c>
      <c r="K475" s="799">
        <f t="shared" ca="1" si="376"/>
        <v>26.433333333333334</v>
      </c>
      <c r="L475" s="800">
        <f t="shared" ca="1" si="377"/>
        <v>793</v>
      </c>
      <c r="M475" s="801">
        <v>43052</v>
      </c>
      <c r="N475" s="802">
        <v>43052</v>
      </c>
      <c r="O475" s="803">
        <f t="shared" ca="1" si="378"/>
        <v>82</v>
      </c>
      <c r="P475" s="804">
        <v>1</v>
      </c>
      <c r="Q475" s="805"/>
      <c r="R475" s="806"/>
      <c r="S475" s="807"/>
      <c r="T475" s="798"/>
      <c r="U475" s="798" t="str">
        <f t="shared" si="379"/>
        <v>-</v>
      </c>
      <c r="V475" s="804" t="str">
        <f t="shared" ca="1" si="380"/>
        <v>-</v>
      </c>
      <c r="W475" s="808">
        <v>0</v>
      </c>
      <c r="X475" s="794" t="str">
        <f t="shared" si="373"/>
        <v>-</v>
      </c>
      <c r="Y475" s="794">
        <v>0</v>
      </c>
      <c r="Z475" s="809" t="str">
        <f t="shared" ca="1" si="381"/>
        <v>-----</v>
      </c>
      <c r="AA475" s="810">
        <f t="shared" ca="1" si="382"/>
        <v>43134</v>
      </c>
      <c r="AB475" s="804"/>
      <c r="AC475" s="811" t="str">
        <f t="shared" ca="1" si="383"/>
        <v>-----</v>
      </c>
      <c r="AD475" s="798"/>
      <c r="AE475" s="794" t="str">
        <f t="shared" ca="1" si="384"/>
        <v>-</v>
      </c>
      <c r="AF475" s="798" t="str">
        <f t="shared" si="385"/>
        <v>-</v>
      </c>
      <c r="AG475" s="812" t="str">
        <f t="shared" si="386"/>
        <v>---------</v>
      </c>
      <c r="AH475" s="807"/>
      <c r="AI475" s="807" t="str">
        <f t="shared" si="387"/>
        <v>-</v>
      </c>
      <c r="AJ475" s="807" t="str">
        <f t="shared" si="388"/>
        <v>-</v>
      </c>
      <c r="AK475" s="813"/>
      <c r="AL475" s="807" t="str">
        <f t="shared" si="389"/>
        <v>-</v>
      </c>
      <c r="AM475" s="807" t="str">
        <f t="shared" si="390"/>
        <v>-</v>
      </c>
      <c r="AN475" s="814" t="str">
        <f t="shared" ca="1" si="391"/>
        <v>-</v>
      </c>
      <c r="AO475" s="815">
        <v>1</v>
      </c>
      <c r="AP475" s="816" t="str">
        <f t="shared" ca="1" si="392"/>
        <v>-</v>
      </c>
      <c r="AQ475" s="817"/>
      <c r="AR475" s="794" t="str">
        <f t="shared" si="393"/>
        <v>-</v>
      </c>
      <c r="AS475" s="818"/>
      <c r="AT475" s="794" t="str">
        <f t="shared" si="394"/>
        <v>-</v>
      </c>
      <c r="AU475" s="819">
        <v>1</v>
      </c>
      <c r="AV475" s="820"/>
      <c r="AW475" s="821"/>
      <c r="AX475" s="821"/>
      <c r="AY475" s="969" t="str">
        <f t="shared" si="395"/>
        <v>-</v>
      </c>
      <c r="AZ475" s="966" t="str">
        <f t="shared" si="396"/>
        <v>-</v>
      </c>
      <c r="BA475" s="971" t="str">
        <f t="shared" si="397"/>
        <v>-</v>
      </c>
      <c r="BB475" s="975"/>
      <c r="BC475" s="821"/>
      <c r="BD475" s="821"/>
      <c r="BE475" s="963" t="str">
        <f t="shared" si="398"/>
        <v>-</v>
      </c>
      <c r="BF475" s="984"/>
      <c r="BG475" s="988"/>
      <c r="BH475" s="982"/>
      <c r="BI475" s="991"/>
      <c r="BJ475" s="991"/>
      <c r="BK475" s="993" t="str">
        <f t="shared" si="399"/>
        <v>-</v>
      </c>
      <c r="BL475" s="820">
        <v>42982</v>
      </c>
      <c r="BM475" s="821">
        <v>5</v>
      </c>
      <c r="BN475" s="822">
        <f t="shared" ca="1" si="400"/>
        <v>152</v>
      </c>
      <c r="BO475" s="823">
        <f t="shared" si="401"/>
        <v>21.366666666666667</v>
      </c>
      <c r="BP475" s="824"/>
      <c r="BQ475" s="821"/>
      <c r="BR475" s="822" t="str">
        <f t="shared" si="402"/>
        <v>-</v>
      </c>
      <c r="BS475" s="823" t="str">
        <f t="shared" si="403"/>
        <v>-</v>
      </c>
      <c r="BT475" s="825" t="str">
        <f t="shared" ca="1" si="404"/>
        <v>-</v>
      </c>
      <c r="BU475" s="826"/>
      <c r="BV475" s="827"/>
      <c r="BW475" s="828" t="str">
        <f t="shared" si="405"/>
        <v>Ж-Е НЕ ВАКЦ.</v>
      </c>
      <c r="BX475" s="829" t="str">
        <f t="shared" si="406"/>
        <v>-</v>
      </c>
      <c r="BY475" s="830" t="str">
        <f t="shared" ca="1" si="407"/>
        <v>-</v>
      </c>
      <c r="BZ475" s="831">
        <v>42904</v>
      </c>
      <c r="CA475" s="832">
        <v>5</v>
      </c>
      <c r="CB475" s="833">
        <f t="shared" ca="1" si="408"/>
        <v>230</v>
      </c>
      <c r="CC475" s="834" t="str">
        <f t="shared" ca="1" si="409"/>
        <v>-</v>
      </c>
      <c r="CD475" s="835">
        <f t="shared" si="410"/>
        <v>42925</v>
      </c>
      <c r="CE475" s="831">
        <v>42925</v>
      </c>
      <c r="CF475" s="832">
        <v>5</v>
      </c>
      <c r="CG475" s="833">
        <f t="shared" ca="1" si="411"/>
        <v>209</v>
      </c>
      <c r="CH475" s="836">
        <f t="shared" si="412"/>
        <v>0</v>
      </c>
      <c r="CI475" s="837" t="str">
        <f t="shared" si="413"/>
        <v>УСПЕШНО</v>
      </c>
      <c r="CJ475" s="838" t="str">
        <f t="shared" ca="1" si="414"/>
        <v>-</v>
      </c>
      <c r="CK475" s="831"/>
      <c r="CL475" s="832"/>
      <c r="CM475" s="833" t="str">
        <f t="shared" si="415"/>
        <v>-</v>
      </c>
      <c r="CN475" s="834" t="str">
        <f t="shared" si="416"/>
        <v>-</v>
      </c>
      <c r="CO475" s="830" t="str">
        <f t="shared" ca="1" si="417"/>
        <v>-</v>
      </c>
      <c r="CP475" s="831">
        <v>42990</v>
      </c>
      <c r="CQ475" s="832">
        <v>2</v>
      </c>
      <c r="CR475" s="833">
        <f t="shared" si="418"/>
        <v>42990</v>
      </c>
      <c r="CS475" s="833">
        <f t="shared" ca="1" si="419"/>
        <v>144</v>
      </c>
      <c r="CT475" s="834" t="str">
        <f t="shared" ca="1" si="420"/>
        <v>-</v>
      </c>
      <c r="CU475" s="835">
        <f t="shared" si="421"/>
        <v>43011</v>
      </c>
      <c r="CV475" s="831">
        <v>43012</v>
      </c>
      <c r="CW475" s="832">
        <v>2</v>
      </c>
      <c r="CX475" s="833">
        <f t="shared" si="422"/>
        <v>1</v>
      </c>
      <c r="CY475" s="840" t="str">
        <f t="shared" si="423"/>
        <v>-</v>
      </c>
      <c r="CZ475" s="833">
        <f t="shared" si="424"/>
        <v>43012</v>
      </c>
      <c r="DA475" s="838" t="str">
        <f t="shared" ca="1" si="425"/>
        <v>-</v>
      </c>
      <c r="DB475" s="841"/>
      <c r="DC475" s="832"/>
    </row>
    <row r="476" spans="1:107" s="842" customFormat="1" ht="15.95" customHeight="1" x14ac:dyDescent="0.25">
      <c r="A476" s="790">
        <v>478</v>
      </c>
      <c r="B476" s="791">
        <f t="shared" ca="1" si="374"/>
        <v>43134</v>
      </c>
      <c r="C476" s="271" t="s">
        <v>2404</v>
      </c>
      <c r="D476" s="59" t="s">
        <v>1456</v>
      </c>
      <c r="E476" s="794" t="s">
        <v>2811</v>
      </c>
      <c r="F476" s="795" t="s">
        <v>2107</v>
      </c>
      <c r="G476" s="796">
        <f>SUMIFS(МОЛОКО!L8:L6958,МОЛОКО!F8:F6958,"2779",МОЛОКО!L8:L6958,"&gt;0")</f>
        <v>0</v>
      </c>
      <c r="H476" s="797" t="s">
        <v>603</v>
      </c>
      <c r="I476" s="798">
        <v>42354</v>
      </c>
      <c r="J476" s="799">
        <f t="shared" ca="1" si="375"/>
        <v>2.1369863013698631</v>
      </c>
      <c r="K476" s="799">
        <f t="shared" ca="1" si="376"/>
        <v>26</v>
      </c>
      <c r="L476" s="800">
        <f t="shared" ca="1" si="377"/>
        <v>780</v>
      </c>
      <c r="M476" s="801">
        <v>43040</v>
      </c>
      <c r="N476" s="802">
        <v>43040</v>
      </c>
      <c r="O476" s="803">
        <f t="shared" ca="1" si="378"/>
        <v>94</v>
      </c>
      <c r="P476" s="804">
        <v>1</v>
      </c>
      <c r="Q476" s="805"/>
      <c r="R476" s="806"/>
      <c r="S476" s="807"/>
      <c r="T476" s="798"/>
      <c r="U476" s="798" t="str">
        <f t="shared" si="379"/>
        <v>-</v>
      </c>
      <c r="V476" s="804" t="str">
        <f t="shared" ca="1" si="380"/>
        <v>-</v>
      </c>
      <c r="W476" s="808">
        <v>0</v>
      </c>
      <c r="X476" s="794" t="str">
        <f t="shared" si="373"/>
        <v>-</v>
      </c>
      <c r="Y476" s="794">
        <v>0</v>
      </c>
      <c r="Z476" s="809" t="str">
        <f t="shared" ca="1" si="381"/>
        <v>-----</v>
      </c>
      <c r="AA476" s="810">
        <f t="shared" ca="1" si="382"/>
        <v>43134</v>
      </c>
      <c r="AB476" s="804"/>
      <c r="AC476" s="811" t="str">
        <f t="shared" ca="1" si="383"/>
        <v>-----</v>
      </c>
      <c r="AD476" s="798"/>
      <c r="AE476" s="794" t="str">
        <f t="shared" ca="1" si="384"/>
        <v>-</v>
      </c>
      <c r="AF476" s="798" t="str">
        <f t="shared" si="385"/>
        <v>-</v>
      </c>
      <c r="AG476" s="812" t="str">
        <f t="shared" si="386"/>
        <v>---------</v>
      </c>
      <c r="AH476" s="807"/>
      <c r="AI476" s="807" t="str">
        <f t="shared" si="387"/>
        <v>-</v>
      </c>
      <c r="AJ476" s="807" t="str">
        <f t="shared" si="388"/>
        <v>-</v>
      </c>
      <c r="AK476" s="813"/>
      <c r="AL476" s="807" t="str">
        <f t="shared" si="389"/>
        <v>-</v>
      </c>
      <c r="AM476" s="807" t="str">
        <f t="shared" si="390"/>
        <v>-</v>
      </c>
      <c r="AN476" s="814" t="str">
        <f t="shared" ca="1" si="391"/>
        <v>-</v>
      </c>
      <c r="AO476" s="815">
        <v>1</v>
      </c>
      <c r="AP476" s="816" t="str">
        <f t="shared" ca="1" si="392"/>
        <v>-</v>
      </c>
      <c r="AQ476" s="817"/>
      <c r="AR476" s="794" t="str">
        <f t="shared" si="393"/>
        <v>-</v>
      </c>
      <c r="AS476" s="818"/>
      <c r="AT476" s="794" t="str">
        <f t="shared" si="394"/>
        <v>-</v>
      </c>
      <c r="AU476" s="819"/>
      <c r="AV476" s="820"/>
      <c r="AW476" s="821"/>
      <c r="AX476" s="821"/>
      <c r="AY476" s="969" t="str">
        <f t="shared" si="395"/>
        <v>-</v>
      </c>
      <c r="AZ476" s="966" t="str">
        <f t="shared" si="396"/>
        <v>-</v>
      </c>
      <c r="BA476" s="971" t="str">
        <f t="shared" si="397"/>
        <v>-</v>
      </c>
      <c r="BB476" s="975"/>
      <c r="BC476" s="821"/>
      <c r="BD476" s="821"/>
      <c r="BE476" s="963" t="str">
        <f t="shared" si="398"/>
        <v>-</v>
      </c>
      <c r="BF476" s="984"/>
      <c r="BG476" s="988"/>
      <c r="BH476" s="982"/>
      <c r="BI476" s="991"/>
      <c r="BJ476" s="991"/>
      <c r="BK476" s="993" t="str">
        <f t="shared" si="399"/>
        <v>-</v>
      </c>
      <c r="BL476" s="820">
        <v>42978</v>
      </c>
      <c r="BM476" s="821">
        <v>5</v>
      </c>
      <c r="BN476" s="822">
        <f t="shared" ca="1" si="400"/>
        <v>156</v>
      </c>
      <c r="BO476" s="823">
        <f t="shared" si="401"/>
        <v>20.8</v>
      </c>
      <c r="BP476" s="824"/>
      <c r="BQ476" s="821"/>
      <c r="BR476" s="822" t="str">
        <f t="shared" si="402"/>
        <v>-</v>
      </c>
      <c r="BS476" s="823" t="str">
        <f t="shared" si="403"/>
        <v>-</v>
      </c>
      <c r="BT476" s="825" t="str">
        <f t="shared" ca="1" si="404"/>
        <v>-</v>
      </c>
      <c r="BU476" s="826"/>
      <c r="BV476" s="827"/>
      <c r="BW476" s="828" t="str">
        <f t="shared" si="405"/>
        <v>Ж-Е НЕ ВАКЦ.</v>
      </c>
      <c r="BX476" s="829" t="str">
        <f t="shared" si="406"/>
        <v>-</v>
      </c>
      <c r="BY476" s="830" t="str">
        <f t="shared" ca="1" si="407"/>
        <v>-</v>
      </c>
      <c r="BZ476" s="831">
        <v>42894</v>
      </c>
      <c r="CA476" s="832">
        <v>5</v>
      </c>
      <c r="CB476" s="833">
        <f t="shared" ca="1" si="408"/>
        <v>240</v>
      </c>
      <c r="CC476" s="834" t="str">
        <f t="shared" ca="1" si="409"/>
        <v>-</v>
      </c>
      <c r="CD476" s="835">
        <f t="shared" si="410"/>
        <v>42915</v>
      </c>
      <c r="CE476" s="831">
        <v>42915</v>
      </c>
      <c r="CF476" s="832">
        <v>5</v>
      </c>
      <c r="CG476" s="833">
        <f t="shared" ca="1" si="411"/>
        <v>219</v>
      </c>
      <c r="CH476" s="836">
        <f t="shared" si="412"/>
        <v>0</v>
      </c>
      <c r="CI476" s="837" t="str">
        <f t="shared" si="413"/>
        <v>УСПЕШНО</v>
      </c>
      <c r="CJ476" s="838" t="str">
        <f t="shared" ca="1" si="414"/>
        <v>-</v>
      </c>
      <c r="CK476" s="831"/>
      <c r="CL476" s="832"/>
      <c r="CM476" s="833" t="str">
        <f t="shared" si="415"/>
        <v>-</v>
      </c>
      <c r="CN476" s="834" t="str">
        <f t="shared" si="416"/>
        <v>-</v>
      </c>
      <c r="CO476" s="830" t="str">
        <f t="shared" ca="1" si="417"/>
        <v>-</v>
      </c>
      <c r="CP476" s="831">
        <v>42958</v>
      </c>
      <c r="CQ476" s="832">
        <v>2</v>
      </c>
      <c r="CR476" s="833">
        <f t="shared" si="418"/>
        <v>42958</v>
      </c>
      <c r="CS476" s="833">
        <f t="shared" ca="1" si="419"/>
        <v>176</v>
      </c>
      <c r="CT476" s="834" t="str">
        <f t="shared" ca="1" si="420"/>
        <v>-</v>
      </c>
      <c r="CU476" s="835">
        <f t="shared" si="421"/>
        <v>42979</v>
      </c>
      <c r="CV476" s="831">
        <v>42980</v>
      </c>
      <c r="CW476" s="832">
        <v>2</v>
      </c>
      <c r="CX476" s="833">
        <f t="shared" si="422"/>
        <v>1</v>
      </c>
      <c r="CY476" s="840" t="str">
        <f t="shared" si="423"/>
        <v>-</v>
      </c>
      <c r="CZ476" s="833">
        <f t="shared" si="424"/>
        <v>42980</v>
      </c>
      <c r="DA476" s="838" t="str">
        <f t="shared" ca="1" si="425"/>
        <v>-</v>
      </c>
      <c r="DB476" s="841"/>
      <c r="DC476" s="832"/>
    </row>
    <row r="477" spans="1:107" s="842" customFormat="1" ht="15.95" customHeight="1" x14ac:dyDescent="0.25">
      <c r="A477" s="790">
        <v>479</v>
      </c>
      <c r="B477" s="791">
        <f t="shared" ca="1" si="374"/>
        <v>43134</v>
      </c>
      <c r="C477" s="847" t="s">
        <v>2404</v>
      </c>
      <c r="D477" s="59" t="s">
        <v>1456</v>
      </c>
      <c r="E477" s="794" t="s">
        <v>305</v>
      </c>
      <c r="F477" s="795" t="s">
        <v>1720</v>
      </c>
      <c r="G477" s="796">
        <f>SUMIFS(МОЛОКО!L8:L6958,МОЛОКО!F8:F6958,"2808",МОЛОКО!L8:L6958,"&gt;0")</f>
        <v>20.7</v>
      </c>
      <c r="H477" s="797" t="s">
        <v>603</v>
      </c>
      <c r="I477" s="798">
        <v>42396</v>
      </c>
      <c r="J477" s="799">
        <f t="shared" ca="1" si="375"/>
        <v>2.021917808219178</v>
      </c>
      <c r="K477" s="799">
        <f t="shared" ca="1" si="376"/>
        <v>24.6</v>
      </c>
      <c r="L477" s="800">
        <f t="shared" ca="1" si="377"/>
        <v>738</v>
      </c>
      <c r="M477" s="801">
        <v>43029</v>
      </c>
      <c r="N477" s="802">
        <v>43029</v>
      </c>
      <c r="O477" s="803">
        <f t="shared" ca="1" si="378"/>
        <v>105</v>
      </c>
      <c r="P477" s="804">
        <v>1</v>
      </c>
      <c r="Q477" s="805"/>
      <c r="R477" s="806"/>
      <c r="S477" s="807"/>
      <c r="T477" s="798"/>
      <c r="U477" s="798" t="str">
        <f t="shared" si="379"/>
        <v>-</v>
      </c>
      <c r="V477" s="804" t="str">
        <f t="shared" ca="1" si="380"/>
        <v>-</v>
      </c>
      <c r="W477" s="808">
        <v>0</v>
      </c>
      <c r="X477" s="794" t="str">
        <f t="shared" si="373"/>
        <v>-</v>
      </c>
      <c r="Y477" s="794">
        <v>0</v>
      </c>
      <c r="Z477" s="809" t="str">
        <f t="shared" ca="1" si="381"/>
        <v>-----</v>
      </c>
      <c r="AA477" s="810">
        <f t="shared" ca="1" si="382"/>
        <v>43134</v>
      </c>
      <c r="AB477" s="804"/>
      <c r="AC477" s="811" t="str">
        <f t="shared" ca="1" si="383"/>
        <v>-----</v>
      </c>
      <c r="AD477" s="798"/>
      <c r="AE477" s="794" t="str">
        <f t="shared" ca="1" si="384"/>
        <v>-</v>
      </c>
      <c r="AF477" s="798" t="str">
        <f t="shared" si="385"/>
        <v>-</v>
      </c>
      <c r="AG477" s="812" t="str">
        <f t="shared" si="386"/>
        <v>---------</v>
      </c>
      <c r="AH477" s="807"/>
      <c r="AI477" s="807" t="str">
        <f t="shared" si="387"/>
        <v>-</v>
      </c>
      <c r="AJ477" s="807" t="str">
        <f t="shared" si="388"/>
        <v>-</v>
      </c>
      <c r="AK477" s="813"/>
      <c r="AL477" s="807" t="str">
        <f t="shared" si="389"/>
        <v>-</v>
      </c>
      <c r="AM477" s="807" t="str">
        <f t="shared" si="390"/>
        <v>-</v>
      </c>
      <c r="AN477" s="814" t="str">
        <f t="shared" ca="1" si="391"/>
        <v>-</v>
      </c>
      <c r="AO477" s="815">
        <v>1</v>
      </c>
      <c r="AP477" s="816" t="str">
        <f t="shared" ca="1" si="392"/>
        <v>-</v>
      </c>
      <c r="AQ477" s="817"/>
      <c r="AR477" s="794" t="str">
        <f t="shared" si="393"/>
        <v>-</v>
      </c>
      <c r="AS477" s="818"/>
      <c r="AT477" s="794" t="str">
        <f t="shared" si="394"/>
        <v>-</v>
      </c>
      <c r="AU477" s="819"/>
      <c r="AV477" s="820"/>
      <c r="AW477" s="821"/>
      <c r="AX477" s="821"/>
      <c r="AY477" s="969" t="str">
        <f t="shared" si="395"/>
        <v>-</v>
      </c>
      <c r="AZ477" s="966" t="str">
        <f t="shared" si="396"/>
        <v>-</v>
      </c>
      <c r="BA477" s="971" t="str">
        <f t="shared" si="397"/>
        <v>-</v>
      </c>
      <c r="BB477" s="975"/>
      <c r="BC477" s="821"/>
      <c r="BD477" s="821"/>
      <c r="BE477" s="963" t="str">
        <f t="shared" si="398"/>
        <v>-</v>
      </c>
      <c r="BF477" s="984"/>
      <c r="BG477" s="988"/>
      <c r="BH477" s="982"/>
      <c r="BI477" s="991"/>
      <c r="BJ477" s="991"/>
      <c r="BK477" s="993" t="str">
        <f t="shared" si="399"/>
        <v>-</v>
      </c>
      <c r="BL477" s="820">
        <v>42978</v>
      </c>
      <c r="BM477" s="821">
        <v>5</v>
      </c>
      <c r="BN477" s="822">
        <f t="shared" ca="1" si="400"/>
        <v>156</v>
      </c>
      <c r="BO477" s="823">
        <f t="shared" si="401"/>
        <v>19.399999999999999</v>
      </c>
      <c r="BP477" s="824"/>
      <c r="BQ477" s="821"/>
      <c r="BR477" s="822" t="str">
        <f t="shared" si="402"/>
        <v>-</v>
      </c>
      <c r="BS477" s="823" t="str">
        <f t="shared" si="403"/>
        <v>-</v>
      </c>
      <c r="BT477" s="825" t="str">
        <f t="shared" ca="1" si="404"/>
        <v>-</v>
      </c>
      <c r="BU477" s="826"/>
      <c r="BV477" s="827"/>
      <c r="BW477" s="828" t="str">
        <f t="shared" si="405"/>
        <v>Ж-Е НЕ ВАКЦ.</v>
      </c>
      <c r="BX477" s="829" t="str">
        <f t="shared" si="406"/>
        <v>-</v>
      </c>
      <c r="BY477" s="830" t="str">
        <f t="shared" ca="1" si="407"/>
        <v>-</v>
      </c>
      <c r="BZ477" s="831">
        <v>42894</v>
      </c>
      <c r="CA477" s="832">
        <v>5</v>
      </c>
      <c r="CB477" s="833">
        <f t="shared" ca="1" si="408"/>
        <v>240</v>
      </c>
      <c r="CC477" s="834" t="str">
        <f t="shared" ca="1" si="409"/>
        <v>-</v>
      </c>
      <c r="CD477" s="835">
        <f t="shared" si="410"/>
        <v>42915</v>
      </c>
      <c r="CE477" s="831">
        <v>42915</v>
      </c>
      <c r="CF477" s="832">
        <v>5</v>
      </c>
      <c r="CG477" s="833">
        <f t="shared" ca="1" si="411"/>
        <v>219</v>
      </c>
      <c r="CH477" s="836">
        <f t="shared" si="412"/>
        <v>0</v>
      </c>
      <c r="CI477" s="837" t="str">
        <f t="shared" si="413"/>
        <v>УСПЕШНО</v>
      </c>
      <c r="CJ477" s="838" t="str">
        <f t="shared" ca="1" si="414"/>
        <v>-</v>
      </c>
      <c r="CK477" s="831"/>
      <c r="CL477" s="832"/>
      <c r="CM477" s="833" t="str">
        <f t="shared" si="415"/>
        <v>-</v>
      </c>
      <c r="CN477" s="834" t="str">
        <f t="shared" si="416"/>
        <v>-</v>
      </c>
      <c r="CO477" s="830" t="str">
        <f t="shared" ca="1" si="417"/>
        <v>-</v>
      </c>
      <c r="CP477" s="831">
        <v>42975</v>
      </c>
      <c r="CQ477" s="832">
        <v>2</v>
      </c>
      <c r="CR477" s="833">
        <f t="shared" si="418"/>
        <v>42975</v>
      </c>
      <c r="CS477" s="833">
        <f t="shared" ca="1" si="419"/>
        <v>159</v>
      </c>
      <c r="CT477" s="834" t="str">
        <f t="shared" ca="1" si="420"/>
        <v>-</v>
      </c>
      <c r="CU477" s="835">
        <f t="shared" si="421"/>
        <v>42996</v>
      </c>
      <c r="CV477" s="831">
        <v>42996</v>
      </c>
      <c r="CW477" s="832">
        <v>2</v>
      </c>
      <c r="CX477" s="833">
        <f t="shared" si="422"/>
        <v>0</v>
      </c>
      <c r="CY477" s="840" t="str">
        <f t="shared" si="423"/>
        <v>УСПЕШНО</v>
      </c>
      <c r="CZ477" s="833">
        <f t="shared" si="424"/>
        <v>42996</v>
      </c>
      <c r="DA477" s="838" t="str">
        <f t="shared" ca="1" si="425"/>
        <v>-</v>
      </c>
      <c r="DB477" s="841"/>
      <c r="DC477" s="832"/>
    </row>
    <row r="478" spans="1:107" s="842" customFormat="1" ht="15.95" customHeight="1" x14ac:dyDescent="0.25">
      <c r="A478" s="790">
        <v>480</v>
      </c>
      <c r="B478" s="791">
        <f t="shared" ca="1" si="374"/>
        <v>43134</v>
      </c>
      <c r="C478" s="271" t="s">
        <v>2404</v>
      </c>
      <c r="D478" s="59" t="s">
        <v>1456</v>
      </c>
      <c r="E478" s="794" t="s">
        <v>1526</v>
      </c>
      <c r="F478" s="795" t="s">
        <v>1802</v>
      </c>
      <c r="G478" s="796">
        <f>SUMIFS(МОЛОКО!L8:L6958,МОЛОКО!F8:F6958,"2815",МОЛОКО!L8:L6958,"&gt;0")</f>
        <v>0</v>
      </c>
      <c r="H478" s="797" t="s">
        <v>603</v>
      </c>
      <c r="I478" s="798">
        <v>42400</v>
      </c>
      <c r="J478" s="799">
        <f t="shared" ca="1" si="375"/>
        <v>2.010958904109589</v>
      </c>
      <c r="K478" s="799">
        <f t="shared" ca="1" si="376"/>
        <v>24.466666666666665</v>
      </c>
      <c r="L478" s="800">
        <f t="shared" ca="1" si="377"/>
        <v>734</v>
      </c>
      <c r="M478" s="801">
        <v>43045</v>
      </c>
      <c r="N478" s="802">
        <v>43045</v>
      </c>
      <c r="O478" s="803">
        <f t="shared" ca="1" si="378"/>
        <v>89</v>
      </c>
      <c r="P478" s="804">
        <v>1</v>
      </c>
      <c r="Q478" s="805"/>
      <c r="R478" s="806"/>
      <c r="S478" s="807"/>
      <c r="T478" s="798"/>
      <c r="U478" s="798" t="str">
        <f t="shared" si="379"/>
        <v>-</v>
      </c>
      <c r="V478" s="804" t="str">
        <f t="shared" ca="1" si="380"/>
        <v>-</v>
      </c>
      <c r="W478" s="808">
        <v>0</v>
      </c>
      <c r="X478" s="794" t="str">
        <f t="shared" si="373"/>
        <v>-</v>
      </c>
      <c r="Y478" s="794">
        <v>0</v>
      </c>
      <c r="Z478" s="809" t="str">
        <f t="shared" ca="1" si="381"/>
        <v>-----</v>
      </c>
      <c r="AA478" s="810">
        <f t="shared" ca="1" si="382"/>
        <v>43134</v>
      </c>
      <c r="AB478" s="804"/>
      <c r="AC478" s="811" t="str">
        <f t="shared" ca="1" si="383"/>
        <v>-----</v>
      </c>
      <c r="AD478" s="798"/>
      <c r="AE478" s="794" t="str">
        <f t="shared" ca="1" si="384"/>
        <v>-</v>
      </c>
      <c r="AF478" s="798" t="str">
        <f t="shared" si="385"/>
        <v>-</v>
      </c>
      <c r="AG478" s="812" t="str">
        <f t="shared" si="386"/>
        <v>---------</v>
      </c>
      <c r="AH478" s="807"/>
      <c r="AI478" s="807" t="str">
        <f t="shared" si="387"/>
        <v>-</v>
      </c>
      <c r="AJ478" s="807" t="str">
        <f t="shared" si="388"/>
        <v>-</v>
      </c>
      <c r="AK478" s="813"/>
      <c r="AL478" s="807" t="str">
        <f t="shared" si="389"/>
        <v>-</v>
      </c>
      <c r="AM478" s="807" t="str">
        <f t="shared" si="390"/>
        <v>-</v>
      </c>
      <c r="AN478" s="814" t="str">
        <f t="shared" ca="1" si="391"/>
        <v>-</v>
      </c>
      <c r="AO478" s="815">
        <v>1</v>
      </c>
      <c r="AP478" s="816" t="str">
        <f t="shared" ca="1" si="392"/>
        <v>-</v>
      </c>
      <c r="AQ478" s="817"/>
      <c r="AR478" s="794" t="str">
        <f t="shared" si="393"/>
        <v>-</v>
      </c>
      <c r="AS478" s="818"/>
      <c r="AT478" s="794" t="str">
        <f t="shared" si="394"/>
        <v>-</v>
      </c>
      <c r="AU478" s="819"/>
      <c r="AV478" s="820"/>
      <c r="AW478" s="821"/>
      <c r="AX478" s="821"/>
      <c r="AY478" s="969" t="str">
        <f t="shared" si="395"/>
        <v>-</v>
      </c>
      <c r="AZ478" s="966" t="str">
        <f t="shared" si="396"/>
        <v>-</v>
      </c>
      <c r="BA478" s="971" t="str">
        <f t="shared" si="397"/>
        <v>-</v>
      </c>
      <c r="BB478" s="975"/>
      <c r="BC478" s="821"/>
      <c r="BD478" s="821"/>
      <c r="BE478" s="963" t="str">
        <f t="shared" si="398"/>
        <v>-</v>
      </c>
      <c r="BF478" s="984"/>
      <c r="BG478" s="988"/>
      <c r="BH478" s="982"/>
      <c r="BI478" s="991"/>
      <c r="BJ478" s="991"/>
      <c r="BK478" s="993" t="str">
        <f t="shared" si="399"/>
        <v>-</v>
      </c>
      <c r="BL478" s="820">
        <v>42978</v>
      </c>
      <c r="BM478" s="821">
        <v>5</v>
      </c>
      <c r="BN478" s="822">
        <f t="shared" ca="1" si="400"/>
        <v>156</v>
      </c>
      <c r="BO478" s="823">
        <f t="shared" si="401"/>
        <v>19.266666666666666</v>
      </c>
      <c r="BP478" s="824"/>
      <c r="BQ478" s="821"/>
      <c r="BR478" s="822" t="str">
        <f t="shared" si="402"/>
        <v>-</v>
      </c>
      <c r="BS478" s="823" t="str">
        <f t="shared" si="403"/>
        <v>-</v>
      </c>
      <c r="BT478" s="825" t="str">
        <f t="shared" ca="1" si="404"/>
        <v>-</v>
      </c>
      <c r="BU478" s="826"/>
      <c r="BV478" s="827"/>
      <c r="BW478" s="828" t="str">
        <f t="shared" si="405"/>
        <v>Ж-Е НЕ ВАКЦ.</v>
      </c>
      <c r="BX478" s="829" t="str">
        <f t="shared" si="406"/>
        <v>-</v>
      </c>
      <c r="BY478" s="830" t="str">
        <f t="shared" ca="1" si="407"/>
        <v>-</v>
      </c>
      <c r="BZ478" s="831">
        <v>42894</v>
      </c>
      <c r="CA478" s="832">
        <v>5</v>
      </c>
      <c r="CB478" s="833">
        <f t="shared" ca="1" si="408"/>
        <v>240</v>
      </c>
      <c r="CC478" s="834" t="str">
        <f t="shared" ca="1" si="409"/>
        <v>-</v>
      </c>
      <c r="CD478" s="835">
        <f t="shared" si="410"/>
        <v>42915</v>
      </c>
      <c r="CE478" s="831">
        <v>42915</v>
      </c>
      <c r="CF478" s="832">
        <v>5</v>
      </c>
      <c r="CG478" s="833">
        <f t="shared" ca="1" si="411"/>
        <v>219</v>
      </c>
      <c r="CH478" s="836">
        <f t="shared" si="412"/>
        <v>0</v>
      </c>
      <c r="CI478" s="837" t="str">
        <f t="shared" si="413"/>
        <v>УСПЕШНО</v>
      </c>
      <c r="CJ478" s="838" t="str">
        <f t="shared" ca="1" si="414"/>
        <v>-</v>
      </c>
      <c r="CK478" s="831"/>
      <c r="CL478" s="832"/>
      <c r="CM478" s="833" t="str">
        <f t="shared" si="415"/>
        <v>-</v>
      </c>
      <c r="CN478" s="834" t="str">
        <f t="shared" si="416"/>
        <v>-</v>
      </c>
      <c r="CO478" s="830" t="str">
        <f t="shared" ca="1" si="417"/>
        <v>-</v>
      </c>
      <c r="CP478" s="831">
        <v>42990</v>
      </c>
      <c r="CQ478" s="832">
        <v>2</v>
      </c>
      <c r="CR478" s="833">
        <f t="shared" si="418"/>
        <v>42990</v>
      </c>
      <c r="CS478" s="833">
        <f t="shared" ca="1" si="419"/>
        <v>144</v>
      </c>
      <c r="CT478" s="834" t="str">
        <f t="shared" ca="1" si="420"/>
        <v>-</v>
      </c>
      <c r="CU478" s="835">
        <f t="shared" si="421"/>
        <v>43011</v>
      </c>
      <c r="CV478" s="831">
        <v>43012</v>
      </c>
      <c r="CW478" s="832">
        <v>2</v>
      </c>
      <c r="CX478" s="833">
        <f t="shared" si="422"/>
        <v>1</v>
      </c>
      <c r="CY478" s="840" t="str">
        <f t="shared" si="423"/>
        <v>-</v>
      </c>
      <c r="CZ478" s="833">
        <f t="shared" si="424"/>
        <v>43012</v>
      </c>
      <c r="DA478" s="838" t="str">
        <f t="shared" ca="1" si="425"/>
        <v>-</v>
      </c>
      <c r="DB478" s="841"/>
      <c r="DC478" s="832"/>
    </row>
    <row r="479" spans="1:107" s="842" customFormat="1" ht="15.95" customHeight="1" x14ac:dyDescent="0.25">
      <c r="A479" s="790">
        <v>481</v>
      </c>
      <c r="B479" s="791">
        <f t="shared" ca="1" si="374"/>
        <v>43134</v>
      </c>
      <c r="C479" s="29" t="s">
        <v>2404</v>
      </c>
      <c r="D479" s="59" t="s">
        <v>3200</v>
      </c>
      <c r="E479" s="794" t="s">
        <v>96</v>
      </c>
      <c r="F479" s="854" t="s">
        <v>98</v>
      </c>
      <c r="G479" s="796">
        <f>SUMIFS(МОЛОКО!L8:L6958,МОЛОКО!F8:F6958,"1536",МОЛОКО!L8:L6958,"&gt;0")</f>
        <v>7</v>
      </c>
      <c r="H479" s="797" t="s">
        <v>603</v>
      </c>
      <c r="I479" s="798">
        <v>41028</v>
      </c>
      <c r="J479" s="799">
        <f t="shared" ca="1" si="375"/>
        <v>5.7698630136986298</v>
      </c>
      <c r="K479" s="799">
        <f t="shared" ca="1" si="376"/>
        <v>70.2</v>
      </c>
      <c r="L479" s="800">
        <f t="shared" ca="1" si="377"/>
        <v>2106</v>
      </c>
      <c r="M479" s="801">
        <v>41700</v>
      </c>
      <c r="N479" s="802">
        <v>42695</v>
      </c>
      <c r="O479" s="803">
        <f t="shared" ca="1" si="378"/>
        <v>439</v>
      </c>
      <c r="P479" s="804">
        <v>3</v>
      </c>
      <c r="Q479" s="805" t="s">
        <v>2366</v>
      </c>
      <c r="R479" s="806" t="s">
        <v>2294</v>
      </c>
      <c r="S479" s="807">
        <v>42776</v>
      </c>
      <c r="T479" s="798">
        <v>42871</v>
      </c>
      <c r="U479" s="798" t="str">
        <f t="shared" si="379"/>
        <v>-</v>
      </c>
      <c r="V479" s="804" t="str">
        <f t="shared" ca="1" si="380"/>
        <v>-</v>
      </c>
      <c r="W479" s="808">
        <v>3</v>
      </c>
      <c r="X479" s="794">
        <f t="shared" si="373"/>
        <v>176</v>
      </c>
      <c r="Y479" s="794">
        <v>1</v>
      </c>
      <c r="Z479" s="809" t="str">
        <f t="shared" ca="1" si="381"/>
        <v>-----</v>
      </c>
      <c r="AA479" s="810" t="str">
        <f t="shared" ca="1" si="382"/>
        <v>-----</v>
      </c>
      <c r="AB479" s="804">
        <v>1</v>
      </c>
      <c r="AC479" s="811" t="str">
        <f t="shared" ca="1" si="383"/>
        <v>-----</v>
      </c>
      <c r="AD479" s="798">
        <v>42932</v>
      </c>
      <c r="AE479" s="794" t="str">
        <f t="shared" ca="1" si="384"/>
        <v>-</v>
      </c>
      <c r="AF479" s="798" t="str">
        <f t="shared" si="385"/>
        <v>-</v>
      </c>
      <c r="AG479" s="812" t="str">
        <f t="shared" si="386"/>
        <v>---------</v>
      </c>
      <c r="AH479" s="807">
        <v>42910</v>
      </c>
      <c r="AI479" s="807">
        <f t="shared" si="387"/>
        <v>43061</v>
      </c>
      <c r="AJ479" s="807">
        <f t="shared" si="388"/>
        <v>43091</v>
      </c>
      <c r="AK479" s="813">
        <v>43045</v>
      </c>
      <c r="AL479" s="807">
        <f t="shared" si="389"/>
        <v>43130</v>
      </c>
      <c r="AM479" s="807">
        <f t="shared" si="390"/>
        <v>43151</v>
      </c>
      <c r="AN479" s="814">
        <f t="shared" ca="1" si="391"/>
        <v>-17</v>
      </c>
      <c r="AO479" s="815">
        <v>1</v>
      </c>
      <c r="AP479" s="816" t="str">
        <f t="shared" ca="1" si="392"/>
        <v>-</v>
      </c>
      <c r="AQ479" s="817"/>
      <c r="AR479" s="794" t="str">
        <f t="shared" si="393"/>
        <v>-</v>
      </c>
      <c r="AS479" s="818"/>
      <c r="AT479" s="794" t="str">
        <f t="shared" si="394"/>
        <v>DRY COW</v>
      </c>
      <c r="AU479" s="819">
        <v>1</v>
      </c>
      <c r="AV479" s="820"/>
      <c r="AW479" s="821"/>
      <c r="AX479" s="821"/>
      <c r="AY479" s="969" t="str">
        <f t="shared" si="395"/>
        <v>-</v>
      </c>
      <c r="AZ479" s="966" t="str">
        <f t="shared" si="396"/>
        <v>-</v>
      </c>
      <c r="BA479" s="971" t="str">
        <f t="shared" si="397"/>
        <v>-</v>
      </c>
      <c r="BB479" s="975"/>
      <c r="BC479" s="821"/>
      <c r="BD479" s="821"/>
      <c r="BE479" s="963" t="str">
        <f t="shared" si="398"/>
        <v>-</v>
      </c>
      <c r="BF479" s="984"/>
      <c r="BG479" s="988"/>
      <c r="BH479" s="982"/>
      <c r="BI479" s="991"/>
      <c r="BJ479" s="991"/>
      <c r="BK479" s="993" t="str">
        <f t="shared" si="399"/>
        <v>-</v>
      </c>
      <c r="BL479" s="820">
        <v>42981</v>
      </c>
      <c r="BM479" s="821">
        <v>5</v>
      </c>
      <c r="BN479" s="822">
        <f t="shared" ca="1" si="400"/>
        <v>153</v>
      </c>
      <c r="BO479" s="823">
        <f t="shared" si="401"/>
        <v>65.099999999999994</v>
      </c>
      <c r="BP479" s="824"/>
      <c r="BQ479" s="821"/>
      <c r="BR479" s="822" t="str">
        <f t="shared" si="402"/>
        <v>-</v>
      </c>
      <c r="BS479" s="823" t="str">
        <f t="shared" si="403"/>
        <v>-</v>
      </c>
      <c r="BT479" s="825" t="str">
        <f t="shared" ca="1" si="404"/>
        <v>-</v>
      </c>
      <c r="BU479" s="826"/>
      <c r="BV479" s="827"/>
      <c r="BW479" s="828" t="str">
        <f t="shared" si="405"/>
        <v>Ж-Е НЕ ВАКЦ.</v>
      </c>
      <c r="BX479" s="829" t="str">
        <f t="shared" si="406"/>
        <v>-</v>
      </c>
      <c r="BY479" s="830" t="str">
        <f t="shared" ca="1" si="407"/>
        <v>-</v>
      </c>
      <c r="BZ479" s="831">
        <v>42887</v>
      </c>
      <c r="CA479" s="832">
        <v>5</v>
      </c>
      <c r="CB479" s="833">
        <f t="shared" ca="1" si="408"/>
        <v>247</v>
      </c>
      <c r="CC479" s="834" t="str">
        <f t="shared" ca="1" si="409"/>
        <v>-</v>
      </c>
      <c r="CD479" s="835">
        <f t="shared" si="410"/>
        <v>42908</v>
      </c>
      <c r="CE479" s="831">
        <v>42908</v>
      </c>
      <c r="CF479" s="832">
        <v>5</v>
      </c>
      <c r="CG479" s="833">
        <f t="shared" ca="1" si="411"/>
        <v>226</v>
      </c>
      <c r="CH479" s="836">
        <f t="shared" si="412"/>
        <v>0</v>
      </c>
      <c r="CI479" s="837" t="str">
        <f t="shared" si="413"/>
        <v>УСПЕШНО</v>
      </c>
      <c r="CJ479" s="838" t="str">
        <f t="shared" ca="1" si="414"/>
        <v>-</v>
      </c>
      <c r="CK479" s="831"/>
      <c r="CL479" s="832"/>
      <c r="CM479" s="833" t="str">
        <f t="shared" si="415"/>
        <v>-</v>
      </c>
      <c r="CN479" s="834" t="str">
        <f t="shared" si="416"/>
        <v>-</v>
      </c>
      <c r="CO479" s="830" t="str">
        <f t="shared" ca="1" si="417"/>
        <v>ТРЕБУЕТСЯ ВАКЦИНАЦИЯ</v>
      </c>
      <c r="CP479" s="839"/>
      <c r="CQ479" s="832"/>
      <c r="CR479" s="833" t="str">
        <f t="shared" si="418"/>
        <v>-</v>
      </c>
      <c r="CS479" s="833" t="str">
        <f t="shared" si="419"/>
        <v>-</v>
      </c>
      <c r="CT479" s="834" t="str">
        <f t="shared" si="420"/>
        <v>-</v>
      </c>
      <c r="CU479" s="835" t="str">
        <f t="shared" si="421"/>
        <v>-</v>
      </c>
      <c r="CV479" s="839"/>
      <c r="CW479" s="832"/>
      <c r="CX479" s="833" t="str">
        <f t="shared" si="422"/>
        <v>-</v>
      </c>
      <c r="CY479" s="840" t="str">
        <f t="shared" si="423"/>
        <v>-</v>
      </c>
      <c r="CZ479" s="833" t="str">
        <f t="shared" si="424"/>
        <v>-</v>
      </c>
      <c r="DA479" s="838" t="str">
        <f t="shared" ca="1" si="425"/>
        <v>-</v>
      </c>
      <c r="DB479" s="841"/>
      <c r="DC479" s="832"/>
    </row>
    <row r="480" spans="1:107" s="842" customFormat="1" ht="15.95" customHeight="1" x14ac:dyDescent="0.25">
      <c r="A480" s="790">
        <v>482</v>
      </c>
      <c r="B480" s="791">
        <f t="shared" ca="1" si="374"/>
        <v>43134</v>
      </c>
      <c r="C480" s="29" t="s">
        <v>2404</v>
      </c>
      <c r="D480" s="59" t="s">
        <v>3200</v>
      </c>
      <c r="E480" s="794" t="s">
        <v>289</v>
      </c>
      <c r="F480" s="854" t="s">
        <v>290</v>
      </c>
      <c r="G480" s="796">
        <f>SUMIFS(МОЛОКО!L8:L6958,МОЛОКО!F8:F6958,"1537",МОЛОКО!L8:L6958,"&gt;0")</f>
        <v>9.4</v>
      </c>
      <c r="H480" s="797" t="s">
        <v>603</v>
      </c>
      <c r="I480" s="798">
        <v>41028</v>
      </c>
      <c r="J480" s="799">
        <f t="shared" ca="1" si="375"/>
        <v>5.7698630136986298</v>
      </c>
      <c r="K480" s="799">
        <f t="shared" ca="1" si="376"/>
        <v>70.2</v>
      </c>
      <c r="L480" s="800">
        <f t="shared" ca="1" si="377"/>
        <v>2106</v>
      </c>
      <c r="M480" s="801">
        <v>42025</v>
      </c>
      <c r="N480" s="802">
        <v>42761</v>
      </c>
      <c r="O480" s="803">
        <f t="shared" ca="1" si="378"/>
        <v>373</v>
      </c>
      <c r="P480" s="804">
        <v>2</v>
      </c>
      <c r="Q480" s="805" t="s">
        <v>1451</v>
      </c>
      <c r="R480" s="806" t="s">
        <v>2269</v>
      </c>
      <c r="S480" s="807">
        <v>42824</v>
      </c>
      <c r="T480" s="798">
        <v>42824</v>
      </c>
      <c r="U480" s="798" t="str">
        <f t="shared" si="379"/>
        <v>-</v>
      </c>
      <c r="V480" s="804" t="str">
        <f t="shared" ca="1" si="380"/>
        <v>-</v>
      </c>
      <c r="W480" s="808">
        <v>1</v>
      </c>
      <c r="X480" s="794">
        <f t="shared" si="373"/>
        <v>63</v>
      </c>
      <c r="Y480" s="794">
        <v>1</v>
      </c>
      <c r="Z480" s="809" t="str">
        <f t="shared" ca="1" si="381"/>
        <v>-----</v>
      </c>
      <c r="AA480" s="810" t="str">
        <f t="shared" ca="1" si="382"/>
        <v>-----</v>
      </c>
      <c r="AB480" s="804">
        <v>1</v>
      </c>
      <c r="AC480" s="811" t="str">
        <f t="shared" ca="1" si="383"/>
        <v>-----</v>
      </c>
      <c r="AD480" s="798">
        <v>42930</v>
      </c>
      <c r="AE480" s="794" t="str">
        <f t="shared" ca="1" si="384"/>
        <v>-</v>
      </c>
      <c r="AF480" s="798" t="str">
        <f t="shared" si="385"/>
        <v>-</v>
      </c>
      <c r="AG480" s="812" t="str">
        <f t="shared" si="386"/>
        <v>---------</v>
      </c>
      <c r="AH480" s="807">
        <v>42858</v>
      </c>
      <c r="AI480" s="807">
        <f t="shared" si="387"/>
        <v>43014</v>
      </c>
      <c r="AJ480" s="807">
        <f t="shared" si="388"/>
        <v>43044</v>
      </c>
      <c r="AK480" s="813">
        <v>43038</v>
      </c>
      <c r="AL480" s="807">
        <f t="shared" si="389"/>
        <v>43083</v>
      </c>
      <c r="AM480" s="807">
        <f t="shared" si="390"/>
        <v>43104</v>
      </c>
      <c r="AN480" s="814">
        <f t="shared" ca="1" si="391"/>
        <v>30</v>
      </c>
      <c r="AO480" s="815">
        <v>1</v>
      </c>
      <c r="AP480" s="816" t="str">
        <f t="shared" ca="1" si="392"/>
        <v>-</v>
      </c>
      <c r="AQ480" s="817"/>
      <c r="AR480" s="794" t="str">
        <f t="shared" si="393"/>
        <v>-</v>
      </c>
      <c r="AS480" s="818"/>
      <c r="AT480" s="794" t="str">
        <f t="shared" si="394"/>
        <v>DRY COW</v>
      </c>
      <c r="AU480" s="819">
        <v>1</v>
      </c>
      <c r="AV480" s="820"/>
      <c r="AW480" s="821"/>
      <c r="AX480" s="821"/>
      <c r="AY480" s="969" t="str">
        <f t="shared" si="395"/>
        <v>-</v>
      </c>
      <c r="AZ480" s="966" t="str">
        <f t="shared" si="396"/>
        <v>-</v>
      </c>
      <c r="BA480" s="971" t="str">
        <f t="shared" si="397"/>
        <v>-</v>
      </c>
      <c r="BB480" s="975"/>
      <c r="BC480" s="821"/>
      <c r="BD480" s="821"/>
      <c r="BE480" s="963" t="str">
        <f t="shared" si="398"/>
        <v>-</v>
      </c>
      <c r="BF480" s="984"/>
      <c r="BG480" s="988"/>
      <c r="BH480" s="982"/>
      <c r="BI480" s="991"/>
      <c r="BJ480" s="991"/>
      <c r="BK480" s="993" t="str">
        <f t="shared" si="399"/>
        <v>-</v>
      </c>
      <c r="BL480" s="820">
        <v>42981</v>
      </c>
      <c r="BM480" s="821">
        <v>5</v>
      </c>
      <c r="BN480" s="822">
        <f t="shared" ca="1" si="400"/>
        <v>153</v>
      </c>
      <c r="BO480" s="823">
        <f t="shared" si="401"/>
        <v>65.099999999999994</v>
      </c>
      <c r="BP480" s="824"/>
      <c r="BQ480" s="821"/>
      <c r="BR480" s="822" t="str">
        <f t="shared" si="402"/>
        <v>-</v>
      </c>
      <c r="BS480" s="823" t="str">
        <f t="shared" si="403"/>
        <v>-</v>
      </c>
      <c r="BT480" s="825" t="str">
        <f t="shared" ca="1" si="404"/>
        <v>-</v>
      </c>
      <c r="BU480" s="826"/>
      <c r="BV480" s="827"/>
      <c r="BW480" s="828" t="str">
        <f t="shared" si="405"/>
        <v>Ж-Е НЕ ВАКЦ.</v>
      </c>
      <c r="BX480" s="829" t="str">
        <f t="shared" si="406"/>
        <v>-</v>
      </c>
      <c r="BY480" s="830" t="str">
        <f t="shared" ca="1" si="407"/>
        <v>-</v>
      </c>
      <c r="BZ480" s="831">
        <v>42887</v>
      </c>
      <c r="CA480" s="832">
        <v>5</v>
      </c>
      <c r="CB480" s="833">
        <f t="shared" ca="1" si="408"/>
        <v>247</v>
      </c>
      <c r="CC480" s="834" t="str">
        <f t="shared" ca="1" si="409"/>
        <v>-</v>
      </c>
      <c r="CD480" s="835">
        <f t="shared" si="410"/>
        <v>42908</v>
      </c>
      <c r="CE480" s="831">
        <v>42908</v>
      </c>
      <c r="CF480" s="832">
        <v>5</v>
      </c>
      <c r="CG480" s="833">
        <f t="shared" ca="1" si="411"/>
        <v>226</v>
      </c>
      <c r="CH480" s="836">
        <f t="shared" si="412"/>
        <v>0</v>
      </c>
      <c r="CI480" s="837" t="str">
        <f t="shared" si="413"/>
        <v>УСПЕШНО</v>
      </c>
      <c r="CJ480" s="838" t="str">
        <f t="shared" ca="1" si="414"/>
        <v>-</v>
      </c>
      <c r="CK480" s="831"/>
      <c r="CL480" s="832"/>
      <c r="CM480" s="833" t="str">
        <f t="shared" si="415"/>
        <v>-</v>
      </c>
      <c r="CN480" s="834" t="str">
        <f t="shared" si="416"/>
        <v>-</v>
      </c>
      <c r="CO480" s="830" t="str">
        <f t="shared" ca="1" si="417"/>
        <v>-</v>
      </c>
      <c r="CP480" s="831">
        <v>43053</v>
      </c>
      <c r="CQ480" s="832">
        <v>2</v>
      </c>
      <c r="CR480" s="833">
        <f t="shared" si="418"/>
        <v>229</v>
      </c>
      <c r="CS480" s="833">
        <f t="shared" ca="1" si="419"/>
        <v>81</v>
      </c>
      <c r="CT480" s="834" t="str">
        <f t="shared" ca="1" si="420"/>
        <v>ТРЕБУЕТСЯ БУСТЕРНАЯ ДОЗА</v>
      </c>
      <c r="CU480" s="835">
        <f t="shared" si="421"/>
        <v>43074</v>
      </c>
      <c r="CV480" s="839"/>
      <c r="CW480" s="832"/>
      <c r="CX480" s="833" t="str">
        <f t="shared" si="422"/>
        <v>-</v>
      </c>
      <c r="CY480" s="840" t="str">
        <f t="shared" si="423"/>
        <v>-</v>
      </c>
      <c r="CZ480" s="833" t="str">
        <f t="shared" si="424"/>
        <v>-</v>
      </c>
      <c r="DA480" s="838" t="str">
        <f t="shared" ca="1" si="425"/>
        <v>-</v>
      </c>
      <c r="DB480" s="841"/>
      <c r="DC480" s="832"/>
    </row>
    <row r="481" spans="1:107" s="842" customFormat="1" ht="15.95" customHeight="1" x14ac:dyDescent="0.25">
      <c r="A481" s="790">
        <v>483</v>
      </c>
      <c r="B481" s="791">
        <f t="shared" ca="1" si="374"/>
        <v>43134</v>
      </c>
      <c r="C481" s="29" t="s">
        <v>2404</v>
      </c>
      <c r="D481" s="59" t="s">
        <v>3200</v>
      </c>
      <c r="E481" s="794" t="s">
        <v>1053</v>
      </c>
      <c r="F481" s="854" t="s">
        <v>961</v>
      </c>
      <c r="G481" s="796">
        <f>SUMIFS(МОЛОКО!L8:L6958,МОЛОКО!F8:F6958,"2351",МОЛОКО!L8:L6958,"&gt;0")</f>
        <v>15</v>
      </c>
      <c r="H481" s="797" t="s">
        <v>603</v>
      </c>
      <c r="I481" s="798">
        <v>41892</v>
      </c>
      <c r="J481" s="799">
        <f t="shared" ca="1" si="375"/>
        <v>3.4027397260273973</v>
      </c>
      <c r="K481" s="799">
        <f t="shared" ca="1" si="376"/>
        <v>41.4</v>
      </c>
      <c r="L481" s="800">
        <f t="shared" ca="1" si="377"/>
        <v>1242</v>
      </c>
      <c r="M481" s="801">
        <v>42728</v>
      </c>
      <c r="N481" s="802">
        <v>42728</v>
      </c>
      <c r="O481" s="803">
        <f t="shared" ca="1" si="378"/>
        <v>406</v>
      </c>
      <c r="P481" s="804">
        <v>1</v>
      </c>
      <c r="Q481" s="805" t="s">
        <v>1451</v>
      </c>
      <c r="R481" s="806" t="s">
        <v>1815</v>
      </c>
      <c r="S481" s="807">
        <v>42789</v>
      </c>
      <c r="T481" s="798">
        <v>42834</v>
      </c>
      <c r="U481" s="798" t="str">
        <f t="shared" si="379"/>
        <v>-</v>
      </c>
      <c r="V481" s="804" t="str">
        <f t="shared" ca="1" si="380"/>
        <v>-</v>
      </c>
      <c r="W481" s="808">
        <v>2</v>
      </c>
      <c r="X481" s="794">
        <f t="shared" si="373"/>
        <v>106</v>
      </c>
      <c r="Y481" s="794">
        <v>1</v>
      </c>
      <c r="Z481" s="809" t="str">
        <f t="shared" ca="1" si="381"/>
        <v>-----</v>
      </c>
      <c r="AA481" s="810" t="str">
        <f t="shared" ca="1" si="382"/>
        <v>-----</v>
      </c>
      <c r="AB481" s="804">
        <v>1</v>
      </c>
      <c r="AC481" s="811" t="str">
        <f t="shared" ca="1" si="383"/>
        <v>-----</v>
      </c>
      <c r="AD481" s="798">
        <v>42932</v>
      </c>
      <c r="AE481" s="794" t="str">
        <f t="shared" ca="1" si="384"/>
        <v>-</v>
      </c>
      <c r="AF481" s="798" t="str">
        <f t="shared" si="385"/>
        <v>-</v>
      </c>
      <c r="AG481" s="812" t="str">
        <f t="shared" si="386"/>
        <v>---------</v>
      </c>
      <c r="AH481" s="807">
        <v>42867</v>
      </c>
      <c r="AI481" s="807">
        <f t="shared" si="387"/>
        <v>43024</v>
      </c>
      <c r="AJ481" s="807">
        <f t="shared" si="388"/>
        <v>43054</v>
      </c>
      <c r="AK481" s="813">
        <v>43052</v>
      </c>
      <c r="AL481" s="807">
        <f t="shared" si="389"/>
        <v>43093</v>
      </c>
      <c r="AM481" s="807">
        <f t="shared" si="390"/>
        <v>43114</v>
      </c>
      <c r="AN481" s="814">
        <f t="shared" ca="1" si="391"/>
        <v>20</v>
      </c>
      <c r="AO481" s="815">
        <v>1</v>
      </c>
      <c r="AP481" s="816" t="str">
        <f t="shared" ca="1" si="392"/>
        <v>-</v>
      </c>
      <c r="AQ481" s="817"/>
      <c r="AR481" s="794" t="str">
        <f t="shared" si="393"/>
        <v>-</v>
      </c>
      <c r="AS481" s="818"/>
      <c r="AT481" s="794" t="str">
        <f t="shared" si="394"/>
        <v>DRY COW</v>
      </c>
      <c r="AU481" s="819">
        <v>1</v>
      </c>
      <c r="AV481" s="820"/>
      <c r="AW481" s="821"/>
      <c r="AX481" s="821"/>
      <c r="AY481" s="969" t="str">
        <f t="shared" si="395"/>
        <v>-</v>
      </c>
      <c r="AZ481" s="966" t="str">
        <f t="shared" si="396"/>
        <v>-</v>
      </c>
      <c r="BA481" s="971" t="str">
        <f t="shared" si="397"/>
        <v>-</v>
      </c>
      <c r="BB481" s="975"/>
      <c r="BC481" s="821"/>
      <c r="BD481" s="821"/>
      <c r="BE481" s="963" t="str">
        <f t="shared" si="398"/>
        <v>-</v>
      </c>
      <c r="BF481" s="984"/>
      <c r="BG481" s="988"/>
      <c r="BH481" s="982"/>
      <c r="BI481" s="991"/>
      <c r="BJ481" s="991"/>
      <c r="BK481" s="993" t="str">
        <f t="shared" si="399"/>
        <v>-</v>
      </c>
      <c r="BL481" s="820">
        <v>42981</v>
      </c>
      <c r="BM481" s="821">
        <v>5</v>
      </c>
      <c r="BN481" s="822">
        <f t="shared" ca="1" si="400"/>
        <v>153</v>
      </c>
      <c r="BO481" s="823">
        <f t="shared" si="401"/>
        <v>36.299999999999997</v>
      </c>
      <c r="BP481" s="824">
        <v>43001</v>
      </c>
      <c r="BQ481" s="821">
        <v>2</v>
      </c>
      <c r="BR481" s="822">
        <f t="shared" ca="1" si="402"/>
        <v>133</v>
      </c>
      <c r="BS481" s="823">
        <f t="shared" si="403"/>
        <v>9.1</v>
      </c>
      <c r="BT481" s="825" t="str">
        <f t="shared" ca="1" si="404"/>
        <v>-</v>
      </c>
      <c r="BU481" s="826"/>
      <c r="BV481" s="827"/>
      <c r="BW481" s="828" t="str">
        <f t="shared" si="405"/>
        <v>Ж-Е НЕ ВАКЦ.</v>
      </c>
      <c r="BX481" s="829" t="str">
        <f t="shared" si="406"/>
        <v>-</v>
      </c>
      <c r="BY481" s="830" t="str">
        <f t="shared" ca="1" si="407"/>
        <v>-</v>
      </c>
      <c r="BZ481" s="831">
        <v>42887</v>
      </c>
      <c r="CA481" s="832">
        <v>5</v>
      </c>
      <c r="CB481" s="833">
        <f t="shared" ca="1" si="408"/>
        <v>247</v>
      </c>
      <c r="CC481" s="834" t="str">
        <f t="shared" ca="1" si="409"/>
        <v>-</v>
      </c>
      <c r="CD481" s="835">
        <f t="shared" si="410"/>
        <v>42908</v>
      </c>
      <c r="CE481" s="831">
        <v>42908</v>
      </c>
      <c r="CF481" s="832">
        <v>5</v>
      </c>
      <c r="CG481" s="833">
        <f t="shared" ca="1" si="411"/>
        <v>226</v>
      </c>
      <c r="CH481" s="836">
        <f t="shared" si="412"/>
        <v>0</v>
      </c>
      <c r="CI481" s="837" t="str">
        <f t="shared" si="413"/>
        <v>УСПЕШНО</v>
      </c>
      <c r="CJ481" s="838" t="str">
        <f t="shared" ca="1" si="414"/>
        <v>-</v>
      </c>
      <c r="CK481" s="831"/>
      <c r="CL481" s="832"/>
      <c r="CM481" s="833" t="str">
        <f t="shared" si="415"/>
        <v>-</v>
      </c>
      <c r="CN481" s="834" t="str">
        <f t="shared" si="416"/>
        <v>-</v>
      </c>
      <c r="CO481" s="830" t="str">
        <f t="shared" ca="1" si="417"/>
        <v>-</v>
      </c>
      <c r="CP481" s="831">
        <v>43052</v>
      </c>
      <c r="CQ481" s="832">
        <v>2</v>
      </c>
      <c r="CR481" s="833">
        <f t="shared" si="418"/>
        <v>218</v>
      </c>
      <c r="CS481" s="833">
        <f t="shared" ca="1" si="419"/>
        <v>82</v>
      </c>
      <c r="CT481" s="834" t="str">
        <f t="shared" ca="1" si="420"/>
        <v>ТРЕБУЕТСЯ БУСТЕРНАЯ ДОЗА</v>
      </c>
      <c r="CU481" s="835">
        <f t="shared" si="421"/>
        <v>43073</v>
      </c>
      <c r="CV481" s="839"/>
      <c r="CW481" s="832"/>
      <c r="CX481" s="833" t="str">
        <f t="shared" si="422"/>
        <v>-</v>
      </c>
      <c r="CY481" s="840" t="str">
        <f t="shared" si="423"/>
        <v>-</v>
      </c>
      <c r="CZ481" s="833" t="str">
        <f t="shared" si="424"/>
        <v>-</v>
      </c>
      <c r="DA481" s="838" t="str">
        <f t="shared" ca="1" si="425"/>
        <v>-</v>
      </c>
      <c r="DB481" s="841"/>
      <c r="DC481" s="832"/>
    </row>
    <row r="482" spans="1:107" s="842" customFormat="1" ht="15.95" customHeight="1" x14ac:dyDescent="0.25">
      <c r="A482" s="790">
        <v>484</v>
      </c>
      <c r="B482" s="791">
        <f t="shared" ca="1" si="374"/>
        <v>43134</v>
      </c>
      <c r="C482" s="29" t="s">
        <v>2404</v>
      </c>
      <c r="D482" s="59" t="s">
        <v>3200</v>
      </c>
      <c r="E482" s="794" t="s">
        <v>2365</v>
      </c>
      <c r="F482" s="795" t="s">
        <v>975</v>
      </c>
      <c r="G482" s="796">
        <f>SUMIFS(МОЛОКО!L8:L6958,МОЛОКО!F8:F6958,"2469",МОЛОКО!L8:L6958,"&gt;0")</f>
        <v>6.8</v>
      </c>
      <c r="H482" s="797" t="s">
        <v>603</v>
      </c>
      <c r="I482" s="798">
        <v>42001</v>
      </c>
      <c r="J482" s="799">
        <f t="shared" ca="1" si="375"/>
        <v>3.1041095890410957</v>
      </c>
      <c r="K482" s="799">
        <f t="shared" ca="1" si="376"/>
        <v>37.766666666666666</v>
      </c>
      <c r="L482" s="800">
        <f t="shared" ca="1" si="377"/>
        <v>1133</v>
      </c>
      <c r="M482" s="801">
        <v>42668</v>
      </c>
      <c r="N482" s="802">
        <v>42668</v>
      </c>
      <c r="O482" s="803">
        <f t="shared" ca="1" si="378"/>
        <v>466</v>
      </c>
      <c r="P482" s="804">
        <v>1</v>
      </c>
      <c r="Q482" s="805" t="s">
        <v>1451</v>
      </c>
      <c r="R482" s="806" t="s">
        <v>2294</v>
      </c>
      <c r="S482" s="807">
        <v>42733</v>
      </c>
      <c r="T482" s="798">
        <v>42822</v>
      </c>
      <c r="U482" s="798" t="str">
        <f t="shared" si="379"/>
        <v>-</v>
      </c>
      <c r="V482" s="804" t="str">
        <f t="shared" ca="1" si="380"/>
        <v>-</v>
      </c>
      <c r="W482" s="808">
        <v>3</v>
      </c>
      <c r="X482" s="794">
        <f t="shared" si="373"/>
        <v>154</v>
      </c>
      <c r="Y482" s="794">
        <v>1</v>
      </c>
      <c r="Z482" s="809" t="str">
        <f t="shared" ca="1" si="381"/>
        <v>-----</v>
      </c>
      <c r="AA482" s="810" t="str">
        <f t="shared" ca="1" si="382"/>
        <v>-----</v>
      </c>
      <c r="AB482" s="804">
        <v>1</v>
      </c>
      <c r="AC482" s="811" t="str">
        <f t="shared" ca="1" si="383"/>
        <v>-----</v>
      </c>
      <c r="AD482" s="798">
        <v>42930</v>
      </c>
      <c r="AE482" s="794" t="str">
        <f t="shared" ca="1" si="384"/>
        <v>-</v>
      </c>
      <c r="AF482" s="798" t="str">
        <f t="shared" si="385"/>
        <v>-</v>
      </c>
      <c r="AG482" s="812" t="str">
        <f t="shared" si="386"/>
        <v>---------</v>
      </c>
      <c r="AH482" s="807">
        <v>42863</v>
      </c>
      <c r="AI482" s="807">
        <f t="shared" si="387"/>
        <v>43012</v>
      </c>
      <c r="AJ482" s="807">
        <f t="shared" si="388"/>
        <v>43042</v>
      </c>
      <c r="AK482" s="813">
        <v>43038</v>
      </c>
      <c r="AL482" s="807">
        <f t="shared" si="389"/>
        <v>43081</v>
      </c>
      <c r="AM482" s="807">
        <f t="shared" si="390"/>
        <v>43102</v>
      </c>
      <c r="AN482" s="814">
        <f t="shared" ca="1" si="391"/>
        <v>32</v>
      </c>
      <c r="AO482" s="815">
        <v>1</v>
      </c>
      <c r="AP482" s="816" t="str">
        <f t="shared" ca="1" si="392"/>
        <v>-</v>
      </c>
      <c r="AQ482" s="817"/>
      <c r="AR482" s="794" t="str">
        <f t="shared" si="393"/>
        <v>-</v>
      </c>
      <c r="AS482" s="818"/>
      <c r="AT482" s="794" t="str">
        <f t="shared" si="394"/>
        <v>DRY COW</v>
      </c>
      <c r="AU482" s="819"/>
      <c r="AV482" s="820"/>
      <c r="AW482" s="821"/>
      <c r="AX482" s="821"/>
      <c r="AY482" s="969" t="str">
        <f t="shared" si="395"/>
        <v>-</v>
      </c>
      <c r="AZ482" s="966" t="str">
        <f t="shared" si="396"/>
        <v>-</v>
      </c>
      <c r="BA482" s="971" t="str">
        <f t="shared" si="397"/>
        <v>-</v>
      </c>
      <c r="BB482" s="975"/>
      <c r="BC482" s="821"/>
      <c r="BD482" s="821"/>
      <c r="BE482" s="963" t="str">
        <f t="shared" si="398"/>
        <v>-</v>
      </c>
      <c r="BF482" s="984"/>
      <c r="BG482" s="988"/>
      <c r="BH482" s="982"/>
      <c r="BI482" s="991"/>
      <c r="BJ482" s="991"/>
      <c r="BK482" s="993" t="str">
        <f t="shared" si="399"/>
        <v>-</v>
      </c>
      <c r="BL482" s="820">
        <v>42981</v>
      </c>
      <c r="BM482" s="821">
        <v>5</v>
      </c>
      <c r="BN482" s="822">
        <f t="shared" ca="1" si="400"/>
        <v>153</v>
      </c>
      <c r="BO482" s="823">
        <f t="shared" si="401"/>
        <v>32.666666666666664</v>
      </c>
      <c r="BP482" s="824">
        <v>43001</v>
      </c>
      <c r="BQ482" s="821">
        <v>2</v>
      </c>
      <c r="BR482" s="822">
        <f t="shared" ca="1" si="402"/>
        <v>133</v>
      </c>
      <c r="BS482" s="823">
        <f t="shared" si="403"/>
        <v>11.1</v>
      </c>
      <c r="BT482" s="825" t="str">
        <f t="shared" ca="1" si="404"/>
        <v>-</v>
      </c>
      <c r="BU482" s="826"/>
      <c r="BV482" s="827"/>
      <c r="BW482" s="828" t="str">
        <f t="shared" si="405"/>
        <v>Ж-Е НЕ ВАКЦ.</v>
      </c>
      <c r="BX482" s="829" t="str">
        <f t="shared" si="406"/>
        <v>-</v>
      </c>
      <c r="BY482" s="830" t="str">
        <f t="shared" ca="1" si="407"/>
        <v>-</v>
      </c>
      <c r="BZ482" s="831">
        <v>42887</v>
      </c>
      <c r="CA482" s="832">
        <v>5</v>
      </c>
      <c r="CB482" s="833">
        <f t="shared" ca="1" si="408"/>
        <v>247</v>
      </c>
      <c r="CC482" s="834" t="str">
        <f t="shared" ca="1" si="409"/>
        <v>-</v>
      </c>
      <c r="CD482" s="835">
        <f t="shared" si="410"/>
        <v>42908</v>
      </c>
      <c r="CE482" s="831">
        <v>42908</v>
      </c>
      <c r="CF482" s="832">
        <v>5</v>
      </c>
      <c r="CG482" s="833">
        <f t="shared" ca="1" si="411"/>
        <v>226</v>
      </c>
      <c r="CH482" s="836">
        <f t="shared" si="412"/>
        <v>0</v>
      </c>
      <c r="CI482" s="837" t="str">
        <f t="shared" si="413"/>
        <v>УСПЕШНО</v>
      </c>
      <c r="CJ482" s="838" t="str">
        <f t="shared" ca="1" si="414"/>
        <v>-</v>
      </c>
      <c r="CK482" s="831"/>
      <c r="CL482" s="832"/>
      <c r="CM482" s="833" t="str">
        <f t="shared" si="415"/>
        <v>-</v>
      </c>
      <c r="CN482" s="834" t="str">
        <f t="shared" si="416"/>
        <v>-</v>
      </c>
      <c r="CO482" s="830" t="str">
        <f t="shared" ca="1" si="417"/>
        <v>-</v>
      </c>
      <c r="CP482" s="831">
        <v>43053</v>
      </c>
      <c r="CQ482" s="832">
        <v>2</v>
      </c>
      <c r="CR482" s="833">
        <f t="shared" si="418"/>
        <v>231</v>
      </c>
      <c r="CS482" s="833">
        <f t="shared" ca="1" si="419"/>
        <v>81</v>
      </c>
      <c r="CT482" s="834" t="str">
        <f t="shared" ca="1" si="420"/>
        <v>ТРЕБУЕТСЯ БУСТЕРНАЯ ДОЗА</v>
      </c>
      <c r="CU482" s="835">
        <f t="shared" si="421"/>
        <v>43074</v>
      </c>
      <c r="CV482" s="839"/>
      <c r="CW482" s="832"/>
      <c r="CX482" s="833" t="str">
        <f t="shared" si="422"/>
        <v>-</v>
      </c>
      <c r="CY482" s="840" t="str">
        <f t="shared" si="423"/>
        <v>-</v>
      </c>
      <c r="CZ482" s="833" t="str">
        <f t="shared" si="424"/>
        <v>-</v>
      </c>
      <c r="DA482" s="838" t="str">
        <f t="shared" ca="1" si="425"/>
        <v>-</v>
      </c>
      <c r="DB482" s="841"/>
      <c r="DC482" s="832"/>
    </row>
    <row r="483" spans="1:107" s="842" customFormat="1" ht="15.95" customHeight="1" x14ac:dyDescent="0.25">
      <c r="A483" s="790">
        <v>485</v>
      </c>
      <c r="B483" s="791">
        <f t="shared" ca="1" si="374"/>
        <v>43134</v>
      </c>
      <c r="C483" s="29" t="s">
        <v>2404</v>
      </c>
      <c r="D483" s="59" t="s">
        <v>3200</v>
      </c>
      <c r="E483" s="794" t="s">
        <v>1080</v>
      </c>
      <c r="F483" s="795" t="s">
        <v>997</v>
      </c>
      <c r="G483" s="796">
        <f>SUMIFS(МОЛОКО!L8:L6958,МОЛОКО!F8:F6958,"2477",МОЛОКО!L8:L6958,"&gt;0")</f>
        <v>7.7</v>
      </c>
      <c r="H483" s="797" t="s">
        <v>603</v>
      </c>
      <c r="I483" s="798">
        <v>42009</v>
      </c>
      <c r="J483" s="799">
        <f t="shared" ca="1" si="375"/>
        <v>3.0821917808219177</v>
      </c>
      <c r="K483" s="799">
        <f t="shared" ca="1" si="376"/>
        <v>37.5</v>
      </c>
      <c r="L483" s="800">
        <f t="shared" ca="1" si="377"/>
        <v>1125</v>
      </c>
      <c r="M483" s="801">
        <v>42722</v>
      </c>
      <c r="N483" s="802">
        <v>42722</v>
      </c>
      <c r="O483" s="803">
        <f t="shared" ca="1" si="378"/>
        <v>412</v>
      </c>
      <c r="P483" s="804">
        <v>1</v>
      </c>
      <c r="Q483" s="805" t="s">
        <v>2309</v>
      </c>
      <c r="R483" s="806" t="s">
        <v>2269</v>
      </c>
      <c r="S483" s="807">
        <v>42782</v>
      </c>
      <c r="T483" s="798">
        <v>42827</v>
      </c>
      <c r="U483" s="798" t="str">
        <f t="shared" si="379"/>
        <v>-</v>
      </c>
      <c r="V483" s="804" t="str">
        <f t="shared" ca="1" si="380"/>
        <v>-</v>
      </c>
      <c r="W483" s="808">
        <v>2</v>
      </c>
      <c r="X483" s="794">
        <f t="shared" si="373"/>
        <v>105</v>
      </c>
      <c r="Y483" s="794">
        <v>1</v>
      </c>
      <c r="Z483" s="809" t="str">
        <f t="shared" ca="1" si="381"/>
        <v>-----</v>
      </c>
      <c r="AA483" s="810" t="str">
        <f t="shared" ca="1" si="382"/>
        <v>-----</v>
      </c>
      <c r="AB483" s="804">
        <v>1</v>
      </c>
      <c r="AC483" s="811" t="str">
        <f t="shared" ca="1" si="383"/>
        <v>-----</v>
      </c>
      <c r="AD483" s="798">
        <v>42930</v>
      </c>
      <c r="AE483" s="794" t="str">
        <f t="shared" ca="1" si="384"/>
        <v>-</v>
      </c>
      <c r="AF483" s="798" t="str">
        <f t="shared" si="385"/>
        <v>-</v>
      </c>
      <c r="AG483" s="812" t="str">
        <f t="shared" si="386"/>
        <v>---------</v>
      </c>
      <c r="AH483" s="807">
        <v>42862</v>
      </c>
      <c r="AI483" s="807">
        <f t="shared" si="387"/>
        <v>43017</v>
      </c>
      <c r="AJ483" s="807">
        <f t="shared" si="388"/>
        <v>43047</v>
      </c>
      <c r="AK483" s="813">
        <v>43045</v>
      </c>
      <c r="AL483" s="807">
        <f t="shared" si="389"/>
        <v>43086</v>
      </c>
      <c r="AM483" s="807">
        <f t="shared" si="390"/>
        <v>43107</v>
      </c>
      <c r="AN483" s="814">
        <f t="shared" ca="1" si="391"/>
        <v>27</v>
      </c>
      <c r="AO483" s="815">
        <v>1</v>
      </c>
      <c r="AP483" s="816" t="str">
        <f t="shared" ca="1" si="392"/>
        <v>-</v>
      </c>
      <c r="AQ483" s="817"/>
      <c r="AR483" s="794" t="str">
        <f t="shared" si="393"/>
        <v>-</v>
      </c>
      <c r="AS483" s="818"/>
      <c r="AT483" s="794" t="str">
        <f t="shared" si="394"/>
        <v>DRY COW</v>
      </c>
      <c r="AU483" s="819"/>
      <c r="AV483" s="820"/>
      <c r="AW483" s="821"/>
      <c r="AX483" s="821"/>
      <c r="AY483" s="969" t="str">
        <f t="shared" si="395"/>
        <v>-</v>
      </c>
      <c r="AZ483" s="966" t="str">
        <f t="shared" si="396"/>
        <v>-</v>
      </c>
      <c r="BA483" s="971" t="str">
        <f t="shared" si="397"/>
        <v>-</v>
      </c>
      <c r="BB483" s="975"/>
      <c r="BC483" s="821"/>
      <c r="BD483" s="821"/>
      <c r="BE483" s="963" t="str">
        <f t="shared" si="398"/>
        <v>-</v>
      </c>
      <c r="BF483" s="984"/>
      <c r="BG483" s="988"/>
      <c r="BH483" s="982"/>
      <c r="BI483" s="991"/>
      <c r="BJ483" s="991"/>
      <c r="BK483" s="993" t="str">
        <f t="shared" si="399"/>
        <v>-</v>
      </c>
      <c r="BL483" s="820">
        <v>42981</v>
      </c>
      <c r="BM483" s="821">
        <v>5</v>
      </c>
      <c r="BN483" s="822">
        <f t="shared" ca="1" si="400"/>
        <v>153</v>
      </c>
      <c r="BO483" s="823">
        <f t="shared" si="401"/>
        <v>32.4</v>
      </c>
      <c r="BP483" s="824">
        <v>43001</v>
      </c>
      <c r="BQ483" s="821">
        <v>2</v>
      </c>
      <c r="BR483" s="822">
        <f t="shared" ca="1" si="402"/>
        <v>133</v>
      </c>
      <c r="BS483" s="823">
        <f t="shared" si="403"/>
        <v>9.3000000000000007</v>
      </c>
      <c r="BT483" s="825" t="str">
        <f t="shared" ca="1" si="404"/>
        <v>-</v>
      </c>
      <c r="BU483" s="826"/>
      <c r="BV483" s="827"/>
      <c r="BW483" s="828" t="str">
        <f t="shared" si="405"/>
        <v>Ж-Е НЕ ВАКЦ.</v>
      </c>
      <c r="BX483" s="829" t="str">
        <f t="shared" si="406"/>
        <v>-</v>
      </c>
      <c r="BY483" s="830" t="str">
        <f t="shared" ca="1" si="407"/>
        <v>-</v>
      </c>
      <c r="BZ483" s="831">
        <v>42887</v>
      </c>
      <c r="CA483" s="832">
        <v>5</v>
      </c>
      <c r="CB483" s="833">
        <f t="shared" ca="1" si="408"/>
        <v>247</v>
      </c>
      <c r="CC483" s="834" t="str">
        <f t="shared" ca="1" si="409"/>
        <v>-</v>
      </c>
      <c r="CD483" s="835">
        <f t="shared" si="410"/>
        <v>42908</v>
      </c>
      <c r="CE483" s="831">
        <v>42908</v>
      </c>
      <c r="CF483" s="832">
        <v>5</v>
      </c>
      <c r="CG483" s="833">
        <f t="shared" ca="1" si="411"/>
        <v>226</v>
      </c>
      <c r="CH483" s="836">
        <f t="shared" si="412"/>
        <v>0</v>
      </c>
      <c r="CI483" s="837" t="str">
        <f t="shared" si="413"/>
        <v>УСПЕШНО</v>
      </c>
      <c r="CJ483" s="838" t="str">
        <f t="shared" ca="1" si="414"/>
        <v>-</v>
      </c>
      <c r="CK483" s="831"/>
      <c r="CL483" s="832"/>
      <c r="CM483" s="833" t="str">
        <f t="shared" si="415"/>
        <v>-</v>
      </c>
      <c r="CN483" s="834" t="str">
        <f t="shared" si="416"/>
        <v>-</v>
      </c>
      <c r="CO483" s="830" t="str">
        <f t="shared" ca="1" si="417"/>
        <v>-</v>
      </c>
      <c r="CP483" s="831">
        <v>43053</v>
      </c>
      <c r="CQ483" s="832">
        <v>2</v>
      </c>
      <c r="CR483" s="833">
        <f t="shared" si="418"/>
        <v>226</v>
      </c>
      <c r="CS483" s="833">
        <f t="shared" ca="1" si="419"/>
        <v>81</v>
      </c>
      <c r="CT483" s="834" t="str">
        <f t="shared" ca="1" si="420"/>
        <v>ТРЕБУЕТСЯ БУСТЕРНАЯ ДОЗА</v>
      </c>
      <c r="CU483" s="835">
        <f t="shared" si="421"/>
        <v>43074</v>
      </c>
      <c r="CV483" s="839"/>
      <c r="CW483" s="832"/>
      <c r="CX483" s="833" t="str">
        <f t="shared" si="422"/>
        <v>-</v>
      </c>
      <c r="CY483" s="840" t="str">
        <f t="shared" si="423"/>
        <v>-</v>
      </c>
      <c r="CZ483" s="833" t="str">
        <f t="shared" si="424"/>
        <v>-</v>
      </c>
      <c r="DA483" s="838" t="str">
        <f t="shared" ca="1" si="425"/>
        <v>-</v>
      </c>
      <c r="DB483" s="841"/>
      <c r="DC483" s="832"/>
    </row>
    <row r="484" spans="1:107" s="842" customFormat="1" ht="15.95" customHeight="1" x14ac:dyDescent="0.25">
      <c r="A484" s="790">
        <v>486</v>
      </c>
      <c r="B484" s="791">
        <f t="shared" ca="1" si="374"/>
        <v>43134</v>
      </c>
      <c r="C484" s="792" t="s">
        <v>2404</v>
      </c>
      <c r="D484" s="793" t="s">
        <v>3200</v>
      </c>
      <c r="E484" s="794" t="s">
        <v>2818</v>
      </c>
      <c r="F484" s="853" t="s">
        <v>1744</v>
      </c>
      <c r="G484" s="796">
        <f>SUMIFS(МОЛОКО!L8:L6958,МОЛОКО!F8:F6958,"2906",МОЛОКО!L8:L6958,"&gt;0")</f>
        <v>0</v>
      </c>
      <c r="H484" s="797" t="s">
        <v>603</v>
      </c>
      <c r="I484" s="798">
        <v>42473</v>
      </c>
      <c r="J484" s="799">
        <f t="shared" ca="1" si="375"/>
        <v>1.810958904109589</v>
      </c>
      <c r="K484" s="799">
        <f t="shared" ca="1" si="376"/>
        <v>22.033333333333335</v>
      </c>
      <c r="L484" s="800">
        <f t="shared" ca="1" si="377"/>
        <v>661</v>
      </c>
      <c r="M484" s="801"/>
      <c r="N484" s="802"/>
      <c r="O484" s="803" t="str">
        <f t="shared" ca="1" si="378"/>
        <v>-</v>
      </c>
      <c r="P484" s="804"/>
      <c r="Q484" s="805" t="s">
        <v>1451</v>
      </c>
      <c r="R484" s="806" t="s">
        <v>1876</v>
      </c>
      <c r="S484" s="807">
        <v>42795</v>
      </c>
      <c r="T484" s="798">
        <v>42795</v>
      </c>
      <c r="U484" s="798" t="str">
        <f t="shared" si="379"/>
        <v>-</v>
      </c>
      <c r="V484" s="804" t="str">
        <f t="shared" ca="1" si="380"/>
        <v>-</v>
      </c>
      <c r="W484" s="808">
        <v>1</v>
      </c>
      <c r="X484" s="794" t="str">
        <f t="shared" si="373"/>
        <v>-</v>
      </c>
      <c r="Y484" s="794">
        <v>1</v>
      </c>
      <c r="Z484" s="809" t="str">
        <f t="shared" ca="1" si="381"/>
        <v>ПОДЛЕЖИТ ПЕРЕПРОВЕРКЕ</v>
      </c>
      <c r="AA484" s="810">
        <f t="shared" ca="1" si="382"/>
        <v>339</v>
      </c>
      <c r="AB484" s="804"/>
      <c r="AC484" s="811">
        <f t="shared" ca="1" si="383"/>
        <v>42867</v>
      </c>
      <c r="AD484" s="798"/>
      <c r="AE484" s="794" t="str">
        <f t="shared" ca="1" si="384"/>
        <v>-</v>
      </c>
      <c r="AF484" s="798" t="str">
        <f t="shared" si="385"/>
        <v>-</v>
      </c>
      <c r="AG484" s="812" t="str">
        <f t="shared" si="386"/>
        <v>---------</v>
      </c>
      <c r="AH484" s="807">
        <v>42881</v>
      </c>
      <c r="AI484" s="807" t="str">
        <f t="shared" si="387"/>
        <v>-</v>
      </c>
      <c r="AJ484" s="807" t="str">
        <f t="shared" si="388"/>
        <v>-</v>
      </c>
      <c r="AK484" s="813"/>
      <c r="AL484" s="807">
        <f t="shared" si="389"/>
        <v>43054</v>
      </c>
      <c r="AM484" s="807">
        <f t="shared" si="390"/>
        <v>43075</v>
      </c>
      <c r="AN484" s="814">
        <f t="shared" ca="1" si="391"/>
        <v>59</v>
      </c>
      <c r="AO484" s="815">
        <v>1</v>
      </c>
      <c r="AP484" s="816" t="str">
        <f t="shared" ca="1" si="392"/>
        <v>-</v>
      </c>
      <c r="AQ484" s="817"/>
      <c r="AR484" s="794" t="str">
        <f t="shared" si="393"/>
        <v>НЕТЕЛЬ</v>
      </c>
      <c r="AS484" s="818"/>
      <c r="AT484" s="794" t="str">
        <f t="shared" si="394"/>
        <v>-</v>
      </c>
      <c r="AU484" s="819">
        <v>1</v>
      </c>
      <c r="AV484" s="820"/>
      <c r="AW484" s="821"/>
      <c r="AX484" s="821"/>
      <c r="AY484" s="969" t="str">
        <f t="shared" si="395"/>
        <v>-</v>
      </c>
      <c r="AZ484" s="966" t="str">
        <f t="shared" si="396"/>
        <v>-</v>
      </c>
      <c r="BA484" s="971" t="str">
        <f t="shared" si="397"/>
        <v>-</v>
      </c>
      <c r="BB484" s="975"/>
      <c r="BC484" s="821"/>
      <c r="BD484" s="821"/>
      <c r="BE484" s="963" t="str">
        <f t="shared" si="398"/>
        <v>-</v>
      </c>
      <c r="BF484" s="984"/>
      <c r="BG484" s="988"/>
      <c r="BH484" s="982"/>
      <c r="BI484" s="991"/>
      <c r="BJ484" s="991"/>
      <c r="BK484" s="993" t="str">
        <f t="shared" si="399"/>
        <v>-</v>
      </c>
      <c r="BL484" s="820">
        <v>42982</v>
      </c>
      <c r="BM484" s="821">
        <v>5</v>
      </c>
      <c r="BN484" s="822">
        <f t="shared" ca="1" si="400"/>
        <v>152</v>
      </c>
      <c r="BO484" s="823">
        <f t="shared" si="401"/>
        <v>16.966666666666665</v>
      </c>
      <c r="BP484" s="824"/>
      <c r="BQ484" s="821"/>
      <c r="BR484" s="822" t="str">
        <f t="shared" si="402"/>
        <v>-</v>
      </c>
      <c r="BS484" s="823" t="str">
        <f t="shared" si="403"/>
        <v>-</v>
      </c>
      <c r="BT484" s="825" t="str">
        <f t="shared" ca="1" si="404"/>
        <v>-</v>
      </c>
      <c r="BU484" s="826"/>
      <c r="BV484" s="827"/>
      <c r="BW484" s="828" t="str">
        <f t="shared" si="405"/>
        <v>Ж-Е НЕ ВАКЦ.</v>
      </c>
      <c r="BX484" s="829" t="str">
        <f t="shared" si="406"/>
        <v>-</v>
      </c>
      <c r="BY484" s="830" t="str">
        <f t="shared" ca="1" si="407"/>
        <v>-</v>
      </c>
      <c r="BZ484" s="831">
        <v>42904</v>
      </c>
      <c r="CA484" s="832">
        <v>5</v>
      </c>
      <c r="CB484" s="833">
        <f t="shared" ca="1" si="408"/>
        <v>230</v>
      </c>
      <c r="CC484" s="834" t="str">
        <f t="shared" ca="1" si="409"/>
        <v>-</v>
      </c>
      <c r="CD484" s="835">
        <f t="shared" si="410"/>
        <v>42925</v>
      </c>
      <c r="CE484" s="831">
        <v>42925</v>
      </c>
      <c r="CF484" s="832">
        <v>5</v>
      </c>
      <c r="CG484" s="833">
        <f t="shared" ca="1" si="411"/>
        <v>209</v>
      </c>
      <c r="CH484" s="836">
        <f t="shared" si="412"/>
        <v>0</v>
      </c>
      <c r="CI484" s="837" t="str">
        <f t="shared" si="413"/>
        <v>УСПЕШНО</v>
      </c>
      <c r="CJ484" s="838" t="str">
        <f t="shared" ca="1" si="414"/>
        <v>-</v>
      </c>
      <c r="CK484" s="831"/>
      <c r="CL484" s="832"/>
      <c r="CM484" s="833" t="str">
        <f t="shared" si="415"/>
        <v>-</v>
      </c>
      <c r="CN484" s="834" t="str">
        <f t="shared" si="416"/>
        <v>-</v>
      </c>
      <c r="CO484" s="830" t="str">
        <f t="shared" ca="1" si="417"/>
        <v>-</v>
      </c>
      <c r="CP484" s="831">
        <v>43010</v>
      </c>
      <c r="CQ484" s="832">
        <v>2</v>
      </c>
      <c r="CR484" s="833">
        <f t="shared" si="418"/>
        <v>215</v>
      </c>
      <c r="CS484" s="833">
        <f t="shared" ca="1" si="419"/>
        <v>124</v>
      </c>
      <c r="CT484" s="834" t="str">
        <f t="shared" ca="1" si="420"/>
        <v>-</v>
      </c>
      <c r="CU484" s="835">
        <f t="shared" si="421"/>
        <v>43031</v>
      </c>
      <c r="CV484" s="831">
        <v>43031</v>
      </c>
      <c r="CW484" s="832">
        <v>2</v>
      </c>
      <c r="CX484" s="833">
        <f t="shared" si="422"/>
        <v>0</v>
      </c>
      <c r="CY484" s="840" t="str">
        <f t="shared" si="423"/>
        <v>УСПЕШНО</v>
      </c>
      <c r="CZ484" s="833">
        <f t="shared" si="424"/>
        <v>236</v>
      </c>
      <c r="DA484" s="838" t="str">
        <f t="shared" ca="1" si="425"/>
        <v>ТРЕБУЕТСЯ РЕВАКЦИНАЦИЯ</v>
      </c>
      <c r="DB484" s="841"/>
      <c r="DC484" s="832"/>
    </row>
    <row r="485" spans="1:107" s="842" customFormat="1" ht="15.95" customHeight="1" x14ac:dyDescent="0.25">
      <c r="A485" s="790">
        <v>487</v>
      </c>
      <c r="B485" s="791">
        <f t="shared" ca="1" si="374"/>
        <v>43134</v>
      </c>
      <c r="C485" s="29" t="s">
        <v>2404</v>
      </c>
      <c r="D485" s="427" t="s">
        <v>3200</v>
      </c>
      <c r="E485" s="794" t="s">
        <v>546</v>
      </c>
      <c r="F485" s="795" t="s">
        <v>547</v>
      </c>
      <c r="G485" s="796">
        <f>SUMIFS(МОЛОКО!L8:L6958,МОЛОКО!F8:F6958,"13276",МОЛОКО!L8:L6958,"&gt;0")</f>
        <v>4</v>
      </c>
      <c r="H485" s="797" t="s">
        <v>87</v>
      </c>
      <c r="I485" s="798">
        <v>41516</v>
      </c>
      <c r="J485" s="799">
        <f t="shared" ca="1" si="375"/>
        <v>4.4328767123287669</v>
      </c>
      <c r="K485" s="799">
        <f t="shared" ca="1" si="376"/>
        <v>53.93333333333333</v>
      </c>
      <c r="L485" s="800">
        <f t="shared" ca="1" si="377"/>
        <v>1618</v>
      </c>
      <c r="M485" s="801">
        <v>42434</v>
      </c>
      <c r="N485" s="802">
        <v>42811</v>
      </c>
      <c r="O485" s="803">
        <f t="shared" ca="1" si="378"/>
        <v>323</v>
      </c>
      <c r="P485" s="804">
        <v>2</v>
      </c>
      <c r="Q485" s="805" t="s">
        <v>2366</v>
      </c>
      <c r="R485" s="806" t="s">
        <v>2269</v>
      </c>
      <c r="S485" s="807">
        <v>42873</v>
      </c>
      <c r="T485" s="798">
        <v>42919</v>
      </c>
      <c r="U485" s="798" t="str">
        <f t="shared" si="379"/>
        <v>-</v>
      </c>
      <c r="V485" s="804" t="str">
        <f t="shared" ca="1" si="380"/>
        <v>-</v>
      </c>
      <c r="W485" s="808">
        <v>2</v>
      </c>
      <c r="X485" s="794">
        <f t="shared" si="373"/>
        <v>108</v>
      </c>
      <c r="Y485" s="794">
        <v>1</v>
      </c>
      <c r="Z485" s="809" t="str">
        <f t="shared" ca="1" si="381"/>
        <v>-----</v>
      </c>
      <c r="AA485" s="810" t="str">
        <f t="shared" ca="1" si="382"/>
        <v>-----</v>
      </c>
      <c r="AB485" s="804">
        <v>1</v>
      </c>
      <c r="AC485" s="811" t="str">
        <f t="shared" ca="1" si="383"/>
        <v>-----</v>
      </c>
      <c r="AD485" s="798">
        <v>42995</v>
      </c>
      <c r="AE485" s="794" t="str">
        <f t="shared" ca="1" si="384"/>
        <v>-</v>
      </c>
      <c r="AF485" s="798" t="str">
        <f t="shared" si="385"/>
        <v>-</v>
      </c>
      <c r="AG485" s="812" t="str">
        <f t="shared" si="386"/>
        <v>---------</v>
      </c>
      <c r="AH485" s="807">
        <v>42947</v>
      </c>
      <c r="AI485" s="807">
        <f t="shared" si="387"/>
        <v>43109</v>
      </c>
      <c r="AJ485" s="807">
        <f t="shared" si="388"/>
        <v>43139</v>
      </c>
      <c r="AK485" s="813">
        <v>43053</v>
      </c>
      <c r="AL485" s="807">
        <f t="shared" si="389"/>
        <v>43178</v>
      </c>
      <c r="AM485" s="807">
        <f t="shared" si="390"/>
        <v>43199</v>
      </c>
      <c r="AN485" s="814">
        <f t="shared" ca="1" si="391"/>
        <v>-65</v>
      </c>
      <c r="AO485" s="815">
        <v>1</v>
      </c>
      <c r="AP485" s="816" t="str">
        <f t="shared" ca="1" si="392"/>
        <v>-</v>
      </c>
      <c r="AQ485" s="817"/>
      <c r="AR485" s="794" t="str">
        <f t="shared" si="393"/>
        <v>-</v>
      </c>
      <c r="AS485" s="818"/>
      <c r="AT485" s="794" t="str">
        <f t="shared" si="394"/>
        <v>DRY COW</v>
      </c>
      <c r="AU485" s="819"/>
      <c r="AV485" s="820"/>
      <c r="AW485" s="821"/>
      <c r="AX485" s="821"/>
      <c r="AY485" s="969" t="str">
        <f t="shared" si="395"/>
        <v>-</v>
      </c>
      <c r="AZ485" s="966" t="str">
        <f t="shared" si="396"/>
        <v>-</v>
      </c>
      <c r="BA485" s="971" t="str">
        <f t="shared" si="397"/>
        <v>-</v>
      </c>
      <c r="BB485" s="975"/>
      <c r="BC485" s="821"/>
      <c r="BD485" s="821"/>
      <c r="BE485" s="963" t="str">
        <f t="shared" si="398"/>
        <v>-</v>
      </c>
      <c r="BF485" s="984"/>
      <c r="BG485" s="988"/>
      <c r="BH485" s="982"/>
      <c r="BI485" s="991"/>
      <c r="BJ485" s="991"/>
      <c r="BK485" s="993" t="str">
        <f t="shared" si="399"/>
        <v>-</v>
      </c>
      <c r="BL485" s="820">
        <v>42981</v>
      </c>
      <c r="BM485" s="821">
        <v>5</v>
      </c>
      <c r="BN485" s="822">
        <f t="shared" ca="1" si="400"/>
        <v>153</v>
      </c>
      <c r="BO485" s="823">
        <f t="shared" si="401"/>
        <v>48.833333333333336</v>
      </c>
      <c r="BP485" s="824"/>
      <c r="BQ485" s="821"/>
      <c r="BR485" s="822" t="str">
        <f t="shared" si="402"/>
        <v>-</v>
      </c>
      <c r="BS485" s="823" t="str">
        <f t="shared" si="403"/>
        <v>-</v>
      </c>
      <c r="BT485" s="825" t="str">
        <f t="shared" ca="1" si="404"/>
        <v>-</v>
      </c>
      <c r="BU485" s="826"/>
      <c r="BV485" s="827"/>
      <c r="BW485" s="828" t="str">
        <f t="shared" si="405"/>
        <v>Ж-Е НЕ ВАКЦ.</v>
      </c>
      <c r="BX485" s="829" t="str">
        <f t="shared" si="406"/>
        <v>-</v>
      </c>
      <c r="BY485" s="830" t="str">
        <f t="shared" ca="1" si="407"/>
        <v>-</v>
      </c>
      <c r="BZ485" s="831">
        <v>42887</v>
      </c>
      <c r="CA485" s="832">
        <v>5</v>
      </c>
      <c r="CB485" s="833">
        <f t="shared" ca="1" si="408"/>
        <v>247</v>
      </c>
      <c r="CC485" s="834" t="str">
        <f t="shared" ca="1" si="409"/>
        <v>-</v>
      </c>
      <c r="CD485" s="835">
        <f t="shared" si="410"/>
        <v>42908</v>
      </c>
      <c r="CE485" s="831">
        <v>42908</v>
      </c>
      <c r="CF485" s="832">
        <v>5</v>
      </c>
      <c r="CG485" s="833">
        <f t="shared" ca="1" si="411"/>
        <v>226</v>
      </c>
      <c r="CH485" s="836">
        <f t="shared" si="412"/>
        <v>0</v>
      </c>
      <c r="CI485" s="837" t="str">
        <f t="shared" si="413"/>
        <v>УСПЕШНО</v>
      </c>
      <c r="CJ485" s="838" t="str">
        <f t="shared" ca="1" si="414"/>
        <v>-</v>
      </c>
      <c r="CK485" s="831"/>
      <c r="CL485" s="832"/>
      <c r="CM485" s="833" t="str">
        <f t="shared" si="415"/>
        <v>-</v>
      </c>
      <c r="CN485" s="834" t="str">
        <f t="shared" si="416"/>
        <v>-</v>
      </c>
      <c r="CO485" s="830" t="str">
        <f t="shared" ca="1" si="417"/>
        <v>ТРЕБУЕТСЯ ВАКЦИНАЦИЯ</v>
      </c>
      <c r="CP485" s="839"/>
      <c r="CQ485" s="832"/>
      <c r="CR485" s="833" t="str">
        <f t="shared" si="418"/>
        <v>-</v>
      </c>
      <c r="CS485" s="833" t="str">
        <f t="shared" si="419"/>
        <v>-</v>
      </c>
      <c r="CT485" s="834" t="str">
        <f t="shared" si="420"/>
        <v>-</v>
      </c>
      <c r="CU485" s="835" t="str">
        <f t="shared" si="421"/>
        <v>-</v>
      </c>
      <c r="CV485" s="839"/>
      <c r="CW485" s="832"/>
      <c r="CX485" s="833" t="str">
        <f t="shared" si="422"/>
        <v>-</v>
      </c>
      <c r="CY485" s="840" t="str">
        <f t="shared" si="423"/>
        <v>-</v>
      </c>
      <c r="CZ485" s="833" t="str">
        <f t="shared" si="424"/>
        <v>-</v>
      </c>
      <c r="DA485" s="838" t="str">
        <f t="shared" ca="1" si="425"/>
        <v>-</v>
      </c>
      <c r="DB485" s="841"/>
      <c r="DC485" s="832"/>
    </row>
    <row r="486" spans="1:107" s="842" customFormat="1" ht="15.95" customHeight="1" x14ac:dyDescent="0.25">
      <c r="A486" s="790">
        <v>488</v>
      </c>
      <c r="B486" s="791">
        <f t="shared" ca="1" si="374"/>
        <v>43134</v>
      </c>
      <c r="C486" s="29" t="s">
        <v>2404</v>
      </c>
      <c r="D486" s="427" t="s">
        <v>3199</v>
      </c>
      <c r="E486" s="794" t="s">
        <v>105</v>
      </c>
      <c r="F486" s="795" t="s">
        <v>106</v>
      </c>
      <c r="G486" s="796">
        <f>SUMIFS(МОЛОКО!L8:L6958,МОЛОКО!F8:F6958,"38",МОЛОКО!L8:L6958,"&gt;0")</f>
        <v>0</v>
      </c>
      <c r="H486" s="797" t="s">
        <v>603</v>
      </c>
      <c r="I486" s="798">
        <v>40558</v>
      </c>
      <c r="J486" s="799">
        <f t="shared" ca="1" si="375"/>
        <v>7.0575342465753428</v>
      </c>
      <c r="K486" s="799">
        <f t="shared" ca="1" si="376"/>
        <v>85.86666666666666</v>
      </c>
      <c r="L486" s="800">
        <f t="shared" ca="1" si="377"/>
        <v>2576</v>
      </c>
      <c r="M486" s="801">
        <v>41522</v>
      </c>
      <c r="N486" s="802">
        <v>42719</v>
      </c>
      <c r="O486" s="803">
        <f t="shared" ca="1" si="378"/>
        <v>415</v>
      </c>
      <c r="P486" s="804">
        <v>4</v>
      </c>
      <c r="Q486" s="805" t="s">
        <v>2366</v>
      </c>
      <c r="R486" s="806" t="s">
        <v>1815</v>
      </c>
      <c r="S486" s="807">
        <v>42775</v>
      </c>
      <c r="T486" s="798">
        <v>42775</v>
      </c>
      <c r="U486" s="798" t="str">
        <f t="shared" si="379"/>
        <v>-</v>
      </c>
      <c r="V486" s="804" t="str">
        <f t="shared" ca="1" si="380"/>
        <v>-</v>
      </c>
      <c r="W486" s="808">
        <v>1</v>
      </c>
      <c r="X486" s="794">
        <f t="shared" si="373"/>
        <v>56</v>
      </c>
      <c r="Y486" s="794">
        <v>1</v>
      </c>
      <c r="Z486" s="809" t="str">
        <f t="shared" ca="1" si="381"/>
        <v>ПОДЛЕЖИТ ПЕРЕПРОВЕРКЕ</v>
      </c>
      <c r="AA486" s="810">
        <f t="shared" ca="1" si="382"/>
        <v>359</v>
      </c>
      <c r="AB486" s="804"/>
      <c r="AC486" s="811">
        <f t="shared" ca="1" si="383"/>
        <v>42847</v>
      </c>
      <c r="AD486" s="798"/>
      <c r="AE486" s="794" t="str">
        <f t="shared" ca="1" si="384"/>
        <v>-</v>
      </c>
      <c r="AF486" s="798" t="str">
        <f t="shared" si="385"/>
        <v>-</v>
      </c>
      <c r="AG486" s="812" t="str">
        <f t="shared" si="386"/>
        <v>---------</v>
      </c>
      <c r="AH486" s="807">
        <v>42810</v>
      </c>
      <c r="AI486" s="807">
        <f t="shared" si="387"/>
        <v>42965</v>
      </c>
      <c r="AJ486" s="807">
        <f t="shared" si="388"/>
        <v>42995</v>
      </c>
      <c r="AK486" s="813">
        <v>42989</v>
      </c>
      <c r="AL486" s="807">
        <f t="shared" si="389"/>
        <v>43034</v>
      </c>
      <c r="AM486" s="807">
        <f t="shared" si="390"/>
        <v>43055</v>
      </c>
      <c r="AN486" s="814">
        <f t="shared" ca="1" si="391"/>
        <v>79</v>
      </c>
      <c r="AO486" s="815">
        <v>1</v>
      </c>
      <c r="AP486" s="816" t="str">
        <f t="shared" ca="1" si="392"/>
        <v>-</v>
      </c>
      <c r="AQ486" s="817"/>
      <c r="AR486" s="794" t="str">
        <f t="shared" si="393"/>
        <v>-</v>
      </c>
      <c r="AS486" s="818"/>
      <c r="AT486" s="794" t="str">
        <f t="shared" si="394"/>
        <v>DRY COW</v>
      </c>
      <c r="AU486" s="819"/>
      <c r="AV486" s="820"/>
      <c r="AW486" s="821"/>
      <c r="AX486" s="821"/>
      <c r="AY486" s="969" t="str">
        <f t="shared" si="395"/>
        <v>-</v>
      </c>
      <c r="AZ486" s="966" t="str">
        <f t="shared" si="396"/>
        <v>-</v>
      </c>
      <c r="BA486" s="971" t="str">
        <f t="shared" si="397"/>
        <v>-</v>
      </c>
      <c r="BB486" s="975"/>
      <c r="BC486" s="821"/>
      <c r="BD486" s="821"/>
      <c r="BE486" s="963" t="str">
        <f t="shared" si="398"/>
        <v>-</v>
      </c>
      <c r="BF486" s="984"/>
      <c r="BG486" s="988"/>
      <c r="BH486" s="982"/>
      <c r="BI486" s="991"/>
      <c r="BJ486" s="991"/>
      <c r="BK486" s="993" t="str">
        <f t="shared" si="399"/>
        <v>-</v>
      </c>
      <c r="BL486" s="820">
        <v>42981</v>
      </c>
      <c r="BM486" s="821">
        <v>5</v>
      </c>
      <c r="BN486" s="822">
        <f t="shared" ca="1" si="400"/>
        <v>153</v>
      </c>
      <c r="BO486" s="823">
        <f t="shared" si="401"/>
        <v>80.766666666666666</v>
      </c>
      <c r="BP486" s="824"/>
      <c r="BQ486" s="821"/>
      <c r="BR486" s="822" t="str">
        <f t="shared" si="402"/>
        <v>-</v>
      </c>
      <c r="BS486" s="823" t="str">
        <f t="shared" si="403"/>
        <v>-</v>
      </c>
      <c r="BT486" s="825" t="str">
        <f t="shared" ca="1" si="404"/>
        <v>-</v>
      </c>
      <c r="BU486" s="826"/>
      <c r="BV486" s="827"/>
      <c r="BW486" s="828" t="str">
        <f t="shared" si="405"/>
        <v>Ж-Е НЕ ВАКЦ.</v>
      </c>
      <c r="BX486" s="829" t="str">
        <f t="shared" si="406"/>
        <v>-</v>
      </c>
      <c r="BY486" s="830" t="str">
        <f t="shared" ca="1" si="407"/>
        <v>-</v>
      </c>
      <c r="BZ486" s="831">
        <v>42887</v>
      </c>
      <c r="CA486" s="832">
        <v>5</v>
      </c>
      <c r="CB486" s="833">
        <f t="shared" ca="1" si="408"/>
        <v>247</v>
      </c>
      <c r="CC486" s="834" t="str">
        <f t="shared" ca="1" si="409"/>
        <v>-</v>
      </c>
      <c r="CD486" s="835">
        <f t="shared" si="410"/>
        <v>42908</v>
      </c>
      <c r="CE486" s="831">
        <v>42908</v>
      </c>
      <c r="CF486" s="832">
        <v>5</v>
      </c>
      <c r="CG486" s="833">
        <f t="shared" ca="1" si="411"/>
        <v>226</v>
      </c>
      <c r="CH486" s="836">
        <f t="shared" si="412"/>
        <v>0</v>
      </c>
      <c r="CI486" s="837" t="str">
        <f t="shared" si="413"/>
        <v>УСПЕШНО</v>
      </c>
      <c r="CJ486" s="838" t="str">
        <f t="shared" ca="1" si="414"/>
        <v>-</v>
      </c>
      <c r="CK486" s="831"/>
      <c r="CL486" s="832"/>
      <c r="CM486" s="833" t="str">
        <f t="shared" si="415"/>
        <v>-</v>
      </c>
      <c r="CN486" s="834" t="str">
        <f t="shared" si="416"/>
        <v>-</v>
      </c>
      <c r="CO486" s="830" t="str">
        <f t="shared" ca="1" si="417"/>
        <v>-</v>
      </c>
      <c r="CP486" s="831">
        <v>42989</v>
      </c>
      <c r="CQ486" s="832">
        <v>2</v>
      </c>
      <c r="CR486" s="833">
        <f t="shared" si="418"/>
        <v>214</v>
      </c>
      <c r="CS486" s="833">
        <f t="shared" ca="1" si="419"/>
        <v>145</v>
      </c>
      <c r="CT486" s="834" t="str">
        <f t="shared" ca="1" si="420"/>
        <v>-</v>
      </c>
      <c r="CU486" s="835">
        <f t="shared" si="421"/>
        <v>43010</v>
      </c>
      <c r="CV486" s="831">
        <v>43011</v>
      </c>
      <c r="CW486" s="832">
        <v>2</v>
      </c>
      <c r="CX486" s="833">
        <f t="shared" si="422"/>
        <v>1</v>
      </c>
      <c r="CY486" s="840" t="str">
        <f t="shared" si="423"/>
        <v>-</v>
      </c>
      <c r="CZ486" s="833">
        <f t="shared" si="424"/>
        <v>236</v>
      </c>
      <c r="DA486" s="838" t="str">
        <f t="shared" ca="1" si="425"/>
        <v>ТРЕБУЕТСЯ РЕВАКЦИНАЦИЯ</v>
      </c>
      <c r="DB486" s="841"/>
      <c r="DC486" s="832"/>
    </row>
    <row r="487" spans="1:107" s="842" customFormat="1" ht="15.95" customHeight="1" x14ac:dyDescent="0.25">
      <c r="A487" s="790">
        <v>489</v>
      </c>
      <c r="B487" s="791">
        <f t="shared" ca="1" si="374"/>
        <v>43134</v>
      </c>
      <c r="C487" s="29" t="s">
        <v>2404</v>
      </c>
      <c r="D487" s="59" t="s">
        <v>3199</v>
      </c>
      <c r="E487" s="794" t="s">
        <v>108</v>
      </c>
      <c r="F487" s="795" t="s">
        <v>372</v>
      </c>
      <c r="G487" s="796">
        <f>SUMIFS(МОЛОКО!L8:L6958,МОЛОКО!F8:F6958,"51",МОЛОКО!L8:L6958,"&gt;0")</f>
        <v>0</v>
      </c>
      <c r="H487" s="797" t="s">
        <v>603</v>
      </c>
      <c r="I487" s="798">
        <v>40294</v>
      </c>
      <c r="J487" s="799">
        <f t="shared" ca="1" si="375"/>
        <v>7.7808219178082192</v>
      </c>
      <c r="K487" s="799">
        <f t="shared" ca="1" si="376"/>
        <v>94.666666666666671</v>
      </c>
      <c r="L487" s="800">
        <f t="shared" ca="1" si="377"/>
        <v>2840</v>
      </c>
      <c r="M487" s="801">
        <v>41396</v>
      </c>
      <c r="N487" s="802">
        <v>42680</v>
      </c>
      <c r="O487" s="803">
        <f t="shared" ca="1" si="378"/>
        <v>454</v>
      </c>
      <c r="P487" s="804">
        <v>4</v>
      </c>
      <c r="Q487" s="805" t="s">
        <v>2366</v>
      </c>
      <c r="R487" s="806" t="s">
        <v>2294</v>
      </c>
      <c r="S487" s="807">
        <v>42741</v>
      </c>
      <c r="T487" s="798">
        <v>42797</v>
      </c>
      <c r="U487" s="798" t="str">
        <f t="shared" si="379"/>
        <v>-</v>
      </c>
      <c r="V487" s="804" t="str">
        <f t="shared" ca="1" si="380"/>
        <v>-</v>
      </c>
      <c r="W487" s="808">
        <v>3</v>
      </c>
      <c r="X487" s="794">
        <f t="shared" si="373"/>
        <v>117</v>
      </c>
      <c r="Y487" s="794">
        <v>1</v>
      </c>
      <c r="Z487" s="809" t="str">
        <f t="shared" ca="1" si="381"/>
        <v>ПОДЛЕЖИТ ПЕРЕПРОВЕРКЕ</v>
      </c>
      <c r="AA487" s="810">
        <f t="shared" ca="1" si="382"/>
        <v>337</v>
      </c>
      <c r="AB487" s="804"/>
      <c r="AC487" s="811">
        <f t="shared" ca="1" si="383"/>
        <v>42869</v>
      </c>
      <c r="AD487" s="798"/>
      <c r="AE487" s="794" t="str">
        <f t="shared" ca="1" si="384"/>
        <v>-</v>
      </c>
      <c r="AF487" s="798" t="str">
        <f t="shared" si="385"/>
        <v>-</v>
      </c>
      <c r="AG487" s="812" t="str">
        <f t="shared" si="386"/>
        <v>---------</v>
      </c>
      <c r="AH487" s="807">
        <v>42832</v>
      </c>
      <c r="AI487" s="807">
        <f t="shared" si="387"/>
        <v>42987</v>
      </c>
      <c r="AJ487" s="807">
        <f t="shared" si="388"/>
        <v>43017</v>
      </c>
      <c r="AK487" s="813">
        <v>43016</v>
      </c>
      <c r="AL487" s="807">
        <f t="shared" si="389"/>
        <v>43056</v>
      </c>
      <c r="AM487" s="807">
        <f t="shared" si="390"/>
        <v>43077</v>
      </c>
      <c r="AN487" s="814">
        <f t="shared" ca="1" si="391"/>
        <v>57</v>
      </c>
      <c r="AO487" s="815">
        <v>1</v>
      </c>
      <c r="AP487" s="816" t="str">
        <f t="shared" ca="1" si="392"/>
        <v>-</v>
      </c>
      <c r="AQ487" s="817"/>
      <c r="AR487" s="794" t="str">
        <f t="shared" si="393"/>
        <v>-</v>
      </c>
      <c r="AS487" s="818"/>
      <c r="AT487" s="794" t="str">
        <f t="shared" si="394"/>
        <v>DRY COW</v>
      </c>
      <c r="AU487" s="819"/>
      <c r="AV487" s="820"/>
      <c r="AW487" s="821"/>
      <c r="AX487" s="821"/>
      <c r="AY487" s="969" t="str">
        <f t="shared" si="395"/>
        <v>-</v>
      </c>
      <c r="AZ487" s="966" t="str">
        <f t="shared" si="396"/>
        <v>-</v>
      </c>
      <c r="BA487" s="971" t="str">
        <f t="shared" si="397"/>
        <v>-</v>
      </c>
      <c r="BB487" s="975"/>
      <c r="BC487" s="821"/>
      <c r="BD487" s="821"/>
      <c r="BE487" s="963" t="str">
        <f t="shared" si="398"/>
        <v>-</v>
      </c>
      <c r="BF487" s="984"/>
      <c r="BG487" s="988"/>
      <c r="BH487" s="982"/>
      <c r="BI487" s="991"/>
      <c r="BJ487" s="991"/>
      <c r="BK487" s="993" t="str">
        <f t="shared" si="399"/>
        <v>-</v>
      </c>
      <c r="BL487" s="820">
        <v>42981</v>
      </c>
      <c r="BM487" s="821">
        <v>5</v>
      </c>
      <c r="BN487" s="822">
        <f t="shared" ca="1" si="400"/>
        <v>153</v>
      </c>
      <c r="BO487" s="823">
        <f t="shared" si="401"/>
        <v>89.566666666666663</v>
      </c>
      <c r="BP487" s="824"/>
      <c r="BQ487" s="821"/>
      <c r="BR487" s="822" t="str">
        <f t="shared" si="402"/>
        <v>-</v>
      </c>
      <c r="BS487" s="823" t="str">
        <f t="shared" si="403"/>
        <v>-</v>
      </c>
      <c r="BT487" s="825" t="str">
        <f t="shared" ca="1" si="404"/>
        <v>-</v>
      </c>
      <c r="BU487" s="826"/>
      <c r="BV487" s="827"/>
      <c r="BW487" s="828" t="str">
        <f t="shared" si="405"/>
        <v>Ж-Е НЕ ВАКЦ.</v>
      </c>
      <c r="BX487" s="829" t="str">
        <f t="shared" si="406"/>
        <v>-</v>
      </c>
      <c r="BY487" s="830" t="str">
        <f t="shared" ca="1" si="407"/>
        <v>-</v>
      </c>
      <c r="BZ487" s="831">
        <v>42887</v>
      </c>
      <c r="CA487" s="832">
        <v>5</v>
      </c>
      <c r="CB487" s="833">
        <f t="shared" ca="1" si="408"/>
        <v>247</v>
      </c>
      <c r="CC487" s="834" t="str">
        <f t="shared" ca="1" si="409"/>
        <v>-</v>
      </c>
      <c r="CD487" s="835">
        <f t="shared" si="410"/>
        <v>42908</v>
      </c>
      <c r="CE487" s="831">
        <v>42908</v>
      </c>
      <c r="CF487" s="832">
        <v>5</v>
      </c>
      <c r="CG487" s="833">
        <f t="shared" ca="1" si="411"/>
        <v>226</v>
      </c>
      <c r="CH487" s="836">
        <f t="shared" si="412"/>
        <v>0</v>
      </c>
      <c r="CI487" s="837" t="str">
        <f t="shared" si="413"/>
        <v>УСПЕШНО</v>
      </c>
      <c r="CJ487" s="838" t="str">
        <f t="shared" ca="1" si="414"/>
        <v>-</v>
      </c>
      <c r="CK487" s="831"/>
      <c r="CL487" s="832"/>
      <c r="CM487" s="833" t="str">
        <f t="shared" si="415"/>
        <v>-</v>
      </c>
      <c r="CN487" s="834" t="str">
        <f t="shared" si="416"/>
        <v>-</v>
      </c>
      <c r="CO487" s="830" t="str">
        <f t="shared" ca="1" si="417"/>
        <v>-</v>
      </c>
      <c r="CP487" s="831">
        <v>43010</v>
      </c>
      <c r="CQ487" s="832">
        <v>2</v>
      </c>
      <c r="CR487" s="833">
        <f t="shared" si="418"/>
        <v>213</v>
      </c>
      <c r="CS487" s="833">
        <f t="shared" ca="1" si="419"/>
        <v>124</v>
      </c>
      <c r="CT487" s="834" t="str">
        <f t="shared" ca="1" si="420"/>
        <v>-</v>
      </c>
      <c r="CU487" s="835">
        <f t="shared" si="421"/>
        <v>43031</v>
      </c>
      <c r="CV487" s="831">
        <v>43031</v>
      </c>
      <c r="CW487" s="832">
        <v>2</v>
      </c>
      <c r="CX487" s="833">
        <f t="shared" si="422"/>
        <v>0</v>
      </c>
      <c r="CY487" s="840" t="str">
        <f t="shared" si="423"/>
        <v>УСПЕШНО</v>
      </c>
      <c r="CZ487" s="833">
        <f t="shared" si="424"/>
        <v>234</v>
      </c>
      <c r="DA487" s="838" t="str">
        <f t="shared" ca="1" si="425"/>
        <v>ТРЕБУЕТСЯ РЕВАКЦИНАЦИЯ</v>
      </c>
      <c r="DB487" s="841"/>
      <c r="DC487" s="832"/>
    </row>
    <row r="488" spans="1:107" s="842" customFormat="1" ht="15.95" customHeight="1" x14ac:dyDescent="0.25">
      <c r="A488" s="790">
        <v>490</v>
      </c>
      <c r="B488" s="791">
        <f t="shared" ca="1" si="374"/>
        <v>43134</v>
      </c>
      <c r="C488" s="29" t="s">
        <v>2404</v>
      </c>
      <c r="D488" s="59" t="s">
        <v>3199</v>
      </c>
      <c r="E488" s="794" t="s">
        <v>104</v>
      </c>
      <c r="F488" s="854" t="s">
        <v>286</v>
      </c>
      <c r="G488" s="796">
        <f>SUMIFS(МОЛОКО!L8:L6958,МОЛОКО!F8:F6958,"60",МОЛОКО!L8:L6958,"&gt;0")</f>
        <v>0</v>
      </c>
      <c r="H488" s="797" t="s">
        <v>603</v>
      </c>
      <c r="I488" s="798">
        <v>40628</v>
      </c>
      <c r="J488" s="799">
        <f t="shared" ca="1" si="375"/>
        <v>6.8657534246575347</v>
      </c>
      <c r="K488" s="799">
        <f t="shared" ca="1" si="376"/>
        <v>83.533333333333331</v>
      </c>
      <c r="L488" s="800">
        <f t="shared" ca="1" si="377"/>
        <v>2506</v>
      </c>
      <c r="M488" s="801">
        <v>41667</v>
      </c>
      <c r="N488" s="802">
        <v>42607</v>
      </c>
      <c r="O488" s="803">
        <f t="shared" ca="1" si="378"/>
        <v>527</v>
      </c>
      <c r="P488" s="804">
        <v>2</v>
      </c>
      <c r="Q488" s="805" t="s">
        <v>2366</v>
      </c>
      <c r="R488" s="806" t="s">
        <v>2294</v>
      </c>
      <c r="S488" s="807">
        <v>42690</v>
      </c>
      <c r="T488" s="798">
        <v>42797</v>
      </c>
      <c r="U488" s="798" t="str">
        <f t="shared" si="379"/>
        <v>-</v>
      </c>
      <c r="V488" s="804" t="str">
        <f t="shared" ca="1" si="380"/>
        <v>-</v>
      </c>
      <c r="W488" s="808">
        <v>3</v>
      </c>
      <c r="X488" s="794">
        <f t="shared" si="373"/>
        <v>190</v>
      </c>
      <c r="Y488" s="794">
        <v>1</v>
      </c>
      <c r="Z488" s="809" t="str">
        <f t="shared" ca="1" si="381"/>
        <v>-----</v>
      </c>
      <c r="AA488" s="810" t="str">
        <f t="shared" ca="1" si="382"/>
        <v>-----</v>
      </c>
      <c r="AB488" s="804">
        <v>1</v>
      </c>
      <c r="AC488" s="811" t="str">
        <f t="shared" ca="1" si="383"/>
        <v>-----</v>
      </c>
      <c r="AD488" s="798">
        <v>43010</v>
      </c>
      <c r="AE488" s="794" t="str">
        <f t="shared" ca="1" si="384"/>
        <v>-</v>
      </c>
      <c r="AF488" s="798" t="str">
        <f t="shared" si="385"/>
        <v>-</v>
      </c>
      <c r="AG488" s="812" t="str">
        <f t="shared" si="386"/>
        <v>---------</v>
      </c>
      <c r="AH488" s="807">
        <v>42839</v>
      </c>
      <c r="AI488" s="807">
        <f t="shared" si="387"/>
        <v>42987</v>
      </c>
      <c r="AJ488" s="807">
        <f t="shared" si="388"/>
        <v>43017</v>
      </c>
      <c r="AK488" s="813">
        <v>43010</v>
      </c>
      <c r="AL488" s="807">
        <f t="shared" si="389"/>
        <v>43056</v>
      </c>
      <c r="AM488" s="807">
        <f t="shared" si="390"/>
        <v>43077</v>
      </c>
      <c r="AN488" s="814">
        <f t="shared" ca="1" si="391"/>
        <v>57</v>
      </c>
      <c r="AO488" s="815">
        <v>1</v>
      </c>
      <c r="AP488" s="816" t="str">
        <f t="shared" ca="1" si="392"/>
        <v>-</v>
      </c>
      <c r="AQ488" s="817"/>
      <c r="AR488" s="794" t="str">
        <f t="shared" si="393"/>
        <v>-</v>
      </c>
      <c r="AS488" s="818"/>
      <c r="AT488" s="794" t="str">
        <f t="shared" si="394"/>
        <v>DRY COW</v>
      </c>
      <c r="AU488" s="819">
        <v>1</v>
      </c>
      <c r="AV488" s="820"/>
      <c r="AW488" s="821"/>
      <c r="AX488" s="821"/>
      <c r="AY488" s="969" t="str">
        <f t="shared" si="395"/>
        <v>-</v>
      </c>
      <c r="AZ488" s="966" t="str">
        <f t="shared" si="396"/>
        <v>-</v>
      </c>
      <c r="BA488" s="971" t="str">
        <f t="shared" si="397"/>
        <v>-</v>
      </c>
      <c r="BB488" s="975"/>
      <c r="BC488" s="821"/>
      <c r="BD488" s="821"/>
      <c r="BE488" s="963" t="str">
        <f t="shared" si="398"/>
        <v>-</v>
      </c>
      <c r="BF488" s="984"/>
      <c r="BG488" s="988"/>
      <c r="BH488" s="982"/>
      <c r="BI488" s="991"/>
      <c r="BJ488" s="991"/>
      <c r="BK488" s="993" t="str">
        <f t="shared" si="399"/>
        <v>-</v>
      </c>
      <c r="BL488" s="820">
        <v>42981</v>
      </c>
      <c r="BM488" s="821">
        <v>5</v>
      </c>
      <c r="BN488" s="822">
        <f t="shared" ca="1" si="400"/>
        <v>153</v>
      </c>
      <c r="BO488" s="823">
        <f t="shared" si="401"/>
        <v>78.433333333333337</v>
      </c>
      <c r="BP488" s="824"/>
      <c r="BQ488" s="821"/>
      <c r="BR488" s="822" t="str">
        <f t="shared" si="402"/>
        <v>-</v>
      </c>
      <c r="BS488" s="823" t="str">
        <f t="shared" si="403"/>
        <v>-</v>
      </c>
      <c r="BT488" s="825" t="str">
        <f t="shared" ca="1" si="404"/>
        <v>-</v>
      </c>
      <c r="BU488" s="826"/>
      <c r="BV488" s="827"/>
      <c r="BW488" s="828" t="str">
        <f t="shared" si="405"/>
        <v>Ж-Е НЕ ВАКЦ.</v>
      </c>
      <c r="BX488" s="829" t="str">
        <f t="shared" si="406"/>
        <v>-</v>
      </c>
      <c r="BY488" s="830" t="str">
        <f t="shared" ca="1" si="407"/>
        <v>-</v>
      </c>
      <c r="BZ488" s="831">
        <v>42887</v>
      </c>
      <c r="CA488" s="832">
        <v>5</v>
      </c>
      <c r="CB488" s="833">
        <f t="shared" ca="1" si="408"/>
        <v>247</v>
      </c>
      <c r="CC488" s="834" t="str">
        <f t="shared" ca="1" si="409"/>
        <v>-</v>
      </c>
      <c r="CD488" s="835">
        <f t="shared" si="410"/>
        <v>42908</v>
      </c>
      <c r="CE488" s="831">
        <v>42908</v>
      </c>
      <c r="CF488" s="832">
        <v>5</v>
      </c>
      <c r="CG488" s="833">
        <f t="shared" ca="1" si="411"/>
        <v>226</v>
      </c>
      <c r="CH488" s="836">
        <f t="shared" si="412"/>
        <v>0</v>
      </c>
      <c r="CI488" s="837" t="str">
        <f t="shared" si="413"/>
        <v>УСПЕШНО</v>
      </c>
      <c r="CJ488" s="838" t="str">
        <f t="shared" ca="1" si="414"/>
        <v>-</v>
      </c>
      <c r="CK488" s="831"/>
      <c r="CL488" s="832"/>
      <c r="CM488" s="833" t="str">
        <f t="shared" si="415"/>
        <v>-</v>
      </c>
      <c r="CN488" s="834" t="str">
        <f t="shared" si="416"/>
        <v>-</v>
      </c>
      <c r="CO488" s="830" t="str">
        <f t="shared" ca="1" si="417"/>
        <v>-</v>
      </c>
      <c r="CP488" s="831">
        <v>43010</v>
      </c>
      <c r="CQ488" s="832">
        <v>2</v>
      </c>
      <c r="CR488" s="833">
        <f t="shared" si="418"/>
        <v>213</v>
      </c>
      <c r="CS488" s="833">
        <f t="shared" ca="1" si="419"/>
        <v>124</v>
      </c>
      <c r="CT488" s="834" t="str">
        <f t="shared" ca="1" si="420"/>
        <v>-</v>
      </c>
      <c r="CU488" s="835">
        <f t="shared" si="421"/>
        <v>43031</v>
      </c>
      <c r="CV488" s="831">
        <v>43031</v>
      </c>
      <c r="CW488" s="832">
        <v>2</v>
      </c>
      <c r="CX488" s="833">
        <f t="shared" si="422"/>
        <v>0</v>
      </c>
      <c r="CY488" s="840" t="str">
        <f t="shared" si="423"/>
        <v>УСПЕШНО</v>
      </c>
      <c r="CZ488" s="833">
        <f t="shared" si="424"/>
        <v>234</v>
      </c>
      <c r="DA488" s="838" t="str">
        <f t="shared" ca="1" si="425"/>
        <v>ТРЕБУЕТСЯ РЕВАКЦИНАЦИЯ</v>
      </c>
      <c r="DB488" s="841"/>
      <c r="DC488" s="832"/>
    </row>
    <row r="489" spans="1:107" s="842" customFormat="1" ht="15.95" customHeight="1" x14ac:dyDescent="0.25">
      <c r="A489" s="790">
        <v>491</v>
      </c>
      <c r="B489" s="791">
        <f t="shared" ca="1" si="374"/>
        <v>43134</v>
      </c>
      <c r="C489" s="29" t="s">
        <v>2404</v>
      </c>
      <c r="D489" s="59" t="s">
        <v>3199</v>
      </c>
      <c r="E489" s="794" t="s">
        <v>451</v>
      </c>
      <c r="F489" s="854" t="s">
        <v>863</v>
      </c>
      <c r="G489" s="796">
        <f>SUMIFS(МОЛОКО!L8:L6958,МОЛОКО!F8:F6958,"440",МОЛОКО!L8:L6958,"&gt;0")</f>
        <v>0</v>
      </c>
      <c r="H489" s="797" t="s">
        <v>603</v>
      </c>
      <c r="I489" s="798">
        <v>39802</v>
      </c>
      <c r="J489" s="799">
        <f t="shared" ca="1" si="375"/>
        <v>9.1287671232876715</v>
      </c>
      <c r="K489" s="799">
        <f t="shared" ca="1" si="376"/>
        <v>111.06666666666666</v>
      </c>
      <c r="L489" s="800">
        <f t="shared" ca="1" si="377"/>
        <v>3332</v>
      </c>
      <c r="M489" s="801">
        <v>40656</v>
      </c>
      <c r="N489" s="802">
        <v>42722</v>
      </c>
      <c r="O489" s="803">
        <f t="shared" ca="1" si="378"/>
        <v>412</v>
      </c>
      <c r="P489" s="804">
        <v>6</v>
      </c>
      <c r="Q489" s="805" t="s">
        <v>2366</v>
      </c>
      <c r="R489" s="806" t="s">
        <v>1815</v>
      </c>
      <c r="S489" s="807">
        <v>42782</v>
      </c>
      <c r="T489" s="798">
        <v>42782</v>
      </c>
      <c r="U489" s="798" t="str">
        <f t="shared" si="379"/>
        <v>-</v>
      </c>
      <c r="V489" s="804" t="str">
        <f t="shared" ca="1" si="380"/>
        <v>-</v>
      </c>
      <c r="W489" s="808">
        <v>1</v>
      </c>
      <c r="X489" s="794">
        <f t="shared" si="373"/>
        <v>60</v>
      </c>
      <c r="Y489" s="794">
        <v>1</v>
      </c>
      <c r="Z489" s="809" t="str">
        <f t="shared" ca="1" si="381"/>
        <v>-----</v>
      </c>
      <c r="AA489" s="810" t="str">
        <f t="shared" ca="1" si="382"/>
        <v>-----</v>
      </c>
      <c r="AB489" s="804">
        <v>1</v>
      </c>
      <c r="AC489" s="811" t="str">
        <f t="shared" ca="1" si="383"/>
        <v>-----</v>
      </c>
      <c r="AD489" s="798">
        <v>43003</v>
      </c>
      <c r="AE489" s="794" t="str">
        <f t="shared" ca="1" si="384"/>
        <v>-</v>
      </c>
      <c r="AF489" s="798" t="str">
        <f t="shared" si="385"/>
        <v>-</v>
      </c>
      <c r="AG489" s="812" t="str">
        <f t="shared" si="386"/>
        <v>---------</v>
      </c>
      <c r="AH489" s="807">
        <v>42816</v>
      </c>
      <c r="AI489" s="807">
        <f t="shared" si="387"/>
        <v>42972</v>
      </c>
      <c r="AJ489" s="807">
        <f t="shared" si="388"/>
        <v>43002</v>
      </c>
      <c r="AK489" s="813">
        <v>43003</v>
      </c>
      <c r="AL489" s="807">
        <f t="shared" si="389"/>
        <v>43041</v>
      </c>
      <c r="AM489" s="807">
        <f t="shared" si="390"/>
        <v>43062</v>
      </c>
      <c r="AN489" s="814">
        <f t="shared" ca="1" si="391"/>
        <v>72</v>
      </c>
      <c r="AO489" s="815">
        <v>1</v>
      </c>
      <c r="AP489" s="816" t="str">
        <f t="shared" ca="1" si="392"/>
        <v>-</v>
      </c>
      <c r="AQ489" s="817"/>
      <c r="AR489" s="794" t="str">
        <f t="shared" si="393"/>
        <v>-</v>
      </c>
      <c r="AS489" s="818"/>
      <c r="AT489" s="794" t="str">
        <f t="shared" si="394"/>
        <v>DRY COW</v>
      </c>
      <c r="AU489" s="819">
        <v>1</v>
      </c>
      <c r="AV489" s="820"/>
      <c r="AW489" s="821"/>
      <c r="AX489" s="821"/>
      <c r="AY489" s="969" t="str">
        <f t="shared" si="395"/>
        <v>-</v>
      </c>
      <c r="AZ489" s="966" t="str">
        <f t="shared" si="396"/>
        <v>-</v>
      </c>
      <c r="BA489" s="971" t="str">
        <f t="shared" si="397"/>
        <v>-</v>
      </c>
      <c r="BB489" s="975"/>
      <c r="BC489" s="821"/>
      <c r="BD489" s="821"/>
      <c r="BE489" s="963" t="str">
        <f t="shared" si="398"/>
        <v>-</v>
      </c>
      <c r="BF489" s="984"/>
      <c r="BG489" s="988"/>
      <c r="BH489" s="982"/>
      <c r="BI489" s="991"/>
      <c r="BJ489" s="991"/>
      <c r="BK489" s="993" t="str">
        <f t="shared" si="399"/>
        <v>-</v>
      </c>
      <c r="BL489" s="820">
        <v>42981</v>
      </c>
      <c r="BM489" s="821">
        <v>5</v>
      </c>
      <c r="BN489" s="822">
        <f t="shared" ca="1" si="400"/>
        <v>153</v>
      </c>
      <c r="BO489" s="823">
        <f t="shared" si="401"/>
        <v>105.96666666666667</v>
      </c>
      <c r="BP489" s="824"/>
      <c r="BQ489" s="821"/>
      <c r="BR489" s="822" t="str">
        <f t="shared" si="402"/>
        <v>-</v>
      </c>
      <c r="BS489" s="823" t="str">
        <f t="shared" si="403"/>
        <v>-</v>
      </c>
      <c r="BT489" s="825" t="str">
        <f t="shared" ca="1" si="404"/>
        <v>-</v>
      </c>
      <c r="BU489" s="826"/>
      <c r="BV489" s="827"/>
      <c r="BW489" s="828" t="str">
        <f t="shared" si="405"/>
        <v>Ж-Е НЕ ВАКЦ.</v>
      </c>
      <c r="BX489" s="829" t="str">
        <f t="shared" si="406"/>
        <v>-</v>
      </c>
      <c r="BY489" s="830" t="str">
        <f t="shared" ca="1" si="407"/>
        <v>-</v>
      </c>
      <c r="BZ489" s="831">
        <v>42887</v>
      </c>
      <c r="CA489" s="832">
        <v>5</v>
      </c>
      <c r="CB489" s="833">
        <f t="shared" ca="1" si="408"/>
        <v>247</v>
      </c>
      <c r="CC489" s="834" t="str">
        <f t="shared" ca="1" si="409"/>
        <v>-</v>
      </c>
      <c r="CD489" s="835">
        <f t="shared" si="410"/>
        <v>42908</v>
      </c>
      <c r="CE489" s="831">
        <v>42908</v>
      </c>
      <c r="CF489" s="832">
        <v>5</v>
      </c>
      <c r="CG489" s="833">
        <f t="shared" ca="1" si="411"/>
        <v>226</v>
      </c>
      <c r="CH489" s="836">
        <f t="shared" si="412"/>
        <v>0</v>
      </c>
      <c r="CI489" s="837" t="str">
        <f t="shared" si="413"/>
        <v>УСПЕШНО</v>
      </c>
      <c r="CJ489" s="838" t="str">
        <f t="shared" ca="1" si="414"/>
        <v>-</v>
      </c>
      <c r="CK489" s="831"/>
      <c r="CL489" s="832"/>
      <c r="CM489" s="833" t="str">
        <f t="shared" si="415"/>
        <v>-</v>
      </c>
      <c r="CN489" s="834" t="str">
        <f t="shared" si="416"/>
        <v>-</v>
      </c>
      <c r="CO489" s="830" t="str">
        <f t="shared" ca="1" si="417"/>
        <v>-</v>
      </c>
      <c r="CP489" s="831">
        <v>43003</v>
      </c>
      <c r="CQ489" s="832">
        <v>2</v>
      </c>
      <c r="CR489" s="833">
        <f t="shared" si="418"/>
        <v>221</v>
      </c>
      <c r="CS489" s="833">
        <f t="shared" ca="1" si="419"/>
        <v>131</v>
      </c>
      <c r="CT489" s="834" t="str">
        <f t="shared" ca="1" si="420"/>
        <v>-</v>
      </c>
      <c r="CU489" s="835">
        <f t="shared" si="421"/>
        <v>43024</v>
      </c>
      <c r="CV489" s="831">
        <v>43024</v>
      </c>
      <c r="CW489" s="832">
        <v>2</v>
      </c>
      <c r="CX489" s="833">
        <f t="shared" si="422"/>
        <v>0</v>
      </c>
      <c r="CY489" s="840" t="str">
        <f t="shared" si="423"/>
        <v>УСПЕШНО</v>
      </c>
      <c r="CZ489" s="833">
        <f t="shared" si="424"/>
        <v>242</v>
      </c>
      <c r="DA489" s="838" t="str">
        <f t="shared" ca="1" si="425"/>
        <v>ТРЕБУЕТСЯ РЕВАКЦИНАЦИЯ</v>
      </c>
      <c r="DB489" s="841"/>
      <c r="DC489" s="832"/>
    </row>
    <row r="490" spans="1:107" s="842" customFormat="1" ht="15.95" customHeight="1" x14ac:dyDescent="0.25">
      <c r="A490" s="790">
        <v>492</v>
      </c>
      <c r="B490" s="791">
        <f t="shared" ca="1" si="374"/>
        <v>43134</v>
      </c>
      <c r="C490" s="792" t="s">
        <v>2404</v>
      </c>
      <c r="D490" s="793" t="s">
        <v>3199</v>
      </c>
      <c r="E490" s="794" t="s">
        <v>323</v>
      </c>
      <c r="F490" s="795" t="s">
        <v>324</v>
      </c>
      <c r="G490" s="796">
        <f>SUMIFS(МОЛОКО!L8:L6958,МОЛОКО!F8:F6958,"1078",МОЛОКО!L8:L6958,"&gt;0")</f>
        <v>0</v>
      </c>
      <c r="H490" s="797" t="s">
        <v>603</v>
      </c>
      <c r="I490" s="798">
        <v>40436</v>
      </c>
      <c r="J490" s="799">
        <f t="shared" ca="1" si="375"/>
        <v>7.3917808219178083</v>
      </c>
      <c r="K490" s="799">
        <f t="shared" ca="1" si="376"/>
        <v>89.933333333333337</v>
      </c>
      <c r="L490" s="800">
        <f t="shared" ca="1" si="377"/>
        <v>2698</v>
      </c>
      <c r="M490" s="801">
        <v>41210</v>
      </c>
      <c r="N490" s="802">
        <v>42711</v>
      </c>
      <c r="O490" s="803">
        <f t="shared" ca="1" si="378"/>
        <v>423</v>
      </c>
      <c r="P490" s="804">
        <v>4</v>
      </c>
      <c r="Q490" s="805" t="s">
        <v>1451</v>
      </c>
      <c r="R490" s="806" t="s">
        <v>1815</v>
      </c>
      <c r="S490" s="807">
        <v>42775</v>
      </c>
      <c r="T490" s="798">
        <v>42775</v>
      </c>
      <c r="U490" s="798" t="str">
        <f t="shared" si="379"/>
        <v>-</v>
      </c>
      <c r="V490" s="804" t="str">
        <f t="shared" ca="1" si="380"/>
        <v>-</v>
      </c>
      <c r="W490" s="808">
        <v>1</v>
      </c>
      <c r="X490" s="794">
        <f t="shared" si="373"/>
        <v>64</v>
      </c>
      <c r="Y490" s="794">
        <v>1</v>
      </c>
      <c r="Z490" s="809" t="str">
        <f t="shared" ca="1" si="381"/>
        <v>-----</v>
      </c>
      <c r="AA490" s="810" t="str">
        <f t="shared" ca="1" si="382"/>
        <v>-----</v>
      </c>
      <c r="AB490" s="804">
        <v>1</v>
      </c>
      <c r="AC490" s="811" t="str">
        <f t="shared" ca="1" si="383"/>
        <v>-----</v>
      </c>
      <c r="AD490" s="798">
        <v>42912</v>
      </c>
      <c r="AE490" s="794" t="str">
        <f t="shared" ca="1" si="384"/>
        <v>-</v>
      </c>
      <c r="AF490" s="798" t="str">
        <f t="shared" si="385"/>
        <v>-</v>
      </c>
      <c r="AG490" s="812" t="str">
        <f t="shared" si="386"/>
        <v>---------</v>
      </c>
      <c r="AH490" s="807">
        <v>42810</v>
      </c>
      <c r="AI490" s="807">
        <f t="shared" si="387"/>
        <v>42965</v>
      </c>
      <c r="AJ490" s="807">
        <f t="shared" si="388"/>
        <v>42995</v>
      </c>
      <c r="AK490" s="813">
        <v>42989</v>
      </c>
      <c r="AL490" s="807">
        <f t="shared" si="389"/>
        <v>43034</v>
      </c>
      <c r="AM490" s="807">
        <f t="shared" si="390"/>
        <v>43055</v>
      </c>
      <c r="AN490" s="814">
        <f t="shared" ca="1" si="391"/>
        <v>79</v>
      </c>
      <c r="AO490" s="815">
        <v>1</v>
      </c>
      <c r="AP490" s="816" t="str">
        <f t="shared" ca="1" si="392"/>
        <v>-</v>
      </c>
      <c r="AQ490" s="817"/>
      <c r="AR490" s="794" t="str">
        <f t="shared" si="393"/>
        <v>-</v>
      </c>
      <c r="AS490" s="818"/>
      <c r="AT490" s="794" t="str">
        <f t="shared" si="394"/>
        <v>DRY COW</v>
      </c>
      <c r="AU490" s="819"/>
      <c r="AV490" s="820"/>
      <c r="AW490" s="821"/>
      <c r="AX490" s="821"/>
      <c r="AY490" s="969" t="str">
        <f t="shared" si="395"/>
        <v>-</v>
      </c>
      <c r="AZ490" s="966" t="str">
        <f t="shared" si="396"/>
        <v>-</v>
      </c>
      <c r="BA490" s="971" t="str">
        <f t="shared" si="397"/>
        <v>-</v>
      </c>
      <c r="BB490" s="975"/>
      <c r="BC490" s="821"/>
      <c r="BD490" s="821"/>
      <c r="BE490" s="963" t="str">
        <f t="shared" si="398"/>
        <v>-</v>
      </c>
      <c r="BF490" s="984"/>
      <c r="BG490" s="988"/>
      <c r="BH490" s="982"/>
      <c r="BI490" s="991"/>
      <c r="BJ490" s="991"/>
      <c r="BK490" s="993" t="str">
        <f t="shared" si="399"/>
        <v>-</v>
      </c>
      <c r="BL490" s="820">
        <v>42981</v>
      </c>
      <c r="BM490" s="821">
        <v>5</v>
      </c>
      <c r="BN490" s="822">
        <f t="shared" ca="1" si="400"/>
        <v>153</v>
      </c>
      <c r="BO490" s="823">
        <f t="shared" si="401"/>
        <v>84.833333333333329</v>
      </c>
      <c r="BP490" s="824"/>
      <c r="BQ490" s="821"/>
      <c r="BR490" s="822" t="str">
        <f t="shared" si="402"/>
        <v>-</v>
      </c>
      <c r="BS490" s="823" t="str">
        <f t="shared" si="403"/>
        <v>-</v>
      </c>
      <c r="BT490" s="825" t="str">
        <f t="shared" ca="1" si="404"/>
        <v>-</v>
      </c>
      <c r="BU490" s="826"/>
      <c r="BV490" s="827"/>
      <c r="BW490" s="828" t="str">
        <f t="shared" si="405"/>
        <v>Ж-Е НЕ ВАКЦ.</v>
      </c>
      <c r="BX490" s="829" t="str">
        <f t="shared" si="406"/>
        <v>-</v>
      </c>
      <c r="BY490" s="830" t="str">
        <f t="shared" ca="1" si="407"/>
        <v>-</v>
      </c>
      <c r="BZ490" s="831">
        <v>42887</v>
      </c>
      <c r="CA490" s="832">
        <v>5</v>
      </c>
      <c r="CB490" s="833">
        <f t="shared" ca="1" si="408"/>
        <v>247</v>
      </c>
      <c r="CC490" s="834" t="str">
        <f t="shared" ca="1" si="409"/>
        <v>-</v>
      </c>
      <c r="CD490" s="835">
        <f t="shared" si="410"/>
        <v>42908</v>
      </c>
      <c r="CE490" s="831">
        <v>42908</v>
      </c>
      <c r="CF490" s="832">
        <v>5</v>
      </c>
      <c r="CG490" s="833">
        <f t="shared" ca="1" si="411"/>
        <v>226</v>
      </c>
      <c r="CH490" s="836">
        <f t="shared" si="412"/>
        <v>0</v>
      </c>
      <c r="CI490" s="837" t="str">
        <f t="shared" si="413"/>
        <v>УСПЕШНО</v>
      </c>
      <c r="CJ490" s="838" t="str">
        <f t="shared" ca="1" si="414"/>
        <v>-</v>
      </c>
      <c r="CK490" s="831"/>
      <c r="CL490" s="832"/>
      <c r="CM490" s="833" t="str">
        <f t="shared" si="415"/>
        <v>-</v>
      </c>
      <c r="CN490" s="834" t="str">
        <f t="shared" si="416"/>
        <v>-</v>
      </c>
      <c r="CO490" s="830" t="str">
        <f t="shared" ca="1" si="417"/>
        <v>-</v>
      </c>
      <c r="CP490" s="831">
        <v>42989</v>
      </c>
      <c r="CQ490" s="832">
        <v>2</v>
      </c>
      <c r="CR490" s="833">
        <f t="shared" si="418"/>
        <v>214</v>
      </c>
      <c r="CS490" s="833">
        <f t="shared" ca="1" si="419"/>
        <v>145</v>
      </c>
      <c r="CT490" s="834" t="str">
        <f t="shared" ca="1" si="420"/>
        <v>-</v>
      </c>
      <c r="CU490" s="835">
        <f t="shared" si="421"/>
        <v>43010</v>
      </c>
      <c r="CV490" s="831">
        <v>43011</v>
      </c>
      <c r="CW490" s="832">
        <v>2</v>
      </c>
      <c r="CX490" s="833">
        <f t="shared" si="422"/>
        <v>1</v>
      </c>
      <c r="CY490" s="840" t="str">
        <f t="shared" si="423"/>
        <v>-</v>
      </c>
      <c r="CZ490" s="833">
        <f t="shared" si="424"/>
        <v>236</v>
      </c>
      <c r="DA490" s="838" t="str">
        <f t="shared" ca="1" si="425"/>
        <v>ТРЕБУЕТСЯ РЕВАКЦИНАЦИЯ</v>
      </c>
      <c r="DB490" s="841"/>
      <c r="DC490" s="832"/>
    </row>
    <row r="491" spans="1:107" s="842" customFormat="1" ht="15.95" customHeight="1" x14ac:dyDescent="0.25">
      <c r="A491" s="790">
        <v>493</v>
      </c>
      <c r="B491" s="791">
        <f t="shared" ca="1" si="374"/>
        <v>43134</v>
      </c>
      <c r="C491" s="29" t="s">
        <v>2404</v>
      </c>
      <c r="D491" s="59" t="s">
        <v>3199</v>
      </c>
      <c r="E491" s="794" t="s">
        <v>101</v>
      </c>
      <c r="F491" s="854" t="s">
        <v>868</v>
      </c>
      <c r="G491" s="796">
        <f>SUMIFS(МОЛОКО!L8:L6958,МОЛОКО!F8:F6958,"1347",МОЛОКО!L8:L6958,"&gt;0")</f>
        <v>0</v>
      </c>
      <c r="H491" s="797" t="s">
        <v>603</v>
      </c>
      <c r="I491" s="798">
        <v>40750</v>
      </c>
      <c r="J491" s="799">
        <f t="shared" ca="1" si="375"/>
        <v>6.5315068493150683</v>
      </c>
      <c r="K491" s="799">
        <f t="shared" ca="1" si="376"/>
        <v>79.466666666666669</v>
      </c>
      <c r="L491" s="800">
        <f t="shared" ca="1" si="377"/>
        <v>2384</v>
      </c>
      <c r="M491" s="801">
        <v>41581</v>
      </c>
      <c r="N491" s="802">
        <v>42731</v>
      </c>
      <c r="O491" s="803">
        <f t="shared" ca="1" si="378"/>
        <v>403</v>
      </c>
      <c r="P491" s="804">
        <v>3</v>
      </c>
      <c r="Q491" s="805" t="s">
        <v>2366</v>
      </c>
      <c r="R491" s="806" t="s">
        <v>1815</v>
      </c>
      <c r="S491" s="807">
        <v>42789</v>
      </c>
      <c r="T491" s="798">
        <v>42789</v>
      </c>
      <c r="U491" s="798" t="str">
        <f t="shared" si="379"/>
        <v>-</v>
      </c>
      <c r="V491" s="804" t="str">
        <f t="shared" ca="1" si="380"/>
        <v>-</v>
      </c>
      <c r="W491" s="808">
        <v>1</v>
      </c>
      <c r="X491" s="794">
        <f t="shared" si="373"/>
        <v>58</v>
      </c>
      <c r="Y491" s="794">
        <v>1</v>
      </c>
      <c r="Z491" s="809" t="str">
        <f t="shared" ca="1" si="381"/>
        <v>-----</v>
      </c>
      <c r="AA491" s="810" t="str">
        <f t="shared" ca="1" si="382"/>
        <v>-----</v>
      </c>
      <c r="AB491" s="804">
        <v>1</v>
      </c>
      <c r="AC491" s="811" t="str">
        <f t="shared" ca="1" si="383"/>
        <v>-----</v>
      </c>
      <c r="AD491" s="798">
        <v>43003</v>
      </c>
      <c r="AE491" s="794" t="str">
        <f t="shared" ca="1" si="384"/>
        <v>-</v>
      </c>
      <c r="AF491" s="798" t="str">
        <f t="shared" si="385"/>
        <v>-</v>
      </c>
      <c r="AG491" s="812" t="str">
        <f t="shared" si="386"/>
        <v>---------</v>
      </c>
      <c r="AH491" s="807">
        <v>42823</v>
      </c>
      <c r="AI491" s="807">
        <f t="shared" si="387"/>
        <v>42979</v>
      </c>
      <c r="AJ491" s="807">
        <f t="shared" si="388"/>
        <v>43009</v>
      </c>
      <c r="AK491" s="813">
        <v>43003</v>
      </c>
      <c r="AL491" s="807">
        <f t="shared" si="389"/>
        <v>43048</v>
      </c>
      <c r="AM491" s="807">
        <f t="shared" si="390"/>
        <v>43069</v>
      </c>
      <c r="AN491" s="814">
        <f t="shared" ca="1" si="391"/>
        <v>65</v>
      </c>
      <c r="AO491" s="815">
        <v>1</v>
      </c>
      <c r="AP491" s="816" t="str">
        <f t="shared" ca="1" si="392"/>
        <v>-</v>
      </c>
      <c r="AQ491" s="817"/>
      <c r="AR491" s="794" t="str">
        <f t="shared" si="393"/>
        <v>-</v>
      </c>
      <c r="AS491" s="818"/>
      <c r="AT491" s="794" t="str">
        <f t="shared" si="394"/>
        <v>DRY COW</v>
      </c>
      <c r="AU491" s="819">
        <v>1</v>
      </c>
      <c r="AV491" s="820"/>
      <c r="AW491" s="821"/>
      <c r="AX491" s="821"/>
      <c r="AY491" s="969" t="str">
        <f t="shared" si="395"/>
        <v>-</v>
      </c>
      <c r="AZ491" s="966" t="str">
        <f t="shared" si="396"/>
        <v>-</v>
      </c>
      <c r="BA491" s="971" t="str">
        <f t="shared" si="397"/>
        <v>-</v>
      </c>
      <c r="BB491" s="975"/>
      <c r="BC491" s="821"/>
      <c r="BD491" s="821"/>
      <c r="BE491" s="963" t="str">
        <f t="shared" si="398"/>
        <v>-</v>
      </c>
      <c r="BF491" s="984"/>
      <c r="BG491" s="988"/>
      <c r="BH491" s="982"/>
      <c r="BI491" s="991"/>
      <c r="BJ491" s="991"/>
      <c r="BK491" s="993" t="str">
        <f t="shared" si="399"/>
        <v>-</v>
      </c>
      <c r="BL491" s="820">
        <v>42981</v>
      </c>
      <c r="BM491" s="821">
        <v>5</v>
      </c>
      <c r="BN491" s="822">
        <f t="shared" ca="1" si="400"/>
        <v>153</v>
      </c>
      <c r="BO491" s="823">
        <f t="shared" si="401"/>
        <v>74.36666666666666</v>
      </c>
      <c r="BP491" s="824"/>
      <c r="BQ491" s="821"/>
      <c r="BR491" s="822" t="str">
        <f t="shared" si="402"/>
        <v>-</v>
      </c>
      <c r="BS491" s="823" t="str">
        <f t="shared" si="403"/>
        <v>-</v>
      </c>
      <c r="BT491" s="825" t="str">
        <f t="shared" ca="1" si="404"/>
        <v>-</v>
      </c>
      <c r="BU491" s="826"/>
      <c r="BV491" s="827"/>
      <c r="BW491" s="828" t="str">
        <f t="shared" si="405"/>
        <v>Ж-Е НЕ ВАКЦ.</v>
      </c>
      <c r="BX491" s="829" t="str">
        <f t="shared" si="406"/>
        <v>-</v>
      </c>
      <c r="BY491" s="830" t="str">
        <f t="shared" ca="1" si="407"/>
        <v>-</v>
      </c>
      <c r="BZ491" s="831">
        <v>42887</v>
      </c>
      <c r="CA491" s="832">
        <v>5</v>
      </c>
      <c r="CB491" s="833">
        <f t="shared" ca="1" si="408"/>
        <v>247</v>
      </c>
      <c r="CC491" s="834" t="str">
        <f t="shared" ca="1" si="409"/>
        <v>-</v>
      </c>
      <c r="CD491" s="835">
        <f t="shared" si="410"/>
        <v>42908</v>
      </c>
      <c r="CE491" s="831">
        <v>42908</v>
      </c>
      <c r="CF491" s="832">
        <v>5</v>
      </c>
      <c r="CG491" s="833">
        <f t="shared" ca="1" si="411"/>
        <v>226</v>
      </c>
      <c r="CH491" s="836">
        <f t="shared" si="412"/>
        <v>0</v>
      </c>
      <c r="CI491" s="837" t="str">
        <f t="shared" si="413"/>
        <v>УСПЕШНО</v>
      </c>
      <c r="CJ491" s="838" t="str">
        <f t="shared" ca="1" si="414"/>
        <v>-</v>
      </c>
      <c r="CK491" s="831"/>
      <c r="CL491" s="832"/>
      <c r="CM491" s="833" t="str">
        <f t="shared" si="415"/>
        <v>-</v>
      </c>
      <c r="CN491" s="834" t="str">
        <f t="shared" si="416"/>
        <v>-</v>
      </c>
      <c r="CO491" s="830" t="str">
        <f t="shared" ca="1" si="417"/>
        <v>-</v>
      </c>
      <c r="CP491" s="831">
        <v>43003</v>
      </c>
      <c r="CQ491" s="832">
        <v>2</v>
      </c>
      <c r="CR491" s="833">
        <f t="shared" si="418"/>
        <v>214</v>
      </c>
      <c r="CS491" s="833">
        <f t="shared" ca="1" si="419"/>
        <v>131</v>
      </c>
      <c r="CT491" s="834" t="str">
        <f t="shared" ca="1" si="420"/>
        <v>-</v>
      </c>
      <c r="CU491" s="835">
        <f t="shared" si="421"/>
        <v>43024</v>
      </c>
      <c r="CV491" s="831">
        <v>43024</v>
      </c>
      <c r="CW491" s="832">
        <v>2</v>
      </c>
      <c r="CX491" s="833">
        <f t="shared" si="422"/>
        <v>0</v>
      </c>
      <c r="CY491" s="840" t="str">
        <f t="shared" si="423"/>
        <v>УСПЕШНО</v>
      </c>
      <c r="CZ491" s="833">
        <f t="shared" si="424"/>
        <v>235</v>
      </c>
      <c r="DA491" s="838" t="str">
        <f t="shared" ca="1" si="425"/>
        <v>ТРЕБУЕТСЯ РЕВАКЦИНАЦИЯ</v>
      </c>
      <c r="DB491" s="841"/>
      <c r="DC491" s="832"/>
    </row>
    <row r="492" spans="1:107" s="842" customFormat="1" ht="15.95" customHeight="1" x14ac:dyDescent="0.25">
      <c r="A492" s="790">
        <v>494</v>
      </c>
      <c r="B492" s="791">
        <f t="shared" ca="1" si="374"/>
        <v>43134</v>
      </c>
      <c r="C492" s="29" t="s">
        <v>2404</v>
      </c>
      <c r="D492" s="427" t="s">
        <v>3199</v>
      </c>
      <c r="E492" s="794" t="s">
        <v>810</v>
      </c>
      <c r="F492" s="795" t="s">
        <v>811</v>
      </c>
      <c r="G492" s="796">
        <f>SUMIFS(МОЛОКО!L8:L6958,МОЛОКО!F8:F6958,"1436",МОЛОКО!L8:L6958,"&gt;0")</f>
        <v>0</v>
      </c>
      <c r="H492" s="797" t="s">
        <v>603</v>
      </c>
      <c r="I492" s="798">
        <v>40921</v>
      </c>
      <c r="J492" s="799">
        <f t="shared" ca="1" si="375"/>
        <v>6.0630136986301366</v>
      </c>
      <c r="K492" s="799">
        <f t="shared" ca="1" si="376"/>
        <v>73.766666666666666</v>
      </c>
      <c r="L492" s="800">
        <f t="shared" ca="1" si="377"/>
        <v>2213</v>
      </c>
      <c r="M492" s="801">
        <v>41753</v>
      </c>
      <c r="N492" s="802">
        <v>42724</v>
      </c>
      <c r="O492" s="803">
        <f t="shared" ca="1" si="378"/>
        <v>410</v>
      </c>
      <c r="P492" s="804">
        <v>3</v>
      </c>
      <c r="Q492" s="805" t="s">
        <v>1451</v>
      </c>
      <c r="R492" s="806" t="s">
        <v>2335</v>
      </c>
      <c r="S492" s="807">
        <v>42782</v>
      </c>
      <c r="T492" s="798">
        <v>42782</v>
      </c>
      <c r="U492" s="798" t="str">
        <f t="shared" si="379"/>
        <v>-</v>
      </c>
      <c r="V492" s="804" t="str">
        <f t="shared" ca="1" si="380"/>
        <v>-</v>
      </c>
      <c r="W492" s="808">
        <v>1</v>
      </c>
      <c r="X492" s="794">
        <f t="shared" si="373"/>
        <v>58</v>
      </c>
      <c r="Y492" s="794">
        <v>1</v>
      </c>
      <c r="Z492" s="809" t="str">
        <f t="shared" ca="1" si="381"/>
        <v>-----</v>
      </c>
      <c r="AA492" s="810" t="str">
        <f t="shared" ca="1" si="382"/>
        <v>-----</v>
      </c>
      <c r="AB492" s="804">
        <v>1</v>
      </c>
      <c r="AC492" s="811" t="str">
        <f t="shared" ca="1" si="383"/>
        <v>-----</v>
      </c>
      <c r="AD492" s="798">
        <v>42912</v>
      </c>
      <c r="AE492" s="794" t="str">
        <f t="shared" ca="1" si="384"/>
        <v>-</v>
      </c>
      <c r="AF492" s="798" t="str">
        <f t="shared" si="385"/>
        <v>-</v>
      </c>
      <c r="AG492" s="812" t="str">
        <f t="shared" si="386"/>
        <v>---------</v>
      </c>
      <c r="AH492" s="807">
        <v>42816</v>
      </c>
      <c r="AI492" s="807">
        <f t="shared" si="387"/>
        <v>42972</v>
      </c>
      <c r="AJ492" s="807">
        <f t="shared" si="388"/>
        <v>43002</v>
      </c>
      <c r="AK492" s="813">
        <v>42996</v>
      </c>
      <c r="AL492" s="807">
        <f t="shared" si="389"/>
        <v>43041</v>
      </c>
      <c r="AM492" s="807">
        <f t="shared" si="390"/>
        <v>43062</v>
      </c>
      <c r="AN492" s="814">
        <f t="shared" ca="1" si="391"/>
        <v>72</v>
      </c>
      <c r="AO492" s="815">
        <v>1</v>
      </c>
      <c r="AP492" s="816" t="str">
        <f t="shared" ca="1" si="392"/>
        <v>-</v>
      </c>
      <c r="AQ492" s="817"/>
      <c r="AR492" s="794" t="str">
        <f t="shared" si="393"/>
        <v>-</v>
      </c>
      <c r="AS492" s="818"/>
      <c r="AT492" s="794" t="str">
        <f t="shared" si="394"/>
        <v>DRY COW</v>
      </c>
      <c r="AU492" s="819"/>
      <c r="AV492" s="820"/>
      <c r="AW492" s="821"/>
      <c r="AX492" s="821"/>
      <c r="AY492" s="969" t="str">
        <f t="shared" si="395"/>
        <v>-</v>
      </c>
      <c r="AZ492" s="966" t="str">
        <f t="shared" si="396"/>
        <v>-</v>
      </c>
      <c r="BA492" s="971" t="str">
        <f t="shared" si="397"/>
        <v>-</v>
      </c>
      <c r="BB492" s="975"/>
      <c r="BC492" s="821"/>
      <c r="BD492" s="821"/>
      <c r="BE492" s="963" t="str">
        <f t="shared" si="398"/>
        <v>-</v>
      </c>
      <c r="BF492" s="984"/>
      <c r="BG492" s="988"/>
      <c r="BH492" s="982"/>
      <c r="BI492" s="991"/>
      <c r="BJ492" s="991"/>
      <c r="BK492" s="993" t="str">
        <f t="shared" si="399"/>
        <v>-</v>
      </c>
      <c r="BL492" s="820">
        <v>42981</v>
      </c>
      <c r="BM492" s="821">
        <v>5</v>
      </c>
      <c r="BN492" s="822">
        <f t="shared" ca="1" si="400"/>
        <v>153</v>
      </c>
      <c r="BO492" s="823">
        <f t="shared" si="401"/>
        <v>68.666666666666671</v>
      </c>
      <c r="BP492" s="824"/>
      <c r="BQ492" s="821"/>
      <c r="BR492" s="822" t="str">
        <f t="shared" si="402"/>
        <v>-</v>
      </c>
      <c r="BS492" s="823" t="str">
        <f t="shared" si="403"/>
        <v>-</v>
      </c>
      <c r="BT492" s="825" t="str">
        <f t="shared" ca="1" si="404"/>
        <v>-</v>
      </c>
      <c r="BU492" s="826"/>
      <c r="BV492" s="827"/>
      <c r="BW492" s="828" t="str">
        <f t="shared" si="405"/>
        <v>Ж-Е НЕ ВАКЦ.</v>
      </c>
      <c r="BX492" s="829" t="str">
        <f t="shared" si="406"/>
        <v>-</v>
      </c>
      <c r="BY492" s="830" t="str">
        <f t="shared" ca="1" si="407"/>
        <v>-</v>
      </c>
      <c r="BZ492" s="831">
        <v>42887</v>
      </c>
      <c r="CA492" s="832">
        <v>5</v>
      </c>
      <c r="CB492" s="833">
        <f t="shared" ca="1" si="408"/>
        <v>247</v>
      </c>
      <c r="CC492" s="834" t="str">
        <f t="shared" ca="1" si="409"/>
        <v>-</v>
      </c>
      <c r="CD492" s="835">
        <f t="shared" si="410"/>
        <v>42908</v>
      </c>
      <c r="CE492" s="831">
        <v>42908</v>
      </c>
      <c r="CF492" s="832">
        <v>5</v>
      </c>
      <c r="CG492" s="833">
        <f t="shared" ca="1" si="411"/>
        <v>226</v>
      </c>
      <c r="CH492" s="836">
        <f t="shared" si="412"/>
        <v>0</v>
      </c>
      <c r="CI492" s="837" t="str">
        <f t="shared" si="413"/>
        <v>УСПЕШНО</v>
      </c>
      <c r="CJ492" s="838" t="str">
        <f t="shared" ca="1" si="414"/>
        <v>-</v>
      </c>
      <c r="CK492" s="831"/>
      <c r="CL492" s="832"/>
      <c r="CM492" s="833" t="str">
        <f t="shared" si="415"/>
        <v>-</v>
      </c>
      <c r="CN492" s="834" t="str">
        <f t="shared" si="416"/>
        <v>-</v>
      </c>
      <c r="CO492" s="830" t="str">
        <f t="shared" ca="1" si="417"/>
        <v>-</v>
      </c>
      <c r="CP492" s="831">
        <v>43006</v>
      </c>
      <c r="CQ492" s="832">
        <v>2</v>
      </c>
      <c r="CR492" s="833">
        <f t="shared" si="418"/>
        <v>224</v>
      </c>
      <c r="CS492" s="833">
        <f t="shared" ca="1" si="419"/>
        <v>128</v>
      </c>
      <c r="CT492" s="834" t="str">
        <f t="shared" ca="1" si="420"/>
        <v>-</v>
      </c>
      <c r="CU492" s="835">
        <f t="shared" si="421"/>
        <v>43027</v>
      </c>
      <c r="CV492" s="831">
        <v>43027</v>
      </c>
      <c r="CW492" s="832">
        <v>2</v>
      </c>
      <c r="CX492" s="833">
        <f t="shared" si="422"/>
        <v>0</v>
      </c>
      <c r="CY492" s="840" t="str">
        <f t="shared" si="423"/>
        <v>УСПЕШНО</v>
      </c>
      <c r="CZ492" s="833">
        <f t="shared" si="424"/>
        <v>245</v>
      </c>
      <c r="DA492" s="838" t="str">
        <f t="shared" ca="1" si="425"/>
        <v>ТРЕБУЕТСЯ РЕВАКЦИНАЦИЯ</v>
      </c>
      <c r="DB492" s="841"/>
      <c r="DC492" s="832"/>
    </row>
    <row r="493" spans="1:107" s="842" customFormat="1" ht="15.95" customHeight="1" x14ac:dyDescent="0.25">
      <c r="A493" s="790">
        <v>495</v>
      </c>
      <c r="B493" s="791">
        <f t="shared" ca="1" si="374"/>
        <v>43134</v>
      </c>
      <c r="C493" s="29" t="s">
        <v>2404</v>
      </c>
      <c r="D493" s="427" t="s">
        <v>3199</v>
      </c>
      <c r="E493" s="794" t="s">
        <v>780</v>
      </c>
      <c r="F493" s="795" t="s">
        <v>781</v>
      </c>
      <c r="G493" s="796">
        <f>SUMIFS(МОЛОКО!L8:L6958,МОЛОКО!F8:F6958,"1687",МОЛОКО!L8:L6958,"&gt;0")</f>
        <v>0</v>
      </c>
      <c r="H493" s="797" t="s">
        <v>603</v>
      </c>
      <c r="I493" s="798">
        <v>41167</v>
      </c>
      <c r="J493" s="799">
        <f t="shared" ca="1" si="375"/>
        <v>5.3890410958904109</v>
      </c>
      <c r="K493" s="799">
        <f t="shared" ca="1" si="376"/>
        <v>65.566666666666663</v>
      </c>
      <c r="L493" s="800">
        <f t="shared" ca="1" si="377"/>
        <v>1967</v>
      </c>
      <c r="M493" s="801">
        <v>42142</v>
      </c>
      <c r="N493" s="802">
        <v>42598</v>
      </c>
      <c r="O493" s="803">
        <f t="shared" ca="1" si="378"/>
        <v>536</v>
      </c>
      <c r="P493" s="804">
        <v>2</v>
      </c>
      <c r="Q493" s="805" t="s">
        <v>2366</v>
      </c>
      <c r="R493" s="806" t="s">
        <v>2294</v>
      </c>
      <c r="S493" s="807">
        <v>42681</v>
      </c>
      <c r="T493" s="798">
        <v>42786</v>
      </c>
      <c r="U493" s="798" t="str">
        <f t="shared" si="379"/>
        <v>-</v>
      </c>
      <c r="V493" s="804" t="str">
        <f t="shared" ca="1" si="380"/>
        <v>-</v>
      </c>
      <c r="W493" s="808">
        <v>3</v>
      </c>
      <c r="X493" s="794">
        <f t="shared" si="373"/>
        <v>188</v>
      </c>
      <c r="Y493" s="794">
        <v>1</v>
      </c>
      <c r="Z493" s="809" t="str">
        <f t="shared" ca="1" si="381"/>
        <v>-----</v>
      </c>
      <c r="AA493" s="810" t="str">
        <f t="shared" ca="1" si="382"/>
        <v>-----</v>
      </c>
      <c r="AB493" s="804">
        <v>1</v>
      </c>
      <c r="AC493" s="811" t="str">
        <f t="shared" ca="1" si="383"/>
        <v>-----</v>
      </c>
      <c r="AD493" s="798">
        <v>43003</v>
      </c>
      <c r="AE493" s="794" t="str">
        <f t="shared" ca="1" si="384"/>
        <v>-</v>
      </c>
      <c r="AF493" s="798" t="str">
        <f t="shared" si="385"/>
        <v>-</v>
      </c>
      <c r="AG493" s="812" t="str">
        <f t="shared" si="386"/>
        <v>---------</v>
      </c>
      <c r="AH493" s="807">
        <v>42821</v>
      </c>
      <c r="AI493" s="807">
        <f t="shared" si="387"/>
        <v>42976</v>
      </c>
      <c r="AJ493" s="807">
        <f t="shared" si="388"/>
        <v>43006</v>
      </c>
      <c r="AK493" s="813">
        <v>43003</v>
      </c>
      <c r="AL493" s="807">
        <f t="shared" si="389"/>
        <v>43045</v>
      </c>
      <c r="AM493" s="807">
        <f t="shared" si="390"/>
        <v>43066</v>
      </c>
      <c r="AN493" s="814">
        <f t="shared" ca="1" si="391"/>
        <v>68</v>
      </c>
      <c r="AO493" s="815">
        <v>1</v>
      </c>
      <c r="AP493" s="816" t="str">
        <f t="shared" ca="1" si="392"/>
        <v>-</v>
      </c>
      <c r="AQ493" s="817"/>
      <c r="AR493" s="794" t="str">
        <f t="shared" si="393"/>
        <v>-</v>
      </c>
      <c r="AS493" s="818"/>
      <c r="AT493" s="794" t="str">
        <f t="shared" si="394"/>
        <v>DRY COW</v>
      </c>
      <c r="AU493" s="819"/>
      <c r="AV493" s="820"/>
      <c r="AW493" s="821"/>
      <c r="AX493" s="821"/>
      <c r="AY493" s="969" t="str">
        <f t="shared" si="395"/>
        <v>-</v>
      </c>
      <c r="AZ493" s="966" t="str">
        <f t="shared" si="396"/>
        <v>-</v>
      </c>
      <c r="BA493" s="971" t="str">
        <f t="shared" si="397"/>
        <v>-</v>
      </c>
      <c r="BB493" s="975"/>
      <c r="BC493" s="821"/>
      <c r="BD493" s="821"/>
      <c r="BE493" s="963" t="str">
        <f t="shared" si="398"/>
        <v>-</v>
      </c>
      <c r="BF493" s="984"/>
      <c r="BG493" s="988"/>
      <c r="BH493" s="982"/>
      <c r="BI493" s="991"/>
      <c r="BJ493" s="991"/>
      <c r="BK493" s="993" t="str">
        <f t="shared" si="399"/>
        <v>-</v>
      </c>
      <c r="BL493" s="820">
        <v>42981</v>
      </c>
      <c r="BM493" s="821">
        <v>5</v>
      </c>
      <c r="BN493" s="822">
        <f t="shared" ca="1" si="400"/>
        <v>153</v>
      </c>
      <c r="BO493" s="823">
        <f t="shared" si="401"/>
        <v>60.466666666666669</v>
      </c>
      <c r="BP493" s="824"/>
      <c r="BQ493" s="821"/>
      <c r="BR493" s="822" t="str">
        <f t="shared" si="402"/>
        <v>-</v>
      </c>
      <c r="BS493" s="823" t="str">
        <f t="shared" si="403"/>
        <v>-</v>
      </c>
      <c r="BT493" s="825" t="str">
        <f t="shared" ca="1" si="404"/>
        <v>-</v>
      </c>
      <c r="BU493" s="826"/>
      <c r="BV493" s="827"/>
      <c r="BW493" s="828" t="str">
        <f t="shared" si="405"/>
        <v>Ж-Е НЕ ВАКЦ.</v>
      </c>
      <c r="BX493" s="829" t="str">
        <f t="shared" si="406"/>
        <v>-</v>
      </c>
      <c r="BY493" s="830" t="str">
        <f t="shared" ca="1" si="407"/>
        <v>-</v>
      </c>
      <c r="BZ493" s="831">
        <v>42887</v>
      </c>
      <c r="CA493" s="832">
        <v>5</v>
      </c>
      <c r="CB493" s="833">
        <f t="shared" ca="1" si="408"/>
        <v>247</v>
      </c>
      <c r="CC493" s="834" t="str">
        <f t="shared" ca="1" si="409"/>
        <v>-</v>
      </c>
      <c r="CD493" s="835">
        <f t="shared" si="410"/>
        <v>42908</v>
      </c>
      <c r="CE493" s="831">
        <v>42908</v>
      </c>
      <c r="CF493" s="832">
        <v>5</v>
      </c>
      <c r="CG493" s="833">
        <f t="shared" ca="1" si="411"/>
        <v>226</v>
      </c>
      <c r="CH493" s="836">
        <f t="shared" si="412"/>
        <v>0</v>
      </c>
      <c r="CI493" s="837" t="str">
        <f t="shared" si="413"/>
        <v>УСПЕШНО</v>
      </c>
      <c r="CJ493" s="838" t="str">
        <f t="shared" ca="1" si="414"/>
        <v>-</v>
      </c>
      <c r="CK493" s="831"/>
      <c r="CL493" s="832"/>
      <c r="CM493" s="833" t="str">
        <f t="shared" si="415"/>
        <v>-</v>
      </c>
      <c r="CN493" s="834" t="str">
        <f t="shared" si="416"/>
        <v>-</v>
      </c>
      <c r="CO493" s="830" t="str">
        <f t="shared" ca="1" si="417"/>
        <v>-</v>
      </c>
      <c r="CP493" s="831">
        <v>43003</v>
      </c>
      <c r="CQ493" s="832">
        <v>2</v>
      </c>
      <c r="CR493" s="833">
        <f t="shared" si="418"/>
        <v>217</v>
      </c>
      <c r="CS493" s="833">
        <f t="shared" ca="1" si="419"/>
        <v>131</v>
      </c>
      <c r="CT493" s="834" t="str">
        <f t="shared" ca="1" si="420"/>
        <v>-</v>
      </c>
      <c r="CU493" s="835">
        <f t="shared" si="421"/>
        <v>43024</v>
      </c>
      <c r="CV493" s="831">
        <v>43024</v>
      </c>
      <c r="CW493" s="832">
        <v>2</v>
      </c>
      <c r="CX493" s="833">
        <f t="shared" si="422"/>
        <v>0</v>
      </c>
      <c r="CY493" s="840" t="str">
        <f t="shared" si="423"/>
        <v>УСПЕШНО</v>
      </c>
      <c r="CZ493" s="833">
        <f t="shared" si="424"/>
        <v>238</v>
      </c>
      <c r="DA493" s="838" t="str">
        <f t="shared" ca="1" si="425"/>
        <v>ТРЕБУЕТСЯ РЕВАКЦИНАЦИЯ</v>
      </c>
      <c r="DB493" s="841"/>
      <c r="DC493" s="832"/>
    </row>
    <row r="494" spans="1:107" s="842" customFormat="1" ht="15.95" customHeight="1" x14ac:dyDescent="0.25">
      <c r="A494" s="790">
        <v>496</v>
      </c>
      <c r="B494" s="791">
        <f t="shared" ca="1" si="374"/>
        <v>43134</v>
      </c>
      <c r="C494" s="29" t="s">
        <v>2404</v>
      </c>
      <c r="D494" s="59" t="s">
        <v>3199</v>
      </c>
      <c r="E494" s="794" t="s">
        <v>250</v>
      </c>
      <c r="F494" s="854" t="s">
        <v>251</v>
      </c>
      <c r="G494" s="796">
        <f>SUMIFS(МОЛОКО!L8:L6958,МОЛОКО!F8:F6958,"1777",МОЛОКО!L8:L6958,"&gt;0")</f>
        <v>0</v>
      </c>
      <c r="H494" s="797" t="s">
        <v>603</v>
      </c>
      <c r="I494" s="798">
        <v>41295</v>
      </c>
      <c r="J494" s="799">
        <f t="shared" ca="1" si="375"/>
        <v>5.0383561643835613</v>
      </c>
      <c r="K494" s="799">
        <f t="shared" ca="1" si="376"/>
        <v>61.3</v>
      </c>
      <c r="L494" s="800">
        <f t="shared" ca="1" si="377"/>
        <v>1839</v>
      </c>
      <c r="M494" s="801">
        <v>41980</v>
      </c>
      <c r="N494" s="802">
        <v>42718</v>
      </c>
      <c r="O494" s="803">
        <f t="shared" ca="1" si="378"/>
        <v>416</v>
      </c>
      <c r="P494" s="804">
        <v>3</v>
      </c>
      <c r="Q494" s="805" t="s">
        <v>1451</v>
      </c>
      <c r="R494" s="806" t="s">
        <v>1815</v>
      </c>
      <c r="S494" s="807">
        <v>42775</v>
      </c>
      <c r="T494" s="798">
        <v>42775</v>
      </c>
      <c r="U494" s="798" t="str">
        <f t="shared" si="379"/>
        <v>-</v>
      </c>
      <c r="V494" s="804" t="str">
        <f t="shared" ca="1" si="380"/>
        <v>-</v>
      </c>
      <c r="W494" s="808">
        <v>1</v>
      </c>
      <c r="X494" s="794">
        <f t="shared" si="373"/>
        <v>57</v>
      </c>
      <c r="Y494" s="794">
        <v>1</v>
      </c>
      <c r="Z494" s="809" t="str">
        <f t="shared" ca="1" si="381"/>
        <v>ПОДЛЕЖИТ ПЕРЕПРОВЕРКЕ</v>
      </c>
      <c r="AA494" s="810">
        <f t="shared" ca="1" si="382"/>
        <v>359</v>
      </c>
      <c r="AB494" s="804"/>
      <c r="AC494" s="811">
        <f t="shared" ca="1" si="383"/>
        <v>42847</v>
      </c>
      <c r="AD494" s="798"/>
      <c r="AE494" s="794" t="str">
        <f t="shared" ca="1" si="384"/>
        <v>-</v>
      </c>
      <c r="AF494" s="798" t="str">
        <f t="shared" si="385"/>
        <v>-</v>
      </c>
      <c r="AG494" s="812" t="str">
        <f t="shared" si="386"/>
        <v>---------</v>
      </c>
      <c r="AH494" s="807">
        <v>42810</v>
      </c>
      <c r="AI494" s="807">
        <f t="shared" si="387"/>
        <v>42965</v>
      </c>
      <c r="AJ494" s="807">
        <f t="shared" si="388"/>
        <v>42995</v>
      </c>
      <c r="AK494" s="813">
        <v>42989</v>
      </c>
      <c r="AL494" s="807">
        <f t="shared" si="389"/>
        <v>43034</v>
      </c>
      <c r="AM494" s="807">
        <f t="shared" si="390"/>
        <v>43055</v>
      </c>
      <c r="AN494" s="814">
        <f t="shared" ca="1" si="391"/>
        <v>79</v>
      </c>
      <c r="AO494" s="815">
        <v>1</v>
      </c>
      <c r="AP494" s="816" t="str">
        <f t="shared" ca="1" si="392"/>
        <v>-</v>
      </c>
      <c r="AQ494" s="817"/>
      <c r="AR494" s="794" t="str">
        <f t="shared" si="393"/>
        <v>-</v>
      </c>
      <c r="AS494" s="818"/>
      <c r="AT494" s="794" t="str">
        <f t="shared" si="394"/>
        <v>DRY COW</v>
      </c>
      <c r="AU494" s="819">
        <v>1</v>
      </c>
      <c r="AV494" s="820"/>
      <c r="AW494" s="821"/>
      <c r="AX494" s="821"/>
      <c r="AY494" s="969" t="str">
        <f t="shared" si="395"/>
        <v>-</v>
      </c>
      <c r="AZ494" s="966" t="str">
        <f t="shared" si="396"/>
        <v>-</v>
      </c>
      <c r="BA494" s="971" t="str">
        <f t="shared" si="397"/>
        <v>-</v>
      </c>
      <c r="BB494" s="975"/>
      <c r="BC494" s="821"/>
      <c r="BD494" s="821"/>
      <c r="BE494" s="963" t="str">
        <f t="shared" si="398"/>
        <v>-</v>
      </c>
      <c r="BF494" s="984"/>
      <c r="BG494" s="988"/>
      <c r="BH494" s="982"/>
      <c r="BI494" s="991"/>
      <c r="BJ494" s="991"/>
      <c r="BK494" s="993" t="str">
        <f t="shared" si="399"/>
        <v>-</v>
      </c>
      <c r="BL494" s="820">
        <v>42981</v>
      </c>
      <c r="BM494" s="821">
        <v>5</v>
      </c>
      <c r="BN494" s="822">
        <f t="shared" ca="1" si="400"/>
        <v>153</v>
      </c>
      <c r="BO494" s="823">
        <f t="shared" si="401"/>
        <v>56.2</v>
      </c>
      <c r="BP494" s="824"/>
      <c r="BQ494" s="821"/>
      <c r="BR494" s="822" t="str">
        <f t="shared" si="402"/>
        <v>-</v>
      </c>
      <c r="BS494" s="823" t="str">
        <f t="shared" si="403"/>
        <v>-</v>
      </c>
      <c r="BT494" s="825" t="str">
        <f t="shared" ca="1" si="404"/>
        <v>-</v>
      </c>
      <c r="BU494" s="826"/>
      <c r="BV494" s="827"/>
      <c r="BW494" s="828" t="str">
        <f t="shared" si="405"/>
        <v>Ж-Е НЕ ВАКЦ.</v>
      </c>
      <c r="BX494" s="829" t="str">
        <f t="shared" si="406"/>
        <v>-</v>
      </c>
      <c r="BY494" s="830" t="str">
        <f t="shared" ca="1" si="407"/>
        <v>-</v>
      </c>
      <c r="BZ494" s="831">
        <v>42887</v>
      </c>
      <c r="CA494" s="832">
        <v>5</v>
      </c>
      <c r="CB494" s="833">
        <f t="shared" ca="1" si="408"/>
        <v>247</v>
      </c>
      <c r="CC494" s="834" t="str">
        <f t="shared" ca="1" si="409"/>
        <v>-</v>
      </c>
      <c r="CD494" s="835">
        <f t="shared" si="410"/>
        <v>42908</v>
      </c>
      <c r="CE494" s="831">
        <v>42908</v>
      </c>
      <c r="CF494" s="832">
        <v>5</v>
      </c>
      <c r="CG494" s="833">
        <f t="shared" ca="1" si="411"/>
        <v>226</v>
      </c>
      <c r="CH494" s="836">
        <f t="shared" si="412"/>
        <v>0</v>
      </c>
      <c r="CI494" s="837" t="str">
        <f t="shared" si="413"/>
        <v>УСПЕШНО</v>
      </c>
      <c r="CJ494" s="838" t="str">
        <f t="shared" ca="1" si="414"/>
        <v>-</v>
      </c>
      <c r="CK494" s="831"/>
      <c r="CL494" s="832"/>
      <c r="CM494" s="833" t="str">
        <f t="shared" si="415"/>
        <v>-</v>
      </c>
      <c r="CN494" s="834" t="str">
        <f t="shared" si="416"/>
        <v>-</v>
      </c>
      <c r="CO494" s="830" t="str">
        <f t="shared" ca="1" si="417"/>
        <v>-</v>
      </c>
      <c r="CP494" s="831">
        <v>42989</v>
      </c>
      <c r="CQ494" s="832">
        <v>2</v>
      </c>
      <c r="CR494" s="833">
        <f t="shared" si="418"/>
        <v>214</v>
      </c>
      <c r="CS494" s="833">
        <f t="shared" ca="1" si="419"/>
        <v>145</v>
      </c>
      <c r="CT494" s="834" t="str">
        <f t="shared" ca="1" si="420"/>
        <v>-</v>
      </c>
      <c r="CU494" s="835">
        <f t="shared" si="421"/>
        <v>43010</v>
      </c>
      <c r="CV494" s="831">
        <v>43011</v>
      </c>
      <c r="CW494" s="832">
        <v>2</v>
      </c>
      <c r="CX494" s="833">
        <f t="shared" si="422"/>
        <v>1</v>
      </c>
      <c r="CY494" s="840" t="str">
        <f t="shared" si="423"/>
        <v>-</v>
      </c>
      <c r="CZ494" s="833">
        <f t="shared" si="424"/>
        <v>236</v>
      </c>
      <c r="DA494" s="838" t="str">
        <f t="shared" ca="1" si="425"/>
        <v>ТРЕБУЕТСЯ РЕВАКЦИНАЦИЯ</v>
      </c>
      <c r="DB494" s="841"/>
      <c r="DC494" s="832"/>
    </row>
    <row r="495" spans="1:107" s="842" customFormat="1" ht="15.95" customHeight="1" x14ac:dyDescent="0.25">
      <c r="A495" s="790">
        <v>497</v>
      </c>
      <c r="B495" s="791">
        <f t="shared" ca="1" si="374"/>
        <v>43134</v>
      </c>
      <c r="C495" s="29" t="s">
        <v>2404</v>
      </c>
      <c r="D495" s="59" t="s">
        <v>3199</v>
      </c>
      <c r="E495" s="794" t="s">
        <v>701</v>
      </c>
      <c r="F495" s="854" t="s">
        <v>702</v>
      </c>
      <c r="G495" s="796">
        <f>SUMIFS(МОЛОКО!L8:L6958,МОЛОКО!F8:F6958,"1911",МОЛОКО!L8:L6958,"&gt;0")</f>
        <v>0</v>
      </c>
      <c r="H495" s="797" t="s">
        <v>603</v>
      </c>
      <c r="I495" s="798">
        <v>41473</v>
      </c>
      <c r="J495" s="799">
        <f t="shared" ca="1" si="375"/>
        <v>4.5506849315068489</v>
      </c>
      <c r="K495" s="799">
        <f t="shared" ca="1" si="376"/>
        <v>55.366666666666667</v>
      </c>
      <c r="L495" s="800">
        <f t="shared" ca="1" si="377"/>
        <v>1661</v>
      </c>
      <c r="M495" s="801">
        <v>42352</v>
      </c>
      <c r="N495" s="802">
        <v>42718</v>
      </c>
      <c r="O495" s="803">
        <f t="shared" ca="1" si="378"/>
        <v>416</v>
      </c>
      <c r="P495" s="804">
        <v>2</v>
      </c>
      <c r="Q495" s="805" t="s">
        <v>1451</v>
      </c>
      <c r="R495" s="806" t="s">
        <v>1815</v>
      </c>
      <c r="S495" s="807">
        <v>42775</v>
      </c>
      <c r="T495" s="798">
        <v>42775</v>
      </c>
      <c r="U495" s="798" t="str">
        <f t="shared" si="379"/>
        <v>-</v>
      </c>
      <c r="V495" s="804" t="str">
        <f t="shared" ca="1" si="380"/>
        <v>-</v>
      </c>
      <c r="W495" s="808">
        <v>1</v>
      </c>
      <c r="X495" s="794">
        <f t="shared" si="373"/>
        <v>57</v>
      </c>
      <c r="Y495" s="794">
        <v>1</v>
      </c>
      <c r="Z495" s="809" t="str">
        <f t="shared" ca="1" si="381"/>
        <v>ПОДЛЕЖИТ ПЕРЕПРОВЕРКЕ</v>
      </c>
      <c r="AA495" s="810">
        <f t="shared" ca="1" si="382"/>
        <v>359</v>
      </c>
      <c r="AB495" s="804"/>
      <c r="AC495" s="811">
        <f t="shared" ca="1" si="383"/>
        <v>42847</v>
      </c>
      <c r="AD495" s="798"/>
      <c r="AE495" s="794" t="str">
        <f t="shared" ca="1" si="384"/>
        <v>-</v>
      </c>
      <c r="AF495" s="798" t="str">
        <f t="shared" si="385"/>
        <v>-</v>
      </c>
      <c r="AG495" s="812" t="str">
        <f t="shared" si="386"/>
        <v>---------</v>
      </c>
      <c r="AH495" s="807">
        <v>42810</v>
      </c>
      <c r="AI495" s="807">
        <f t="shared" si="387"/>
        <v>42965</v>
      </c>
      <c r="AJ495" s="807">
        <f t="shared" si="388"/>
        <v>42995</v>
      </c>
      <c r="AK495" s="813">
        <v>42991</v>
      </c>
      <c r="AL495" s="807">
        <f t="shared" si="389"/>
        <v>43034</v>
      </c>
      <c r="AM495" s="807">
        <f t="shared" si="390"/>
        <v>43055</v>
      </c>
      <c r="AN495" s="814">
        <f t="shared" ca="1" si="391"/>
        <v>79</v>
      </c>
      <c r="AO495" s="815">
        <v>1</v>
      </c>
      <c r="AP495" s="816" t="str">
        <f t="shared" ca="1" si="392"/>
        <v>-</v>
      </c>
      <c r="AQ495" s="817"/>
      <c r="AR495" s="794" t="str">
        <f t="shared" si="393"/>
        <v>-</v>
      </c>
      <c r="AS495" s="818"/>
      <c r="AT495" s="794" t="str">
        <f t="shared" si="394"/>
        <v>DRY COW</v>
      </c>
      <c r="AU495" s="819">
        <v>1</v>
      </c>
      <c r="AV495" s="820"/>
      <c r="AW495" s="821"/>
      <c r="AX495" s="821"/>
      <c r="AY495" s="969" t="str">
        <f t="shared" si="395"/>
        <v>-</v>
      </c>
      <c r="AZ495" s="966" t="str">
        <f t="shared" si="396"/>
        <v>-</v>
      </c>
      <c r="BA495" s="971" t="str">
        <f t="shared" si="397"/>
        <v>-</v>
      </c>
      <c r="BB495" s="975"/>
      <c r="BC495" s="821"/>
      <c r="BD495" s="821"/>
      <c r="BE495" s="963" t="str">
        <f t="shared" si="398"/>
        <v>-</v>
      </c>
      <c r="BF495" s="984"/>
      <c r="BG495" s="988"/>
      <c r="BH495" s="982"/>
      <c r="BI495" s="991"/>
      <c r="BJ495" s="991"/>
      <c r="BK495" s="993" t="str">
        <f t="shared" si="399"/>
        <v>-</v>
      </c>
      <c r="BL495" s="820">
        <v>42981</v>
      </c>
      <c r="BM495" s="821">
        <v>5</v>
      </c>
      <c r="BN495" s="822">
        <f t="shared" ca="1" si="400"/>
        <v>153</v>
      </c>
      <c r="BO495" s="823">
        <f t="shared" si="401"/>
        <v>50.266666666666666</v>
      </c>
      <c r="BP495" s="824"/>
      <c r="BQ495" s="821"/>
      <c r="BR495" s="822" t="str">
        <f t="shared" si="402"/>
        <v>-</v>
      </c>
      <c r="BS495" s="823" t="str">
        <f t="shared" si="403"/>
        <v>-</v>
      </c>
      <c r="BT495" s="825" t="str">
        <f t="shared" ca="1" si="404"/>
        <v>-</v>
      </c>
      <c r="BU495" s="826"/>
      <c r="BV495" s="827"/>
      <c r="BW495" s="828" t="str">
        <f t="shared" si="405"/>
        <v>Ж-Е НЕ ВАКЦ.</v>
      </c>
      <c r="BX495" s="829" t="str">
        <f t="shared" si="406"/>
        <v>-</v>
      </c>
      <c r="BY495" s="830" t="str">
        <f t="shared" ca="1" si="407"/>
        <v>-</v>
      </c>
      <c r="BZ495" s="831">
        <v>42887</v>
      </c>
      <c r="CA495" s="832">
        <v>5</v>
      </c>
      <c r="CB495" s="833">
        <f t="shared" ca="1" si="408"/>
        <v>247</v>
      </c>
      <c r="CC495" s="834" t="str">
        <f t="shared" ca="1" si="409"/>
        <v>-</v>
      </c>
      <c r="CD495" s="835">
        <f t="shared" si="410"/>
        <v>42908</v>
      </c>
      <c r="CE495" s="831">
        <v>42908</v>
      </c>
      <c r="CF495" s="832">
        <v>5</v>
      </c>
      <c r="CG495" s="833">
        <f t="shared" ca="1" si="411"/>
        <v>226</v>
      </c>
      <c r="CH495" s="836">
        <f t="shared" si="412"/>
        <v>0</v>
      </c>
      <c r="CI495" s="837" t="str">
        <f t="shared" si="413"/>
        <v>УСПЕШНО</v>
      </c>
      <c r="CJ495" s="838" t="str">
        <f t="shared" ca="1" si="414"/>
        <v>-</v>
      </c>
      <c r="CK495" s="831"/>
      <c r="CL495" s="832"/>
      <c r="CM495" s="833" t="str">
        <f t="shared" si="415"/>
        <v>-</v>
      </c>
      <c r="CN495" s="834" t="str">
        <f t="shared" si="416"/>
        <v>-</v>
      </c>
      <c r="CO495" s="830" t="str">
        <f t="shared" ca="1" si="417"/>
        <v>-</v>
      </c>
      <c r="CP495" s="831">
        <v>42990</v>
      </c>
      <c r="CQ495" s="832">
        <v>2</v>
      </c>
      <c r="CR495" s="833">
        <f t="shared" si="418"/>
        <v>215</v>
      </c>
      <c r="CS495" s="833">
        <f t="shared" ca="1" si="419"/>
        <v>144</v>
      </c>
      <c r="CT495" s="834" t="str">
        <f t="shared" ca="1" si="420"/>
        <v>-</v>
      </c>
      <c r="CU495" s="835">
        <f t="shared" si="421"/>
        <v>43011</v>
      </c>
      <c r="CV495" s="831">
        <v>43012</v>
      </c>
      <c r="CW495" s="832">
        <v>2</v>
      </c>
      <c r="CX495" s="833">
        <f t="shared" si="422"/>
        <v>1</v>
      </c>
      <c r="CY495" s="840" t="str">
        <f t="shared" si="423"/>
        <v>-</v>
      </c>
      <c r="CZ495" s="833">
        <f t="shared" si="424"/>
        <v>237</v>
      </c>
      <c r="DA495" s="838" t="str">
        <f t="shared" ca="1" si="425"/>
        <v>ТРЕБУЕТСЯ РЕВАКЦИНАЦИЯ</v>
      </c>
      <c r="DB495" s="841"/>
      <c r="DC495" s="832"/>
    </row>
    <row r="496" spans="1:107" s="842" customFormat="1" ht="15.95" customHeight="1" x14ac:dyDescent="0.25">
      <c r="A496" s="790">
        <v>498</v>
      </c>
      <c r="B496" s="791">
        <f t="shared" ca="1" si="374"/>
        <v>43134</v>
      </c>
      <c r="C496" s="29" t="s">
        <v>2404</v>
      </c>
      <c r="D496" s="427" t="s">
        <v>3199</v>
      </c>
      <c r="E496" s="794" t="s">
        <v>433</v>
      </c>
      <c r="F496" s="795" t="s">
        <v>434</v>
      </c>
      <c r="G496" s="796">
        <f>SUMIFS(МОЛОКО!L8:L6958,МОЛОКО!F8:F6958,"1990",МОЛОКО!L8:L6958,"&gt;0")</f>
        <v>0</v>
      </c>
      <c r="H496" s="797" t="s">
        <v>603</v>
      </c>
      <c r="I496" s="798">
        <v>41566</v>
      </c>
      <c r="J496" s="799">
        <f t="shared" ca="1" si="375"/>
        <v>4.2958904109589042</v>
      </c>
      <c r="K496" s="799">
        <f t="shared" ca="1" si="376"/>
        <v>52.266666666666666</v>
      </c>
      <c r="L496" s="800">
        <f t="shared" ca="1" si="377"/>
        <v>1568</v>
      </c>
      <c r="M496" s="801">
        <v>42345</v>
      </c>
      <c r="N496" s="802">
        <v>42729</v>
      </c>
      <c r="O496" s="803">
        <f t="shared" ca="1" si="378"/>
        <v>405</v>
      </c>
      <c r="P496" s="804">
        <v>2</v>
      </c>
      <c r="Q496" s="805" t="s">
        <v>2366</v>
      </c>
      <c r="R496" s="806" t="s">
        <v>1816</v>
      </c>
      <c r="S496" s="807">
        <v>42768</v>
      </c>
      <c r="T496" s="798">
        <v>42789</v>
      </c>
      <c r="U496" s="798" t="str">
        <f t="shared" si="379"/>
        <v>-</v>
      </c>
      <c r="V496" s="804" t="str">
        <f t="shared" ca="1" si="380"/>
        <v>-</v>
      </c>
      <c r="W496" s="808">
        <v>1</v>
      </c>
      <c r="X496" s="794">
        <f t="shared" si="373"/>
        <v>60</v>
      </c>
      <c r="Y496" s="794">
        <v>1</v>
      </c>
      <c r="Z496" s="809" t="str">
        <f t="shared" ca="1" si="381"/>
        <v>-----</v>
      </c>
      <c r="AA496" s="810" t="str">
        <f t="shared" ca="1" si="382"/>
        <v>-----</v>
      </c>
      <c r="AB496" s="804">
        <v>1</v>
      </c>
      <c r="AC496" s="811" t="str">
        <f t="shared" ca="1" si="383"/>
        <v>-----</v>
      </c>
      <c r="AD496" s="798">
        <v>43003</v>
      </c>
      <c r="AE496" s="794" t="str">
        <f t="shared" ca="1" si="384"/>
        <v>-</v>
      </c>
      <c r="AF496" s="798" t="str">
        <f t="shared" si="385"/>
        <v>-</v>
      </c>
      <c r="AG496" s="812" t="str">
        <f t="shared" si="386"/>
        <v>---------</v>
      </c>
      <c r="AH496" s="807">
        <v>42823</v>
      </c>
      <c r="AI496" s="807">
        <f t="shared" si="387"/>
        <v>42979</v>
      </c>
      <c r="AJ496" s="807">
        <f t="shared" si="388"/>
        <v>43009</v>
      </c>
      <c r="AK496" s="813">
        <v>43003</v>
      </c>
      <c r="AL496" s="807">
        <f t="shared" si="389"/>
        <v>43048</v>
      </c>
      <c r="AM496" s="807">
        <f t="shared" si="390"/>
        <v>43069</v>
      </c>
      <c r="AN496" s="814">
        <f t="shared" ca="1" si="391"/>
        <v>65</v>
      </c>
      <c r="AO496" s="815">
        <v>1</v>
      </c>
      <c r="AP496" s="816" t="str">
        <f t="shared" ca="1" si="392"/>
        <v>-</v>
      </c>
      <c r="AQ496" s="817"/>
      <c r="AR496" s="794" t="str">
        <f t="shared" si="393"/>
        <v>-</v>
      </c>
      <c r="AS496" s="818"/>
      <c r="AT496" s="794" t="str">
        <f t="shared" si="394"/>
        <v>DRY COW</v>
      </c>
      <c r="AU496" s="819"/>
      <c r="AV496" s="820"/>
      <c r="AW496" s="821"/>
      <c r="AX496" s="821"/>
      <c r="AY496" s="969" t="str">
        <f t="shared" si="395"/>
        <v>-</v>
      </c>
      <c r="AZ496" s="966" t="str">
        <f t="shared" si="396"/>
        <v>-</v>
      </c>
      <c r="BA496" s="971" t="str">
        <f t="shared" si="397"/>
        <v>-</v>
      </c>
      <c r="BB496" s="975"/>
      <c r="BC496" s="821"/>
      <c r="BD496" s="821"/>
      <c r="BE496" s="963" t="str">
        <f t="shared" si="398"/>
        <v>-</v>
      </c>
      <c r="BF496" s="984"/>
      <c r="BG496" s="988"/>
      <c r="BH496" s="982"/>
      <c r="BI496" s="991"/>
      <c r="BJ496" s="991"/>
      <c r="BK496" s="993" t="str">
        <f t="shared" si="399"/>
        <v>-</v>
      </c>
      <c r="BL496" s="820">
        <v>42981</v>
      </c>
      <c r="BM496" s="821">
        <v>5</v>
      </c>
      <c r="BN496" s="822">
        <f t="shared" ca="1" si="400"/>
        <v>153</v>
      </c>
      <c r="BO496" s="823">
        <f t="shared" si="401"/>
        <v>47.166666666666664</v>
      </c>
      <c r="BP496" s="824">
        <v>43001</v>
      </c>
      <c r="BQ496" s="821">
        <v>2</v>
      </c>
      <c r="BR496" s="822">
        <f t="shared" ca="1" si="402"/>
        <v>133</v>
      </c>
      <c r="BS496" s="823">
        <f t="shared" si="403"/>
        <v>21.866666666666667</v>
      </c>
      <c r="BT496" s="825" t="str">
        <f t="shared" ca="1" si="404"/>
        <v>-</v>
      </c>
      <c r="BU496" s="826"/>
      <c r="BV496" s="827"/>
      <c r="BW496" s="828" t="str">
        <f t="shared" si="405"/>
        <v>Ж-Е НЕ ВАКЦ.</v>
      </c>
      <c r="BX496" s="829" t="str">
        <f t="shared" si="406"/>
        <v>-</v>
      </c>
      <c r="BY496" s="830" t="str">
        <f t="shared" ca="1" si="407"/>
        <v>-</v>
      </c>
      <c r="BZ496" s="831">
        <v>42887</v>
      </c>
      <c r="CA496" s="832">
        <v>5</v>
      </c>
      <c r="CB496" s="833">
        <f t="shared" ca="1" si="408"/>
        <v>247</v>
      </c>
      <c r="CC496" s="834" t="str">
        <f t="shared" ca="1" si="409"/>
        <v>-</v>
      </c>
      <c r="CD496" s="835">
        <f t="shared" si="410"/>
        <v>42908</v>
      </c>
      <c r="CE496" s="831">
        <v>42908</v>
      </c>
      <c r="CF496" s="832">
        <v>5</v>
      </c>
      <c r="CG496" s="833">
        <f t="shared" ca="1" si="411"/>
        <v>226</v>
      </c>
      <c r="CH496" s="836">
        <f t="shared" si="412"/>
        <v>0</v>
      </c>
      <c r="CI496" s="837" t="str">
        <f t="shared" si="413"/>
        <v>УСПЕШНО</v>
      </c>
      <c r="CJ496" s="838" t="str">
        <f t="shared" ca="1" si="414"/>
        <v>-</v>
      </c>
      <c r="CK496" s="831"/>
      <c r="CL496" s="832"/>
      <c r="CM496" s="833" t="str">
        <f t="shared" si="415"/>
        <v>-</v>
      </c>
      <c r="CN496" s="834" t="str">
        <f t="shared" si="416"/>
        <v>-</v>
      </c>
      <c r="CO496" s="830" t="str">
        <f t="shared" ca="1" si="417"/>
        <v>-</v>
      </c>
      <c r="CP496" s="831">
        <v>43003</v>
      </c>
      <c r="CQ496" s="832">
        <v>2</v>
      </c>
      <c r="CR496" s="833">
        <f t="shared" si="418"/>
        <v>214</v>
      </c>
      <c r="CS496" s="833">
        <f t="shared" ca="1" si="419"/>
        <v>131</v>
      </c>
      <c r="CT496" s="834" t="str">
        <f t="shared" ca="1" si="420"/>
        <v>-</v>
      </c>
      <c r="CU496" s="835">
        <f t="shared" si="421"/>
        <v>43024</v>
      </c>
      <c r="CV496" s="831">
        <v>43024</v>
      </c>
      <c r="CW496" s="832">
        <v>2</v>
      </c>
      <c r="CX496" s="833">
        <f t="shared" si="422"/>
        <v>0</v>
      </c>
      <c r="CY496" s="840" t="str">
        <f t="shared" si="423"/>
        <v>УСПЕШНО</v>
      </c>
      <c r="CZ496" s="833">
        <f t="shared" si="424"/>
        <v>235</v>
      </c>
      <c r="DA496" s="838" t="str">
        <f t="shared" ca="1" si="425"/>
        <v>ТРЕБУЕТСЯ РЕВАКЦИНАЦИЯ</v>
      </c>
      <c r="DB496" s="841"/>
      <c r="DC496" s="832"/>
    </row>
    <row r="497" spans="1:107" s="842" customFormat="1" ht="15.95" customHeight="1" x14ac:dyDescent="0.25">
      <c r="A497" s="790">
        <v>499</v>
      </c>
      <c r="B497" s="791">
        <f t="shared" ca="1" si="374"/>
        <v>43134</v>
      </c>
      <c r="C497" s="29" t="s">
        <v>2404</v>
      </c>
      <c r="D497" s="427" t="s">
        <v>3199</v>
      </c>
      <c r="E497" s="794" t="s">
        <v>221</v>
      </c>
      <c r="F497" s="795" t="s">
        <v>435</v>
      </c>
      <c r="G497" s="796">
        <f>SUMIFS(МОЛОКО!L8:L6958,МОЛОКО!F8:F6958,"1991",МОЛОКО!L8:L6958,"&gt;0")</f>
        <v>0</v>
      </c>
      <c r="H497" s="797" t="s">
        <v>603</v>
      </c>
      <c r="I497" s="798">
        <v>41567</v>
      </c>
      <c r="J497" s="799">
        <f t="shared" ca="1" si="375"/>
        <v>4.2931506849315069</v>
      </c>
      <c r="K497" s="799">
        <f t="shared" ca="1" si="376"/>
        <v>52.233333333333334</v>
      </c>
      <c r="L497" s="800">
        <f t="shared" ca="1" si="377"/>
        <v>1567</v>
      </c>
      <c r="M497" s="801">
        <v>42376</v>
      </c>
      <c r="N497" s="802">
        <v>42723</v>
      </c>
      <c r="O497" s="803">
        <f t="shared" ca="1" si="378"/>
        <v>411</v>
      </c>
      <c r="P497" s="804">
        <v>2</v>
      </c>
      <c r="Q497" s="805" t="s">
        <v>2366</v>
      </c>
      <c r="R497" s="806" t="s">
        <v>1815</v>
      </c>
      <c r="S497" s="807">
        <v>42782</v>
      </c>
      <c r="T497" s="798">
        <v>42782</v>
      </c>
      <c r="U497" s="798" t="str">
        <f t="shared" si="379"/>
        <v>-</v>
      </c>
      <c r="V497" s="804" t="str">
        <f t="shared" ca="1" si="380"/>
        <v>-</v>
      </c>
      <c r="W497" s="808">
        <v>1</v>
      </c>
      <c r="X497" s="794">
        <f t="shared" si="373"/>
        <v>59</v>
      </c>
      <c r="Y497" s="794">
        <v>1</v>
      </c>
      <c r="Z497" s="809" t="str">
        <f t="shared" ca="1" si="381"/>
        <v>-----</v>
      </c>
      <c r="AA497" s="810" t="str">
        <f t="shared" ca="1" si="382"/>
        <v>-----</v>
      </c>
      <c r="AB497" s="804">
        <v>1</v>
      </c>
      <c r="AC497" s="811" t="str">
        <f t="shared" ca="1" si="383"/>
        <v>-----</v>
      </c>
      <c r="AD497" s="798">
        <v>43003</v>
      </c>
      <c r="AE497" s="794" t="str">
        <f t="shared" ca="1" si="384"/>
        <v>-</v>
      </c>
      <c r="AF497" s="798" t="str">
        <f t="shared" si="385"/>
        <v>-</v>
      </c>
      <c r="AG497" s="812" t="str">
        <f t="shared" si="386"/>
        <v>---------</v>
      </c>
      <c r="AH497" s="807">
        <v>42816</v>
      </c>
      <c r="AI497" s="807">
        <f t="shared" si="387"/>
        <v>42972</v>
      </c>
      <c r="AJ497" s="807">
        <f t="shared" si="388"/>
        <v>43002</v>
      </c>
      <c r="AK497" s="813">
        <v>43003</v>
      </c>
      <c r="AL497" s="807">
        <f t="shared" si="389"/>
        <v>43041</v>
      </c>
      <c r="AM497" s="807">
        <f t="shared" si="390"/>
        <v>43062</v>
      </c>
      <c r="AN497" s="814">
        <f t="shared" ca="1" si="391"/>
        <v>72</v>
      </c>
      <c r="AO497" s="815">
        <v>1</v>
      </c>
      <c r="AP497" s="816" t="str">
        <f t="shared" ca="1" si="392"/>
        <v>-</v>
      </c>
      <c r="AQ497" s="817"/>
      <c r="AR497" s="794" t="str">
        <f t="shared" si="393"/>
        <v>-</v>
      </c>
      <c r="AS497" s="818"/>
      <c r="AT497" s="794" t="str">
        <f t="shared" si="394"/>
        <v>DRY COW</v>
      </c>
      <c r="AU497" s="819"/>
      <c r="AV497" s="820"/>
      <c r="AW497" s="821"/>
      <c r="AX497" s="821"/>
      <c r="AY497" s="969" t="str">
        <f t="shared" si="395"/>
        <v>-</v>
      </c>
      <c r="AZ497" s="966" t="str">
        <f t="shared" si="396"/>
        <v>-</v>
      </c>
      <c r="BA497" s="971" t="str">
        <f t="shared" si="397"/>
        <v>-</v>
      </c>
      <c r="BB497" s="975"/>
      <c r="BC497" s="821"/>
      <c r="BD497" s="821"/>
      <c r="BE497" s="963" t="str">
        <f t="shared" si="398"/>
        <v>-</v>
      </c>
      <c r="BF497" s="984"/>
      <c r="BG497" s="988"/>
      <c r="BH497" s="982"/>
      <c r="BI497" s="991"/>
      <c r="BJ497" s="991"/>
      <c r="BK497" s="993" t="str">
        <f t="shared" si="399"/>
        <v>-</v>
      </c>
      <c r="BL497" s="820">
        <v>42981</v>
      </c>
      <c r="BM497" s="821">
        <v>5</v>
      </c>
      <c r="BN497" s="822">
        <f t="shared" ca="1" si="400"/>
        <v>153</v>
      </c>
      <c r="BO497" s="823">
        <f t="shared" si="401"/>
        <v>47.133333333333333</v>
      </c>
      <c r="BP497" s="824">
        <v>43001</v>
      </c>
      <c r="BQ497" s="821">
        <v>2</v>
      </c>
      <c r="BR497" s="822">
        <f t="shared" ca="1" si="402"/>
        <v>133</v>
      </c>
      <c r="BS497" s="823">
        <f t="shared" si="403"/>
        <v>20.833333333333332</v>
      </c>
      <c r="BT497" s="825" t="str">
        <f t="shared" ca="1" si="404"/>
        <v>-</v>
      </c>
      <c r="BU497" s="826"/>
      <c r="BV497" s="827"/>
      <c r="BW497" s="828" t="str">
        <f t="shared" si="405"/>
        <v>Ж-Е НЕ ВАКЦ.</v>
      </c>
      <c r="BX497" s="829" t="str">
        <f t="shared" si="406"/>
        <v>-</v>
      </c>
      <c r="BY497" s="830" t="str">
        <f t="shared" ca="1" si="407"/>
        <v>-</v>
      </c>
      <c r="BZ497" s="831">
        <v>42887</v>
      </c>
      <c r="CA497" s="832">
        <v>5</v>
      </c>
      <c r="CB497" s="833">
        <f t="shared" ca="1" si="408"/>
        <v>247</v>
      </c>
      <c r="CC497" s="834" t="str">
        <f t="shared" ca="1" si="409"/>
        <v>-</v>
      </c>
      <c r="CD497" s="835">
        <f t="shared" si="410"/>
        <v>42908</v>
      </c>
      <c r="CE497" s="831">
        <v>42908</v>
      </c>
      <c r="CF497" s="832">
        <v>5</v>
      </c>
      <c r="CG497" s="833">
        <f t="shared" ca="1" si="411"/>
        <v>226</v>
      </c>
      <c r="CH497" s="836">
        <f t="shared" si="412"/>
        <v>0</v>
      </c>
      <c r="CI497" s="837" t="str">
        <f t="shared" si="413"/>
        <v>УСПЕШНО</v>
      </c>
      <c r="CJ497" s="838" t="str">
        <f t="shared" ca="1" si="414"/>
        <v>-</v>
      </c>
      <c r="CK497" s="831"/>
      <c r="CL497" s="832"/>
      <c r="CM497" s="833" t="str">
        <f t="shared" si="415"/>
        <v>-</v>
      </c>
      <c r="CN497" s="834" t="str">
        <f t="shared" si="416"/>
        <v>-</v>
      </c>
      <c r="CO497" s="830" t="str">
        <f t="shared" ca="1" si="417"/>
        <v>-</v>
      </c>
      <c r="CP497" s="831">
        <v>43003</v>
      </c>
      <c r="CQ497" s="832">
        <v>2</v>
      </c>
      <c r="CR497" s="833">
        <f t="shared" si="418"/>
        <v>221</v>
      </c>
      <c r="CS497" s="833">
        <f t="shared" ca="1" si="419"/>
        <v>131</v>
      </c>
      <c r="CT497" s="834" t="str">
        <f t="shared" ca="1" si="420"/>
        <v>-</v>
      </c>
      <c r="CU497" s="835">
        <f t="shared" si="421"/>
        <v>43024</v>
      </c>
      <c r="CV497" s="831">
        <v>43024</v>
      </c>
      <c r="CW497" s="832">
        <v>2</v>
      </c>
      <c r="CX497" s="833">
        <f t="shared" si="422"/>
        <v>0</v>
      </c>
      <c r="CY497" s="840" t="str">
        <f t="shared" si="423"/>
        <v>УСПЕШНО</v>
      </c>
      <c r="CZ497" s="833">
        <f t="shared" si="424"/>
        <v>242</v>
      </c>
      <c r="DA497" s="838" t="str">
        <f t="shared" ca="1" si="425"/>
        <v>ТРЕБУЕТСЯ РЕВАКЦИНАЦИЯ</v>
      </c>
      <c r="DB497" s="841"/>
      <c r="DC497" s="832"/>
    </row>
    <row r="498" spans="1:107" s="842" customFormat="1" ht="15.95" customHeight="1" x14ac:dyDescent="0.25">
      <c r="A498" s="790">
        <v>500</v>
      </c>
      <c r="B498" s="791">
        <f t="shared" ca="1" si="374"/>
        <v>43134</v>
      </c>
      <c r="C498" s="29" t="s">
        <v>2404</v>
      </c>
      <c r="D498" s="59" t="s">
        <v>3199</v>
      </c>
      <c r="E498" s="794" t="s">
        <v>1372</v>
      </c>
      <c r="F498" s="854" t="s">
        <v>1259</v>
      </c>
      <c r="G498" s="796">
        <f>SUMIFS(МОЛОКО!L8:L6958,МОЛОКО!F8:F6958,"2114",МОЛОКО!L8:L6958,"&gt;0")</f>
        <v>0</v>
      </c>
      <c r="H498" s="797" t="s">
        <v>603</v>
      </c>
      <c r="I498" s="798">
        <v>41664</v>
      </c>
      <c r="J498" s="799">
        <f t="shared" ca="1" si="375"/>
        <v>4.0273972602739727</v>
      </c>
      <c r="K498" s="799">
        <f t="shared" ca="1" si="376"/>
        <v>49</v>
      </c>
      <c r="L498" s="800">
        <f t="shared" ca="1" si="377"/>
        <v>1470</v>
      </c>
      <c r="M498" s="801">
        <v>42493</v>
      </c>
      <c r="N498" s="802">
        <v>42493</v>
      </c>
      <c r="O498" s="803">
        <f t="shared" ca="1" si="378"/>
        <v>641</v>
      </c>
      <c r="P498" s="804">
        <v>1</v>
      </c>
      <c r="Q498" s="805" t="s">
        <v>2366</v>
      </c>
      <c r="R498" s="806" t="s">
        <v>1815</v>
      </c>
      <c r="S498" s="807">
        <v>42552</v>
      </c>
      <c r="T498" s="798">
        <v>42786</v>
      </c>
      <c r="U498" s="798" t="str">
        <f t="shared" si="379"/>
        <v>-</v>
      </c>
      <c r="V498" s="804" t="str">
        <f t="shared" ca="1" si="380"/>
        <v>-</v>
      </c>
      <c r="W498" s="808">
        <v>2</v>
      </c>
      <c r="X498" s="794">
        <f t="shared" si="373"/>
        <v>293</v>
      </c>
      <c r="Y498" s="794">
        <v>1</v>
      </c>
      <c r="Z498" s="809" t="str">
        <f t="shared" ca="1" si="381"/>
        <v>-----</v>
      </c>
      <c r="AA498" s="810" t="str">
        <f t="shared" ca="1" si="382"/>
        <v>-----</v>
      </c>
      <c r="AB498" s="804">
        <v>1</v>
      </c>
      <c r="AC498" s="811" t="str">
        <f t="shared" ca="1" si="383"/>
        <v>-----</v>
      </c>
      <c r="AD498" s="798">
        <v>43003</v>
      </c>
      <c r="AE498" s="794" t="str">
        <f t="shared" ca="1" si="384"/>
        <v>-</v>
      </c>
      <c r="AF498" s="798" t="str">
        <f t="shared" si="385"/>
        <v>-</v>
      </c>
      <c r="AG498" s="812" t="str">
        <f t="shared" si="386"/>
        <v>---------</v>
      </c>
      <c r="AH498" s="807">
        <v>42821</v>
      </c>
      <c r="AI498" s="807">
        <f t="shared" si="387"/>
        <v>42976</v>
      </c>
      <c r="AJ498" s="807">
        <f t="shared" si="388"/>
        <v>43006</v>
      </c>
      <c r="AK498" s="813">
        <v>43003</v>
      </c>
      <c r="AL498" s="807">
        <f t="shared" si="389"/>
        <v>43045</v>
      </c>
      <c r="AM498" s="807">
        <f t="shared" si="390"/>
        <v>43066</v>
      </c>
      <c r="AN498" s="814">
        <f t="shared" ca="1" si="391"/>
        <v>68</v>
      </c>
      <c r="AO498" s="815">
        <v>1</v>
      </c>
      <c r="AP498" s="816" t="str">
        <f t="shared" ca="1" si="392"/>
        <v>-</v>
      </c>
      <c r="AQ498" s="817"/>
      <c r="AR498" s="794" t="str">
        <f t="shared" si="393"/>
        <v>-</v>
      </c>
      <c r="AS498" s="818"/>
      <c r="AT498" s="794" t="str">
        <f t="shared" si="394"/>
        <v>DRY COW</v>
      </c>
      <c r="AU498" s="819">
        <v>1</v>
      </c>
      <c r="AV498" s="820"/>
      <c r="AW498" s="821"/>
      <c r="AX498" s="821"/>
      <c r="AY498" s="969" t="str">
        <f t="shared" si="395"/>
        <v>-</v>
      </c>
      <c r="AZ498" s="966" t="str">
        <f t="shared" si="396"/>
        <v>-</v>
      </c>
      <c r="BA498" s="971" t="str">
        <f t="shared" si="397"/>
        <v>-</v>
      </c>
      <c r="BB498" s="975"/>
      <c r="BC498" s="821"/>
      <c r="BD498" s="821"/>
      <c r="BE498" s="963" t="str">
        <f t="shared" si="398"/>
        <v>-</v>
      </c>
      <c r="BF498" s="984"/>
      <c r="BG498" s="988"/>
      <c r="BH498" s="982"/>
      <c r="BI498" s="991"/>
      <c r="BJ498" s="991"/>
      <c r="BK498" s="993" t="str">
        <f t="shared" si="399"/>
        <v>-</v>
      </c>
      <c r="BL498" s="820">
        <v>42981</v>
      </c>
      <c r="BM498" s="821">
        <v>5</v>
      </c>
      <c r="BN498" s="822">
        <f t="shared" ca="1" si="400"/>
        <v>153</v>
      </c>
      <c r="BO498" s="823">
        <f t="shared" si="401"/>
        <v>43.9</v>
      </c>
      <c r="BP498" s="824">
        <v>43001</v>
      </c>
      <c r="BQ498" s="821">
        <v>2</v>
      </c>
      <c r="BR498" s="822">
        <f t="shared" ca="1" si="402"/>
        <v>133</v>
      </c>
      <c r="BS498" s="823">
        <f t="shared" si="403"/>
        <v>16.933333333333334</v>
      </c>
      <c r="BT498" s="825" t="str">
        <f t="shared" ca="1" si="404"/>
        <v>-</v>
      </c>
      <c r="BU498" s="826"/>
      <c r="BV498" s="827"/>
      <c r="BW498" s="828" t="str">
        <f t="shared" si="405"/>
        <v>Ж-Е НЕ ВАКЦ.</v>
      </c>
      <c r="BX498" s="829" t="str">
        <f t="shared" si="406"/>
        <v>-</v>
      </c>
      <c r="BY498" s="830" t="str">
        <f t="shared" ca="1" si="407"/>
        <v>-</v>
      </c>
      <c r="BZ498" s="831">
        <v>42887</v>
      </c>
      <c r="CA498" s="832">
        <v>5</v>
      </c>
      <c r="CB498" s="833">
        <f t="shared" ca="1" si="408"/>
        <v>247</v>
      </c>
      <c r="CC498" s="834" t="str">
        <f t="shared" ca="1" si="409"/>
        <v>-</v>
      </c>
      <c r="CD498" s="835">
        <f t="shared" si="410"/>
        <v>42908</v>
      </c>
      <c r="CE498" s="831">
        <v>42908</v>
      </c>
      <c r="CF498" s="832">
        <v>5</v>
      </c>
      <c r="CG498" s="833">
        <f t="shared" ca="1" si="411"/>
        <v>226</v>
      </c>
      <c r="CH498" s="836">
        <f t="shared" si="412"/>
        <v>0</v>
      </c>
      <c r="CI498" s="837" t="str">
        <f t="shared" si="413"/>
        <v>УСПЕШНО</v>
      </c>
      <c r="CJ498" s="838" t="str">
        <f t="shared" ca="1" si="414"/>
        <v>-</v>
      </c>
      <c r="CK498" s="831"/>
      <c r="CL498" s="832"/>
      <c r="CM498" s="833" t="str">
        <f t="shared" si="415"/>
        <v>-</v>
      </c>
      <c r="CN498" s="834" t="str">
        <f t="shared" si="416"/>
        <v>-</v>
      </c>
      <c r="CO498" s="830" t="str">
        <f t="shared" ca="1" si="417"/>
        <v>-</v>
      </c>
      <c r="CP498" s="831">
        <v>43003</v>
      </c>
      <c r="CQ498" s="832">
        <v>2</v>
      </c>
      <c r="CR498" s="833">
        <f t="shared" si="418"/>
        <v>217</v>
      </c>
      <c r="CS498" s="833">
        <f t="shared" ca="1" si="419"/>
        <v>131</v>
      </c>
      <c r="CT498" s="834" t="str">
        <f t="shared" ca="1" si="420"/>
        <v>-</v>
      </c>
      <c r="CU498" s="835">
        <f t="shared" si="421"/>
        <v>43024</v>
      </c>
      <c r="CV498" s="831">
        <v>43024</v>
      </c>
      <c r="CW498" s="832">
        <v>2</v>
      </c>
      <c r="CX498" s="833">
        <f t="shared" si="422"/>
        <v>0</v>
      </c>
      <c r="CY498" s="840" t="str">
        <f t="shared" si="423"/>
        <v>УСПЕШНО</v>
      </c>
      <c r="CZ498" s="833">
        <f t="shared" si="424"/>
        <v>238</v>
      </c>
      <c r="DA498" s="838" t="str">
        <f t="shared" ca="1" si="425"/>
        <v>ТРЕБУЕТСЯ РЕВАКЦИНАЦИЯ</v>
      </c>
      <c r="DB498" s="841"/>
      <c r="DC498" s="832"/>
    </row>
    <row r="499" spans="1:107" s="842" customFormat="1" ht="15.95" customHeight="1" x14ac:dyDescent="0.25">
      <c r="A499" s="790">
        <v>501</v>
      </c>
      <c r="B499" s="791">
        <f t="shared" ca="1" si="374"/>
        <v>43134</v>
      </c>
      <c r="C499" s="29" t="s">
        <v>2404</v>
      </c>
      <c r="D499" s="427" t="s">
        <v>1456</v>
      </c>
      <c r="E499" s="794" t="s">
        <v>1286</v>
      </c>
      <c r="F499" s="795" t="s">
        <v>1162</v>
      </c>
      <c r="G499" s="796">
        <f>SUMIFS(МОЛОКО!L8:L6958,МОЛОКО!F8:F6958,"2180",МОЛОКО!L8:L6958,"&gt;0")</f>
        <v>0</v>
      </c>
      <c r="H499" s="797" t="s">
        <v>603</v>
      </c>
      <c r="I499" s="798">
        <v>41741</v>
      </c>
      <c r="J499" s="799">
        <f t="shared" ca="1" si="375"/>
        <v>3.8164383561643835</v>
      </c>
      <c r="K499" s="799">
        <f t="shared" ca="1" si="376"/>
        <v>46.43333333333333</v>
      </c>
      <c r="L499" s="800">
        <f t="shared" ca="1" si="377"/>
        <v>1393</v>
      </c>
      <c r="M499" s="801">
        <v>42621</v>
      </c>
      <c r="N499" s="802">
        <v>43056</v>
      </c>
      <c r="O499" s="803">
        <f t="shared" ca="1" si="378"/>
        <v>78</v>
      </c>
      <c r="P499" s="804">
        <v>2</v>
      </c>
      <c r="Q499" s="805"/>
      <c r="R499" s="806"/>
      <c r="S499" s="807"/>
      <c r="T499" s="798"/>
      <c r="U499" s="798" t="str">
        <f t="shared" si="379"/>
        <v>-</v>
      </c>
      <c r="V499" s="804" t="str">
        <f t="shared" ca="1" si="380"/>
        <v>-</v>
      </c>
      <c r="W499" s="808">
        <v>0</v>
      </c>
      <c r="X499" s="794" t="str">
        <f t="shared" si="373"/>
        <v>-</v>
      </c>
      <c r="Y499" s="794">
        <v>0</v>
      </c>
      <c r="Z499" s="809" t="str">
        <f t="shared" ca="1" si="381"/>
        <v>-----</v>
      </c>
      <c r="AA499" s="810">
        <f t="shared" ca="1" si="382"/>
        <v>43134</v>
      </c>
      <c r="AB499" s="804">
        <v>1</v>
      </c>
      <c r="AC499" s="811" t="str">
        <f t="shared" ca="1" si="383"/>
        <v>-----</v>
      </c>
      <c r="AD499" s="798"/>
      <c r="AE499" s="794" t="str">
        <f t="shared" ca="1" si="384"/>
        <v>-</v>
      </c>
      <c r="AF499" s="798" t="str">
        <f t="shared" si="385"/>
        <v>-</v>
      </c>
      <c r="AG499" s="812" t="str">
        <f t="shared" si="386"/>
        <v>---------</v>
      </c>
      <c r="AH499" s="807"/>
      <c r="AI499" s="807" t="str">
        <f t="shared" si="387"/>
        <v>-</v>
      </c>
      <c r="AJ499" s="807" t="str">
        <f t="shared" si="388"/>
        <v>-</v>
      </c>
      <c r="AK499" s="813"/>
      <c r="AL499" s="807" t="str">
        <f t="shared" si="389"/>
        <v>-</v>
      </c>
      <c r="AM499" s="807" t="str">
        <f t="shared" si="390"/>
        <v>-</v>
      </c>
      <c r="AN499" s="814" t="str">
        <f t="shared" ca="1" si="391"/>
        <v>-</v>
      </c>
      <c r="AO499" s="815">
        <v>1</v>
      </c>
      <c r="AP499" s="816" t="str">
        <f t="shared" ca="1" si="392"/>
        <v>-</v>
      </c>
      <c r="AQ499" s="817"/>
      <c r="AR499" s="794" t="str">
        <f t="shared" si="393"/>
        <v>-</v>
      </c>
      <c r="AS499" s="818"/>
      <c r="AT499" s="794" t="str">
        <f t="shared" si="394"/>
        <v>-</v>
      </c>
      <c r="AU499" s="819"/>
      <c r="AV499" s="820"/>
      <c r="AW499" s="821"/>
      <c r="AX499" s="821"/>
      <c r="AY499" s="969" t="str">
        <f t="shared" si="395"/>
        <v>-</v>
      </c>
      <c r="AZ499" s="966" t="str">
        <f t="shared" si="396"/>
        <v>-</v>
      </c>
      <c r="BA499" s="971" t="str">
        <f t="shared" si="397"/>
        <v>-</v>
      </c>
      <c r="BB499" s="975"/>
      <c r="BC499" s="821"/>
      <c r="BD499" s="821"/>
      <c r="BE499" s="963" t="str">
        <f t="shared" si="398"/>
        <v>-</v>
      </c>
      <c r="BF499" s="984"/>
      <c r="BG499" s="988"/>
      <c r="BH499" s="982"/>
      <c r="BI499" s="991"/>
      <c r="BJ499" s="991"/>
      <c r="BK499" s="993" t="str">
        <f t="shared" si="399"/>
        <v>-</v>
      </c>
      <c r="BL499" s="820">
        <v>42981</v>
      </c>
      <c r="BM499" s="821">
        <v>5</v>
      </c>
      <c r="BN499" s="822">
        <f t="shared" ca="1" si="400"/>
        <v>153</v>
      </c>
      <c r="BO499" s="823">
        <f t="shared" si="401"/>
        <v>41.333333333333336</v>
      </c>
      <c r="BP499" s="824"/>
      <c r="BQ499" s="821"/>
      <c r="BR499" s="822" t="str">
        <f t="shared" si="402"/>
        <v>-</v>
      </c>
      <c r="BS499" s="823" t="str">
        <f t="shared" si="403"/>
        <v>-</v>
      </c>
      <c r="BT499" s="825" t="str">
        <f t="shared" ca="1" si="404"/>
        <v>-</v>
      </c>
      <c r="BU499" s="826"/>
      <c r="BV499" s="827"/>
      <c r="BW499" s="828" t="str">
        <f t="shared" si="405"/>
        <v>Ж-Е НЕ ВАКЦ.</v>
      </c>
      <c r="BX499" s="829" t="str">
        <f t="shared" si="406"/>
        <v>-</v>
      </c>
      <c r="BY499" s="830" t="str">
        <f t="shared" ca="1" si="407"/>
        <v>-</v>
      </c>
      <c r="BZ499" s="831">
        <v>42887</v>
      </c>
      <c r="CA499" s="832">
        <v>5</v>
      </c>
      <c r="CB499" s="833">
        <f t="shared" ca="1" si="408"/>
        <v>247</v>
      </c>
      <c r="CC499" s="834" t="str">
        <f t="shared" ca="1" si="409"/>
        <v>-</v>
      </c>
      <c r="CD499" s="835">
        <f t="shared" si="410"/>
        <v>42908</v>
      </c>
      <c r="CE499" s="831">
        <v>42908</v>
      </c>
      <c r="CF499" s="832">
        <v>5</v>
      </c>
      <c r="CG499" s="833">
        <f t="shared" ca="1" si="411"/>
        <v>226</v>
      </c>
      <c r="CH499" s="836">
        <f t="shared" si="412"/>
        <v>0</v>
      </c>
      <c r="CI499" s="837" t="str">
        <f t="shared" si="413"/>
        <v>УСПЕШНО</v>
      </c>
      <c r="CJ499" s="838" t="str">
        <f t="shared" ca="1" si="414"/>
        <v>-</v>
      </c>
      <c r="CK499" s="831"/>
      <c r="CL499" s="832"/>
      <c r="CM499" s="833" t="str">
        <f t="shared" si="415"/>
        <v>-</v>
      </c>
      <c r="CN499" s="834" t="str">
        <f t="shared" si="416"/>
        <v>-</v>
      </c>
      <c r="CO499" s="830" t="str">
        <f t="shared" ca="1" si="417"/>
        <v>-</v>
      </c>
      <c r="CP499" s="831">
        <v>42990</v>
      </c>
      <c r="CQ499" s="832">
        <v>2</v>
      </c>
      <c r="CR499" s="833">
        <f t="shared" si="418"/>
        <v>42990</v>
      </c>
      <c r="CS499" s="833">
        <f t="shared" ca="1" si="419"/>
        <v>144</v>
      </c>
      <c r="CT499" s="834" t="str">
        <f t="shared" ca="1" si="420"/>
        <v>-</v>
      </c>
      <c r="CU499" s="835">
        <f t="shared" si="421"/>
        <v>43011</v>
      </c>
      <c r="CV499" s="831">
        <v>43012</v>
      </c>
      <c r="CW499" s="832">
        <v>2</v>
      </c>
      <c r="CX499" s="833">
        <f t="shared" si="422"/>
        <v>1</v>
      </c>
      <c r="CY499" s="840" t="str">
        <f t="shared" si="423"/>
        <v>-</v>
      </c>
      <c r="CZ499" s="833">
        <f t="shared" si="424"/>
        <v>43012</v>
      </c>
      <c r="DA499" s="838" t="str">
        <f t="shared" ca="1" si="425"/>
        <v>-</v>
      </c>
      <c r="DB499" s="841"/>
      <c r="DC499" s="832"/>
    </row>
    <row r="500" spans="1:107" s="842" customFormat="1" ht="15.95" customHeight="1" x14ac:dyDescent="0.25">
      <c r="A500" s="790">
        <v>502</v>
      </c>
      <c r="B500" s="791">
        <f t="shared" ca="1" si="374"/>
        <v>43134</v>
      </c>
      <c r="C500" s="29" t="s">
        <v>2404</v>
      </c>
      <c r="D500" s="59" t="s">
        <v>3199</v>
      </c>
      <c r="E500" s="794" t="s">
        <v>1320</v>
      </c>
      <c r="F500" s="854" t="s">
        <v>1203</v>
      </c>
      <c r="G500" s="796">
        <f>SUMIFS(МОЛОКО!L8:L6958,МОЛОКО!F8:F6958,"2282",МОЛОКО!L8:L6958,"&gt;0")</f>
        <v>0</v>
      </c>
      <c r="H500" s="797" t="s">
        <v>603</v>
      </c>
      <c r="I500" s="798">
        <v>41829</v>
      </c>
      <c r="J500" s="799">
        <f t="shared" ca="1" si="375"/>
        <v>3.5753424657534247</v>
      </c>
      <c r="K500" s="799">
        <f t="shared" ca="1" si="376"/>
        <v>43.5</v>
      </c>
      <c r="L500" s="800">
        <f t="shared" ca="1" si="377"/>
        <v>1305</v>
      </c>
      <c r="M500" s="801">
        <v>42570</v>
      </c>
      <c r="N500" s="802">
        <v>42570</v>
      </c>
      <c r="O500" s="803">
        <f t="shared" ca="1" si="378"/>
        <v>564</v>
      </c>
      <c r="P500" s="804">
        <v>1</v>
      </c>
      <c r="Q500" s="805" t="s">
        <v>2366</v>
      </c>
      <c r="R500" s="806" t="s">
        <v>2294</v>
      </c>
      <c r="S500" s="807">
        <v>42623</v>
      </c>
      <c r="T500" s="798">
        <v>42791</v>
      </c>
      <c r="U500" s="798" t="str">
        <f t="shared" si="379"/>
        <v>-</v>
      </c>
      <c r="V500" s="804" t="str">
        <f t="shared" ca="1" si="380"/>
        <v>-</v>
      </c>
      <c r="W500" s="808">
        <v>2</v>
      </c>
      <c r="X500" s="794">
        <f t="shared" si="373"/>
        <v>221</v>
      </c>
      <c r="Y500" s="794">
        <v>1</v>
      </c>
      <c r="Z500" s="809" t="str">
        <f t="shared" ca="1" si="381"/>
        <v>-----</v>
      </c>
      <c r="AA500" s="810" t="str">
        <f t="shared" ca="1" si="382"/>
        <v>-----</v>
      </c>
      <c r="AB500" s="804">
        <v>1</v>
      </c>
      <c r="AC500" s="811" t="str">
        <f t="shared" ca="1" si="383"/>
        <v>-----</v>
      </c>
      <c r="AD500" s="798">
        <v>43010</v>
      </c>
      <c r="AE500" s="794" t="str">
        <f t="shared" ca="1" si="384"/>
        <v>-</v>
      </c>
      <c r="AF500" s="798" t="str">
        <f t="shared" si="385"/>
        <v>-</v>
      </c>
      <c r="AG500" s="812" t="str">
        <f t="shared" si="386"/>
        <v>---------</v>
      </c>
      <c r="AH500" s="807">
        <v>42826</v>
      </c>
      <c r="AI500" s="807">
        <f t="shared" si="387"/>
        <v>42981</v>
      </c>
      <c r="AJ500" s="807">
        <f t="shared" si="388"/>
        <v>43011</v>
      </c>
      <c r="AK500" s="813">
        <v>43010</v>
      </c>
      <c r="AL500" s="807">
        <f t="shared" si="389"/>
        <v>43050</v>
      </c>
      <c r="AM500" s="807">
        <f t="shared" si="390"/>
        <v>43071</v>
      </c>
      <c r="AN500" s="814">
        <f t="shared" ca="1" si="391"/>
        <v>63</v>
      </c>
      <c r="AO500" s="815">
        <v>1</v>
      </c>
      <c r="AP500" s="816" t="str">
        <f t="shared" ca="1" si="392"/>
        <v>-</v>
      </c>
      <c r="AQ500" s="817"/>
      <c r="AR500" s="794" t="str">
        <f t="shared" si="393"/>
        <v>-</v>
      </c>
      <c r="AS500" s="818"/>
      <c r="AT500" s="794" t="str">
        <f t="shared" si="394"/>
        <v>DRY COW</v>
      </c>
      <c r="AU500" s="819">
        <v>1</v>
      </c>
      <c r="AV500" s="820"/>
      <c r="AW500" s="821"/>
      <c r="AX500" s="821"/>
      <c r="AY500" s="969" t="str">
        <f t="shared" si="395"/>
        <v>-</v>
      </c>
      <c r="AZ500" s="966" t="str">
        <f t="shared" si="396"/>
        <v>-</v>
      </c>
      <c r="BA500" s="971" t="str">
        <f t="shared" si="397"/>
        <v>-</v>
      </c>
      <c r="BB500" s="975"/>
      <c r="BC500" s="821"/>
      <c r="BD500" s="821"/>
      <c r="BE500" s="963" t="str">
        <f t="shared" si="398"/>
        <v>-</v>
      </c>
      <c r="BF500" s="984"/>
      <c r="BG500" s="988"/>
      <c r="BH500" s="982"/>
      <c r="BI500" s="991"/>
      <c r="BJ500" s="991"/>
      <c r="BK500" s="993" t="str">
        <f t="shared" si="399"/>
        <v>-</v>
      </c>
      <c r="BL500" s="820">
        <v>42981</v>
      </c>
      <c r="BM500" s="821">
        <v>5</v>
      </c>
      <c r="BN500" s="822">
        <f t="shared" ca="1" si="400"/>
        <v>153</v>
      </c>
      <c r="BO500" s="823">
        <f t="shared" si="401"/>
        <v>38.4</v>
      </c>
      <c r="BP500" s="824">
        <v>43001</v>
      </c>
      <c r="BQ500" s="821">
        <v>2</v>
      </c>
      <c r="BR500" s="822">
        <f t="shared" ca="1" si="402"/>
        <v>133</v>
      </c>
      <c r="BS500" s="823">
        <f t="shared" si="403"/>
        <v>14.366666666666667</v>
      </c>
      <c r="BT500" s="825" t="str">
        <f t="shared" ca="1" si="404"/>
        <v>-</v>
      </c>
      <c r="BU500" s="826"/>
      <c r="BV500" s="827"/>
      <c r="BW500" s="828" t="str">
        <f t="shared" si="405"/>
        <v>Ж-Е НЕ ВАКЦ.</v>
      </c>
      <c r="BX500" s="829" t="str">
        <f t="shared" si="406"/>
        <v>-</v>
      </c>
      <c r="BY500" s="830" t="str">
        <f t="shared" ca="1" si="407"/>
        <v>-</v>
      </c>
      <c r="BZ500" s="831">
        <v>42887</v>
      </c>
      <c r="CA500" s="832">
        <v>5</v>
      </c>
      <c r="CB500" s="833">
        <f t="shared" ca="1" si="408"/>
        <v>247</v>
      </c>
      <c r="CC500" s="834" t="str">
        <f t="shared" ca="1" si="409"/>
        <v>-</v>
      </c>
      <c r="CD500" s="835">
        <f t="shared" si="410"/>
        <v>42908</v>
      </c>
      <c r="CE500" s="831">
        <v>42908</v>
      </c>
      <c r="CF500" s="832">
        <v>5</v>
      </c>
      <c r="CG500" s="833">
        <f t="shared" ca="1" si="411"/>
        <v>226</v>
      </c>
      <c r="CH500" s="836">
        <f t="shared" si="412"/>
        <v>0</v>
      </c>
      <c r="CI500" s="837" t="str">
        <f t="shared" si="413"/>
        <v>УСПЕШНО</v>
      </c>
      <c r="CJ500" s="838" t="str">
        <f t="shared" ca="1" si="414"/>
        <v>-</v>
      </c>
      <c r="CK500" s="831"/>
      <c r="CL500" s="832"/>
      <c r="CM500" s="833" t="str">
        <f t="shared" si="415"/>
        <v>-</v>
      </c>
      <c r="CN500" s="834" t="str">
        <f t="shared" si="416"/>
        <v>-</v>
      </c>
      <c r="CO500" s="830" t="str">
        <f t="shared" ca="1" si="417"/>
        <v>-</v>
      </c>
      <c r="CP500" s="831">
        <v>43006</v>
      </c>
      <c r="CQ500" s="832">
        <v>2</v>
      </c>
      <c r="CR500" s="833">
        <f t="shared" si="418"/>
        <v>215</v>
      </c>
      <c r="CS500" s="833">
        <f t="shared" ca="1" si="419"/>
        <v>128</v>
      </c>
      <c r="CT500" s="834" t="str">
        <f t="shared" ca="1" si="420"/>
        <v>-</v>
      </c>
      <c r="CU500" s="835">
        <f t="shared" si="421"/>
        <v>43027</v>
      </c>
      <c r="CV500" s="831">
        <v>43027</v>
      </c>
      <c r="CW500" s="832">
        <v>2</v>
      </c>
      <c r="CX500" s="833">
        <f t="shared" si="422"/>
        <v>0</v>
      </c>
      <c r="CY500" s="840" t="str">
        <f t="shared" si="423"/>
        <v>УСПЕШНО</v>
      </c>
      <c r="CZ500" s="833">
        <f t="shared" si="424"/>
        <v>236</v>
      </c>
      <c r="DA500" s="838" t="str">
        <f t="shared" ca="1" si="425"/>
        <v>ТРЕБУЕТСЯ РЕВАКЦИНАЦИЯ</v>
      </c>
      <c r="DB500" s="841"/>
      <c r="DC500" s="832"/>
    </row>
    <row r="501" spans="1:107" s="842" customFormat="1" ht="15.95" customHeight="1" x14ac:dyDescent="0.25">
      <c r="A501" s="790">
        <v>503</v>
      </c>
      <c r="B501" s="791">
        <f t="shared" ca="1" si="374"/>
        <v>43134</v>
      </c>
      <c r="C501" s="29" t="s">
        <v>2404</v>
      </c>
      <c r="D501" s="59" t="s">
        <v>3199</v>
      </c>
      <c r="E501" s="794" t="s">
        <v>429</v>
      </c>
      <c r="F501" s="854" t="s">
        <v>964</v>
      </c>
      <c r="G501" s="796">
        <f>SUMIFS(МОЛОКО!L8:L6958,МОЛОКО!F8:F6958,"2363",МОЛОКО!L8:L6958,"&gt;0")</f>
        <v>0</v>
      </c>
      <c r="H501" s="797" t="s">
        <v>603</v>
      </c>
      <c r="I501" s="798">
        <v>41918</v>
      </c>
      <c r="J501" s="799">
        <f t="shared" ca="1" si="375"/>
        <v>3.3315068493150686</v>
      </c>
      <c r="K501" s="799">
        <f t="shared" ca="1" si="376"/>
        <v>40.533333333333331</v>
      </c>
      <c r="L501" s="800">
        <f t="shared" ca="1" si="377"/>
        <v>1216</v>
      </c>
      <c r="M501" s="801">
        <v>42721</v>
      </c>
      <c r="N501" s="802">
        <v>42721</v>
      </c>
      <c r="O501" s="803">
        <f t="shared" ca="1" si="378"/>
        <v>413</v>
      </c>
      <c r="P501" s="804">
        <v>1</v>
      </c>
      <c r="Q501" s="805" t="s">
        <v>1451</v>
      </c>
      <c r="R501" s="806" t="s">
        <v>2335</v>
      </c>
      <c r="S501" s="807">
        <v>42782</v>
      </c>
      <c r="T501" s="798">
        <v>42782</v>
      </c>
      <c r="U501" s="798" t="str">
        <f t="shared" si="379"/>
        <v>-</v>
      </c>
      <c r="V501" s="804" t="str">
        <f t="shared" ca="1" si="380"/>
        <v>-</v>
      </c>
      <c r="W501" s="808">
        <v>1</v>
      </c>
      <c r="X501" s="794">
        <f t="shared" si="373"/>
        <v>61</v>
      </c>
      <c r="Y501" s="794">
        <v>1</v>
      </c>
      <c r="Z501" s="809" t="str">
        <f t="shared" ca="1" si="381"/>
        <v>-----</v>
      </c>
      <c r="AA501" s="810" t="str">
        <f t="shared" ca="1" si="382"/>
        <v>-----</v>
      </c>
      <c r="AB501" s="804">
        <v>1</v>
      </c>
      <c r="AC501" s="811" t="str">
        <f t="shared" ca="1" si="383"/>
        <v>-----</v>
      </c>
      <c r="AD501" s="798">
        <v>43003</v>
      </c>
      <c r="AE501" s="794" t="str">
        <f t="shared" ca="1" si="384"/>
        <v>-</v>
      </c>
      <c r="AF501" s="798" t="str">
        <f t="shared" si="385"/>
        <v>-</v>
      </c>
      <c r="AG501" s="812" t="str">
        <f t="shared" si="386"/>
        <v>---------</v>
      </c>
      <c r="AH501" s="807">
        <v>42816</v>
      </c>
      <c r="AI501" s="807">
        <f t="shared" si="387"/>
        <v>42972</v>
      </c>
      <c r="AJ501" s="807">
        <f t="shared" si="388"/>
        <v>43002</v>
      </c>
      <c r="AK501" s="813">
        <v>43003</v>
      </c>
      <c r="AL501" s="807">
        <f t="shared" si="389"/>
        <v>43041</v>
      </c>
      <c r="AM501" s="807">
        <f t="shared" si="390"/>
        <v>43062</v>
      </c>
      <c r="AN501" s="814">
        <f t="shared" ca="1" si="391"/>
        <v>72</v>
      </c>
      <c r="AO501" s="815">
        <v>1</v>
      </c>
      <c r="AP501" s="816" t="str">
        <f t="shared" ca="1" si="392"/>
        <v>-</v>
      </c>
      <c r="AQ501" s="817"/>
      <c r="AR501" s="794" t="str">
        <f t="shared" si="393"/>
        <v>-</v>
      </c>
      <c r="AS501" s="818"/>
      <c r="AT501" s="794" t="str">
        <f t="shared" si="394"/>
        <v>DRY COW</v>
      </c>
      <c r="AU501" s="819">
        <v>1</v>
      </c>
      <c r="AV501" s="820"/>
      <c r="AW501" s="821"/>
      <c r="AX501" s="821"/>
      <c r="AY501" s="969" t="str">
        <f t="shared" si="395"/>
        <v>-</v>
      </c>
      <c r="AZ501" s="966" t="str">
        <f t="shared" si="396"/>
        <v>-</v>
      </c>
      <c r="BA501" s="971" t="str">
        <f t="shared" si="397"/>
        <v>-</v>
      </c>
      <c r="BB501" s="975"/>
      <c r="BC501" s="821"/>
      <c r="BD501" s="821"/>
      <c r="BE501" s="963" t="str">
        <f t="shared" si="398"/>
        <v>-</v>
      </c>
      <c r="BF501" s="984"/>
      <c r="BG501" s="988"/>
      <c r="BH501" s="982"/>
      <c r="BI501" s="991"/>
      <c r="BJ501" s="991"/>
      <c r="BK501" s="993" t="str">
        <f t="shared" si="399"/>
        <v>-</v>
      </c>
      <c r="BL501" s="820">
        <v>42981</v>
      </c>
      <c r="BM501" s="821">
        <v>5</v>
      </c>
      <c r="BN501" s="822">
        <f t="shared" ca="1" si="400"/>
        <v>153</v>
      </c>
      <c r="BO501" s="823">
        <f t="shared" si="401"/>
        <v>35.43333333333333</v>
      </c>
      <c r="BP501" s="824">
        <v>43001</v>
      </c>
      <c r="BQ501" s="821">
        <v>2</v>
      </c>
      <c r="BR501" s="822">
        <f t="shared" ca="1" si="402"/>
        <v>133</v>
      </c>
      <c r="BS501" s="823">
        <f t="shared" si="403"/>
        <v>9.3333333333333339</v>
      </c>
      <c r="BT501" s="825" t="str">
        <f t="shared" ca="1" si="404"/>
        <v>-</v>
      </c>
      <c r="BU501" s="826"/>
      <c r="BV501" s="827"/>
      <c r="BW501" s="828" t="str">
        <f t="shared" si="405"/>
        <v>Ж-Е НЕ ВАКЦ.</v>
      </c>
      <c r="BX501" s="829" t="str">
        <f t="shared" si="406"/>
        <v>-</v>
      </c>
      <c r="BY501" s="830" t="str">
        <f t="shared" ca="1" si="407"/>
        <v>-</v>
      </c>
      <c r="BZ501" s="831">
        <v>42887</v>
      </c>
      <c r="CA501" s="832">
        <v>5</v>
      </c>
      <c r="CB501" s="833">
        <f t="shared" ca="1" si="408"/>
        <v>247</v>
      </c>
      <c r="CC501" s="834" t="str">
        <f t="shared" ca="1" si="409"/>
        <v>-</v>
      </c>
      <c r="CD501" s="835">
        <f t="shared" si="410"/>
        <v>42908</v>
      </c>
      <c r="CE501" s="831">
        <v>42908</v>
      </c>
      <c r="CF501" s="832">
        <v>5</v>
      </c>
      <c r="CG501" s="833">
        <f t="shared" ca="1" si="411"/>
        <v>226</v>
      </c>
      <c r="CH501" s="836">
        <f t="shared" si="412"/>
        <v>0</v>
      </c>
      <c r="CI501" s="837" t="str">
        <f t="shared" si="413"/>
        <v>УСПЕШНО</v>
      </c>
      <c r="CJ501" s="838" t="str">
        <f t="shared" ca="1" si="414"/>
        <v>-</v>
      </c>
      <c r="CK501" s="831"/>
      <c r="CL501" s="832"/>
      <c r="CM501" s="833" t="str">
        <f t="shared" si="415"/>
        <v>-</v>
      </c>
      <c r="CN501" s="834" t="str">
        <f t="shared" si="416"/>
        <v>-</v>
      </c>
      <c r="CO501" s="830" t="str">
        <f t="shared" ca="1" si="417"/>
        <v>-</v>
      </c>
      <c r="CP501" s="831">
        <v>43003</v>
      </c>
      <c r="CQ501" s="832">
        <v>2</v>
      </c>
      <c r="CR501" s="833">
        <f t="shared" si="418"/>
        <v>221</v>
      </c>
      <c r="CS501" s="833">
        <f t="shared" ca="1" si="419"/>
        <v>131</v>
      </c>
      <c r="CT501" s="834" t="str">
        <f t="shared" ca="1" si="420"/>
        <v>-</v>
      </c>
      <c r="CU501" s="835">
        <f t="shared" si="421"/>
        <v>43024</v>
      </c>
      <c r="CV501" s="831">
        <v>43024</v>
      </c>
      <c r="CW501" s="832">
        <v>2</v>
      </c>
      <c r="CX501" s="833">
        <f t="shared" si="422"/>
        <v>0</v>
      </c>
      <c r="CY501" s="840" t="str">
        <f t="shared" si="423"/>
        <v>УСПЕШНО</v>
      </c>
      <c r="CZ501" s="833">
        <f t="shared" si="424"/>
        <v>242</v>
      </c>
      <c r="DA501" s="838" t="str">
        <f t="shared" ca="1" si="425"/>
        <v>ТРЕБУЕТСЯ РЕВАКЦИНАЦИЯ</v>
      </c>
      <c r="DB501" s="841"/>
      <c r="DC501" s="832"/>
    </row>
    <row r="502" spans="1:107" s="842" customFormat="1" ht="15.95" customHeight="1" x14ac:dyDescent="0.25">
      <c r="A502" s="790">
        <v>504</v>
      </c>
      <c r="B502" s="791">
        <f t="shared" ca="1" si="374"/>
        <v>43134</v>
      </c>
      <c r="C502" s="29" t="s">
        <v>2404</v>
      </c>
      <c r="D502" s="427" t="s">
        <v>3199</v>
      </c>
      <c r="E502" s="794" t="s">
        <v>562</v>
      </c>
      <c r="F502" s="795" t="s">
        <v>958</v>
      </c>
      <c r="G502" s="796">
        <f>SUMIFS(МОЛОКО!L8:L6958,МОЛОКО!F8:F6958,"2391",МОЛОКО!L8:L6958,"&gt;0")</f>
        <v>0</v>
      </c>
      <c r="H502" s="797" t="s">
        <v>603</v>
      </c>
      <c r="I502" s="798">
        <v>41941</v>
      </c>
      <c r="J502" s="799">
        <f t="shared" ca="1" si="375"/>
        <v>3.2684931506849315</v>
      </c>
      <c r="K502" s="799">
        <f t="shared" ca="1" si="376"/>
        <v>39.766666666666666</v>
      </c>
      <c r="L502" s="800">
        <f t="shared" ca="1" si="377"/>
        <v>1193</v>
      </c>
      <c r="M502" s="801">
        <v>42637</v>
      </c>
      <c r="N502" s="802">
        <v>42637</v>
      </c>
      <c r="O502" s="803">
        <f t="shared" ca="1" si="378"/>
        <v>497</v>
      </c>
      <c r="P502" s="804">
        <v>1</v>
      </c>
      <c r="Q502" s="805" t="s">
        <v>1451</v>
      </c>
      <c r="R502" s="806" t="s">
        <v>2294</v>
      </c>
      <c r="S502" s="807">
        <v>42708</v>
      </c>
      <c r="T502" s="798">
        <v>42770</v>
      </c>
      <c r="U502" s="798" t="str">
        <f t="shared" si="379"/>
        <v>-</v>
      </c>
      <c r="V502" s="804" t="str">
        <f t="shared" ca="1" si="380"/>
        <v>-</v>
      </c>
      <c r="W502" s="808">
        <v>3</v>
      </c>
      <c r="X502" s="794">
        <f t="shared" ref="X502:X565" si="426">IF(AND(N502&gt;0,T502&gt;0),T502-N502,"-")</f>
        <v>133</v>
      </c>
      <c r="Y502" s="794">
        <v>1</v>
      </c>
      <c r="Z502" s="809" t="str">
        <f t="shared" ca="1" si="381"/>
        <v>ПОДЛЕЖИТ ПЕРЕПРОВЕРКЕ</v>
      </c>
      <c r="AA502" s="810">
        <f t="shared" ca="1" si="382"/>
        <v>364</v>
      </c>
      <c r="AB502" s="804"/>
      <c r="AC502" s="811">
        <f t="shared" ca="1" si="383"/>
        <v>42842</v>
      </c>
      <c r="AD502" s="798"/>
      <c r="AE502" s="794" t="str">
        <f t="shared" ca="1" si="384"/>
        <v>-</v>
      </c>
      <c r="AF502" s="798" t="str">
        <f t="shared" si="385"/>
        <v>-</v>
      </c>
      <c r="AG502" s="812" t="str">
        <f t="shared" si="386"/>
        <v>---------</v>
      </c>
      <c r="AH502" s="807">
        <v>42805</v>
      </c>
      <c r="AI502" s="807">
        <f t="shared" si="387"/>
        <v>42960</v>
      </c>
      <c r="AJ502" s="807">
        <f t="shared" si="388"/>
        <v>42990</v>
      </c>
      <c r="AK502" s="813">
        <v>42989</v>
      </c>
      <c r="AL502" s="807">
        <f t="shared" si="389"/>
        <v>43029</v>
      </c>
      <c r="AM502" s="807">
        <f t="shared" si="390"/>
        <v>43050</v>
      </c>
      <c r="AN502" s="814">
        <f t="shared" ca="1" si="391"/>
        <v>84</v>
      </c>
      <c r="AO502" s="815">
        <v>1</v>
      </c>
      <c r="AP502" s="816" t="str">
        <f t="shared" ca="1" si="392"/>
        <v>-</v>
      </c>
      <c r="AQ502" s="817"/>
      <c r="AR502" s="794" t="str">
        <f t="shared" si="393"/>
        <v>-</v>
      </c>
      <c r="AS502" s="818"/>
      <c r="AT502" s="794" t="str">
        <f t="shared" si="394"/>
        <v>DRY COW</v>
      </c>
      <c r="AU502" s="819"/>
      <c r="AV502" s="820"/>
      <c r="AW502" s="821"/>
      <c r="AX502" s="821"/>
      <c r="AY502" s="969" t="str">
        <f t="shared" si="395"/>
        <v>-</v>
      </c>
      <c r="AZ502" s="966" t="str">
        <f t="shared" si="396"/>
        <v>-</v>
      </c>
      <c r="BA502" s="971" t="str">
        <f t="shared" si="397"/>
        <v>-</v>
      </c>
      <c r="BB502" s="975"/>
      <c r="BC502" s="821"/>
      <c r="BD502" s="821"/>
      <c r="BE502" s="963" t="str">
        <f t="shared" si="398"/>
        <v>-</v>
      </c>
      <c r="BF502" s="984"/>
      <c r="BG502" s="988"/>
      <c r="BH502" s="982"/>
      <c r="BI502" s="991"/>
      <c r="BJ502" s="991"/>
      <c r="BK502" s="993" t="str">
        <f t="shared" si="399"/>
        <v>-</v>
      </c>
      <c r="BL502" s="820">
        <v>42981</v>
      </c>
      <c r="BM502" s="821">
        <v>5</v>
      </c>
      <c r="BN502" s="822">
        <f t="shared" ca="1" si="400"/>
        <v>153</v>
      </c>
      <c r="BO502" s="823">
        <f t="shared" si="401"/>
        <v>34.666666666666664</v>
      </c>
      <c r="BP502" s="824"/>
      <c r="BQ502" s="821"/>
      <c r="BR502" s="822" t="str">
        <f t="shared" si="402"/>
        <v>-</v>
      </c>
      <c r="BS502" s="823" t="str">
        <f t="shared" si="403"/>
        <v>-</v>
      </c>
      <c r="BT502" s="825" t="str">
        <f t="shared" ca="1" si="404"/>
        <v>-</v>
      </c>
      <c r="BU502" s="826"/>
      <c r="BV502" s="827"/>
      <c r="BW502" s="828" t="str">
        <f t="shared" si="405"/>
        <v>Ж-Е НЕ ВАКЦ.</v>
      </c>
      <c r="BX502" s="829" t="str">
        <f t="shared" si="406"/>
        <v>-</v>
      </c>
      <c r="BY502" s="830" t="str">
        <f t="shared" ca="1" si="407"/>
        <v>-</v>
      </c>
      <c r="BZ502" s="831">
        <v>42887</v>
      </c>
      <c r="CA502" s="832">
        <v>5</v>
      </c>
      <c r="CB502" s="833">
        <f t="shared" ca="1" si="408"/>
        <v>247</v>
      </c>
      <c r="CC502" s="834" t="str">
        <f t="shared" ca="1" si="409"/>
        <v>-</v>
      </c>
      <c r="CD502" s="835">
        <f t="shared" si="410"/>
        <v>42908</v>
      </c>
      <c r="CE502" s="831">
        <v>42908</v>
      </c>
      <c r="CF502" s="832">
        <v>5</v>
      </c>
      <c r="CG502" s="833">
        <f t="shared" ca="1" si="411"/>
        <v>226</v>
      </c>
      <c r="CH502" s="836">
        <f t="shared" si="412"/>
        <v>0</v>
      </c>
      <c r="CI502" s="837" t="str">
        <f t="shared" si="413"/>
        <v>УСПЕШНО</v>
      </c>
      <c r="CJ502" s="838" t="str">
        <f t="shared" ca="1" si="414"/>
        <v>-</v>
      </c>
      <c r="CK502" s="831"/>
      <c r="CL502" s="832"/>
      <c r="CM502" s="833" t="str">
        <f t="shared" si="415"/>
        <v>-</v>
      </c>
      <c r="CN502" s="834" t="str">
        <f t="shared" si="416"/>
        <v>-</v>
      </c>
      <c r="CO502" s="830" t="str">
        <f t="shared" ca="1" si="417"/>
        <v>-</v>
      </c>
      <c r="CP502" s="831">
        <v>42989</v>
      </c>
      <c r="CQ502" s="832">
        <v>2</v>
      </c>
      <c r="CR502" s="833">
        <f t="shared" si="418"/>
        <v>219</v>
      </c>
      <c r="CS502" s="833">
        <f t="shared" ca="1" si="419"/>
        <v>145</v>
      </c>
      <c r="CT502" s="834" t="str">
        <f t="shared" ca="1" si="420"/>
        <v>-</v>
      </c>
      <c r="CU502" s="835">
        <f t="shared" si="421"/>
        <v>43010</v>
      </c>
      <c r="CV502" s="831">
        <v>43011</v>
      </c>
      <c r="CW502" s="832">
        <v>2</v>
      </c>
      <c r="CX502" s="833">
        <f t="shared" si="422"/>
        <v>1</v>
      </c>
      <c r="CY502" s="840" t="str">
        <f t="shared" si="423"/>
        <v>-</v>
      </c>
      <c r="CZ502" s="833">
        <f t="shared" si="424"/>
        <v>241</v>
      </c>
      <c r="DA502" s="838" t="str">
        <f t="shared" ca="1" si="425"/>
        <v>ТРЕБУЕТСЯ РЕВАКЦИНАЦИЯ</v>
      </c>
      <c r="DB502" s="841"/>
      <c r="DC502" s="832"/>
    </row>
    <row r="503" spans="1:107" s="842" customFormat="1" ht="15.95" customHeight="1" x14ac:dyDescent="0.25">
      <c r="A503" s="790">
        <v>505</v>
      </c>
      <c r="B503" s="791">
        <f t="shared" ca="1" si="374"/>
        <v>43134</v>
      </c>
      <c r="C503" s="29" t="s">
        <v>2404</v>
      </c>
      <c r="D503" s="59" t="s">
        <v>3199</v>
      </c>
      <c r="E503" s="794" t="s">
        <v>1351</v>
      </c>
      <c r="F503" s="795" t="s">
        <v>1235</v>
      </c>
      <c r="G503" s="796">
        <f>SUMIFS(МОЛОКО!L8:L6958,МОЛОКО!F8:F6958,"2396",МОЛОКО!L8:L6958,"&gt;0")</f>
        <v>0</v>
      </c>
      <c r="H503" s="797" t="s">
        <v>603</v>
      </c>
      <c r="I503" s="798">
        <v>41951</v>
      </c>
      <c r="J503" s="799">
        <f t="shared" ca="1" si="375"/>
        <v>3.2410958904109588</v>
      </c>
      <c r="K503" s="799">
        <f t="shared" ca="1" si="376"/>
        <v>39.43333333333333</v>
      </c>
      <c r="L503" s="800">
        <f t="shared" ca="1" si="377"/>
        <v>1183</v>
      </c>
      <c r="M503" s="801">
        <v>42620</v>
      </c>
      <c r="N503" s="802">
        <v>42620</v>
      </c>
      <c r="O503" s="803">
        <f t="shared" ca="1" si="378"/>
        <v>514</v>
      </c>
      <c r="P503" s="804">
        <v>1</v>
      </c>
      <c r="Q503" s="805" t="s">
        <v>2309</v>
      </c>
      <c r="R503" s="806" t="s">
        <v>2269</v>
      </c>
      <c r="S503" s="807">
        <v>42649</v>
      </c>
      <c r="T503" s="798">
        <v>42790</v>
      </c>
      <c r="U503" s="798" t="str">
        <f t="shared" si="379"/>
        <v>-</v>
      </c>
      <c r="V503" s="804" t="str">
        <f t="shared" ca="1" si="380"/>
        <v>-</v>
      </c>
      <c r="W503" s="808">
        <v>1</v>
      </c>
      <c r="X503" s="794">
        <f t="shared" si="426"/>
        <v>170</v>
      </c>
      <c r="Y503" s="794">
        <v>1</v>
      </c>
      <c r="Z503" s="809" t="str">
        <f t="shared" ca="1" si="381"/>
        <v>-----</v>
      </c>
      <c r="AA503" s="810" t="str">
        <f t="shared" ca="1" si="382"/>
        <v>-----</v>
      </c>
      <c r="AB503" s="804">
        <v>1</v>
      </c>
      <c r="AC503" s="811" t="str">
        <f t="shared" ca="1" si="383"/>
        <v>-----</v>
      </c>
      <c r="AD503" s="798">
        <v>43010</v>
      </c>
      <c r="AE503" s="794" t="str">
        <f t="shared" ca="1" si="384"/>
        <v>-</v>
      </c>
      <c r="AF503" s="798" t="str">
        <f t="shared" si="385"/>
        <v>-</v>
      </c>
      <c r="AG503" s="812" t="str">
        <f t="shared" si="386"/>
        <v>---------</v>
      </c>
      <c r="AH503" s="807">
        <v>42825</v>
      </c>
      <c r="AI503" s="807">
        <f t="shared" si="387"/>
        <v>42980</v>
      </c>
      <c r="AJ503" s="807">
        <f t="shared" si="388"/>
        <v>43010</v>
      </c>
      <c r="AK503" s="813">
        <v>43010</v>
      </c>
      <c r="AL503" s="807">
        <f t="shared" si="389"/>
        <v>43049</v>
      </c>
      <c r="AM503" s="807">
        <f t="shared" si="390"/>
        <v>43070</v>
      </c>
      <c r="AN503" s="814">
        <f t="shared" ca="1" si="391"/>
        <v>64</v>
      </c>
      <c r="AO503" s="815">
        <v>1</v>
      </c>
      <c r="AP503" s="816" t="str">
        <f t="shared" ca="1" si="392"/>
        <v>-</v>
      </c>
      <c r="AQ503" s="817"/>
      <c r="AR503" s="794" t="str">
        <f t="shared" si="393"/>
        <v>-</v>
      </c>
      <c r="AS503" s="818"/>
      <c r="AT503" s="794" t="str">
        <f t="shared" si="394"/>
        <v>DRY COW</v>
      </c>
      <c r="AU503" s="819"/>
      <c r="AV503" s="820"/>
      <c r="AW503" s="821"/>
      <c r="AX503" s="821"/>
      <c r="AY503" s="969" t="str">
        <f t="shared" si="395"/>
        <v>-</v>
      </c>
      <c r="AZ503" s="966" t="str">
        <f t="shared" si="396"/>
        <v>-</v>
      </c>
      <c r="BA503" s="971" t="str">
        <f t="shared" si="397"/>
        <v>-</v>
      </c>
      <c r="BB503" s="975"/>
      <c r="BC503" s="821"/>
      <c r="BD503" s="821"/>
      <c r="BE503" s="963" t="str">
        <f t="shared" si="398"/>
        <v>-</v>
      </c>
      <c r="BF503" s="984"/>
      <c r="BG503" s="988"/>
      <c r="BH503" s="982"/>
      <c r="BI503" s="991"/>
      <c r="BJ503" s="991"/>
      <c r="BK503" s="993" t="str">
        <f t="shared" si="399"/>
        <v>-</v>
      </c>
      <c r="BL503" s="820">
        <v>42981</v>
      </c>
      <c r="BM503" s="821">
        <v>5</v>
      </c>
      <c r="BN503" s="822">
        <f t="shared" ca="1" si="400"/>
        <v>153</v>
      </c>
      <c r="BO503" s="823">
        <f t="shared" si="401"/>
        <v>34.333333333333336</v>
      </c>
      <c r="BP503" s="824">
        <v>43001</v>
      </c>
      <c r="BQ503" s="821">
        <v>2</v>
      </c>
      <c r="BR503" s="822">
        <f t="shared" ca="1" si="402"/>
        <v>133</v>
      </c>
      <c r="BS503" s="823">
        <f t="shared" si="403"/>
        <v>12.7</v>
      </c>
      <c r="BT503" s="825" t="str">
        <f t="shared" ca="1" si="404"/>
        <v>-</v>
      </c>
      <c r="BU503" s="826"/>
      <c r="BV503" s="827"/>
      <c r="BW503" s="828" t="str">
        <f t="shared" si="405"/>
        <v>Ж-Е НЕ ВАКЦ.</v>
      </c>
      <c r="BX503" s="829" t="str">
        <f t="shared" si="406"/>
        <v>-</v>
      </c>
      <c r="BY503" s="830" t="str">
        <f t="shared" ca="1" si="407"/>
        <v>-</v>
      </c>
      <c r="BZ503" s="831">
        <v>42887</v>
      </c>
      <c r="CA503" s="832">
        <v>5</v>
      </c>
      <c r="CB503" s="833">
        <f t="shared" ca="1" si="408"/>
        <v>247</v>
      </c>
      <c r="CC503" s="834" t="str">
        <f t="shared" ca="1" si="409"/>
        <v>-</v>
      </c>
      <c r="CD503" s="835">
        <f t="shared" si="410"/>
        <v>42908</v>
      </c>
      <c r="CE503" s="831">
        <v>42908</v>
      </c>
      <c r="CF503" s="832">
        <v>5</v>
      </c>
      <c r="CG503" s="833">
        <f t="shared" ca="1" si="411"/>
        <v>226</v>
      </c>
      <c r="CH503" s="836">
        <f t="shared" si="412"/>
        <v>0</v>
      </c>
      <c r="CI503" s="837" t="str">
        <f t="shared" si="413"/>
        <v>УСПЕШНО</v>
      </c>
      <c r="CJ503" s="838" t="str">
        <f t="shared" ca="1" si="414"/>
        <v>-</v>
      </c>
      <c r="CK503" s="831"/>
      <c r="CL503" s="832"/>
      <c r="CM503" s="833" t="str">
        <f t="shared" si="415"/>
        <v>-</v>
      </c>
      <c r="CN503" s="834" t="str">
        <f t="shared" si="416"/>
        <v>-</v>
      </c>
      <c r="CO503" s="830" t="str">
        <f t="shared" ca="1" si="417"/>
        <v>-</v>
      </c>
      <c r="CP503" s="831">
        <v>43006</v>
      </c>
      <c r="CQ503" s="832">
        <v>2</v>
      </c>
      <c r="CR503" s="833">
        <f t="shared" si="418"/>
        <v>216</v>
      </c>
      <c r="CS503" s="833">
        <f t="shared" ca="1" si="419"/>
        <v>128</v>
      </c>
      <c r="CT503" s="834" t="str">
        <f t="shared" ca="1" si="420"/>
        <v>-</v>
      </c>
      <c r="CU503" s="835">
        <f t="shared" si="421"/>
        <v>43027</v>
      </c>
      <c r="CV503" s="831">
        <v>43027</v>
      </c>
      <c r="CW503" s="832">
        <v>2</v>
      </c>
      <c r="CX503" s="833">
        <f t="shared" si="422"/>
        <v>0</v>
      </c>
      <c r="CY503" s="840" t="str">
        <f t="shared" si="423"/>
        <v>УСПЕШНО</v>
      </c>
      <c r="CZ503" s="833">
        <f t="shared" si="424"/>
        <v>237</v>
      </c>
      <c r="DA503" s="838" t="str">
        <f t="shared" ca="1" si="425"/>
        <v>ТРЕБУЕТСЯ РЕВАКЦИНАЦИЯ</v>
      </c>
      <c r="DB503" s="841"/>
      <c r="DC503" s="832"/>
    </row>
    <row r="504" spans="1:107" s="842" customFormat="1" ht="15.95" customHeight="1" x14ac:dyDescent="0.25">
      <c r="A504" s="790">
        <v>506</v>
      </c>
      <c r="B504" s="791">
        <f t="shared" ca="1" si="374"/>
        <v>43134</v>
      </c>
      <c r="C504" s="29" t="s">
        <v>2404</v>
      </c>
      <c r="D504" s="427" t="s">
        <v>3199</v>
      </c>
      <c r="E504" s="794" t="s">
        <v>1078</v>
      </c>
      <c r="F504" s="795" t="s">
        <v>995</v>
      </c>
      <c r="G504" s="796">
        <f>SUMIFS(МОЛОКО!L8:L6958,МОЛОКО!F8:F6958,"2402",МОЛОКО!L8:L6958,"&gt;0")</f>
        <v>0</v>
      </c>
      <c r="H504" s="797" t="s">
        <v>603</v>
      </c>
      <c r="I504" s="798">
        <v>41957</v>
      </c>
      <c r="J504" s="799">
        <f t="shared" ca="1" si="375"/>
        <v>3.2246575342465755</v>
      </c>
      <c r="K504" s="799">
        <f t="shared" ca="1" si="376"/>
        <v>39.233333333333334</v>
      </c>
      <c r="L504" s="800">
        <f t="shared" ca="1" si="377"/>
        <v>1177</v>
      </c>
      <c r="M504" s="801">
        <v>42716</v>
      </c>
      <c r="N504" s="802">
        <v>42716</v>
      </c>
      <c r="O504" s="803">
        <f t="shared" ca="1" si="378"/>
        <v>418</v>
      </c>
      <c r="P504" s="804">
        <v>1</v>
      </c>
      <c r="Q504" s="805" t="s">
        <v>2366</v>
      </c>
      <c r="R504" s="806" t="s">
        <v>1815</v>
      </c>
      <c r="S504" s="807">
        <v>42775</v>
      </c>
      <c r="T504" s="798">
        <v>42775</v>
      </c>
      <c r="U504" s="798" t="str">
        <f t="shared" si="379"/>
        <v>-</v>
      </c>
      <c r="V504" s="804" t="str">
        <f t="shared" ca="1" si="380"/>
        <v>-</v>
      </c>
      <c r="W504" s="808">
        <v>1</v>
      </c>
      <c r="X504" s="794">
        <f t="shared" si="426"/>
        <v>59</v>
      </c>
      <c r="Y504" s="794">
        <v>1</v>
      </c>
      <c r="Z504" s="809" t="str">
        <f t="shared" ca="1" si="381"/>
        <v>ПОДЛЕЖИТ ПЕРЕПРОВЕРКЕ</v>
      </c>
      <c r="AA504" s="810">
        <f t="shared" ca="1" si="382"/>
        <v>359</v>
      </c>
      <c r="AB504" s="804"/>
      <c r="AC504" s="811">
        <f t="shared" ca="1" si="383"/>
        <v>42847</v>
      </c>
      <c r="AD504" s="798"/>
      <c r="AE504" s="794" t="str">
        <f t="shared" ca="1" si="384"/>
        <v>-</v>
      </c>
      <c r="AF504" s="798" t="str">
        <f t="shared" si="385"/>
        <v>-</v>
      </c>
      <c r="AG504" s="812" t="str">
        <f t="shared" si="386"/>
        <v>---------</v>
      </c>
      <c r="AH504" s="807">
        <v>42810</v>
      </c>
      <c r="AI504" s="807">
        <f t="shared" si="387"/>
        <v>42965</v>
      </c>
      <c r="AJ504" s="807">
        <f t="shared" si="388"/>
        <v>42995</v>
      </c>
      <c r="AK504" s="813">
        <v>42989</v>
      </c>
      <c r="AL504" s="807">
        <f t="shared" si="389"/>
        <v>43034</v>
      </c>
      <c r="AM504" s="807">
        <f t="shared" si="390"/>
        <v>43055</v>
      </c>
      <c r="AN504" s="814">
        <f t="shared" ca="1" si="391"/>
        <v>79</v>
      </c>
      <c r="AO504" s="815">
        <v>1</v>
      </c>
      <c r="AP504" s="816" t="str">
        <f t="shared" ca="1" si="392"/>
        <v>-</v>
      </c>
      <c r="AQ504" s="817"/>
      <c r="AR504" s="794" t="str">
        <f t="shared" si="393"/>
        <v>-</v>
      </c>
      <c r="AS504" s="818"/>
      <c r="AT504" s="794" t="str">
        <f t="shared" si="394"/>
        <v>DRY COW</v>
      </c>
      <c r="AU504" s="819"/>
      <c r="AV504" s="820"/>
      <c r="AW504" s="821"/>
      <c r="AX504" s="821"/>
      <c r="AY504" s="969" t="str">
        <f t="shared" si="395"/>
        <v>-</v>
      </c>
      <c r="AZ504" s="966" t="str">
        <f t="shared" si="396"/>
        <v>-</v>
      </c>
      <c r="BA504" s="971" t="str">
        <f t="shared" si="397"/>
        <v>-</v>
      </c>
      <c r="BB504" s="975"/>
      <c r="BC504" s="821"/>
      <c r="BD504" s="821"/>
      <c r="BE504" s="963" t="str">
        <f t="shared" si="398"/>
        <v>-</v>
      </c>
      <c r="BF504" s="984"/>
      <c r="BG504" s="988"/>
      <c r="BH504" s="982"/>
      <c r="BI504" s="991"/>
      <c r="BJ504" s="991"/>
      <c r="BK504" s="993" t="str">
        <f t="shared" si="399"/>
        <v>-</v>
      </c>
      <c r="BL504" s="820">
        <v>42981</v>
      </c>
      <c r="BM504" s="821">
        <v>5</v>
      </c>
      <c r="BN504" s="822">
        <f t="shared" ca="1" si="400"/>
        <v>153</v>
      </c>
      <c r="BO504" s="823">
        <f t="shared" si="401"/>
        <v>34.133333333333333</v>
      </c>
      <c r="BP504" s="824"/>
      <c r="BQ504" s="821"/>
      <c r="BR504" s="822" t="str">
        <f t="shared" si="402"/>
        <v>-</v>
      </c>
      <c r="BS504" s="823" t="str">
        <f t="shared" si="403"/>
        <v>-</v>
      </c>
      <c r="BT504" s="825" t="str">
        <f t="shared" ca="1" si="404"/>
        <v>-</v>
      </c>
      <c r="BU504" s="826"/>
      <c r="BV504" s="827"/>
      <c r="BW504" s="828" t="str">
        <f t="shared" si="405"/>
        <v>Ж-Е НЕ ВАКЦ.</v>
      </c>
      <c r="BX504" s="829" t="str">
        <f t="shared" si="406"/>
        <v>-</v>
      </c>
      <c r="BY504" s="830" t="str">
        <f t="shared" ca="1" si="407"/>
        <v>-</v>
      </c>
      <c r="BZ504" s="831">
        <v>42887</v>
      </c>
      <c r="CA504" s="832">
        <v>5</v>
      </c>
      <c r="CB504" s="833">
        <f t="shared" ca="1" si="408"/>
        <v>247</v>
      </c>
      <c r="CC504" s="834" t="str">
        <f t="shared" ca="1" si="409"/>
        <v>-</v>
      </c>
      <c r="CD504" s="835">
        <f t="shared" si="410"/>
        <v>42908</v>
      </c>
      <c r="CE504" s="831">
        <v>42908</v>
      </c>
      <c r="CF504" s="832">
        <v>5</v>
      </c>
      <c r="CG504" s="833">
        <f t="shared" ca="1" si="411"/>
        <v>226</v>
      </c>
      <c r="CH504" s="836">
        <f t="shared" si="412"/>
        <v>0</v>
      </c>
      <c r="CI504" s="837" t="str">
        <f t="shared" si="413"/>
        <v>УСПЕШНО</v>
      </c>
      <c r="CJ504" s="838" t="str">
        <f t="shared" ca="1" si="414"/>
        <v>-</v>
      </c>
      <c r="CK504" s="831"/>
      <c r="CL504" s="832"/>
      <c r="CM504" s="833" t="str">
        <f t="shared" si="415"/>
        <v>-</v>
      </c>
      <c r="CN504" s="834" t="str">
        <f t="shared" si="416"/>
        <v>-</v>
      </c>
      <c r="CO504" s="830" t="str">
        <f t="shared" ca="1" si="417"/>
        <v>-</v>
      </c>
      <c r="CP504" s="831">
        <v>42989</v>
      </c>
      <c r="CQ504" s="832">
        <v>2</v>
      </c>
      <c r="CR504" s="833">
        <f t="shared" si="418"/>
        <v>214</v>
      </c>
      <c r="CS504" s="833">
        <f t="shared" ca="1" si="419"/>
        <v>145</v>
      </c>
      <c r="CT504" s="834" t="str">
        <f t="shared" ca="1" si="420"/>
        <v>-</v>
      </c>
      <c r="CU504" s="835">
        <f t="shared" si="421"/>
        <v>43010</v>
      </c>
      <c r="CV504" s="831">
        <v>43011</v>
      </c>
      <c r="CW504" s="832">
        <v>2</v>
      </c>
      <c r="CX504" s="833">
        <f t="shared" si="422"/>
        <v>1</v>
      </c>
      <c r="CY504" s="840" t="str">
        <f t="shared" si="423"/>
        <v>-</v>
      </c>
      <c r="CZ504" s="833">
        <f t="shared" si="424"/>
        <v>236</v>
      </c>
      <c r="DA504" s="838" t="str">
        <f t="shared" ca="1" si="425"/>
        <v>ТРЕБУЕТСЯ РЕВАКЦИНАЦИЯ</v>
      </c>
      <c r="DB504" s="841"/>
      <c r="DC504" s="832"/>
    </row>
    <row r="505" spans="1:107" s="842" customFormat="1" ht="15.95" customHeight="1" x14ac:dyDescent="0.25">
      <c r="A505" s="790">
        <v>507</v>
      </c>
      <c r="B505" s="791">
        <f t="shared" ca="1" si="374"/>
        <v>43134</v>
      </c>
      <c r="C505" s="29" t="s">
        <v>2404</v>
      </c>
      <c r="D505" s="59" t="s">
        <v>3199</v>
      </c>
      <c r="E505" s="794" t="s">
        <v>1067</v>
      </c>
      <c r="F505" s="795" t="s">
        <v>983</v>
      </c>
      <c r="G505" s="796">
        <f>SUMIFS(МОЛОКО!L8:L6958,МОЛОКО!F8:F6958,"2421",МОЛОКО!L8:L6958,"&gt;0")</f>
        <v>0</v>
      </c>
      <c r="H505" s="797" t="s">
        <v>603</v>
      </c>
      <c r="I505" s="798">
        <v>41971</v>
      </c>
      <c r="J505" s="799">
        <f t="shared" ca="1" si="375"/>
        <v>3.1863013698630138</v>
      </c>
      <c r="K505" s="799">
        <f t="shared" ca="1" si="376"/>
        <v>38.766666666666666</v>
      </c>
      <c r="L505" s="800">
        <f t="shared" ca="1" si="377"/>
        <v>1163</v>
      </c>
      <c r="M505" s="801">
        <v>42670</v>
      </c>
      <c r="N505" s="802">
        <v>42670</v>
      </c>
      <c r="O505" s="803">
        <f t="shared" ca="1" si="378"/>
        <v>464</v>
      </c>
      <c r="P505" s="804">
        <v>1</v>
      </c>
      <c r="Q505" s="805" t="s">
        <v>1451</v>
      </c>
      <c r="R505" s="806" t="s">
        <v>2294</v>
      </c>
      <c r="S505" s="807">
        <v>42733</v>
      </c>
      <c r="T505" s="798">
        <v>42794</v>
      </c>
      <c r="U505" s="798" t="str">
        <f t="shared" si="379"/>
        <v>-</v>
      </c>
      <c r="V505" s="804" t="str">
        <f t="shared" ca="1" si="380"/>
        <v>-</v>
      </c>
      <c r="W505" s="808">
        <v>4</v>
      </c>
      <c r="X505" s="794">
        <f t="shared" si="426"/>
        <v>124</v>
      </c>
      <c r="Y505" s="794">
        <v>1</v>
      </c>
      <c r="Z505" s="809" t="str">
        <f t="shared" ca="1" si="381"/>
        <v>-----</v>
      </c>
      <c r="AA505" s="810" t="str">
        <f t="shared" ca="1" si="382"/>
        <v>-----</v>
      </c>
      <c r="AB505" s="804">
        <v>1</v>
      </c>
      <c r="AC505" s="811" t="str">
        <f t="shared" ca="1" si="383"/>
        <v>-----</v>
      </c>
      <c r="AD505" s="798">
        <v>43010</v>
      </c>
      <c r="AE505" s="794" t="str">
        <f t="shared" ca="1" si="384"/>
        <v>-</v>
      </c>
      <c r="AF505" s="798" t="str">
        <f t="shared" si="385"/>
        <v>-</v>
      </c>
      <c r="AG505" s="812" t="str">
        <f t="shared" si="386"/>
        <v>---------</v>
      </c>
      <c r="AH505" s="807">
        <v>42829</v>
      </c>
      <c r="AI505" s="807">
        <f t="shared" si="387"/>
        <v>42984</v>
      </c>
      <c r="AJ505" s="807">
        <f t="shared" si="388"/>
        <v>43014</v>
      </c>
      <c r="AK505" s="813">
        <v>43010</v>
      </c>
      <c r="AL505" s="807">
        <f t="shared" si="389"/>
        <v>43053</v>
      </c>
      <c r="AM505" s="807">
        <f t="shared" si="390"/>
        <v>43074</v>
      </c>
      <c r="AN505" s="814">
        <f t="shared" ca="1" si="391"/>
        <v>60</v>
      </c>
      <c r="AO505" s="815">
        <v>1</v>
      </c>
      <c r="AP505" s="816" t="str">
        <f t="shared" ca="1" si="392"/>
        <v>-</v>
      </c>
      <c r="AQ505" s="817"/>
      <c r="AR505" s="794" t="str">
        <f t="shared" si="393"/>
        <v>-</v>
      </c>
      <c r="AS505" s="818"/>
      <c r="AT505" s="794" t="str">
        <f t="shared" si="394"/>
        <v>DRY COW</v>
      </c>
      <c r="AU505" s="819"/>
      <c r="AV505" s="820"/>
      <c r="AW505" s="821"/>
      <c r="AX505" s="821"/>
      <c r="AY505" s="969" t="str">
        <f t="shared" si="395"/>
        <v>-</v>
      </c>
      <c r="AZ505" s="966" t="str">
        <f t="shared" si="396"/>
        <v>-</v>
      </c>
      <c r="BA505" s="971" t="str">
        <f t="shared" si="397"/>
        <v>-</v>
      </c>
      <c r="BB505" s="975"/>
      <c r="BC505" s="821"/>
      <c r="BD505" s="821"/>
      <c r="BE505" s="963" t="str">
        <f t="shared" si="398"/>
        <v>-</v>
      </c>
      <c r="BF505" s="984"/>
      <c r="BG505" s="988"/>
      <c r="BH505" s="982"/>
      <c r="BI505" s="991"/>
      <c r="BJ505" s="991"/>
      <c r="BK505" s="993" t="str">
        <f t="shared" si="399"/>
        <v>-</v>
      </c>
      <c r="BL505" s="820">
        <v>42981</v>
      </c>
      <c r="BM505" s="821">
        <v>5</v>
      </c>
      <c r="BN505" s="822">
        <f t="shared" ca="1" si="400"/>
        <v>153</v>
      </c>
      <c r="BO505" s="823">
        <f t="shared" si="401"/>
        <v>33.666666666666664</v>
      </c>
      <c r="BP505" s="824">
        <v>43001</v>
      </c>
      <c r="BQ505" s="821">
        <v>2</v>
      </c>
      <c r="BR505" s="822">
        <f t="shared" ca="1" si="402"/>
        <v>133</v>
      </c>
      <c r="BS505" s="823">
        <f t="shared" si="403"/>
        <v>11.033333333333333</v>
      </c>
      <c r="BT505" s="825" t="str">
        <f t="shared" ca="1" si="404"/>
        <v>-</v>
      </c>
      <c r="BU505" s="826"/>
      <c r="BV505" s="827"/>
      <c r="BW505" s="828" t="str">
        <f t="shared" si="405"/>
        <v>Ж-Е НЕ ВАКЦ.</v>
      </c>
      <c r="BX505" s="829" t="str">
        <f t="shared" si="406"/>
        <v>-</v>
      </c>
      <c r="BY505" s="830" t="str">
        <f t="shared" ca="1" si="407"/>
        <v>-</v>
      </c>
      <c r="BZ505" s="831">
        <v>42887</v>
      </c>
      <c r="CA505" s="832">
        <v>5</v>
      </c>
      <c r="CB505" s="833">
        <f t="shared" ca="1" si="408"/>
        <v>247</v>
      </c>
      <c r="CC505" s="834" t="str">
        <f t="shared" ca="1" si="409"/>
        <v>-</v>
      </c>
      <c r="CD505" s="835">
        <f t="shared" si="410"/>
        <v>42908</v>
      </c>
      <c r="CE505" s="831">
        <v>42908</v>
      </c>
      <c r="CF505" s="832">
        <v>5</v>
      </c>
      <c r="CG505" s="833">
        <f t="shared" ca="1" si="411"/>
        <v>226</v>
      </c>
      <c r="CH505" s="836">
        <f t="shared" si="412"/>
        <v>0</v>
      </c>
      <c r="CI505" s="837" t="str">
        <f t="shared" si="413"/>
        <v>УСПЕШНО</v>
      </c>
      <c r="CJ505" s="838" t="str">
        <f t="shared" ca="1" si="414"/>
        <v>-</v>
      </c>
      <c r="CK505" s="831"/>
      <c r="CL505" s="832"/>
      <c r="CM505" s="833" t="str">
        <f t="shared" si="415"/>
        <v>-</v>
      </c>
      <c r="CN505" s="834" t="str">
        <f t="shared" si="416"/>
        <v>-</v>
      </c>
      <c r="CO505" s="830" t="str">
        <f t="shared" ca="1" si="417"/>
        <v>-</v>
      </c>
      <c r="CP505" s="831">
        <v>43010</v>
      </c>
      <c r="CQ505" s="832">
        <v>2</v>
      </c>
      <c r="CR505" s="833">
        <f t="shared" si="418"/>
        <v>216</v>
      </c>
      <c r="CS505" s="833">
        <f t="shared" ca="1" si="419"/>
        <v>124</v>
      </c>
      <c r="CT505" s="834" t="str">
        <f t="shared" ca="1" si="420"/>
        <v>-</v>
      </c>
      <c r="CU505" s="835">
        <f t="shared" si="421"/>
        <v>43031</v>
      </c>
      <c r="CV505" s="831">
        <v>43031</v>
      </c>
      <c r="CW505" s="832">
        <v>2</v>
      </c>
      <c r="CX505" s="833">
        <f t="shared" si="422"/>
        <v>0</v>
      </c>
      <c r="CY505" s="840" t="str">
        <f t="shared" si="423"/>
        <v>УСПЕШНО</v>
      </c>
      <c r="CZ505" s="833">
        <f t="shared" si="424"/>
        <v>237</v>
      </c>
      <c r="DA505" s="838" t="str">
        <f t="shared" ca="1" si="425"/>
        <v>ТРЕБУЕТСЯ РЕВАКЦИНАЦИЯ</v>
      </c>
      <c r="DB505" s="841"/>
      <c r="DC505" s="832"/>
    </row>
    <row r="506" spans="1:107" s="842" customFormat="1" ht="15.95" customHeight="1" x14ac:dyDescent="0.25">
      <c r="A506" s="790">
        <v>508</v>
      </c>
      <c r="B506" s="791">
        <f t="shared" ca="1" si="374"/>
        <v>43134</v>
      </c>
      <c r="C506" s="29" t="s">
        <v>2404</v>
      </c>
      <c r="D506" s="427" t="s">
        <v>3199</v>
      </c>
      <c r="E506" s="794" t="s">
        <v>1089</v>
      </c>
      <c r="F506" s="795" t="s">
        <v>1000</v>
      </c>
      <c r="G506" s="796">
        <f>SUMIFS(МОЛОКО!L8:L6958,МОЛОКО!F8:F6958,"2466",МОЛОКО!L8:L6958,"&gt;0")</f>
        <v>0</v>
      </c>
      <c r="H506" s="797" t="s">
        <v>603</v>
      </c>
      <c r="I506" s="798">
        <v>42000</v>
      </c>
      <c r="J506" s="799">
        <f t="shared" ca="1" si="375"/>
        <v>3.106849315068493</v>
      </c>
      <c r="K506" s="799">
        <f t="shared" ca="1" si="376"/>
        <v>37.799999999999997</v>
      </c>
      <c r="L506" s="800">
        <f t="shared" ca="1" si="377"/>
        <v>1134</v>
      </c>
      <c r="M506" s="801">
        <v>42734</v>
      </c>
      <c r="N506" s="802">
        <v>42734</v>
      </c>
      <c r="O506" s="803">
        <f t="shared" ca="1" si="378"/>
        <v>400</v>
      </c>
      <c r="P506" s="804">
        <v>1</v>
      </c>
      <c r="Q506" s="805" t="s">
        <v>1451</v>
      </c>
      <c r="R506" s="806" t="s">
        <v>1816</v>
      </c>
      <c r="S506" s="807">
        <v>42784</v>
      </c>
      <c r="T506" s="798">
        <v>42784</v>
      </c>
      <c r="U506" s="798" t="str">
        <f t="shared" si="379"/>
        <v>-</v>
      </c>
      <c r="V506" s="804" t="str">
        <f t="shared" ca="1" si="380"/>
        <v>-</v>
      </c>
      <c r="W506" s="808">
        <v>1</v>
      </c>
      <c r="X506" s="794">
        <f t="shared" si="426"/>
        <v>50</v>
      </c>
      <c r="Y506" s="794">
        <v>1</v>
      </c>
      <c r="Z506" s="809" t="str">
        <f t="shared" ca="1" si="381"/>
        <v>-----</v>
      </c>
      <c r="AA506" s="810" t="str">
        <f t="shared" ca="1" si="382"/>
        <v>-----</v>
      </c>
      <c r="AB506" s="804">
        <v>1</v>
      </c>
      <c r="AC506" s="811" t="str">
        <f t="shared" ca="1" si="383"/>
        <v>-----</v>
      </c>
      <c r="AD506" s="798">
        <v>43003</v>
      </c>
      <c r="AE506" s="794" t="str">
        <f t="shared" ca="1" si="384"/>
        <v>-</v>
      </c>
      <c r="AF506" s="798" t="str">
        <f t="shared" si="385"/>
        <v>-</v>
      </c>
      <c r="AG506" s="812" t="str">
        <f t="shared" si="386"/>
        <v>---------</v>
      </c>
      <c r="AH506" s="807">
        <v>42818</v>
      </c>
      <c r="AI506" s="807">
        <f t="shared" si="387"/>
        <v>42974</v>
      </c>
      <c r="AJ506" s="807">
        <f t="shared" si="388"/>
        <v>43004</v>
      </c>
      <c r="AK506" s="813">
        <v>43003</v>
      </c>
      <c r="AL506" s="807">
        <f t="shared" si="389"/>
        <v>43043</v>
      </c>
      <c r="AM506" s="807">
        <f t="shared" si="390"/>
        <v>43064</v>
      </c>
      <c r="AN506" s="814">
        <f t="shared" ca="1" si="391"/>
        <v>70</v>
      </c>
      <c r="AO506" s="815">
        <v>1</v>
      </c>
      <c r="AP506" s="816" t="str">
        <f t="shared" ca="1" si="392"/>
        <v>-</v>
      </c>
      <c r="AQ506" s="817"/>
      <c r="AR506" s="794" t="str">
        <f t="shared" si="393"/>
        <v>-</v>
      </c>
      <c r="AS506" s="818"/>
      <c r="AT506" s="794" t="str">
        <f t="shared" si="394"/>
        <v>DRY COW</v>
      </c>
      <c r="AU506" s="819"/>
      <c r="AV506" s="820"/>
      <c r="AW506" s="821"/>
      <c r="AX506" s="821"/>
      <c r="AY506" s="969" t="str">
        <f t="shared" si="395"/>
        <v>-</v>
      </c>
      <c r="AZ506" s="966" t="str">
        <f t="shared" si="396"/>
        <v>-</v>
      </c>
      <c r="BA506" s="971" t="str">
        <f t="shared" si="397"/>
        <v>-</v>
      </c>
      <c r="BB506" s="975"/>
      <c r="BC506" s="821"/>
      <c r="BD506" s="821"/>
      <c r="BE506" s="963" t="str">
        <f t="shared" si="398"/>
        <v>-</v>
      </c>
      <c r="BF506" s="984"/>
      <c r="BG506" s="988"/>
      <c r="BH506" s="982"/>
      <c r="BI506" s="991"/>
      <c r="BJ506" s="991"/>
      <c r="BK506" s="993" t="str">
        <f t="shared" si="399"/>
        <v>-</v>
      </c>
      <c r="BL506" s="820">
        <v>42981</v>
      </c>
      <c r="BM506" s="821">
        <v>5</v>
      </c>
      <c r="BN506" s="822">
        <f t="shared" ca="1" si="400"/>
        <v>153</v>
      </c>
      <c r="BO506" s="823">
        <f t="shared" si="401"/>
        <v>32.700000000000003</v>
      </c>
      <c r="BP506" s="824">
        <v>43001</v>
      </c>
      <c r="BQ506" s="821">
        <v>2</v>
      </c>
      <c r="BR506" s="822">
        <f t="shared" ca="1" si="402"/>
        <v>133</v>
      </c>
      <c r="BS506" s="823">
        <f t="shared" si="403"/>
        <v>8.9</v>
      </c>
      <c r="BT506" s="825" t="str">
        <f t="shared" ca="1" si="404"/>
        <v>-</v>
      </c>
      <c r="BU506" s="826"/>
      <c r="BV506" s="827"/>
      <c r="BW506" s="828" t="str">
        <f t="shared" si="405"/>
        <v>Ж-Е НЕ ВАКЦ.</v>
      </c>
      <c r="BX506" s="829" t="str">
        <f t="shared" si="406"/>
        <v>-</v>
      </c>
      <c r="BY506" s="830" t="str">
        <f t="shared" ca="1" si="407"/>
        <v>-</v>
      </c>
      <c r="BZ506" s="831">
        <v>42887</v>
      </c>
      <c r="CA506" s="832">
        <v>5</v>
      </c>
      <c r="CB506" s="833">
        <f t="shared" ca="1" si="408"/>
        <v>247</v>
      </c>
      <c r="CC506" s="834" t="str">
        <f t="shared" ca="1" si="409"/>
        <v>-</v>
      </c>
      <c r="CD506" s="835">
        <f t="shared" si="410"/>
        <v>42908</v>
      </c>
      <c r="CE506" s="831">
        <v>42908</v>
      </c>
      <c r="CF506" s="832">
        <v>5</v>
      </c>
      <c r="CG506" s="833">
        <f t="shared" ca="1" si="411"/>
        <v>226</v>
      </c>
      <c r="CH506" s="836">
        <f t="shared" si="412"/>
        <v>0</v>
      </c>
      <c r="CI506" s="837" t="str">
        <f t="shared" si="413"/>
        <v>УСПЕШНО</v>
      </c>
      <c r="CJ506" s="838" t="str">
        <f t="shared" ca="1" si="414"/>
        <v>-</v>
      </c>
      <c r="CK506" s="831"/>
      <c r="CL506" s="832"/>
      <c r="CM506" s="833" t="str">
        <f t="shared" si="415"/>
        <v>-</v>
      </c>
      <c r="CN506" s="834" t="str">
        <f t="shared" si="416"/>
        <v>-</v>
      </c>
      <c r="CO506" s="830" t="str">
        <f t="shared" ca="1" si="417"/>
        <v>-</v>
      </c>
      <c r="CP506" s="831">
        <v>43003</v>
      </c>
      <c r="CQ506" s="832">
        <v>2</v>
      </c>
      <c r="CR506" s="833">
        <f t="shared" si="418"/>
        <v>219</v>
      </c>
      <c r="CS506" s="833">
        <f t="shared" ca="1" si="419"/>
        <v>131</v>
      </c>
      <c r="CT506" s="834" t="str">
        <f t="shared" ca="1" si="420"/>
        <v>-</v>
      </c>
      <c r="CU506" s="835">
        <f t="shared" si="421"/>
        <v>43024</v>
      </c>
      <c r="CV506" s="831">
        <v>43024</v>
      </c>
      <c r="CW506" s="832">
        <v>2</v>
      </c>
      <c r="CX506" s="833">
        <f t="shared" si="422"/>
        <v>0</v>
      </c>
      <c r="CY506" s="840" t="str">
        <f t="shared" si="423"/>
        <v>УСПЕШНО</v>
      </c>
      <c r="CZ506" s="833">
        <f t="shared" si="424"/>
        <v>240</v>
      </c>
      <c r="DA506" s="838" t="str">
        <f t="shared" ca="1" si="425"/>
        <v>ТРЕБУЕТСЯ РЕВАКЦИНАЦИЯ</v>
      </c>
      <c r="DB506" s="841"/>
      <c r="DC506" s="832"/>
    </row>
    <row r="507" spans="1:107" s="842" customFormat="1" ht="15.95" customHeight="1" x14ac:dyDescent="0.25">
      <c r="A507" s="790">
        <v>509</v>
      </c>
      <c r="B507" s="791">
        <f t="shared" ca="1" si="374"/>
        <v>43134</v>
      </c>
      <c r="C507" s="29" t="s">
        <v>2404</v>
      </c>
      <c r="D507" s="59" t="s">
        <v>3199</v>
      </c>
      <c r="E507" s="794" t="s">
        <v>1068</v>
      </c>
      <c r="F507" s="795" t="s">
        <v>985</v>
      </c>
      <c r="G507" s="796">
        <f>SUMIFS(МОЛОКО!L8:L6958,МОЛОКО!F8:F6958,"2480",МОЛОКО!L8:L6958,"&gt;0")</f>
        <v>0</v>
      </c>
      <c r="H507" s="797" t="s">
        <v>603</v>
      </c>
      <c r="I507" s="798">
        <v>42010</v>
      </c>
      <c r="J507" s="799">
        <f t="shared" ca="1" si="375"/>
        <v>3.0794520547945203</v>
      </c>
      <c r="K507" s="799">
        <f t="shared" ca="1" si="376"/>
        <v>37.466666666666669</v>
      </c>
      <c r="L507" s="800">
        <f t="shared" ca="1" si="377"/>
        <v>1124</v>
      </c>
      <c r="M507" s="801">
        <v>42685</v>
      </c>
      <c r="N507" s="802">
        <v>42685</v>
      </c>
      <c r="O507" s="803">
        <f t="shared" ca="1" si="378"/>
        <v>449</v>
      </c>
      <c r="P507" s="804">
        <v>1</v>
      </c>
      <c r="Q507" s="805" t="s">
        <v>2366</v>
      </c>
      <c r="R507" s="806" t="s">
        <v>1815</v>
      </c>
      <c r="S507" s="807">
        <v>42747</v>
      </c>
      <c r="T507" s="798">
        <v>42792</v>
      </c>
      <c r="U507" s="798" t="str">
        <f t="shared" si="379"/>
        <v>-</v>
      </c>
      <c r="V507" s="804" t="str">
        <f t="shared" ca="1" si="380"/>
        <v>-</v>
      </c>
      <c r="W507" s="808">
        <v>1</v>
      </c>
      <c r="X507" s="794">
        <f t="shared" si="426"/>
        <v>107</v>
      </c>
      <c r="Y507" s="794">
        <v>1</v>
      </c>
      <c r="Z507" s="809" t="str">
        <f t="shared" ca="1" si="381"/>
        <v>-----</v>
      </c>
      <c r="AA507" s="810" t="str">
        <f t="shared" ca="1" si="382"/>
        <v>-----</v>
      </c>
      <c r="AB507" s="804">
        <v>1</v>
      </c>
      <c r="AC507" s="811" t="str">
        <f t="shared" ca="1" si="383"/>
        <v>-----</v>
      </c>
      <c r="AD507" s="798">
        <v>43010</v>
      </c>
      <c r="AE507" s="794" t="str">
        <f t="shared" ca="1" si="384"/>
        <v>-</v>
      </c>
      <c r="AF507" s="798" t="str">
        <f t="shared" si="385"/>
        <v>-</v>
      </c>
      <c r="AG507" s="812" t="str">
        <f t="shared" si="386"/>
        <v>---------</v>
      </c>
      <c r="AH507" s="807">
        <v>42827</v>
      </c>
      <c r="AI507" s="807">
        <f t="shared" si="387"/>
        <v>42982</v>
      </c>
      <c r="AJ507" s="807">
        <f t="shared" si="388"/>
        <v>43012</v>
      </c>
      <c r="AK507" s="813">
        <v>43010</v>
      </c>
      <c r="AL507" s="807">
        <f t="shared" si="389"/>
        <v>43051</v>
      </c>
      <c r="AM507" s="807">
        <f t="shared" si="390"/>
        <v>43072</v>
      </c>
      <c r="AN507" s="814">
        <f t="shared" ca="1" si="391"/>
        <v>62</v>
      </c>
      <c r="AO507" s="815">
        <v>1</v>
      </c>
      <c r="AP507" s="816" t="str">
        <f t="shared" ca="1" si="392"/>
        <v>-</v>
      </c>
      <c r="AQ507" s="817"/>
      <c r="AR507" s="794" t="str">
        <f t="shared" si="393"/>
        <v>-</v>
      </c>
      <c r="AS507" s="818"/>
      <c r="AT507" s="794" t="str">
        <f t="shared" si="394"/>
        <v>DRY COW</v>
      </c>
      <c r="AU507" s="819"/>
      <c r="AV507" s="820"/>
      <c r="AW507" s="821"/>
      <c r="AX507" s="821"/>
      <c r="AY507" s="969" t="str">
        <f t="shared" si="395"/>
        <v>-</v>
      </c>
      <c r="AZ507" s="966" t="str">
        <f t="shared" si="396"/>
        <v>-</v>
      </c>
      <c r="BA507" s="971" t="str">
        <f t="shared" si="397"/>
        <v>-</v>
      </c>
      <c r="BB507" s="975"/>
      <c r="BC507" s="821"/>
      <c r="BD507" s="821"/>
      <c r="BE507" s="963" t="str">
        <f t="shared" si="398"/>
        <v>-</v>
      </c>
      <c r="BF507" s="984"/>
      <c r="BG507" s="988"/>
      <c r="BH507" s="982"/>
      <c r="BI507" s="991"/>
      <c r="BJ507" s="991"/>
      <c r="BK507" s="993" t="str">
        <f t="shared" si="399"/>
        <v>-</v>
      </c>
      <c r="BL507" s="820">
        <v>42981</v>
      </c>
      <c r="BM507" s="821">
        <v>5</v>
      </c>
      <c r="BN507" s="822">
        <f t="shared" ca="1" si="400"/>
        <v>153</v>
      </c>
      <c r="BO507" s="823">
        <f t="shared" si="401"/>
        <v>32.366666666666667</v>
      </c>
      <c r="BP507" s="824">
        <v>43001</v>
      </c>
      <c r="BQ507" s="821">
        <v>2</v>
      </c>
      <c r="BR507" s="822">
        <f t="shared" ca="1" si="402"/>
        <v>133</v>
      </c>
      <c r="BS507" s="823">
        <f t="shared" si="403"/>
        <v>10.533333333333333</v>
      </c>
      <c r="BT507" s="825" t="str">
        <f t="shared" ca="1" si="404"/>
        <v>-</v>
      </c>
      <c r="BU507" s="826"/>
      <c r="BV507" s="827"/>
      <c r="BW507" s="828" t="str">
        <f t="shared" si="405"/>
        <v>Ж-Е НЕ ВАКЦ.</v>
      </c>
      <c r="BX507" s="829" t="str">
        <f t="shared" si="406"/>
        <v>-</v>
      </c>
      <c r="BY507" s="830" t="str">
        <f t="shared" ca="1" si="407"/>
        <v>-</v>
      </c>
      <c r="BZ507" s="831">
        <v>42887</v>
      </c>
      <c r="CA507" s="832">
        <v>5</v>
      </c>
      <c r="CB507" s="833">
        <f t="shared" ca="1" si="408"/>
        <v>247</v>
      </c>
      <c r="CC507" s="834" t="str">
        <f t="shared" ca="1" si="409"/>
        <v>-</v>
      </c>
      <c r="CD507" s="835">
        <f t="shared" si="410"/>
        <v>42908</v>
      </c>
      <c r="CE507" s="831">
        <v>42908</v>
      </c>
      <c r="CF507" s="832">
        <v>5</v>
      </c>
      <c r="CG507" s="833">
        <f t="shared" ca="1" si="411"/>
        <v>226</v>
      </c>
      <c r="CH507" s="836">
        <f t="shared" si="412"/>
        <v>0</v>
      </c>
      <c r="CI507" s="837" t="str">
        <f t="shared" si="413"/>
        <v>УСПЕШНО</v>
      </c>
      <c r="CJ507" s="838" t="str">
        <f t="shared" ca="1" si="414"/>
        <v>-</v>
      </c>
      <c r="CK507" s="831"/>
      <c r="CL507" s="832"/>
      <c r="CM507" s="833" t="str">
        <f t="shared" si="415"/>
        <v>-</v>
      </c>
      <c r="CN507" s="834" t="str">
        <f t="shared" si="416"/>
        <v>-</v>
      </c>
      <c r="CO507" s="830" t="str">
        <f t="shared" ca="1" si="417"/>
        <v>-</v>
      </c>
      <c r="CP507" s="831">
        <v>43006</v>
      </c>
      <c r="CQ507" s="832">
        <v>2</v>
      </c>
      <c r="CR507" s="833">
        <f t="shared" si="418"/>
        <v>214</v>
      </c>
      <c r="CS507" s="833">
        <f t="shared" ca="1" si="419"/>
        <v>128</v>
      </c>
      <c r="CT507" s="834" t="str">
        <f t="shared" ca="1" si="420"/>
        <v>-</v>
      </c>
      <c r="CU507" s="835">
        <f t="shared" si="421"/>
        <v>43027</v>
      </c>
      <c r="CV507" s="831">
        <v>43027</v>
      </c>
      <c r="CW507" s="832">
        <v>2</v>
      </c>
      <c r="CX507" s="833">
        <f t="shared" si="422"/>
        <v>0</v>
      </c>
      <c r="CY507" s="840" t="str">
        <f t="shared" si="423"/>
        <v>УСПЕШНО</v>
      </c>
      <c r="CZ507" s="833">
        <f t="shared" si="424"/>
        <v>235</v>
      </c>
      <c r="DA507" s="838" t="str">
        <f t="shared" ca="1" si="425"/>
        <v>ТРЕБУЕТСЯ РЕВАКЦИНАЦИЯ</v>
      </c>
      <c r="DB507" s="841"/>
      <c r="DC507" s="832"/>
    </row>
    <row r="508" spans="1:107" s="842" customFormat="1" ht="15.95" customHeight="1" x14ac:dyDescent="0.25">
      <c r="A508" s="790">
        <v>510</v>
      </c>
      <c r="B508" s="791">
        <f t="shared" ca="1" si="374"/>
        <v>43134</v>
      </c>
      <c r="C508" s="29" t="s">
        <v>2404</v>
      </c>
      <c r="D508" s="59" t="s">
        <v>3199</v>
      </c>
      <c r="E508" s="794" t="s">
        <v>1091</v>
      </c>
      <c r="F508" s="795" t="s">
        <v>998</v>
      </c>
      <c r="G508" s="796">
        <f>SUMIFS(МОЛОКО!L8:L6958,МОЛОКО!F8:F6958,"2484",МОЛОКО!L8:L6958,"&gt;0")</f>
        <v>0</v>
      </c>
      <c r="H508" s="797" t="s">
        <v>603</v>
      </c>
      <c r="I508" s="798">
        <v>42013</v>
      </c>
      <c r="J508" s="799">
        <f t="shared" ca="1" si="375"/>
        <v>3.0712328767123287</v>
      </c>
      <c r="K508" s="799">
        <f t="shared" ca="1" si="376"/>
        <v>37.366666666666667</v>
      </c>
      <c r="L508" s="800">
        <f t="shared" ca="1" si="377"/>
        <v>1121</v>
      </c>
      <c r="M508" s="801">
        <v>42738</v>
      </c>
      <c r="N508" s="802">
        <v>42738</v>
      </c>
      <c r="O508" s="803">
        <f t="shared" ca="1" si="378"/>
        <v>396</v>
      </c>
      <c r="P508" s="804">
        <v>1</v>
      </c>
      <c r="Q508" s="805" t="s">
        <v>2366</v>
      </c>
      <c r="R508" s="806" t="s">
        <v>2269</v>
      </c>
      <c r="S508" s="807">
        <v>42796</v>
      </c>
      <c r="T508" s="798">
        <v>42796</v>
      </c>
      <c r="U508" s="798" t="str">
        <f t="shared" si="379"/>
        <v>-</v>
      </c>
      <c r="V508" s="804" t="str">
        <f t="shared" ca="1" si="380"/>
        <v>-</v>
      </c>
      <c r="W508" s="808">
        <v>1</v>
      </c>
      <c r="X508" s="794">
        <f t="shared" si="426"/>
        <v>58</v>
      </c>
      <c r="Y508" s="794">
        <v>1</v>
      </c>
      <c r="Z508" s="809" t="str">
        <f t="shared" ca="1" si="381"/>
        <v>-----</v>
      </c>
      <c r="AA508" s="810" t="str">
        <f t="shared" ca="1" si="382"/>
        <v>-----</v>
      </c>
      <c r="AB508" s="804">
        <v>1</v>
      </c>
      <c r="AC508" s="811" t="str">
        <f t="shared" ca="1" si="383"/>
        <v>-----</v>
      </c>
      <c r="AD508" s="798">
        <v>43010</v>
      </c>
      <c r="AE508" s="794" t="str">
        <f t="shared" ca="1" si="384"/>
        <v>-</v>
      </c>
      <c r="AF508" s="798" t="str">
        <f t="shared" si="385"/>
        <v>-</v>
      </c>
      <c r="AG508" s="812" t="str">
        <f t="shared" si="386"/>
        <v>---------</v>
      </c>
      <c r="AH508" s="807">
        <v>42831</v>
      </c>
      <c r="AI508" s="807">
        <f t="shared" si="387"/>
        <v>42986</v>
      </c>
      <c r="AJ508" s="807">
        <f t="shared" si="388"/>
        <v>43016</v>
      </c>
      <c r="AK508" s="813">
        <v>43010</v>
      </c>
      <c r="AL508" s="807">
        <f t="shared" si="389"/>
        <v>43055</v>
      </c>
      <c r="AM508" s="807">
        <f t="shared" si="390"/>
        <v>43076</v>
      </c>
      <c r="AN508" s="814">
        <f t="shared" ca="1" si="391"/>
        <v>58</v>
      </c>
      <c r="AO508" s="815">
        <v>1</v>
      </c>
      <c r="AP508" s="816" t="str">
        <f t="shared" ca="1" si="392"/>
        <v>-</v>
      </c>
      <c r="AQ508" s="817"/>
      <c r="AR508" s="794" t="str">
        <f t="shared" si="393"/>
        <v>-</v>
      </c>
      <c r="AS508" s="818"/>
      <c r="AT508" s="794" t="str">
        <f t="shared" si="394"/>
        <v>DRY COW</v>
      </c>
      <c r="AU508" s="819"/>
      <c r="AV508" s="820"/>
      <c r="AW508" s="821"/>
      <c r="AX508" s="821"/>
      <c r="AY508" s="969" t="str">
        <f t="shared" si="395"/>
        <v>-</v>
      </c>
      <c r="AZ508" s="966" t="str">
        <f t="shared" si="396"/>
        <v>-</v>
      </c>
      <c r="BA508" s="971" t="str">
        <f t="shared" si="397"/>
        <v>-</v>
      </c>
      <c r="BB508" s="975"/>
      <c r="BC508" s="821"/>
      <c r="BD508" s="821"/>
      <c r="BE508" s="963" t="str">
        <f t="shared" si="398"/>
        <v>-</v>
      </c>
      <c r="BF508" s="984"/>
      <c r="BG508" s="988"/>
      <c r="BH508" s="982"/>
      <c r="BI508" s="991"/>
      <c r="BJ508" s="991"/>
      <c r="BK508" s="993" t="str">
        <f t="shared" si="399"/>
        <v>-</v>
      </c>
      <c r="BL508" s="820">
        <v>42981</v>
      </c>
      <c r="BM508" s="821">
        <v>5</v>
      </c>
      <c r="BN508" s="822">
        <f t="shared" ca="1" si="400"/>
        <v>153</v>
      </c>
      <c r="BO508" s="823">
        <f t="shared" si="401"/>
        <v>32.266666666666666</v>
      </c>
      <c r="BP508" s="824">
        <v>43001</v>
      </c>
      <c r="BQ508" s="821">
        <v>2</v>
      </c>
      <c r="BR508" s="822">
        <f t="shared" ca="1" si="402"/>
        <v>133</v>
      </c>
      <c r="BS508" s="823">
        <f t="shared" si="403"/>
        <v>8.7666666666666675</v>
      </c>
      <c r="BT508" s="825" t="str">
        <f t="shared" ca="1" si="404"/>
        <v>-</v>
      </c>
      <c r="BU508" s="826"/>
      <c r="BV508" s="827"/>
      <c r="BW508" s="828" t="str">
        <f t="shared" si="405"/>
        <v>Ж-Е НЕ ВАКЦ.</v>
      </c>
      <c r="BX508" s="829" t="str">
        <f t="shared" si="406"/>
        <v>-</v>
      </c>
      <c r="BY508" s="830" t="str">
        <f t="shared" ca="1" si="407"/>
        <v>-</v>
      </c>
      <c r="BZ508" s="831">
        <v>42887</v>
      </c>
      <c r="CA508" s="832">
        <v>5</v>
      </c>
      <c r="CB508" s="833">
        <f t="shared" ca="1" si="408"/>
        <v>247</v>
      </c>
      <c r="CC508" s="834" t="str">
        <f t="shared" ca="1" si="409"/>
        <v>-</v>
      </c>
      <c r="CD508" s="835">
        <f t="shared" si="410"/>
        <v>42908</v>
      </c>
      <c r="CE508" s="831">
        <v>42908</v>
      </c>
      <c r="CF508" s="832">
        <v>5</v>
      </c>
      <c r="CG508" s="833">
        <f t="shared" ca="1" si="411"/>
        <v>226</v>
      </c>
      <c r="CH508" s="836">
        <f t="shared" si="412"/>
        <v>0</v>
      </c>
      <c r="CI508" s="837" t="str">
        <f t="shared" si="413"/>
        <v>УСПЕШНО</v>
      </c>
      <c r="CJ508" s="838" t="str">
        <f t="shared" ca="1" si="414"/>
        <v>-</v>
      </c>
      <c r="CK508" s="831"/>
      <c r="CL508" s="832"/>
      <c r="CM508" s="833" t="str">
        <f t="shared" si="415"/>
        <v>-</v>
      </c>
      <c r="CN508" s="834" t="str">
        <f t="shared" si="416"/>
        <v>-</v>
      </c>
      <c r="CO508" s="830" t="str">
        <f t="shared" ca="1" si="417"/>
        <v>-</v>
      </c>
      <c r="CP508" s="831">
        <v>43010</v>
      </c>
      <c r="CQ508" s="832">
        <v>2</v>
      </c>
      <c r="CR508" s="833">
        <f t="shared" si="418"/>
        <v>214</v>
      </c>
      <c r="CS508" s="833">
        <f t="shared" ca="1" si="419"/>
        <v>124</v>
      </c>
      <c r="CT508" s="834" t="str">
        <f t="shared" ca="1" si="420"/>
        <v>-</v>
      </c>
      <c r="CU508" s="835">
        <f t="shared" si="421"/>
        <v>43031</v>
      </c>
      <c r="CV508" s="831">
        <v>43031</v>
      </c>
      <c r="CW508" s="832">
        <v>2</v>
      </c>
      <c r="CX508" s="833">
        <f t="shared" si="422"/>
        <v>0</v>
      </c>
      <c r="CY508" s="840" t="str">
        <f t="shared" si="423"/>
        <v>УСПЕШНО</v>
      </c>
      <c r="CZ508" s="833">
        <f t="shared" si="424"/>
        <v>235</v>
      </c>
      <c r="DA508" s="838" t="str">
        <f t="shared" ca="1" si="425"/>
        <v>ТРЕБУЕТСЯ РЕВАКЦИНАЦИЯ</v>
      </c>
      <c r="DB508" s="841"/>
      <c r="DC508" s="832"/>
    </row>
    <row r="509" spans="1:107" s="842" customFormat="1" ht="15.95" customHeight="1" x14ac:dyDescent="0.25">
      <c r="A509" s="790">
        <v>511</v>
      </c>
      <c r="B509" s="791">
        <f t="shared" ca="1" si="374"/>
        <v>43134</v>
      </c>
      <c r="C509" s="29" t="s">
        <v>2404</v>
      </c>
      <c r="D509" s="59" t="s">
        <v>3199</v>
      </c>
      <c r="E509" s="794" t="s">
        <v>1118</v>
      </c>
      <c r="F509" s="795" t="s">
        <v>1032</v>
      </c>
      <c r="G509" s="796">
        <f>SUMIFS(МОЛОКО!L8:L6958,МОЛОКО!F8:F6958,"2535",МОЛОКО!L8:L6958,"&gt;0")</f>
        <v>0</v>
      </c>
      <c r="H509" s="797" t="s">
        <v>603</v>
      </c>
      <c r="I509" s="798">
        <v>42050</v>
      </c>
      <c r="J509" s="799">
        <f t="shared" ca="1" si="375"/>
        <v>2.9698630136986299</v>
      </c>
      <c r="K509" s="799">
        <f t="shared" ca="1" si="376"/>
        <v>36.133333333333333</v>
      </c>
      <c r="L509" s="800">
        <f t="shared" ca="1" si="377"/>
        <v>1084</v>
      </c>
      <c r="M509" s="801">
        <v>42736</v>
      </c>
      <c r="N509" s="802">
        <v>42736</v>
      </c>
      <c r="O509" s="803">
        <f t="shared" ca="1" si="378"/>
        <v>398</v>
      </c>
      <c r="P509" s="804">
        <v>1</v>
      </c>
      <c r="Q509" s="805" t="s">
        <v>2366</v>
      </c>
      <c r="R509" s="806" t="s">
        <v>2269</v>
      </c>
      <c r="S509" s="807">
        <v>42796</v>
      </c>
      <c r="T509" s="798">
        <v>42796</v>
      </c>
      <c r="U509" s="798" t="str">
        <f t="shared" si="379"/>
        <v>-</v>
      </c>
      <c r="V509" s="804" t="str">
        <f t="shared" ca="1" si="380"/>
        <v>-</v>
      </c>
      <c r="W509" s="808">
        <v>1</v>
      </c>
      <c r="X509" s="794">
        <f t="shared" si="426"/>
        <v>60</v>
      </c>
      <c r="Y509" s="794">
        <v>1</v>
      </c>
      <c r="Z509" s="809" t="str">
        <f t="shared" ca="1" si="381"/>
        <v>-----</v>
      </c>
      <c r="AA509" s="810" t="str">
        <f t="shared" ca="1" si="382"/>
        <v>-----</v>
      </c>
      <c r="AB509" s="804">
        <v>1</v>
      </c>
      <c r="AC509" s="811" t="str">
        <f t="shared" ca="1" si="383"/>
        <v>-----</v>
      </c>
      <c r="AD509" s="798">
        <v>43010</v>
      </c>
      <c r="AE509" s="794" t="str">
        <f t="shared" ca="1" si="384"/>
        <v>-</v>
      </c>
      <c r="AF509" s="798" t="str">
        <f t="shared" si="385"/>
        <v>-</v>
      </c>
      <c r="AG509" s="812" t="str">
        <f t="shared" si="386"/>
        <v>---------</v>
      </c>
      <c r="AH509" s="807">
        <v>42838</v>
      </c>
      <c r="AI509" s="807">
        <f t="shared" si="387"/>
        <v>42986</v>
      </c>
      <c r="AJ509" s="807">
        <f t="shared" si="388"/>
        <v>43016</v>
      </c>
      <c r="AK509" s="813">
        <v>43010</v>
      </c>
      <c r="AL509" s="807">
        <f t="shared" si="389"/>
        <v>43055</v>
      </c>
      <c r="AM509" s="807">
        <f t="shared" si="390"/>
        <v>43076</v>
      </c>
      <c r="AN509" s="814">
        <f t="shared" ca="1" si="391"/>
        <v>58</v>
      </c>
      <c r="AO509" s="815">
        <v>1</v>
      </c>
      <c r="AP509" s="816" t="str">
        <f t="shared" ca="1" si="392"/>
        <v>-</v>
      </c>
      <c r="AQ509" s="817"/>
      <c r="AR509" s="794" t="str">
        <f t="shared" si="393"/>
        <v>-</v>
      </c>
      <c r="AS509" s="818"/>
      <c r="AT509" s="794" t="str">
        <f t="shared" si="394"/>
        <v>DRY COW</v>
      </c>
      <c r="AU509" s="819"/>
      <c r="AV509" s="820"/>
      <c r="AW509" s="821"/>
      <c r="AX509" s="821"/>
      <c r="AY509" s="969" t="str">
        <f t="shared" si="395"/>
        <v>-</v>
      </c>
      <c r="AZ509" s="966" t="str">
        <f t="shared" si="396"/>
        <v>-</v>
      </c>
      <c r="BA509" s="971" t="str">
        <f t="shared" si="397"/>
        <v>-</v>
      </c>
      <c r="BB509" s="975"/>
      <c r="BC509" s="821"/>
      <c r="BD509" s="821"/>
      <c r="BE509" s="963" t="str">
        <f t="shared" si="398"/>
        <v>-</v>
      </c>
      <c r="BF509" s="984"/>
      <c r="BG509" s="988"/>
      <c r="BH509" s="982"/>
      <c r="BI509" s="991"/>
      <c r="BJ509" s="991"/>
      <c r="BK509" s="993" t="str">
        <f t="shared" si="399"/>
        <v>-</v>
      </c>
      <c r="BL509" s="820">
        <v>42981</v>
      </c>
      <c r="BM509" s="821">
        <v>5</v>
      </c>
      <c r="BN509" s="822">
        <f t="shared" ca="1" si="400"/>
        <v>153</v>
      </c>
      <c r="BO509" s="823">
        <f t="shared" si="401"/>
        <v>31.033333333333335</v>
      </c>
      <c r="BP509" s="824">
        <v>43001</v>
      </c>
      <c r="BQ509" s="821">
        <v>2</v>
      </c>
      <c r="BR509" s="822">
        <f t="shared" ca="1" si="402"/>
        <v>133</v>
      </c>
      <c r="BS509" s="823">
        <f t="shared" si="403"/>
        <v>8.8333333333333339</v>
      </c>
      <c r="BT509" s="825" t="str">
        <f t="shared" ca="1" si="404"/>
        <v>-</v>
      </c>
      <c r="BU509" s="826"/>
      <c r="BV509" s="827"/>
      <c r="BW509" s="828" t="str">
        <f t="shared" si="405"/>
        <v>Ж-Е НЕ ВАКЦ.</v>
      </c>
      <c r="BX509" s="829" t="str">
        <f t="shared" si="406"/>
        <v>-</v>
      </c>
      <c r="BY509" s="830" t="str">
        <f t="shared" ca="1" si="407"/>
        <v>-</v>
      </c>
      <c r="BZ509" s="831">
        <v>42887</v>
      </c>
      <c r="CA509" s="832">
        <v>5</v>
      </c>
      <c r="CB509" s="833">
        <f t="shared" ca="1" si="408"/>
        <v>247</v>
      </c>
      <c r="CC509" s="834" t="str">
        <f t="shared" ca="1" si="409"/>
        <v>-</v>
      </c>
      <c r="CD509" s="835">
        <f t="shared" si="410"/>
        <v>42908</v>
      </c>
      <c r="CE509" s="831">
        <v>42908</v>
      </c>
      <c r="CF509" s="832">
        <v>5</v>
      </c>
      <c r="CG509" s="833">
        <f t="shared" ca="1" si="411"/>
        <v>226</v>
      </c>
      <c r="CH509" s="836">
        <f t="shared" si="412"/>
        <v>0</v>
      </c>
      <c r="CI509" s="837" t="str">
        <f t="shared" si="413"/>
        <v>УСПЕШНО</v>
      </c>
      <c r="CJ509" s="838" t="str">
        <f t="shared" ca="1" si="414"/>
        <v>-</v>
      </c>
      <c r="CK509" s="831"/>
      <c r="CL509" s="832"/>
      <c r="CM509" s="833" t="str">
        <f t="shared" si="415"/>
        <v>-</v>
      </c>
      <c r="CN509" s="834" t="str">
        <f t="shared" si="416"/>
        <v>-</v>
      </c>
      <c r="CO509" s="830" t="str">
        <f t="shared" ca="1" si="417"/>
        <v>-</v>
      </c>
      <c r="CP509" s="831">
        <v>43010</v>
      </c>
      <c r="CQ509" s="832">
        <v>2</v>
      </c>
      <c r="CR509" s="833">
        <f t="shared" si="418"/>
        <v>214</v>
      </c>
      <c r="CS509" s="833">
        <f t="shared" ca="1" si="419"/>
        <v>124</v>
      </c>
      <c r="CT509" s="834" t="str">
        <f t="shared" ca="1" si="420"/>
        <v>-</v>
      </c>
      <c r="CU509" s="835">
        <f t="shared" si="421"/>
        <v>43031</v>
      </c>
      <c r="CV509" s="831">
        <v>43031</v>
      </c>
      <c r="CW509" s="832">
        <v>2</v>
      </c>
      <c r="CX509" s="833">
        <f t="shared" si="422"/>
        <v>0</v>
      </c>
      <c r="CY509" s="840" t="str">
        <f t="shared" si="423"/>
        <v>УСПЕШНО</v>
      </c>
      <c r="CZ509" s="833">
        <f t="shared" si="424"/>
        <v>235</v>
      </c>
      <c r="DA509" s="838" t="str">
        <f t="shared" ca="1" si="425"/>
        <v>ТРЕБУЕТСЯ РЕВАКЦИНАЦИЯ</v>
      </c>
      <c r="DB509" s="841"/>
      <c r="DC509" s="832"/>
    </row>
    <row r="510" spans="1:107" s="842" customFormat="1" ht="15.95" customHeight="1" x14ac:dyDescent="0.25">
      <c r="A510" s="790">
        <v>512</v>
      </c>
      <c r="B510" s="791">
        <f t="shared" ca="1" si="374"/>
        <v>43134</v>
      </c>
      <c r="C510" s="847" t="s">
        <v>2404</v>
      </c>
      <c r="D510" s="793" t="s">
        <v>3199</v>
      </c>
      <c r="E510" s="794" t="s">
        <v>2805</v>
      </c>
      <c r="F510" s="795" t="s">
        <v>2088</v>
      </c>
      <c r="G510" s="796">
        <f>SUMIFS(МОЛОКО!L8:L6958,МОЛОКО!F8:F6958,"2743",МОЛОКО!L8:L6958,"&gt;0")</f>
        <v>0</v>
      </c>
      <c r="H510" s="797" t="s">
        <v>603</v>
      </c>
      <c r="I510" s="798">
        <v>42330</v>
      </c>
      <c r="J510" s="799">
        <f t="shared" ca="1" si="375"/>
        <v>2.2027397260273971</v>
      </c>
      <c r="K510" s="799">
        <f t="shared" ca="1" si="376"/>
        <v>26.8</v>
      </c>
      <c r="L510" s="800">
        <f t="shared" ca="1" si="377"/>
        <v>804</v>
      </c>
      <c r="M510" s="801"/>
      <c r="N510" s="802"/>
      <c r="O510" s="803" t="str">
        <f t="shared" ca="1" si="378"/>
        <v>-</v>
      </c>
      <c r="P510" s="804"/>
      <c r="Q510" s="805" t="s">
        <v>1451</v>
      </c>
      <c r="R510" s="806" t="s">
        <v>2664</v>
      </c>
      <c r="S510" s="807">
        <v>42856</v>
      </c>
      <c r="T510" s="798">
        <v>42856</v>
      </c>
      <c r="U510" s="798" t="str">
        <f t="shared" si="379"/>
        <v>-</v>
      </c>
      <c r="V510" s="804" t="str">
        <f t="shared" ca="1" si="380"/>
        <v>-</v>
      </c>
      <c r="W510" s="808">
        <v>1</v>
      </c>
      <c r="X510" s="794" t="str">
        <f t="shared" si="426"/>
        <v>-</v>
      </c>
      <c r="Y510" s="794">
        <v>1</v>
      </c>
      <c r="Z510" s="809" t="str">
        <f t="shared" ca="1" si="381"/>
        <v>ПОДЛЕЖИТ ПЕРЕПРОВЕРКЕ</v>
      </c>
      <c r="AA510" s="810">
        <f t="shared" ca="1" si="382"/>
        <v>278</v>
      </c>
      <c r="AB510" s="804"/>
      <c r="AC510" s="811">
        <f t="shared" ca="1" si="383"/>
        <v>42928</v>
      </c>
      <c r="AD510" s="798"/>
      <c r="AE510" s="794" t="str">
        <f t="shared" ca="1" si="384"/>
        <v>-</v>
      </c>
      <c r="AF510" s="798" t="str">
        <f t="shared" si="385"/>
        <v>-</v>
      </c>
      <c r="AG510" s="812" t="str">
        <f t="shared" si="386"/>
        <v>---------</v>
      </c>
      <c r="AH510" s="807">
        <v>42918</v>
      </c>
      <c r="AI510" s="807" t="str">
        <f t="shared" si="387"/>
        <v>-</v>
      </c>
      <c r="AJ510" s="807" t="str">
        <f t="shared" si="388"/>
        <v>-</v>
      </c>
      <c r="AK510" s="813"/>
      <c r="AL510" s="807">
        <f t="shared" si="389"/>
        <v>43115</v>
      </c>
      <c r="AM510" s="807">
        <f t="shared" si="390"/>
        <v>43136</v>
      </c>
      <c r="AN510" s="814">
        <f t="shared" ca="1" si="391"/>
        <v>-2</v>
      </c>
      <c r="AO510" s="815">
        <v>1</v>
      </c>
      <c r="AP510" s="816" t="str">
        <f t="shared" ca="1" si="392"/>
        <v>-</v>
      </c>
      <c r="AQ510" s="817"/>
      <c r="AR510" s="794" t="str">
        <f t="shared" si="393"/>
        <v>НЕТЕЛЬ</v>
      </c>
      <c r="AS510" s="818"/>
      <c r="AT510" s="794" t="str">
        <f t="shared" si="394"/>
        <v>-</v>
      </c>
      <c r="AU510" s="819"/>
      <c r="AV510" s="820"/>
      <c r="AW510" s="821"/>
      <c r="AX510" s="821"/>
      <c r="AY510" s="969" t="str">
        <f t="shared" si="395"/>
        <v>-</v>
      </c>
      <c r="AZ510" s="966" t="str">
        <f t="shared" si="396"/>
        <v>-</v>
      </c>
      <c r="BA510" s="971" t="str">
        <f t="shared" si="397"/>
        <v>-</v>
      </c>
      <c r="BB510" s="975"/>
      <c r="BC510" s="821"/>
      <c r="BD510" s="821"/>
      <c r="BE510" s="963" t="str">
        <f t="shared" si="398"/>
        <v>-</v>
      </c>
      <c r="BF510" s="984"/>
      <c r="BG510" s="988"/>
      <c r="BH510" s="982"/>
      <c r="BI510" s="991"/>
      <c r="BJ510" s="991"/>
      <c r="BK510" s="993" t="str">
        <f t="shared" si="399"/>
        <v>-</v>
      </c>
      <c r="BL510" s="820">
        <v>42978</v>
      </c>
      <c r="BM510" s="821">
        <v>5</v>
      </c>
      <c r="BN510" s="822">
        <f t="shared" ca="1" si="400"/>
        <v>156</v>
      </c>
      <c r="BO510" s="823">
        <f t="shared" si="401"/>
        <v>21.6</v>
      </c>
      <c r="BP510" s="824"/>
      <c r="BQ510" s="821"/>
      <c r="BR510" s="822" t="str">
        <f t="shared" si="402"/>
        <v>-</v>
      </c>
      <c r="BS510" s="823" t="str">
        <f t="shared" si="403"/>
        <v>-</v>
      </c>
      <c r="BT510" s="825" t="str">
        <f t="shared" ca="1" si="404"/>
        <v>-</v>
      </c>
      <c r="BU510" s="826"/>
      <c r="BV510" s="827"/>
      <c r="BW510" s="828" t="str">
        <f t="shared" si="405"/>
        <v>Ж-Е НЕ ВАКЦ.</v>
      </c>
      <c r="BX510" s="829" t="str">
        <f t="shared" si="406"/>
        <v>-</v>
      </c>
      <c r="BY510" s="830" t="str">
        <f t="shared" ca="1" si="407"/>
        <v>-</v>
      </c>
      <c r="BZ510" s="831">
        <v>42891</v>
      </c>
      <c r="CA510" s="832">
        <v>5</v>
      </c>
      <c r="CB510" s="833">
        <f t="shared" ca="1" si="408"/>
        <v>243</v>
      </c>
      <c r="CC510" s="834" t="str">
        <f t="shared" ca="1" si="409"/>
        <v>-</v>
      </c>
      <c r="CD510" s="835">
        <f t="shared" si="410"/>
        <v>42912</v>
      </c>
      <c r="CE510" s="831">
        <v>42912</v>
      </c>
      <c r="CF510" s="832">
        <v>5</v>
      </c>
      <c r="CG510" s="833">
        <f t="shared" ca="1" si="411"/>
        <v>222</v>
      </c>
      <c r="CH510" s="836">
        <f t="shared" si="412"/>
        <v>0</v>
      </c>
      <c r="CI510" s="837" t="str">
        <f t="shared" si="413"/>
        <v>УСПЕШНО</v>
      </c>
      <c r="CJ510" s="838" t="str">
        <f t="shared" ca="1" si="414"/>
        <v>-</v>
      </c>
      <c r="CK510" s="831"/>
      <c r="CL510" s="832"/>
      <c r="CM510" s="833" t="str">
        <f t="shared" si="415"/>
        <v>-</v>
      </c>
      <c r="CN510" s="834" t="str">
        <f t="shared" si="416"/>
        <v>-</v>
      </c>
      <c r="CO510" s="830" t="str">
        <f t="shared" ca="1" si="417"/>
        <v>ТРЕБУЕТСЯ ВАКЦИНАЦИЯ</v>
      </c>
      <c r="CP510" s="839"/>
      <c r="CQ510" s="832"/>
      <c r="CR510" s="833" t="str">
        <f t="shared" si="418"/>
        <v>-</v>
      </c>
      <c r="CS510" s="833" t="str">
        <f t="shared" si="419"/>
        <v>-</v>
      </c>
      <c r="CT510" s="834" t="str">
        <f t="shared" si="420"/>
        <v>-</v>
      </c>
      <c r="CU510" s="835" t="str">
        <f t="shared" si="421"/>
        <v>-</v>
      </c>
      <c r="CV510" s="839"/>
      <c r="CW510" s="832"/>
      <c r="CX510" s="833" t="str">
        <f t="shared" si="422"/>
        <v>-</v>
      </c>
      <c r="CY510" s="840" t="str">
        <f t="shared" si="423"/>
        <v>-</v>
      </c>
      <c r="CZ510" s="833" t="str">
        <f t="shared" si="424"/>
        <v>-</v>
      </c>
      <c r="DA510" s="838" t="str">
        <f t="shared" ca="1" si="425"/>
        <v>-</v>
      </c>
      <c r="DB510" s="841"/>
      <c r="DC510" s="832"/>
    </row>
    <row r="511" spans="1:107" s="842" customFormat="1" ht="15.95" customHeight="1" x14ac:dyDescent="0.25">
      <c r="A511" s="790">
        <v>513</v>
      </c>
      <c r="B511" s="791">
        <f t="shared" ca="1" si="374"/>
        <v>43134</v>
      </c>
      <c r="C511" s="271" t="s">
        <v>2404</v>
      </c>
      <c r="D511" s="59" t="s">
        <v>3199</v>
      </c>
      <c r="E511" s="794" t="s">
        <v>766</v>
      </c>
      <c r="F511" s="795" t="s">
        <v>2099</v>
      </c>
      <c r="G511" s="796">
        <f>SUMIFS(МОЛОКО!L8:L6958,МОЛОКО!F8:F6958,"2762",МОЛОКО!L8:L6958,"&gt;0")</f>
        <v>0</v>
      </c>
      <c r="H511" s="797" t="s">
        <v>603</v>
      </c>
      <c r="I511" s="798">
        <v>42345</v>
      </c>
      <c r="J511" s="799">
        <f t="shared" ca="1" si="375"/>
        <v>2.1616438356164385</v>
      </c>
      <c r="K511" s="799">
        <f t="shared" ca="1" si="376"/>
        <v>26.3</v>
      </c>
      <c r="L511" s="800">
        <f t="shared" ca="1" si="377"/>
        <v>789</v>
      </c>
      <c r="M511" s="801"/>
      <c r="N511" s="802"/>
      <c r="O511" s="803" t="str">
        <f t="shared" ca="1" si="378"/>
        <v>-</v>
      </c>
      <c r="P511" s="804"/>
      <c r="Q511" s="805" t="s">
        <v>2366</v>
      </c>
      <c r="R511" s="806" t="s">
        <v>1876</v>
      </c>
      <c r="S511" s="807">
        <v>42793</v>
      </c>
      <c r="T511" s="798">
        <v>42793</v>
      </c>
      <c r="U511" s="798" t="str">
        <f t="shared" si="379"/>
        <v>-</v>
      </c>
      <c r="V511" s="804" t="str">
        <f t="shared" ca="1" si="380"/>
        <v>-</v>
      </c>
      <c r="W511" s="808">
        <v>1</v>
      </c>
      <c r="X511" s="794" t="str">
        <f t="shared" si="426"/>
        <v>-</v>
      </c>
      <c r="Y511" s="794">
        <v>1</v>
      </c>
      <c r="Z511" s="809" t="str">
        <f t="shared" ca="1" si="381"/>
        <v>ПОДЛЕЖИТ ПЕРЕПРОВЕРКЕ</v>
      </c>
      <c r="AA511" s="810">
        <f t="shared" ca="1" si="382"/>
        <v>341</v>
      </c>
      <c r="AB511" s="804"/>
      <c r="AC511" s="811">
        <f t="shared" ca="1" si="383"/>
        <v>42865</v>
      </c>
      <c r="AD511" s="798"/>
      <c r="AE511" s="794" t="str">
        <f t="shared" ca="1" si="384"/>
        <v>-</v>
      </c>
      <c r="AF511" s="798" t="str">
        <f t="shared" si="385"/>
        <v>-</v>
      </c>
      <c r="AG511" s="812" t="str">
        <f t="shared" si="386"/>
        <v>---------</v>
      </c>
      <c r="AH511" s="807">
        <v>42851</v>
      </c>
      <c r="AI511" s="807" t="str">
        <f t="shared" si="387"/>
        <v>-</v>
      </c>
      <c r="AJ511" s="807" t="str">
        <f t="shared" si="388"/>
        <v>-</v>
      </c>
      <c r="AK511" s="813"/>
      <c r="AL511" s="807">
        <f t="shared" si="389"/>
        <v>43052</v>
      </c>
      <c r="AM511" s="807">
        <f t="shared" si="390"/>
        <v>43073</v>
      </c>
      <c r="AN511" s="814">
        <f t="shared" ca="1" si="391"/>
        <v>61</v>
      </c>
      <c r="AO511" s="815">
        <v>1</v>
      </c>
      <c r="AP511" s="816" t="str">
        <f t="shared" ca="1" si="392"/>
        <v>-</v>
      </c>
      <c r="AQ511" s="817"/>
      <c r="AR511" s="794" t="str">
        <f t="shared" si="393"/>
        <v>НЕТЕЛЬ</v>
      </c>
      <c r="AS511" s="818"/>
      <c r="AT511" s="794" t="str">
        <f t="shared" si="394"/>
        <v>-</v>
      </c>
      <c r="AU511" s="819"/>
      <c r="AV511" s="820"/>
      <c r="AW511" s="821"/>
      <c r="AX511" s="821"/>
      <c r="AY511" s="969" t="str">
        <f t="shared" si="395"/>
        <v>-</v>
      </c>
      <c r="AZ511" s="966" t="str">
        <f t="shared" si="396"/>
        <v>-</v>
      </c>
      <c r="BA511" s="971" t="str">
        <f t="shared" si="397"/>
        <v>-</v>
      </c>
      <c r="BB511" s="975"/>
      <c r="BC511" s="821"/>
      <c r="BD511" s="821"/>
      <c r="BE511" s="963" t="str">
        <f t="shared" si="398"/>
        <v>-</v>
      </c>
      <c r="BF511" s="984"/>
      <c r="BG511" s="988"/>
      <c r="BH511" s="982"/>
      <c r="BI511" s="991"/>
      <c r="BJ511" s="991"/>
      <c r="BK511" s="993" t="str">
        <f t="shared" si="399"/>
        <v>-</v>
      </c>
      <c r="BL511" s="820">
        <v>42978</v>
      </c>
      <c r="BM511" s="821">
        <v>5</v>
      </c>
      <c r="BN511" s="822">
        <f t="shared" ca="1" si="400"/>
        <v>156</v>
      </c>
      <c r="BO511" s="823">
        <f t="shared" si="401"/>
        <v>21.1</v>
      </c>
      <c r="BP511" s="824"/>
      <c r="BQ511" s="821"/>
      <c r="BR511" s="822" t="str">
        <f t="shared" si="402"/>
        <v>-</v>
      </c>
      <c r="BS511" s="823" t="str">
        <f t="shared" si="403"/>
        <v>-</v>
      </c>
      <c r="BT511" s="825" t="str">
        <f t="shared" ca="1" si="404"/>
        <v>-</v>
      </c>
      <c r="BU511" s="826"/>
      <c r="BV511" s="827"/>
      <c r="BW511" s="828" t="str">
        <f t="shared" si="405"/>
        <v>Ж-Е НЕ ВАКЦ.</v>
      </c>
      <c r="BX511" s="829" t="str">
        <f t="shared" si="406"/>
        <v>-</v>
      </c>
      <c r="BY511" s="830" t="str">
        <f t="shared" ca="1" si="407"/>
        <v>-</v>
      </c>
      <c r="BZ511" s="831">
        <v>42894</v>
      </c>
      <c r="CA511" s="832">
        <v>5</v>
      </c>
      <c r="CB511" s="833">
        <f t="shared" ca="1" si="408"/>
        <v>240</v>
      </c>
      <c r="CC511" s="834" t="str">
        <f t="shared" ca="1" si="409"/>
        <v>-</v>
      </c>
      <c r="CD511" s="835">
        <f t="shared" si="410"/>
        <v>42915</v>
      </c>
      <c r="CE511" s="831">
        <v>42915</v>
      </c>
      <c r="CF511" s="832">
        <v>5</v>
      </c>
      <c r="CG511" s="833">
        <f t="shared" ca="1" si="411"/>
        <v>219</v>
      </c>
      <c r="CH511" s="836">
        <f t="shared" si="412"/>
        <v>0</v>
      </c>
      <c r="CI511" s="837" t="str">
        <f t="shared" si="413"/>
        <v>УСПЕШНО</v>
      </c>
      <c r="CJ511" s="838" t="str">
        <f t="shared" ca="1" si="414"/>
        <v>-</v>
      </c>
      <c r="CK511" s="831"/>
      <c r="CL511" s="832"/>
      <c r="CM511" s="833" t="str">
        <f t="shared" si="415"/>
        <v>-</v>
      </c>
      <c r="CN511" s="834" t="str">
        <f t="shared" si="416"/>
        <v>-</v>
      </c>
      <c r="CO511" s="830" t="str">
        <f t="shared" ca="1" si="417"/>
        <v>-</v>
      </c>
      <c r="CP511" s="831">
        <v>43006</v>
      </c>
      <c r="CQ511" s="832">
        <v>2</v>
      </c>
      <c r="CR511" s="833">
        <f t="shared" si="418"/>
        <v>213</v>
      </c>
      <c r="CS511" s="833">
        <f t="shared" ca="1" si="419"/>
        <v>128</v>
      </c>
      <c r="CT511" s="834" t="str">
        <f t="shared" ca="1" si="420"/>
        <v>-</v>
      </c>
      <c r="CU511" s="835">
        <f t="shared" si="421"/>
        <v>43027</v>
      </c>
      <c r="CV511" s="831">
        <v>43027</v>
      </c>
      <c r="CW511" s="832">
        <v>2</v>
      </c>
      <c r="CX511" s="833">
        <f t="shared" si="422"/>
        <v>0</v>
      </c>
      <c r="CY511" s="840" t="str">
        <f t="shared" si="423"/>
        <v>УСПЕШНО</v>
      </c>
      <c r="CZ511" s="833">
        <f t="shared" si="424"/>
        <v>234</v>
      </c>
      <c r="DA511" s="838" t="str">
        <f t="shared" ca="1" si="425"/>
        <v>ТРЕБУЕТСЯ РЕВАКЦИНАЦИЯ</v>
      </c>
      <c r="DB511" s="841"/>
      <c r="DC511" s="832"/>
    </row>
    <row r="512" spans="1:107" s="842" customFormat="1" ht="15.95" customHeight="1" x14ac:dyDescent="0.25">
      <c r="A512" s="790">
        <v>514</v>
      </c>
      <c r="B512" s="791">
        <f t="shared" ca="1" si="374"/>
        <v>43134</v>
      </c>
      <c r="C512" s="271" t="s">
        <v>2404</v>
      </c>
      <c r="D512" s="59" t="s">
        <v>3199</v>
      </c>
      <c r="E512" s="794" t="s">
        <v>1271</v>
      </c>
      <c r="F512" s="795" t="s">
        <v>1800</v>
      </c>
      <c r="G512" s="796">
        <f>SUMIFS(МОЛОКО!L8:L6958,МОЛОКО!F8:F6958,"2782",МОЛОКО!L8:L6958,"&gt;0")</f>
        <v>0</v>
      </c>
      <c r="H512" s="797" t="s">
        <v>603</v>
      </c>
      <c r="I512" s="798">
        <v>42359</v>
      </c>
      <c r="J512" s="799">
        <f t="shared" ca="1" si="375"/>
        <v>2.1232876712328768</v>
      </c>
      <c r="K512" s="799">
        <f t="shared" ca="1" si="376"/>
        <v>25.833333333333332</v>
      </c>
      <c r="L512" s="800">
        <f t="shared" ca="1" si="377"/>
        <v>775</v>
      </c>
      <c r="M512" s="801"/>
      <c r="N512" s="802"/>
      <c r="O512" s="803" t="str">
        <f t="shared" ca="1" si="378"/>
        <v>-</v>
      </c>
      <c r="P512" s="804"/>
      <c r="Q512" s="805" t="s">
        <v>2366</v>
      </c>
      <c r="R512" s="806" t="s">
        <v>1876</v>
      </c>
      <c r="S512" s="807">
        <v>42797</v>
      </c>
      <c r="T512" s="798">
        <v>42797</v>
      </c>
      <c r="U512" s="798" t="str">
        <f t="shared" si="379"/>
        <v>-</v>
      </c>
      <c r="V512" s="804" t="str">
        <f t="shared" ca="1" si="380"/>
        <v>-</v>
      </c>
      <c r="W512" s="808">
        <v>1</v>
      </c>
      <c r="X512" s="794" t="str">
        <f t="shared" si="426"/>
        <v>-</v>
      </c>
      <c r="Y512" s="794">
        <v>1</v>
      </c>
      <c r="Z512" s="809" t="str">
        <f t="shared" ca="1" si="381"/>
        <v>ПОДЛЕЖИТ ПЕРЕПРОВЕРКЕ</v>
      </c>
      <c r="AA512" s="810">
        <f t="shared" ca="1" si="382"/>
        <v>337</v>
      </c>
      <c r="AB512" s="804"/>
      <c r="AC512" s="811">
        <f t="shared" ca="1" si="383"/>
        <v>42869</v>
      </c>
      <c r="AD512" s="798"/>
      <c r="AE512" s="794" t="str">
        <f t="shared" ca="1" si="384"/>
        <v>-</v>
      </c>
      <c r="AF512" s="798" t="str">
        <f t="shared" si="385"/>
        <v>-</v>
      </c>
      <c r="AG512" s="812" t="str">
        <f t="shared" si="386"/>
        <v>---------</v>
      </c>
      <c r="AH512" s="807">
        <v>42881</v>
      </c>
      <c r="AI512" s="807" t="str">
        <f t="shared" si="387"/>
        <v>-</v>
      </c>
      <c r="AJ512" s="807" t="str">
        <f t="shared" si="388"/>
        <v>-</v>
      </c>
      <c r="AK512" s="813"/>
      <c r="AL512" s="807">
        <f t="shared" si="389"/>
        <v>43056</v>
      </c>
      <c r="AM512" s="807">
        <f t="shared" si="390"/>
        <v>43077</v>
      </c>
      <c r="AN512" s="814">
        <f t="shared" ca="1" si="391"/>
        <v>57</v>
      </c>
      <c r="AO512" s="815">
        <v>1</v>
      </c>
      <c r="AP512" s="816" t="str">
        <f t="shared" ca="1" si="392"/>
        <v>-</v>
      </c>
      <c r="AQ512" s="817"/>
      <c r="AR512" s="794" t="str">
        <f t="shared" si="393"/>
        <v>НЕТЕЛЬ</v>
      </c>
      <c r="AS512" s="818"/>
      <c r="AT512" s="794" t="str">
        <f t="shared" si="394"/>
        <v>-</v>
      </c>
      <c r="AU512" s="819"/>
      <c r="AV512" s="820"/>
      <c r="AW512" s="821"/>
      <c r="AX512" s="821"/>
      <c r="AY512" s="969" t="str">
        <f t="shared" si="395"/>
        <v>-</v>
      </c>
      <c r="AZ512" s="966" t="str">
        <f t="shared" si="396"/>
        <v>-</v>
      </c>
      <c r="BA512" s="971" t="str">
        <f t="shared" si="397"/>
        <v>-</v>
      </c>
      <c r="BB512" s="975"/>
      <c r="BC512" s="821"/>
      <c r="BD512" s="821"/>
      <c r="BE512" s="963" t="str">
        <f t="shared" si="398"/>
        <v>-</v>
      </c>
      <c r="BF512" s="984"/>
      <c r="BG512" s="988"/>
      <c r="BH512" s="982"/>
      <c r="BI512" s="991"/>
      <c r="BJ512" s="991"/>
      <c r="BK512" s="993" t="str">
        <f t="shared" si="399"/>
        <v>-</v>
      </c>
      <c r="BL512" s="820">
        <v>42978</v>
      </c>
      <c r="BM512" s="821">
        <v>5</v>
      </c>
      <c r="BN512" s="822">
        <f t="shared" ca="1" si="400"/>
        <v>156</v>
      </c>
      <c r="BO512" s="823">
        <f t="shared" si="401"/>
        <v>20.633333333333333</v>
      </c>
      <c r="BP512" s="824"/>
      <c r="BQ512" s="821"/>
      <c r="BR512" s="822" t="str">
        <f t="shared" si="402"/>
        <v>-</v>
      </c>
      <c r="BS512" s="823" t="str">
        <f t="shared" si="403"/>
        <v>-</v>
      </c>
      <c r="BT512" s="825" t="str">
        <f t="shared" ca="1" si="404"/>
        <v>-</v>
      </c>
      <c r="BU512" s="826"/>
      <c r="BV512" s="827"/>
      <c r="BW512" s="828" t="str">
        <f t="shared" si="405"/>
        <v>Ж-Е НЕ ВАКЦ.</v>
      </c>
      <c r="BX512" s="829" t="str">
        <f t="shared" si="406"/>
        <v>-</v>
      </c>
      <c r="BY512" s="830" t="str">
        <f t="shared" ca="1" si="407"/>
        <v>-</v>
      </c>
      <c r="BZ512" s="831">
        <v>42894</v>
      </c>
      <c r="CA512" s="832">
        <v>5</v>
      </c>
      <c r="CB512" s="833">
        <f t="shared" ca="1" si="408"/>
        <v>240</v>
      </c>
      <c r="CC512" s="834" t="str">
        <f t="shared" ca="1" si="409"/>
        <v>-</v>
      </c>
      <c r="CD512" s="835">
        <f t="shared" si="410"/>
        <v>42915</v>
      </c>
      <c r="CE512" s="831">
        <v>42915</v>
      </c>
      <c r="CF512" s="832">
        <v>5</v>
      </c>
      <c r="CG512" s="833">
        <f t="shared" ca="1" si="411"/>
        <v>219</v>
      </c>
      <c r="CH512" s="836">
        <f t="shared" si="412"/>
        <v>0</v>
      </c>
      <c r="CI512" s="837" t="str">
        <f t="shared" si="413"/>
        <v>УСПЕШНО</v>
      </c>
      <c r="CJ512" s="838" t="str">
        <f t="shared" ca="1" si="414"/>
        <v>-</v>
      </c>
      <c r="CK512" s="831"/>
      <c r="CL512" s="832"/>
      <c r="CM512" s="833" t="str">
        <f t="shared" si="415"/>
        <v>-</v>
      </c>
      <c r="CN512" s="834" t="str">
        <f t="shared" si="416"/>
        <v>-</v>
      </c>
      <c r="CO512" s="830" t="str">
        <f t="shared" ca="1" si="417"/>
        <v>-</v>
      </c>
      <c r="CP512" s="831">
        <v>43010</v>
      </c>
      <c r="CQ512" s="832">
        <v>2</v>
      </c>
      <c r="CR512" s="833">
        <f t="shared" si="418"/>
        <v>213</v>
      </c>
      <c r="CS512" s="833">
        <f t="shared" ca="1" si="419"/>
        <v>124</v>
      </c>
      <c r="CT512" s="834" t="str">
        <f t="shared" ca="1" si="420"/>
        <v>-</v>
      </c>
      <c r="CU512" s="835">
        <f t="shared" si="421"/>
        <v>43031</v>
      </c>
      <c r="CV512" s="831">
        <v>43031</v>
      </c>
      <c r="CW512" s="832">
        <v>2</v>
      </c>
      <c r="CX512" s="833">
        <f t="shared" si="422"/>
        <v>0</v>
      </c>
      <c r="CY512" s="840" t="str">
        <f t="shared" si="423"/>
        <v>УСПЕШНО</v>
      </c>
      <c r="CZ512" s="833">
        <f t="shared" si="424"/>
        <v>234</v>
      </c>
      <c r="DA512" s="838" t="str">
        <f t="shared" ca="1" si="425"/>
        <v>ТРЕБУЕТСЯ РЕВАКЦИНАЦИЯ</v>
      </c>
      <c r="DB512" s="841"/>
      <c r="DC512" s="832"/>
    </row>
    <row r="513" spans="1:107" s="842" customFormat="1" ht="15.95" customHeight="1" x14ac:dyDescent="0.25">
      <c r="A513" s="790">
        <v>515</v>
      </c>
      <c r="B513" s="791">
        <f t="shared" ca="1" si="374"/>
        <v>43134</v>
      </c>
      <c r="C513" s="271" t="s">
        <v>2404</v>
      </c>
      <c r="D513" s="59" t="s">
        <v>3199</v>
      </c>
      <c r="E513" s="794" t="s">
        <v>2814</v>
      </c>
      <c r="F513" s="795" t="s">
        <v>2111</v>
      </c>
      <c r="G513" s="796">
        <f>SUMIFS(МОЛОКО!L8:L6958,МОЛОКО!F8:F6958,"2784",МОЛОКО!L8:L6958,"&gt;0")</f>
        <v>0</v>
      </c>
      <c r="H513" s="797" t="s">
        <v>603</v>
      </c>
      <c r="I513" s="798">
        <v>42359</v>
      </c>
      <c r="J513" s="799">
        <f t="shared" ca="1" si="375"/>
        <v>2.1232876712328768</v>
      </c>
      <c r="K513" s="799">
        <f t="shared" ca="1" si="376"/>
        <v>25.833333333333332</v>
      </c>
      <c r="L513" s="800">
        <f t="shared" ca="1" si="377"/>
        <v>775</v>
      </c>
      <c r="M513" s="801"/>
      <c r="N513" s="802"/>
      <c r="O513" s="803" t="str">
        <f t="shared" ca="1" si="378"/>
        <v>-</v>
      </c>
      <c r="P513" s="804"/>
      <c r="Q513" s="805" t="s">
        <v>2366</v>
      </c>
      <c r="R513" s="806" t="s">
        <v>1876</v>
      </c>
      <c r="S513" s="807">
        <v>42740</v>
      </c>
      <c r="T513" s="798">
        <v>42796</v>
      </c>
      <c r="U513" s="798" t="str">
        <f t="shared" si="379"/>
        <v>-</v>
      </c>
      <c r="V513" s="804" t="str">
        <f t="shared" ca="1" si="380"/>
        <v>-</v>
      </c>
      <c r="W513" s="808">
        <v>2</v>
      </c>
      <c r="X513" s="794" t="str">
        <f t="shared" si="426"/>
        <v>-</v>
      </c>
      <c r="Y513" s="794">
        <v>1</v>
      </c>
      <c r="Z513" s="809" t="str">
        <f t="shared" ca="1" si="381"/>
        <v>ПОДЛЕЖИТ ПЕРЕПРОВЕРКЕ</v>
      </c>
      <c r="AA513" s="810">
        <f t="shared" ca="1" si="382"/>
        <v>338</v>
      </c>
      <c r="AB513" s="804"/>
      <c r="AC513" s="811">
        <f t="shared" ca="1" si="383"/>
        <v>42868</v>
      </c>
      <c r="AD513" s="798"/>
      <c r="AE513" s="794" t="str">
        <f t="shared" ca="1" si="384"/>
        <v>-</v>
      </c>
      <c r="AF513" s="798" t="str">
        <f t="shared" si="385"/>
        <v>-</v>
      </c>
      <c r="AG513" s="812" t="str">
        <f t="shared" si="386"/>
        <v>---------</v>
      </c>
      <c r="AH513" s="807">
        <v>42881</v>
      </c>
      <c r="AI513" s="807" t="str">
        <f t="shared" si="387"/>
        <v>-</v>
      </c>
      <c r="AJ513" s="807" t="str">
        <f t="shared" si="388"/>
        <v>-</v>
      </c>
      <c r="AK513" s="813"/>
      <c r="AL513" s="807">
        <f t="shared" si="389"/>
        <v>43055</v>
      </c>
      <c r="AM513" s="807">
        <f t="shared" si="390"/>
        <v>43076</v>
      </c>
      <c r="AN513" s="814">
        <f t="shared" ca="1" si="391"/>
        <v>58</v>
      </c>
      <c r="AO513" s="815">
        <v>1</v>
      </c>
      <c r="AP513" s="816" t="str">
        <f t="shared" ca="1" si="392"/>
        <v>-</v>
      </c>
      <c r="AQ513" s="817"/>
      <c r="AR513" s="794" t="str">
        <f t="shared" si="393"/>
        <v>НЕТЕЛЬ</v>
      </c>
      <c r="AS513" s="818"/>
      <c r="AT513" s="794" t="str">
        <f t="shared" si="394"/>
        <v>-</v>
      </c>
      <c r="AU513" s="819"/>
      <c r="AV513" s="820"/>
      <c r="AW513" s="821"/>
      <c r="AX513" s="821"/>
      <c r="AY513" s="969" t="str">
        <f t="shared" si="395"/>
        <v>-</v>
      </c>
      <c r="AZ513" s="966" t="str">
        <f t="shared" si="396"/>
        <v>-</v>
      </c>
      <c r="BA513" s="971" t="str">
        <f t="shared" si="397"/>
        <v>-</v>
      </c>
      <c r="BB513" s="975"/>
      <c r="BC513" s="821"/>
      <c r="BD513" s="821"/>
      <c r="BE513" s="963" t="str">
        <f t="shared" si="398"/>
        <v>-</v>
      </c>
      <c r="BF513" s="984"/>
      <c r="BG513" s="988"/>
      <c r="BH513" s="982"/>
      <c r="BI513" s="991"/>
      <c r="BJ513" s="991"/>
      <c r="BK513" s="993" t="str">
        <f t="shared" si="399"/>
        <v>-</v>
      </c>
      <c r="BL513" s="820">
        <v>42978</v>
      </c>
      <c r="BM513" s="821">
        <v>5</v>
      </c>
      <c r="BN513" s="822">
        <f t="shared" ca="1" si="400"/>
        <v>156</v>
      </c>
      <c r="BO513" s="823">
        <f t="shared" si="401"/>
        <v>20.633333333333333</v>
      </c>
      <c r="BP513" s="824"/>
      <c r="BQ513" s="821"/>
      <c r="BR513" s="822" t="str">
        <f t="shared" si="402"/>
        <v>-</v>
      </c>
      <c r="BS513" s="823" t="str">
        <f t="shared" si="403"/>
        <v>-</v>
      </c>
      <c r="BT513" s="825" t="str">
        <f t="shared" ca="1" si="404"/>
        <v>-</v>
      </c>
      <c r="BU513" s="826"/>
      <c r="BV513" s="827"/>
      <c r="BW513" s="828" t="str">
        <f t="shared" si="405"/>
        <v>Ж-Е НЕ ВАКЦ.</v>
      </c>
      <c r="BX513" s="829" t="str">
        <f t="shared" si="406"/>
        <v>-</v>
      </c>
      <c r="BY513" s="830" t="str">
        <f t="shared" ca="1" si="407"/>
        <v>-</v>
      </c>
      <c r="BZ513" s="831">
        <v>42894</v>
      </c>
      <c r="CA513" s="832">
        <v>5</v>
      </c>
      <c r="CB513" s="833">
        <f t="shared" ca="1" si="408"/>
        <v>240</v>
      </c>
      <c r="CC513" s="834" t="str">
        <f t="shared" ca="1" si="409"/>
        <v>-</v>
      </c>
      <c r="CD513" s="835">
        <f t="shared" si="410"/>
        <v>42915</v>
      </c>
      <c r="CE513" s="831">
        <v>42915</v>
      </c>
      <c r="CF513" s="832">
        <v>5</v>
      </c>
      <c r="CG513" s="833">
        <f t="shared" ca="1" si="411"/>
        <v>219</v>
      </c>
      <c r="CH513" s="836">
        <f t="shared" si="412"/>
        <v>0</v>
      </c>
      <c r="CI513" s="837" t="str">
        <f t="shared" si="413"/>
        <v>УСПЕШНО</v>
      </c>
      <c r="CJ513" s="838" t="str">
        <f t="shared" ca="1" si="414"/>
        <v>-</v>
      </c>
      <c r="CK513" s="831"/>
      <c r="CL513" s="832"/>
      <c r="CM513" s="833" t="str">
        <f t="shared" si="415"/>
        <v>-</v>
      </c>
      <c r="CN513" s="834" t="str">
        <f t="shared" si="416"/>
        <v>-</v>
      </c>
      <c r="CO513" s="830" t="str">
        <f t="shared" ca="1" si="417"/>
        <v>-</v>
      </c>
      <c r="CP513" s="831">
        <v>43010</v>
      </c>
      <c r="CQ513" s="832">
        <v>2</v>
      </c>
      <c r="CR513" s="833">
        <f t="shared" si="418"/>
        <v>214</v>
      </c>
      <c r="CS513" s="833">
        <f t="shared" ca="1" si="419"/>
        <v>124</v>
      </c>
      <c r="CT513" s="834" t="str">
        <f t="shared" ca="1" si="420"/>
        <v>-</v>
      </c>
      <c r="CU513" s="835">
        <f t="shared" si="421"/>
        <v>43031</v>
      </c>
      <c r="CV513" s="831">
        <v>43031</v>
      </c>
      <c r="CW513" s="832">
        <v>2</v>
      </c>
      <c r="CX513" s="833">
        <f t="shared" si="422"/>
        <v>0</v>
      </c>
      <c r="CY513" s="840" t="str">
        <f t="shared" si="423"/>
        <v>УСПЕШНО</v>
      </c>
      <c r="CZ513" s="833">
        <f t="shared" si="424"/>
        <v>235</v>
      </c>
      <c r="DA513" s="838" t="str">
        <f t="shared" ca="1" si="425"/>
        <v>ТРЕБУЕТСЯ РЕВАКЦИНАЦИЯ</v>
      </c>
      <c r="DB513" s="841"/>
      <c r="DC513" s="832"/>
    </row>
    <row r="514" spans="1:107" s="842" customFormat="1" ht="15.95" customHeight="1" x14ac:dyDescent="0.25">
      <c r="A514" s="790">
        <v>516</v>
      </c>
      <c r="B514" s="791">
        <f t="shared" ca="1" si="374"/>
        <v>43134</v>
      </c>
      <c r="C514" s="271" t="s">
        <v>2404</v>
      </c>
      <c r="D514" s="59" t="s">
        <v>3199</v>
      </c>
      <c r="E514" s="794" t="s">
        <v>130</v>
      </c>
      <c r="F514" s="795" t="s">
        <v>2113</v>
      </c>
      <c r="G514" s="796">
        <f>SUMIFS(МОЛОКО!L8:L6958,МОЛОКО!F8:F6958,"2786",МОЛОКО!L8:L6958,"&gt;0")</f>
        <v>0</v>
      </c>
      <c r="H514" s="797" t="s">
        <v>603</v>
      </c>
      <c r="I514" s="798">
        <v>42366</v>
      </c>
      <c r="J514" s="799">
        <f t="shared" ca="1" si="375"/>
        <v>2.1041095890410957</v>
      </c>
      <c r="K514" s="799">
        <f t="shared" ca="1" si="376"/>
        <v>25.6</v>
      </c>
      <c r="L514" s="800">
        <f t="shared" ca="1" si="377"/>
        <v>768</v>
      </c>
      <c r="M514" s="801"/>
      <c r="N514" s="802"/>
      <c r="O514" s="803" t="str">
        <f t="shared" ca="1" si="378"/>
        <v>-</v>
      </c>
      <c r="P514" s="804"/>
      <c r="Q514" s="805" t="s">
        <v>2366</v>
      </c>
      <c r="R514" s="806" t="s">
        <v>1876</v>
      </c>
      <c r="S514" s="807">
        <v>42790</v>
      </c>
      <c r="T514" s="798">
        <v>42790</v>
      </c>
      <c r="U514" s="798" t="str">
        <f t="shared" si="379"/>
        <v>-</v>
      </c>
      <c r="V514" s="804" t="str">
        <f t="shared" ca="1" si="380"/>
        <v>-</v>
      </c>
      <c r="W514" s="808">
        <v>1</v>
      </c>
      <c r="X514" s="794" t="str">
        <f t="shared" si="426"/>
        <v>-</v>
      </c>
      <c r="Y514" s="794">
        <v>1</v>
      </c>
      <c r="Z514" s="809" t="str">
        <f t="shared" ca="1" si="381"/>
        <v>ПОДЛЕЖИТ ПЕРЕПРОВЕРКЕ</v>
      </c>
      <c r="AA514" s="810">
        <f t="shared" ca="1" si="382"/>
        <v>344</v>
      </c>
      <c r="AB514" s="804"/>
      <c r="AC514" s="811">
        <f t="shared" ca="1" si="383"/>
        <v>42862</v>
      </c>
      <c r="AD514" s="798"/>
      <c r="AE514" s="794" t="str">
        <f t="shared" ca="1" si="384"/>
        <v>-</v>
      </c>
      <c r="AF514" s="798" t="str">
        <f t="shared" si="385"/>
        <v>-</v>
      </c>
      <c r="AG514" s="812" t="str">
        <f t="shared" si="386"/>
        <v>---------</v>
      </c>
      <c r="AH514" s="807">
        <v>42851</v>
      </c>
      <c r="AI514" s="807" t="str">
        <f t="shared" si="387"/>
        <v>-</v>
      </c>
      <c r="AJ514" s="807" t="str">
        <f t="shared" si="388"/>
        <v>-</v>
      </c>
      <c r="AK514" s="813"/>
      <c r="AL514" s="807">
        <f t="shared" si="389"/>
        <v>43049</v>
      </c>
      <c r="AM514" s="807">
        <f t="shared" si="390"/>
        <v>43070</v>
      </c>
      <c r="AN514" s="814">
        <f t="shared" ca="1" si="391"/>
        <v>64</v>
      </c>
      <c r="AO514" s="815">
        <v>1</v>
      </c>
      <c r="AP514" s="816" t="str">
        <f t="shared" ca="1" si="392"/>
        <v>-</v>
      </c>
      <c r="AQ514" s="817"/>
      <c r="AR514" s="794" t="str">
        <f t="shared" si="393"/>
        <v>НЕТЕЛЬ</v>
      </c>
      <c r="AS514" s="818"/>
      <c r="AT514" s="794" t="str">
        <f t="shared" si="394"/>
        <v>-</v>
      </c>
      <c r="AU514" s="819"/>
      <c r="AV514" s="820"/>
      <c r="AW514" s="821"/>
      <c r="AX514" s="821"/>
      <c r="AY514" s="969" t="str">
        <f t="shared" si="395"/>
        <v>-</v>
      </c>
      <c r="AZ514" s="966" t="str">
        <f t="shared" si="396"/>
        <v>-</v>
      </c>
      <c r="BA514" s="971" t="str">
        <f t="shared" si="397"/>
        <v>-</v>
      </c>
      <c r="BB514" s="975"/>
      <c r="BC514" s="821"/>
      <c r="BD514" s="821"/>
      <c r="BE514" s="963" t="str">
        <f t="shared" si="398"/>
        <v>-</v>
      </c>
      <c r="BF514" s="984"/>
      <c r="BG514" s="988"/>
      <c r="BH514" s="982"/>
      <c r="BI514" s="991"/>
      <c r="BJ514" s="991"/>
      <c r="BK514" s="993" t="str">
        <f t="shared" si="399"/>
        <v>-</v>
      </c>
      <c r="BL514" s="820">
        <v>42978</v>
      </c>
      <c r="BM514" s="821">
        <v>5</v>
      </c>
      <c r="BN514" s="822">
        <f t="shared" ca="1" si="400"/>
        <v>156</v>
      </c>
      <c r="BO514" s="823">
        <f t="shared" si="401"/>
        <v>20.399999999999999</v>
      </c>
      <c r="BP514" s="824"/>
      <c r="BQ514" s="821"/>
      <c r="BR514" s="822" t="str">
        <f t="shared" si="402"/>
        <v>-</v>
      </c>
      <c r="BS514" s="823" t="str">
        <f t="shared" si="403"/>
        <v>-</v>
      </c>
      <c r="BT514" s="825" t="str">
        <f t="shared" ca="1" si="404"/>
        <v>-</v>
      </c>
      <c r="BU514" s="826"/>
      <c r="BV514" s="827"/>
      <c r="BW514" s="828" t="str">
        <f t="shared" si="405"/>
        <v>Ж-Е НЕ ВАКЦ.</v>
      </c>
      <c r="BX514" s="829" t="str">
        <f t="shared" si="406"/>
        <v>-</v>
      </c>
      <c r="BY514" s="830" t="str">
        <f t="shared" ca="1" si="407"/>
        <v>-</v>
      </c>
      <c r="BZ514" s="831">
        <v>42894</v>
      </c>
      <c r="CA514" s="832">
        <v>5</v>
      </c>
      <c r="CB514" s="833">
        <f t="shared" ca="1" si="408"/>
        <v>240</v>
      </c>
      <c r="CC514" s="834" t="str">
        <f t="shared" ca="1" si="409"/>
        <v>-</v>
      </c>
      <c r="CD514" s="835">
        <f t="shared" si="410"/>
        <v>42915</v>
      </c>
      <c r="CE514" s="831">
        <v>42915</v>
      </c>
      <c r="CF514" s="832">
        <v>5</v>
      </c>
      <c r="CG514" s="833">
        <f t="shared" ca="1" si="411"/>
        <v>219</v>
      </c>
      <c r="CH514" s="836">
        <f t="shared" si="412"/>
        <v>0</v>
      </c>
      <c r="CI514" s="837" t="str">
        <f t="shared" si="413"/>
        <v>УСПЕШНО</v>
      </c>
      <c r="CJ514" s="838" t="str">
        <f t="shared" ca="1" si="414"/>
        <v>-</v>
      </c>
      <c r="CK514" s="831"/>
      <c r="CL514" s="832"/>
      <c r="CM514" s="833" t="str">
        <f t="shared" si="415"/>
        <v>-</v>
      </c>
      <c r="CN514" s="834" t="str">
        <f t="shared" si="416"/>
        <v>-</v>
      </c>
      <c r="CO514" s="830" t="str">
        <f t="shared" ca="1" si="417"/>
        <v>-</v>
      </c>
      <c r="CP514" s="831">
        <v>43006</v>
      </c>
      <c r="CQ514" s="832">
        <v>2</v>
      </c>
      <c r="CR514" s="833">
        <f t="shared" si="418"/>
        <v>216</v>
      </c>
      <c r="CS514" s="833">
        <f t="shared" ca="1" si="419"/>
        <v>128</v>
      </c>
      <c r="CT514" s="834" t="str">
        <f t="shared" ca="1" si="420"/>
        <v>-</v>
      </c>
      <c r="CU514" s="835">
        <f t="shared" si="421"/>
        <v>43027</v>
      </c>
      <c r="CV514" s="831">
        <v>43027</v>
      </c>
      <c r="CW514" s="832">
        <v>2</v>
      </c>
      <c r="CX514" s="833">
        <f t="shared" si="422"/>
        <v>0</v>
      </c>
      <c r="CY514" s="840" t="str">
        <f t="shared" si="423"/>
        <v>УСПЕШНО</v>
      </c>
      <c r="CZ514" s="833">
        <f t="shared" si="424"/>
        <v>237</v>
      </c>
      <c r="DA514" s="838" t="str">
        <f t="shared" ca="1" si="425"/>
        <v>ТРЕБУЕТСЯ РЕВАКЦИНАЦИЯ</v>
      </c>
      <c r="DB514" s="841"/>
      <c r="DC514" s="832"/>
    </row>
    <row r="515" spans="1:107" s="842" customFormat="1" ht="15.95" customHeight="1" x14ac:dyDescent="0.25">
      <c r="A515" s="790">
        <v>517</v>
      </c>
      <c r="B515" s="791">
        <f t="shared" ref="B515:B578" ca="1" si="427">TODAY()</f>
        <v>43134</v>
      </c>
      <c r="C515" s="271" t="s">
        <v>2404</v>
      </c>
      <c r="D515" s="59" t="s">
        <v>3199</v>
      </c>
      <c r="E515" s="794" t="s">
        <v>2819</v>
      </c>
      <c r="F515" s="795" t="s">
        <v>1777</v>
      </c>
      <c r="G515" s="796">
        <f>SUMIFS(МОЛОКО!L8:L6958,МОЛОКО!F8:F6958,"2804",МОЛОКО!L8:L6958,"&gt;0")</f>
        <v>0</v>
      </c>
      <c r="H515" s="797" t="s">
        <v>603</v>
      </c>
      <c r="I515" s="798">
        <v>42390</v>
      </c>
      <c r="J515" s="799">
        <f t="shared" ref="J515:J578" ca="1" si="428">(B515-I515)/365</f>
        <v>2.0383561643835617</v>
      </c>
      <c r="K515" s="799">
        <f t="shared" ref="K515:K578" ca="1" si="429">(B515-I515)/30</f>
        <v>24.8</v>
      </c>
      <c r="L515" s="800">
        <f t="shared" ref="L515:L578" ca="1" si="430">B515-I515</f>
        <v>744</v>
      </c>
      <c r="M515" s="801"/>
      <c r="N515" s="802"/>
      <c r="O515" s="803" t="str">
        <f t="shared" ref="O515:O578" ca="1" si="431">IF(AND(B515&gt;0,N515&gt;0),B515-N515,"-")</f>
        <v>-</v>
      </c>
      <c r="P515" s="804"/>
      <c r="Q515" s="805" t="s">
        <v>2366</v>
      </c>
      <c r="R515" s="806" t="s">
        <v>1876</v>
      </c>
      <c r="S515" s="807">
        <v>42797</v>
      </c>
      <c r="T515" s="798">
        <v>42797</v>
      </c>
      <c r="U515" s="798" t="str">
        <f t="shared" ref="U515:U578" si="432">IF(AND(Y515&gt;1,T515&gt;0),T515+18,"-")</f>
        <v>-</v>
      </c>
      <c r="V515" s="804" t="str">
        <f t="shared" ref="V515:V578" ca="1" si="433">IF(AND(U515&gt;0,B515&gt;0,Y515&gt;1),B515-U515,"-")</f>
        <v>-</v>
      </c>
      <c r="W515" s="808">
        <v>1</v>
      </c>
      <c r="X515" s="794" t="str">
        <f t="shared" si="426"/>
        <v>-</v>
      </c>
      <c r="Y515" s="794">
        <v>1</v>
      </c>
      <c r="Z515" s="809" t="str">
        <f t="shared" ref="Z515:Z578" ca="1" si="434">IF(AND(Y515=1,AA515&gt;71,OR(ISBLANK(AB515),AB515=2)),"ПОДЛЕЖИТ ПЕРЕПРОВЕРКЕ","-----")</f>
        <v>ПОДЛЕЖИТ ПЕРЕПРОВЕРКЕ</v>
      </c>
      <c r="AA515" s="810">
        <f t="shared" ref="AA515:AA578" ca="1" si="435">IF(AND(O515&gt;-1,W515&gt;0,Y515=1,AB515=1),"-----",B515-T515)</f>
        <v>337</v>
      </c>
      <c r="AB515" s="804"/>
      <c r="AC515" s="811">
        <f t="shared" ref="AC515:AC578" ca="1" si="436">IF(AND(AB515&lt;1,Z515="ПОДЛЕЖИТ ПЕРЕПРОВЕРКЕ",Y515=1),T515+72,"-----")</f>
        <v>42869</v>
      </c>
      <c r="AD515" s="798"/>
      <c r="AE515" s="794" t="str">
        <f t="shared" ref="AE515:AE578" ca="1" si="437">IF(AND(O515&gt;120,Y515=0,N515&gt;0),"яловая","-")</f>
        <v>-</v>
      </c>
      <c r="AF515" s="798" t="str">
        <f t="shared" ref="AF515:AF578" si="438">IF(AND(T515&gt;0,OR(Y515=3,Y515=2)),T515+35,"-")</f>
        <v>-</v>
      </c>
      <c r="AG515" s="812" t="str">
        <f t="shared" ref="AG515:AG578" si="439">IF(AND(T515&gt;0,W515&gt;0,Q515&gt;0,OR(Y515=3,Y515=2)),B515-AF515,"---------")</f>
        <v>---------</v>
      </c>
      <c r="AH515" s="807">
        <v>42881</v>
      </c>
      <c r="AI515" s="807" t="str">
        <f t="shared" ref="AI515:AI578" si="440">IF(AND($T515&gt;0,$N515&gt;0,$Y515=1),$T515+280-90,"-")</f>
        <v>-</v>
      </c>
      <c r="AJ515" s="807" t="str">
        <f t="shared" ref="AJ515:AJ578" si="441">IF(AND(T515&gt;0,Y515=1,N515&gt;0),T515+280-60,"-")</f>
        <v>-</v>
      </c>
      <c r="AK515" s="813"/>
      <c r="AL515" s="807">
        <f t="shared" ref="AL515:AL578" si="442">IF(AND($T515&gt;0,$Y515=1),$T515+280-21,"-")</f>
        <v>43056</v>
      </c>
      <c r="AM515" s="807">
        <f t="shared" ref="AM515:AM578" si="443">IF(AND(T515&gt;0,Y515=1),T515+280,"-")</f>
        <v>43077</v>
      </c>
      <c r="AN515" s="814">
        <f t="shared" ref="AN515:AN578" ca="1" si="444">IF(AND(B515&gt;0,AM515&gt;0,AH515&gt;0,Y515=1),B515-AM515,"-")</f>
        <v>57</v>
      </c>
      <c r="AO515" s="815">
        <v>1</v>
      </c>
      <c r="AP515" s="816" t="str">
        <f t="shared" ref="AP515:AP578" ca="1" si="445">IF(AND(AE515="яловая",O515&gt;300),"БРАК","-")</f>
        <v>-</v>
      </c>
      <c r="AQ515" s="817"/>
      <c r="AR515" s="794" t="str">
        <f t="shared" ref="AR515:AR578" si="446">IF(AND(Y515=1,P515=0),"НЕТЕЛЬ","-")</f>
        <v>НЕТЕЛЬ</v>
      </c>
      <c r="AS515" s="818"/>
      <c r="AT515" s="794" t="str">
        <f t="shared" ref="AT515:AT578" si="447">IF(AND(N515&gt;0,T515&gt;0,W515&gt;0,Y515=1,AH515&gt;0,AK515&gt;0),"DRY COW","-")</f>
        <v>-</v>
      </c>
      <c r="AU515" s="819"/>
      <c r="AV515" s="820"/>
      <c r="AW515" s="821"/>
      <c r="AX515" s="821"/>
      <c r="AY515" s="969" t="str">
        <f t="shared" ref="AY515:AY578" si="448">IF(AND(AV515&gt;0,AW515&gt;0,AX515&gt;0),B515-AV515,"-")</f>
        <v>-</v>
      </c>
      <c r="AZ515" s="966" t="str">
        <f t="shared" ref="AZ515:AZ578" si="449">IF(AND(AV515&gt;0,AW515&gt;0,AX515&gt;0,AY515&gt;10,BB515=0,BC515=0,BD515=0),"РЕВАКЦИНАЦИЯ","-")</f>
        <v>-</v>
      </c>
      <c r="BA515" s="971" t="str">
        <f t="shared" ref="BA515:BA578" si="450">IF(AND(AV515&gt;0,AW515&gt;0,AX515&gt;0),AV515+10,"-")</f>
        <v>-</v>
      </c>
      <c r="BB515" s="975"/>
      <c r="BC515" s="821"/>
      <c r="BD515" s="821"/>
      <c r="BE515" s="963" t="str">
        <f t="shared" ref="BE515:BE578" si="451">IF(AND(BB515&gt;0,BC515&gt;0,BD515&gt;0),B515-BB515,"-")</f>
        <v>-</v>
      </c>
      <c r="BF515" s="984"/>
      <c r="BG515" s="988"/>
      <c r="BH515" s="982"/>
      <c r="BI515" s="991"/>
      <c r="BJ515" s="991"/>
      <c r="BK515" s="993" t="str">
        <f t="shared" ref="BK515:BK578" si="452">IF(AND(BF515&gt;0,BG515&gt;0,BH515&gt;0,BI515&gt;0,BJ515&gt;0),B515-BF515,"-")</f>
        <v>-</v>
      </c>
      <c r="BL515" s="820">
        <v>42978</v>
      </c>
      <c r="BM515" s="821">
        <v>5</v>
      </c>
      <c r="BN515" s="822">
        <f t="shared" ref="BN515:BN578" ca="1" si="453">IF(AND(BL515&gt;0,BM515&gt;0),B515-BL515,"-")</f>
        <v>156</v>
      </c>
      <c r="BO515" s="823">
        <f t="shared" ref="BO515:BO578" si="454">IF(AND(BL515&gt;0,BM515&gt;0),(BL515-I515)/30,"-")</f>
        <v>19.600000000000001</v>
      </c>
      <c r="BP515" s="824"/>
      <c r="BQ515" s="821"/>
      <c r="BR515" s="822" t="str">
        <f t="shared" ref="BR515:BR578" si="455">IF(AND(BP515&gt;0,BQ515&gt;0),B515-BP515,"-")</f>
        <v>-</v>
      </c>
      <c r="BS515" s="823" t="str">
        <f t="shared" ref="BS515:BS578" si="456">IF(AND(BP515&gt;0,BQ515&gt;0),(BP515-M515)/30,"-")</f>
        <v>-</v>
      </c>
      <c r="BT515" s="825" t="str">
        <f t="shared" ref="BT515:BT578" ca="1" si="457">IF(AND(OR(E515="тёлочка",E515="бычок"),L515&gt;0,BV515&lt;2,L515&lt;60),"ПОДЛЕЖИТ ВАКЦИНАЦИИ","-")</f>
        <v>-</v>
      </c>
      <c r="BU515" s="826"/>
      <c r="BV515" s="827"/>
      <c r="BW515" s="828" t="str">
        <f t="shared" ref="BW515:BW578" si="458">IF(AND(BU515&gt;0,BV515=2),BU515-I515,"Ж-Е НЕ ВАКЦ.")</f>
        <v>Ж-Е НЕ ВАКЦ.</v>
      </c>
      <c r="BX515" s="829" t="str">
        <f t="shared" ref="BX515:BX578" si="459">IF(AND(BU515&gt;0,BV515=2),B515-BU515,"-")</f>
        <v>-</v>
      </c>
      <c r="BY515" s="830" t="str">
        <f t="shared" ref="BY515:BY578" ca="1" si="460">IF(AND(L515&gt;42,CA515&lt;5),"ПОДЛЕЖИТ ВАКЦИНАЦИИ","-")</f>
        <v>-</v>
      </c>
      <c r="BZ515" s="831">
        <v>42894</v>
      </c>
      <c r="CA515" s="832">
        <v>5</v>
      </c>
      <c r="CB515" s="833">
        <f t="shared" ref="CB515:CB578" ca="1" si="461">IF(AND(BZ515&gt;0,CA515=5),B515-BZ515,"-")</f>
        <v>240</v>
      </c>
      <c r="CC515" s="834" t="str">
        <f t="shared" ref="CC515:CC578" ca="1" si="462">IF(AND(CA515=5,CB515&gt;20,CF515&lt;5),"ТРЕБУЕТСЯ БУСТЕРНАЯ ДОЗА","-")</f>
        <v>-</v>
      </c>
      <c r="CD515" s="835">
        <f t="shared" ref="CD515:CD578" si="463">IF(AND(BZ515&gt;0,CA515=5),BZ515+21,"-")</f>
        <v>42915</v>
      </c>
      <c r="CE515" s="831">
        <v>42915</v>
      </c>
      <c r="CF515" s="832">
        <v>5</v>
      </c>
      <c r="CG515" s="833">
        <f t="shared" ref="CG515:CG578" ca="1" si="464">IF(AND(CE515&gt;0,CF515=5),B515-CE515,"-")</f>
        <v>219</v>
      </c>
      <c r="CH515" s="836">
        <f t="shared" ref="CH515:CH578" si="465">IF(AND(CD515&gt;0,CE515&gt;0,CF515=5),CD515-CE515,"-")</f>
        <v>0</v>
      </c>
      <c r="CI515" s="837" t="str">
        <f t="shared" ref="CI515:CI578" si="466">IF(AND(CF515=5,CH515=0),"УСПЕШНО","-")</f>
        <v>УСПЕШНО</v>
      </c>
      <c r="CJ515" s="838" t="str">
        <f t="shared" ref="CJ515:CJ578" ca="1" si="467">IF(AND(BZ515&gt;0,CA515=5,CE515&gt;0,CF515=5,CG515&gt;240,CL515&lt;5),"НЕОБХОДИМА РЕВАКЦИНАЦИЯ","-")</f>
        <v>-</v>
      </c>
      <c r="CK515" s="831"/>
      <c r="CL515" s="832"/>
      <c r="CM515" s="833" t="str">
        <f t="shared" ref="CM515:CM578" si="468">IF(AND(CK515&gt;0,CL515=5),N515-CK515,"-")</f>
        <v>-</v>
      </c>
      <c r="CN515" s="834" t="str">
        <f t="shared" ref="CN515:CN578" si="469">IF(AND(CK515&gt;0,CL515=5,CM515&gt;240),"НЕОБХОДИМА РЕВАКЦИНАЦИЯ","-")</f>
        <v>-</v>
      </c>
      <c r="CO515" s="830" t="str">
        <f t="shared" ref="CO515:CO578" ca="1" si="470">IF(AND(Y515=1,AN515&gt;-70,CQ515&lt;2),"ТРЕБУЕТСЯ ВАКЦИНАЦИЯ","-")</f>
        <v>-</v>
      </c>
      <c r="CP515" s="831">
        <v>43010</v>
      </c>
      <c r="CQ515" s="832">
        <v>2</v>
      </c>
      <c r="CR515" s="833">
        <f t="shared" ref="CR515:CR578" si="471">IF(AND(CP515&gt;0,CQ515=2),CP515-T515,"-")</f>
        <v>213</v>
      </c>
      <c r="CS515" s="833">
        <f t="shared" ref="CS515:CS578" ca="1" si="472">IF(AND(CP515&gt;0,CQ515=2),B515-CP515,"-")</f>
        <v>124</v>
      </c>
      <c r="CT515" s="834" t="str">
        <f t="shared" ref="CT515:CT578" ca="1" si="473">IF(AND(CQ515=2,CS515&gt;20,CW515&lt;2),"ТРЕБУЕТСЯ БУСТЕРНАЯ ДОЗА","-")</f>
        <v>-</v>
      </c>
      <c r="CU515" s="835">
        <f t="shared" ref="CU515:CU578" si="474">IF(AND(CP515&gt;0,CQ515=2),CP515+21,"-")</f>
        <v>43031</v>
      </c>
      <c r="CV515" s="831">
        <v>43031</v>
      </c>
      <c r="CW515" s="832">
        <v>2</v>
      </c>
      <c r="CX515" s="833">
        <f t="shared" ref="CX515:CX578" si="475">IF(AND(CU515&gt;0,CV515&gt;0,CW515=2),CV515-CU515,"-")</f>
        <v>0</v>
      </c>
      <c r="CY515" s="840" t="str">
        <f t="shared" ref="CY515:CY578" si="476">IF(AND(CW515=2,CX515=0),"УСПЕШНО","-")</f>
        <v>УСПЕШНО</v>
      </c>
      <c r="CZ515" s="833">
        <f t="shared" ref="CZ515:CZ578" si="477">IF(AND(CV515&gt;0,CW515=2),CV515-T515,"-")</f>
        <v>234</v>
      </c>
      <c r="DA515" s="838" t="str">
        <f t="shared" ref="DA515:DA578" ca="1" si="478">IF(AND(CP515&gt;0,CQ515=2,CV515&gt;0,CW515=2,Y515=1,AN515&gt;-50,DC515&lt;2),"ТРЕБУЕТСЯ РЕВАКЦИНАЦИЯ","-")</f>
        <v>ТРЕБУЕТСЯ РЕВАКЦИНАЦИЯ</v>
      </c>
      <c r="DB515" s="841"/>
      <c r="DC515" s="832"/>
    </row>
    <row r="516" spans="1:107" s="842" customFormat="1" ht="15.95" customHeight="1" x14ac:dyDescent="0.25">
      <c r="A516" s="790">
        <v>518</v>
      </c>
      <c r="B516" s="791">
        <f t="shared" ca="1" si="427"/>
        <v>43134</v>
      </c>
      <c r="C516" s="271" t="s">
        <v>2404</v>
      </c>
      <c r="D516" s="59" t="s">
        <v>3199</v>
      </c>
      <c r="E516" s="794" t="s">
        <v>2959</v>
      </c>
      <c r="F516" s="795" t="s">
        <v>1793</v>
      </c>
      <c r="G516" s="796">
        <f>SUMIFS(МОЛОКО!L8:L6958,МОЛОКО!F8:F6958,"2836",МОЛОКО!L8:L6958,"&gt;0")</f>
        <v>0</v>
      </c>
      <c r="H516" s="797" t="s">
        <v>603</v>
      </c>
      <c r="I516" s="798">
        <v>42412</v>
      </c>
      <c r="J516" s="799">
        <f t="shared" ca="1" si="428"/>
        <v>1.978082191780822</v>
      </c>
      <c r="K516" s="799">
        <f t="shared" ca="1" si="429"/>
        <v>24.066666666666666</v>
      </c>
      <c r="L516" s="800">
        <f t="shared" ca="1" si="430"/>
        <v>722</v>
      </c>
      <c r="M516" s="801"/>
      <c r="N516" s="802"/>
      <c r="O516" s="803" t="str">
        <f t="shared" ca="1" si="431"/>
        <v>-</v>
      </c>
      <c r="P516" s="804"/>
      <c r="Q516" s="805" t="s">
        <v>2366</v>
      </c>
      <c r="R516" s="806" t="s">
        <v>1876</v>
      </c>
      <c r="S516" s="807">
        <v>42788</v>
      </c>
      <c r="T516" s="798">
        <v>42788</v>
      </c>
      <c r="U516" s="798" t="str">
        <f t="shared" si="432"/>
        <v>-</v>
      </c>
      <c r="V516" s="804" t="str">
        <f t="shared" ca="1" si="433"/>
        <v>-</v>
      </c>
      <c r="W516" s="808">
        <v>1</v>
      </c>
      <c r="X516" s="794" t="str">
        <f t="shared" si="426"/>
        <v>-</v>
      </c>
      <c r="Y516" s="794">
        <v>1</v>
      </c>
      <c r="Z516" s="809" t="str">
        <f t="shared" ca="1" si="434"/>
        <v>ПОДЛЕЖИТ ПЕРЕПРОВЕРКЕ</v>
      </c>
      <c r="AA516" s="810">
        <f t="shared" ca="1" si="435"/>
        <v>346</v>
      </c>
      <c r="AB516" s="804"/>
      <c r="AC516" s="811">
        <f t="shared" ca="1" si="436"/>
        <v>42860</v>
      </c>
      <c r="AD516" s="798"/>
      <c r="AE516" s="794" t="str">
        <f t="shared" ca="1" si="437"/>
        <v>-</v>
      </c>
      <c r="AF516" s="798" t="str">
        <f t="shared" si="438"/>
        <v>-</v>
      </c>
      <c r="AG516" s="812" t="str">
        <f t="shared" si="439"/>
        <v>---------</v>
      </c>
      <c r="AH516" s="807">
        <v>42851</v>
      </c>
      <c r="AI516" s="807" t="str">
        <f t="shared" si="440"/>
        <v>-</v>
      </c>
      <c r="AJ516" s="807" t="str">
        <f t="shared" si="441"/>
        <v>-</v>
      </c>
      <c r="AK516" s="813"/>
      <c r="AL516" s="807">
        <f t="shared" si="442"/>
        <v>43047</v>
      </c>
      <c r="AM516" s="807">
        <f t="shared" si="443"/>
        <v>43068</v>
      </c>
      <c r="AN516" s="814">
        <f t="shared" ca="1" si="444"/>
        <v>66</v>
      </c>
      <c r="AO516" s="815">
        <v>1</v>
      </c>
      <c r="AP516" s="816" t="str">
        <f t="shared" ca="1" si="445"/>
        <v>-</v>
      </c>
      <c r="AQ516" s="817"/>
      <c r="AR516" s="794" t="str">
        <f t="shared" si="446"/>
        <v>НЕТЕЛЬ</v>
      </c>
      <c r="AS516" s="818"/>
      <c r="AT516" s="794" t="str">
        <f t="shared" si="447"/>
        <v>-</v>
      </c>
      <c r="AU516" s="819"/>
      <c r="AV516" s="820"/>
      <c r="AW516" s="821"/>
      <c r="AX516" s="821"/>
      <c r="AY516" s="969" t="str">
        <f t="shared" si="448"/>
        <v>-</v>
      </c>
      <c r="AZ516" s="966" t="str">
        <f t="shared" si="449"/>
        <v>-</v>
      </c>
      <c r="BA516" s="971" t="str">
        <f t="shared" si="450"/>
        <v>-</v>
      </c>
      <c r="BB516" s="975"/>
      <c r="BC516" s="821"/>
      <c r="BD516" s="821"/>
      <c r="BE516" s="963" t="str">
        <f t="shared" si="451"/>
        <v>-</v>
      </c>
      <c r="BF516" s="984"/>
      <c r="BG516" s="988"/>
      <c r="BH516" s="982"/>
      <c r="BI516" s="991"/>
      <c r="BJ516" s="991"/>
      <c r="BK516" s="993" t="str">
        <f t="shared" si="452"/>
        <v>-</v>
      </c>
      <c r="BL516" s="820">
        <v>42978</v>
      </c>
      <c r="BM516" s="821">
        <v>5</v>
      </c>
      <c r="BN516" s="822">
        <f t="shared" ca="1" si="453"/>
        <v>156</v>
      </c>
      <c r="BO516" s="823">
        <f t="shared" si="454"/>
        <v>18.866666666666667</v>
      </c>
      <c r="BP516" s="824"/>
      <c r="BQ516" s="821"/>
      <c r="BR516" s="822" t="str">
        <f t="shared" si="455"/>
        <v>-</v>
      </c>
      <c r="BS516" s="823" t="str">
        <f t="shared" si="456"/>
        <v>-</v>
      </c>
      <c r="BT516" s="825" t="str">
        <f t="shared" ca="1" si="457"/>
        <v>-</v>
      </c>
      <c r="BU516" s="826"/>
      <c r="BV516" s="827"/>
      <c r="BW516" s="828" t="str">
        <f t="shared" si="458"/>
        <v>Ж-Е НЕ ВАКЦ.</v>
      </c>
      <c r="BX516" s="829" t="str">
        <f t="shared" si="459"/>
        <v>-</v>
      </c>
      <c r="BY516" s="830" t="str">
        <f t="shared" ca="1" si="460"/>
        <v>-</v>
      </c>
      <c r="BZ516" s="831">
        <v>42894</v>
      </c>
      <c r="CA516" s="832">
        <v>5</v>
      </c>
      <c r="CB516" s="833">
        <f t="shared" ca="1" si="461"/>
        <v>240</v>
      </c>
      <c r="CC516" s="834" t="str">
        <f t="shared" ca="1" si="462"/>
        <v>-</v>
      </c>
      <c r="CD516" s="835">
        <f t="shared" si="463"/>
        <v>42915</v>
      </c>
      <c r="CE516" s="831">
        <v>42915</v>
      </c>
      <c r="CF516" s="832">
        <v>5</v>
      </c>
      <c r="CG516" s="833">
        <f t="shared" ca="1" si="464"/>
        <v>219</v>
      </c>
      <c r="CH516" s="836">
        <f t="shared" si="465"/>
        <v>0</v>
      </c>
      <c r="CI516" s="837" t="str">
        <f t="shared" si="466"/>
        <v>УСПЕШНО</v>
      </c>
      <c r="CJ516" s="838" t="str">
        <f t="shared" ca="1" si="467"/>
        <v>-</v>
      </c>
      <c r="CK516" s="831"/>
      <c r="CL516" s="832"/>
      <c r="CM516" s="833" t="str">
        <f t="shared" si="468"/>
        <v>-</v>
      </c>
      <c r="CN516" s="834" t="str">
        <f t="shared" si="469"/>
        <v>-</v>
      </c>
      <c r="CO516" s="830" t="str">
        <f t="shared" ca="1" si="470"/>
        <v>-</v>
      </c>
      <c r="CP516" s="831">
        <v>43006</v>
      </c>
      <c r="CQ516" s="832">
        <v>2</v>
      </c>
      <c r="CR516" s="833">
        <f t="shared" si="471"/>
        <v>218</v>
      </c>
      <c r="CS516" s="833">
        <f t="shared" ca="1" si="472"/>
        <v>128</v>
      </c>
      <c r="CT516" s="834" t="str">
        <f t="shared" ca="1" si="473"/>
        <v>-</v>
      </c>
      <c r="CU516" s="835">
        <f t="shared" si="474"/>
        <v>43027</v>
      </c>
      <c r="CV516" s="831">
        <v>43027</v>
      </c>
      <c r="CW516" s="832">
        <v>2</v>
      </c>
      <c r="CX516" s="833">
        <f t="shared" si="475"/>
        <v>0</v>
      </c>
      <c r="CY516" s="840" t="str">
        <f t="shared" si="476"/>
        <v>УСПЕШНО</v>
      </c>
      <c r="CZ516" s="833">
        <f t="shared" si="477"/>
        <v>239</v>
      </c>
      <c r="DA516" s="838" t="str">
        <f t="shared" ca="1" si="478"/>
        <v>ТРЕБУЕТСЯ РЕВАКЦИНАЦИЯ</v>
      </c>
      <c r="DB516" s="841"/>
      <c r="DC516" s="832"/>
    </row>
    <row r="517" spans="1:107" s="842" customFormat="1" ht="15.95" customHeight="1" x14ac:dyDescent="0.25">
      <c r="A517" s="790">
        <v>519</v>
      </c>
      <c r="B517" s="791">
        <f t="shared" ca="1" si="427"/>
        <v>43134</v>
      </c>
      <c r="C517" s="847" t="s">
        <v>2404</v>
      </c>
      <c r="D517" s="327" t="s">
        <v>1456</v>
      </c>
      <c r="E517" s="794" t="s">
        <v>2960</v>
      </c>
      <c r="F517" s="795" t="s">
        <v>1741</v>
      </c>
      <c r="G517" s="796">
        <f>SUMIFS(МОЛОКО!L8:L6958,МОЛОКО!F8:F6958,"2840",МОЛОКО!L8:L6958,"&gt;0")</f>
        <v>0</v>
      </c>
      <c r="H517" s="797" t="s">
        <v>603</v>
      </c>
      <c r="I517" s="798">
        <v>42414</v>
      </c>
      <c r="J517" s="799">
        <f t="shared" ca="1" si="428"/>
        <v>1.9726027397260273</v>
      </c>
      <c r="K517" s="799">
        <f t="shared" ca="1" si="429"/>
        <v>24</v>
      </c>
      <c r="L517" s="800">
        <f t="shared" ca="1" si="430"/>
        <v>720</v>
      </c>
      <c r="M517" s="801">
        <v>43056</v>
      </c>
      <c r="N517" s="802">
        <v>43056</v>
      </c>
      <c r="O517" s="803">
        <f t="shared" ca="1" si="431"/>
        <v>78</v>
      </c>
      <c r="P517" s="804"/>
      <c r="Q517" s="68"/>
      <c r="R517" s="806"/>
      <c r="S517" s="807"/>
      <c r="T517" s="798"/>
      <c r="U517" s="798" t="str">
        <f t="shared" si="432"/>
        <v>-</v>
      </c>
      <c r="V517" s="804" t="str">
        <f t="shared" ca="1" si="433"/>
        <v>-</v>
      </c>
      <c r="W517" s="808">
        <v>0</v>
      </c>
      <c r="X517" s="794" t="str">
        <f t="shared" si="426"/>
        <v>-</v>
      </c>
      <c r="Y517" s="794">
        <v>0</v>
      </c>
      <c r="Z517" s="809" t="str">
        <f t="shared" ca="1" si="434"/>
        <v>-----</v>
      </c>
      <c r="AA517" s="810">
        <f t="shared" ca="1" si="435"/>
        <v>43134</v>
      </c>
      <c r="AB517" s="804"/>
      <c r="AC517" s="811" t="str">
        <f t="shared" ca="1" si="436"/>
        <v>-----</v>
      </c>
      <c r="AD517" s="798"/>
      <c r="AE517" s="794" t="str">
        <f t="shared" ca="1" si="437"/>
        <v>-</v>
      </c>
      <c r="AF517" s="798" t="str">
        <f t="shared" si="438"/>
        <v>-</v>
      </c>
      <c r="AG517" s="812" t="str">
        <f t="shared" si="439"/>
        <v>---------</v>
      </c>
      <c r="AH517" s="807"/>
      <c r="AI517" s="807" t="str">
        <f t="shared" si="440"/>
        <v>-</v>
      </c>
      <c r="AJ517" s="807" t="str">
        <f t="shared" si="441"/>
        <v>-</v>
      </c>
      <c r="AK517" s="813"/>
      <c r="AL517" s="807" t="str">
        <f t="shared" si="442"/>
        <v>-</v>
      </c>
      <c r="AM517" s="807" t="str">
        <f t="shared" si="443"/>
        <v>-</v>
      </c>
      <c r="AN517" s="814" t="str">
        <f t="shared" ca="1" si="444"/>
        <v>-</v>
      </c>
      <c r="AO517" s="815">
        <v>1</v>
      </c>
      <c r="AP517" s="816" t="str">
        <f t="shared" ca="1" si="445"/>
        <v>-</v>
      </c>
      <c r="AQ517" s="817"/>
      <c r="AR517" s="794" t="str">
        <f t="shared" si="446"/>
        <v>-</v>
      </c>
      <c r="AS517" s="818"/>
      <c r="AT517" s="794" t="str">
        <f t="shared" si="447"/>
        <v>-</v>
      </c>
      <c r="AU517" s="819"/>
      <c r="AV517" s="820"/>
      <c r="AW517" s="821"/>
      <c r="AX517" s="821"/>
      <c r="AY517" s="969" t="str">
        <f t="shared" si="448"/>
        <v>-</v>
      </c>
      <c r="AZ517" s="966" t="str">
        <f t="shared" si="449"/>
        <v>-</v>
      </c>
      <c r="BA517" s="971" t="str">
        <f t="shared" si="450"/>
        <v>-</v>
      </c>
      <c r="BB517" s="975"/>
      <c r="BC517" s="821"/>
      <c r="BD517" s="821"/>
      <c r="BE517" s="963" t="str">
        <f t="shared" si="451"/>
        <v>-</v>
      </c>
      <c r="BF517" s="984"/>
      <c r="BG517" s="988"/>
      <c r="BH517" s="982"/>
      <c r="BI517" s="991"/>
      <c r="BJ517" s="991"/>
      <c r="BK517" s="993" t="str">
        <f t="shared" si="452"/>
        <v>-</v>
      </c>
      <c r="BL517" s="820">
        <v>42978</v>
      </c>
      <c r="BM517" s="821">
        <v>5</v>
      </c>
      <c r="BN517" s="822">
        <f t="shared" ca="1" si="453"/>
        <v>156</v>
      </c>
      <c r="BO517" s="823">
        <f t="shared" si="454"/>
        <v>18.8</v>
      </c>
      <c r="BP517" s="824"/>
      <c r="BQ517" s="821"/>
      <c r="BR517" s="822" t="str">
        <f t="shared" si="455"/>
        <v>-</v>
      </c>
      <c r="BS517" s="823" t="str">
        <f t="shared" si="456"/>
        <v>-</v>
      </c>
      <c r="BT517" s="825" t="str">
        <f t="shared" ca="1" si="457"/>
        <v>-</v>
      </c>
      <c r="BU517" s="826"/>
      <c r="BV517" s="827"/>
      <c r="BW517" s="828" t="str">
        <f t="shared" si="458"/>
        <v>Ж-Е НЕ ВАКЦ.</v>
      </c>
      <c r="BX517" s="829" t="str">
        <f t="shared" si="459"/>
        <v>-</v>
      </c>
      <c r="BY517" s="830" t="str">
        <f t="shared" ca="1" si="460"/>
        <v>-</v>
      </c>
      <c r="BZ517" s="831">
        <v>42894</v>
      </c>
      <c r="CA517" s="832">
        <v>5</v>
      </c>
      <c r="CB517" s="833">
        <f t="shared" ca="1" si="461"/>
        <v>240</v>
      </c>
      <c r="CC517" s="834" t="str">
        <f t="shared" ca="1" si="462"/>
        <v>-</v>
      </c>
      <c r="CD517" s="835">
        <f t="shared" si="463"/>
        <v>42915</v>
      </c>
      <c r="CE517" s="831">
        <v>42915</v>
      </c>
      <c r="CF517" s="832">
        <v>5</v>
      </c>
      <c r="CG517" s="833">
        <f t="shared" ca="1" si="464"/>
        <v>219</v>
      </c>
      <c r="CH517" s="836">
        <f t="shared" si="465"/>
        <v>0</v>
      </c>
      <c r="CI517" s="837" t="str">
        <f t="shared" si="466"/>
        <v>УСПЕШНО</v>
      </c>
      <c r="CJ517" s="838" t="str">
        <f t="shared" ca="1" si="467"/>
        <v>-</v>
      </c>
      <c r="CK517" s="831"/>
      <c r="CL517" s="832"/>
      <c r="CM517" s="833" t="str">
        <f t="shared" si="468"/>
        <v>-</v>
      </c>
      <c r="CN517" s="834" t="str">
        <f t="shared" si="469"/>
        <v>-</v>
      </c>
      <c r="CO517" s="830" t="str">
        <f t="shared" ca="1" si="470"/>
        <v>-</v>
      </c>
      <c r="CP517" s="831">
        <v>42958</v>
      </c>
      <c r="CQ517" s="832">
        <v>2</v>
      </c>
      <c r="CR517" s="833">
        <f t="shared" si="471"/>
        <v>42958</v>
      </c>
      <c r="CS517" s="833">
        <f t="shared" ca="1" si="472"/>
        <v>176</v>
      </c>
      <c r="CT517" s="834" t="str">
        <f t="shared" ca="1" si="473"/>
        <v>-</v>
      </c>
      <c r="CU517" s="835">
        <f t="shared" si="474"/>
        <v>42979</v>
      </c>
      <c r="CV517" s="831">
        <v>42980</v>
      </c>
      <c r="CW517" s="832">
        <v>2</v>
      </c>
      <c r="CX517" s="833">
        <f t="shared" si="475"/>
        <v>1</v>
      </c>
      <c r="CY517" s="840" t="str">
        <f t="shared" si="476"/>
        <v>-</v>
      </c>
      <c r="CZ517" s="833">
        <f t="shared" si="477"/>
        <v>42980</v>
      </c>
      <c r="DA517" s="838" t="str">
        <f t="shared" ca="1" si="478"/>
        <v>-</v>
      </c>
      <c r="DB517" s="841"/>
      <c r="DC517" s="832"/>
    </row>
    <row r="518" spans="1:107" s="842" customFormat="1" ht="15.95" customHeight="1" x14ac:dyDescent="0.25">
      <c r="A518" s="790">
        <v>520</v>
      </c>
      <c r="B518" s="791">
        <f t="shared" ca="1" si="427"/>
        <v>43134</v>
      </c>
      <c r="C518" s="271" t="s">
        <v>2404</v>
      </c>
      <c r="D518" s="59" t="s">
        <v>3199</v>
      </c>
      <c r="E518" s="794" t="s">
        <v>1563</v>
      </c>
      <c r="F518" s="795" t="s">
        <v>1783</v>
      </c>
      <c r="G518" s="796">
        <f>SUMIFS(МОЛОКО!L8:L6958,МОЛОКО!F8:F6958,"2848",МОЛОКО!L8:L6958,"&gt;0")</f>
        <v>0</v>
      </c>
      <c r="H518" s="797" t="s">
        <v>603</v>
      </c>
      <c r="I518" s="798">
        <v>42420</v>
      </c>
      <c r="J518" s="799">
        <f t="shared" ca="1" si="428"/>
        <v>1.9561643835616438</v>
      </c>
      <c r="K518" s="799">
        <f t="shared" ca="1" si="429"/>
        <v>23.8</v>
      </c>
      <c r="L518" s="800">
        <f t="shared" ca="1" si="430"/>
        <v>714</v>
      </c>
      <c r="M518" s="801"/>
      <c r="N518" s="802"/>
      <c r="O518" s="803" t="str">
        <f t="shared" ca="1" si="431"/>
        <v>-</v>
      </c>
      <c r="P518" s="804"/>
      <c r="Q518" s="805" t="s">
        <v>2366</v>
      </c>
      <c r="R518" s="806" t="s">
        <v>1876</v>
      </c>
      <c r="S518" s="807">
        <v>42790</v>
      </c>
      <c r="T518" s="798">
        <v>42790</v>
      </c>
      <c r="U518" s="798" t="str">
        <f t="shared" si="432"/>
        <v>-</v>
      </c>
      <c r="V518" s="804" t="str">
        <f t="shared" ca="1" si="433"/>
        <v>-</v>
      </c>
      <c r="W518" s="808">
        <v>1</v>
      </c>
      <c r="X518" s="794" t="str">
        <f t="shared" si="426"/>
        <v>-</v>
      </c>
      <c r="Y518" s="794">
        <v>1</v>
      </c>
      <c r="Z518" s="809" t="str">
        <f t="shared" ca="1" si="434"/>
        <v>ПОДЛЕЖИТ ПЕРЕПРОВЕРКЕ</v>
      </c>
      <c r="AA518" s="810">
        <f t="shared" ca="1" si="435"/>
        <v>344</v>
      </c>
      <c r="AB518" s="804"/>
      <c r="AC518" s="811">
        <f t="shared" ca="1" si="436"/>
        <v>42862</v>
      </c>
      <c r="AD518" s="798"/>
      <c r="AE518" s="794" t="str">
        <f t="shared" ca="1" si="437"/>
        <v>-</v>
      </c>
      <c r="AF518" s="798" t="str">
        <f t="shared" si="438"/>
        <v>-</v>
      </c>
      <c r="AG518" s="812" t="str">
        <f t="shared" si="439"/>
        <v>---------</v>
      </c>
      <c r="AH518" s="807">
        <v>42851</v>
      </c>
      <c r="AI518" s="807" t="str">
        <f t="shared" si="440"/>
        <v>-</v>
      </c>
      <c r="AJ518" s="807" t="str">
        <f t="shared" si="441"/>
        <v>-</v>
      </c>
      <c r="AK518" s="813"/>
      <c r="AL518" s="807">
        <f t="shared" si="442"/>
        <v>43049</v>
      </c>
      <c r="AM518" s="807">
        <f t="shared" si="443"/>
        <v>43070</v>
      </c>
      <c r="AN518" s="814">
        <f t="shared" ca="1" si="444"/>
        <v>64</v>
      </c>
      <c r="AO518" s="815">
        <v>1</v>
      </c>
      <c r="AP518" s="816" t="str">
        <f t="shared" ca="1" si="445"/>
        <v>-</v>
      </c>
      <c r="AQ518" s="817"/>
      <c r="AR518" s="794" t="str">
        <f t="shared" si="446"/>
        <v>НЕТЕЛЬ</v>
      </c>
      <c r="AS518" s="818"/>
      <c r="AT518" s="794" t="str">
        <f t="shared" si="447"/>
        <v>-</v>
      </c>
      <c r="AU518" s="819"/>
      <c r="AV518" s="820"/>
      <c r="AW518" s="821"/>
      <c r="AX518" s="821"/>
      <c r="AY518" s="969" t="str">
        <f t="shared" si="448"/>
        <v>-</v>
      </c>
      <c r="AZ518" s="966" t="str">
        <f t="shared" si="449"/>
        <v>-</v>
      </c>
      <c r="BA518" s="971" t="str">
        <f t="shared" si="450"/>
        <v>-</v>
      </c>
      <c r="BB518" s="975"/>
      <c r="BC518" s="821"/>
      <c r="BD518" s="821"/>
      <c r="BE518" s="963" t="str">
        <f t="shared" si="451"/>
        <v>-</v>
      </c>
      <c r="BF518" s="984"/>
      <c r="BG518" s="988"/>
      <c r="BH518" s="982"/>
      <c r="BI518" s="991"/>
      <c r="BJ518" s="991"/>
      <c r="BK518" s="993" t="str">
        <f t="shared" si="452"/>
        <v>-</v>
      </c>
      <c r="BL518" s="820">
        <v>42978</v>
      </c>
      <c r="BM518" s="821">
        <v>5</v>
      </c>
      <c r="BN518" s="822">
        <f t="shared" ca="1" si="453"/>
        <v>156</v>
      </c>
      <c r="BO518" s="823">
        <f t="shared" si="454"/>
        <v>18.600000000000001</v>
      </c>
      <c r="BP518" s="824"/>
      <c r="BQ518" s="821"/>
      <c r="BR518" s="822" t="str">
        <f t="shared" si="455"/>
        <v>-</v>
      </c>
      <c r="BS518" s="823" t="str">
        <f t="shared" si="456"/>
        <v>-</v>
      </c>
      <c r="BT518" s="825" t="str">
        <f t="shared" ca="1" si="457"/>
        <v>-</v>
      </c>
      <c r="BU518" s="826"/>
      <c r="BV518" s="827"/>
      <c r="BW518" s="828" t="str">
        <f t="shared" si="458"/>
        <v>Ж-Е НЕ ВАКЦ.</v>
      </c>
      <c r="BX518" s="829" t="str">
        <f t="shared" si="459"/>
        <v>-</v>
      </c>
      <c r="BY518" s="830" t="str">
        <f t="shared" ca="1" si="460"/>
        <v>-</v>
      </c>
      <c r="BZ518" s="831">
        <v>42894</v>
      </c>
      <c r="CA518" s="832">
        <v>5</v>
      </c>
      <c r="CB518" s="833">
        <f t="shared" ca="1" si="461"/>
        <v>240</v>
      </c>
      <c r="CC518" s="834" t="str">
        <f t="shared" ca="1" si="462"/>
        <v>-</v>
      </c>
      <c r="CD518" s="835">
        <f t="shared" si="463"/>
        <v>42915</v>
      </c>
      <c r="CE518" s="831">
        <v>42915</v>
      </c>
      <c r="CF518" s="832">
        <v>5</v>
      </c>
      <c r="CG518" s="833">
        <f t="shared" ca="1" si="464"/>
        <v>219</v>
      </c>
      <c r="CH518" s="836">
        <f t="shared" si="465"/>
        <v>0</v>
      </c>
      <c r="CI518" s="837" t="str">
        <f t="shared" si="466"/>
        <v>УСПЕШНО</v>
      </c>
      <c r="CJ518" s="838" t="str">
        <f t="shared" ca="1" si="467"/>
        <v>-</v>
      </c>
      <c r="CK518" s="831"/>
      <c r="CL518" s="832"/>
      <c r="CM518" s="833" t="str">
        <f t="shared" si="468"/>
        <v>-</v>
      </c>
      <c r="CN518" s="834" t="str">
        <f t="shared" si="469"/>
        <v>-</v>
      </c>
      <c r="CO518" s="830" t="str">
        <f t="shared" ca="1" si="470"/>
        <v>-</v>
      </c>
      <c r="CP518" s="831">
        <v>43006</v>
      </c>
      <c r="CQ518" s="832">
        <v>2</v>
      </c>
      <c r="CR518" s="833">
        <f t="shared" si="471"/>
        <v>216</v>
      </c>
      <c r="CS518" s="833">
        <f t="shared" ca="1" si="472"/>
        <v>128</v>
      </c>
      <c r="CT518" s="834" t="str">
        <f t="shared" ca="1" si="473"/>
        <v>-</v>
      </c>
      <c r="CU518" s="835">
        <f t="shared" si="474"/>
        <v>43027</v>
      </c>
      <c r="CV518" s="831">
        <v>43027</v>
      </c>
      <c r="CW518" s="832">
        <v>2</v>
      </c>
      <c r="CX518" s="833">
        <f t="shared" si="475"/>
        <v>0</v>
      </c>
      <c r="CY518" s="840" t="str">
        <f t="shared" si="476"/>
        <v>УСПЕШНО</v>
      </c>
      <c r="CZ518" s="833">
        <f t="shared" si="477"/>
        <v>237</v>
      </c>
      <c r="DA518" s="838" t="str">
        <f t="shared" ca="1" si="478"/>
        <v>ТРЕБУЕТСЯ РЕВАКЦИНАЦИЯ</v>
      </c>
      <c r="DB518" s="841"/>
      <c r="DC518" s="832"/>
    </row>
    <row r="519" spans="1:107" s="842" customFormat="1" ht="15.95" customHeight="1" x14ac:dyDescent="0.25">
      <c r="A519" s="790">
        <v>521</v>
      </c>
      <c r="B519" s="791">
        <f t="shared" ca="1" si="427"/>
        <v>43134</v>
      </c>
      <c r="C519" s="29" t="s">
        <v>2404</v>
      </c>
      <c r="D519" s="427" t="s">
        <v>1456</v>
      </c>
      <c r="E519" s="794" t="s">
        <v>183</v>
      </c>
      <c r="F519" s="795" t="s">
        <v>184</v>
      </c>
      <c r="G519" s="796">
        <f>SUMIFS(МОЛОКО!L8:L6958,МОЛОКО!F8:F6958,"11021",МОЛОКО!L8:L6958,"&gt;0")</f>
        <v>0</v>
      </c>
      <c r="H519" s="797" t="s">
        <v>87</v>
      </c>
      <c r="I519" s="798">
        <v>40561</v>
      </c>
      <c r="J519" s="799">
        <f t="shared" ca="1" si="428"/>
        <v>7.0493150684931507</v>
      </c>
      <c r="K519" s="799">
        <f t="shared" ca="1" si="429"/>
        <v>85.766666666666666</v>
      </c>
      <c r="L519" s="800">
        <f t="shared" ca="1" si="430"/>
        <v>2573</v>
      </c>
      <c r="M519" s="801">
        <v>41598</v>
      </c>
      <c r="N519" s="802">
        <v>43055</v>
      </c>
      <c r="O519" s="803">
        <f t="shared" ca="1" si="431"/>
        <v>79</v>
      </c>
      <c r="P519" s="804">
        <v>5</v>
      </c>
      <c r="Q519" s="805"/>
      <c r="R519" s="806"/>
      <c r="S519" s="807"/>
      <c r="T519" s="798"/>
      <c r="U519" s="798" t="str">
        <f t="shared" si="432"/>
        <v>-</v>
      </c>
      <c r="V519" s="804" t="str">
        <f t="shared" ca="1" si="433"/>
        <v>-</v>
      </c>
      <c r="W519" s="808">
        <v>0</v>
      </c>
      <c r="X519" s="794" t="str">
        <f t="shared" si="426"/>
        <v>-</v>
      </c>
      <c r="Y519" s="794">
        <v>0</v>
      </c>
      <c r="Z519" s="809" t="str">
        <f t="shared" ca="1" si="434"/>
        <v>-----</v>
      </c>
      <c r="AA519" s="810">
        <f t="shared" ca="1" si="435"/>
        <v>43134</v>
      </c>
      <c r="AB519" s="804"/>
      <c r="AC519" s="811" t="str">
        <f t="shared" ca="1" si="436"/>
        <v>-----</v>
      </c>
      <c r="AD519" s="798"/>
      <c r="AE519" s="794" t="str">
        <f t="shared" ca="1" si="437"/>
        <v>-</v>
      </c>
      <c r="AF519" s="798" t="str">
        <f t="shared" si="438"/>
        <v>-</v>
      </c>
      <c r="AG519" s="812" t="str">
        <f t="shared" si="439"/>
        <v>---------</v>
      </c>
      <c r="AH519" s="807"/>
      <c r="AI519" s="807" t="str">
        <f t="shared" si="440"/>
        <v>-</v>
      </c>
      <c r="AJ519" s="807" t="str">
        <f t="shared" si="441"/>
        <v>-</v>
      </c>
      <c r="AK519" s="813"/>
      <c r="AL519" s="807" t="str">
        <f t="shared" si="442"/>
        <v>-</v>
      </c>
      <c r="AM519" s="807" t="str">
        <f t="shared" si="443"/>
        <v>-</v>
      </c>
      <c r="AN519" s="814" t="str">
        <f t="shared" ca="1" si="444"/>
        <v>-</v>
      </c>
      <c r="AO519" s="815">
        <v>1</v>
      </c>
      <c r="AP519" s="816" t="str">
        <f t="shared" ca="1" si="445"/>
        <v>-</v>
      </c>
      <c r="AQ519" s="817"/>
      <c r="AR519" s="794" t="str">
        <f t="shared" si="446"/>
        <v>-</v>
      </c>
      <c r="AS519" s="818"/>
      <c r="AT519" s="794" t="str">
        <f t="shared" si="447"/>
        <v>-</v>
      </c>
      <c r="AU519" s="819"/>
      <c r="AV519" s="820"/>
      <c r="AW519" s="821"/>
      <c r="AX519" s="821"/>
      <c r="AY519" s="969" t="str">
        <f t="shared" si="448"/>
        <v>-</v>
      </c>
      <c r="AZ519" s="966" t="str">
        <f t="shared" si="449"/>
        <v>-</v>
      </c>
      <c r="BA519" s="971" t="str">
        <f t="shared" si="450"/>
        <v>-</v>
      </c>
      <c r="BB519" s="975"/>
      <c r="BC519" s="821"/>
      <c r="BD519" s="821"/>
      <c r="BE519" s="963" t="str">
        <f t="shared" si="451"/>
        <v>-</v>
      </c>
      <c r="BF519" s="984"/>
      <c r="BG519" s="988"/>
      <c r="BH519" s="982"/>
      <c r="BI519" s="991"/>
      <c r="BJ519" s="991"/>
      <c r="BK519" s="993" t="str">
        <f t="shared" si="452"/>
        <v>-</v>
      </c>
      <c r="BL519" s="820">
        <v>42981</v>
      </c>
      <c r="BM519" s="821">
        <v>5</v>
      </c>
      <c r="BN519" s="822">
        <f t="shared" ca="1" si="453"/>
        <v>153</v>
      </c>
      <c r="BO519" s="823">
        <f t="shared" si="454"/>
        <v>80.666666666666671</v>
      </c>
      <c r="BP519" s="824"/>
      <c r="BQ519" s="821"/>
      <c r="BR519" s="822" t="str">
        <f t="shared" si="455"/>
        <v>-</v>
      </c>
      <c r="BS519" s="823" t="str">
        <f t="shared" si="456"/>
        <v>-</v>
      </c>
      <c r="BT519" s="825" t="str">
        <f t="shared" ca="1" si="457"/>
        <v>-</v>
      </c>
      <c r="BU519" s="826"/>
      <c r="BV519" s="827"/>
      <c r="BW519" s="828" t="str">
        <f t="shared" si="458"/>
        <v>Ж-Е НЕ ВАКЦ.</v>
      </c>
      <c r="BX519" s="829" t="str">
        <f t="shared" si="459"/>
        <v>-</v>
      </c>
      <c r="BY519" s="830" t="str">
        <f t="shared" ca="1" si="460"/>
        <v>-</v>
      </c>
      <c r="BZ519" s="831">
        <v>42887</v>
      </c>
      <c r="CA519" s="832">
        <v>5</v>
      </c>
      <c r="CB519" s="833">
        <f t="shared" ca="1" si="461"/>
        <v>247</v>
      </c>
      <c r="CC519" s="834" t="str">
        <f t="shared" ca="1" si="462"/>
        <v>-</v>
      </c>
      <c r="CD519" s="835">
        <f t="shared" si="463"/>
        <v>42908</v>
      </c>
      <c r="CE519" s="831">
        <v>42908</v>
      </c>
      <c r="CF519" s="832">
        <v>5</v>
      </c>
      <c r="CG519" s="833">
        <f t="shared" ca="1" si="464"/>
        <v>226</v>
      </c>
      <c r="CH519" s="836">
        <f t="shared" si="465"/>
        <v>0</v>
      </c>
      <c r="CI519" s="837" t="str">
        <f t="shared" si="466"/>
        <v>УСПЕШНО</v>
      </c>
      <c r="CJ519" s="838" t="str">
        <f t="shared" ca="1" si="467"/>
        <v>-</v>
      </c>
      <c r="CK519" s="831"/>
      <c r="CL519" s="832"/>
      <c r="CM519" s="833" t="str">
        <f t="shared" si="468"/>
        <v>-</v>
      </c>
      <c r="CN519" s="834" t="str">
        <f t="shared" si="469"/>
        <v>-</v>
      </c>
      <c r="CO519" s="830" t="str">
        <f t="shared" ca="1" si="470"/>
        <v>-</v>
      </c>
      <c r="CP519" s="831">
        <v>43006</v>
      </c>
      <c r="CQ519" s="832">
        <v>2</v>
      </c>
      <c r="CR519" s="833">
        <f t="shared" si="471"/>
        <v>43006</v>
      </c>
      <c r="CS519" s="833">
        <f t="shared" ca="1" si="472"/>
        <v>128</v>
      </c>
      <c r="CT519" s="834" t="str">
        <f t="shared" ca="1" si="473"/>
        <v>-</v>
      </c>
      <c r="CU519" s="835">
        <f t="shared" si="474"/>
        <v>43027</v>
      </c>
      <c r="CV519" s="831">
        <v>43027</v>
      </c>
      <c r="CW519" s="832">
        <v>2</v>
      </c>
      <c r="CX519" s="833">
        <f t="shared" si="475"/>
        <v>0</v>
      </c>
      <c r="CY519" s="840" t="str">
        <f t="shared" si="476"/>
        <v>УСПЕШНО</v>
      </c>
      <c r="CZ519" s="833">
        <f t="shared" si="477"/>
        <v>43027</v>
      </c>
      <c r="DA519" s="838" t="str">
        <f t="shared" ca="1" si="478"/>
        <v>-</v>
      </c>
      <c r="DB519" s="841"/>
      <c r="DC519" s="832"/>
    </row>
    <row r="520" spans="1:107" s="842" customFormat="1" ht="15.95" customHeight="1" x14ac:dyDescent="0.25">
      <c r="A520" s="790">
        <v>522</v>
      </c>
      <c r="B520" s="791">
        <f t="shared" ca="1" si="427"/>
        <v>43134</v>
      </c>
      <c r="C520" s="29" t="s">
        <v>2404</v>
      </c>
      <c r="D520" s="427" t="s">
        <v>3199</v>
      </c>
      <c r="E520" s="794" t="s">
        <v>148</v>
      </c>
      <c r="F520" s="795" t="s">
        <v>149</v>
      </c>
      <c r="G520" s="796">
        <f>SUMIFS(МОЛОКО!L8:L6958,МОЛОКО!F8:F6958,"11226",МОЛОКО!L8:L6958,"&gt;0")</f>
        <v>0</v>
      </c>
      <c r="H520" s="797" t="s">
        <v>87</v>
      </c>
      <c r="I520" s="798">
        <v>40715</v>
      </c>
      <c r="J520" s="799">
        <f t="shared" ca="1" si="428"/>
        <v>6.6273972602739724</v>
      </c>
      <c r="K520" s="799">
        <f t="shared" ca="1" si="429"/>
        <v>80.63333333333334</v>
      </c>
      <c r="L520" s="800">
        <f t="shared" ca="1" si="430"/>
        <v>2419</v>
      </c>
      <c r="M520" s="801">
        <v>41594</v>
      </c>
      <c r="N520" s="802">
        <v>42731</v>
      </c>
      <c r="O520" s="803">
        <f t="shared" ca="1" si="431"/>
        <v>403</v>
      </c>
      <c r="P520" s="804">
        <v>4</v>
      </c>
      <c r="Q520" s="805" t="s">
        <v>2309</v>
      </c>
      <c r="R520" s="806" t="s">
        <v>2269</v>
      </c>
      <c r="S520" s="807">
        <v>42789</v>
      </c>
      <c r="T520" s="798">
        <v>42789</v>
      </c>
      <c r="U520" s="798" t="str">
        <f t="shared" si="432"/>
        <v>-</v>
      </c>
      <c r="V520" s="804" t="str">
        <f t="shared" ca="1" si="433"/>
        <v>-</v>
      </c>
      <c r="W520" s="808">
        <v>1</v>
      </c>
      <c r="X520" s="794">
        <f t="shared" si="426"/>
        <v>58</v>
      </c>
      <c r="Y520" s="794">
        <v>1</v>
      </c>
      <c r="Z520" s="809" t="str">
        <f t="shared" ca="1" si="434"/>
        <v>-----</v>
      </c>
      <c r="AA520" s="810" t="str">
        <f t="shared" ca="1" si="435"/>
        <v>-----</v>
      </c>
      <c r="AB520" s="804">
        <v>1</v>
      </c>
      <c r="AC520" s="811" t="str">
        <f t="shared" ca="1" si="436"/>
        <v>-----</v>
      </c>
      <c r="AD520" s="798">
        <v>43003</v>
      </c>
      <c r="AE520" s="794" t="str">
        <f t="shared" ca="1" si="437"/>
        <v>-</v>
      </c>
      <c r="AF520" s="798" t="str">
        <f t="shared" si="438"/>
        <v>-</v>
      </c>
      <c r="AG520" s="812" t="str">
        <f t="shared" si="439"/>
        <v>---------</v>
      </c>
      <c r="AH520" s="807">
        <v>42823</v>
      </c>
      <c r="AI520" s="807">
        <f t="shared" si="440"/>
        <v>42979</v>
      </c>
      <c r="AJ520" s="807">
        <f t="shared" si="441"/>
        <v>43009</v>
      </c>
      <c r="AK520" s="813">
        <v>43003</v>
      </c>
      <c r="AL520" s="807">
        <f t="shared" si="442"/>
        <v>43048</v>
      </c>
      <c r="AM520" s="807">
        <f t="shared" si="443"/>
        <v>43069</v>
      </c>
      <c r="AN520" s="814">
        <f t="shared" ca="1" si="444"/>
        <v>65</v>
      </c>
      <c r="AO520" s="815">
        <v>1</v>
      </c>
      <c r="AP520" s="816" t="str">
        <f t="shared" ca="1" si="445"/>
        <v>-</v>
      </c>
      <c r="AQ520" s="817"/>
      <c r="AR520" s="794" t="str">
        <f t="shared" si="446"/>
        <v>-</v>
      </c>
      <c r="AS520" s="818"/>
      <c r="AT520" s="794" t="str">
        <f t="shared" si="447"/>
        <v>DRY COW</v>
      </c>
      <c r="AU520" s="819"/>
      <c r="AV520" s="820"/>
      <c r="AW520" s="821"/>
      <c r="AX520" s="821"/>
      <c r="AY520" s="969" t="str">
        <f t="shared" si="448"/>
        <v>-</v>
      </c>
      <c r="AZ520" s="966" t="str">
        <f t="shared" si="449"/>
        <v>-</v>
      </c>
      <c r="BA520" s="971" t="str">
        <f t="shared" si="450"/>
        <v>-</v>
      </c>
      <c r="BB520" s="975"/>
      <c r="BC520" s="821"/>
      <c r="BD520" s="821"/>
      <c r="BE520" s="963" t="str">
        <f t="shared" si="451"/>
        <v>-</v>
      </c>
      <c r="BF520" s="984"/>
      <c r="BG520" s="988"/>
      <c r="BH520" s="982"/>
      <c r="BI520" s="991"/>
      <c r="BJ520" s="991"/>
      <c r="BK520" s="993" t="str">
        <f t="shared" si="452"/>
        <v>-</v>
      </c>
      <c r="BL520" s="820">
        <v>42981</v>
      </c>
      <c r="BM520" s="821">
        <v>5</v>
      </c>
      <c r="BN520" s="822">
        <f t="shared" ca="1" si="453"/>
        <v>153</v>
      </c>
      <c r="BO520" s="823">
        <f t="shared" si="454"/>
        <v>75.533333333333331</v>
      </c>
      <c r="BP520" s="824"/>
      <c r="BQ520" s="821"/>
      <c r="BR520" s="822" t="str">
        <f t="shared" si="455"/>
        <v>-</v>
      </c>
      <c r="BS520" s="823" t="str">
        <f t="shared" si="456"/>
        <v>-</v>
      </c>
      <c r="BT520" s="825" t="str">
        <f t="shared" ca="1" si="457"/>
        <v>-</v>
      </c>
      <c r="BU520" s="826"/>
      <c r="BV520" s="827"/>
      <c r="BW520" s="828" t="str">
        <f t="shared" si="458"/>
        <v>Ж-Е НЕ ВАКЦ.</v>
      </c>
      <c r="BX520" s="829" t="str">
        <f t="shared" si="459"/>
        <v>-</v>
      </c>
      <c r="BY520" s="830" t="str">
        <f t="shared" ca="1" si="460"/>
        <v>-</v>
      </c>
      <c r="BZ520" s="831">
        <v>42887</v>
      </c>
      <c r="CA520" s="832">
        <v>5</v>
      </c>
      <c r="CB520" s="833">
        <f t="shared" ca="1" si="461"/>
        <v>247</v>
      </c>
      <c r="CC520" s="834" t="str">
        <f t="shared" ca="1" si="462"/>
        <v>-</v>
      </c>
      <c r="CD520" s="835">
        <f t="shared" si="463"/>
        <v>42908</v>
      </c>
      <c r="CE520" s="831">
        <v>42908</v>
      </c>
      <c r="CF520" s="832">
        <v>5</v>
      </c>
      <c r="CG520" s="833">
        <f t="shared" ca="1" si="464"/>
        <v>226</v>
      </c>
      <c r="CH520" s="836">
        <f t="shared" si="465"/>
        <v>0</v>
      </c>
      <c r="CI520" s="837" t="str">
        <f t="shared" si="466"/>
        <v>УСПЕШНО</v>
      </c>
      <c r="CJ520" s="838" t="str">
        <f t="shared" ca="1" si="467"/>
        <v>-</v>
      </c>
      <c r="CK520" s="831"/>
      <c r="CL520" s="832"/>
      <c r="CM520" s="833" t="str">
        <f t="shared" si="468"/>
        <v>-</v>
      </c>
      <c r="CN520" s="834" t="str">
        <f t="shared" si="469"/>
        <v>-</v>
      </c>
      <c r="CO520" s="830" t="str">
        <f t="shared" ca="1" si="470"/>
        <v>-</v>
      </c>
      <c r="CP520" s="831">
        <v>43003</v>
      </c>
      <c r="CQ520" s="832">
        <v>2</v>
      </c>
      <c r="CR520" s="833">
        <f t="shared" si="471"/>
        <v>214</v>
      </c>
      <c r="CS520" s="833">
        <f t="shared" ca="1" si="472"/>
        <v>131</v>
      </c>
      <c r="CT520" s="834" t="str">
        <f t="shared" ca="1" si="473"/>
        <v>-</v>
      </c>
      <c r="CU520" s="835">
        <f t="shared" si="474"/>
        <v>43024</v>
      </c>
      <c r="CV520" s="831">
        <v>43024</v>
      </c>
      <c r="CW520" s="832">
        <v>2</v>
      </c>
      <c r="CX520" s="833">
        <f t="shared" si="475"/>
        <v>0</v>
      </c>
      <c r="CY520" s="840" t="str">
        <f t="shared" si="476"/>
        <v>УСПЕШНО</v>
      </c>
      <c r="CZ520" s="833">
        <f t="shared" si="477"/>
        <v>235</v>
      </c>
      <c r="DA520" s="838" t="str">
        <f t="shared" ca="1" si="478"/>
        <v>ТРЕБУЕТСЯ РЕВАКЦИНАЦИЯ</v>
      </c>
      <c r="DB520" s="841"/>
      <c r="DC520" s="832"/>
    </row>
    <row r="521" spans="1:107" s="842" customFormat="1" ht="15.95" customHeight="1" x14ac:dyDescent="0.25">
      <c r="A521" s="790">
        <v>523</v>
      </c>
      <c r="B521" s="791">
        <f t="shared" ca="1" si="427"/>
        <v>43134</v>
      </c>
      <c r="C521" s="29" t="s">
        <v>2404</v>
      </c>
      <c r="D521" s="427" t="s">
        <v>3199</v>
      </c>
      <c r="E521" s="794" t="s">
        <v>473</v>
      </c>
      <c r="F521" s="795" t="s">
        <v>474</v>
      </c>
      <c r="G521" s="796">
        <f>SUMIFS(МОЛОКО!L8:L6958,МОЛОКО!F8:F6958,"277399",МОЛОКО!L8:L6958,"&gt;0")</f>
        <v>0</v>
      </c>
      <c r="H521" s="797" t="s">
        <v>78</v>
      </c>
      <c r="I521" s="798">
        <v>41534</v>
      </c>
      <c r="J521" s="799">
        <f t="shared" ca="1" si="428"/>
        <v>4.3835616438356162</v>
      </c>
      <c r="K521" s="799">
        <f t="shared" ca="1" si="429"/>
        <v>53.333333333333336</v>
      </c>
      <c r="L521" s="800">
        <f t="shared" ca="1" si="430"/>
        <v>1600</v>
      </c>
      <c r="M521" s="801">
        <v>42224</v>
      </c>
      <c r="N521" s="802">
        <v>42589</v>
      </c>
      <c r="O521" s="803">
        <f t="shared" ca="1" si="431"/>
        <v>545</v>
      </c>
      <c r="P521" s="804">
        <v>2</v>
      </c>
      <c r="Q521" s="805" t="s">
        <v>1451</v>
      </c>
      <c r="R521" s="806" t="s">
        <v>2294</v>
      </c>
      <c r="S521" s="807">
        <v>42671</v>
      </c>
      <c r="T521" s="798">
        <v>42780</v>
      </c>
      <c r="U521" s="798" t="str">
        <f t="shared" si="432"/>
        <v>-</v>
      </c>
      <c r="V521" s="804" t="str">
        <f t="shared" ca="1" si="433"/>
        <v>-</v>
      </c>
      <c r="W521" s="808">
        <v>3</v>
      </c>
      <c r="X521" s="794">
        <f t="shared" si="426"/>
        <v>191</v>
      </c>
      <c r="Y521" s="794">
        <v>1</v>
      </c>
      <c r="Z521" s="809" t="str">
        <f t="shared" ca="1" si="434"/>
        <v>-----</v>
      </c>
      <c r="AA521" s="810" t="str">
        <f t="shared" ca="1" si="435"/>
        <v>-----</v>
      </c>
      <c r="AB521" s="804">
        <v>1</v>
      </c>
      <c r="AC521" s="811" t="str">
        <f t="shared" ca="1" si="436"/>
        <v>-----</v>
      </c>
      <c r="AD521" s="798">
        <v>43003</v>
      </c>
      <c r="AE521" s="794" t="str">
        <f t="shared" ca="1" si="437"/>
        <v>-</v>
      </c>
      <c r="AF521" s="798" t="str">
        <f t="shared" si="438"/>
        <v>-</v>
      </c>
      <c r="AG521" s="812" t="str">
        <f t="shared" si="439"/>
        <v>---------</v>
      </c>
      <c r="AH521" s="807">
        <v>42814</v>
      </c>
      <c r="AI521" s="807">
        <f t="shared" si="440"/>
        <v>42970</v>
      </c>
      <c r="AJ521" s="807">
        <f t="shared" si="441"/>
        <v>43000</v>
      </c>
      <c r="AK521" s="813">
        <v>43003</v>
      </c>
      <c r="AL521" s="807">
        <f t="shared" si="442"/>
        <v>43039</v>
      </c>
      <c r="AM521" s="807">
        <f t="shared" si="443"/>
        <v>43060</v>
      </c>
      <c r="AN521" s="814">
        <f t="shared" ca="1" si="444"/>
        <v>74</v>
      </c>
      <c r="AO521" s="815">
        <v>1</v>
      </c>
      <c r="AP521" s="816" t="str">
        <f t="shared" ca="1" si="445"/>
        <v>-</v>
      </c>
      <c r="AQ521" s="817"/>
      <c r="AR521" s="794" t="str">
        <f t="shared" si="446"/>
        <v>-</v>
      </c>
      <c r="AS521" s="818"/>
      <c r="AT521" s="794" t="str">
        <f t="shared" si="447"/>
        <v>DRY COW</v>
      </c>
      <c r="AU521" s="819"/>
      <c r="AV521" s="820"/>
      <c r="AW521" s="821"/>
      <c r="AX521" s="821"/>
      <c r="AY521" s="969" t="str">
        <f t="shared" si="448"/>
        <v>-</v>
      </c>
      <c r="AZ521" s="966" t="str">
        <f t="shared" si="449"/>
        <v>-</v>
      </c>
      <c r="BA521" s="971" t="str">
        <f t="shared" si="450"/>
        <v>-</v>
      </c>
      <c r="BB521" s="975"/>
      <c r="BC521" s="821"/>
      <c r="BD521" s="821"/>
      <c r="BE521" s="963" t="str">
        <f t="shared" si="451"/>
        <v>-</v>
      </c>
      <c r="BF521" s="984"/>
      <c r="BG521" s="988"/>
      <c r="BH521" s="982"/>
      <c r="BI521" s="991"/>
      <c r="BJ521" s="991"/>
      <c r="BK521" s="993" t="str">
        <f t="shared" si="452"/>
        <v>-</v>
      </c>
      <c r="BL521" s="820">
        <v>42981</v>
      </c>
      <c r="BM521" s="821">
        <v>5</v>
      </c>
      <c r="BN521" s="822">
        <f t="shared" ca="1" si="453"/>
        <v>153</v>
      </c>
      <c r="BO521" s="823">
        <f t="shared" si="454"/>
        <v>48.233333333333334</v>
      </c>
      <c r="BP521" s="824">
        <v>43001</v>
      </c>
      <c r="BQ521" s="821">
        <v>2</v>
      </c>
      <c r="BR521" s="822">
        <f t="shared" ca="1" si="455"/>
        <v>133</v>
      </c>
      <c r="BS521" s="823">
        <f t="shared" si="456"/>
        <v>25.9</v>
      </c>
      <c r="BT521" s="825" t="str">
        <f t="shared" ca="1" si="457"/>
        <v>-</v>
      </c>
      <c r="BU521" s="826"/>
      <c r="BV521" s="827"/>
      <c r="BW521" s="828" t="str">
        <f t="shared" si="458"/>
        <v>Ж-Е НЕ ВАКЦ.</v>
      </c>
      <c r="BX521" s="829" t="str">
        <f t="shared" si="459"/>
        <v>-</v>
      </c>
      <c r="BY521" s="830" t="str">
        <f t="shared" ca="1" si="460"/>
        <v>-</v>
      </c>
      <c r="BZ521" s="831">
        <v>42887</v>
      </c>
      <c r="CA521" s="832">
        <v>5</v>
      </c>
      <c r="CB521" s="833">
        <f t="shared" ca="1" si="461"/>
        <v>247</v>
      </c>
      <c r="CC521" s="834" t="str">
        <f t="shared" ca="1" si="462"/>
        <v>-</v>
      </c>
      <c r="CD521" s="835">
        <f t="shared" si="463"/>
        <v>42908</v>
      </c>
      <c r="CE521" s="831">
        <v>42908</v>
      </c>
      <c r="CF521" s="832">
        <v>5</v>
      </c>
      <c r="CG521" s="833">
        <f t="shared" ca="1" si="464"/>
        <v>226</v>
      </c>
      <c r="CH521" s="836">
        <f t="shared" si="465"/>
        <v>0</v>
      </c>
      <c r="CI521" s="837" t="str">
        <f t="shared" si="466"/>
        <v>УСПЕШНО</v>
      </c>
      <c r="CJ521" s="838" t="str">
        <f t="shared" ca="1" si="467"/>
        <v>-</v>
      </c>
      <c r="CK521" s="831"/>
      <c r="CL521" s="832"/>
      <c r="CM521" s="833" t="str">
        <f t="shared" si="468"/>
        <v>-</v>
      </c>
      <c r="CN521" s="834" t="str">
        <f t="shared" si="469"/>
        <v>-</v>
      </c>
      <c r="CO521" s="830" t="str">
        <f t="shared" ca="1" si="470"/>
        <v>-</v>
      </c>
      <c r="CP521" s="831">
        <v>43003</v>
      </c>
      <c r="CQ521" s="832">
        <v>2</v>
      </c>
      <c r="CR521" s="833">
        <f t="shared" si="471"/>
        <v>223</v>
      </c>
      <c r="CS521" s="833">
        <f t="shared" ca="1" si="472"/>
        <v>131</v>
      </c>
      <c r="CT521" s="834" t="str">
        <f t="shared" ca="1" si="473"/>
        <v>-</v>
      </c>
      <c r="CU521" s="835">
        <f t="shared" si="474"/>
        <v>43024</v>
      </c>
      <c r="CV521" s="831">
        <v>43024</v>
      </c>
      <c r="CW521" s="832">
        <v>2</v>
      </c>
      <c r="CX521" s="833">
        <f t="shared" si="475"/>
        <v>0</v>
      </c>
      <c r="CY521" s="840" t="str">
        <f t="shared" si="476"/>
        <v>УСПЕШНО</v>
      </c>
      <c r="CZ521" s="833">
        <f t="shared" si="477"/>
        <v>244</v>
      </c>
      <c r="DA521" s="838" t="str">
        <f t="shared" ca="1" si="478"/>
        <v>ТРЕБУЕТСЯ РЕВАКЦИНАЦИЯ</v>
      </c>
      <c r="DB521" s="841"/>
      <c r="DC521" s="832"/>
    </row>
    <row r="522" spans="1:107" s="842" customFormat="1" ht="15.95" customHeight="1" x14ac:dyDescent="0.25">
      <c r="A522" s="790">
        <v>524</v>
      </c>
      <c r="B522" s="791">
        <f t="shared" ca="1" si="427"/>
        <v>43134</v>
      </c>
      <c r="C522" s="792" t="s">
        <v>2553</v>
      </c>
      <c r="D522" s="793" t="s">
        <v>2586</v>
      </c>
      <c r="E522" s="794" t="s">
        <v>1563</v>
      </c>
      <c r="F522" s="853" t="s">
        <v>2097</v>
      </c>
      <c r="G522" s="796">
        <f>SUMIFS(МОЛОКО!L8:L6958,МОЛОКО!F8:F6958,"2759",МОЛОКО!L8:L6958,"&gt;0")</f>
        <v>0</v>
      </c>
      <c r="H522" s="797" t="s">
        <v>603</v>
      </c>
      <c r="I522" s="798">
        <v>42342</v>
      </c>
      <c r="J522" s="799">
        <f t="shared" ca="1" si="428"/>
        <v>2.1698630136986301</v>
      </c>
      <c r="K522" s="799">
        <f t="shared" ca="1" si="429"/>
        <v>26.4</v>
      </c>
      <c r="L522" s="800">
        <f t="shared" ca="1" si="430"/>
        <v>792</v>
      </c>
      <c r="M522" s="801"/>
      <c r="N522" s="802"/>
      <c r="O522" s="803" t="str">
        <f t="shared" ca="1" si="431"/>
        <v>-</v>
      </c>
      <c r="P522" s="804"/>
      <c r="Q522" s="805" t="s">
        <v>1451</v>
      </c>
      <c r="R522" s="806" t="s">
        <v>2435</v>
      </c>
      <c r="S522" s="807">
        <v>43008</v>
      </c>
      <c r="T522" s="798">
        <v>43008</v>
      </c>
      <c r="U522" s="798">
        <f t="shared" si="432"/>
        <v>43026</v>
      </c>
      <c r="V522" s="804">
        <f t="shared" ca="1" si="433"/>
        <v>108</v>
      </c>
      <c r="W522" s="808">
        <v>1</v>
      </c>
      <c r="X522" s="794" t="str">
        <f t="shared" si="426"/>
        <v>-</v>
      </c>
      <c r="Y522" s="794">
        <v>3</v>
      </c>
      <c r="Z522" s="809" t="str">
        <f t="shared" ca="1" si="434"/>
        <v>-----</v>
      </c>
      <c r="AA522" s="810">
        <f t="shared" ca="1" si="435"/>
        <v>126</v>
      </c>
      <c r="AB522" s="804"/>
      <c r="AC522" s="811" t="str">
        <f t="shared" ca="1" si="436"/>
        <v>-----</v>
      </c>
      <c r="AD522" s="798"/>
      <c r="AE522" s="794" t="str">
        <f t="shared" ca="1" si="437"/>
        <v>-</v>
      </c>
      <c r="AF522" s="798">
        <f t="shared" si="438"/>
        <v>43043</v>
      </c>
      <c r="AG522" s="812">
        <f t="shared" ca="1" si="439"/>
        <v>91</v>
      </c>
      <c r="AH522" s="807"/>
      <c r="AI522" s="807" t="str">
        <f t="shared" si="440"/>
        <v>-</v>
      </c>
      <c r="AJ522" s="807" t="str">
        <f t="shared" si="441"/>
        <v>-</v>
      </c>
      <c r="AK522" s="813"/>
      <c r="AL522" s="807" t="str">
        <f t="shared" si="442"/>
        <v>-</v>
      </c>
      <c r="AM522" s="807" t="str">
        <f t="shared" si="443"/>
        <v>-</v>
      </c>
      <c r="AN522" s="814" t="str">
        <f t="shared" ca="1" si="444"/>
        <v>-</v>
      </c>
      <c r="AO522" s="815">
        <v>1</v>
      </c>
      <c r="AP522" s="816" t="str">
        <f t="shared" ca="1" si="445"/>
        <v>-</v>
      </c>
      <c r="AQ522" s="817" t="s">
        <v>3137</v>
      </c>
      <c r="AR522" s="794" t="str">
        <f t="shared" si="446"/>
        <v>-</v>
      </c>
      <c r="AS522" s="818"/>
      <c r="AT522" s="794" t="str">
        <f t="shared" si="447"/>
        <v>-</v>
      </c>
      <c r="AU522" s="819">
        <v>1</v>
      </c>
      <c r="AV522" s="820"/>
      <c r="AW522" s="821"/>
      <c r="AX522" s="821"/>
      <c r="AY522" s="969" t="str">
        <f t="shared" si="448"/>
        <v>-</v>
      </c>
      <c r="AZ522" s="966" t="str">
        <f t="shared" si="449"/>
        <v>-</v>
      </c>
      <c r="BA522" s="971" t="str">
        <f t="shared" si="450"/>
        <v>-</v>
      </c>
      <c r="BB522" s="975"/>
      <c r="BC522" s="821"/>
      <c r="BD522" s="821"/>
      <c r="BE522" s="963" t="str">
        <f t="shared" si="451"/>
        <v>-</v>
      </c>
      <c r="BF522" s="984"/>
      <c r="BG522" s="988"/>
      <c r="BH522" s="982"/>
      <c r="BI522" s="991"/>
      <c r="BJ522" s="991"/>
      <c r="BK522" s="993" t="str">
        <f t="shared" si="452"/>
        <v>-</v>
      </c>
      <c r="BL522" s="820">
        <v>42978</v>
      </c>
      <c r="BM522" s="821">
        <v>5</v>
      </c>
      <c r="BN522" s="822">
        <f t="shared" ca="1" si="453"/>
        <v>156</v>
      </c>
      <c r="BO522" s="823">
        <f t="shared" si="454"/>
        <v>21.2</v>
      </c>
      <c r="BP522" s="824"/>
      <c r="BQ522" s="821"/>
      <c r="BR522" s="822" t="str">
        <f t="shared" si="455"/>
        <v>-</v>
      </c>
      <c r="BS522" s="823" t="str">
        <f t="shared" si="456"/>
        <v>-</v>
      </c>
      <c r="BT522" s="825" t="str">
        <f t="shared" ca="1" si="457"/>
        <v>-</v>
      </c>
      <c r="BU522" s="826"/>
      <c r="BV522" s="827"/>
      <c r="BW522" s="828" t="str">
        <f t="shared" si="458"/>
        <v>Ж-Е НЕ ВАКЦ.</v>
      </c>
      <c r="BX522" s="829" t="str">
        <f t="shared" si="459"/>
        <v>-</v>
      </c>
      <c r="BY522" s="830" t="str">
        <f t="shared" ca="1" si="460"/>
        <v>-</v>
      </c>
      <c r="BZ522" s="831">
        <v>42894</v>
      </c>
      <c r="CA522" s="832">
        <v>5</v>
      </c>
      <c r="CB522" s="833">
        <f t="shared" ca="1" si="461"/>
        <v>240</v>
      </c>
      <c r="CC522" s="834" t="str">
        <f t="shared" ca="1" si="462"/>
        <v>-</v>
      </c>
      <c r="CD522" s="835">
        <f t="shared" si="463"/>
        <v>42915</v>
      </c>
      <c r="CE522" s="831">
        <v>42915</v>
      </c>
      <c r="CF522" s="832">
        <v>5</v>
      </c>
      <c r="CG522" s="833">
        <f t="shared" ca="1" si="464"/>
        <v>219</v>
      </c>
      <c r="CH522" s="836">
        <f t="shared" si="465"/>
        <v>0</v>
      </c>
      <c r="CI522" s="837" t="str">
        <f t="shared" si="466"/>
        <v>УСПЕШНО</v>
      </c>
      <c r="CJ522" s="838" t="str">
        <f t="shared" ca="1" si="467"/>
        <v>-</v>
      </c>
      <c r="CK522" s="831"/>
      <c r="CL522" s="832"/>
      <c r="CM522" s="833" t="str">
        <f t="shared" si="468"/>
        <v>-</v>
      </c>
      <c r="CN522" s="834" t="str">
        <f t="shared" si="469"/>
        <v>-</v>
      </c>
      <c r="CO522" s="830" t="str">
        <f t="shared" ca="1" si="470"/>
        <v>-</v>
      </c>
      <c r="CP522" s="839"/>
      <c r="CQ522" s="832"/>
      <c r="CR522" s="833" t="str">
        <f t="shared" si="471"/>
        <v>-</v>
      </c>
      <c r="CS522" s="833" t="str">
        <f t="shared" si="472"/>
        <v>-</v>
      </c>
      <c r="CT522" s="834" t="str">
        <f t="shared" si="473"/>
        <v>-</v>
      </c>
      <c r="CU522" s="835" t="str">
        <f t="shared" si="474"/>
        <v>-</v>
      </c>
      <c r="CV522" s="839"/>
      <c r="CW522" s="832"/>
      <c r="CX522" s="833" t="str">
        <f t="shared" si="475"/>
        <v>-</v>
      </c>
      <c r="CY522" s="840" t="str">
        <f t="shared" si="476"/>
        <v>-</v>
      </c>
      <c r="CZ522" s="833" t="str">
        <f t="shared" si="477"/>
        <v>-</v>
      </c>
      <c r="DA522" s="838" t="str">
        <f t="shared" ca="1" si="478"/>
        <v>-</v>
      </c>
      <c r="DB522" s="841"/>
      <c r="DC522" s="832"/>
    </row>
    <row r="523" spans="1:107" s="842" customFormat="1" ht="15.95" customHeight="1" x14ac:dyDescent="0.25">
      <c r="A523" s="790">
        <v>525</v>
      </c>
      <c r="B523" s="791">
        <f t="shared" ca="1" si="427"/>
        <v>43134</v>
      </c>
      <c r="C523" s="792" t="s">
        <v>2553</v>
      </c>
      <c r="D523" s="793" t="s">
        <v>2586</v>
      </c>
      <c r="E523" s="794" t="s">
        <v>1563</v>
      </c>
      <c r="F523" s="853" t="s">
        <v>1794</v>
      </c>
      <c r="G523" s="796">
        <f>SUMIFS(МОЛОКО!L8:L6958,МОЛОКО!F8:F6958,"2834",МОЛОКО!L8:L6958,"&gt;0")</f>
        <v>0</v>
      </c>
      <c r="H523" s="797" t="s">
        <v>603</v>
      </c>
      <c r="I523" s="798">
        <v>42409</v>
      </c>
      <c r="J523" s="799">
        <f t="shared" ca="1" si="428"/>
        <v>1.9863013698630136</v>
      </c>
      <c r="K523" s="799">
        <f t="shared" ca="1" si="429"/>
        <v>24.166666666666668</v>
      </c>
      <c r="L523" s="800">
        <f t="shared" ca="1" si="430"/>
        <v>725</v>
      </c>
      <c r="M523" s="801"/>
      <c r="N523" s="802"/>
      <c r="O523" s="803" t="str">
        <f t="shared" ca="1" si="431"/>
        <v>-</v>
      </c>
      <c r="P523" s="804"/>
      <c r="Q523" s="805" t="s">
        <v>1451</v>
      </c>
      <c r="R523" s="806" t="s">
        <v>2424</v>
      </c>
      <c r="S523" s="807">
        <v>42992</v>
      </c>
      <c r="T523" s="798">
        <v>42992</v>
      </c>
      <c r="U523" s="798">
        <f t="shared" si="432"/>
        <v>43010</v>
      </c>
      <c r="V523" s="804">
        <f t="shared" ca="1" si="433"/>
        <v>124</v>
      </c>
      <c r="W523" s="808">
        <v>1</v>
      </c>
      <c r="X523" s="794" t="str">
        <f t="shared" si="426"/>
        <v>-</v>
      </c>
      <c r="Y523" s="794">
        <v>3</v>
      </c>
      <c r="Z523" s="809" t="str">
        <f t="shared" ca="1" si="434"/>
        <v>-----</v>
      </c>
      <c r="AA523" s="810">
        <f t="shared" ca="1" si="435"/>
        <v>142</v>
      </c>
      <c r="AB523" s="804"/>
      <c r="AC523" s="811" t="str">
        <f t="shared" ca="1" si="436"/>
        <v>-----</v>
      </c>
      <c r="AD523" s="798"/>
      <c r="AE523" s="794" t="str">
        <f t="shared" ca="1" si="437"/>
        <v>-</v>
      </c>
      <c r="AF523" s="798">
        <f t="shared" si="438"/>
        <v>43027</v>
      </c>
      <c r="AG523" s="812">
        <f t="shared" ca="1" si="439"/>
        <v>107</v>
      </c>
      <c r="AH523" s="807"/>
      <c r="AI523" s="807" t="str">
        <f t="shared" si="440"/>
        <v>-</v>
      </c>
      <c r="AJ523" s="807" t="str">
        <f t="shared" si="441"/>
        <v>-</v>
      </c>
      <c r="AK523" s="813"/>
      <c r="AL523" s="807" t="str">
        <f t="shared" si="442"/>
        <v>-</v>
      </c>
      <c r="AM523" s="807" t="str">
        <f t="shared" si="443"/>
        <v>-</v>
      </c>
      <c r="AN523" s="814" t="str">
        <f t="shared" ca="1" si="444"/>
        <v>-</v>
      </c>
      <c r="AO523" s="815">
        <v>1</v>
      </c>
      <c r="AP523" s="816" t="str">
        <f t="shared" ca="1" si="445"/>
        <v>-</v>
      </c>
      <c r="AQ523" s="817"/>
      <c r="AR523" s="794" t="str">
        <f t="shared" si="446"/>
        <v>-</v>
      </c>
      <c r="AS523" s="818"/>
      <c r="AT523" s="794" t="str">
        <f t="shared" si="447"/>
        <v>-</v>
      </c>
      <c r="AU523" s="819">
        <v>1</v>
      </c>
      <c r="AV523" s="820"/>
      <c r="AW523" s="821"/>
      <c r="AX523" s="821"/>
      <c r="AY523" s="969" t="str">
        <f t="shared" si="448"/>
        <v>-</v>
      </c>
      <c r="AZ523" s="966" t="str">
        <f t="shared" si="449"/>
        <v>-</v>
      </c>
      <c r="BA523" s="971" t="str">
        <f t="shared" si="450"/>
        <v>-</v>
      </c>
      <c r="BB523" s="975"/>
      <c r="BC523" s="821"/>
      <c r="BD523" s="821"/>
      <c r="BE523" s="963" t="str">
        <f t="shared" si="451"/>
        <v>-</v>
      </c>
      <c r="BF523" s="984"/>
      <c r="BG523" s="988"/>
      <c r="BH523" s="982"/>
      <c r="BI523" s="991"/>
      <c r="BJ523" s="991"/>
      <c r="BK523" s="993" t="str">
        <f t="shared" si="452"/>
        <v>-</v>
      </c>
      <c r="BL523" s="820">
        <v>42978</v>
      </c>
      <c r="BM523" s="821">
        <v>5</v>
      </c>
      <c r="BN523" s="822">
        <f t="shared" ca="1" si="453"/>
        <v>156</v>
      </c>
      <c r="BO523" s="823">
        <f t="shared" si="454"/>
        <v>18.966666666666665</v>
      </c>
      <c r="BP523" s="824"/>
      <c r="BQ523" s="821"/>
      <c r="BR523" s="822" t="str">
        <f t="shared" si="455"/>
        <v>-</v>
      </c>
      <c r="BS523" s="823" t="str">
        <f t="shared" si="456"/>
        <v>-</v>
      </c>
      <c r="BT523" s="825" t="str">
        <f t="shared" ca="1" si="457"/>
        <v>-</v>
      </c>
      <c r="BU523" s="826"/>
      <c r="BV523" s="827"/>
      <c r="BW523" s="828" t="str">
        <f t="shared" si="458"/>
        <v>Ж-Е НЕ ВАКЦ.</v>
      </c>
      <c r="BX523" s="829" t="str">
        <f t="shared" si="459"/>
        <v>-</v>
      </c>
      <c r="BY523" s="830" t="str">
        <f t="shared" ca="1" si="460"/>
        <v>-</v>
      </c>
      <c r="BZ523" s="831">
        <v>42894</v>
      </c>
      <c r="CA523" s="832">
        <v>5</v>
      </c>
      <c r="CB523" s="833">
        <f t="shared" ca="1" si="461"/>
        <v>240</v>
      </c>
      <c r="CC523" s="834" t="str">
        <f t="shared" ca="1" si="462"/>
        <v>-</v>
      </c>
      <c r="CD523" s="835">
        <f t="shared" si="463"/>
        <v>42915</v>
      </c>
      <c r="CE523" s="831">
        <v>42915</v>
      </c>
      <c r="CF523" s="832">
        <v>5</v>
      </c>
      <c r="CG523" s="833">
        <f t="shared" ca="1" si="464"/>
        <v>219</v>
      </c>
      <c r="CH523" s="836">
        <f t="shared" si="465"/>
        <v>0</v>
      </c>
      <c r="CI523" s="837" t="str">
        <f t="shared" si="466"/>
        <v>УСПЕШНО</v>
      </c>
      <c r="CJ523" s="838" t="str">
        <f t="shared" ca="1" si="467"/>
        <v>-</v>
      </c>
      <c r="CK523" s="831"/>
      <c r="CL523" s="832"/>
      <c r="CM523" s="833" t="str">
        <f t="shared" si="468"/>
        <v>-</v>
      </c>
      <c r="CN523" s="834" t="str">
        <f t="shared" si="469"/>
        <v>-</v>
      </c>
      <c r="CO523" s="830" t="str">
        <f t="shared" ca="1" si="470"/>
        <v>-</v>
      </c>
      <c r="CP523" s="839"/>
      <c r="CQ523" s="832"/>
      <c r="CR523" s="833" t="str">
        <f t="shared" si="471"/>
        <v>-</v>
      </c>
      <c r="CS523" s="833" t="str">
        <f t="shared" si="472"/>
        <v>-</v>
      </c>
      <c r="CT523" s="834" t="str">
        <f t="shared" si="473"/>
        <v>-</v>
      </c>
      <c r="CU523" s="835" t="str">
        <f t="shared" si="474"/>
        <v>-</v>
      </c>
      <c r="CV523" s="839"/>
      <c r="CW523" s="832"/>
      <c r="CX523" s="833" t="str">
        <f t="shared" si="475"/>
        <v>-</v>
      </c>
      <c r="CY523" s="840" t="str">
        <f t="shared" si="476"/>
        <v>-</v>
      </c>
      <c r="CZ523" s="833" t="str">
        <f t="shared" si="477"/>
        <v>-</v>
      </c>
      <c r="DA523" s="838" t="str">
        <f t="shared" ca="1" si="478"/>
        <v>-</v>
      </c>
      <c r="DB523" s="841"/>
      <c r="DC523" s="832"/>
    </row>
    <row r="524" spans="1:107" s="842" customFormat="1" ht="15.95" customHeight="1" x14ac:dyDescent="0.25">
      <c r="A524" s="790">
        <v>526</v>
      </c>
      <c r="B524" s="791">
        <f t="shared" ca="1" si="427"/>
        <v>43134</v>
      </c>
      <c r="C524" s="792" t="s">
        <v>2553</v>
      </c>
      <c r="D524" s="793" t="s">
        <v>2586</v>
      </c>
      <c r="E524" s="794" t="s">
        <v>1563</v>
      </c>
      <c r="F524" s="853" t="s">
        <v>1805</v>
      </c>
      <c r="G524" s="796">
        <f>SUMIFS(МОЛОКО!L8:L6958,МОЛОКО!F8:F6958,"2870",МОЛОКО!L8:L6958,"&gt;0")</f>
        <v>0</v>
      </c>
      <c r="H524" s="797" t="s">
        <v>603</v>
      </c>
      <c r="I524" s="798">
        <v>42445</v>
      </c>
      <c r="J524" s="799">
        <f t="shared" ca="1" si="428"/>
        <v>1.8876712328767122</v>
      </c>
      <c r="K524" s="799">
        <f t="shared" ca="1" si="429"/>
        <v>22.966666666666665</v>
      </c>
      <c r="L524" s="800">
        <f t="shared" ca="1" si="430"/>
        <v>689</v>
      </c>
      <c r="M524" s="801"/>
      <c r="N524" s="802"/>
      <c r="O524" s="803" t="str">
        <f t="shared" ca="1" si="431"/>
        <v>-</v>
      </c>
      <c r="P524" s="804"/>
      <c r="Q524" s="805" t="s">
        <v>2366</v>
      </c>
      <c r="R524" s="806" t="s">
        <v>2967</v>
      </c>
      <c r="S524" s="807">
        <v>42960</v>
      </c>
      <c r="T524" s="798">
        <v>42960</v>
      </c>
      <c r="U524" s="798" t="str">
        <f t="shared" si="432"/>
        <v>-</v>
      </c>
      <c r="V524" s="804" t="str">
        <f t="shared" ca="1" si="433"/>
        <v>-</v>
      </c>
      <c r="W524" s="808">
        <v>1</v>
      </c>
      <c r="X524" s="794" t="str">
        <f t="shared" si="426"/>
        <v>-</v>
      </c>
      <c r="Y524" s="794">
        <v>1</v>
      </c>
      <c r="Z524" s="809" t="str">
        <f t="shared" ca="1" si="434"/>
        <v>ПОДЛЕЖИТ ПЕРЕПРОВЕРКЕ</v>
      </c>
      <c r="AA524" s="810">
        <f t="shared" ca="1" si="435"/>
        <v>174</v>
      </c>
      <c r="AB524" s="804"/>
      <c r="AC524" s="811">
        <f t="shared" ca="1" si="436"/>
        <v>43032</v>
      </c>
      <c r="AD524" s="798"/>
      <c r="AE524" s="794" t="str">
        <f t="shared" ca="1" si="437"/>
        <v>-</v>
      </c>
      <c r="AF524" s="798" t="str">
        <f t="shared" si="438"/>
        <v>-</v>
      </c>
      <c r="AG524" s="812" t="str">
        <f t="shared" si="439"/>
        <v>---------</v>
      </c>
      <c r="AH524" s="807">
        <v>43032</v>
      </c>
      <c r="AI524" s="807" t="str">
        <f t="shared" si="440"/>
        <v>-</v>
      </c>
      <c r="AJ524" s="807" t="str">
        <f t="shared" si="441"/>
        <v>-</v>
      </c>
      <c r="AK524" s="813"/>
      <c r="AL524" s="807">
        <f t="shared" si="442"/>
        <v>43219</v>
      </c>
      <c r="AM524" s="807">
        <f t="shared" si="443"/>
        <v>43240</v>
      </c>
      <c r="AN524" s="814">
        <f t="shared" ca="1" si="444"/>
        <v>-106</v>
      </c>
      <c r="AO524" s="815">
        <v>1</v>
      </c>
      <c r="AP524" s="816" t="str">
        <f t="shared" ca="1" si="445"/>
        <v>-</v>
      </c>
      <c r="AQ524" s="817"/>
      <c r="AR524" s="794" t="str">
        <f t="shared" si="446"/>
        <v>НЕТЕЛЬ</v>
      </c>
      <c r="AS524" s="818"/>
      <c r="AT524" s="794" t="str">
        <f t="shared" si="447"/>
        <v>-</v>
      </c>
      <c r="AU524" s="819">
        <v>1</v>
      </c>
      <c r="AV524" s="820"/>
      <c r="AW524" s="821"/>
      <c r="AX524" s="821"/>
      <c r="AY524" s="969" t="str">
        <f t="shared" si="448"/>
        <v>-</v>
      </c>
      <c r="AZ524" s="966" t="str">
        <f t="shared" si="449"/>
        <v>-</v>
      </c>
      <c r="BA524" s="971" t="str">
        <f t="shared" si="450"/>
        <v>-</v>
      </c>
      <c r="BB524" s="975"/>
      <c r="BC524" s="821"/>
      <c r="BD524" s="821"/>
      <c r="BE524" s="963" t="str">
        <f t="shared" si="451"/>
        <v>-</v>
      </c>
      <c r="BF524" s="984"/>
      <c r="BG524" s="988"/>
      <c r="BH524" s="982"/>
      <c r="BI524" s="991"/>
      <c r="BJ524" s="991"/>
      <c r="BK524" s="993" t="str">
        <f t="shared" si="452"/>
        <v>-</v>
      </c>
      <c r="BL524" s="820">
        <v>42978</v>
      </c>
      <c r="BM524" s="821">
        <v>5</v>
      </c>
      <c r="BN524" s="822">
        <f t="shared" ca="1" si="453"/>
        <v>156</v>
      </c>
      <c r="BO524" s="823">
        <f t="shared" si="454"/>
        <v>17.766666666666666</v>
      </c>
      <c r="BP524" s="824"/>
      <c r="BQ524" s="821"/>
      <c r="BR524" s="822" t="str">
        <f t="shared" si="455"/>
        <v>-</v>
      </c>
      <c r="BS524" s="823" t="str">
        <f t="shared" si="456"/>
        <v>-</v>
      </c>
      <c r="BT524" s="825" t="str">
        <f t="shared" ca="1" si="457"/>
        <v>-</v>
      </c>
      <c r="BU524" s="826"/>
      <c r="BV524" s="827"/>
      <c r="BW524" s="828" t="str">
        <f t="shared" si="458"/>
        <v>Ж-Е НЕ ВАКЦ.</v>
      </c>
      <c r="BX524" s="829" t="str">
        <f t="shared" si="459"/>
        <v>-</v>
      </c>
      <c r="BY524" s="830" t="str">
        <f t="shared" ca="1" si="460"/>
        <v>-</v>
      </c>
      <c r="BZ524" s="831">
        <v>42894</v>
      </c>
      <c r="CA524" s="832">
        <v>5</v>
      </c>
      <c r="CB524" s="833">
        <f t="shared" ca="1" si="461"/>
        <v>240</v>
      </c>
      <c r="CC524" s="834" t="str">
        <f t="shared" ca="1" si="462"/>
        <v>-</v>
      </c>
      <c r="CD524" s="835">
        <f t="shared" si="463"/>
        <v>42915</v>
      </c>
      <c r="CE524" s="831">
        <v>42915</v>
      </c>
      <c r="CF524" s="832">
        <v>5</v>
      </c>
      <c r="CG524" s="833">
        <f t="shared" ca="1" si="464"/>
        <v>219</v>
      </c>
      <c r="CH524" s="836">
        <f t="shared" si="465"/>
        <v>0</v>
      </c>
      <c r="CI524" s="837" t="str">
        <f t="shared" si="466"/>
        <v>УСПЕШНО</v>
      </c>
      <c r="CJ524" s="838" t="str">
        <f t="shared" ca="1" si="467"/>
        <v>-</v>
      </c>
      <c r="CK524" s="831"/>
      <c r="CL524" s="832"/>
      <c r="CM524" s="833" t="str">
        <f t="shared" si="468"/>
        <v>-</v>
      </c>
      <c r="CN524" s="834" t="str">
        <f t="shared" si="469"/>
        <v>-</v>
      </c>
      <c r="CO524" s="830" t="str">
        <f t="shared" ca="1" si="470"/>
        <v>-</v>
      </c>
      <c r="CP524" s="839"/>
      <c r="CQ524" s="832"/>
      <c r="CR524" s="833" t="str">
        <f t="shared" si="471"/>
        <v>-</v>
      </c>
      <c r="CS524" s="833" t="str">
        <f t="shared" si="472"/>
        <v>-</v>
      </c>
      <c r="CT524" s="834" t="str">
        <f t="shared" si="473"/>
        <v>-</v>
      </c>
      <c r="CU524" s="835" t="str">
        <f t="shared" si="474"/>
        <v>-</v>
      </c>
      <c r="CV524" s="839"/>
      <c r="CW524" s="832"/>
      <c r="CX524" s="833" t="str">
        <f t="shared" si="475"/>
        <v>-</v>
      </c>
      <c r="CY524" s="840" t="str">
        <f t="shared" si="476"/>
        <v>-</v>
      </c>
      <c r="CZ524" s="833" t="str">
        <f t="shared" si="477"/>
        <v>-</v>
      </c>
      <c r="DA524" s="838" t="str">
        <f t="shared" ca="1" si="478"/>
        <v>-</v>
      </c>
      <c r="DB524" s="841"/>
      <c r="DC524" s="832"/>
    </row>
    <row r="525" spans="1:107" s="842" customFormat="1" ht="15.95" customHeight="1" x14ac:dyDescent="0.25">
      <c r="A525" s="790">
        <v>527</v>
      </c>
      <c r="B525" s="791">
        <f t="shared" ca="1" si="427"/>
        <v>43134</v>
      </c>
      <c r="C525" s="792" t="s">
        <v>2553</v>
      </c>
      <c r="D525" s="793" t="s">
        <v>2586</v>
      </c>
      <c r="E525" s="794" t="s">
        <v>1563</v>
      </c>
      <c r="F525" s="853" t="s">
        <v>1778</v>
      </c>
      <c r="G525" s="796">
        <f>SUMIFS(МОЛОКО!L8:L6958,МОЛОКО!F8:F6958,"2882",МОЛОКО!L8:L6958,"&gt;0")</f>
        <v>0</v>
      </c>
      <c r="H525" s="797" t="s">
        <v>603</v>
      </c>
      <c r="I525" s="798">
        <v>42457</v>
      </c>
      <c r="J525" s="799">
        <f t="shared" ca="1" si="428"/>
        <v>1.8547945205479452</v>
      </c>
      <c r="K525" s="799">
        <f t="shared" ca="1" si="429"/>
        <v>22.566666666666666</v>
      </c>
      <c r="L525" s="800">
        <f t="shared" ca="1" si="430"/>
        <v>677</v>
      </c>
      <c r="M525" s="801"/>
      <c r="N525" s="802"/>
      <c r="O525" s="803" t="str">
        <f t="shared" ca="1" si="431"/>
        <v>-</v>
      </c>
      <c r="P525" s="804"/>
      <c r="Q525" s="805" t="s">
        <v>1451</v>
      </c>
      <c r="R525" s="806" t="s">
        <v>2967</v>
      </c>
      <c r="S525" s="807">
        <v>42971</v>
      </c>
      <c r="T525" s="798">
        <v>42971</v>
      </c>
      <c r="U525" s="798" t="str">
        <f t="shared" si="432"/>
        <v>-</v>
      </c>
      <c r="V525" s="804" t="str">
        <f t="shared" ca="1" si="433"/>
        <v>-</v>
      </c>
      <c r="W525" s="808">
        <v>1</v>
      </c>
      <c r="X525" s="794" t="str">
        <f t="shared" si="426"/>
        <v>-</v>
      </c>
      <c r="Y525" s="794">
        <v>1</v>
      </c>
      <c r="Z525" s="809" t="str">
        <f t="shared" ca="1" si="434"/>
        <v>ПОДЛЕЖИТ ПЕРЕПРОВЕРКЕ</v>
      </c>
      <c r="AA525" s="810">
        <f t="shared" ca="1" si="435"/>
        <v>163</v>
      </c>
      <c r="AB525" s="804"/>
      <c r="AC525" s="811">
        <f t="shared" ca="1" si="436"/>
        <v>43043</v>
      </c>
      <c r="AD525" s="798"/>
      <c r="AE525" s="794" t="str">
        <f t="shared" ca="1" si="437"/>
        <v>-</v>
      </c>
      <c r="AF525" s="798" t="str">
        <f t="shared" si="438"/>
        <v>-</v>
      </c>
      <c r="AG525" s="812" t="str">
        <f t="shared" si="439"/>
        <v>---------</v>
      </c>
      <c r="AH525" s="807">
        <v>43032</v>
      </c>
      <c r="AI525" s="807" t="str">
        <f t="shared" si="440"/>
        <v>-</v>
      </c>
      <c r="AJ525" s="807" t="str">
        <f t="shared" si="441"/>
        <v>-</v>
      </c>
      <c r="AK525" s="813"/>
      <c r="AL525" s="807">
        <f t="shared" si="442"/>
        <v>43230</v>
      </c>
      <c r="AM525" s="807">
        <f t="shared" si="443"/>
        <v>43251</v>
      </c>
      <c r="AN525" s="814">
        <f t="shared" ca="1" si="444"/>
        <v>-117</v>
      </c>
      <c r="AO525" s="815">
        <v>1</v>
      </c>
      <c r="AP525" s="816" t="str">
        <f t="shared" ca="1" si="445"/>
        <v>-</v>
      </c>
      <c r="AQ525" s="817"/>
      <c r="AR525" s="794" t="str">
        <f t="shared" si="446"/>
        <v>НЕТЕЛЬ</v>
      </c>
      <c r="AS525" s="818"/>
      <c r="AT525" s="794" t="str">
        <f t="shared" si="447"/>
        <v>-</v>
      </c>
      <c r="AU525" s="819">
        <v>1</v>
      </c>
      <c r="AV525" s="820"/>
      <c r="AW525" s="821"/>
      <c r="AX525" s="821"/>
      <c r="AY525" s="969" t="str">
        <f t="shared" si="448"/>
        <v>-</v>
      </c>
      <c r="AZ525" s="966" t="str">
        <f t="shared" si="449"/>
        <v>-</v>
      </c>
      <c r="BA525" s="971" t="str">
        <f t="shared" si="450"/>
        <v>-</v>
      </c>
      <c r="BB525" s="975"/>
      <c r="BC525" s="821"/>
      <c r="BD525" s="821"/>
      <c r="BE525" s="963" t="str">
        <f t="shared" si="451"/>
        <v>-</v>
      </c>
      <c r="BF525" s="984"/>
      <c r="BG525" s="988"/>
      <c r="BH525" s="982"/>
      <c r="BI525" s="991"/>
      <c r="BJ525" s="991"/>
      <c r="BK525" s="993" t="str">
        <f t="shared" si="452"/>
        <v>-</v>
      </c>
      <c r="BL525" s="820">
        <v>42978</v>
      </c>
      <c r="BM525" s="821">
        <v>5</v>
      </c>
      <c r="BN525" s="822">
        <f t="shared" ca="1" si="453"/>
        <v>156</v>
      </c>
      <c r="BO525" s="823">
        <f t="shared" si="454"/>
        <v>17.366666666666667</v>
      </c>
      <c r="BP525" s="824"/>
      <c r="BQ525" s="821"/>
      <c r="BR525" s="822" t="str">
        <f t="shared" si="455"/>
        <v>-</v>
      </c>
      <c r="BS525" s="823" t="str">
        <f t="shared" si="456"/>
        <v>-</v>
      </c>
      <c r="BT525" s="825" t="str">
        <f t="shared" ca="1" si="457"/>
        <v>-</v>
      </c>
      <c r="BU525" s="826"/>
      <c r="BV525" s="827"/>
      <c r="BW525" s="828" t="str">
        <f t="shared" si="458"/>
        <v>Ж-Е НЕ ВАКЦ.</v>
      </c>
      <c r="BX525" s="829" t="str">
        <f t="shared" si="459"/>
        <v>-</v>
      </c>
      <c r="BY525" s="830" t="str">
        <f t="shared" ca="1" si="460"/>
        <v>-</v>
      </c>
      <c r="BZ525" s="831">
        <v>42894</v>
      </c>
      <c r="CA525" s="832">
        <v>5</v>
      </c>
      <c r="CB525" s="833">
        <f t="shared" ca="1" si="461"/>
        <v>240</v>
      </c>
      <c r="CC525" s="834" t="str">
        <f t="shared" ca="1" si="462"/>
        <v>-</v>
      </c>
      <c r="CD525" s="835">
        <f t="shared" si="463"/>
        <v>42915</v>
      </c>
      <c r="CE525" s="831">
        <v>42915</v>
      </c>
      <c r="CF525" s="832">
        <v>5</v>
      </c>
      <c r="CG525" s="833">
        <f t="shared" ca="1" si="464"/>
        <v>219</v>
      </c>
      <c r="CH525" s="836">
        <f t="shared" si="465"/>
        <v>0</v>
      </c>
      <c r="CI525" s="837" t="str">
        <f t="shared" si="466"/>
        <v>УСПЕШНО</v>
      </c>
      <c r="CJ525" s="838" t="str">
        <f t="shared" ca="1" si="467"/>
        <v>-</v>
      </c>
      <c r="CK525" s="831"/>
      <c r="CL525" s="832"/>
      <c r="CM525" s="833" t="str">
        <f t="shared" si="468"/>
        <v>-</v>
      </c>
      <c r="CN525" s="834" t="str">
        <f t="shared" si="469"/>
        <v>-</v>
      </c>
      <c r="CO525" s="830" t="str">
        <f t="shared" ca="1" si="470"/>
        <v>-</v>
      </c>
      <c r="CP525" s="839"/>
      <c r="CQ525" s="832"/>
      <c r="CR525" s="833" t="str">
        <f t="shared" si="471"/>
        <v>-</v>
      </c>
      <c r="CS525" s="833" t="str">
        <f t="shared" si="472"/>
        <v>-</v>
      </c>
      <c r="CT525" s="834" t="str">
        <f t="shared" si="473"/>
        <v>-</v>
      </c>
      <c r="CU525" s="835" t="str">
        <f t="shared" si="474"/>
        <v>-</v>
      </c>
      <c r="CV525" s="839"/>
      <c r="CW525" s="832"/>
      <c r="CX525" s="833" t="str">
        <f t="shared" si="475"/>
        <v>-</v>
      </c>
      <c r="CY525" s="840" t="str">
        <f t="shared" si="476"/>
        <v>-</v>
      </c>
      <c r="CZ525" s="833" t="str">
        <f t="shared" si="477"/>
        <v>-</v>
      </c>
      <c r="DA525" s="838" t="str">
        <f t="shared" ca="1" si="478"/>
        <v>-</v>
      </c>
      <c r="DB525" s="841"/>
      <c r="DC525" s="832"/>
    </row>
    <row r="526" spans="1:107" s="842" customFormat="1" ht="15.95" customHeight="1" x14ac:dyDescent="0.25">
      <c r="A526" s="790">
        <v>528</v>
      </c>
      <c r="B526" s="791">
        <f t="shared" ca="1" si="427"/>
        <v>43134</v>
      </c>
      <c r="C526" s="792" t="s">
        <v>2553</v>
      </c>
      <c r="D526" s="793" t="s">
        <v>2586</v>
      </c>
      <c r="E526" s="794" t="s">
        <v>1563</v>
      </c>
      <c r="F526" s="853" t="s">
        <v>1752</v>
      </c>
      <c r="G526" s="796">
        <f>SUMIFS(МОЛОКО!L8:L6958,МОЛОКО!F8:F6958,"2885",МОЛОКО!L8:L6958,"&gt;0")</f>
        <v>0</v>
      </c>
      <c r="H526" s="797" t="s">
        <v>603</v>
      </c>
      <c r="I526" s="798">
        <v>42460</v>
      </c>
      <c r="J526" s="799">
        <f t="shared" ca="1" si="428"/>
        <v>1.8465753424657534</v>
      </c>
      <c r="K526" s="799">
        <f t="shared" ca="1" si="429"/>
        <v>22.466666666666665</v>
      </c>
      <c r="L526" s="800">
        <f t="shared" ca="1" si="430"/>
        <v>674</v>
      </c>
      <c r="M526" s="801"/>
      <c r="N526" s="802"/>
      <c r="O526" s="803" t="str">
        <f t="shared" ca="1" si="431"/>
        <v>-</v>
      </c>
      <c r="P526" s="804"/>
      <c r="Q526" s="805" t="s">
        <v>2366</v>
      </c>
      <c r="R526" s="806" t="s">
        <v>2967</v>
      </c>
      <c r="S526" s="807">
        <v>43003</v>
      </c>
      <c r="T526" s="798">
        <v>43003</v>
      </c>
      <c r="U526" s="798">
        <f t="shared" si="432"/>
        <v>43021</v>
      </c>
      <c r="V526" s="804">
        <f t="shared" ca="1" si="433"/>
        <v>113</v>
      </c>
      <c r="W526" s="808">
        <v>1</v>
      </c>
      <c r="X526" s="794" t="str">
        <f t="shared" si="426"/>
        <v>-</v>
      </c>
      <c r="Y526" s="794">
        <v>3</v>
      </c>
      <c r="Z526" s="809" t="str">
        <f t="shared" ca="1" si="434"/>
        <v>-----</v>
      </c>
      <c r="AA526" s="810">
        <f t="shared" ca="1" si="435"/>
        <v>131</v>
      </c>
      <c r="AB526" s="804"/>
      <c r="AC526" s="811" t="str">
        <f t="shared" ca="1" si="436"/>
        <v>-----</v>
      </c>
      <c r="AD526" s="798"/>
      <c r="AE526" s="794" t="str">
        <f t="shared" ca="1" si="437"/>
        <v>-</v>
      </c>
      <c r="AF526" s="798">
        <f t="shared" si="438"/>
        <v>43038</v>
      </c>
      <c r="AG526" s="812">
        <f t="shared" ca="1" si="439"/>
        <v>96</v>
      </c>
      <c r="AH526" s="807"/>
      <c r="AI526" s="807" t="str">
        <f t="shared" si="440"/>
        <v>-</v>
      </c>
      <c r="AJ526" s="807" t="str">
        <f t="shared" si="441"/>
        <v>-</v>
      </c>
      <c r="AK526" s="813"/>
      <c r="AL526" s="807" t="str">
        <f t="shared" si="442"/>
        <v>-</v>
      </c>
      <c r="AM526" s="807" t="str">
        <f t="shared" si="443"/>
        <v>-</v>
      </c>
      <c r="AN526" s="814" t="str">
        <f t="shared" ca="1" si="444"/>
        <v>-</v>
      </c>
      <c r="AO526" s="815">
        <v>1</v>
      </c>
      <c r="AP526" s="816" t="str">
        <f t="shared" ca="1" si="445"/>
        <v>-</v>
      </c>
      <c r="AQ526" s="817"/>
      <c r="AR526" s="794" t="str">
        <f t="shared" si="446"/>
        <v>-</v>
      </c>
      <c r="AS526" s="818"/>
      <c r="AT526" s="794" t="str">
        <f t="shared" si="447"/>
        <v>-</v>
      </c>
      <c r="AU526" s="819">
        <v>1</v>
      </c>
      <c r="AV526" s="820"/>
      <c r="AW526" s="821"/>
      <c r="AX526" s="821"/>
      <c r="AY526" s="969" t="str">
        <f t="shared" si="448"/>
        <v>-</v>
      </c>
      <c r="AZ526" s="966" t="str">
        <f t="shared" si="449"/>
        <v>-</v>
      </c>
      <c r="BA526" s="971" t="str">
        <f t="shared" si="450"/>
        <v>-</v>
      </c>
      <c r="BB526" s="975"/>
      <c r="BC526" s="821"/>
      <c r="BD526" s="821"/>
      <c r="BE526" s="963" t="str">
        <f t="shared" si="451"/>
        <v>-</v>
      </c>
      <c r="BF526" s="984"/>
      <c r="BG526" s="988"/>
      <c r="BH526" s="982"/>
      <c r="BI526" s="991"/>
      <c r="BJ526" s="991"/>
      <c r="BK526" s="993" t="str">
        <f t="shared" si="452"/>
        <v>-</v>
      </c>
      <c r="BL526" s="820">
        <v>42978</v>
      </c>
      <c r="BM526" s="821">
        <v>5</v>
      </c>
      <c r="BN526" s="822">
        <f t="shared" ca="1" si="453"/>
        <v>156</v>
      </c>
      <c r="BO526" s="823">
        <f t="shared" si="454"/>
        <v>17.266666666666666</v>
      </c>
      <c r="BP526" s="824"/>
      <c r="BQ526" s="821"/>
      <c r="BR526" s="822" t="str">
        <f t="shared" si="455"/>
        <v>-</v>
      </c>
      <c r="BS526" s="823" t="str">
        <f t="shared" si="456"/>
        <v>-</v>
      </c>
      <c r="BT526" s="825" t="str">
        <f t="shared" ca="1" si="457"/>
        <v>-</v>
      </c>
      <c r="BU526" s="826"/>
      <c r="BV526" s="827"/>
      <c r="BW526" s="828" t="str">
        <f t="shared" si="458"/>
        <v>Ж-Е НЕ ВАКЦ.</v>
      </c>
      <c r="BX526" s="829" t="str">
        <f t="shared" si="459"/>
        <v>-</v>
      </c>
      <c r="BY526" s="830" t="str">
        <f t="shared" ca="1" si="460"/>
        <v>-</v>
      </c>
      <c r="BZ526" s="831">
        <v>42894</v>
      </c>
      <c r="CA526" s="832">
        <v>5</v>
      </c>
      <c r="CB526" s="833">
        <f t="shared" ca="1" si="461"/>
        <v>240</v>
      </c>
      <c r="CC526" s="834" t="str">
        <f t="shared" ca="1" si="462"/>
        <v>-</v>
      </c>
      <c r="CD526" s="835">
        <f t="shared" si="463"/>
        <v>42915</v>
      </c>
      <c r="CE526" s="831">
        <v>42915</v>
      </c>
      <c r="CF526" s="832">
        <v>5</v>
      </c>
      <c r="CG526" s="833">
        <f t="shared" ca="1" si="464"/>
        <v>219</v>
      </c>
      <c r="CH526" s="836">
        <f t="shared" si="465"/>
        <v>0</v>
      </c>
      <c r="CI526" s="837" t="str">
        <f t="shared" si="466"/>
        <v>УСПЕШНО</v>
      </c>
      <c r="CJ526" s="838" t="str">
        <f t="shared" ca="1" si="467"/>
        <v>-</v>
      </c>
      <c r="CK526" s="831"/>
      <c r="CL526" s="832"/>
      <c r="CM526" s="833" t="str">
        <f t="shared" si="468"/>
        <v>-</v>
      </c>
      <c r="CN526" s="834" t="str">
        <f t="shared" si="469"/>
        <v>-</v>
      </c>
      <c r="CO526" s="830" t="str">
        <f t="shared" ca="1" si="470"/>
        <v>-</v>
      </c>
      <c r="CP526" s="839"/>
      <c r="CQ526" s="832"/>
      <c r="CR526" s="833" t="str">
        <f t="shared" si="471"/>
        <v>-</v>
      </c>
      <c r="CS526" s="833" t="str">
        <f t="shared" si="472"/>
        <v>-</v>
      </c>
      <c r="CT526" s="834" t="str">
        <f t="shared" si="473"/>
        <v>-</v>
      </c>
      <c r="CU526" s="835" t="str">
        <f t="shared" si="474"/>
        <v>-</v>
      </c>
      <c r="CV526" s="839"/>
      <c r="CW526" s="832"/>
      <c r="CX526" s="833" t="str">
        <f t="shared" si="475"/>
        <v>-</v>
      </c>
      <c r="CY526" s="840" t="str">
        <f t="shared" si="476"/>
        <v>-</v>
      </c>
      <c r="CZ526" s="833" t="str">
        <f t="shared" si="477"/>
        <v>-</v>
      </c>
      <c r="DA526" s="838" t="str">
        <f t="shared" ca="1" si="478"/>
        <v>-</v>
      </c>
      <c r="DB526" s="841"/>
      <c r="DC526" s="832"/>
    </row>
    <row r="527" spans="1:107" s="842" customFormat="1" ht="15.95" customHeight="1" x14ac:dyDescent="0.25">
      <c r="A527" s="790">
        <v>529</v>
      </c>
      <c r="B527" s="791">
        <f t="shared" ca="1" si="427"/>
        <v>43134</v>
      </c>
      <c r="C527" s="792" t="s">
        <v>2553</v>
      </c>
      <c r="D527" s="793" t="s">
        <v>2586</v>
      </c>
      <c r="E527" s="794" t="s">
        <v>1563</v>
      </c>
      <c r="F527" s="853" t="s">
        <v>1726</v>
      </c>
      <c r="G527" s="796">
        <f>SUMIFS(МОЛОКО!L8:L6958,МОЛОКО!F8:F6958,"2889",МОЛОКО!L8:L6958,"&gt;0")</f>
        <v>0</v>
      </c>
      <c r="H527" s="797" t="s">
        <v>603</v>
      </c>
      <c r="I527" s="798">
        <v>42462</v>
      </c>
      <c r="J527" s="799">
        <f t="shared" ca="1" si="428"/>
        <v>1.8410958904109589</v>
      </c>
      <c r="K527" s="799">
        <f t="shared" ca="1" si="429"/>
        <v>22.4</v>
      </c>
      <c r="L527" s="800">
        <f t="shared" ca="1" si="430"/>
        <v>672</v>
      </c>
      <c r="M527" s="801"/>
      <c r="N527" s="802"/>
      <c r="O527" s="803" t="str">
        <f t="shared" ca="1" si="431"/>
        <v>-</v>
      </c>
      <c r="P527" s="804"/>
      <c r="Q527" s="805" t="s">
        <v>1451</v>
      </c>
      <c r="R527" s="806" t="s">
        <v>2967</v>
      </c>
      <c r="S527" s="807">
        <v>42962</v>
      </c>
      <c r="T527" s="798">
        <v>43002</v>
      </c>
      <c r="U527" s="798">
        <f t="shared" si="432"/>
        <v>43020</v>
      </c>
      <c r="V527" s="804">
        <f t="shared" ca="1" si="433"/>
        <v>114</v>
      </c>
      <c r="W527" s="808">
        <v>2</v>
      </c>
      <c r="X527" s="794" t="str">
        <f t="shared" si="426"/>
        <v>-</v>
      </c>
      <c r="Y527" s="794">
        <v>3</v>
      </c>
      <c r="Z527" s="809" t="str">
        <f t="shared" ca="1" si="434"/>
        <v>-----</v>
      </c>
      <c r="AA527" s="810">
        <f t="shared" ca="1" si="435"/>
        <v>132</v>
      </c>
      <c r="AB527" s="804"/>
      <c r="AC527" s="811" t="str">
        <f t="shared" ca="1" si="436"/>
        <v>-----</v>
      </c>
      <c r="AD527" s="798"/>
      <c r="AE527" s="794" t="str">
        <f t="shared" ca="1" si="437"/>
        <v>-</v>
      </c>
      <c r="AF527" s="798">
        <f t="shared" si="438"/>
        <v>43037</v>
      </c>
      <c r="AG527" s="812">
        <f t="shared" ca="1" si="439"/>
        <v>97</v>
      </c>
      <c r="AH527" s="807"/>
      <c r="AI527" s="807" t="str">
        <f t="shared" si="440"/>
        <v>-</v>
      </c>
      <c r="AJ527" s="807" t="str">
        <f t="shared" si="441"/>
        <v>-</v>
      </c>
      <c r="AK527" s="813"/>
      <c r="AL527" s="807" t="str">
        <f t="shared" si="442"/>
        <v>-</v>
      </c>
      <c r="AM527" s="807" t="str">
        <f t="shared" si="443"/>
        <v>-</v>
      </c>
      <c r="AN527" s="814" t="str">
        <f t="shared" ca="1" si="444"/>
        <v>-</v>
      </c>
      <c r="AO527" s="815">
        <v>1</v>
      </c>
      <c r="AP527" s="816" t="str">
        <f t="shared" ca="1" si="445"/>
        <v>-</v>
      </c>
      <c r="AQ527" s="817"/>
      <c r="AR527" s="794" t="str">
        <f t="shared" si="446"/>
        <v>-</v>
      </c>
      <c r="AS527" s="818"/>
      <c r="AT527" s="794" t="str">
        <f t="shared" si="447"/>
        <v>-</v>
      </c>
      <c r="AU527" s="819">
        <v>1</v>
      </c>
      <c r="AV527" s="820"/>
      <c r="AW527" s="821"/>
      <c r="AX527" s="821"/>
      <c r="AY527" s="969" t="str">
        <f t="shared" si="448"/>
        <v>-</v>
      </c>
      <c r="AZ527" s="966" t="str">
        <f t="shared" si="449"/>
        <v>-</v>
      </c>
      <c r="BA527" s="971" t="str">
        <f t="shared" si="450"/>
        <v>-</v>
      </c>
      <c r="BB527" s="975"/>
      <c r="BC527" s="821"/>
      <c r="BD527" s="821"/>
      <c r="BE527" s="963" t="str">
        <f t="shared" si="451"/>
        <v>-</v>
      </c>
      <c r="BF527" s="984"/>
      <c r="BG527" s="988"/>
      <c r="BH527" s="982"/>
      <c r="BI527" s="991"/>
      <c r="BJ527" s="991"/>
      <c r="BK527" s="993" t="str">
        <f t="shared" si="452"/>
        <v>-</v>
      </c>
      <c r="BL527" s="820">
        <v>42978</v>
      </c>
      <c r="BM527" s="821">
        <v>5</v>
      </c>
      <c r="BN527" s="822">
        <f t="shared" ca="1" si="453"/>
        <v>156</v>
      </c>
      <c r="BO527" s="823">
        <f t="shared" si="454"/>
        <v>17.2</v>
      </c>
      <c r="BP527" s="824"/>
      <c r="BQ527" s="821"/>
      <c r="BR527" s="822" t="str">
        <f t="shared" si="455"/>
        <v>-</v>
      </c>
      <c r="BS527" s="823" t="str">
        <f t="shared" si="456"/>
        <v>-</v>
      </c>
      <c r="BT527" s="825" t="str">
        <f t="shared" ca="1" si="457"/>
        <v>-</v>
      </c>
      <c r="BU527" s="826"/>
      <c r="BV527" s="827"/>
      <c r="BW527" s="828" t="str">
        <f t="shared" si="458"/>
        <v>Ж-Е НЕ ВАКЦ.</v>
      </c>
      <c r="BX527" s="829" t="str">
        <f t="shared" si="459"/>
        <v>-</v>
      </c>
      <c r="BY527" s="830" t="str">
        <f t="shared" ca="1" si="460"/>
        <v>-</v>
      </c>
      <c r="BZ527" s="831">
        <v>42894</v>
      </c>
      <c r="CA527" s="832">
        <v>5</v>
      </c>
      <c r="CB527" s="833">
        <f t="shared" ca="1" si="461"/>
        <v>240</v>
      </c>
      <c r="CC527" s="834" t="str">
        <f t="shared" ca="1" si="462"/>
        <v>-</v>
      </c>
      <c r="CD527" s="835">
        <f t="shared" si="463"/>
        <v>42915</v>
      </c>
      <c r="CE527" s="831">
        <v>42915</v>
      </c>
      <c r="CF527" s="832">
        <v>5</v>
      </c>
      <c r="CG527" s="833">
        <f t="shared" ca="1" si="464"/>
        <v>219</v>
      </c>
      <c r="CH527" s="836">
        <f t="shared" si="465"/>
        <v>0</v>
      </c>
      <c r="CI527" s="837" t="str">
        <f t="shared" si="466"/>
        <v>УСПЕШНО</v>
      </c>
      <c r="CJ527" s="838" t="str">
        <f t="shared" ca="1" si="467"/>
        <v>-</v>
      </c>
      <c r="CK527" s="831"/>
      <c r="CL527" s="832"/>
      <c r="CM527" s="833" t="str">
        <f t="shared" si="468"/>
        <v>-</v>
      </c>
      <c r="CN527" s="834" t="str">
        <f t="shared" si="469"/>
        <v>-</v>
      </c>
      <c r="CO527" s="830" t="str">
        <f t="shared" ca="1" si="470"/>
        <v>-</v>
      </c>
      <c r="CP527" s="839"/>
      <c r="CQ527" s="832"/>
      <c r="CR527" s="833" t="str">
        <f t="shared" si="471"/>
        <v>-</v>
      </c>
      <c r="CS527" s="833" t="str">
        <f t="shared" si="472"/>
        <v>-</v>
      </c>
      <c r="CT527" s="834" t="str">
        <f t="shared" si="473"/>
        <v>-</v>
      </c>
      <c r="CU527" s="835" t="str">
        <f t="shared" si="474"/>
        <v>-</v>
      </c>
      <c r="CV527" s="839"/>
      <c r="CW527" s="832"/>
      <c r="CX527" s="833" t="str">
        <f t="shared" si="475"/>
        <v>-</v>
      </c>
      <c r="CY527" s="840" t="str">
        <f t="shared" si="476"/>
        <v>-</v>
      </c>
      <c r="CZ527" s="833" t="str">
        <f t="shared" si="477"/>
        <v>-</v>
      </c>
      <c r="DA527" s="838" t="str">
        <f t="shared" ca="1" si="478"/>
        <v>-</v>
      </c>
      <c r="DB527" s="841"/>
      <c r="DC527" s="832"/>
    </row>
    <row r="528" spans="1:107" s="842" customFormat="1" ht="15.95" customHeight="1" x14ac:dyDescent="0.25">
      <c r="A528" s="790">
        <v>530</v>
      </c>
      <c r="B528" s="791">
        <f t="shared" ca="1" si="427"/>
        <v>43134</v>
      </c>
      <c r="C528" s="792" t="s">
        <v>2553</v>
      </c>
      <c r="D528" s="793" t="s">
        <v>2586</v>
      </c>
      <c r="E528" s="794" t="s">
        <v>1563</v>
      </c>
      <c r="F528" s="853" t="s">
        <v>1759</v>
      </c>
      <c r="G528" s="796">
        <f>SUMIFS(МОЛОКО!L8:L6958,МОЛОКО!F8:F6958,"2904",МОЛОКО!L8:L6958,"&gt;0")</f>
        <v>0</v>
      </c>
      <c r="H528" s="797" t="s">
        <v>603</v>
      </c>
      <c r="I528" s="798">
        <v>42472</v>
      </c>
      <c r="J528" s="799">
        <f t="shared" ca="1" si="428"/>
        <v>1.8136986301369864</v>
      </c>
      <c r="K528" s="799">
        <f t="shared" ca="1" si="429"/>
        <v>22.066666666666666</v>
      </c>
      <c r="L528" s="800">
        <f t="shared" ca="1" si="430"/>
        <v>662</v>
      </c>
      <c r="M528" s="801"/>
      <c r="N528" s="802"/>
      <c r="O528" s="803" t="str">
        <f t="shared" ca="1" si="431"/>
        <v>-</v>
      </c>
      <c r="P528" s="804"/>
      <c r="Q528" s="805" t="s">
        <v>1451</v>
      </c>
      <c r="R528" s="806" t="s">
        <v>2435</v>
      </c>
      <c r="S528" s="807">
        <v>42955</v>
      </c>
      <c r="T528" s="798">
        <v>42955</v>
      </c>
      <c r="U528" s="798" t="str">
        <f t="shared" si="432"/>
        <v>-</v>
      </c>
      <c r="V528" s="804" t="str">
        <f t="shared" ca="1" si="433"/>
        <v>-</v>
      </c>
      <c r="W528" s="808">
        <v>1</v>
      </c>
      <c r="X528" s="794" t="str">
        <f t="shared" si="426"/>
        <v>-</v>
      </c>
      <c r="Y528" s="794">
        <v>1</v>
      </c>
      <c r="Z528" s="809" t="str">
        <f t="shared" ca="1" si="434"/>
        <v>ПОДЛЕЖИТ ПЕРЕПРОВЕРКЕ</v>
      </c>
      <c r="AA528" s="810">
        <f t="shared" ca="1" si="435"/>
        <v>179</v>
      </c>
      <c r="AB528" s="804"/>
      <c r="AC528" s="811">
        <f t="shared" ca="1" si="436"/>
        <v>43027</v>
      </c>
      <c r="AD528" s="798"/>
      <c r="AE528" s="794" t="str">
        <f t="shared" ca="1" si="437"/>
        <v>-</v>
      </c>
      <c r="AF528" s="798" t="str">
        <f t="shared" si="438"/>
        <v>-</v>
      </c>
      <c r="AG528" s="812" t="str">
        <f t="shared" si="439"/>
        <v>---------</v>
      </c>
      <c r="AH528" s="807">
        <v>43032</v>
      </c>
      <c r="AI528" s="807" t="str">
        <f t="shared" si="440"/>
        <v>-</v>
      </c>
      <c r="AJ528" s="807" t="str">
        <f t="shared" si="441"/>
        <v>-</v>
      </c>
      <c r="AK528" s="813"/>
      <c r="AL528" s="807">
        <f t="shared" si="442"/>
        <v>43214</v>
      </c>
      <c r="AM528" s="807">
        <f t="shared" si="443"/>
        <v>43235</v>
      </c>
      <c r="AN528" s="814">
        <f t="shared" ca="1" si="444"/>
        <v>-101</v>
      </c>
      <c r="AO528" s="815">
        <v>1</v>
      </c>
      <c r="AP528" s="816" t="str">
        <f t="shared" ca="1" si="445"/>
        <v>-</v>
      </c>
      <c r="AQ528" s="817"/>
      <c r="AR528" s="794" t="str">
        <f t="shared" si="446"/>
        <v>НЕТЕЛЬ</v>
      </c>
      <c r="AS528" s="818"/>
      <c r="AT528" s="794" t="str">
        <f t="shared" si="447"/>
        <v>-</v>
      </c>
      <c r="AU528" s="819">
        <v>1</v>
      </c>
      <c r="AV528" s="820"/>
      <c r="AW528" s="821"/>
      <c r="AX528" s="821"/>
      <c r="AY528" s="969" t="str">
        <f t="shared" si="448"/>
        <v>-</v>
      </c>
      <c r="AZ528" s="966" t="str">
        <f t="shared" si="449"/>
        <v>-</v>
      </c>
      <c r="BA528" s="971" t="str">
        <f t="shared" si="450"/>
        <v>-</v>
      </c>
      <c r="BB528" s="975"/>
      <c r="BC528" s="821"/>
      <c r="BD528" s="821"/>
      <c r="BE528" s="963" t="str">
        <f t="shared" si="451"/>
        <v>-</v>
      </c>
      <c r="BF528" s="984"/>
      <c r="BG528" s="988"/>
      <c r="BH528" s="982"/>
      <c r="BI528" s="991"/>
      <c r="BJ528" s="991"/>
      <c r="BK528" s="993" t="str">
        <f t="shared" si="452"/>
        <v>-</v>
      </c>
      <c r="BL528" s="820">
        <v>42978</v>
      </c>
      <c r="BM528" s="821">
        <v>5</v>
      </c>
      <c r="BN528" s="822">
        <f t="shared" ca="1" si="453"/>
        <v>156</v>
      </c>
      <c r="BO528" s="823">
        <f t="shared" si="454"/>
        <v>16.866666666666667</v>
      </c>
      <c r="BP528" s="824"/>
      <c r="BQ528" s="821"/>
      <c r="BR528" s="822" t="str">
        <f t="shared" si="455"/>
        <v>-</v>
      </c>
      <c r="BS528" s="823" t="str">
        <f t="shared" si="456"/>
        <v>-</v>
      </c>
      <c r="BT528" s="825" t="str">
        <f t="shared" ca="1" si="457"/>
        <v>-</v>
      </c>
      <c r="BU528" s="826"/>
      <c r="BV528" s="827"/>
      <c r="BW528" s="828" t="str">
        <f t="shared" si="458"/>
        <v>Ж-Е НЕ ВАКЦ.</v>
      </c>
      <c r="BX528" s="829" t="str">
        <f t="shared" si="459"/>
        <v>-</v>
      </c>
      <c r="BY528" s="830" t="str">
        <f t="shared" ca="1" si="460"/>
        <v>-</v>
      </c>
      <c r="BZ528" s="831">
        <v>42894</v>
      </c>
      <c r="CA528" s="832">
        <v>5</v>
      </c>
      <c r="CB528" s="833">
        <f t="shared" ca="1" si="461"/>
        <v>240</v>
      </c>
      <c r="CC528" s="834" t="str">
        <f t="shared" ca="1" si="462"/>
        <v>-</v>
      </c>
      <c r="CD528" s="835">
        <f t="shared" si="463"/>
        <v>42915</v>
      </c>
      <c r="CE528" s="831">
        <v>42915</v>
      </c>
      <c r="CF528" s="832">
        <v>5</v>
      </c>
      <c r="CG528" s="833">
        <f t="shared" ca="1" si="464"/>
        <v>219</v>
      </c>
      <c r="CH528" s="836">
        <f t="shared" si="465"/>
        <v>0</v>
      </c>
      <c r="CI528" s="837" t="str">
        <f t="shared" si="466"/>
        <v>УСПЕШНО</v>
      </c>
      <c r="CJ528" s="838" t="str">
        <f t="shared" ca="1" si="467"/>
        <v>-</v>
      </c>
      <c r="CK528" s="831"/>
      <c r="CL528" s="832"/>
      <c r="CM528" s="833" t="str">
        <f t="shared" si="468"/>
        <v>-</v>
      </c>
      <c r="CN528" s="834" t="str">
        <f t="shared" si="469"/>
        <v>-</v>
      </c>
      <c r="CO528" s="830" t="str">
        <f t="shared" ca="1" si="470"/>
        <v>-</v>
      </c>
      <c r="CP528" s="839"/>
      <c r="CQ528" s="832"/>
      <c r="CR528" s="833" t="str">
        <f t="shared" si="471"/>
        <v>-</v>
      </c>
      <c r="CS528" s="833" t="str">
        <f t="shared" si="472"/>
        <v>-</v>
      </c>
      <c r="CT528" s="834" t="str">
        <f t="shared" si="473"/>
        <v>-</v>
      </c>
      <c r="CU528" s="835" t="str">
        <f t="shared" si="474"/>
        <v>-</v>
      </c>
      <c r="CV528" s="839"/>
      <c r="CW528" s="832"/>
      <c r="CX528" s="833" t="str">
        <f t="shared" si="475"/>
        <v>-</v>
      </c>
      <c r="CY528" s="840" t="str">
        <f t="shared" si="476"/>
        <v>-</v>
      </c>
      <c r="CZ528" s="833" t="str">
        <f t="shared" si="477"/>
        <v>-</v>
      </c>
      <c r="DA528" s="838" t="str">
        <f t="shared" ca="1" si="478"/>
        <v>-</v>
      </c>
      <c r="DB528" s="841"/>
      <c r="DC528" s="832"/>
    </row>
    <row r="529" spans="1:107" s="842" customFormat="1" ht="15.95" customHeight="1" x14ac:dyDescent="0.25">
      <c r="A529" s="790">
        <v>531</v>
      </c>
      <c r="B529" s="791">
        <f t="shared" ca="1" si="427"/>
        <v>43134</v>
      </c>
      <c r="C529" s="792" t="s">
        <v>2553</v>
      </c>
      <c r="D529" s="793" t="s">
        <v>2586</v>
      </c>
      <c r="E529" s="794" t="s">
        <v>1563</v>
      </c>
      <c r="F529" s="853" t="s">
        <v>1730</v>
      </c>
      <c r="G529" s="796">
        <f>SUMIFS(МОЛОКО!L8:L6958,МОЛОКО!F8:F6958,"2907",МОЛОКО!L8:L6958,"&gt;0")</f>
        <v>0</v>
      </c>
      <c r="H529" s="797" t="s">
        <v>603</v>
      </c>
      <c r="I529" s="798">
        <v>42473</v>
      </c>
      <c r="J529" s="799">
        <f t="shared" ca="1" si="428"/>
        <v>1.810958904109589</v>
      </c>
      <c r="K529" s="799">
        <f t="shared" ca="1" si="429"/>
        <v>22.033333333333335</v>
      </c>
      <c r="L529" s="800">
        <f t="shared" ca="1" si="430"/>
        <v>661</v>
      </c>
      <c r="M529" s="801"/>
      <c r="N529" s="802"/>
      <c r="O529" s="803" t="str">
        <f t="shared" ca="1" si="431"/>
        <v>-</v>
      </c>
      <c r="P529" s="804"/>
      <c r="Q529" s="805" t="s">
        <v>2366</v>
      </c>
      <c r="R529" s="806" t="s">
        <v>2967</v>
      </c>
      <c r="S529" s="807">
        <v>42973</v>
      </c>
      <c r="T529" s="798">
        <v>42973</v>
      </c>
      <c r="U529" s="798" t="str">
        <f t="shared" si="432"/>
        <v>-</v>
      </c>
      <c r="V529" s="804" t="str">
        <f t="shared" ca="1" si="433"/>
        <v>-</v>
      </c>
      <c r="W529" s="808">
        <v>1</v>
      </c>
      <c r="X529" s="794" t="str">
        <f t="shared" si="426"/>
        <v>-</v>
      </c>
      <c r="Y529" s="794">
        <v>1</v>
      </c>
      <c r="Z529" s="809" t="str">
        <f t="shared" ca="1" si="434"/>
        <v>ПОДЛЕЖИТ ПЕРЕПРОВЕРКЕ</v>
      </c>
      <c r="AA529" s="810">
        <f t="shared" ca="1" si="435"/>
        <v>161</v>
      </c>
      <c r="AB529" s="804"/>
      <c r="AC529" s="811">
        <f t="shared" ca="1" si="436"/>
        <v>43045</v>
      </c>
      <c r="AD529" s="798"/>
      <c r="AE529" s="794" t="str">
        <f t="shared" ca="1" si="437"/>
        <v>-</v>
      </c>
      <c r="AF529" s="798" t="str">
        <f t="shared" si="438"/>
        <v>-</v>
      </c>
      <c r="AG529" s="812" t="str">
        <f t="shared" si="439"/>
        <v>---------</v>
      </c>
      <c r="AH529" s="807">
        <v>43032</v>
      </c>
      <c r="AI529" s="807" t="str">
        <f t="shared" si="440"/>
        <v>-</v>
      </c>
      <c r="AJ529" s="807" t="str">
        <f t="shared" si="441"/>
        <v>-</v>
      </c>
      <c r="AK529" s="813"/>
      <c r="AL529" s="807">
        <f t="shared" si="442"/>
        <v>43232</v>
      </c>
      <c r="AM529" s="807">
        <f t="shared" si="443"/>
        <v>43253</v>
      </c>
      <c r="AN529" s="814">
        <f t="shared" ca="1" si="444"/>
        <v>-119</v>
      </c>
      <c r="AO529" s="815">
        <v>1</v>
      </c>
      <c r="AP529" s="816" t="str">
        <f t="shared" ca="1" si="445"/>
        <v>-</v>
      </c>
      <c r="AQ529" s="817"/>
      <c r="AR529" s="794" t="str">
        <f t="shared" si="446"/>
        <v>НЕТЕЛЬ</v>
      </c>
      <c r="AS529" s="818"/>
      <c r="AT529" s="794" t="str">
        <f t="shared" si="447"/>
        <v>-</v>
      </c>
      <c r="AU529" s="819">
        <v>1</v>
      </c>
      <c r="AV529" s="820"/>
      <c r="AW529" s="821"/>
      <c r="AX529" s="821"/>
      <c r="AY529" s="969" t="str">
        <f t="shared" si="448"/>
        <v>-</v>
      </c>
      <c r="AZ529" s="966" t="str">
        <f t="shared" si="449"/>
        <v>-</v>
      </c>
      <c r="BA529" s="971" t="str">
        <f t="shared" si="450"/>
        <v>-</v>
      </c>
      <c r="BB529" s="975"/>
      <c r="BC529" s="821"/>
      <c r="BD529" s="821"/>
      <c r="BE529" s="963" t="str">
        <f t="shared" si="451"/>
        <v>-</v>
      </c>
      <c r="BF529" s="984"/>
      <c r="BG529" s="988"/>
      <c r="BH529" s="982"/>
      <c r="BI529" s="991"/>
      <c r="BJ529" s="991"/>
      <c r="BK529" s="993" t="str">
        <f t="shared" si="452"/>
        <v>-</v>
      </c>
      <c r="BL529" s="820">
        <v>42978</v>
      </c>
      <c r="BM529" s="821">
        <v>5</v>
      </c>
      <c r="BN529" s="822">
        <f t="shared" ca="1" si="453"/>
        <v>156</v>
      </c>
      <c r="BO529" s="823">
        <f t="shared" si="454"/>
        <v>16.833333333333332</v>
      </c>
      <c r="BP529" s="824"/>
      <c r="BQ529" s="821"/>
      <c r="BR529" s="822" t="str">
        <f t="shared" si="455"/>
        <v>-</v>
      </c>
      <c r="BS529" s="823" t="str">
        <f t="shared" si="456"/>
        <v>-</v>
      </c>
      <c r="BT529" s="825" t="str">
        <f t="shared" ca="1" si="457"/>
        <v>-</v>
      </c>
      <c r="BU529" s="826"/>
      <c r="BV529" s="827"/>
      <c r="BW529" s="828" t="str">
        <f t="shared" si="458"/>
        <v>Ж-Е НЕ ВАКЦ.</v>
      </c>
      <c r="BX529" s="829" t="str">
        <f t="shared" si="459"/>
        <v>-</v>
      </c>
      <c r="BY529" s="830" t="str">
        <f t="shared" ca="1" si="460"/>
        <v>-</v>
      </c>
      <c r="BZ529" s="831">
        <v>42894</v>
      </c>
      <c r="CA529" s="832">
        <v>5</v>
      </c>
      <c r="CB529" s="833">
        <f t="shared" ca="1" si="461"/>
        <v>240</v>
      </c>
      <c r="CC529" s="834" t="str">
        <f t="shared" ca="1" si="462"/>
        <v>-</v>
      </c>
      <c r="CD529" s="835">
        <f t="shared" si="463"/>
        <v>42915</v>
      </c>
      <c r="CE529" s="831">
        <v>42915</v>
      </c>
      <c r="CF529" s="832">
        <v>5</v>
      </c>
      <c r="CG529" s="833">
        <f t="shared" ca="1" si="464"/>
        <v>219</v>
      </c>
      <c r="CH529" s="836">
        <f t="shared" si="465"/>
        <v>0</v>
      </c>
      <c r="CI529" s="837" t="str">
        <f t="shared" si="466"/>
        <v>УСПЕШНО</v>
      </c>
      <c r="CJ529" s="838" t="str">
        <f t="shared" ca="1" si="467"/>
        <v>-</v>
      </c>
      <c r="CK529" s="831"/>
      <c r="CL529" s="832"/>
      <c r="CM529" s="833" t="str">
        <f t="shared" si="468"/>
        <v>-</v>
      </c>
      <c r="CN529" s="834" t="str">
        <f t="shared" si="469"/>
        <v>-</v>
      </c>
      <c r="CO529" s="830" t="str">
        <f t="shared" ca="1" si="470"/>
        <v>-</v>
      </c>
      <c r="CP529" s="839"/>
      <c r="CQ529" s="832"/>
      <c r="CR529" s="833" t="str">
        <f t="shared" si="471"/>
        <v>-</v>
      </c>
      <c r="CS529" s="833" t="str">
        <f t="shared" si="472"/>
        <v>-</v>
      </c>
      <c r="CT529" s="834" t="str">
        <f t="shared" si="473"/>
        <v>-</v>
      </c>
      <c r="CU529" s="835" t="str">
        <f t="shared" si="474"/>
        <v>-</v>
      </c>
      <c r="CV529" s="839"/>
      <c r="CW529" s="832"/>
      <c r="CX529" s="833" t="str">
        <f t="shared" si="475"/>
        <v>-</v>
      </c>
      <c r="CY529" s="840" t="str">
        <f t="shared" si="476"/>
        <v>-</v>
      </c>
      <c r="CZ529" s="833" t="str">
        <f t="shared" si="477"/>
        <v>-</v>
      </c>
      <c r="DA529" s="838" t="str">
        <f t="shared" ca="1" si="478"/>
        <v>-</v>
      </c>
      <c r="DB529" s="841"/>
      <c r="DC529" s="832"/>
    </row>
    <row r="530" spans="1:107" s="842" customFormat="1" ht="15.95" customHeight="1" x14ac:dyDescent="0.25">
      <c r="A530" s="790">
        <v>532</v>
      </c>
      <c r="B530" s="791">
        <f t="shared" ca="1" si="427"/>
        <v>43134</v>
      </c>
      <c r="C530" s="792" t="s">
        <v>2553</v>
      </c>
      <c r="D530" s="793" t="s">
        <v>2586</v>
      </c>
      <c r="E530" s="794" t="s">
        <v>1563</v>
      </c>
      <c r="F530" s="853" t="s">
        <v>1738</v>
      </c>
      <c r="G530" s="796">
        <f>SUMIFS(МОЛОКО!L8:L6958,МОЛОКО!F8:F6958,"2911",МОЛОКО!L8:L6958,"&gt;0")</f>
        <v>0</v>
      </c>
      <c r="H530" s="797" t="s">
        <v>603</v>
      </c>
      <c r="I530" s="798">
        <v>42475</v>
      </c>
      <c r="J530" s="799">
        <f t="shared" ca="1" si="428"/>
        <v>1.8054794520547945</v>
      </c>
      <c r="K530" s="799">
        <f t="shared" ca="1" si="429"/>
        <v>21.966666666666665</v>
      </c>
      <c r="L530" s="800">
        <f t="shared" ca="1" si="430"/>
        <v>659</v>
      </c>
      <c r="M530" s="801"/>
      <c r="N530" s="802"/>
      <c r="O530" s="803" t="str">
        <f t="shared" ca="1" si="431"/>
        <v>-</v>
      </c>
      <c r="P530" s="804"/>
      <c r="Q530" s="805"/>
      <c r="R530" s="806"/>
      <c r="S530" s="807"/>
      <c r="T530" s="798"/>
      <c r="U530" s="798" t="str">
        <f t="shared" si="432"/>
        <v>-</v>
      </c>
      <c r="V530" s="804" t="str">
        <f t="shared" ca="1" si="433"/>
        <v>-</v>
      </c>
      <c r="W530" s="808">
        <v>0</v>
      </c>
      <c r="X530" s="794" t="str">
        <f t="shared" si="426"/>
        <v>-</v>
      </c>
      <c r="Y530" s="794">
        <v>0</v>
      </c>
      <c r="Z530" s="809" t="str">
        <f t="shared" ca="1" si="434"/>
        <v>-----</v>
      </c>
      <c r="AA530" s="810">
        <f t="shared" ca="1" si="435"/>
        <v>43134</v>
      </c>
      <c r="AB530" s="804"/>
      <c r="AC530" s="811" t="str">
        <f t="shared" ca="1" si="436"/>
        <v>-----</v>
      </c>
      <c r="AD530" s="798"/>
      <c r="AE530" s="794" t="str">
        <f t="shared" ca="1" si="437"/>
        <v>-</v>
      </c>
      <c r="AF530" s="798" t="str">
        <f t="shared" si="438"/>
        <v>-</v>
      </c>
      <c r="AG530" s="812" t="str">
        <f t="shared" si="439"/>
        <v>---------</v>
      </c>
      <c r="AH530" s="807"/>
      <c r="AI530" s="807" t="str">
        <f t="shared" si="440"/>
        <v>-</v>
      </c>
      <c r="AJ530" s="807" t="str">
        <f t="shared" si="441"/>
        <v>-</v>
      </c>
      <c r="AK530" s="813"/>
      <c r="AL530" s="807" t="str">
        <f t="shared" si="442"/>
        <v>-</v>
      </c>
      <c r="AM530" s="807" t="str">
        <f t="shared" si="443"/>
        <v>-</v>
      </c>
      <c r="AN530" s="814" t="str">
        <f t="shared" ca="1" si="444"/>
        <v>-</v>
      </c>
      <c r="AO530" s="815">
        <v>1</v>
      </c>
      <c r="AP530" s="816" t="str">
        <f t="shared" ca="1" si="445"/>
        <v>-</v>
      </c>
      <c r="AQ530" s="817"/>
      <c r="AR530" s="794" t="str">
        <f t="shared" si="446"/>
        <v>-</v>
      </c>
      <c r="AS530" s="818"/>
      <c r="AT530" s="794" t="str">
        <f t="shared" si="447"/>
        <v>-</v>
      </c>
      <c r="AU530" s="819">
        <v>1</v>
      </c>
      <c r="AV530" s="820"/>
      <c r="AW530" s="821"/>
      <c r="AX530" s="821"/>
      <c r="AY530" s="969" t="str">
        <f t="shared" si="448"/>
        <v>-</v>
      </c>
      <c r="AZ530" s="966" t="str">
        <f t="shared" si="449"/>
        <v>-</v>
      </c>
      <c r="BA530" s="971" t="str">
        <f t="shared" si="450"/>
        <v>-</v>
      </c>
      <c r="BB530" s="975"/>
      <c r="BC530" s="821"/>
      <c r="BD530" s="821"/>
      <c r="BE530" s="963" t="str">
        <f t="shared" si="451"/>
        <v>-</v>
      </c>
      <c r="BF530" s="984"/>
      <c r="BG530" s="988"/>
      <c r="BH530" s="982"/>
      <c r="BI530" s="991"/>
      <c r="BJ530" s="991"/>
      <c r="BK530" s="993" t="str">
        <f t="shared" si="452"/>
        <v>-</v>
      </c>
      <c r="BL530" s="820">
        <v>42978</v>
      </c>
      <c r="BM530" s="821">
        <v>5</v>
      </c>
      <c r="BN530" s="822">
        <f t="shared" ca="1" si="453"/>
        <v>156</v>
      </c>
      <c r="BO530" s="823">
        <f t="shared" si="454"/>
        <v>16.766666666666666</v>
      </c>
      <c r="BP530" s="824"/>
      <c r="BQ530" s="821"/>
      <c r="BR530" s="822" t="str">
        <f t="shared" si="455"/>
        <v>-</v>
      </c>
      <c r="BS530" s="823" t="str">
        <f t="shared" si="456"/>
        <v>-</v>
      </c>
      <c r="BT530" s="825" t="str">
        <f t="shared" ca="1" si="457"/>
        <v>-</v>
      </c>
      <c r="BU530" s="826"/>
      <c r="BV530" s="827"/>
      <c r="BW530" s="828" t="str">
        <f t="shared" si="458"/>
        <v>Ж-Е НЕ ВАКЦ.</v>
      </c>
      <c r="BX530" s="829" t="str">
        <f t="shared" si="459"/>
        <v>-</v>
      </c>
      <c r="BY530" s="830" t="str">
        <f t="shared" ca="1" si="460"/>
        <v>-</v>
      </c>
      <c r="BZ530" s="831">
        <v>42894</v>
      </c>
      <c r="CA530" s="832">
        <v>5</v>
      </c>
      <c r="CB530" s="833">
        <f t="shared" ca="1" si="461"/>
        <v>240</v>
      </c>
      <c r="CC530" s="834" t="str">
        <f t="shared" ca="1" si="462"/>
        <v>-</v>
      </c>
      <c r="CD530" s="835">
        <f t="shared" si="463"/>
        <v>42915</v>
      </c>
      <c r="CE530" s="831">
        <v>42915</v>
      </c>
      <c r="CF530" s="832">
        <v>5</v>
      </c>
      <c r="CG530" s="833">
        <f t="shared" ca="1" si="464"/>
        <v>219</v>
      </c>
      <c r="CH530" s="836">
        <f t="shared" si="465"/>
        <v>0</v>
      </c>
      <c r="CI530" s="837" t="str">
        <f t="shared" si="466"/>
        <v>УСПЕШНО</v>
      </c>
      <c r="CJ530" s="838" t="str">
        <f t="shared" ca="1" si="467"/>
        <v>-</v>
      </c>
      <c r="CK530" s="831"/>
      <c r="CL530" s="832"/>
      <c r="CM530" s="833" t="str">
        <f t="shared" si="468"/>
        <v>-</v>
      </c>
      <c r="CN530" s="834" t="str">
        <f t="shared" si="469"/>
        <v>-</v>
      </c>
      <c r="CO530" s="830" t="str">
        <f t="shared" ca="1" si="470"/>
        <v>-</v>
      </c>
      <c r="CP530" s="839"/>
      <c r="CQ530" s="832"/>
      <c r="CR530" s="833" t="str">
        <f t="shared" si="471"/>
        <v>-</v>
      </c>
      <c r="CS530" s="833" t="str">
        <f t="shared" si="472"/>
        <v>-</v>
      </c>
      <c r="CT530" s="834" t="str">
        <f t="shared" si="473"/>
        <v>-</v>
      </c>
      <c r="CU530" s="835" t="str">
        <f t="shared" si="474"/>
        <v>-</v>
      </c>
      <c r="CV530" s="839"/>
      <c r="CW530" s="832"/>
      <c r="CX530" s="833" t="str">
        <f t="shared" si="475"/>
        <v>-</v>
      </c>
      <c r="CY530" s="840" t="str">
        <f t="shared" si="476"/>
        <v>-</v>
      </c>
      <c r="CZ530" s="833" t="str">
        <f t="shared" si="477"/>
        <v>-</v>
      </c>
      <c r="DA530" s="838" t="str">
        <f t="shared" ca="1" si="478"/>
        <v>-</v>
      </c>
      <c r="DB530" s="841"/>
      <c r="DC530" s="832"/>
    </row>
    <row r="531" spans="1:107" s="842" customFormat="1" ht="15.95" customHeight="1" x14ac:dyDescent="0.25">
      <c r="A531" s="790">
        <v>533</v>
      </c>
      <c r="B531" s="791">
        <f t="shared" ca="1" si="427"/>
        <v>43134</v>
      </c>
      <c r="C531" s="792" t="s">
        <v>2553</v>
      </c>
      <c r="D531" s="793" t="s">
        <v>2586</v>
      </c>
      <c r="E531" s="794" t="s">
        <v>1563</v>
      </c>
      <c r="F531" s="853" t="s">
        <v>1750</v>
      </c>
      <c r="G531" s="845">
        <f>SUMIFS(МОЛОКО!L8:L6958,МОЛОКО!F8:F6958,"2932",МОЛОКО!L8:L6958,"&gt;0")</f>
        <v>0</v>
      </c>
      <c r="H531" s="797" t="s">
        <v>603</v>
      </c>
      <c r="I531" s="798">
        <v>42482</v>
      </c>
      <c r="J531" s="799">
        <f t="shared" ca="1" si="428"/>
        <v>1.7863013698630137</v>
      </c>
      <c r="K531" s="799">
        <f t="shared" ca="1" si="429"/>
        <v>21.733333333333334</v>
      </c>
      <c r="L531" s="800">
        <f t="shared" ca="1" si="430"/>
        <v>652</v>
      </c>
      <c r="M531" s="801"/>
      <c r="N531" s="802"/>
      <c r="O531" s="803" t="str">
        <f t="shared" ca="1" si="431"/>
        <v>-</v>
      </c>
      <c r="P531" s="804"/>
      <c r="Q531" s="805" t="s">
        <v>1451</v>
      </c>
      <c r="R531" s="806" t="s">
        <v>2435</v>
      </c>
      <c r="S531" s="807">
        <v>42956</v>
      </c>
      <c r="T531" s="798">
        <v>42956</v>
      </c>
      <c r="U531" s="798" t="str">
        <f t="shared" si="432"/>
        <v>-</v>
      </c>
      <c r="V531" s="804" t="str">
        <f t="shared" ca="1" si="433"/>
        <v>-</v>
      </c>
      <c r="W531" s="808">
        <v>1</v>
      </c>
      <c r="X531" s="794" t="str">
        <f t="shared" si="426"/>
        <v>-</v>
      </c>
      <c r="Y531" s="794">
        <v>1</v>
      </c>
      <c r="Z531" s="809" t="str">
        <f t="shared" ca="1" si="434"/>
        <v>ПОДЛЕЖИТ ПЕРЕПРОВЕРКЕ</v>
      </c>
      <c r="AA531" s="810">
        <f t="shared" ca="1" si="435"/>
        <v>178</v>
      </c>
      <c r="AB531" s="804"/>
      <c r="AC531" s="811">
        <f t="shared" ca="1" si="436"/>
        <v>43028</v>
      </c>
      <c r="AD531" s="798"/>
      <c r="AE531" s="794" t="str">
        <f t="shared" ca="1" si="437"/>
        <v>-</v>
      </c>
      <c r="AF531" s="798" t="str">
        <f t="shared" si="438"/>
        <v>-</v>
      </c>
      <c r="AG531" s="812" t="str">
        <f t="shared" si="439"/>
        <v>---------</v>
      </c>
      <c r="AH531" s="807">
        <v>43032</v>
      </c>
      <c r="AI531" s="807" t="str">
        <f t="shared" si="440"/>
        <v>-</v>
      </c>
      <c r="AJ531" s="807" t="str">
        <f t="shared" si="441"/>
        <v>-</v>
      </c>
      <c r="AK531" s="813"/>
      <c r="AL531" s="807">
        <f t="shared" si="442"/>
        <v>43215</v>
      </c>
      <c r="AM531" s="807">
        <f t="shared" si="443"/>
        <v>43236</v>
      </c>
      <c r="AN531" s="814">
        <f t="shared" ca="1" si="444"/>
        <v>-102</v>
      </c>
      <c r="AO531" s="815">
        <v>1</v>
      </c>
      <c r="AP531" s="816" t="str">
        <f t="shared" ca="1" si="445"/>
        <v>-</v>
      </c>
      <c r="AQ531" s="817"/>
      <c r="AR531" s="794" t="str">
        <f t="shared" si="446"/>
        <v>НЕТЕЛЬ</v>
      </c>
      <c r="AS531" s="818"/>
      <c r="AT531" s="794" t="str">
        <f t="shared" si="447"/>
        <v>-</v>
      </c>
      <c r="AU531" s="819">
        <v>1</v>
      </c>
      <c r="AV531" s="865"/>
      <c r="AW531" s="821"/>
      <c r="AX531" s="821"/>
      <c r="AY531" s="969" t="str">
        <f t="shared" si="448"/>
        <v>-</v>
      </c>
      <c r="AZ531" s="966" t="str">
        <f t="shared" si="449"/>
        <v>-</v>
      </c>
      <c r="BA531" s="971" t="str">
        <f t="shared" si="450"/>
        <v>-</v>
      </c>
      <c r="BB531" s="975"/>
      <c r="BC531" s="821"/>
      <c r="BD531" s="821"/>
      <c r="BE531" s="963" t="str">
        <f t="shared" si="451"/>
        <v>-</v>
      </c>
      <c r="BF531" s="984"/>
      <c r="BG531" s="988"/>
      <c r="BH531" s="982"/>
      <c r="BI531" s="991"/>
      <c r="BJ531" s="991"/>
      <c r="BK531" s="993" t="str">
        <f t="shared" si="452"/>
        <v>-</v>
      </c>
      <c r="BL531" s="865"/>
      <c r="BM531" s="821"/>
      <c r="BN531" s="822" t="str">
        <f t="shared" si="453"/>
        <v>-</v>
      </c>
      <c r="BO531" s="823" t="str">
        <f t="shared" si="454"/>
        <v>-</v>
      </c>
      <c r="BP531" s="868"/>
      <c r="BQ531" s="821"/>
      <c r="BR531" s="822" t="str">
        <f t="shared" si="455"/>
        <v>-</v>
      </c>
      <c r="BS531" s="823" t="str">
        <f t="shared" si="456"/>
        <v>-</v>
      </c>
      <c r="BT531" s="825" t="str">
        <f t="shared" ca="1" si="457"/>
        <v>-</v>
      </c>
      <c r="BU531" s="826"/>
      <c r="BV531" s="827"/>
      <c r="BW531" s="828" t="str">
        <f t="shared" si="458"/>
        <v>Ж-Е НЕ ВАКЦ.</v>
      </c>
      <c r="BX531" s="829" t="str">
        <f t="shared" si="459"/>
        <v>-</v>
      </c>
      <c r="BY531" s="830" t="str">
        <f t="shared" ca="1" si="460"/>
        <v>-</v>
      </c>
      <c r="BZ531" s="831">
        <v>42894</v>
      </c>
      <c r="CA531" s="832">
        <v>5</v>
      </c>
      <c r="CB531" s="833">
        <f t="shared" ca="1" si="461"/>
        <v>240</v>
      </c>
      <c r="CC531" s="834" t="str">
        <f t="shared" ca="1" si="462"/>
        <v>-</v>
      </c>
      <c r="CD531" s="835">
        <f t="shared" si="463"/>
        <v>42915</v>
      </c>
      <c r="CE531" s="831">
        <v>42915</v>
      </c>
      <c r="CF531" s="832">
        <v>5</v>
      </c>
      <c r="CG531" s="833">
        <f t="shared" ca="1" si="464"/>
        <v>219</v>
      </c>
      <c r="CH531" s="836">
        <f t="shared" si="465"/>
        <v>0</v>
      </c>
      <c r="CI531" s="837" t="str">
        <f t="shared" si="466"/>
        <v>УСПЕШНО</v>
      </c>
      <c r="CJ531" s="838" t="str">
        <f t="shared" ca="1" si="467"/>
        <v>-</v>
      </c>
      <c r="CK531" s="831"/>
      <c r="CL531" s="832"/>
      <c r="CM531" s="833" t="str">
        <f t="shared" si="468"/>
        <v>-</v>
      </c>
      <c r="CN531" s="834" t="str">
        <f t="shared" si="469"/>
        <v>-</v>
      </c>
      <c r="CO531" s="830" t="str">
        <f t="shared" ca="1" si="470"/>
        <v>-</v>
      </c>
      <c r="CP531" s="839"/>
      <c r="CQ531" s="832"/>
      <c r="CR531" s="833" t="str">
        <f t="shared" si="471"/>
        <v>-</v>
      </c>
      <c r="CS531" s="833" t="str">
        <f t="shared" si="472"/>
        <v>-</v>
      </c>
      <c r="CT531" s="834" t="str">
        <f t="shared" si="473"/>
        <v>-</v>
      </c>
      <c r="CU531" s="835" t="str">
        <f t="shared" si="474"/>
        <v>-</v>
      </c>
      <c r="CV531" s="839"/>
      <c r="CW531" s="832"/>
      <c r="CX531" s="833" t="str">
        <f t="shared" si="475"/>
        <v>-</v>
      </c>
      <c r="CY531" s="840" t="str">
        <f t="shared" si="476"/>
        <v>-</v>
      </c>
      <c r="CZ531" s="833" t="str">
        <f t="shared" si="477"/>
        <v>-</v>
      </c>
      <c r="DA531" s="838" t="str">
        <f t="shared" ca="1" si="478"/>
        <v>-</v>
      </c>
      <c r="DB531" s="841"/>
      <c r="DC531" s="832"/>
    </row>
    <row r="532" spans="1:107" s="842" customFormat="1" ht="15.95" customHeight="1" x14ac:dyDescent="0.25">
      <c r="A532" s="790">
        <v>534</v>
      </c>
      <c r="B532" s="791">
        <f t="shared" ca="1" si="427"/>
        <v>43134</v>
      </c>
      <c r="C532" s="792" t="s">
        <v>2553</v>
      </c>
      <c r="D532" s="793" t="s">
        <v>2586</v>
      </c>
      <c r="E532" s="794" t="s">
        <v>1563</v>
      </c>
      <c r="F532" s="853" t="s">
        <v>1765</v>
      </c>
      <c r="G532" s="845"/>
      <c r="H532" s="797" t="s">
        <v>603</v>
      </c>
      <c r="I532" s="798">
        <v>42488</v>
      </c>
      <c r="J532" s="799">
        <f t="shared" ca="1" si="428"/>
        <v>1.7698630136986302</v>
      </c>
      <c r="K532" s="799">
        <f t="shared" ca="1" si="429"/>
        <v>21.533333333333335</v>
      </c>
      <c r="L532" s="800">
        <f t="shared" ca="1" si="430"/>
        <v>646</v>
      </c>
      <c r="M532" s="801"/>
      <c r="N532" s="802"/>
      <c r="O532" s="803" t="str">
        <f t="shared" ca="1" si="431"/>
        <v>-</v>
      </c>
      <c r="P532" s="804"/>
      <c r="Q532" s="805" t="s">
        <v>2366</v>
      </c>
      <c r="R532" s="806" t="s">
        <v>2967</v>
      </c>
      <c r="S532" s="807">
        <v>42963</v>
      </c>
      <c r="T532" s="798">
        <v>42993</v>
      </c>
      <c r="U532" s="798">
        <f t="shared" si="432"/>
        <v>43011</v>
      </c>
      <c r="V532" s="804">
        <f t="shared" ca="1" si="433"/>
        <v>123</v>
      </c>
      <c r="W532" s="808">
        <v>2</v>
      </c>
      <c r="X532" s="794" t="str">
        <f t="shared" si="426"/>
        <v>-</v>
      </c>
      <c r="Y532" s="794">
        <v>3</v>
      </c>
      <c r="Z532" s="809" t="str">
        <f t="shared" ca="1" si="434"/>
        <v>-----</v>
      </c>
      <c r="AA532" s="810">
        <f t="shared" ca="1" si="435"/>
        <v>141</v>
      </c>
      <c r="AB532" s="804"/>
      <c r="AC532" s="811" t="str">
        <f t="shared" ca="1" si="436"/>
        <v>-----</v>
      </c>
      <c r="AD532" s="798"/>
      <c r="AE532" s="794" t="str">
        <f t="shared" ca="1" si="437"/>
        <v>-</v>
      </c>
      <c r="AF532" s="798">
        <f t="shared" si="438"/>
        <v>43028</v>
      </c>
      <c r="AG532" s="812">
        <f t="shared" ca="1" si="439"/>
        <v>106</v>
      </c>
      <c r="AH532" s="807"/>
      <c r="AI532" s="807" t="str">
        <f t="shared" si="440"/>
        <v>-</v>
      </c>
      <c r="AJ532" s="807" t="str">
        <f t="shared" si="441"/>
        <v>-</v>
      </c>
      <c r="AK532" s="813"/>
      <c r="AL532" s="807" t="str">
        <f t="shared" si="442"/>
        <v>-</v>
      </c>
      <c r="AM532" s="807" t="str">
        <f t="shared" si="443"/>
        <v>-</v>
      </c>
      <c r="AN532" s="814" t="str">
        <f t="shared" ca="1" si="444"/>
        <v>-</v>
      </c>
      <c r="AO532" s="815">
        <v>1</v>
      </c>
      <c r="AP532" s="816" t="str">
        <f t="shared" ca="1" si="445"/>
        <v>-</v>
      </c>
      <c r="AQ532" s="817"/>
      <c r="AR532" s="794" t="str">
        <f t="shared" si="446"/>
        <v>-</v>
      </c>
      <c r="AS532" s="818"/>
      <c r="AT532" s="794" t="str">
        <f t="shared" si="447"/>
        <v>-</v>
      </c>
      <c r="AU532" s="819">
        <v>1</v>
      </c>
      <c r="AV532" s="820"/>
      <c r="AW532" s="821"/>
      <c r="AX532" s="821"/>
      <c r="AY532" s="969" t="str">
        <f t="shared" si="448"/>
        <v>-</v>
      </c>
      <c r="AZ532" s="966" t="str">
        <f t="shared" si="449"/>
        <v>-</v>
      </c>
      <c r="BA532" s="971" t="str">
        <f t="shared" si="450"/>
        <v>-</v>
      </c>
      <c r="BB532" s="975"/>
      <c r="BC532" s="821"/>
      <c r="BD532" s="821"/>
      <c r="BE532" s="963" t="str">
        <f t="shared" si="451"/>
        <v>-</v>
      </c>
      <c r="BF532" s="984"/>
      <c r="BG532" s="988"/>
      <c r="BH532" s="982"/>
      <c r="BI532" s="991"/>
      <c r="BJ532" s="991"/>
      <c r="BK532" s="993" t="str">
        <f t="shared" si="452"/>
        <v>-</v>
      </c>
      <c r="BL532" s="820">
        <v>42978</v>
      </c>
      <c r="BM532" s="821">
        <v>5</v>
      </c>
      <c r="BN532" s="822">
        <f t="shared" ca="1" si="453"/>
        <v>156</v>
      </c>
      <c r="BO532" s="823">
        <f t="shared" si="454"/>
        <v>16.333333333333332</v>
      </c>
      <c r="BP532" s="824"/>
      <c r="BQ532" s="821"/>
      <c r="BR532" s="822" t="str">
        <f t="shared" si="455"/>
        <v>-</v>
      </c>
      <c r="BS532" s="823" t="str">
        <f t="shared" si="456"/>
        <v>-</v>
      </c>
      <c r="BT532" s="825" t="str">
        <f t="shared" ca="1" si="457"/>
        <v>-</v>
      </c>
      <c r="BU532" s="826"/>
      <c r="BV532" s="827"/>
      <c r="BW532" s="828" t="str">
        <f t="shared" si="458"/>
        <v>Ж-Е НЕ ВАКЦ.</v>
      </c>
      <c r="BX532" s="829" t="str">
        <f t="shared" si="459"/>
        <v>-</v>
      </c>
      <c r="BY532" s="830" t="str">
        <f t="shared" ca="1" si="460"/>
        <v>-</v>
      </c>
      <c r="BZ532" s="831">
        <v>42894</v>
      </c>
      <c r="CA532" s="832">
        <v>5</v>
      </c>
      <c r="CB532" s="833">
        <f t="shared" ca="1" si="461"/>
        <v>240</v>
      </c>
      <c r="CC532" s="834" t="str">
        <f t="shared" ca="1" si="462"/>
        <v>-</v>
      </c>
      <c r="CD532" s="835">
        <f t="shared" si="463"/>
        <v>42915</v>
      </c>
      <c r="CE532" s="831">
        <v>42915</v>
      </c>
      <c r="CF532" s="832">
        <v>5</v>
      </c>
      <c r="CG532" s="833">
        <f t="shared" ca="1" si="464"/>
        <v>219</v>
      </c>
      <c r="CH532" s="836">
        <f t="shared" si="465"/>
        <v>0</v>
      </c>
      <c r="CI532" s="837" t="str">
        <f t="shared" si="466"/>
        <v>УСПЕШНО</v>
      </c>
      <c r="CJ532" s="838" t="str">
        <f t="shared" ca="1" si="467"/>
        <v>-</v>
      </c>
      <c r="CK532" s="831"/>
      <c r="CL532" s="832"/>
      <c r="CM532" s="833" t="str">
        <f t="shared" si="468"/>
        <v>-</v>
      </c>
      <c r="CN532" s="834" t="str">
        <f t="shared" si="469"/>
        <v>-</v>
      </c>
      <c r="CO532" s="830" t="str">
        <f t="shared" ca="1" si="470"/>
        <v>-</v>
      </c>
      <c r="CP532" s="839"/>
      <c r="CQ532" s="832"/>
      <c r="CR532" s="833" t="str">
        <f t="shared" si="471"/>
        <v>-</v>
      </c>
      <c r="CS532" s="833" t="str">
        <f t="shared" si="472"/>
        <v>-</v>
      </c>
      <c r="CT532" s="834" t="str">
        <f t="shared" si="473"/>
        <v>-</v>
      </c>
      <c r="CU532" s="835" t="str">
        <f t="shared" si="474"/>
        <v>-</v>
      </c>
      <c r="CV532" s="839"/>
      <c r="CW532" s="832"/>
      <c r="CX532" s="833" t="str">
        <f t="shared" si="475"/>
        <v>-</v>
      </c>
      <c r="CY532" s="840" t="str">
        <f t="shared" si="476"/>
        <v>-</v>
      </c>
      <c r="CZ532" s="833" t="str">
        <f t="shared" si="477"/>
        <v>-</v>
      </c>
      <c r="DA532" s="838" t="str">
        <f t="shared" ca="1" si="478"/>
        <v>-</v>
      </c>
      <c r="DB532" s="841"/>
      <c r="DC532" s="832"/>
    </row>
    <row r="533" spans="1:107" s="842" customFormat="1" ht="15.95" customHeight="1" x14ac:dyDescent="0.25">
      <c r="A533" s="790">
        <v>535</v>
      </c>
      <c r="B533" s="791">
        <f t="shared" ca="1" si="427"/>
        <v>43134</v>
      </c>
      <c r="C533" s="792" t="s">
        <v>2553</v>
      </c>
      <c r="D533" s="793" t="s">
        <v>2586</v>
      </c>
      <c r="E533" s="794" t="s">
        <v>1563</v>
      </c>
      <c r="F533" s="853" t="s">
        <v>1718</v>
      </c>
      <c r="G533" s="845"/>
      <c r="H533" s="797" t="s">
        <v>603</v>
      </c>
      <c r="I533" s="798">
        <v>42491</v>
      </c>
      <c r="J533" s="799">
        <f t="shared" ca="1" si="428"/>
        <v>1.7616438356164383</v>
      </c>
      <c r="K533" s="799">
        <f t="shared" ca="1" si="429"/>
        <v>21.433333333333334</v>
      </c>
      <c r="L533" s="800">
        <f t="shared" ca="1" si="430"/>
        <v>643</v>
      </c>
      <c r="M533" s="801"/>
      <c r="N533" s="802"/>
      <c r="O533" s="803" t="str">
        <f t="shared" ca="1" si="431"/>
        <v>-</v>
      </c>
      <c r="P533" s="804"/>
      <c r="Q533" s="805" t="s">
        <v>1451</v>
      </c>
      <c r="R533" s="806" t="s">
        <v>2435</v>
      </c>
      <c r="S533" s="807">
        <v>43016</v>
      </c>
      <c r="T533" s="798">
        <v>43016</v>
      </c>
      <c r="U533" s="798">
        <f t="shared" si="432"/>
        <v>43034</v>
      </c>
      <c r="V533" s="804">
        <f t="shared" ca="1" si="433"/>
        <v>100</v>
      </c>
      <c r="W533" s="808">
        <v>1</v>
      </c>
      <c r="X533" s="794" t="str">
        <f t="shared" si="426"/>
        <v>-</v>
      </c>
      <c r="Y533" s="794">
        <v>3</v>
      </c>
      <c r="Z533" s="809" t="str">
        <f t="shared" ca="1" si="434"/>
        <v>-----</v>
      </c>
      <c r="AA533" s="810">
        <f t="shared" ca="1" si="435"/>
        <v>118</v>
      </c>
      <c r="AB533" s="804"/>
      <c r="AC533" s="811" t="str">
        <f t="shared" ca="1" si="436"/>
        <v>-----</v>
      </c>
      <c r="AD533" s="798"/>
      <c r="AE533" s="794" t="str">
        <f t="shared" ca="1" si="437"/>
        <v>-</v>
      </c>
      <c r="AF533" s="798">
        <f t="shared" si="438"/>
        <v>43051</v>
      </c>
      <c r="AG533" s="812">
        <f t="shared" ca="1" si="439"/>
        <v>83</v>
      </c>
      <c r="AH533" s="807"/>
      <c r="AI533" s="807" t="str">
        <f t="shared" si="440"/>
        <v>-</v>
      </c>
      <c r="AJ533" s="807" t="str">
        <f t="shared" si="441"/>
        <v>-</v>
      </c>
      <c r="AK533" s="813"/>
      <c r="AL533" s="807" t="str">
        <f t="shared" si="442"/>
        <v>-</v>
      </c>
      <c r="AM533" s="807" t="str">
        <f t="shared" si="443"/>
        <v>-</v>
      </c>
      <c r="AN533" s="814" t="str">
        <f t="shared" ca="1" si="444"/>
        <v>-</v>
      </c>
      <c r="AO533" s="815">
        <v>1</v>
      </c>
      <c r="AP533" s="816" t="str">
        <f t="shared" ca="1" si="445"/>
        <v>-</v>
      </c>
      <c r="AQ533" s="817"/>
      <c r="AR533" s="794" t="str">
        <f t="shared" si="446"/>
        <v>-</v>
      </c>
      <c r="AS533" s="818"/>
      <c r="AT533" s="794" t="str">
        <f t="shared" si="447"/>
        <v>-</v>
      </c>
      <c r="AU533" s="819">
        <v>1</v>
      </c>
      <c r="AV533" s="820"/>
      <c r="AW533" s="821"/>
      <c r="AX533" s="821"/>
      <c r="AY533" s="969" t="str">
        <f t="shared" si="448"/>
        <v>-</v>
      </c>
      <c r="AZ533" s="966" t="str">
        <f t="shared" si="449"/>
        <v>-</v>
      </c>
      <c r="BA533" s="971" t="str">
        <f t="shared" si="450"/>
        <v>-</v>
      </c>
      <c r="BB533" s="975"/>
      <c r="BC533" s="821"/>
      <c r="BD533" s="821"/>
      <c r="BE533" s="963" t="str">
        <f t="shared" si="451"/>
        <v>-</v>
      </c>
      <c r="BF533" s="984"/>
      <c r="BG533" s="988"/>
      <c r="BH533" s="982"/>
      <c r="BI533" s="991"/>
      <c r="BJ533" s="991"/>
      <c r="BK533" s="993" t="str">
        <f t="shared" si="452"/>
        <v>-</v>
      </c>
      <c r="BL533" s="820">
        <v>42978</v>
      </c>
      <c r="BM533" s="821">
        <v>5</v>
      </c>
      <c r="BN533" s="822">
        <f t="shared" ca="1" si="453"/>
        <v>156</v>
      </c>
      <c r="BO533" s="823">
        <f t="shared" si="454"/>
        <v>16.233333333333334</v>
      </c>
      <c r="BP533" s="824"/>
      <c r="BQ533" s="821"/>
      <c r="BR533" s="822" t="str">
        <f t="shared" si="455"/>
        <v>-</v>
      </c>
      <c r="BS533" s="823" t="str">
        <f t="shared" si="456"/>
        <v>-</v>
      </c>
      <c r="BT533" s="825" t="str">
        <f t="shared" ca="1" si="457"/>
        <v>-</v>
      </c>
      <c r="BU533" s="826"/>
      <c r="BV533" s="827"/>
      <c r="BW533" s="828" t="str">
        <f t="shared" si="458"/>
        <v>Ж-Е НЕ ВАКЦ.</v>
      </c>
      <c r="BX533" s="829" t="str">
        <f t="shared" si="459"/>
        <v>-</v>
      </c>
      <c r="BY533" s="830" t="str">
        <f t="shared" ca="1" si="460"/>
        <v>-</v>
      </c>
      <c r="BZ533" s="831">
        <v>42894</v>
      </c>
      <c r="CA533" s="832">
        <v>5</v>
      </c>
      <c r="CB533" s="833">
        <f t="shared" ca="1" si="461"/>
        <v>240</v>
      </c>
      <c r="CC533" s="834" t="str">
        <f t="shared" ca="1" si="462"/>
        <v>-</v>
      </c>
      <c r="CD533" s="835">
        <f t="shared" si="463"/>
        <v>42915</v>
      </c>
      <c r="CE533" s="831">
        <v>42915</v>
      </c>
      <c r="CF533" s="832">
        <v>5</v>
      </c>
      <c r="CG533" s="833">
        <f t="shared" ca="1" si="464"/>
        <v>219</v>
      </c>
      <c r="CH533" s="836">
        <f t="shared" si="465"/>
        <v>0</v>
      </c>
      <c r="CI533" s="837" t="str">
        <f t="shared" si="466"/>
        <v>УСПЕШНО</v>
      </c>
      <c r="CJ533" s="838" t="str">
        <f t="shared" ca="1" si="467"/>
        <v>-</v>
      </c>
      <c r="CK533" s="831"/>
      <c r="CL533" s="832"/>
      <c r="CM533" s="833" t="str">
        <f t="shared" si="468"/>
        <v>-</v>
      </c>
      <c r="CN533" s="834" t="str">
        <f t="shared" si="469"/>
        <v>-</v>
      </c>
      <c r="CO533" s="830" t="str">
        <f t="shared" ca="1" si="470"/>
        <v>-</v>
      </c>
      <c r="CP533" s="839"/>
      <c r="CQ533" s="832"/>
      <c r="CR533" s="833" t="str">
        <f t="shared" si="471"/>
        <v>-</v>
      </c>
      <c r="CS533" s="833" t="str">
        <f t="shared" si="472"/>
        <v>-</v>
      </c>
      <c r="CT533" s="834" t="str">
        <f t="shared" si="473"/>
        <v>-</v>
      </c>
      <c r="CU533" s="835" t="str">
        <f t="shared" si="474"/>
        <v>-</v>
      </c>
      <c r="CV533" s="839"/>
      <c r="CW533" s="832"/>
      <c r="CX533" s="833" t="str">
        <f t="shared" si="475"/>
        <v>-</v>
      </c>
      <c r="CY533" s="840" t="str">
        <f t="shared" si="476"/>
        <v>-</v>
      </c>
      <c r="CZ533" s="833" t="str">
        <f t="shared" si="477"/>
        <v>-</v>
      </c>
      <c r="DA533" s="838" t="str">
        <f t="shared" ca="1" si="478"/>
        <v>-</v>
      </c>
      <c r="DB533" s="841"/>
      <c r="DC533" s="832"/>
    </row>
    <row r="534" spans="1:107" s="842" customFormat="1" ht="15.95" customHeight="1" x14ac:dyDescent="0.25">
      <c r="A534" s="790">
        <v>536</v>
      </c>
      <c r="B534" s="791">
        <f t="shared" ca="1" si="427"/>
        <v>43134</v>
      </c>
      <c r="C534" s="792" t="s">
        <v>2553</v>
      </c>
      <c r="D534" s="793" t="s">
        <v>2586</v>
      </c>
      <c r="E534" s="794" t="s">
        <v>1563</v>
      </c>
      <c r="F534" s="853" t="s">
        <v>1689</v>
      </c>
      <c r="G534" s="845"/>
      <c r="H534" s="797" t="s">
        <v>603</v>
      </c>
      <c r="I534" s="798">
        <v>42493</v>
      </c>
      <c r="J534" s="799">
        <f t="shared" ca="1" si="428"/>
        <v>1.7561643835616438</v>
      </c>
      <c r="K534" s="799">
        <f t="shared" ca="1" si="429"/>
        <v>21.366666666666667</v>
      </c>
      <c r="L534" s="800">
        <f t="shared" ca="1" si="430"/>
        <v>641</v>
      </c>
      <c r="M534" s="801"/>
      <c r="N534" s="802"/>
      <c r="O534" s="803" t="str">
        <f t="shared" ca="1" si="431"/>
        <v>-</v>
      </c>
      <c r="P534" s="804"/>
      <c r="Q534" s="805" t="s">
        <v>1451</v>
      </c>
      <c r="R534" s="806" t="s">
        <v>2967</v>
      </c>
      <c r="S534" s="807">
        <v>42966</v>
      </c>
      <c r="T534" s="798">
        <v>42992</v>
      </c>
      <c r="U534" s="798">
        <f t="shared" si="432"/>
        <v>43010</v>
      </c>
      <c r="V534" s="804">
        <f t="shared" ca="1" si="433"/>
        <v>124</v>
      </c>
      <c r="W534" s="808">
        <v>2</v>
      </c>
      <c r="X534" s="794" t="str">
        <f t="shared" si="426"/>
        <v>-</v>
      </c>
      <c r="Y534" s="794">
        <v>3</v>
      </c>
      <c r="Z534" s="809" t="str">
        <f t="shared" ca="1" si="434"/>
        <v>-----</v>
      </c>
      <c r="AA534" s="810">
        <f t="shared" ca="1" si="435"/>
        <v>142</v>
      </c>
      <c r="AB534" s="804"/>
      <c r="AC534" s="811" t="str">
        <f t="shared" ca="1" si="436"/>
        <v>-----</v>
      </c>
      <c r="AD534" s="798"/>
      <c r="AE534" s="794" t="str">
        <f t="shared" ca="1" si="437"/>
        <v>-</v>
      </c>
      <c r="AF534" s="798">
        <f t="shared" si="438"/>
        <v>43027</v>
      </c>
      <c r="AG534" s="812">
        <f t="shared" ca="1" si="439"/>
        <v>107</v>
      </c>
      <c r="AH534" s="807"/>
      <c r="AI534" s="807" t="str">
        <f t="shared" si="440"/>
        <v>-</v>
      </c>
      <c r="AJ534" s="807" t="str">
        <f t="shared" si="441"/>
        <v>-</v>
      </c>
      <c r="AK534" s="813"/>
      <c r="AL534" s="807" t="str">
        <f t="shared" si="442"/>
        <v>-</v>
      </c>
      <c r="AM534" s="807" t="str">
        <f t="shared" si="443"/>
        <v>-</v>
      </c>
      <c r="AN534" s="814" t="str">
        <f t="shared" ca="1" si="444"/>
        <v>-</v>
      </c>
      <c r="AO534" s="815">
        <v>1</v>
      </c>
      <c r="AP534" s="816" t="str">
        <f t="shared" ca="1" si="445"/>
        <v>-</v>
      </c>
      <c r="AQ534" s="817"/>
      <c r="AR534" s="794" t="str">
        <f t="shared" si="446"/>
        <v>-</v>
      </c>
      <c r="AS534" s="818"/>
      <c r="AT534" s="794" t="str">
        <f t="shared" si="447"/>
        <v>-</v>
      </c>
      <c r="AU534" s="819">
        <v>1</v>
      </c>
      <c r="AV534" s="820"/>
      <c r="AW534" s="821"/>
      <c r="AX534" s="821"/>
      <c r="AY534" s="969" t="str">
        <f t="shared" si="448"/>
        <v>-</v>
      </c>
      <c r="AZ534" s="966" t="str">
        <f t="shared" si="449"/>
        <v>-</v>
      </c>
      <c r="BA534" s="971" t="str">
        <f t="shared" si="450"/>
        <v>-</v>
      </c>
      <c r="BB534" s="975"/>
      <c r="BC534" s="821"/>
      <c r="BD534" s="821"/>
      <c r="BE534" s="963" t="str">
        <f t="shared" si="451"/>
        <v>-</v>
      </c>
      <c r="BF534" s="984"/>
      <c r="BG534" s="988"/>
      <c r="BH534" s="982"/>
      <c r="BI534" s="991"/>
      <c r="BJ534" s="991"/>
      <c r="BK534" s="993" t="str">
        <f t="shared" si="452"/>
        <v>-</v>
      </c>
      <c r="BL534" s="820">
        <v>42978</v>
      </c>
      <c r="BM534" s="821">
        <v>5</v>
      </c>
      <c r="BN534" s="822">
        <f t="shared" ca="1" si="453"/>
        <v>156</v>
      </c>
      <c r="BO534" s="823">
        <f t="shared" si="454"/>
        <v>16.166666666666668</v>
      </c>
      <c r="BP534" s="824"/>
      <c r="BQ534" s="821"/>
      <c r="BR534" s="822" t="str">
        <f t="shared" si="455"/>
        <v>-</v>
      </c>
      <c r="BS534" s="823" t="str">
        <f t="shared" si="456"/>
        <v>-</v>
      </c>
      <c r="BT534" s="825" t="str">
        <f t="shared" ca="1" si="457"/>
        <v>-</v>
      </c>
      <c r="BU534" s="826"/>
      <c r="BV534" s="827"/>
      <c r="BW534" s="828" t="str">
        <f t="shared" si="458"/>
        <v>Ж-Е НЕ ВАКЦ.</v>
      </c>
      <c r="BX534" s="829" t="str">
        <f t="shared" si="459"/>
        <v>-</v>
      </c>
      <c r="BY534" s="830" t="str">
        <f t="shared" ca="1" si="460"/>
        <v>-</v>
      </c>
      <c r="BZ534" s="831">
        <v>42894</v>
      </c>
      <c r="CA534" s="832">
        <v>5</v>
      </c>
      <c r="CB534" s="833">
        <f t="shared" ca="1" si="461"/>
        <v>240</v>
      </c>
      <c r="CC534" s="834" t="str">
        <f t="shared" ca="1" si="462"/>
        <v>-</v>
      </c>
      <c r="CD534" s="835">
        <f t="shared" si="463"/>
        <v>42915</v>
      </c>
      <c r="CE534" s="831">
        <v>42915</v>
      </c>
      <c r="CF534" s="832">
        <v>5</v>
      </c>
      <c r="CG534" s="833">
        <f t="shared" ca="1" si="464"/>
        <v>219</v>
      </c>
      <c r="CH534" s="836">
        <f t="shared" si="465"/>
        <v>0</v>
      </c>
      <c r="CI534" s="837" t="str">
        <f t="shared" si="466"/>
        <v>УСПЕШНО</v>
      </c>
      <c r="CJ534" s="838" t="str">
        <f t="shared" ca="1" si="467"/>
        <v>-</v>
      </c>
      <c r="CK534" s="831"/>
      <c r="CL534" s="832"/>
      <c r="CM534" s="833" t="str">
        <f t="shared" si="468"/>
        <v>-</v>
      </c>
      <c r="CN534" s="834" t="str">
        <f t="shared" si="469"/>
        <v>-</v>
      </c>
      <c r="CO534" s="830" t="str">
        <f t="shared" ca="1" si="470"/>
        <v>-</v>
      </c>
      <c r="CP534" s="839"/>
      <c r="CQ534" s="832"/>
      <c r="CR534" s="833" t="str">
        <f t="shared" si="471"/>
        <v>-</v>
      </c>
      <c r="CS534" s="833" t="str">
        <f t="shared" si="472"/>
        <v>-</v>
      </c>
      <c r="CT534" s="834" t="str">
        <f t="shared" si="473"/>
        <v>-</v>
      </c>
      <c r="CU534" s="835" t="str">
        <f t="shared" si="474"/>
        <v>-</v>
      </c>
      <c r="CV534" s="839"/>
      <c r="CW534" s="832"/>
      <c r="CX534" s="833" t="str">
        <f t="shared" si="475"/>
        <v>-</v>
      </c>
      <c r="CY534" s="840" t="str">
        <f t="shared" si="476"/>
        <v>-</v>
      </c>
      <c r="CZ534" s="833" t="str">
        <f t="shared" si="477"/>
        <v>-</v>
      </c>
      <c r="DA534" s="838" t="str">
        <f t="shared" ca="1" si="478"/>
        <v>-</v>
      </c>
      <c r="DB534" s="841"/>
      <c r="DC534" s="832"/>
    </row>
    <row r="535" spans="1:107" s="842" customFormat="1" ht="15.95" customHeight="1" x14ac:dyDescent="0.25">
      <c r="A535" s="790">
        <v>537</v>
      </c>
      <c r="B535" s="791">
        <f t="shared" ca="1" si="427"/>
        <v>43134</v>
      </c>
      <c r="C535" s="792" t="s">
        <v>2553</v>
      </c>
      <c r="D535" s="793" t="s">
        <v>2586</v>
      </c>
      <c r="E535" s="794" t="s">
        <v>1563</v>
      </c>
      <c r="F535" s="853" t="s">
        <v>1728</v>
      </c>
      <c r="G535" s="845"/>
      <c r="H535" s="797" t="s">
        <v>603</v>
      </c>
      <c r="I535" s="798">
        <v>42495</v>
      </c>
      <c r="J535" s="799">
        <f t="shared" ca="1" si="428"/>
        <v>1.7506849315068493</v>
      </c>
      <c r="K535" s="799">
        <f t="shared" ca="1" si="429"/>
        <v>21.3</v>
      </c>
      <c r="L535" s="800">
        <f t="shared" ca="1" si="430"/>
        <v>639</v>
      </c>
      <c r="M535" s="801"/>
      <c r="N535" s="802"/>
      <c r="O535" s="803" t="str">
        <f t="shared" ca="1" si="431"/>
        <v>-</v>
      </c>
      <c r="P535" s="804"/>
      <c r="Q535" s="805" t="s">
        <v>1451</v>
      </c>
      <c r="R535" s="806" t="s">
        <v>2435</v>
      </c>
      <c r="S535" s="807">
        <v>42957</v>
      </c>
      <c r="T535" s="798">
        <v>42957</v>
      </c>
      <c r="U535" s="798" t="str">
        <f t="shared" si="432"/>
        <v>-</v>
      </c>
      <c r="V535" s="804" t="str">
        <f t="shared" ca="1" si="433"/>
        <v>-</v>
      </c>
      <c r="W535" s="808">
        <v>1</v>
      </c>
      <c r="X535" s="794" t="str">
        <f t="shared" si="426"/>
        <v>-</v>
      </c>
      <c r="Y535" s="794">
        <v>1</v>
      </c>
      <c r="Z535" s="809" t="str">
        <f t="shared" ca="1" si="434"/>
        <v>ПОДЛЕЖИТ ПЕРЕПРОВЕРКЕ</v>
      </c>
      <c r="AA535" s="810">
        <f t="shared" ca="1" si="435"/>
        <v>177</v>
      </c>
      <c r="AB535" s="804"/>
      <c r="AC535" s="811">
        <f t="shared" ca="1" si="436"/>
        <v>43029</v>
      </c>
      <c r="AD535" s="798"/>
      <c r="AE535" s="794" t="str">
        <f t="shared" ca="1" si="437"/>
        <v>-</v>
      </c>
      <c r="AF535" s="798" t="str">
        <f t="shared" si="438"/>
        <v>-</v>
      </c>
      <c r="AG535" s="812" t="str">
        <f t="shared" si="439"/>
        <v>---------</v>
      </c>
      <c r="AH535" s="807">
        <v>43032</v>
      </c>
      <c r="AI535" s="807" t="str">
        <f t="shared" si="440"/>
        <v>-</v>
      </c>
      <c r="AJ535" s="807" t="str">
        <f t="shared" si="441"/>
        <v>-</v>
      </c>
      <c r="AK535" s="813"/>
      <c r="AL535" s="807">
        <f t="shared" si="442"/>
        <v>43216</v>
      </c>
      <c r="AM535" s="807">
        <f t="shared" si="443"/>
        <v>43237</v>
      </c>
      <c r="AN535" s="814">
        <f t="shared" ca="1" si="444"/>
        <v>-103</v>
      </c>
      <c r="AO535" s="815">
        <v>1</v>
      </c>
      <c r="AP535" s="816" t="str">
        <f t="shared" ca="1" si="445"/>
        <v>-</v>
      </c>
      <c r="AQ535" s="817"/>
      <c r="AR535" s="794" t="str">
        <f t="shared" si="446"/>
        <v>НЕТЕЛЬ</v>
      </c>
      <c r="AS535" s="818"/>
      <c r="AT535" s="794" t="str">
        <f t="shared" si="447"/>
        <v>-</v>
      </c>
      <c r="AU535" s="819">
        <v>1</v>
      </c>
      <c r="AV535" s="865"/>
      <c r="AW535" s="821"/>
      <c r="AX535" s="821"/>
      <c r="AY535" s="969" t="str">
        <f t="shared" si="448"/>
        <v>-</v>
      </c>
      <c r="AZ535" s="966" t="str">
        <f t="shared" si="449"/>
        <v>-</v>
      </c>
      <c r="BA535" s="971" t="str">
        <f t="shared" si="450"/>
        <v>-</v>
      </c>
      <c r="BB535" s="975"/>
      <c r="BC535" s="821"/>
      <c r="BD535" s="821"/>
      <c r="BE535" s="963" t="str">
        <f t="shared" si="451"/>
        <v>-</v>
      </c>
      <c r="BF535" s="984"/>
      <c r="BG535" s="988"/>
      <c r="BH535" s="982"/>
      <c r="BI535" s="991"/>
      <c r="BJ535" s="991"/>
      <c r="BK535" s="993" t="str">
        <f t="shared" si="452"/>
        <v>-</v>
      </c>
      <c r="BL535" s="865"/>
      <c r="BM535" s="821"/>
      <c r="BN535" s="822" t="str">
        <f t="shared" si="453"/>
        <v>-</v>
      </c>
      <c r="BO535" s="823" t="str">
        <f t="shared" si="454"/>
        <v>-</v>
      </c>
      <c r="BP535" s="868"/>
      <c r="BQ535" s="821"/>
      <c r="BR535" s="822" t="str">
        <f t="shared" si="455"/>
        <v>-</v>
      </c>
      <c r="BS535" s="823" t="str">
        <f t="shared" si="456"/>
        <v>-</v>
      </c>
      <c r="BT535" s="825" t="str">
        <f t="shared" ca="1" si="457"/>
        <v>-</v>
      </c>
      <c r="BU535" s="826"/>
      <c r="BV535" s="827"/>
      <c r="BW535" s="828" t="str">
        <f t="shared" si="458"/>
        <v>Ж-Е НЕ ВАКЦ.</v>
      </c>
      <c r="BX535" s="829" t="str">
        <f t="shared" si="459"/>
        <v>-</v>
      </c>
      <c r="BY535" s="830" t="str">
        <f t="shared" ca="1" si="460"/>
        <v>-</v>
      </c>
      <c r="BZ535" s="831">
        <v>42894</v>
      </c>
      <c r="CA535" s="832">
        <v>5</v>
      </c>
      <c r="CB535" s="833">
        <f t="shared" ca="1" si="461"/>
        <v>240</v>
      </c>
      <c r="CC535" s="834" t="str">
        <f t="shared" ca="1" si="462"/>
        <v>-</v>
      </c>
      <c r="CD535" s="835">
        <f t="shared" si="463"/>
        <v>42915</v>
      </c>
      <c r="CE535" s="831">
        <v>42915</v>
      </c>
      <c r="CF535" s="832">
        <v>5</v>
      </c>
      <c r="CG535" s="833">
        <f t="shared" ca="1" si="464"/>
        <v>219</v>
      </c>
      <c r="CH535" s="836">
        <f t="shared" si="465"/>
        <v>0</v>
      </c>
      <c r="CI535" s="837" t="str">
        <f t="shared" si="466"/>
        <v>УСПЕШНО</v>
      </c>
      <c r="CJ535" s="838" t="str">
        <f t="shared" ca="1" si="467"/>
        <v>-</v>
      </c>
      <c r="CK535" s="831"/>
      <c r="CL535" s="832"/>
      <c r="CM535" s="833" t="str">
        <f t="shared" si="468"/>
        <v>-</v>
      </c>
      <c r="CN535" s="834" t="str">
        <f t="shared" si="469"/>
        <v>-</v>
      </c>
      <c r="CO535" s="830" t="str">
        <f t="shared" ca="1" si="470"/>
        <v>-</v>
      </c>
      <c r="CP535" s="839"/>
      <c r="CQ535" s="832"/>
      <c r="CR535" s="833" t="str">
        <f t="shared" si="471"/>
        <v>-</v>
      </c>
      <c r="CS535" s="833" t="str">
        <f t="shared" si="472"/>
        <v>-</v>
      </c>
      <c r="CT535" s="834" t="str">
        <f t="shared" si="473"/>
        <v>-</v>
      </c>
      <c r="CU535" s="835" t="str">
        <f t="shared" si="474"/>
        <v>-</v>
      </c>
      <c r="CV535" s="839"/>
      <c r="CW535" s="832"/>
      <c r="CX535" s="833" t="str">
        <f t="shared" si="475"/>
        <v>-</v>
      </c>
      <c r="CY535" s="840" t="str">
        <f t="shared" si="476"/>
        <v>-</v>
      </c>
      <c r="CZ535" s="833" t="str">
        <f t="shared" si="477"/>
        <v>-</v>
      </c>
      <c r="DA535" s="838" t="str">
        <f t="shared" ca="1" si="478"/>
        <v>-</v>
      </c>
      <c r="DB535" s="841"/>
      <c r="DC535" s="832"/>
    </row>
    <row r="536" spans="1:107" s="842" customFormat="1" ht="15.95" customHeight="1" x14ac:dyDescent="0.25">
      <c r="A536" s="790">
        <v>538</v>
      </c>
      <c r="B536" s="791">
        <f t="shared" ca="1" si="427"/>
        <v>43134</v>
      </c>
      <c r="C536" s="792" t="s">
        <v>2553</v>
      </c>
      <c r="D536" s="793" t="s">
        <v>2586</v>
      </c>
      <c r="E536" s="794" t="s">
        <v>1563</v>
      </c>
      <c r="F536" s="853" t="s">
        <v>1680</v>
      </c>
      <c r="G536" s="845"/>
      <c r="H536" s="797" t="s">
        <v>603</v>
      </c>
      <c r="I536" s="798">
        <v>42516</v>
      </c>
      <c r="J536" s="799">
        <f t="shared" ca="1" si="428"/>
        <v>1.6931506849315068</v>
      </c>
      <c r="K536" s="799">
        <f t="shared" ca="1" si="429"/>
        <v>20.6</v>
      </c>
      <c r="L536" s="800">
        <f t="shared" ca="1" si="430"/>
        <v>618</v>
      </c>
      <c r="M536" s="801"/>
      <c r="N536" s="802"/>
      <c r="O536" s="803" t="str">
        <f t="shared" ca="1" si="431"/>
        <v>-</v>
      </c>
      <c r="P536" s="804"/>
      <c r="Q536" s="805" t="s">
        <v>1451</v>
      </c>
      <c r="R536" s="806" t="s">
        <v>2967</v>
      </c>
      <c r="S536" s="807">
        <v>42971</v>
      </c>
      <c r="T536" s="798">
        <v>42971</v>
      </c>
      <c r="U536" s="798" t="str">
        <f t="shared" si="432"/>
        <v>-</v>
      </c>
      <c r="V536" s="804" t="str">
        <f t="shared" ca="1" si="433"/>
        <v>-</v>
      </c>
      <c r="W536" s="808">
        <v>1</v>
      </c>
      <c r="X536" s="794" t="str">
        <f t="shared" si="426"/>
        <v>-</v>
      </c>
      <c r="Y536" s="794">
        <v>0</v>
      </c>
      <c r="Z536" s="809" t="str">
        <f t="shared" ca="1" si="434"/>
        <v>-----</v>
      </c>
      <c r="AA536" s="810">
        <f t="shared" ca="1" si="435"/>
        <v>163</v>
      </c>
      <c r="AB536" s="804"/>
      <c r="AC536" s="811" t="str">
        <f t="shared" ca="1" si="436"/>
        <v>-----</v>
      </c>
      <c r="AD536" s="798"/>
      <c r="AE536" s="794" t="str">
        <f t="shared" ca="1" si="437"/>
        <v>-</v>
      </c>
      <c r="AF536" s="798" t="str">
        <f t="shared" si="438"/>
        <v>-</v>
      </c>
      <c r="AG536" s="812" t="str">
        <f t="shared" si="439"/>
        <v>---------</v>
      </c>
      <c r="AH536" s="807">
        <v>43032</v>
      </c>
      <c r="AI536" s="807" t="str">
        <f t="shared" si="440"/>
        <v>-</v>
      </c>
      <c r="AJ536" s="807" t="str">
        <f t="shared" si="441"/>
        <v>-</v>
      </c>
      <c r="AK536" s="813"/>
      <c r="AL536" s="807" t="str">
        <f t="shared" si="442"/>
        <v>-</v>
      </c>
      <c r="AM536" s="807" t="str">
        <f t="shared" si="443"/>
        <v>-</v>
      </c>
      <c r="AN536" s="814" t="str">
        <f t="shared" ca="1" si="444"/>
        <v>-</v>
      </c>
      <c r="AO536" s="815">
        <v>1</v>
      </c>
      <c r="AP536" s="816" t="str">
        <f t="shared" ca="1" si="445"/>
        <v>-</v>
      </c>
      <c r="AQ536" s="441" t="s">
        <v>3338</v>
      </c>
      <c r="AR536" s="794" t="str">
        <f t="shared" si="446"/>
        <v>-</v>
      </c>
      <c r="AS536" s="818"/>
      <c r="AT536" s="794" t="str">
        <f t="shared" si="447"/>
        <v>-</v>
      </c>
      <c r="AU536" s="819">
        <v>1</v>
      </c>
      <c r="AV536" s="865"/>
      <c r="AW536" s="821"/>
      <c r="AX536" s="821"/>
      <c r="AY536" s="969" t="str">
        <f t="shared" si="448"/>
        <v>-</v>
      </c>
      <c r="AZ536" s="966" t="str">
        <f t="shared" si="449"/>
        <v>-</v>
      </c>
      <c r="BA536" s="971" t="str">
        <f t="shared" si="450"/>
        <v>-</v>
      </c>
      <c r="BB536" s="975"/>
      <c r="BC536" s="821"/>
      <c r="BD536" s="821"/>
      <c r="BE536" s="963" t="str">
        <f t="shared" si="451"/>
        <v>-</v>
      </c>
      <c r="BF536" s="984"/>
      <c r="BG536" s="988"/>
      <c r="BH536" s="982"/>
      <c r="BI536" s="991"/>
      <c r="BJ536" s="991"/>
      <c r="BK536" s="993" t="str">
        <f t="shared" si="452"/>
        <v>-</v>
      </c>
      <c r="BL536" s="865"/>
      <c r="BM536" s="821"/>
      <c r="BN536" s="822" t="str">
        <f t="shared" si="453"/>
        <v>-</v>
      </c>
      <c r="BO536" s="823" t="str">
        <f t="shared" si="454"/>
        <v>-</v>
      </c>
      <c r="BP536" s="868"/>
      <c r="BQ536" s="821"/>
      <c r="BR536" s="822" t="str">
        <f t="shared" si="455"/>
        <v>-</v>
      </c>
      <c r="BS536" s="823" t="str">
        <f t="shared" si="456"/>
        <v>-</v>
      </c>
      <c r="BT536" s="825" t="str">
        <f t="shared" ca="1" si="457"/>
        <v>-</v>
      </c>
      <c r="BU536" s="826"/>
      <c r="BV536" s="827"/>
      <c r="BW536" s="828" t="str">
        <f t="shared" si="458"/>
        <v>Ж-Е НЕ ВАКЦ.</v>
      </c>
      <c r="BX536" s="829" t="str">
        <f t="shared" si="459"/>
        <v>-</v>
      </c>
      <c r="BY536" s="830" t="str">
        <f t="shared" ca="1" si="460"/>
        <v>-</v>
      </c>
      <c r="BZ536" s="831">
        <v>42894</v>
      </c>
      <c r="CA536" s="832">
        <v>5</v>
      </c>
      <c r="CB536" s="833">
        <f t="shared" ca="1" si="461"/>
        <v>240</v>
      </c>
      <c r="CC536" s="834" t="str">
        <f t="shared" ca="1" si="462"/>
        <v>-</v>
      </c>
      <c r="CD536" s="835">
        <f t="shared" si="463"/>
        <v>42915</v>
      </c>
      <c r="CE536" s="831">
        <v>42915</v>
      </c>
      <c r="CF536" s="832">
        <v>5</v>
      </c>
      <c r="CG536" s="833">
        <f t="shared" ca="1" si="464"/>
        <v>219</v>
      </c>
      <c r="CH536" s="836">
        <f t="shared" si="465"/>
        <v>0</v>
      </c>
      <c r="CI536" s="837" t="str">
        <f t="shared" si="466"/>
        <v>УСПЕШНО</v>
      </c>
      <c r="CJ536" s="838" t="str">
        <f t="shared" ca="1" si="467"/>
        <v>-</v>
      </c>
      <c r="CK536" s="831"/>
      <c r="CL536" s="832"/>
      <c r="CM536" s="833" t="str">
        <f t="shared" si="468"/>
        <v>-</v>
      </c>
      <c r="CN536" s="834" t="str">
        <f t="shared" si="469"/>
        <v>-</v>
      </c>
      <c r="CO536" s="830" t="str">
        <f t="shared" ca="1" si="470"/>
        <v>-</v>
      </c>
      <c r="CP536" s="839"/>
      <c r="CQ536" s="832"/>
      <c r="CR536" s="833" t="str">
        <f t="shared" si="471"/>
        <v>-</v>
      </c>
      <c r="CS536" s="833" t="str">
        <f t="shared" si="472"/>
        <v>-</v>
      </c>
      <c r="CT536" s="834" t="str">
        <f t="shared" si="473"/>
        <v>-</v>
      </c>
      <c r="CU536" s="835" t="str">
        <f t="shared" si="474"/>
        <v>-</v>
      </c>
      <c r="CV536" s="839"/>
      <c r="CW536" s="832"/>
      <c r="CX536" s="833" t="str">
        <f t="shared" si="475"/>
        <v>-</v>
      </c>
      <c r="CY536" s="840" t="str">
        <f t="shared" si="476"/>
        <v>-</v>
      </c>
      <c r="CZ536" s="833" t="str">
        <f t="shared" si="477"/>
        <v>-</v>
      </c>
      <c r="DA536" s="838" t="str">
        <f t="shared" ca="1" si="478"/>
        <v>-</v>
      </c>
      <c r="DB536" s="841"/>
      <c r="DC536" s="832"/>
    </row>
    <row r="537" spans="1:107" s="842" customFormat="1" ht="15.95" customHeight="1" x14ac:dyDescent="0.25">
      <c r="A537" s="790">
        <v>539</v>
      </c>
      <c r="B537" s="791">
        <f t="shared" ca="1" si="427"/>
        <v>43134</v>
      </c>
      <c r="C537" s="792" t="s">
        <v>2553</v>
      </c>
      <c r="D537" s="793" t="s">
        <v>2586</v>
      </c>
      <c r="E537" s="794" t="s">
        <v>1563</v>
      </c>
      <c r="F537" s="853" t="s">
        <v>1657</v>
      </c>
      <c r="G537" s="845"/>
      <c r="H537" s="797" t="s">
        <v>603</v>
      </c>
      <c r="I537" s="798">
        <v>42552</v>
      </c>
      <c r="J537" s="799">
        <f t="shared" ca="1" si="428"/>
        <v>1.5945205479452054</v>
      </c>
      <c r="K537" s="799">
        <f t="shared" ca="1" si="429"/>
        <v>19.399999999999999</v>
      </c>
      <c r="L537" s="800">
        <f t="shared" ca="1" si="430"/>
        <v>582</v>
      </c>
      <c r="M537" s="801"/>
      <c r="N537" s="802"/>
      <c r="O537" s="803" t="str">
        <f t="shared" ca="1" si="431"/>
        <v>-</v>
      </c>
      <c r="P537" s="804"/>
      <c r="Q537" s="805" t="s">
        <v>1451</v>
      </c>
      <c r="R537" s="806" t="s">
        <v>2435</v>
      </c>
      <c r="S537" s="807">
        <v>42956</v>
      </c>
      <c r="T537" s="798">
        <v>42956</v>
      </c>
      <c r="U537" s="798" t="str">
        <f t="shared" si="432"/>
        <v>-</v>
      </c>
      <c r="V537" s="804" t="str">
        <f t="shared" ca="1" si="433"/>
        <v>-</v>
      </c>
      <c r="W537" s="808">
        <v>1</v>
      </c>
      <c r="X537" s="794" t="str">
        <f t="shared" si="426"/>
        <v>-</v>
      </c>
      <c r="Y537" s="794">
        <v>1</v>
      </c>
      <c r="Z537" s="809" t="str">
        <f t="shared" ca="1" si="434"/>
        <v>ПОДЛЕЖИТ ПЕРЕПРОВЕРКЕ</v>
      </c>
      <c r="AA537" s="810">
        <f t="shared" ca="1" si="435"/>
        <v>178</v>
      </c>
      <c r="AB537" s="804"/>
      <c r="AC537" s="811">
        <f t="shared" ca="1" si="436"/>
        <v>43028</v>
      </c>
      <c r="AD537" s="798"/>
      <c r="AE537" s="794" t="str">
        <f t="shared" ca="1" si="437"/>
        <v>-</v>
      </c>
      <c r="AF537" s="798" t="str">
        <f t="shared" si="438"/>
        <v>-</v>
      </c>
      <c r="AG537" s="812" t="str">
        <f t="shared" si="439"/>
        <v>---------</v>
      </c>
      <c r="AH537" s="807">
        <v>43032</v>
      </c>
      <c r="AI537" s="807" t="str">
        <f t="shared" si="440"/>
        <v>-</v>
      </c>
      <c r="AJ537" s="807" t="str">
        <f t="shared" si="441"/>
        <v>-</v>
      </c>
      <c r="AK537" s="813"/>
      <c r="AL537" s="807">
        <f t="shared" si="442"/>
        <v>43215</v>
      </c>
      <c r="AM537" s="807">
        <f t="shared" si="443"/>
        <v>43236</v>
      </c>
      <c r="AN537" s="814">
        <f t="shared" ca="1" si="444"/>
        <v>-102</v>
      </c>
      <c r="AO537" s="815">
        <v>1</v>
      </c>
      <c r="AP537" s="816" t="str">
        <f t="shared" ca="1" si="445"/>
        <v>-</v>
      </c>
      <c r="AQ537" s="817"/>
      <c r="AR537" s="794" t="str">
        <f t="shared" si="446"/>
        <v>НЕТЕЛЬ</v>
      </c>
      <c r="AS537" s="818"/>
      <c r="AT537" s="794" t="str">
        <f t="shared" si="447"/>
        <v>-</v>
      </c>
      <c r="AU537" s="819">
        <v>1</v>
      </c>
      <c r="AV537" s="820"/>
      <c r="AW537" s="821"/>
      <c r="AX537" s="821"/>
      <c r="AY537" s="969" t="str">
        <f t="shared" si="448"/>
        <v>-</v>
      </c>
      <c r="AZ537" s="966" t="str">
        <f t="shared" si="449"/>
        <v>-</v>
      </c>
      <c r="BA537" s="971" t="str">
        <f t="shared" si="450"/>
        <v>-</v>
      </c>
      <c r="BB537" s="975"/>
      <c r="BC537" s="821"/>
      <c r="BD537" s="821"/>
      <c r="BE537" s="963" t="str">
        <f t="shared" si="451"/>
        <v>-</v>
      </c>
      <c r="BF537" s="984"/>
      <c r="BG537" s="988"/>
      <c r="BH537" s="982"/>
      <c r="BI537" s="991"/>
      <c r="BJ537" s="991"/>
      <c r="BK537" s="993" t="str">
        <f t="shared" si="452"/>
        <v>-</v>
      </c>
      <c r="BL537" s="820">
        <v>42978</v>
      </c>
      <c r="BM537" s="821">
        <v>5</v>
      </c>
      <c r="BN537" s="822">
        <f t="shared" ca="1" si="453"/>
        <v>156</v>
      </c>
      <c r="BO537" s="823">
        <f t="shared" si="454"/>
        <v>14.2</v>
      </c>
      <c r="BP537" s="824"/>
      <c r="BQ537" s="821"/>
      <c r="BR537" s="822" t="str">
        <f t="shared" si="455"/>
        <v>-</v>
      </c>
      <c r="BS537" s="823" t="str">
        <f t="shared" si="456"/>
        <v>-</v>
      </c>
      <c r="BT537" s="825" t="str">
        <f t="shared" ca="1" si="457"/>
        <v>-</v>
      </c>
      <c r="BU537" s="826"/>
      <c r="BV537" s="827"/>
      <c r="BW537" s="828" t="str">
        <f t="shared" si="458"/>
        <v>Ж-Е НЕ ВАКЦ.</v>
      </c>
      <c r="BX537" s="829" t="str">
        <f t="shared" si="459"/>
        <v>-</v>
      </c>
      <c r="BY537" s="830" t="str">
        <f t="shared" ca="1" si="460"/>
        <v>-</v>
      </c>
      <c r="BZ537" s="831">
        <v>42894</v>
      </c>
      <c r="CA537" s="832">
        <v>5</v>
      </c>
      <c r="CB537" s="833">
        <f t="shared" ca="1" si="461"/>
        <v>240</v>
      </c>
      <c r="CC537" s="834" t="str">
        <f t="shared" ca="1" si="462"/>
        <v>-</v>
      </c>
      <c r="CD537" s="835">
        <f t="shared" si="463"/>
        <v>42915</v>
      </c>
      <c r="CE537" s="831">
        <v>42915</v>
      </c>
      <c r="CF537" s="832">
        <v>5</v>
      </c>
      <c r="CG537" s="833">
        <f t="shared" ca="1" si="464"/>
        <v>219</v>
      </c>
      <c r="CH537" s="836">
        <f t="shared" si="465"/>
        <v>0</v>
      </c>
      <c r="CI537" s="837" t="str">
        <f t="shared" si="466"/>
        <v>УСПЕШНО</v>
      </c>
      <c r="CJ537" s="838" t="str">
        <f t="shared" ca="1" si="467"/>
        <v>-</v>
      </c>
      <c r="CK537" s="831"/>
      <c r="CL537" s="832"/>
      <c r="CM537" s="833" t="str">
        <f t="shared" si="468"/>
        <v>-</v>
      </c>
      <c r="CN537" s="834" t="str">
        <f t="shared" si="469"/>
        <v>-</v>
      </c>
      <c r="CO537" s="830" t="str">
        <f t="shared" ca="1" si="470"/>
        <v>-</v>
      </c>
      <c r="CP537" s="839"/>
      <c r="CQ537" s="832"/>
      <c r="CR537" s="833" t="str">
        <f t="shared" si="471"/>
        <v>-</v>
      </c>
      <c r="CS537" s="833" t="str">
        <f t="shared" si="472"/>
        <v>-</v>
      </c>
      <c r="CT537" s="834" t="str">
        <f t="shared" si="473"/>
        <v>-</v>
      </c>
      <c r="CU537" s="835" t="str">
        <f t="shared" si="474"/>
        <v>-</v>
      </c>
      <c r="CV537" s="839"/>
      <c r="CW537" s="832"/>
      <c r="CX537" s="833" t="str">
        <f t="shared" si="475"/>
        <v>-</v>
      </c>
      <c r="CY537" s="840" t="str">
        <f t="shared" si="476"/>
        <v>-</v>
      </c>
      <c r="CZ537" s="833" t="str">
        <f t="shared" si="477"/>
        <v>-</v>
      </c>
      <c r="DA537" s="838" t="str">
        <f t="shared" ca="1" si="478"/>
        <v>-</v>
      </c>
      <c r="DB537" s="841"/>
      <c r="DC537" s="832"/>
    </row>
    <row r="538" spans="1:107" s="842" customFormat="1" ht="15.95" customHeight="1" x14ac:dyDescent="0.25">
      <c r="A538" s="790">
        <v>540</v>
      </c>
      <c r="B538" s="791">
        <f t="shared" ca="1" si="427"/>
        <v>43134</v>
      </c>
      <c r="C538" s="792" t="s">
        <v>2553</v>
      </c>
      <c r="D538" s="793" t="s">
        <v>2586</v>
      </c>
      <c r="E538" s="794" t="s">
        <v>1563</v>
      </c>
      <c r="F538" s="853" t="s">
        <v>1565</v>
      </c>
      <c r="G538" s="845"/>
      <c r="H538" s="797" t="s">
        <v>603</v>
      </c>
      <c r="I538" s="798">
        <v>42559</v>
      </c>
      <c r="J538" s="799">
        <f t="shared" ca="1" si="428"/>
        <v>1.5753424657534247</v>
      </c>
      <c r="K538" s="799">
        <f t="shared" ca="1" si="429"/>
        <v>19.166666666666668</v>
      </c>
      <c r="L538" s="800">
        <f t="shared" ca="1" si="430"/>
        <v>575</v>
      </c>
      <c r="M538" s="801"/>
      <c r="N538" s="802"/>
      <c r="O538" s="803" t="str">
        <f t="shared" ca="1" si="431"/>
        <v>-</v>
      </c>
      <c r="P538" s="804"/>
      <c r="Q538" s="805"/>
      <c r="R538" s="806"/>
      <c r="S538" s="807">
        <v>42957</v>
      </c>
      <c r="T538" s="798">
        <v>42957</v>
      </c>
      <c r="U538" s="798">
        <f t="shared" si="432"/>
        <v>42975</v>
      </c>
      <c r="V538" s="804">
        <f t="shared" ca="1" si="433"/>
        <v>159</v>
      </c>
      <c r="W538" s="808">
        <v>0</v>
      </c>
      <c r="X538" s="794" t="str">
        <f t="shared" si="426"/>
        <v>-</v>
      </c>
      <c r="Y538" s="794">
        <v>5</v>
      </c>
      <c r="Z538" s="809" t="str">
        <f t="shared" ca="1" si="434"/>
        <v>-----</v>
      </c>
      <c r="AA538" s="810">
        <f t="shared" ca="1" si="435"/>
        <v>177</v>
      </c>
      <c r="AB538" s="804"/>
      <c r="AC538" s="811" t="str">
        <f t="shared" ca="1" si="436"/>
        <v>-----</v>
      </c>
      <c r="AD538" s="798"/>
      <c r="AE538" s="794" t="str">
        <f t="shared" ca="1" si="437"/>
        <v>-</v>
      </c>
      <c r="AF538" s="798" t="str">
        <f t="shared" si="438"/>
        <v>-</v>
      </c>
      <c r="AG538" s="812" t="str">
        <f t="shared" si="439"/>
        <v>---------</v>
      </c>
      <c r="AH538" s="807"/>
      <c r="AI538" s="807" t="str">
        <f t="shared" si="440"/>
        <v>-</v>
      </c>
      <c r="AJ538" s="807" t="str">
        <f t="shared" si="441"/>
        <v>-</v>
      </c>
      <c r="AK538" s="813"/>
      <c r="AL538" s="807" t="str">
        <f t="shared" si="442"/>
        <v>-</v>
      </c>
      <c r="AM538" s="807" t="str">
        <f t="shared" si="443"/>
        <v>-</v>
      </c>
      <c r="AN538" s="814" t="str">
        <f t="shared" ca="1" si="444"/>
        <v>-</v>
      </c>
      <c r="AO538" s="815">
        <v>1</v>
      </c>
      <c r="AP538" s="816" t="str">
        <f t="shared" ca="1" si="445"/>
        <v>-</v>
      </c>
      <c r="AQ538" s="817"/>
      <c r="AR538" s="794" t="str">
        <f t="shared" si="446"/>
        <v>-</v>
      </c>
      <c r="AS538" s="818"/>
      <c r="AT538" s="794" t="str">
        <f t="shared" si="447"/>
        <v>-</v>
      </c>
      <c r="AU538" s="819">
        <v>1</v>
      </c>
      <c r="AV538" s="820"/>
      <c r="AW538" s="821"/>
      <c r="AX538" s="821"/>
      <c r="AY538" s="969" t="str">
        <f t="shared" si="448"/>
        <v>-</v>
      </c>
      <c r="AZ538" s="966" t="str">
        <f t="shared" si="449"/>
        <v>-</v>
      </c>
      <c r="BA538" s="971" t="str">
        <f t="shared" si="450"/>
        <v>-</v>
      </c>
      <c r="BB538" s="975"/>
      <c r="BC538" s="821"/>
      <c r="BD538" s="821"/>
      <c r="BE538" s="963" t="str">
        <f t="shared" si="451"/>
        <v>-</v>
      </c>
      <c r="BF538" s="984"/>
      <c r="BG538" s="988"/>
      <c r="BH538" s="982"/>
      <c r="BI538" s="991"/>
      <c r="BJ538" s="991"/>
      <c r="BK538" s="993" t="str">
        <f t="shared" si="452"/>
        <v>-</v>
      </c>
      <c r="BL538" s="820">
        <v>42978</v>
      </c>
      <c r="BM538" s="821">
        <v>5</v>
      </c>
      <c r="BN538" s="822">
        <f t="shared" ca="1" si="453"/>
        <v>156</v>
      </c>
      <c r="BO538" s="823">
        <f t="shared" si="454"/>
        <v>13.966666666666667</v>
      </c>
      <c r="BP538" s="824"/>
      <c r="BQ538" s="821"/>
      <c r="BR538" s="822" t="str">
        <f t="shared" si="455"/>
        <v>-</v>
      </c>
      <c r="BS538" s="823" t="str">
        <f t="shared" si="456"/>
        <v>-</v>
      </c>
      <c r="BT538" s="825" t="str">
        <f t="shared" ca="1" si="457"/>
        <v>-</v>
      </c>
      <c r="BU538" s="826"/>
      <c r="BV538" s="827"/>
      <c r="BW538" s="828" t="str">
        <f t="shared" si="458"/>
        <v>Ж-Е НЕ ВАКЦ.</v>
      </c>
      <c r="BX538" s="829" t="str">
        <f t="shared" si="459"/>
        <v>-</v>
      </c>
      <c r="BY538" s="830" t="str">
        <f t="shared" ca="1" si="460"/>
        <v>-</v>
      </c>
      <c r="BZ538" s="831">
        <v>42894</v>
      </c>
      <c r="CA538" s="832">
        <v>5</v>
      </c>
      <c r="CB538" s="833">
        <f t="shared" ca="1" si="461"/>
        <v>240</v>
      </c>
      <c r="CC538" s="834" t="str">
        <f t="shared" ca="1" si="462"/>
        <v>-</v>
      </c>
      <c r="CD538" s="835">
        <f t="shared" si="463"/>
        <v>42915</v>
      </c>
      <c r="CE538" s="831">
        <v>42915</v>
      </c>
      <c r="CF538" s="832">
        <v>5</v>
      </c>
      <c r="CG538" s="833">
        <f t="shared" ca="1" si="464"/>
        <v>219</v>
      </c>
      <c r="CH538" s="836">
        <f t="shared" si="465"/>
        <v>0</v>
      </c>
      <c r="CI538" s="837" t="str">
        <f t="shared" si="466"/>
        <v>УСПЕШНО</v>
      </c>
      <c r="CJ538" s="838" t="str">
        <f t="shared" ca="1" si="467"/>
        <v>-</v>
      </c>
      <c r="CK538" s="831"/>
      <c r="CL538" s="832"/>
      <c r="CM538" s="833" t="str">
        <f t="shared" si="468"/>
        <v>-</v>
      </c>
      <c r="CN538" s="834" t="str">
        <f t="shared" si="469"/>
        <v>-</v>
      </c>
      <c r="CO538" s="830" t="str">
        <f t="shared" ca="1" si="470"/>
        <v>-</v>
      </c>
      <c r="CP538" s="839"/>
      <c r="CQ538" s="832"/>
      <c r="CR538" s="833" t="str">
        <f t="shared" si="471"/>
        <v>-</v>
      </c>
      <c r="CS538" s="833" t="str">
        <f t="shared" si="472"/>
        <v>-</v>
      </c>
      <c r="CT538" s="834" t="str">
        <f t="shared" si="473"/>
        <v>-</v>
      </c>
      <c r="CU538" s="835" t="str">
        <f t="shared" si="474"/>
        <v>-</v>
      </c>
      <c r="CV538" s="839"/>
      <c r="CW538" s="832"/>
      <c r="CX538" s="833" t="str">
        <f t="shared" si="475"/>
        <v>-</v>
      </c>
      <c r="CY538" s="840" t="str">
        <f t="shared" si="476"/>
        <v>-</v>
      </c>
      <c r="CZ538" s="833" t="str">
        <f t="shared" si="477"/>
        <v>-</v>
      </c>
      <c r="DA538" s="838" t="str">
        <f t="shared" ca="1" si="478"/>
        <v>-</v>
      </c>
      <c r="DB538" s="841"/>
      <c r="DC538" s="832"/>
    </row>
    <row r="539" spans="1:107" s="842" customFormat="1" ht="15.95" customHeight="1" x14ac:dyDescent="0.25">
      <c r="A539" s="790">
        <v>541</v>
      </c>
      <c r="B539" s="791">
        <f t="shared" ca="1" si="427"/>
        <v>43134</v>
      </c>
      <c r="C539" s="792" t="s">
        <v>2553</v>
      </c>
      <c r="D539" s="793" t="s">
        <v>2586</v>
      </c>
      <c r="E539" s="794" t="s">
        <v>1563</v>
      </c>
      <c r="F539" s="853" t="s">
        <v>1578</v>
      </c>
      <c r="G539" s="845"/>
      <c r="H539" s="797" t="s">
        <v>603</v>
      </c>
      <c r="I539" s="798">
        <v>42563</v>
      </c>
      <c r="J539" s="799">
        <f t="shared" ca="1" si="428"/>
        <v>1.5643835616438355</v>
      </c>
      <c r="K539" s="799">
        <f t="shared" ca="1" si="429"/>
        <v>19.033333333333335</v>
      </c>
      <c r="L539" s="800">
        <f t="shared" ca="1" si="430"/>
        <v>571</v>
      </c>
      <c r="M539" s="801"/>
      <c r="N539" s="802"/>
      <c r="O539" s="803" t="str">
        <f t="shared" ca="1" si="431"/>
        <v>-</v>
      </c>
      <c r="P539" s="804"/>
      <c r="Q539" s="805" t="s">
        <v>2366</v>
      </c>
      <c r="R539" s="806" t="s">
        <v>2435</v>
      </c>
      <c r="S539" s="807">
        <v>42960</v>
      </c>
      <c r="T539" s="798">
        <v>42960</v>
      </c>
      <c r="U539" s="798" t="str">
        <f t="shared" si="432"/>
        <v>-</v>
      </c>
      <c r="V539" s="804" t="str">
        <f t="shared" ca="1" si="433"/>
        <v>-</v>
      </c>
      <c r="W539" s="808">
        <v>1</v>
      </c>
      <c r="X539" s="794" t="str">
        <f t="shared" si="426"/>
        <v>-</v>
      </c>
      <c r="Y539" s="794">
        <v>0</v>
      </c>
      <c r="Z539" s="809" t="str">
        <f t="shared" ca="1" si="434"/>
        <v>-----</v>
      </c>
      <c r="AA539" s="810">
        <f t="shared" ca="1" si="435"/>
        <v>174</v>
      </c>
      <c r="AB539" s="804"/>
      <c r="AC539" s="811" t="str">
        <f t="shared" ca="1" si="436"/>
        <v>-----</v>
      </c>
      <c r="AD539" s="798"/>
      <c r="AE539" s="794" t="str">
        <f t="shared" ca="1" si="437"/>
        <v>-</v>
      </c>
      <c r="AF539" s="798" t="str">
        <f t="shared" si="438"/>
        <v>-</v>
      </c>
      <c r="AG539" s="812" t="str">
        <f t="shared" si="439"/>
        <v>---------</v>
      </c>
      <c r="AH539" s="807">
        <v>43032</v>
      </c>
      <c r="AI539" s="807" t="str">
        <f t="shared" si="440"/>
        <v>-</v>
      </c>
      <c r="AJ539" s="807" t="str">
        <f t="shared" si="441"/>
        <v>-</v>
      </c>
      <c r="AK539" s="813"/>
      <c r="AL539" s="807" t="str">
        <f t="shared" si="442"/>
        <v>-</v>
      </c>
      <c r="AM539" s="807" t="str">
        <f t="shared" si="443"/>
        <v>-</v>
      </c>
      <c r="AN539" s="814" t="str">
        <f t="shared" ca="1" si="444"/>
        <v>-</v>
      </c>
      <c r="AO539" s="815">
        <v>1</v>
      </c>
      <c r="AP539" s="816" t="str">
        <f t="shared" ca="1" si="445"/>
        <v>-</v>
      </c>
      <c r="AQ539" s="441" t="s">
        <v>3338</v>
      </c>
      <c r="AR539" s="794" t="str">
        <f t="shared" si="446"/>
        <v>-</v>
      </c>
      <c r="AS539" s="818"/>
      <c r="AT539" s="794" t="str">
        <f t="shared" si="447"/>
        <v>-</v>
      </c>
      <c r="AU539" s="819">
        <v>1</v>
      </c>
      <c r="AV539" s="820"/>
      <c r="AW539" s="821"/>
      <c r="AX539" s="821"/>
      <c r="AY539" s="969" t="str">
        <f t="shared" si="448"/>
        <v>-</v>
      </c>
      <c r="AZ539" s="966" t="str">
        <f t="shared" si="449"/>
        <v>-</v>
      </c>
      <c r="BA539" s="971" t="str">
        <f t="shared" si="450"/>
        <v>-</v>
      </c>
      <c r="BB539" s="975"/>
      <c r="BC539" s="821"/>
      <c r="BD539" s="821"/>
      <c r="BE539" s="963" t="str">
        <f t="shared" si="451"/>
        <v>-</v>
      </c>
      <c r="BF539" s="984"/>
      <c r="BG539" s="988"/>
      <c r="BH539" s="982"/>
      <c r="BI539" s="991"/>
      <c r="BJ539" s="991"/>
      <c r="BK539" s="993" t="str">
        <f t="shared" si="452"/>
        <v>-</v>
      </c>
      <c r="BL539" s="820">
        <v>42978</v>
      </c>
      <c r="BM539" s="821">
        <v>5</v>
      </c>
      <c r="BN539" s="822">
        <f t="shared" ca="1" si="453"/>
        <v>156</v>
      </c>
      <c r="BO539" s="823">
        <f t="shared" si="454"/>
        <v>13.833333333333334</v>
      </c>
      <c r="BP539" s="824"/>
      <c r="BQ539" s="821"/>
      <c r="BR539" s="822" t="str">
        <f t="shared" si="455"/>
        <v>-</v>
      </c>
      <c r="BS539" s="823" t="str">
        <f t="shared" si="456"/>
        <v>-</v>
      </c>
      <c r="BT539" s="825" t="str">
        <f t="shared" ca="1" si="457"/>
        <v>-</v>
      </c>
      <c r="BU539" s="826"/>
      <c r="BV539" s="827"/>
      <c r="BW539" s="828" t="str">
        <f t="shared" si="458"/>
        <v>Ж-Е НЕ ВАКЦ.</v>
      </c>
      <c r="BX539" s="829" t="str">
        <f t="shared" si="459"/>
        <v>-</v>
      </c>
      <c r="BY539" s="830" t="str">
        <f t="shared" ca="1" si="460"/>
        <v>-</v>
      </c>
      <c r="BZ539" s="831">
        <v>42894</v>
      </c>
      <c r="CA539" s="832">
        <v>5</v>
      </c>
      <c r="CB539" s="833">
        <f t="shared" ca="1" si="461"/>
        <v>240</v>
      </c>
      <c r="CC539" s="834" t="str">
        <f t="shared" ca="1" si="462"/>
        <v>-</v>
      </c>
      <c r="CD539" s="835">
        <f t="shared" si="463"/>
        <v>42915</v>
      </c>
      <c r="CE539" s="831">
        <v>42915</v>
      </c>
      <c r="CF539" s="832">
        <v>5</v>
      </c>
      <c r="CG539" s="833">
        <f t="shared" ca="1" si="464"/>
        <v>219</v>
      </c>
      <c r="CH539" s="836">
        <f t="shared" si="465"/>
        <v>0</v>
      </c>
      <c r="CI539" s="837" t="str">
        <f t="shared" si="466"/>
        <v>УСПЕШНО</v>
      </c>
      <c r="CJ539" s="838" t="str">
        <f t="shared" ca="1" si="467"/>
        <v>-</v>
      </c>
      <c r="CK539" s="831"/>
      <c r="CL539" s="832"/>
      <c r="CM539" s="833" t="str">
        <f t="shared" si="468"/>
        <v>-</v>
      </c>
      <c r="CN539" s="834" t="str">
        <f t="shared" si="469"/>
        <v>-</v>
      </c>
      <c r="CO539" s="830" t="str">
        <f t="shared" ca="1" si="470"/>
        <v>-</v>
      </c>
      <c r="CP539" s="839"/>
      <c r="CQ539" s="832"/>
      <c r="CR539" s="833" t="str">
        <f t="shared" si="471"/>
        <v>-</v>
      </c>
      <c r="CS539" s="833" t="str">
        <f t="shared" si="472"/>
        <v>-</v>
      </c>
      <c r="CT539" s="834" t="str">
        <f t="shared" si="473"/>
        <v>-</v>
      </c>
      <c r="CU539" s="835" t="str">
        <f t="shared" si="474"/>
        <v>-</v>
      </c>
      <c r="CV539" s="839"/>
      <c r="CW539" s="832"/>
      <c r="CX539" s="833" t="str">
        <f t="shared" si="475"/>
        <v>-</v>
      </c>
      <c r="CY539" s="840" t="str">
        <f t="shared" si="476"/>
        <v>-</v>
      </c>
      <c r="CZ539" s="833" t="str">
        <f t="shared" si="477"/>
        <v>-</v>
      </c>
      <c r="DA539" s="838" t="str">
        <f t="shared" ca="1" si="478"/>
        <v>-</v>
      </c>
      <c r="DB539" s="841"/>
      <c r="DC539" s="832"/>
    </row>
    <row r="540" spans="1:107" s="842" customFormat="1" ht="15.95" customHeight="1" x14ac:dyDescent="0.25">
      <c r="A540" s="790">
        <v>542</v>
      </c>
      <c r="B540" s="791">
        <f t="shared" ca="1" si="427"/>
        <v>43134</v>
      </c>
      <c r="C540" s="792" t="s">
        <v>2553</v>
      </c>
      <c r="D540" s="793" t="s">
        <v>2586</v>
      </c>
      <c r="E540" s="794" t="s">
        <v>1563</v>
      </c>
      <c r="F540" s="853" t="s">
        <v>1599</v>
      </c>
      <c r="G540" s="845"/>
      <c r="H540" s="797" t="s">
        <v>603</v>
      </c>
      <c r="I540" s="798">
        <v>42570</v>
      </c>
      <c r="J540" s="799">
        <f t="shared" ca="1" si="428"/>
        <v>1.5452054794520549</v>
      </c>
      <c r="K540" s="799">
        <f t="shared" ca="1" si="429"/>
        <v>18.8</v>
      </c>
      <c r="L540" s="800">
        <f t="shared" ca="1" si="430"/>
        <v>564</v>
      </c>
      <c r="M540" s="801"/>
      <c r="N540" s="802"/>
      <c r="O540" s="803" t="str">
        <f t="shared" ca="1" si="431"/>
        <v>-</v>
      </c>
      <c r="P540" s="804"/>
      <c r="Q540" s="805" t="s">
        <v>1451</v>
      </c>
      <c r="R540" s="806" t="s">
        <v>2435</v>
      </c>
      <c r="S540" s="807">
        <v>43016</v>
      </c>
      <c r="T540" s="798">
        <v>43016</v>
      </c>
      <c r="U540" s="798">
        <f t="shared" si="432"/>
        <v>43034</v>
      </c>
      <c r="V540" s="804">
        <f t="shared" ca="1" si="433"/>
        <v>100</v>
      </c>
      <c r="W540" s="808">
        <v>1</v>
      </c>
      <c r="X540" s="794" t="str">
        <f t="shared" si="426"/>
        <v>-</v>
      </c>
      <c r="Y540" s="794">
        <v>3</v>
      </c>
      <c r="Z540" s="809" t="str">
        <f t="shared" ca="1" si="434"/>
        <v>-----</v>
      </c>
      <c r="AA540" s="810">
        <f t="shared" ca="1" si="435"/>
        <v>118</v>
      </c>
      <c r="AB540" s="804"/>
      <c r="AC540" s="811" t="str">
        <f t="shared" ca="1" si="436"/>
        <v>-----</v>
      </c>
      <c r="AD540" s="798"/>
      <c r="AE540" s="794" t="str">
        <f t="shared" ca="1" si="437"/>
        <v>-</v>
      </c>
      <c r="AF540" s="798">
        <f t="shared" si="438"/>
        <v>43051</v>
      </c>
      <c r="AG540" s="812">
        <f t="shared" ca="1" si="439"/>
        <v>83</v>
      </c>
      <c r="AH540" s="807"/>
      <c r="AI540" s="807" t="str">
        <f t="shared" si="440"/>
        <v>-</v>
      </c>
      <c r="AJ540" s="807" t="str">
        <f t="shared" si="441"/>
        <v>-</v>
      </c>
      <c r="AK540" s="813"/>
      <c r="AL540" s="807" t="str">
        <f t="shared" si="442"/>
        <v>-</v>
      </c>
      <c r="AM540" s="807" t="str">
        <f t="shared" si="443"/>
        <v>-</v>
      </c>
      <c r="AN540" s="814" t="str">
        <f t="shared" ca="1" si="444"/>
        <v>-</v>
      </c>
      <c r="AO540" s="815">
        <v>1</v>
      </c>
      <c r="AP540" s="816" t="str">
        <f t="shared" ca="1" si="445"/>
        <v>-</v>
      </c>
      <c r="AQ540" s="817"/>
      <c r="AR540" s="794" t="str">
        <f t="shared" si="446"/>
        <v>-</v>
      </c>
      <c r="AS540" s="818"/>
      <c r="AT540" s="794" t="str">
        <f t="shared" si="447"/>
        <v>-</v>
      </c>
      <c r="AU540" s="819">
        <v>1</v>
      </c>
      <c r="AV540" s="820"/>
      <c r="AW540" s="821"/>
      <c r="AX540" s="821"/>
      <c r="AY540" s="969" t="str">
        <f t="shared" si="448"/>
        <v>-</v>
      </c>
      <c r="AZ540" s="966" t="str">
        <f t="shared" si="449"/>
        <v>-</v>
      </c>
      <c r="BA540" s="971" t="str">
        <f t="shared" si="450"/>
        <v>-</v>
      </c>
      <c r="BB540" s="975"/>
      <c r="BC540" s="821"/>
      <c r="BD540" s="821"/>
      <c r="BE540" s="963" t="str">
        <f t="shared" si="451"/>
        <v>-</v>
      </c>
      <c r="BF540" s="984"/>
      <c r="BG540" s="988"/>
      <c r="BH540" s="982"/>
      <c r="BI540" s="991"/>
      <c r="BJ540" s="991"/>
      <c r="BK540" s="993" t="str">
        <f t="shared" si="452"/>
        <v>-</v>
      </c>
      <c r="BL540" s="820">
        <v>42978</v>
      </c>
      <c r="BM540" s="821">
        <v>5</v>
      </c>
      <c r="BN540" s="822">
        <f t="shared" ca="1" si="453"/>
        <v>156</v>
      </c>
      <c r="BO540" s="823">
        <f t="shared" si="454"/>
        <v>13.6</v>
      </c>
      <c r="BP540" s="824"/>
      <c r="BQ540" s="821"/>
      <c r="BR540" s="822" t="str">
        <f t="shared" si="455"/>
        <v>-</v>
      </c>
      <c r="BS540" s="823" t="str">
        <f t="shared" si="456"/>
        <v>-</v>
      </c>
      <c r="BT540" s="825" t="str">
        <f t="shared" ca="1" si="457"/>
        <v>-</v>
      </c>
      <c r="BU540" s="826"/>
      <c r="BV540" s="827"/>
      <c r="BW540" s="828" t="str">
        <f t="shared" si="458"/>
        <v>Ж-Е НЕ ВАКЦ.</v>
      </c>
      <c r="BX540" s="829" t="str">
        <f t="shared" si="459"/>
        <v>-</v>
      </c>
      <c r="BY540" s="830" t="str">
        <f t="shared" ca="1" si="460"/>
        <v>-</v>
      </c>
      <c r="BZ540" s="831">
        <v>42894</v>
      </c>
      <c r="CA540" s="832">
        <v>5</v>
      </c>
      <c r="CB540" s="833">
        <f t="shared" ca="1" si="461"/>
        <v>240</v>
      </c>
      <c r="CC540" s="834" t="str">
        <f t="shared" ca="1" si="462"/>
        <v>-</v>
      </c>
      <c r="CD540" s="835">
        <f t="shared" si="463"/>
        <v>42915</v>
      </c>
      <c r="CE540" s="831">
        <v>42915</v>
      </c>
      <c r="CF540" s="832">
        <v>5</v>
      </c>
      <c r="CG540" s="833">
        <f t="shared" ca="1" si="464"/>
        <v>219</v>
      </c>
      <c r="CH540" s="836">
        <f t="shared" si="465"/>
        <v>0</v>
      </c>
      <c r="CI540" s="837" t="str">
        <f t="shared" si="466"/>
        <v>УСПЕШНО</v>
      </c>
      <c r="CJ540" s="838" t="str">
        <f t="shared" ca="1" si="467"/>
        <v>-</v>
      </c>
      <c r="CK540" s="831"/>
      <c r="CL540" s="832"/>
      <c r="CM540" s="833" t="str">
        <f t="shared" si="468"/>
        <v>-</v>
      </c>
      <c r="CN540" s="834" t="str">
        <f t="shared" si="469"/>
        <v>-</v>
      </c>
      <c r="CO540" s="830" t="str">
        <f t="shared" ca="1" si="470"/>
        <v>-</v>
      </c>
      <c r="CP540" s="839"/>
      <c r="CQ540" s="832"/>
      <c r="CR540" s="833" t="str">
        <f t="shared" si="471"/>
        <v>-</v>
      </c>
      <c r="CS540" s="833" t="str">
        <f t="shared" si="472"/>
        <v>-</v>
      </c>
      <c r="CT540" s="834" t="str">
        <f t="shared" si="473"/>
        <v>-</v>
      </c>
      <c r="CU540" s="835" t="str">
        <f t="shared" si="474"/>
        <v>-</v>
      </c>
      <c r="CV540" s="839"/>
      <c r="CW540" s="832"/>
      <c r="CX540" s="833" t="str">
        <f t="shared" si="475"/>
        <v>-</v>
      </c>
      <c r="CY540" s="840" t="str">
        <f t="shared" si="476"/>
        <v>-</v>
      </c>
      <c r="CZ540" s="833" t="str">
        <f t="shared" si="477"/>
        <v>-</v>
      </c>
      <c r="DA540" s="838" t="str">
        <f t="shared" ca="1" si="478"/>
        <v>-</v>
      </c>
      <c r="DB540" s="841"/>
      <c r="DC540" s="832"/>
    </row>
    <row r="541" spans="1:107" s="842" customFormat="1" ht="15.95" customHeight="1" x14ac:dyDescent="0.25">
      <c r="A541" s="790">
        <v>543</v>
      </c>
      <c r="B541" s="791">
        <f t="shared" ca="1" si="427"/>
        <v>43134</v>
      </c>
      <c r="C541" s="792" t="s">
        <v>2553</v>
      </c>
      <c r="D541" s="793" t="s">
        <v>2586</v>
      </c>
      <c r="E541" s="794" t="s">
        <v>1563</v>
      </c>
      <c r="F541" s="853" t="s">
        <v>1603</v>
      </c>
      <c r="G541" s="845"/>
      <c r="H541" s="797" t="s">
        <v>603</v>
      </c>
      <c r="I541" s="798">
        <v>42571</v>
      </c>
      <c r="J541" s="799">
        <f t="shared" ca="1" si="428"/>
        <v>1.5424657534246575</v>
      </c>
      <c r="K541" s="799">
        <f t="shared" ca="1" si="429"/>
        <v>18.766666666666666</v>
      </c>
      <c r="L541" s="800">
        <f t="shared" ca="1" si="430"/>
        <v>563</v>
      </c>
      <c r="M541" s="801"/>
      <c r="N541" s="802"/>
      <c r="O541" s="803" t="str">
        <f t="shared" ca="1" si="431"/>
        <v>-</v>
      </c>
      <c r="P541" s="804"/>
      <c r="Q541" s="805" t="s">
        <v>2366</v>
      </c>
      <c r="R541" s="806" t="s">
        <v>2435</v>
      </c>
      <c r="S541" s="807">
        <v>42958</v>
      </c>
      <c r="T541" s="798">
        <v>42958</v>
      </c>
      <c r="U541" s="798" t="str">
        <f t="shared" si="432"/>
        <v>-</v>
      </c>
      <c r="V541" s="804" t="str">
        <f t="shared" ca="1" si="433"/>
        <v>-</v>
      </c>
      <c r="W541" s="808">
        <v>1</v>
      </c>
      <c r="X541" s="794" t="str">
        <f t="shared" si="426"/>
        <v>-</v>
      </c>
      <c r="Y541" s="794">
        <v>1</v>
      </c>
      <c r="Z541" s="809" t="str">
        <f t="shared" ca="1" si="434"/>
        <v>ПОДЛЕЖИТ ПЕРЕПРОВЕРКЕ</v>
      </c>
      <c r="AA541" s="810">
        <f t="shared" ca="1" si="435"/>
        <v>176</v>
      </c>
      <c r="AB541" s="804"/>
      <c r="AC541" s="811">
        <f t="shared" ca="1" si="436"/>
        <v>43030</v>
      </c>
      <c r="AD541" s="798"/>
      <c r="AE541" s="794" t="str">
        <f t="shared" ca="1" si="437"/>
        <v>-</v>
      </c>
      <c r="AF541" s="798" t="str">
        <f t="shared" si="438"/>
        <v>-</v>
      </c>
      <c r="AG541" s="812" t="str">
        <f t="shared" si="439"/>
        <v>---------</v>
      </c>
      <c r="AH541" s="807">
        <v>43032</v>
      </c>
      <c r="AI541" s="807" t="str">
        <f t="shared" si="440"/>
        <v>-</v>
      </c>
      <c r="AJ541" s="807" t="str">
        <f t="shared" si="441"/>
        <v>-</v>
      </c>
      <c r="AK541" s="813"/>
      <c r="AL541" s="807">
        <f t="shared" si="442"/>
        <v>43217</v>
      </c>
      <c r="AM541" s="807">
        <f t="shared" si="443"/>
        <v>43238</v>
      </c>
      <c r="AN541" s="814">
        <f t="shared" ca="1" si="444"/>
        <v>-104</v>
      </c>
      <c r="AO541" s="815">
        <v>1</v>
      </c>
      <c r="AP541" s="816" t="str">
        <f t="shared" ca="1" si="445"/>
        <v>-</v>
      </c>
      <c r="AQ541" s="817"/>
      <c r="AR541" s="794" t="str">
        <f t="shared" si="446"/>
        <v>НЕТЕЛЬ</v>
      </c>
      <c r="AS541" s="818"/>
      <c r="AT541" s="794" t="str">
        <f t="shared" si="447"/>
        <v>-</v>
      </c>
      <c r="AU541" s="819">
        <v>1</v>
      </c>
      <c r="AV541" s="865"/>
      <c r="AW541" s="821"/>
      <c r="AX541" s="821"/>
      <c r="AY541" s="969" t="str">
        <f t="shared" si="448"/>
        <v>-</v>
      </c>
      <c r="AZ541" s="966" t="str">
        <f t="shared" si="449"/>
        <v>-</v>
      </c>
      <c r="BA541" s="971" t="str">
        <f t="shared" si="450"/>
        <v>-</v>
      </c>
      <c r="BB541" s="975"/>
      <c r="BC541" s="821"/>
      <c r="BD541" s="821"/>
      <c r="BE541" s="963" t="str">
        <f t="shared" si="451"/>
        <v>-</v>
      </c>
      <c r="BF541" s="984"/>
      <c r="BG541" s="988"/>
      <c r="BH541" s="982"/>
      <c r="BI541" s="991"/>
      <c r="BJ541" s="991"/>
      <c r="BK541" s="993" t="str">
        <f t="shared" si="452"/>
        <v>-</v>
      </c>
      <c r="BL541" s="865"/>
      <c r="BM541" s="821"/>
      <c r="BN541" s="822" t="str">
        <f t="shared" si="453"/>
        <v>-</v>
      </c>
      <c r="BO541" s="823" t="str">
        <f t="shared" si="454"/>
        <v>-</v>
      </c>
      <c r="BP541" s="868"/>
      <c r="BQ541" s="821"/>
      <c r="BR541" s="822" t="str">
        <f t="shared" si="455"/>
        <v>-</v>
      </c>
      <c r="BS541" s="823" t="str">
        <f t="shared" si="456"/>
        <v>-</v>
      </c>
      <c r="BT541" s="825" t="str">
        <f t="shared" ca="1" si="457"/>
        <v>-</v>
      </c>
      <c r="BU541" s="826"/>
      <c r="BV541" s="827"/>
      <c r="BW541" s="828" t="str">
        <f t="shared" si="458"/>
        <v>Ж-Е НЕ ВАКЦ.</v>
      </c>
      <c r="BX541" s="829" t="str">
        <f t="shared" si="459"/>
        <v>-</v>
      </c>
      <c r="BY541" s="830" t="str">
        <f t="shared" ca="1" si="460"/>
        <v>-</v>
      </c>
      <c r="BZ541" s="831">
        <v>42894</v>
      </c>
      <c r="CA541" s="832">
        <v>5</v>
      </c>
      <c r="CB541" s="833">
        <f t="shared" ca="1" si="461"/>
        <v>240</v>
      </c>
      <c r="CC541" s="834" t="str">
        <f t="shared" ca="1" si="462"/>
        <v>-</v>
      </c>
      <c r="CD541" s="835">
        <f t="shared" si="463"/>
        <v>42915</v>
      </c>
      <c r="CE541" s="831">
        <v>42915</v>
      </c>
      <c r="CF541" s="832">
        <v>5</v>
      </c>
      <c r="CG541" s="833">
        <f t="shared" ca="1" si="464"/>
        <v>219</v>
      </c>
      <c r="CH541" s="836">
        <f t="shared" si="465"/>
        <v>0</v>
      </c>
      <c r="CI541" s="837" t="str">
        <f t="shared" si="466"/>
        <v>УСПЕШНО</v>
      </c>
      <c r="CJ541" s="838" t="str">
        <f t="shared" ca="1" si="467"/>
        <v>-</v>
      </c>
      <c r="CK541" s="831"/>
      <c r="CL541" s="832"/>
      <c r="CM541" s="833" t="str">
        <f t="shared" si="468"/>
        <v>-</v>
      </c>
      <c r="CN541" s="834" t="str">
        <f t="shared" si="469"/>
        <v>-</v>
      </c>
      <c r="CO541" s="830" t="str">
        <f t="shared" ca="1" si="470"/>
        <v>-</v>
      </c>
      <c r="CP541" s="839"/>
      <c r="CQ541" s="832"/>
      <c r="CR541" s="833" t="str">
        <f t="shared" si="471"/>
        <v>-</v>
      </c>
      <c r="CS541" s="833" t="str">
        <f t="shared" si="472"/>
        <v>-</v>
      </c>
      <c r="CT541" s="834" t="str">
        <f t="shared" si="473"/>
        <v>-</v>
      </c>
      <c r="CU541" s="835" t="str">
        <f t="shared" si="474"/>
        <v>-</v>
      </c>
      <c r="CV541" s="839"/>
      <c r="CW541" s="832"/>
      <c r="CX541" s="833" t="str">
        <f t="shared" si="475"/>
        <v>-</v>
      </c>
      <c r="CY541" s="840" t="str">
        <f t="shared" si="476"/>
        <v>-</v>
      </c>
      <c r="CZ541" s="833" t="str">
        <f t="shared" si="477"/>
        <v>-</v>
      </c>
      <c r="DA541" s="838" t="str">
        <f t="shared" ca="1" si="478"/>
        <v>-</v>
      </c>
      <c r="DB541" s="841"/>
      <c r="DC541" s="832"/>
    </row>
    <row r="542" spans="1:107" s="842" customFormat="1" ht="15.95" customHeight="1" x14ac:dyDescent="0.25">
      <c r="A542" s="790">
        <v>544</v>
      </c>
      <c r="B542" s="791">
        <f t="shared" ca="1" si="427"/>
        <v>43134</v>
      </c>
      <c r="C542" s="792" t="s">
        <v>2553</v>
      </c>
      <c r="D542" s="793" t="s">
        <v>2586</v>
      </c>
      <c r="E542" s="794" t="s">
        <v>1563</v>
      </c>
      <c r="F542" s="853" t="s">
        <v>1609</v>
      </c>
      <c r="G542" s="845"/>
      <c r="H542" s="797" t="s">
        <v>603</v>
      </c>
      <c r="I542" s="798">
        <v>42572</v>
      </c>
      <c r="J542" s="799">
        <f t="shared" ca="1" si="428"/>
        <v>1.5397260273972602</v>
      </c>
      <c r="K542" s="799">
        <f t="shared" ca="1" si="429"/>
        <v>18.733333333333334</v>
      </c>
      <c r="L542" s="800">
        <f t="shared" ca="1" si="430"/>
        <v>562</v>
      </c>
      <c r="M542" s="869"/>
      <c r="N542" s="802"/>
      <c r="O542" s="803" t="str">
        <f t="shared" ca="1" si="431"/>
        <v>-</v>
      </c>
      <c r="P542" s="804"/>
      <c r="Q542" s="805" t="s">
        <v>2366</v>
      </c>
      <c r="R542" s="806" t="s">
        <v>2435</v>
      </c>
      <c r="S542" s="807">
        <v>42960</v>
      </c>
      <c r="T542" s="798">
        <v>42960</v>
      </c>
      <c r="U542" s="798" t="str">
        <f t="shared" si="432"/>
        <v>-</v>
      </c>
      <c r="V542" s="804" t="str">
        <f t="shared" ca="1" si="433"/>
        <v>-</v>
      </c>
      <c r="W542" s="808">
        <v>1</v>
      </c>
      <c r="X542" s="794" t="str">
        <f t="shared" si="426"/>
        <v>-</v>
      </c>
      <c r="Y542" s="794">
        <v>0</v>
      </c>
      <c r="Z542" s="809" t="str">
        <f t="shared" ca="1" si="434"/>
        <v>-----</v>
      </c>
      <c r="AA542" s="810">
        <f t="shared" ca="1" si="435"/>
        <v>174</v>
      </c>
      <c r="AB542" s="804"/>
      <c r="AC542" s="811" t="str">
        <f t="shared" ca="1" si="436"/>
        <v>-----</v>
      </c>
      <c r="AD542" s="798"/>
      <c r="AE542" s="794" t="str">
        <f t="shared" ca="1" si="437"/>
        <v>-</v>
      </c>
      <c r="AF542" s="798" t="str">
        <f t="shared" si="438"/>
        <v>-</v>
      </c>
      <c r="AG542" s="812" t="str">
        <f t="shared" si="439"/>
        <v>---------</v>
      </c>
      <c r="AH542" s="807">
        <v>43032</v>
      </c>
      <c r="AI542" s="807" t="str">
        <f t="shared" si="440"/>
        <v>-</v>
      </c>
      <c r="AJ542" s="807" t="str">
        <f t="shared" si="441"/>
        <v>-</v>
      </c>
      <c r="AK542" s="813"/>
      <c r="AL542" s="807" t="str">
        <f t="shared" si="442"/>
        <v>-</v>
      </c>
      <c r="AM542" s="807" t="str">
        <f t="shared" si="443"/>
        <v>-</v>
      </c>
      <c r="AN542" s="814" t="str">
        <f t="shared" ca="1" si="444"/>
        <v>-</v>
      </c>
      <c r="AO542" s="815">
        <v>1</v>
      </c>
      <c r="AP542" s="816" t="str">
        <f t="shared" ca="1" si="445"/>
        <v>-</v>
      </c>
      <c r="AQ542" s="441" t="s">
        <v>3338</v>
      </c>
      <c r="AR542" s="794" t="str">
        <f t="shared" si="446"/>
        <v>-</v>
      </c>
      <c r="AS542" s="818"/>
      <c r="AT542" s="794" t="str">
        <f t="shared" si="447"/>
        <v>-</v>
      </c>
      <c r="AU542" s="819">
        <v>1</v>
      </c>
      <c r="AV542" s="865"/>
      <c r="AW542" s="821"/>
      <c r="AX542" s="821"/>
      <c r="AY542" s="969" t="str">
        <f t="shared" si="448"/>
        <v>-</v>
      </c>
      <c r="AZ542" s="966" t="str">
        <f t="shared" si="449"/>
        <v>-</v>
      </c>
      <c r="BA542" s="971" t="str">
        <f t="shared" si="450"/>
        <v>-</v>
      </c>
      <c r="BB542" s="975"/>
      <c r="BC542" s="821"/>
      <c r="BD542" s="821"/>
      <c r="BE542" s="963" t="str">
        <f t="shared" si="451"/>
        <v>-</v>
      </c>
      <c r="BF542" s="984"/>
      <c r="BG542" s="988"/>
      <c r="BH542" s="982"/>
      <c r="BI542" s="991"/>
      <c r="BJ542" s="991"/>
      <c r="BK542" s="993" t="str">
        <f t="shared" si="452"/>
        <v>-</v>
      </c>
      <c r="BL542" s="865"/>
      <c r="BM542" s="821"/>
      <c r="BN542" s="822" t="str">
        <f t="shared" si="453"/>
        <v>-</v>
      </c>
      <c r="BO542" s="823" t="str">
        <f t="shared" si="454"/>
        <v>-</v>
      </c>
      <c r="BP542" s="868"/>
      <c r="BQ542" s="821"/>
      <c r="BR542" s="822" t="str">
        <f t="shared" si="455"/>
        <v>-</v>
      </c>
      <c r="BS542" s="823" t="str">
        <f t="shared" si="456"/>
        <v>-</v>
      </c>
      <c r="BT542" s="825" t="str">
        <f t="shared" ca="1" si="457"/>
        <v>-</v>
      </c>
      <c r="BU542" s="826"/>
      <c r="BV542" s="827"/>
      <c r="BW542" s="828" t="str">
        <f t="shared" si="458"/>
        <v>Ж-Е НЕ ВАКЦ.</v>
      </c>
      <c r="BX542" s="829" t="str">
        <f t="shared" si="459"/>
        <v>-</v>
      </c>
      <c r="BY542" s="830" t="str">
        <f t="shared" ca="1" si="460"/>
        <v>-</v>
      </c>
      <c r="BZ542" s="831">
        <v>42894</v>
      </c>
      <c r="CA542" s="832">
        <v>5</v>
      </c>
      <c r="CB542" s="833">
        <f t="shared" ca="1" si="461"/>
        <v>240</v>
      </c>
      <c r="CC542" s="834" t="str">
        <f t="shared" ca="1" si="462"/>
        <v>-</v>
      </c>
      <c r="CD542" s="835">
        <f t="shared" si="463"/>
        <v>42915</v>
      </c>
      <c r="CE542" s="831">
        <v>42915</v>
      </c>
      <c r="CF542" s="832">
        <v>5</v>
      </c>
      <c r="CG542" s="833">
        <f t="shared" ca="1" si="464"/>
        <v>219</v>
      </c>
      <c r="CH542" s="836">
        <f t="shared" si="465"/>
        <v>0</v>
      </c>
      <c r="CI542" s="837" t="str">
        <f t="shared" si="466"/>
        <v>УСПЕШНО</v>
      </c>
      <c r="CJ542" s="838" t="str">
        <f t="shared" ca="1" si="467"/>
        <v>-</v>
      </c>
      <c r="CK542" s="831"/>
      <c r="CL542" s="832"/>
      <c r="CM542" s="833" t="str">
        <f t="shared" si="468"/>
        <v>-</v>
      </c>
      <c r="CN542" s="834" t="str">
        <f t="shared" si="469"/>
        <v>-</v>
      </c>
      <c r="CO542" s="830" t="str">
        <f t="shared" ca="1" si="470"/>
        <v>-</v>
      </c>
      <c r="CP542" s="839"/>
      <c r="CQ542" s="832"/>
      <c r="CR542" s="833" t="str">
        <f t="shared" si="471"/>
        <v>-</v>
      </c>
      <c r="CS542" s="833" t="str">
        <f t="shared" si="472"/>
        <v>-</v>
      </c>
      <c r="CT542" s="834" t="str">
        <f t="shared" si="473"/>
        <v>-</v>
      </c>
      <c r="CU542" s="835" t="str">
        <f t="shared" si="474"/>
        <v>-</v>
      </c>
      <c r="CV542" s="839"/>
      <c r="CW542" s="832"/>
      <c r="CX542" s="833" t="str">
        <f t="shared" si="475"/>
        <v>-</v>
      </c>
      <c r="CY542" s="840" t="str">
        <f t="shared" si="476"/>
        <v>-</v>
      </c>
      <c r="CZ542" s="833" t="str">
        <f t="shared" si="477"/>
        <v>-</v>
      </c>
      <c r="DA542" s="838" t="str">
        <f t="shared" ca="1" si="478"/>
        <v>-</v>
      </c>
      <c r="DB542" s="841"/>
      <c r="DC542" s="832"/>
    </row>
    <row r="543" spans="1:107" s="842" customFormat="1" ht="15.95" customHeight="1" x14ac:dyDescent="0.25">
      <c r="A543" s="790">
        <v>545</v>
      </c>
      <c r="B543" s="791">
        <f t="shared" ca="1" si="427"/>
        <v>43134</v>
      </c>
      <c r="C543" s="792" t="s">
        <v>2553</v>
      </c>
      <c r="D543" s="793" t="s">
        <v>2586</v>
      </c>
      <c r="E543" s="794" t="s">
        <v>1563</v>
      </c>
      <c r="F543" s="853" t="s">
        <v>1622</v>
      </c>
      <c r="G543" s="845"/>
      <c r="H543" s="797" t="s">
        <v>603</v>
      </c>
      <c r="I543" s="798">
        <v>42575</v>
      </c>
      <c r="J543" s="799">
        <f t="shared" ca="1" si="428"/>
        <v>1.5315068493150685</v>
      </c>
      <c r="K543" s="799">
        <f t="shared" ca="1" si="429"/>
        <v>18.633333333333333</v>
      </c>
      <c r="L543" s="800">
        <f t="shared" ca="1" si="430"/>
        <v>559</v>
      </c>
      <c r="M543" s="801"/>
      <c r="N543" s="802"/>
      <c r="O543" s="803" t="str">
        <f t="shared" ca="1" si="431"/>
        <v>-</v>
      </c>
      <c r="P543" s="804"/>
      <c r="Q543" s="805" t="s">
        <v>1451</v>
      </c>
      <c r="R543" s="806" t="s">
        <v>2435</v>
      </c>
      <c r="S543" s="807">
        <v>43016</v>
      </c>
      <c r="T543" s="798">
        <v>43016</v>
      </c>
      <c r="U543" s="798">
        <f t="shared" si="432"/>
        <v>43034</v>
      </c>
      <c r="V543" s="804">
        <f t="shared" ca="1" si="433"/>
        <v>100</v>
      </c>
      <c r="W543" s="808">
        <v>1</v>
      </c>
      <c r="X543" s="794" t="str">
        <f t="shared" si="426"/>
        <v>-</v>
      </c>
      <c r="Y543" s="794">
        <v>3</v>
      </c>
      <c r="Z543" s="809" t="str">
        <f t="shared" ca="1" si="434"/>
        <v>-----</v>
      </c>
      <c r="AA543" s="810">
        <f t="shared" ca="1" si="435"/>
        <v>118</v>
      </c>
      <c r="AB543" s="804"/>
      <c r="AC543" s="811" t="str">
        <f t="shared" ca="1" si="436"/>
        <v>-----</v>
      </c>
      <c r="AD543" s="798"/>
      <c r="AE543" s="794" t="str">
        <f t="shared" ca="1" si="437"/>
        <v>-</v>
      </c>
      <c r="AF543" s="798">
        <f t="shared" si="438"/>
        <v>43051</v>
      </c>
      <c r="AG543" s="812">
        <f t="shared" ca="1" si="439"/>
        <v>83</v>
      </c>
      <c r="AH543" s="807"/>
      <c r="AI543" s="807" t="str">
        <f t="shared" si="440"/>
        <v>-</v>
      </c>
      <c r="AJ543" s="807" t="str">
        <f t="shared" si="441"/>
        <v>-</v>
      </c>
      <c r="AK543" s="813"/>
      <c r="AL543" s="807" t="str">
        <f t="shared" si="442"/>
        <v>-</v>
      </c>
      <c r="AM543" s="807" t="str">
        <f t="shared" si="443"/>
        <v>-</v>
      </c>
      <c r="AN543" s="814" t="str">
        <f t="shared" ca="1" si="444"/>
        <v>-</v>
      </c>
      <c r="AO543" s="815">
        <v>1</v>
      </c>
      <c r="AP543" s="816" t="str">
        <f t="shared" ca="1" si="445"/>
        <v>-</v>
      </c>
      <c r="AQ543" s="817"/>
      <c r="AR543" s="794" t="str">
        <f t="shared" si="446"/>
        <v>-</v>
      </c>
      <c r="AS543" s="818"/>
      <c r="AT543" s="794" t="str">
        <f t="shared" si="447"/>
        <v>-</v>
      </c>
      <c r="AU543" s="819">
        <v>1</v>
      </c>
      <c r="AV543" s="820"/>
      <c r="AW543" s="821"/>
      <c r="AX543" s="821"/>
      <c r="AY543" s="969" t="str">
        <f t="shared" si="448"/>
        <v>-</v>
      </c>
      <c r="AZ543" s="966" t="str">
        <f t="shared" si="449"/>
        <v>-</v>
      </c>
      <c r="BA543" s="971" t="str">
        <f t="shared" si="450"/>
        <v>-</v>
      </c>
      <c r="BB543" s="975"/>
      <c r="BC543" s="821"/>
      <c r="BD543" s="821"/>
      <c r="BE543" s="963" t="str">
        <f t="shared" si="451"/>
        <v>-</v>
      </c>
      <c r="BF543" s="984"/>
      <c r="BG543" s="988"/>
      <c r="BH543" s="982"/>
      <c r="BI543" s="991"/>
      <c r="BJ543" s="991"/>
      <c r="BK543" s="993" t="str">
        <f t="shared" si="452"/>
        <v>-</v>
      </c>
      <c r="BL543" s="820">
        <v>42978</v>
      </c>
      <c r="BM543" s="821">
        <v>5</v>
      </c>
      <c r="BN543" s="822">
        <f t="shared" ca="1" si="453"/>
        <v>156</v>
      </c>
      <c r="BO543" s="823">
        <f t="shared" si="454"/>
        <v>13.433333333333334</v>
      </c>
      <c r="BP543" s="824"/>
      <c r="BQ543" s="821"/>
      <c r="BR543" s="822" t="str">
        <f t="shared" si="455"/>
        <v>-</v>
      </c>
      <c r="BS543" s="823" t="str">
        <f t="shared" si="456"/>
        <v>-</v>
      </c>
      <c r="BT543" s="825" t="str">
        <f t="shared" ca="1" si="457"/>
        <v>-</v>
      </c>
      <c r="BU543" s="826"/>
      <c r="BV543" s="827"/>
      <c r="BW543" s="828" t="str">
        <f t="shared" si="458"/>
        <v>Ж-Е НЕ ВАКЦ.</v>
      </c>
      <c r="BX543" s="829" t="str">
        <f t="shared" si="459"/>
        <v>-</v>
      </c>
      <c r="BY543" s="830" t="str">
        <f t="shared" ca="1" si="460"/>
        <v>-</v>
      </c>
      <c r="BZ543" s="831">
        <v>42894</v>
      </c>
      <c r="CA543" s="832">
        <v>5</v>
      </c>
      <c r="CB543" s="833">
        <f t="shared" ca="1" si="461"/>
        <v>240</v>
      </c>
      <c r="CC543" s="834" t="str">
        <f t="shared" ca="1" si="462"/>
        <v>-</v>
      </c>
      <c r="CD543" s="835">
        <f t="shared" si="463"/>
        <v>42915</v>
      </c>
      <c r="CE543" s="831">
        <v>42915</v>
      </c>
      <c r="CF543" s="832">
        <v>5</v>
      </c>
      <c r="CG543" s="833">
        <f t="shared" ca="1" si="464"/>
        <v>219</v>
      </c>
      <c r="CH543" s="836">
        <f t="shared" si="465"/>
        <v>0</v>
      </c>
      <c r="CI543" s="837" t="str">
        <f t="shared" si="466"/>
        <v>УСПЕШНО</v>
      </c>
      <c r="CJ543" s="838" t="str">
        <f t="shared" ca="1" si="467"/>
        <v>-</v>
      </c>
      <c r="CK543" s="831"/>
      <c r="CL543" s="832"/>
      <c r="CM543" s="833" t="str">
        <f t="shared" si="468"/>
        <v>-</v>
      </c>
      <c r="CN543" s="834" t="str">
        <f t="shared" si="469"/>
        <v>-</v>
      </c>
      <c r="CO543" s="830" t="str">
        <f t="shared" ca="1" si="470"/>
        <v>-</v>
      </c>
      <c r="CP543" s="839"/>
      <c r="CQ543" s="832"/>
      <c r="CR543" s="833" t="str">
        <f t="shared" si="471"/>
        <v>-</v>
      </c>
      <c r="CS543" s="833" t="str">
        <f t="shared" si="472"/>
        <v>-</v>
      </c>
      <c r="CT543" s="834" t="str">
        <f t="shared" si="473"/>
        <v>-</v>
      </c>
      <c r="CU543" s="835" t="str">
        <f t="shared" si="474"/>
        <v>-</v>
      </c>
      <c r="CV543" s="839"/>
      <c r="CW543" s="832"/>
      <c r="CX543" s="833" t="str">
        <f t="shared" si="475"/>
        <v>-</v>
      </c>
      <c r="CY543" s="840" t="str">
        <f t="shared" si="476"/>
        <v>-</v>
      </c>
      <c r="CZ543" s="833" t="str">
        <f t="shared" si="477"/>
        <v>-</v>
      </c>
      <c r="DA543" s="838" t="str">
        <f t="shared" ca="1" si="478"/>
        <v>-</v>
      </c>
      <c r="DB543" s="841"/>
      <c r="DC543" s="832"/>
    </row>
    <row r="544" spans="1:107" s="842" customFormat="1" ht="15.95" customHeight="1" x14ac:dyDescent="0.25">
      <c r="A544" s="790">
        <v>546</v>
      </c>
      <c r="B544" s="791">
        <f t="shared" ca="1" si="427"/>
        <v>43134</v>
      </c>
      <c r="C544" s="792" t="s">
        <v>2553</v>
      </c>
      <c r="D544" s="793" t="s">
        <v>2586</v>
      </c>
      <c r="E544" s="794" t="s">
        <v>1563</v>
      </c>
      <c r="F544" s="853" t="s">
        <v>1817</v>
      </c>
      <c r="G544" s="845"/>
      <c r="H544" s="797" t="s">
        <v>603</v>
      </c>
      <c r="I544" s="798">
        <v>42590</v>
      </c>
      <c r="J544" s="799">
        <f t="shared" ca="1" si="428"/>
        <v>1.4904109589041097</v>
      </c>
      <c r="K544" s="799">
        <f t="shared" ca="1" si="429"/>
        <v>18.133333333333333</v>
      </c>
      <c r="L544" s="800">
        <f t="shared" ca="1" si="430"/>
        <v>544</v>
      </c>
      <c r="M544" s="801"/>
      <c r="N544" s="802"/>
      <c r="O544" s="803" t="str">
        <f t="shared" ca="1" si="431"/>
        <v>-</v>
      </c>
      <c r="P544" s="804"/>
      <c r="Q544" s="805" t="s">
        <v>1451</v>
      </c>
      <c r="R544" s="806" t="s">
        <v>2435</v>
      </c>
      <c r="S544" s="807">
        <v>42956</v>
      </c>
      <c r="T544" s="798">
        <v>42956</v>
      </c>
      <c r="U544" s="798" t="str">
        <f t="shared" si="432"/>
        <v>-</v>
      </c>
      <c r="V544" s="804" t="str">
        <f t="shared" ca="1" si="433"/>
        <v>-</v>
      </c>
      <c r="W544" s="808">
        <v>1</v>
      </c>
      <c r="X544" s="794" t="str">
        <f t="shared" si="426"/>
        <v>-</v>
      </c>
      <c r="Y544" s="794">
        <v>1</v>
      </c>
      <c r="Z544" s="809" t="str">
        <f t="shared" ca="1" si="434"/>
        <v>ПОДЛЕЖИТ ПЕРЕПРОВЕРКЕ</v>
      </c>
      <c r="AA544" s="810">
        <f t="shared" ca="1" si="435"/>
        <v>178</v>
      </c>
      <c r="AB544" s="804"/>
      <c r="AC544" s="811">
        <f t="shared" ca="1" si="436"/>
        <v>43028</v>
      </c>
      <c r="AD544" s="798"/>
      <c r="AE544" s="794" t="str">
        <f t="shared" ca="1" si="437"/>
        <v>-</v>
      </c>
      <c r="AF544" s="798" t="str">
        <f t="shared" si="438"/>
        <v>-</v>
      </c>
      <c r="AG544" s="812" t="str">
        <f t="shared" si="439"/>
        <v>---------</v>
      </c>
      <c r="AH544" s="807">
        <v>43032</v>
      </c>
      <c r="AI544" s="807" t="str">
        <f t="shared" si="440"/>
        <v>-</v>
      </c>
      <c r="AJ544" s="807" t="str">
        <f t="shared" si="441"/>
        <v>-</v>
      </c>
      <c r="AK544" s="813"/>
      <c r="AL544" s="807">
        <f t="shared" si="442"/>
        <v>43215</v>
      </c>
      <c r="AM544" s="807">
        <f t="shared" si="443"/>
        <v>43236</v>
      </c>
      <c r="AN544" s="814">
        <f t="shared" ca="1" si="444"/>
        <v>-102</v>
      </c>
      <c r="AO544" s="815">
        <v>1</v>
      </c>
      <c r="AP544" s="816" t="str">
        <f t="shared" ca="1" si="445"/>
        <v>-</v>
      </c>
      <c r="AQ544" s="817"/>
      <c r="AR544" s="794" t="str">
        <f t="shared" si="446"/>
        <v>НЕТЕЛЬ</v>
      </c>
      <c r="AS544" s="818"/>
      <c r="AT544" s="794" t="str">
        <f t="shared" si="447"/>
        <v>-</v>
      </c>
      <c r="AU544" s="819">
        <v>1</v>
      </c>
      <c r="AV544" s="820"/>
      <c r="AW544" s="821"/>
      <c r="AX544" s="821"/>
      <c r="AY544" s="969" t="str">
        <f t="shared" si="448"/>
        <v>-</v>
      </c>
      <c r="AZ544" s="966" t="str">
        <f t="shared" si="449"/>
        <v>-</v>
      </c>
      <c r="BA544" s="971" t="str">
        <f t="shared" si="450"/>
        <v>-</v>
      </c>
      <c r="BB544" s="975"/>
      <c r="BC544" s="821"/>
      <c r="BD544" s="821"/>
      <c r="BE544" s="963" t="str">
        <f t="shared" si="451"/>
        <v>-</v>
      </c>
      <c r="BF544" s="984"/>
      <c r="BG544" s="988"/>
      <c r="BH544" s="982"/>
      <c r="BI544" s="991"/>
      <c r="BJ544" s="991"/>
      <c r="BK544" s="993" t="str">
        <f t="shared" si="452"/>
        <v>-</v>
      </c>
      <c r="BL544" s="820">
        <v>42978</v>
      </c>
      <c r="BM544" s="821">
        <v>5</v>
      </c>
      <c r="BN544" s="822">
        <f t="shared" ca="1" si="453"/>
        <v>156</v>
      </c>
      <c r="BO544" s="823">
        <f t="shared" si="454"/>
        <v>12.933333333333334</v>
      </c>
      <c r="BP544" s="824"/>
      <c r="BQ544" s="821"/>
      <c r="BR544" s="822" t="str">
        <f t="shared" si="455"/>
        <v>-</v>
      </c>
      <c r="BS544" s="823" t="str">
        <f t="shared" si="456"/>
        <v>-</v>
      </c>
      <c r="BT544" s="825" t="str">
        <f t="shared" ca="1" si="457"/>
        <v>-</v>
      </c>
      <c r="BU544" s="826"/>
      <c r="BV544" s="827"/>
      <c r="BW544" s="828" t="str">
        <f t="shared" si="458"/>
        <v>Ж-Е НЕ ВАКЦ.</v>
      </c>
      <c r="BX544" s="829" t="str">
        <f t="shared" si="459"/>
        <v>-</v>
      </c>
      <c r="BY544" s="830" t="str">
        <f t="shared" ca="1" si="460"/>
        <v>-</v>
      </c>
      <c r="BZ544" s="831">
        <v>42894</v>
      </c>
      <c r="CA544" s="832">
        <v>5</v>
      </c>
      <c r="CB544" s="833">
        <f t="shared" ca="1" si="461"/>
        <v>240</v>
      </c>
      <c r="CC544" s="834" t="str">
        <f t="shared" ca="1" si="462"/>
        <v>-</v>
      </c>
      <c r="CD544" s="835">
        <f t="shared" si="463"/>
        <v>42915</v>
      </c>
      <c r="CE544" s="831">
        <v>42915</v>
      </c>
      <c r="CF544" s="832">
        <v>5</v>
      </c>
      <c r="CG544" s="833">
        <f t="shared" ca="1" si="464"/>
        <v>219</v>
      </c>
      <c r="CH544" s="836">
        <f t="shared" si="465"/>
        <v>0</v>
      </c>
      <c r="CI544" s="837" t="str">
        <f t="shared" si="466"/>
        <v>УСПЕШНО</v>
      </c>
      <c r="CJ544" s="838" t="str">
        <f t="shared" ca="1" si="467"/>
        <v>-</v>
      </c>
      <c r="CK544" s="831"/>
      <c r="CL544" s="832"/>
      <c r="CM544" s="833" t="str">
        <f t="shared" si="468"/>
        <v>-</v>
      </c>
      <c r="CN544" s="834" t="str">
        <f t="shared" si="469"/>
        <v>-</v>
      </c>
      <c r="CO544" s="830" t="str">
        <f t="shared" ca="1" si="470"/>
        <v>-</v>
      </c>
      <c r="CP544" s="839"/>
      <c r="CQ544" s="832"/>
      <c r="CR544" s="833" t="str">
        <f t="shared" si="471"/>
        <v>-</v>
      </c>
      <c r="CS544" s="833" t="str">
        <f t="shared" si="472"/>
        <v>-</v>
      </c>
      <c r="CT544" s="834" t="str">
        <f t="shared" si="473"/>
        <v>-</v>
      </c>
      <c r="CU544" s="835" t="str">
        <f t="shared" si="474"/>
        <v>-</v>
      </c>
      <c r="CV544" s="839"/>
      <c r="CW544" s="832"/>
      <c r="CX544" s="833" t="str">
        <f t="shared" si="475"/>
        <v>-</v>
      </c>
      <c r="CY544" s="840" t="str">
        <f t="shared" si="476"/>
        <v>-</v>
      </c>
      <c r="CZ544" s="833" t="str">
        <f t="shared" si="477"/>
        <v>-</v>
      </c>
      <c r="DA544" s="838" t="str">
        <f t="shared" ca="1" si="478"/>
        <v>-</v>
      </c>
      <c r="DB544" s="841"/>
      <c r="DC544" s="832"/>
    </row>
    <row r="545" spans="1:107" s="842" customFormat="1" ht="15.95" customHeight="1" x14ac:dyDescent="0.25">
      <c r="A545" s="790">
        <v>547</v>
      </c>
      <c r="B545" s="791">
        <f t="shared" ca="1" si="427"/>
        <v>43134</v>
      </c>
      <c r="C545" s="792" t="s">
        <v>2553</v>
      </c>
      <c r="D545" s="793" t="s">
        <v>2586</v>
      </c>
      <c r="E545" s="794" t="s">
        <v>1563</v>
      </c>
      <c r="F545" s="853" t="s">
        <v>1853</v>
      </c>
      <c r="G545" s="845"/>
      <c r="H545" s="797" t="s">
        <v>603</v>
      </c>
      <c r="I545" s="798">
        <v>42611</v>
      </c>
      <c r="J545" s="799">
        <f t="shared" ca="1" si="428"/>
        <v>1.4328767123287671</v>
      </c>
      <c r="K545" s="799">
        <f t="shared" ca="1" si="429"/>
        <v>17.433333333333334</v>
      </c>
      <c r="L545" s="800">
        <f t="shared" ca="1" si="430"/>
        <v>523</v>
      </c>
      <c r="M545" s="801"/>
      <c r="N545" s="802"/>
      <c r="O545" s="803" t="str">
        <f t="shared" ca="1" si="431"/>
        <v>-</v>
      </c>
      <c r="P545" s="804"/>
      <c r="Q545" s="805" t="s">
        <v>1451</v>
      </c>
      <c r="R545" s="806" t="s">
        <v>2435</v>
      </c>
      <c r="S545" s="807">
        <v>42956</v>
      </c>
      <c r="T545" s="798">
        <v>42956</v>
      </c>
      <c r="U545" s="798" t="str">
        <f t="shared" si="432"/>
        <v>-</v>
      </c>
      <c r="V545" s="804" t="str">
        <f t="shared" ca="1" si="433"/>
        <v>-</v>
      </c>
      <c r="W545" s="808">
        <v>1</v>
      </c>
      <c r="X545" s="794" t="str">
        <f t="shared" si="426"/>
        <v>-</v>
      </c>
      <c r="Y545" s="794">
        <v>1</v>
      </c>
      <c r="Z545" s="809" t="str">
        <f t="shared" ca="1" si="434"/>
        <v>ПОДЛЕЖИТ ПЕРЕПРОВЕРКЕ</v>
      </c>
      <c r="AA545" s="810">
        <f t="shared" ca="1" si="435"/>
        <v>178</v>
      </c>
      <c r="AB545" s="804"/>
      <c r="AC545" s="811">
        <f t="shared" ca="1" si="436"/>
        <v>43028</v>
      </c>
      <c r="AD545" s="798"/>
      <c r="AE545" s="794" t="str">
        <f t="shared" ca="1" si="437"/>
        <v>-</v>
      </c>
      <c r="AF545" s="798" t="str">
        <f t="shared" si="438"/>
        <v>-</v>
      </c>
      <c r="AG545" s="812" t="str">
        <f t="shared" si="439"/>
        <v>---------</v>
      </c>
      <c r="AH545" s="807">
        <v>43032</v>
      </c>
      <c r="AI545" s="807" t="str">
        <f t="shared" si="440"/>
        <v>-</v>
      </c>
      <c r="AJ545" s="807" t="str">
        <f t="shared" si="441"/>
        <v>-</v>
      </c>
      <c r="AK545" s="813"/>
      <c r="AL545" s="807">
        <f t="shared" si="442"/>
        <v>43215</v>
      </c>
      <c r="AM545" s="807">
        <f t="shared" si="443"/>
        <v>43236</v>
      </c>
      <c r="AN545" s="814">
        <f t="shared" ca="1" si="444"/>
        <v>-102</v>
      </c>
      <c r="AO545" s="815">
        <v>1</v>
      </c>
      <c r="AP545" s="816" t="str">
        <f t="shared" ca="1" si="445"/>
        <v>-</v>
      </c>
      <c r="AQ545" s="817"/>
      <c r="AR545" s="794" t="str">
        <f t="shared" si="446"/>
        <v>НЕТЕЛЬ</v>
      </c>
      <c r="AS545" s="818"/>
      <c r="AT545" s="794" t="str">
        <f t="shared" si="447"/>
        <v>-</v>
      </c>
      <c r="AU545" s="819">
        <v>1</v>
      </c>
      <c r="AV545" s="820"/>
      <c r="AW545" s="821"/>
      <c r="AX545" s="821"/>
      <c r="AY545" s="969" t="str">
        <f t="shared" si="448"/>
        <v>-</v>
      </c>
      <c r="AZ545" s="966" t="str">
        <f t="shared" si="449"/>
        <v>-</v>
      </c>
      <c r="BA545" s="971" t="str">
        <f t="shared" si="450"/>
        <v>-</v>
      </c>
      <c r="BB545" s="975"/>
      <c r="BC545" s="821"/>
      <c r="BD545" s="821"/>
      <c r="BE545" s="963" t="str">
        <f t="shared" si="451"/>
        <v>-</v>
      </c>
      <c r="BF545" s="984"/>
      <c r="BG545" s="988"/>
      <c r="BH545" s="982"/>
      <c r="BI545" s="991"/>
      <c r="BJ545" s="991"/>
      <c r="BK545" s="993" t="str">
        <f t="shared" si="452"/>
        <v>-</v>
      </c>
      <c r="BL545" s="820">
        <v>42978</v>
      </c>
      <c r="BM545" s="821">
        <v>5</v>
      </c>
      <c r="BN545" s="822">
        <f t="shared" ca="1" si="453"/>
        <v>156</v>
      </c>
      <c r="BO545" s="823">
        <f t="shared" si="454"/>
        <v>12.233333333333333</v>
      </c>
      <c r="BP545" s="824"/>
      <c r="BQ545" s="821"/>
      <c r="BR545" s="822" t="str">
        <f t="shared" si="455"/>
        <v>-</v>
      </c>
      <c r="BS545" s="823" t="str">
        <f t="shared" si="456"/>
        <v>-</v>
      </c>
      <c r="BT545" s="825" t="str">
        <f t="shared" ca="1" si="457"/>
        <v>-</v>
      </c>
      <c r="BU545" s="826"/>
      <c r="BV545" s="827"/>
      <c r="BW545" s="828" t="str">
        <f t="shared" si="458"/>
        <v>Ж-Е НЕ ВАКЦ.</v>
      </c>
      <c r="BX545" s="829" t="str">
        <f t="shared" si="459"/>
        <v>-</v>
      </c>
      <c r="BY545" s="830" t="str">
        <f t="shared" ca="1" si="460"/>
        <v>-</v>
      </c>
      <c r="BZ545" s="831">
        <v>42894</v>
      </c>
      <c r="CA545" s="832">
        <v>5</v>
      </c>
      <c r="CB545" s="833">
        <f t="shared" ca="1" si="461"/>
        <v>240</v>
      </c>
      <c r="CC545" s="834" t="str">
        <f t="shared" ca="1" si="462"/>
        <v>-</v>
      </c>
      <c r="CD545" s="835">
        <f t="shared" si="463"/>
        <v>42915</v>
      </c>
      <c r="CE545" s="831">
        <v>42915</v>
      </c>
      <c r="CF545" s="832">
        <v>5</v>
      </c>
      <c r="CG545" s="833">
        <f t="shared" ca="1" si="464"/>
        <v>219</v>
      </c>
      <c r="CH545" s="836">
        <f t="shared" si="465"/>
        <v>0</v>
      </c>
      <c r="CI545" s="837" t="str">
        <f t="shared" si="466"/>
        <v>УСПЕШНО</v>
      </c>
      <c r="CJ545" s="838" t="str">
        <f t="shared" ca="1" si="467"/>
        <v>-</v>
      </c>
      <c r="CK545" s="831"/>
      <c r="CL545" s="832"/>
      <c r="CM545" s="833" t="str">
        <f t="shared" si="468"/>
        <v>-</v>
      </c>
      <c r="CN545" s="834" t="str">
        <f t="shared" si="469"/>
        <v>-</v>
      </c>
      <c r="CO545" s="830" t="str">
        <f t="shared" ca="1" si="470"/>
        <v>-</v>
      </c>
      <c r="CP545" s="839"/>
      <c r="CQ545" s="832"/>
      <c r="CR545" s="833" t="str">
        <f t="shared" si="471"/>
        <v>-</v>
      </c>
      <c r="CS545" s="833" t="str">
        <f t="shared" si="472"/>
        <v>-</v>
      </c>
      <c r="CT545" s="834" t="str">
        <f t="shared" si="473"/>
        <v>-</v>
      </c>
      <c r="CU545" s="835" t="str">
        <f t="shared" si="474"/>
        <v>-</v>
      </c>
      <c r="CV545" s="839"/>
      <c r="CW545" s="832"/>
      <c r="CX545" s="833" t="str">
        <f t="shared" si="475"/>
        <v>-</v>
      </c>
      <c r="CY545" s="840" t="str">
        <f t="shared" si="476"/>
        <v>-</v>
      </c>
      <c r="CZ545" s="833" t="str">
        <f t="shared" si="477"/>
        <v>-</v>
      </c>
      <c r="DA545" s="838" t="str">
        <f t="shared" ca="1" si="478"/>
        <v>-</v>
      </c>
      <c r="DB545" s="841"/>
      <c r="DC545" s="832"/>
    </row>
    <row r="546" spans="1:107" s="842" customFormat="1" ht="15.95" customHeight="1" x14ac:dyDescent="0.25">
      <c r="A546" s="790">
        <v>548</v>
      </c>
      <c r="B546" s="791">
        <f t="shared" ca="1" si="427"/>
        <v>43134</v>
      </c>
      <c r="C546" s="847" t="s">
        <v>2554</v>
      </c>
      <c r="D546" s="793" t="s">
        <v>2586</v>
      </c>
      <c r="E546" s="794" t="s">
        <v>2956</v>
      </c>
      <c r="F546" s="795" t="s">
        <v>1513</v>
      </c>
      <c r="G546" s="796">
        <f>SUMIFS(МОЛОКО!L8:L6958,МОЛОКО!F8:F6958,"2665",МОЛОКО!L8:L6958,"&gt;0")</f>
        <v>0</v>
      </c>
      <c r="H546" s="797" t="s">
        <v>603</v>
      </c>
      <c r="I546" s="798">
        <v>42210</v>
      </c>
      <c r="J546" s="799">
        <f t="shared" ca="1" si="428"/>
        <v>2.5315068493150683</v>
      </c>
      <c r="K546" s="799">
        <f t="shared" ca="1" si="429"/>
        <v>30.8</v>
      </c>
      <c r="L546" s="800">
        <f t="shared" ca="1" si="430"/>
        <v>924</v>
      </c>
      <c r="M546" s="801"/>
      <c r="N546" s="802"/>
      <c r="O546" s="803" t="str">
        <f t="shared" ca="1" si="431"/>
        <v>-</v>
      </c>
      <c r="P546" s="804"/>
      <c r="Q546" s="805" t="s">
        <v>1482</v>
      </c>
      <c r="R546" s="806" t="s">
        <v>1874</v>
      </c>
      <c r="S546" s="807">
        <v>42576</v>
      </c>
      <c r="T546" s="798">
        <v>42822</v>
      </c>
      <c r="U546" s="798" t="str">
        <f t="shared" si="432"/>
        <v>-</v>
      </c>
      <c r="V546" s="804" t="str">
        <f t="shared" ca="1" si="433"/>
        <v>-</v>
      </c>
      <c r="W546" s="808">
        <v>5</v>
      </c>
      <c r="X546" s="794" t="str">
        <f t="shared" si="426"/>
        <v>-</v>
      </c>
      <c r="Y546" s="794">
        <v>1</v>
      </c>
      <c r="Z546" s="809" t="str">
        <f t="shared" ca="1" si="434"/>
        <v>ПОДЛЕЖИТ ПЕРЕПРОВЕРКЕ</v>
      </c>
      <c r="AA546" s="810">
        <f t="shared" ca="1" si="435"/>
        <v>312</v>
      </c>
      <c r="AB546" s="804"/>
      <c r="AC546" s="811">
        <f t="shared" ca="1" si="436"/>
        <v>42894</v>
      </c>
      <c r="AD546" s="798"/>
      <c r="AE546" s="794" t="str">
        <f t="shared" ca="1" si="437"/>
        <v>-</v>
      </c>
      <c r="AF546" s="798" t="str">
        <f t="shared" si="438"/>
        <v>-</v>
      </c>
      <c r="AG546" s="812" t="str">
        <f t="shared" si="439"/>
        <v>---------</v>
      </c>
      <c r="AH546" s="807">
        <v>42904</v>
      </c>
      <c r="AI546" s="807" t="str">
        <f t="shared" si="440"/>
        <v>-</v>
      </c>
      <c r="AJ546" s="807" t="str">
        <f t="shared" si="441"/>
        <v>-</v>
      </c>
      <c r="AK546" s="813"/>
      <c r="AL546" s="807">
        <f t="shared" si="442"/>
        <v>43081</v>
      </c>
      <c r="AM546" s="807">
        <f t="shared" si="443"/>
        <v>43102</v>
      </c>
      <c r="AN546" s="814">
        <f t="shared" ca="1" si="444"/>
        <v>32</v>
      </c>
      <c r="AO546" s="815">
        <v>1</v>
      </c>
      <c r="AP546" s="816" t="str">
        <f t="shared" ca="1" si="445"/>
        <v>-</v>
      </c>
      <c r="AQ546" s="817"/>
      <c r="AR546" s="794" t="str">
        <f t="shared" si="446"/>
        <v>НЕТЕЛЬ</v>
      </c>
      <c r="AS546" s="818"/>
      <c r="AT546" s="794" t="str">
        <f t="shared" si="447"/>
        <v>-</v>
      </c>
      <c r="AU546" s="819"/>
      <c r="AV546" s="820"/>
      <c r="AW546" s="821"/>
      <c r="AX546" s="821"/>
      <c r="AY546" s="969" t="str">
        <f t="shared" si="448"/>
        <v>-</v>
      </c>
      <c r="AZ546" s="966" t="str">
        <f t="shared" si="449"/>
        <v>-</v>
      </c>
      <c r="BA546" s="971" t="str">
        <f t="shared" si="450"/>
        <v>-</v>
      </c>
      <c r="BB546" s="975"/>
      <c r="BC546" s="821"/>
      <c r="BD546" s="821"/>
      <c r="BE546" s="963" t="str">
        <f t="shared" si="451"/>
        <v>-</v>
      </c>
      <c r="BF546" s="984"/>
      <c r="BG546" s="988"/>
      <c r="BH546" s="982"/>
      <c r="BI546" s="991"/>
      <c r="BJ546" s="991"/>
      <c r="BK546" s="993" t="str">
        <f t="shared" si="452"/>
        <v>-</v>
      </c>
      <c r="BL546" s="820">
        <v>42978</v>
      </c>
      <c r="BM546" s="821">
        <v>5</v>
      </c>
      <c r="BN546" s="822">
        <f t="shared" ca="1" si="453"/>
        <v>156</v>
      </c>
      <c r="BO546" s="823">
        <f t="shared" si="454"/>
        <v>25.6</v>
      </c>
      <c r="BP546" s="824"/>
      <c r="BQ546" s="821"/>
      <c r="BR546" s="822" t="str">
        <f t="shared" si="455"/>
        <v>-</v>
      </c>
      <c r="BS546" s="823" t="str">
        <f t="shared" si="456"/>
        <v>-</v>
      </c>
      <c r="BT546" s="825" t="str">
        <f t="shared" ca="1" si="457"/>
        <v>-</v>
      </c>
      <c r="BU546" s="826"/>
      <c r="BV546" s="827"/>
      <c r="BW546" s="828" t="str">
        <f t="shared" si="458"/>
        <v>Ж-Е НЕ ВАКЦ.</v>
      </c>
      <c r="BX546" s="829" t="str">
        <f t="shared" si="459"/>
        <v>-</v>
      </c>
      <c r="BY546" s="830" t="str">
        <f t="shared" ca="1" si="460"/>
        <v>-</v>
      </c>
      <c r="BZ546" s="831">
        <v>42891</v>
      </c>
      <c r="CA546" s="832">
        <v>5</v>
      </c>
      <c r="CB546" s="833">
        <f t="shared" ca="1" si="461"/>
        <v>243</v>
      </c>
      <c r="CC546" s="834" t="str">
        <f t="shared" ca="1" si="462"/>
        <v>-</v>
      </c>
      <c r="CD546" s="835">
        <f t="shared" si="463"/>
        <v>42912</v>
      </c>
      <c r="CE546" s="831">
        <v>42912</v>
      </c>
      <c r="CF546" s="832">
        <v>5</v>
      </c>
      <c r="CG546" s="833">
        <f t="shared" ca="1" si="464"/>
        <v>222</v>
      </c>
      <c r="CH546" s="836">
        <f t="shared" si="465"/>
        <v>0</v>
      </c>
      <c r="CI546" s="837" t="str">
        <f t="shared" si="466"/>
        <v>УСПЕШНО</v>
      </c>
      <c r="CJ546" s="838" t="str">
        <f t="shared" ca="1" si="467"/>
        <v>-</v>
      </c>
      <c r="CK546" s="831"/>
      <c r="CL546" s="832"/>
      <c r="CM546" s="833" t="str">
        <f t="shared" si="468"/>
        <v>-</v>
      </c>
      <c r="CN546" s="834" t="str">
        <f t="shared" si="469"/>
        <v>-</v>
      </c>
      <c r="CO546" s="830" t="str">
        <f t="shared" ca="1" si="470"/>
        <v>-</v>
      </c>
      <c r="CP546" s="831">
        <v>43052</v>
      </c>
      <c r="CQ546" s="832">
        <v>2</v>
      </c>
      <c r="CR546" s="833">
        <f t="shared" si="471"/>
        <v>230</v>
      </c>
      <c r="CS546" s="833">
        <f t="shared" ca="1" si="472"/>
        <v>82</v>
      </c>
      <c r="CT546" s="834" t="str">
        <f t="shared" ca="1" si="473"/>
        <v>ТРЕБУЕТСЯ БУСТЕРНАЯ ДОЗА</v>
      </c>
      <c r="CU546" s="835">
        <f t="shared" si="474"/>
        <v>43073</v>
      </c>
      <c r="CV546" s="839"/>
      <c r="CW546" s="832"/>
      <c r="CX546" s="833" t="str">
        <f t="shared" si="475"/>
        <v>-</v>
      </c>
      <c r="CY546" s="840" t="str">
        <f t="shared" si="476"/>
        <v>-</v>
      </c>
      <c r="CZ546" s="833" t="str">
        <f t="shared" si="477"/>
        <v>-</v>
      </c>
      <c r="DA546" s="838" t="str">
        <f t="shared" ca="1" si="478"/>
        <v>-</v>
      </c>
      <c r="DB546" s="841"/>
      <c r="DC546" s="832"/>
    </row>
    <row r="547" spans="1:107" s="842" customFormat="1" ht="15.95" customHeight="1" x14ac:dyDescent="0.25">
      <c r="A547" s="790">
        <v>549</v>
      </c>
      <c r="B547" s="791">
        <f t="shared" ca="1" si="427"/>
        <v>43134</v>
      </c>
      <c r="C547" s="847" t="s">
        <v>2554</v>
      </c>
      <c r="D547" s="793" t="s">
        <v>2586</v>
      </c>
      <c r="E547" s="794" t="s">
        <v>2804</v>
      </c>
      <c r="F547" s="795" t="s">
        <v>2089</v>
      </c>
      <c r="G547" s="796">
        <f>SUMIFS(МОЛОКО!L8:L6958,МОЛОКО!F8:F6958,"2744",МОЛОКО!L8:L6958,"&gt;0")</f>
        <v>0</v>
      </c>
      <c r="H547" s="797" t="s">
        <v>603</v>
      </c>
      <c r="I547" s="798">
        <v>42330</v>
      </c>
      <c r="J547" s="799">
        <f t="shared" ca="1" si="428"/>
        <v>2.2027397260273971</v>
      </c>
      <c r="K547" s="799">
        <f t="shared" ca="1" si="429"/>
        <v>26.8</v>
      </c>
      <c r="L547" s="800">
        <f t="shared" ca="1" si="430"/>
        <v>804</v>
      </c>
      <c r="M547" s="801"/>
      <c r="N547" s="802"/>
      <c r="O547" s="803" t="str">
        <f t="shared" ca="1" si="431"/>
        <v>-</v>
      </c>
      <c r="P547" s="804"/>
      <c r="Q547" s="805" t="s">
        <v>1451</v>
      </c>
      <c r="R547" s="806" t="s">
        <v>2664</v>
      </c>
      <c r="S547" s="807">
        <v>42786</v>
      </c>
      <c r="T547" s="798">
        <v>42841</v>
      </c>
      <c r="U547" s="798" t="str">
        <f t="shared" si="432"/>
        <v>-</v>
      </c>
      <c r="V547" s="804" t="str">
        <f t="shared" ca="1" si="433"/>
        <v>-</v>
      </c>
      <c r="W547" s="808">
        <v>2</v>
      </c>
      <c r="X547" s="794" t="str">
        <f t="shared" si="426"/>
        <v>-</v>
      </c>
      <c r="Y547" s="794">
        <v>1</v>
      </c>
      <c r="Z547" s="809" t="str">
        <f t="shared" ca="1" si="434"/>
        <v>ПОДЛЕЖИТ ПЕРЕПРОВЕРКЕ</v>
      </c>
      <c r="AA547" s="810">
        <f t="shared" ca="1" si="435"/>
        <v>293</v>
      </c>
      <c r="AB547" s="804"/>
      <c r="AC547" s="811">
        <f t="shared" ca="1" si="436"/>
        <v>42913</v>
      </c>
      <c r="AD547" s="798"/>
      <c r="AE547" s="794" t="str">
        <f t="shared" ca="1" si="437"/>
        <v>-</v>
      </c>
      <c r="AF547" s="798" t="str">
        <f t="shared" si="438"/>
        <v>-</v>
      </c>
      <c r="AG547" s="812" t="str">
        <f t="shared" si="439"/>
        <v>---------</v>
      </c>
      <c r="AH547" s="807">
        <v>42904</v>
      </c>
      <c r="AI547" s="807" t="str">
        <f t="shared" si="440"/>
        <v>-</v>
      </c>
      <c r="AJ547" s="807" t="str">
        <f t="shared" si="441"/>
        <v>-</v>
      </c>
      <c r="AK547" s="813"/>
      <c r="AL547" s="807">
        <f t="shared" si="442"/>
        <v>43100</v>
      </c>
      <c r="AM547" s="807">
        <f t="shared" si="443"/>
        <v>43121</v>
      </c>
      <c r="AN547" s="814">
        <f t="shared" ca="1" si="444"/>
        <v>13</v>
      </c>
      <c r="AO547" s="815">
        <v>1</v>
      </c>
      <c r="AP547" s="816" t="str">
        <f t="shared" ca="1" si="445"/>
        <v>-</v>
      </c>
      <c r="AQ547" s="817"/>
      <c r="AR547" s="794" t="str">
        <f t="shared" si="446"/>
        <v>НЕТЕЛЬ</v>
      </c>
      <c r="AS547" s="818"/>
      <c r="AT547" s="794" t="str">
        <f t="shared" si="447"/>
        <v>-</v>
      </c>
      <c r="AU547" s="819"/>
      <c r="AV547" s="820"/>
      <c r="AW547" s="821"/>
      <c r="AX547" s="821"/>
      <c r="AY547" s="969" t="str">
        <f t="shared" si="448"/>
        <v>-</v>
      </c>
      <c r="AZ547" s="966" t="str">
        <f t="shared" si="449"/>
        <v>-</v>
      </c>
      <c r="BA547" s="971" t="str">
        <f t="shared" si="450"/>
        <v>-</v>
      </c>
      <c r="BB547" s="975"/>
      <c r="BC547" s="821"/>
      <c r="BD547" s="821"/>
      <c r="BE547" s="963" t="str">
        <f t="shared" si="451"/>
        <v>-</v>
      </c>
      <c r="BF547" s="984"/>
      <c r="BG547" s="988"/>
      <c r="BH547" s="982"/>
      <c r="BI547" s="991"/>
      <c r="BJ547" s="991"/>
      <c r="BK547" s="993" t="str">
        <f t="shared" si="452"/>
        <v>-</v>
      </c>
      <c r="BL547" s="820">
        <v>42978</v>
      </c>
      <c r="BM547" s="821">
        <v>5</v>
      </c>
      <c r="BN547" s="822">
        <f t="shared" ca="1" si="453"/>
        <v>156</v>
      </c>
      <c r="BO547" s="823">
        <f t="shared" si="454"/>
        <v>21.6</v>
      </c>
      <c r="BP547" s="824"/>
      <c r="BQ547" s="821"/>
      <c r="BR547" s="822" t="str">
        <f t="shared" si="455"/>
        <v>-</v>
      </c>
      <c r="BS547" s="823" t="str">
        <f t="shared" si="456"/>
        <v>-</v>
      </c>
      <c r="BT547" s="825" t="str">
        <f t="shared" ca="1" si="457"/>
        <v>-</v>
      </c>
      <c r="BU547" s="826"/>
      <c r="BV547" s="827"/>
      <c r="BW547" s="828" t="str">
        <f t="shared" si="458"/>
        <v>Ж-Е НЕ ВАКЦ.</v>
      </c>
      <c r="BX547" s="829" t="str">
        <f t="shared" si="459"/>
        <v>-</v>
      </c>
      <c r="BY547" s="830" t="str">
        <f t="shared" ca="1" si="460"/>
        <v>-</v>
      </c>
      <c r="BZ547" s="831">
        <v>42891</v>
      </c>
      <c r="CA547" s="832">
        <v>5</v>
      </c>
      <c r="CB547" s="833">
        <f t="shared" ca="1" si="461"/>
        <v>243</v>
      </c>
      <c r="CC547" s="834" t="str">
        <f t="shared" ca="1" si="462"/>
        <v>-</v>
      </c>
      <c r="CD547" s="835">
        <f t="shared" si="463"/>
        <v>42912</v>
      </c>
      <c r="CE547" s="831">
        <v>42912</v>
      </c>
      <c r="CF547" s="832">
        <v>5</v>
      </c>
      <c r="CG547" s="833">
        <f t="shared" ca="1" si="464"/>
        <v>222</v>
      </c>
      <c r="CH547" s="836">
        <f t="shared" si="465"/>
        <v>0</v>
      </c>
      <c r="CI547" s="837" t="str">
        <f t="shared" si="466"/>
        <v>УСПЕШНО</v>
      </c>
      <c r="CJ547" s="838" t="str">
        <f t="shared" ca="1" si="467"/>
        <v>-</v>
      </c>
      <c r="CK547" s="831"/>
      <c r="CL547" s="832"/>
      <c r="CM547" s="833" t="str">
        <f t="shared" si="468"/>
        <v>-</v>
      </c>
      <c r="CN547" s="834" t="str">
        <f t="shared" si="469"/>
        <v>-</v>
      </c>
      <c r="CO547" s="830" t="str">
        <f t="shared" ca="1" si="470"/>
        <v>-</v>
      </c>
      <c r="CP547" s="831">
        <v>43053</v>
      </c>
      <c r="CQ547" s="832">
        <v>2</v>
      </c>
      <c r="CR547" s="833">
        <f t="shared" si="471"/>
        <v>212</v>
      </c>
      <c r="CS547" s="833">
        <f t="shared" ca="1" si="472"/>
        <v>81</v>
      </c>
      <c r="CT547" s="834" t="str">
        <f t="shared" ca="1" si="473"/>
        <v>ТРЕБУЕТСЯ БУСТЕРНАЯ ДОЗА</v>
      </c>
      <c r="CU547" s="835">
        <f t="shared" si="474"/>
        <v>43074</v>
      </c>
      <c r="CV547" s="839"/>
      <c r="CW547" s="832"/>
      <c r="CX547" s="833" t="str">
        <f t="shared" si="475"/>
        <v>-</v>
      </c>
      <c r="CY547" s="840" t="str">
        <f t="shared" si="476"/>
        <v>-</v>
      </c>
      <c r="CZ547" s="833" t="str">
        <f t="shared" si="477"/>
        <v>-</v>
      </c>
      <c r="DA547" s="838" t="str">
        <f t="shared" ca="1" si="478"/>
        <v>-</v>
      </c>
      <c r="DB547" s="841"/>
      <c r="DC547" s="832"/>
    </row>
    <row r="548" spans="1:107" s="842" customFormat="1" ht="15.95" customHeight="1" x14ac:dyDescent="0.25">
      <c r="A548" s="790">
        <v>550</v>
      </c>
      <c r="B548" s="791">
        <f t="shared" ca="1" si="427"/>
        <v>43134</v>
      </c>
      <c r="C548" s="847" t="s">
        <v>2554</v>
      </c>
      <c r="D548" s="793" t="s">
        <v>2586</v>
      </c>
      <c r="E548" s="794" t="s">
        <v>2808</v>
      </c>
      <c r="F548" s="795" t="s">
        <v>2093</v>
      </c>
      <c r="G548" s="796">
        <f>SUMIFS(МОЛОКО!L8:L6958,МОЛОКО!F8:F6958,"2752",МОЛОКО!L8:L6958,"&gt;0")</f>
        <v>0</v>
      </c>
      <c r="H548" s="797" t="s">
        <v>603</v>
      </c>
      <c r="I548" s="798">
        <v>42337</v>
      </c>
      <c r="J548" s="799">
        <f t="shared" ca="1" si="428"/>
        <v>2.1835616438356165</v>
      </c>
      <c r="K548" s="799">
        <f t="shared" ca="1" si="429"/>
        <v>26.566666666666666</v>
      </c>
      <c r="L548" s="800">
        <f t="shared" ca="1" si="430"/>
        <v>797</v>
      </c>
      <c r="M548" s="801"/>
      <c r="N548" s="802"/>
      <c r="O548" s="803" t="str">
        <f t="shared" ca="1" si="431"/>
        <v>-</v>
      </c>
      <c r="P548" s="804"/>
      <c r="Q548" s="805" t="s">
        <v>1451</v>
      </c>
      <c r="R548" s="806" t="s">
        <v>1876</v>
      </c>
      <c r="S548" s="807">
        <v>42709</v>
      </c>
      <c r="T548" s="798">
        <v>42808</v>
      </c>
      <c r="U548" s="798" t="str">
        <f t="shared" si="432"/>
        <v>-</v>
      </c>
      <c r="V548" s="804" t="str">
        <f t="shared" ca="1" si="433"/>
        <v>-</v>
      </c>
      <c r="W548" s="808">
        <v>3</v>
      </c>
      <c r="X548" s="794" t="str">
        <f t="shared" si="426"/>
        <v>-</v>
      </c>
      <c r="Y548" s="794">
        <v>1</v>
      </c>
      <c r="Z548" s="809" t="str">
        <f t="shared" ca="1" si="434"/>
        <v>ПОДЛЕЖИТ ПЕРЕПРОВЕРКЕ</v>
      </c>
      <c r="AA548" s="810">
        <f t="shared" ca="1" si="435"/>
        <v>326</v>
      </c>
      <c r="AB548" s="804"/>
      <c r="AC548" s="811">
        <f t="shared" ca="1" si="436"/>
        <v>42880</v>
      </c>
      <c r="AD548" s="798"/>
      <c r="AE548" s="794" t="str">
        <f t="shared" ca="1" si="437"/>
        <v>-</v>
      </c>
      <c r="AF548" s="798" t="str">
        <f t="shared" si="438"/>
        <v>-</v>
      </c>
      <c r="AG548" s="812" t="str">
        <f t="shared" si="439"/>
        <v>---------</v>
      </c>
      <c r="AH548" s="807">
        <v>42881</v>
      </c>
      <c r="AI548" s="807" t="str">
        <f t="shared" si="440"/>
        <v>-</v>
      </c>
      <c r="AJ548" s="807" t="str">
        <f t="shared" si="441"/>
        <v>-</v>
      </c>
      <c r="AK548" s="813"/>
      <c r="AL548" s="807">
        <f t="shared" si="442"/>
        <v>43067</v>
      </c>
      <c r="AM548" s="807">
        <f t="shared" si="443"/>
        <v>43088</v>
      </c>
      <c r="AN548" s="814">
        <f t="shared" ca="1" si="444"/>
        <v>46</v>
      </c>
      <c r="AO548" s="815">
        <v>1</v>
      </c>
      <c r="AP548" s="816" t="str">
        <f t="shared" ca="1" si="445"/>
        <v>-</v>
      </c>
      <c r="AQ548" s="817"/>
      <c r="AR548" s="794" t="str">
        <f t="shared" si="446"/>
        <v>НЕТЕЛЬ</v>
      </c>
      <c r="AS548" s="818"/>
      <c r="AT548" s="794" t="str">
        <f t="shared" si="447"/>
        <v>-</v>
      </c>
      <c r="AU548" s="819"/>
      <c r="AV548" s="820"/>
      <c r="AW548" s="821"/>
      <c r="AX548" s="821"/>
      <c r="AY548" s="969" t="str">
        <f t="shared" si="448"/>
        <v>-</v>
      </c>
      <c r="AZ548" s="966" t="str">
        <f t="shared" si="449"/>
        <v>-</v>
      </c>
      <c r="BA548" s="971" t="str">
        <f t="shared" si="450"/>
        <v>-</v>
      </c>
      <c r="BB548" s="975"/>
      <c r="BC548" s="821"/>
      <c r="BD548" s="821"/>
      <c r="BE548" s="963" t="str">
        <f t="shared" si="451"/>
        <v>-</v>
      </c>
      <c r="BF548" s="984"/>
      <c r="BG548" s="988"/>
      <c r="BH548" s="982"/>
      <c r="BI548" s="991"/>
      <c r="BJ548" s="991"/>
      <c r="BK548" s="993" t="str">
        <f t="shared" si="452"/>
        <v>-</v>
      </c>
      <c r="BL548" s="820">
        <v>42978</v>
      </c>
      <c r="BM548" s="821">
        <v>5</v>
      </c>
      <c r="BN548" s="822">
        <f t="shared" ca="1" si="453"/>
        <v>156</v>
      </c>
      <c r="BO548" s="823">
        <f t="shared" si="454"/>
        <v>21.366666666666667</v>
      </c>
      <c r="BP548" s="824"/>
      <c r="BQ548" s="821"/>
      <c r="BR548" s="822" t="str">
        <f t="shared" si="455"/>
        <v>-</v>
      </c>
      <c r="BS548" s="823" t="str">
        <f t="shared" si="456"/>
        <v>-</v>
      </c>
      <c r="BT548" s="825" t="str">
        <f t="shared" ca="1" si="457"/>
        <v>-</v>
      </c>
      <c r="BU548" s="826"/>
      <c r="BV548" s="827"/>
      <c r="BW548" s="828" t="str">
        <f t="shared" si="458"/>
        <v>Ж-Е НЕ ВАКЦ.</v>
      </c>
      <c r="BX548" s="829" t="str">
        <f t="shared" si="459"/>
        <v>-</v>
      </c>
      <c r="BY548" s="830" t="str">
        <f t="shared" ca="1" si="460"/>
        <v>-</v>
      </c>
      <c r="BZ548" s="831">
        <v>42894</v>
      </c>
      <c r="CA548" s="832">
        <v>5</v>
      </c>
      <c r="CB548" s="833">
        <f t="shared" ca="1" si="461"/>
        <v>240</v>
      </c>
      <c r="CC548" s="834" t="str">
        <f t="shared" ca="1" si="462"/>
        <v>-</v>
      </c>
      <c r="CD548" s="835">
        <f t="shared" si="463"/>
        <v>42915</v>
      </c>
      <c r="CE548" s="831">
        <v>42915</v>
      </c>
      <c r="CF548" s="832">
        <v>5</v>
      </c>
      <c r="CG548" s="833">
        <f t="shared" ca="1" si="464"/>
        <v>219</v>
      </c>
      <c r="CH548" s="836">
        <f t="shared" si="465"/>
        <v>0</v>
      </c>
      <c r="CI548" s="837" t="str">
        <f t="shared" si="466"/>
        <v>УСПЕШНО</v>
      </c>
      <c r="CJ548" s="838" t="str">
        <f t="shared" ca="1" si="467"/>
        <v>-</v>
      </c>
      <c r="CK548" s="831"/>
      <c r="CL548" s="832"/>
      <c r="CM548" s="833" t="str">
        <f t="shared" si="468"/>
        <v>-</v>
      </c>
      <c r="CN548" s="834" t="str">
        <f t="shared" si="469"/>
        <v>-</v>
      </c>
      <c r="CO548" s="830" t="str">
        <f t="shared" ca="1" si="470"/>
        <v>-</v>
      </c>
      <c r="CP548" s="831">
        <v>43024</v>
      </c>
      <c r="CQ548" s="832">
        <v>2</v>
      </c>
      <c r="CR548" s="833">
        <f t="shared" si="471"/>
        <v>216</v>
      </c>
      <c r="CS548" s="833">
        <f t="shared" ca="1" si="472"/>
        <v>110</v>
      </c>
      <c r="CT548" s="834" t="str">
        <f t="shared" ca="1" si="473"/>
        <v>-</v>
      </c>
      <c r="CU548" s="835">
        <f t="shared" si="474"/>
        <v>43045</v>
      </c>
      <c r="CV548" s="831">
        <v>43045</v>
      </c>
      <c r="CW548" s="832">
        <v>2</v>
      </c>
      <c r="CX548" s="833">
        <f t="shared" si="475"/>
        <v>0</v>
      </c>
      <c r="CY548" s="840" t="str">
        <f t="shared" si="476"/>
        <v>УСПЕШНО</v>
      </c>
      <c r="CZ548" s="833">
        <f t="shared" si="477"/>
        <v>237</v>
      </c>
      <c r="DA548" s="838" t="str">
        <f t="shared" ca="1" si="478"/>
        <v>ТРЕБУЕТСЯ РЕВАКЦИНАЦИЯ</v>
      </c>
      <c r="DB548" s="841"/>
      <c r="DC548" s="832"/>
    </row>
    <row r="549" spans="1:107" s="842" customFormat="1" ht="15.95" customHeight="1" x14ac:dyDescent="0.25">
      <c r="A549" s="790">
        <v>551</v>
      </c>
      <c r="B549" s="791">
        <f t="shared" ca="1" si="427"/>
        <v>43134</v>
      </c>
      <c r="C549" s="271" t="s">
        <v>2554</v>
      </c>
      <c r="D549" s="59" t="s">
        <v>2586</v>
      </c>
      <c r="E549" s="794" t="s">
        <v>941</v>
      </c>
      <c r="F549" s="795" t="s">
        <v>2095</v>
      </c>
      <c r="G549" s="796">
        <f>SUMIFS(МОЛОКО!L8:L6958,МОЛОКО!F8:F6958,"2756",МОЛОКО!L8:L6958,"&gt;0")</f>
        <v>0</v>
      </c>
      <c r="H549" s="797" t="s">
        <v>603</v>
      </c>
      <c r="I549" s="798">
        <v>42341</v>
      </c>
      <c r="J549" s="799">
        <f t="shared" ca="1" si="428"/>
        <v>2.1726027397260275</v>
      </c>
      <c r="K549" s="799">
        <f t="shared" ca="1" si="429"/>
        <v>26.433333333333334</v>
      </c>
      <c r="L549" s="800">
        <f t="shared" ca="1" si="430"/>
        <v>793</v>
      </c>
      <c r="M549" s="801"/>
      <c r="N549" s="802"/>
      <c r="O549" s="803" t="str">
        <f t="shared" ca="1" si="431"/>
        <v>-</v>
      </c>
      <c r="P549" s="804"/>
      <c r="Q549" s="805" t="s">
        <v>1451</v>
      </c>
      <c r="R549" s="806" t="s">
        <v>1876</v>
      </c>
      <c r="S549" s="807">
        <v>42776</v>
      </c>
      <c r="T549" s="798">
        <v>42927</v>
      </c>
      <c r="U549" s="798" t="str">
        <f t="shared" si="432"/>
        <v>-</v>
      </c>
      <c r="V549" s="804" t="str">
        <f t="shared" ca="1" si="433"/>
        <v>-</v>
      </c>
      <c r="W549" s="808">
        <v>4</v>
      </c>
      <c r="X549" s="794" t="str">
        <f t="shared" si="426"/>
        <v>-</v>
      </c>
      <c r="Y549" s="794">
        <v>1</v>
      </c>
      <c r="Z549" s="809" t="str">
        <f t="shared" ca="1" si="434"/>
        <v>ПОДЛЕЖИТ ПЕРЕПРОВЕРКЕ</v>
      </c>
      <c r="AA549" s="810">
        <f t="shared" ca="1" si="435"/>
        <v>207</v>
      </c>
      <c r="AB549" s="804"/>
      <c r="AC549" s="811">
        <f t="shared" ca="1" si="436"/>
        <v>42999</v>
      </c>
      <c r="AD549" s="798"/>
      <c r="AE549" s="794" t="str">
        <f t="shared" ca="1" si="437"/>
        <v>-</v>
      </c>
      <c r="AF549" s="798" t="str">
        <f t="shared" si="438"/>
        <v>-</v>
      </c>
      <c r="AG549" s="812" t="str">
        <f t="shared" si="439"/>
        <v>---------</v>
      </c>
      <c r="AH549" s="807">
        <v>43001</v>
      </c>
      <c r="AI549" s="807" t="str">
        <f t="shared" si="440"/>
        <v>-</v>
      </c>
      <c r="AJ549" s="807" t="str">
        <f t="shared" si="441"/>
        <v>-</v>
      </c>
      <c r="AK549" s="813"/>
      <c r="AL549" s="807">
        <f t="shared" si="442"/>
        <v>43186</v>
      </c>
      <c r="AM549" s="807">
        <f t="shared" si="443"/>
        <v>43207</v>
      </c>
      <c r="AN549" s="814">
        <f t="shared" ca="1" si="444"/>
        <v>-73</v>
      </c>
      <c r="AO549" s="815">
        <v>1</v>
      </c>
      <c r="AP549" s="816" t="str">
        <f t="shared" ca="1" si="445"/>
        <v>-</v>
      </c>
      <c r="AQ549" s="817"/>
      <c r="AR549" s="794" t="str">
        <f t="shared" si="446"/>
        <v>НЕТЕЛЬ</v>
      </c>
      <c r="AS549" s="818"/>
      <c r="AT549" s="794" t="str">
        <f t="shared" si="447"/>
        <v>-</v>
      </c>
      <c r="AU549" s="819"/>
      <c r="AV549" s="820"/>
      <c r="AW549" s="821"/>
      <c r="AX549" s="821"/>
      <c r="AY549" s="969" t="str">
        <f t="shared" si="448"/>
        <v>-</v>
      </c>
      <c r="AZ549" s="966" t="str">
        <f t="shared" si="449"/>
        <v>-</v>
      </c>
      <c r="BA549" s="971" t="str">
        <f t="shared" si="450"/>
        <v>-</v>
      </c>
      <c r="BB549" s="975"/>
      <c r="BC549" s="821"/>
      <c r="BD549" s="821"/>
      <c r="BE549" s="963" t="str">
        <f t="shared" si="451"/>
        <v>-</v>
      </c>
      <c r="BF549" s="984"/>
      <c r="BG549" s="988"/>
      <c r="BH549" s="982"/>
      <c r="BI549" s="991"/>
      <c r="BJ549" s="991"/>
      <c r="BK549" s="993" t="str">
        <f t="shared" si="452"/>
        <v>-</v>
      </c>
      <c r="BL549" s="820">
        <v>42977</v>
      </c>
      <c r="BM549" s="821">
        <v>5</v>
      </c>
      <c r="BN549" s="822">
        <f t="shared" ca="1" si="453"/>
        <v>157</v>
      </c>
      <c r="BO549" s="823">
        <f t="shared" si="454"/>
        <v>21.2</v>
      </c>
      <c r="BP549" s="824"/>
      <c r="BQ549" s="821"/>
      <c r="BR549" s="822" t="str">
        <f t="shared" si="455"/>
        <v>-</v>
      </c>
      <c r="BS549" s="823" t="str">
        <f t="shared" si="456"/>
        <v>-</v>
      </c>
      <c r="BT549" s="825" t="str">
        <f t="shared" ca="1" si="457"/>
        <v>-</v>
      </c>
      <c r="BU549" s="826"/>
      <c r="BV549" s="827"/>
      <c r="BW549" s="828" t="str">
        <f t="shared" si="458"/>
        <v>Ж-Е НЕ ВАКЦ.</v>
      </c>
      <c r="BX549" s="829" t="str">
        <f t="shared" si="459"/>
        <v>-</v>
      </c>
      <c r="BY549" s="830" t="str">
        <f t="shared" ca="1" si="460"/>
        <v>-</v>
      </c>
      <c r="BZ549" s="831">
        <v>42891</v>
      </c>
      <c r="CA549" s="832">
        <v>5</v>
      </c>
      <c r="CB549" s="833">
        <f t="shared" ca="1" si="461"/>
        <v>243</v>
      </c>
      <c r="CC549" s="834" t="str">
        <f t="shared" ca="1" si="462"/>
        <v>-</v>
      </c>
      <c r="CD549" s="835">
        <f t="shared" si="463"/>
        <v>42912</v>
      </c>
      <c r="CE549" s="831">
        <v>42912</v>
      </c>
      <c r="CF549" s="832">
        <v>5</v>
      </c>
      <c r="CG549" s="833">
        <f t="shared" ca="1" si="464"/>
        <v>222</v>
      </c>
      <c r="CH549" s="836">
        <f t="shared" si="465"/>
        <v>0</v>
      </c>
      <c r="CI549" s="837" t="str">
        <f t="shared" si="466"/>
        <v>УСПЕШНО</v>
      </c>
      <c r="CJ549" s="838" t="str">
        <f t="shared" ca="1" si="467"/>
        <v>-</v>
      </c>
      <c r="CK549" s="831"/>
      <c r="CL549" s="832"/>
      <c r="CM549" s="833" t="str">
        <f t="shared" si="468"/>
        <v>-</v>
      </c>
      <c r="CN549" s="834" t="str">
        <f t="shared" si="469"/>
        <v>-</v>
      </c>
      <c r="CO549" s="830" t="str">
        <f t="shared" ca="1" si="470"/>
        <v>-</v>
      </c>
      <c r="CP549" s="839"/>
      <c r="CQ549" s="832"/>
      <c r="CR549" s="833" t="str">
        <f t="shared" si="471"/>
        <v>-</v>
      </c>
      <c r="CS549" s="833" t="str">
        <f t="shared" si="472"/>
        <v>-</v>
      </c>
      <c r="CT549" s="834" t="str">
        <f t="shared" si="473"/>
        <v>-</v>
      </c>
      <c r="CU549" s="835" t="str">
        <f t="shared" si="474"/>
        <v>-</v>
      </c>
      <c r="CV549" s="839"/>
      <c r="CW549" s="832"/>
      <c r="CX549" s="833" t="str">
        <f t="shared" si="475"/>
        <v>-</v>
      </c>
      <c r="CY549" s="840" t="str">
        <f t="shared" si="476"/>
        <v>-</v>
      </c>
      <c r="CZ549" s="833" t="str">
        <f t="shared" si="477"/>
        <v>-</v>
      </c>
      <c r="DA549" s="838" t="str">
        <f t="shared" ca="1" si="478"/>
        <v>-</v>
      </c>
      <c r="DB549" s="841"/>
      <c r="DC549" s="832"/>
    </row>
    <row r="550" spans="1:107" s="842" customFormat="1" ht="15.95" customHeight="1" x14ac:dyDescent="0.25">
      <c r="A550" s="790">
        <v>552</v>
      </c>
      <c r="B550" s="791">
        <f t="shared" ca="1" si="427"/>
        <v>43134</v>
      </c>
      <c r="C550" s="847" t="s">
        <v>2554</v>
      </c>
      <c r="D550" s="793" t="s">
        <v>2586</v>
      </c>
      <c r="E550" s="794" t="s">
        <v>1371</v>
      </c>
      <c r="F550" s="795" t="s">
        <v>2100</v>
      </c>
      <c r="G550" s="796">
        <f>SUMIFS(МОЛОКО!L8:L6958,МОЛОКО!F8:F6958,"2763",МОЛОКО!L8:L6958,"&gt;0")</f>
        <v>0</v>
      </c>
      <c r="H550" s="797" t="s">
        <v>603</v>
      </c>
      <c r="I550" s="798">
        <v>42345</v>
      </c>
      <c r="J550" s="799">
        <f t="shared" ca="1" si="428"/>
        <v>2.1616438356164385</v>
      </c>
      <c r="K550" s="799">
        <f t="shared" ca="1" si="429"/>
        <v>26.3</v>
      </c>
      <c r="L550" s="800">
        <f t="shared" ca="1" si="430"/>
        <v>789</v>
      </c>
      <c r="M550" s="801"/>
      <c r="N550" s="802"/>
      <c r="O550" s="803" t="str">
        <f t="shared" ca="1" si="431"/>
        <v>-</v>
      </c>
      <c r="P550" s="804"/>
      <c r="Q550" s="805" t="s">
        <v>1451</v>
      </c>
      <c r="R550" s="806" t="s">
        <v>1876</v>
      </c>
      <c r="S550" s="807">
        <v>42742</v>
      </c>
      <c r="T550" s="798">
        <v>42831</v>
      </c>
      <c r="U550" s="798" t="str">
        <f t="shared" si="432"/>
        <v>-</v>
      </c>
      <c r="V550" s="804" t="str">
        <f t="shared" ca="1" si="433"/>
        <v>-</v>
      </c>
      <c r="W550" s="808">
        <v>3</v>
      </c>
      <c r="X550" s="794" t="str">
        <f t="shared" si="426"/>
        <v>-</v>
      </c>
      <c r="Y550" s="794">
        <v>1</v>
      </c>
      <c r="Z550" s="809" t="str">
        <f t="shared" ca="1" si="434"/>
        <v>ПОДЛЕЖИТ ПЕРЕПРОВЕРКЕ</v>
      </c>
      <c r="AA550" s="810">
        <f t="shared" ca="1" si="435"/>
        <v>303</v>
      </c>
      <c r="AB550" s="804"/>
      <c r="AC550" s="811">
        <f t="shared" ca="1" si="436"/>
        <v>42903</v>
      </c>
      <c r="AD550" s="798"/>
      <c r="AE550" s="794" t="str">
        <f t="shared" ca="1" si="437"/>
        <v>-</v>
      </c>
      <c r="AF550" s="798" t="str">
        <f t="shared" si="438"/>
        <v>-</v>
      </c>
      <c r="AG550" s="812" t="str">
        <f t="shared" si="439"/>
        <v>---------</v>
      </c>
      <c r="AH550" s="807">
        <v>42904</v>
      </c>
      <c r="AI550" s="807" t="str">
        <f t="shared" si="440"/>
        <v>-</v>
      </c>
      <c r="AJ550" s="807" t="str">
        <f t="shared" si="441"/>
        <v>-</v>
      </c>
      <c r="AK550" s="813"/>
      <c r="AL550" s="807">
        <f t="shared" si="442"/>
        <v>43090</v>
      </c>
      <c r="AM550" s="807">
        <f t="shared" si="443"/>
        <v>43111</v>
      </c>
      <c r="AN550" s="814">
        <f t="shared" ca="1" si="444"/>
        <v>23</v>
      </c>
      <c r="AO550" s="815">
        <v>1</v>
      </c>
      <c r="AP550" s="816" t="str">
        <f t="shared" ca="1" si="445"/>
        <v>-</v>
      </c>
      <c r="AQ550" s="817"/>
      <c r="AR550" s="794" t="str">
        <f t="shared" si="446"/>
        <v>НЕТЕЛЬ</v>
      </c>
      <c r="AS550" s="818"/>
      <c r="AT550" s="794" t="str">
        <f t="shared" si="447"/>
        <v>-</v>
      </c>
      <c r="AU550" s="819"/>
      <c r="AV550" s="820"/>
      <c r="AW550" s="821"/>
      <c r="AX550" s="821"/>
      <c r="AY550" s="969" t="str">
        <f t="shared" si="448"/>
        <v>-</v>
      </c>
      <c r="AZ550" s="966" t="str">
        <f t="shared" si="449"/>
        <v>-</v>
      </c>
      <c r="BA550" s="971" t="str">
        <f t="shared" si="450"/>
        <v>-</v>
      </c>
      <c r="BB550" s="975"/>
      <c r="BC550" s="821"/>
      <c r="BD550" s="821"/>
      <c r="BE550" s="963" t="str">
        <f t="shared" si="451"/>
        <v>-</v>
      </c>
      <c r="BF550" s="984"/>
      <c r="BG550" s="988"/>
      <c r="BH550" s="982"/>
      <c r="BI550" s="991"/>
      <c r="BJ550" s="991"/>
      <c r="BK550" s="993" t="str">
        <f t="shared" si="452"/>
        <v>-</v>
      </c>
      <c r="BL550" s="820">
        <v>42978</v>
      </c>
      <c r="BM550" s="821">
        <v>5</v>
      </c>
      <c r="BN550" s="822">
        <f t="shared" ca="1" si="453"/>
        <v>156</v>
      </c>
      <c r="BO550" s="823">
        <f t="shared" si="454"/>
        <v>21.1</v>
      </c>
      <c r="BP550" s="824"/>
      <c r="BQ550" s="821"/>
      <c r="BR550" s="822" t="str">
        <f t="shared" si="455"/>
        <v>-</v>
      </c>
      <c r="BS550" s="823" t="str">
        <f t="shared" si="456"/>
        <v>-</v>
      </c>
      <c r="BT550" s="825" t="str">
        <f t="shared" ca="1" si="457"/>
        <v>-</v>
      </c>
      <c r="BU550" s="826"/>
      <c r="BV550" s="827"/>
      <c r="BW550" s="828" t="str">
        <f t="shared" si="458"/>
        <v>Ж-Е НЕ ВАКЦ.</v>
      </c>
      <c r="BX550" s="829" t="str">
        <f t="shared" si="459"/>
        <v>-</v>
      </c>
      <c r="BY550" s="830" t="str">
        <f t="shared" ca="1" si="460"/>
        <v>-</v>
      </c>
      <c r="BZ550" s="831">
        <v>42891</v>
      </c>
      <c r="CA550" s="832">
        <v>5</v>
      </c>
      <c r="CB550" s="833">
        <f t="shared" ca="1" si="461"/>
        <v>243</v>
      </c>
      <c r="CC550" s="834" t="str">
        <f t="shared" ca="1" si="462"/>
        <v>-</v>
      </c>
      <c r="CD550" s="835">
        <f t="shared" si="463"/>
        <v>42912</v>
      </c>
      <c r="CE550" s="831">
        <v>42912</v>
      </c>
      <c r="CF550" s="832">
        <v>5</v>
      </c>
      <c r="CG550" s="833">
        <f t="shared" ca="1" si="464"/>
        <v>222</v>
      </c>
      <c r="CH550" s="836">
        <f t="shared" si="465"/>
        <v>0</v>
      </c>
      <c r="CI550" s="837" t="str">
        <f t="shared" si="466"/>
        <v>УСПЕШНО</v>
      </c>
      <c r="CJ550" s="838" t="str">
        <f t="shared" ca="1" si="467"/>
        <v>-</v>
      </c>
      <c r="CK550" s="831"/>
      <c r="CL550" s="832"/>
      <c r="CM550" s="833" t="str">
        <f t="shared" si="468"/>
        <v>-</v>
      </c>
      <c r="CN550" s="834" t="str">
        <f t="shared" si="469"/>
        <v>-</v>
      </c>
      <c r="CO550" s="830" t="str">
        <f t="shared" ca="1" si="470"/>
        <v>-</v>
      </c>
      <c r="CP550" s="831">
        <v>43053</v>
      </c>
      <c r="CQ550" s="832">
        <v>2</v>
      </c>
      <c r="CR550" s="833">
        <f t="shared" si="471"/>
        <v>222</v>
      </c>
      <c r="CS550" s="833">
        <f t="shared" ca="1" si="472"/>
        <v>81</v>
      </c>
      <c r="CT550" s="834" t="str">
        <f t="shared" ca="1" si="473"/>
        <v>ТРЕБУЕТСЯ БУСТЕРНАЯ ДОЗА</v>
      </c>
      <c r="CU550" s="835">
        <f t="shared" si="474"/>
        <v>43074</v>
      </c>
      <c r="CV550" s="839"/>
      <c r="CW550" s="832"/>
      <c r="CX550" s="833" t="str">
        <f t="shared" si="475"/>
        <v>-</v>
      </c>
      <c r="CY550" s="840" t="str">
        <f t="shared" si="476"/>
        <v>-</v>
      </c>
      <c r="CZ550" s="833" t="str">
        <f t="shared" si="477"/>
        <v>-</v>
      </c>
      <c r="DA550" s="838" t="str">
        <f t="shared" ca="1" si="478"/>
        <v>-</v>
      </c>
      <c r="DB550" s="841"/>
      <c r="DC550" s="832"/>
    </row>
    <row r="551" spans="1:107" s="842" customFormat="1" ht="15.95" customHeight="1" x14ac:dyDescent="0.25">
      <c r="A551" s="790">
        <v>553</v>
      </c>
      <c r="B551" s="791">
        <f t="shared" ca="1" si="427"/>
        <v>43134</v>
      </c>
      <c r="C551" s="847" t="s">
        <v>2554</v>
      </c>
      <c r="D551" s="793" t="s">
        <v>2586</v>
      </c>
      <c r="E551" s="794" t="s">
        <v>2810</v>
      </c>
      <c r="F551" s="795" t="s">
        <v>2105</v>
      </c>
      <c r="G551" s="796">
        <f>SUMIFS(МОЛОКО!L8:L6958,МОЛОКО!F8:F6958,"2776",МОЛОКО!L8:L6958,"&gt;0")</f>
        <v>0</v>
      </c>
      <c r="H551" s="797" t="s">
        <v>603</v>
      </c>
      <c r="I551" s="798">
        <v>42353</v>
      </c>
      <c r="J551" s="799">
        <f t="shared" ca="1" si="428"/>
        <v>2.1397260273972605</v>
      </c>
      <c r="K551" s="799">
        <f t="shared" ca="1" si="429"/>
        <v>26.033333333333335</v>
      </c>
      <c r="L551" s="800">
        <f t="shared" ca="1" si="430"/>
        <v>781</v>
      </c>
      <c r="M551" s="801"/>
      <c r="N551" s="802"/>
      <c r="O551" s="803" t="str">
        <f t="shared" ca="1" si="431"/>
        <v>-</v>
      </c>
      <c r="P551" s="804"/>
      <c r="Q551" s="805" t="s">
        <v>1451</v>
      </c>
      <c r="R551" s="806" t="s">
        <v>1876</v>
      </c>
      <c r="S551" s="807">
        <v>42777</v>
      </c>
      <c r="T551" s="798">
        <v>42815</v>
      </c>
      <c r="U551" s="798" t="str">
        <f t="shared" si="432"/>
        <v>-</v>
      </c>
      <c r="V551" s="804" t="str">
        <f t="shared" ca="1" si="433"/>
        <v>-</v>
      </c>
      <c r="W551" s="808">
        <v>3</v>
      </c>
      <c r="X551" s="794" t="str">
        <f t="shared" si="426"/>
        <v>-</v>
      </c>
      <c r="Y551" s="794">
        <v>1</v>
      </c>
      <c r="Z551" s="809" t="str">
        <f t="shared" ca="1" si="434"/>
        <v>ПОДЛЕЖИТ ПЕРЕПРОВЕРКЕ</v>
      </c>
      <c r="AA551" s="810">
        <f t="shared" ca="1" si="435"/>
        <v>319</v>
      </c>
      <c r="AB551" s="804"/>
      <c r="AC551" s="811">
        <f t="shared" ca="1" si="436"/>
        <v>42887</v>
      </c>
      <c r="AD551" s="798"/>
      <c r="AE551" s="794" t="str">
        <f t="shared" ca="1" si="437"/>
        <v>-</v>
      </c>
      <c r="AF551" s="798" t="str">
        <f t="shared" si="438"/>
        <v>-</v>
      </c>
      <c r="AG551" s="812" t="str">
        <f t="shared" si="439"/>
        <v>---------</v>
      </c>
      <c r="AH551" s="807">
        <v>42881</v>
      </c>
      <c r="AI551" s="807" t="str">
        <f t="shared" si="440"/>
        <v>-</v>
      </c>
      <c r="AJ551" s="807" t="str">
        <f t="shared" si="441"/>
        <v>-</v>
      </c>
      <c r="AK551" s="813"/>
      <c r="AL551" s="807">
        <f t="shared" si="442"/>
        <v>43074</v>
      </c>
      <c r="AM551" s="807">
        <f t="shared" si="443"/>
        <v>43095</v>
      </c>
      <c r="AN551" s="814">
        <f t="shared" ca="1" si="444"/>
        <v>39</v>
      </c>
      <c r="AO551" s="815">
        <v>1</v>
      </c>
      <c r="AP551" s="816" t="str">
        <f t="shared" ca="1" si="445"/>
        <v>-</v>
      </c>
      <c r="AQ551" s="817"/>
      <c r="AR551" s="794" t="str">
        <f t="shared" si="446"/>
        <v>НЕТЕЛЬ</v>
      </c>
      <c r="AS551" s="818"/>
      <c r="AT551" s="794" t="str">
        <f t="shared" si="447"/>
        <v>-</v>
      </c>
      <c r="AU551" s="819"/>
      <c r="AV551" s="820"/>
      <c r="AW551" s="821"/>
      <c r="AX551" s="821"/>
      <c r="AY551" s="969" t="str">
        <f t="shared" si="448"/>
        <v>-</v>
      </c>
      <c r="AZ551" s="966" t="str">
        <f t="shared" si="449"/>
        <v>-</v>
      </c>
      <c r="BA551" s="971" t="str">
        <f t="shared" si="450"/>
        <v>-</v>
      </c>
      <c r="BB551" s="975"/>
      <c r="BC551" s="821"/>
      <c r="BD551" s="821"/>
      <c r="BE551" s="963" t="str">
        <f t="shared" si="451"/>
        <v>-</v>
      </c>
      <c r="BF551" s="984"/>
      <c r="BG551" s="988"/>
      <c r="BH551" s="982"/>
      <c r="BI551" s="991"/>
      <c r="BJ551" s="991"/>
      <c r="BK551" s="993" t="str">
        <f t="shared" si="452"/>
        <v>-</v>
      </c>
      <c r="BL551" s="820">
        <v>42978</v>
      </c>
      <c r="BM551" s="821">
        <v>5</v>
      </c>
      <c r="BN551" s="822">
        <f t="shared" ca="1" si="453"/>
        <v>156</v>
      </c>
      <c r="BO551" s="823">
        <f t="shared" si="454"/>
        <v>20.833333333333332</v>
      </c>
      <c r="BP551" s="824"/>
      <c r="BQ551" s="821"/>
      <c r="BR551" s="822" t="str">
        <f t="shared" si="455"/>
        <v>-</v>
      </c>
      <c r="BS551" s="823" t="str">
        <f t="shared" si="456"/>
        <v>-</v>
      </c>
      <c r="BT551" s="825" t="str">
        <f t="shared" ca="1" si="457"/>
        <v>-</v>
      </c>
      <c r="BU551" s="826"/>
      <c r="BV551" s="827"/>
      <c r="BW551" s="828" t="str">
        <f t="shared" si="458"/>
        <v>Ж-Е НЕ ВАКЦ.</v>
      </c>
      <c r="BX551" s="829" t="str">
        <f t="shared" si="459"/>
        <v>-</v>
      </c>
      <c r="BY551" s="830" t="str">
        <f t="shared" ca="1" si="460"/>
        <v>-</v>
      </c>
      <c r="BZ551" s="831">
        <v>42894</v>
      </c>
      <c r="CA551" s="832">
        <v>5</v>
      </c>
      <c r="CB551" s="833">
        <f t="shared" ca="1" si="461"/>
        <v>240</v>
      </c>
      <c r="CC551" s="834" t="str">
        <f t="shared" ca="1" si="462"/>
        <v>-</v>
      </c>
      <c r="CD551" s="835">
        <f t="shared" si="463"/>
        <v>42915</v>
      </c>
      <c r="CE551" s="831">
        <v>42915</v>
      </c>
      <c r="CF551" s="832">
        <v>5</v>
      </c>
      <c r="CG551" s="833">
        <f t="shared" ca="1" si="464"/>
        <v>219</v>
      </c>
      <c r="CH551" s="836">
        <f t="shared" si="465"/>
        <v>0</v>
      </c>
      <c r="CI551" s="837" t="str">
        <f t="shared" si="466"/>
        <v>УСПЕШНО</v>
      </c>
      <c r="CJ551" s="838" t="str">
        <f t="shared" ca="1" si="467"/>
        <v>-</v>
      </c>
      <c r="CK551" s="831"/>
      <c r="CL551" s="832"/>
      <c r="CM551" s="833" t="str">
        <f t="shared" si="468"/>
        <v>-</v>
      </c>
      <c r="CN551" s="834" t="str">
        <f t="shared" si="469"/>
        <v>-</v>
      </c>
      <c r="CO551" s="830" t="str">
        <f t="shared" ca="1" si="470"/>
        <v>-</v>
      </c>
      <c r="CP551" s="831">
        <v>43052</v>
      </c>
      <c r="CQ551" s="832">
        <v>2</v>
      </c>
      <c r="CR551" s="833">
        <f t="shared" si="471"/>
        <v>237</v>
      </c>
      <c r="CS551" s="833">
        <f t="shared" ca="1" si="472"/>
        <v>82</v>
      </c>
      <c r="CT551" s="834" t="str">
        <f t="shared" ca="1" si="473"/>
        <v>ТРЕБУЕТСЯ БУСТЕРНАЯ ДОЗА</v>
      </c>
      <c r="CU551" s="835">
        <f t="shared" si="474"/>
        <v>43073</v>
      </c>
      <c r="CV551" s="839"/>
      <c r="CW551" s="832"/>
      <c r="CX551" s="833" t="str">
        <f t="shared" si="475"/>
        <v>-</v>
      </c>
      <c r="CY551" s="840" t="str">
        <f t="shared" si="476"/>
        <v>-</v>
      </c>
      <c r="CZ551" s="833" t="str">
        <f t="shared" si="477"/>
        <v>-</v>
      </c>
      <c r="DA551" s="838" t="str">
        <f t="shared" ca="1" si="478"/>
        <v>-</v>
      </c>
      <c r="DB551" s="841"/>
      <c r="DC551" s="832"/>
    </row>
    <row r="552" spans="1:107" s="842" customFormat="1" ht="15.95" customHeight="1" x14ac:dyDescent="0.25">
      <c r="A552" s="790">
        <v>554</v>
      </c>
      <c r="B552" s="791">
        <f t="shared" ca="1" si="427"/>
        <v>43134</v>
      </c>
      <c r="C552" s="847" t="s">
        <v>2554</v>
      </c>
      <c r="D552" s="793" t="s">
        <v>2586</v>
      </c>
      <c r="E552" s="794" t="s">
        <v>2812</v>
      </c>
      <c r="F552" s="795" t="s">
        <v>2106</v>
      </c>
      <c r="G552" s="796">
        <f>SUMIFS(МОЛОКО!L8:L6958,МОЛОКО!F8:F6958,"2777",МОЛОКО!L8:L6958,"&gt;0")</f>
        <v>0</v>
      </c>
      <c r="H552" s="797" t="s">
        <v>603</v>
      </c>
      <c r="I552" s="798">
        <v>42354</v>
      </c>
      <c r="J552" s="799">
        <f t="shared" ca="1" si="428"/>
        <v>2.1369863013698631</v>
      </c>
      <c r="K552" s="799">
        <f t="shared" ca="1" si="429"/>
        <v>26</v>
      </c>
      <c r="L552" s="800">
        <f t="shared" ca="1" si="430"/>
        <v>780</v>
      </c>
      <c r="M552" s="801"/>
      <c r="N552" s="802"/>
      <c r="O552" s="803" t="str">
        <f t="shared" ca="1" si="431"/>
        <v>-</v>
      </c>
      <c r="P552" s="804"/>
      <c r="Q552" s="805" t="s">
        <v>1451</v>
      </c>
      <c r="R552" s="806" t="s">
        <v>1876</v>
      </c>
      <c r="S552" s="807">
        <v>42824</v>
      </c>
      <c r="T552" s="798">
        <v>42824</v>
      </c>
      <c r="U552" s="798" t="str">
        <f t="shared" si="432"/>
        <v>-</v>
      </c>
      <c r="V552" s="804" t="str">
        <f t="shared" ca="1" si="433"/>
        <v>-</v>
      </c>
      <c r="W552" s="808">
        <v>1</v>
      </c>
      <c r="X552" s="794" t="str">
        <f t="shared" si="426"/>
        <v>-</v>
      </c>
      <c r="Y552" s="794">
        <v>1</v>
      </c>
      <c r="Z552" s="809" t="str">
        <f t="shared" ca="1" si="434"/>
        <v>ПОДЛЕЖИТ ПЕРЕПРОВЕРКЕ</v>
      </c>
      <c r="AA552" s="810">
        <f t="shared" ca="1" si="435"/>
        <v>310</v>
      </c>
      <c r="AB552" s="804"/>
      <c r="AC552" s="811">
        <f t="shared" ca="1" si="436"/>
        <v>42896</v>
      </c>
      <c r="AD552" s="798"/>
      <c r="AE552" s="794" t="str">
        <f t="shared" ca="1" si="437"/>
        <v>-</v>
      </c>
      <c r="AF552" s="798" t="str">
        <f t="shared" si="438"/>
        <v>-</v>
      </c>
      <c r="AG552" s="812" t="str">
        <f t="shared" si="439"/>
        <v>---------</v>
      </c>
      <c r="AH552" s="807">
        <v>42881</v>
      </c>
      <c r="AI552" s="807" t="str">
        <f t="shared" si="440"/>
        <v>-</v>
      </c>
      <c r="AJ552" s="807" t="str">
        <f t="shared" si="441"/>
        <v>-</v>
      </c>
      <c r="AK552" s="813"/>
      <c r="AL552" s="807">
        <f t="shared" si="442"/>
        <v>43083</v>
      </c>
      <c r="AM552" s="807">
        <f t="shared" si="443"/>
        <v>43104</v>
      </c>
      <c r="AN552" s="814">
        <f t="shared" ca="1" si="444"/>
        <v>30</v>
      </c>
      <c r="AO552" s="815">
        <v>1</v>
      </c>
      <c r="AP552" s="816" t="str">
        <f t="shared" ca="1" si="445"/>
        <v>-</v>
      </c>
      <c r="AQ552" s="817"/>
      <c r="AR552" s="794" t="str">
        <f t="shared" si="446"/>
        <v>НЕТЕЛЬ</v>
      </c>
      <c r="AS552" s="818"/>
      <c r="AT552" s="794" t="str">
        <f t="shared" si="447"/>
        <v>-</v>
      </c>
      <c r="AU552" s="819"/>
      <c r="AV552" s="820"/>
      <c r="AW552" s="821"/>
      <c r="AX552" s="821"/>
      <c r="AY552" s="969" t="str">
        <f t="shared" si="448"/>
        <v>-</v>
      </c>
      <c r="AZ552" s="966" t="str">
        <f t="shared" si="449"/>
        <v>-</v>
      </c>
      <c r="BA552" s="971" t="str">
        <f t="shared" si="450"/>
        <v>-</v>
      </c>
      <c r="BB552" s="975"/>
      <c r="BC552" s="821"/>
      <c r="BD552" s="821"/>
      <c r="BE552" s="963" t="str">
        <f t="shared" si="451"/>
        <v>-</v>
      </c>
      <c r="BF552" s="984"/>
      <c r="BG552" s="988"/>
      <c r="BH552" s="982"/>
      <c r="BI552" s="991"/>
      <c r="BJ552" s="991"/>
      <c r="BK552" s="993" t="str">
        <f t="shared" si="452"/>
        <v>-</v>
      </c>
      <c r="BL552" s="820">
        <v>42978</v>
      </c>
      <c r="BM552" s="821">
        <v>5</v>
      </c>
      <c r="BN552" s="822">
        <f t="shared" ca="1" si="453"/>
        <v>156</v>
      </c>
      <c r="BO552" s="823">
        <f t="shared" si="454"/>
        <v>20.8</v>
      </c>
      <c r="BP552" s="824"/>
      <c r="BQ552" s="821"/>
      <c r="BR552" s="822" t="str">
        <f t="shared" si="455"/>
        <v>-</v>
      </c>
      <c r="BS552" s="823" t="str">
        <f t="shared" si="456"/>
        <v>-</v>
      </c>
      <c r="BT552" s="825" t="str">
        <f t="shared" ca="1" si="457"/>
        <v>-</v>
      </c>
      <c r="BU552" s="826"/>
      <c r="BV552" s="827"/>
      <c r="BW552" s="828" t="str">
        <f t="shared" si="458"/>
        <v>Ж-Е НЕ ВАКЦ.</v>
      </c>
      <c r="BX552" s="829" t="str">
        <f t="shared" si="459"/>
        <v>-</v>
      </c>
      <c r="BY552" s="830" t="str">
        <f t="shared" ca="1" si="460"/>
        <v>-</v>
      </c>
      <c r="BZ552" s="831">
        <v>42894</v>
      </c>
      <c r="CA552" s="832">
        <v>5</v>
      </c>
      <c r="CB552" s="833">
        <f t="shared" ca="1" si="461"/>
        <v>240</v>
      </c>
      <c r="CC552" s="834" t="str">
        <f t="shared" ca="1" si="462"/>
        <v>-</v>
      </c>
      <c r="CD552" s="835">
        <f t="shared" si="463"/>
        <v>42915</v>
      </c>
      <c r="CE552" s="831">
        <v>42915</v>
      </c>
      <c r="CF552" s="832">
        <v>5</v>
      </c>
      <c r="CG552" s="833">
        <f t="shared" ca="1" si="464"/>
        <v>219</v>
      </c>
      <c r="CH552" s="836">
        <f t="shared" si="465"/>
        <v>0</v>
      </c>
      <c r="CI552" s="837" t="str">
        <f t="shared" si="466"/>
        <v>УСПЕШНО</v>
      </c>
      <c r="CJ552" s="838" t="str">
        <f t="shared" ca="1" si="467"/>
        <v>-</v>
      </c>
      <c r="CK552" s="831"/>
      <c r="CL552" s="832"/>
      <c r="CM552" s="833" t="str">
        <f t="shared" si="468"/>
        <v>-</v>
      </c>
      <c r="CN552" s="834" t="str">
        <f t="shared" si="469"/>
        <v>-</v>
      </c>
      <c r="CO552" s="830" t="str">
        <f t="shared" ca="1" si="470"/>
        <v>-</v>
      </c>
      <c r="CP552" s="831">
        <v>43053</v>
      </c>
      <c r="CQ552" s="832">
        <v>2</v>
      </c>
      <c r="CR552" s="833">
        <f t="shared" si="471"/>
        <v>229</v>
      </c>
      <c r="CS552" s="833">
        <f t="shared" ca="1" si="472"/>
        <v>81</v>
      </c>
      <c r="CT552" s="834" t="str">
        <f t="shared" ca="1" si="473"/>
        <v>ТРЕБУЕТСЯ БУСТЕРНАЯ ДОЗА</v>
      </c>
      <c r="CU552" s="835">
        <f t="shared" si="474"/>
        <v>43074</v>
      </c>
      <c r="CV552" s="839"/>
      <c r="CW552" s="832"/>
      <c r="CX552" s="833" t="str">
        <f t="shared" si="475"/>
        <v>-</v>
      </c>
      <c r="CY552" s="840" t="str">
        <f t="shared" si="476"/>
        <v>-</v>
      </c>
      <c r="CZ552" s="833" t="str">
        <f t="shared" si="477"/>
        <v>-</v>
      </c>
      <c r="DA552" s="838" t="str">
        <f t="shared" ca="1" si="478"/>
        <v>-</v>
      </c>
      <c r="DB552" s="841"/>
      <c r="DC552" s="832"/>
    </row>
    <row r="553" spans="1:107" s="842" customFormat="1" ht="15.95" customHeight="1" x14ac:dyDescent="0.25">
      <c r="A553" s="790">
        <v>555</v>
      </c>
      <c r="B553" s="791">
        <f t="shared" ca="1" si="427"/>
        <v>43134</v>
      </c>
      <c r="C553" s="847" t="s">
        <v>2554</v>
      </c>
      <c r="D553" s="793" t="s">
        <v>2586</v>
      </c>
      <c r="E553" s="794" t="s">
        <v>266</v>
      </c>
      <c r="F553" s="795" t="s">
        <v>2109</v>
      </c>
      <c r="G553" s="796">
        <f>SUMIFS(МОЛОКО!L8:L6958,МОЛОКО!F8:F6958,"2781",МОЛОКО!L8:L6958,"&gt;0")</f>
        <v>0</v>
      </c>
      <c r="H553" s="797" t="s">
        <v>603</v>
      </c>
      <c r="I553" s="798">
        <v>42355</v>
      </c>
      <c r="J553" s="799">
        <f t="shared" ca="1" si="428"/>
        <v>2.1342465753424658</v>
      </c>
      <c r="K553" s="799">
        <f t="shared" ca="1" si="429"/>
        <v>25.966666666666665</v>
      </c>
      <c r="L553" s="800">
        <f t="shared" ca="1" si="430"/>
        <v>779</v>
      </c>
      <c r="M553" s="801"/>
      <c r="N553" s="802"/>
      <c r="O553" s="803" t="str">
        <f t="shared" ca="1" si="431"/>
        <v>-</v>
      </c>
      <c r="P553" s="804"/>
      <c r="Q553" s="805" t="s">
        <v>1451</v>
      </c>
      <c r="R553" s="806" t="s">
        <v>1876</v>
      </c>
      <c r="S553" s="807">
        <v>42778</v>
      </c>
      <c r="T553" s="798">
        <v>42811</v>
      </c>
      <c r="U553" s="798" t="str">
        <f t="shared" si="432"/>
        <v>-</v>
      </c>
      <c r="V553" s="804" t="str">
        <f t="shared" ca="1" si="433"/>
        <v>-</v>
      </c>
      <c r="W553" s="808">
        <v>2</v>
      </c>
      <c r="X553" s="794" t="str">
        <f t="shared" si="426"/>
        <v>-</v>
      </c>
      <c r="Y553" s="794">
        <v>1</v>
      </c>
      <c r="Z553" s="809" t="str">
        <f t="shared" ca="1" si="434"/>
        <v>ПОДЛЕЖИТ ПЕРЕПРОВЕРКЕ</v>
      </c>
      <c r="AA553" s="810">
        <f t="shared" ca="1" si="435"/>
        <v>323</v>
      </c>
      <c r="AB553" s="804"/>
      <c r="AC553" s="811">
        <f t="shared" ca="1" si="436"/>
        <v>42883</v>
      </c>
      <c r="AD553" s="798"/>
      <c r="AE553" s="794" t="str">
        <f t="shared" ca="1" si="437"/>
        <v>-</v>
      </c>
      <c r="AF553" s="798" t="str">
        <f t="shared" si="438"/>
        <v>-</v>
      </c>
      <c r="AG553" s="812" t="str">
        <f t="shared" si="439"/>
        <v>---------</v>
      </c>
      <c r="AH553" s="807">
        <v>42877</v>
      </c>
      <c r="AI553" s="807" t="str">
        <f t="shared" si="440"/>
        <v>-</v>
      </c>
      <c r="AJ553" s="807" t="str">
        <f t="shared" si="441"/>
        <v>-</v>
      </c>
      <c r="AK553" s="813"/>
      <c r="AL553" s="807">
        <f t="shared" si="442"/>
        <v>43070</v>
      </c>
      <c r="AM553" s="807">
        <f t="shared" si="443"/>
        <v>43091</v>
      </c>
      <c r="AN553" s="814">
        <f t="shared" ca="1" si="444"/>
        <v>43</v>
      </c>
      <c r="AO553" s="815">
        <v>1</v>
      </c>
      <c r="AP553" s="816" t="str">
        <f t="shared" ca="1" si="445"/>
        <v>-</v>
      </c>
      <c r="AQ553" s="817"/>
      <c r="AR553" s="794" t="str">
        <f t="shared" si="446"/>
        <v>НЕТЕЛЬ</v>
      </c>
      <c r="AS553" s="818"/>
      <c r="AT553" s="794" t="str">
        <f t="shared" si="447"/>
        <v>-</v>
      </c>
      <c r="AU553" s="819"/>
      <c r="AV553" s="820"/>
      <c r="AW553" s="821"/>
      <c r="AX553" s="821"/>
      <c r="AY553" s="969" t="str">
        <f t="shared" si="448"/>
        <v>-</v>
      </c>
      <c r="AZ553" s="966" t="str">
        <f t="shared" si="449"/>
        <v>-</v>
      </c>
      <c r="BA553" s="971" t="str">
        <f t="shared" si="450"/>
        <v>-</v>
      </c>
      <c r="BB553" s="975"/>
      <c r="BC553" s="821"/>
      <c r="BD553" s="821"/>
      <c r="BE553" s="963" t="str">
        <f t="shared" si="451"/>
        <v>-</v>
      </c>
      <c r="BF553" s="984"/>
      <c r="BG553" s="988"/>
      <c r="BH553" s="982"/>
      <c r="BI553" s="991"/>
      <c r="BJ553" s="991"/>
      <c r="BK553" s="993" t="str">
        <f t="shared" si="452"/>
        <v>-</v>
      </c>
      <c r="BL553" s="820">
        <v>42978</v>
      </c>
      <c r="BM553" s="821">
        <v>5</v>
      </c>
      <c r="BN553" s="822">
        <f t="shared" ca="1" si="453"/>
        <v>156</v>
      </c>
      <c r="BO553" s="823">
        <f t="shared" si="454"/>
        <v>20.766666666666666</v>
      </c>
      <c r="BP553" s="824"/>
      <c r="BQ553" s="821"/>
      <c r="BR553" s="822" t="str">
        <f t="shared" si="455"/>
        <v>-</v>
      </c>
      <c r="BS553" s="823" t="str">
        <f t="shared" si="456"/>
        <v>-</v>
      </c>
      <c r="BT553" s="825" t="str">
        <f t="shared" ca="1" si="457"/>
        <v>-</v>
      </c>
      <c r="BU553" s="826"/>
      <c r="BV553" s="827"/>
      <c r="BW553" s="828" t="str">
        <f t="shared" si="458"/>
        <v>Ж-Е НЕ ВАКЦ.</v>
      </c>
      <c r="BX553" s="829" t="str">
        <f t="shared" si="459"/>
        <v>-</v>
      </c>
      <c r="BY553" s="830" t="str">
        <f t="shared" ca="1" si="460"/>
        <v>-</v>
      </c>
      <c r="BZ553" s="831">
        <v>42894</v>
      </c>
      <c r="CA553" s="832">
        <v>5</v>
      </c>
      <c r="CB553" s="833">
        <f t="shared" ca="1" si="461"/>
        <v>240</v>
      </c>
      <c r="CC553" s="834" t="str">
        <f t="shared" ca="1" si="462"/>
        <v>-</v>
      </c>
      <c r="CD553" s="835">
        <f t="shared" si="463"/>
        <v>42915</v>
      </c>
      <c r="CE553" s="831">
        <v>42915</v>
      </c>
      <c r="CF553" s="832">
        <v>5</v>
      </c>
      <c r="CG553" s="833">
        <f t="shared" ca="1" si="464"/>
        <v>219</v>
      </c>
      <c r="CH553" s="836">
        <f t="shared" si="465"/>
        <v>0</v>
      </c>
      <c r="CI553" s="837" t="str">
        <f t="shared" si="466"/>
        <v>УСПЕШНО</v>
      </c>
      <c r="CJ553" s="838" t="str">
        <f t="shared" ca="1" si="467"/>
        <v>-</v>
      </c>
      <c r="CK553" s="831"/>
      <c r="CL553" s="832"/>
      <c r="CM553" s="833" t="str">
        <f t="shared" si="468"/>
        <v>-</v>
      </c>
      <c r="CN553" s="834" t="str">
        <f t="shared" si="469"/>
        <v>-</v>
      </c>
      <c r="CO553" s="830" t="str">
        <f t="shared" ca="1" si="470"/>
        <v>-</v>
      </c>
      <c r="CP553" s="831">
        <v>43031</v>
      </c>
      <c r="CQ553" s="832">
        <v>2</v>
      </c>
      <c r="CR553" s="833">
        <f t="shared" si="471"/>
        <v>220</v>
      </c>
      <c r="CS553" s="833">
        <f t="shared" ca="1" si="472"/>
        <v>103</v>
      </c>
      <c r="CT553" s="834" t="str">
        <f t="shared" ca="1" si="473"/>
        <v>-</v>
      </c>
      <c r="CU553" s="835">
        <f t="shared" si="474"/>
        <v>43052</v>
      </c>
      <c r="CV553" s="831">
        <v>43052</v>
      </c>
      <c r="CW553" s="832">
        <v>2</v>
      </c>
      <c r="CX553" s="833">
        <f t="shared" si="475"/>
        <v>0</v>
      </c>
      <c r="CY553" s="840" t="str">
        <f t="shared" si="476"/>
        <v>УСПЕШНО</v>
      </c>
      <c r="CZ553" s="833">
        <f t="shared" si="477"/>
        <v>241</v>
      </c>
      <c r="DA553" s="838" t="str">
        <f t="shared" ca="1" si="478"/>
        <v>ТРЕБУЕТСЯ РЕВАКЦИНАЦИЯ</v>
      </c>
      <c r="DB553" s="841"/>
      <c r="DC553" s="832"/>
    </row>
    <row r="554" spans="1:107" s="842" customFormat="1" ht="15.95" customHeight="1" x14ac:dyDescent="0.25">
      <c r="A554" s="790">
        <v>556</v>
      </c>
      <c r="B554" s="791">
        <f t="shared" ca="1" si="427"/>
        <v>43134</v>
      </c>
      <c r="C554" s="847" t="s">
        <v>2554</v>
      </c>
      <c r="D554" s="793" t="s">
        <v>2586</v>
      </c>
      <c r="E554" s="794" t="s">
        <v>792</v>
      </c>
      <c r="F554" s="795" t="s">
        <v>2114</v>
      </c>
      <c r="G554" s="796">
        <f>SUMIFS(МОЛОКО!L8:L6958,МОЛОКО!F8:F6958,"2787",МОЛОКО!L8:L6958,"&gt;0")</f>
        <v>0</v>
      </c>
      <c r="H554" s="797" t="s">
        <v>603</v>
      </c>
      <c r="I554" s="798">
        <v>42366</v>
      </c>
      <c r="J554" s="799">
        <f t="shared" ca="1" si="428"/>
        <v>2.1041095890410957</v>
      </c>
      <c r="K554" s="799">
        <f t="shared" ca="1" si="429"/>
        <v>25.6</v>
      </c>
      <c r="L554" s="800">
        <f t="shared" ca="1" si="430"/>
        <v>768</v>
      </c>
      <c r="M554" s="801"/>
      <c r="N554" s="802"/>
      <c r="O554" s="803" t="str">
        <f t="shared" ca="1" si="431"/>
        <v>-</v>
      </c>
      <c r="P554" s="804"/>
      <c r="Q554" s="805" t="s">
        <v>1451</v>
      </c>
      <c r="R554" s="806" t="s">
        <v>1876</v>
      </c>
      <c r="S554" s="807">
        <v>42853</v>
      </c>
      <c r="T554" s="798">
        <v>42853</v>
      </c>
      <c r="U554" s="798" t="str">
        <f t="shared" si="432"/>
        <v>-</v>
      </c>
      <c r="V554" s="804" t="str">
        <f t="shared" ca="1" si="433"/>
        <v>-</v>
      </c>
      <c r="W554" s="808">
        <v>1</v>
      </c>
      <c r="X554" s="794" t="str">
        <f t="shared" si="426"/>
        <v>-</v>
      </c>
      <c r="Y554" s="794">
        <v>1</v>
      </c>
      <c r="Z554" s="809" t="str">
        <f t="shared" ca="1" si="434"/>
        <v>ПОДЛЕЖИТ ПЕРЕПРОВЕРКЕ</v>
      </c>
      <c r="AA554" s="810">
        <f t="shared" ca="1" si="435"/>
        <v>281</v>
      </c>
      <c r="AB554" s="804"/>
      <c r="AC554" s="811">
        <f t="shared" ca="1" si="436"/>
        <v>42925</v>
      </c>
      <c r="AD554" s="798"/>
      <c r="AE554" s="794" t="str">
        <f t="shared" ca="1" si="437"/>
        <v>-</v>
      </c>
      <c r="AF554" s="798" t="str">
        <f t="shared" si="438"/>
        <v>-</v>
      </c>
      <c r="AG554" s="812" t="str">
        <f t="shared" si="439"/>
        <v>---------</v>
      </c>
      <c r="AH554" s="807">
        <v>42918</v>
      </c>
      <c r="AI554" s="807" t="str">
        <f t="shared" si="440"/>
        <v>-</v>
      </c>
      <c r="AJ554" s="807" t="str">
        <f t="shared" si="441"/>
        <v>-</v>
      </c>
      <c r="AK554" s="813"/>
      <c r="AL554" s="807">
        <f t="shared" si="442"/>
        <v>43112</v>
      </c>
      <c r="AM554" s="807">
        <f t="shared" si="443"/>
        <v>43133</v>
      </c>
      <c r="AN554" s="814">
        <f t="shared" ca="1" si="444"/>
        <v>1</v>
      </c>
      <c r="AO554" s="815">
        <v>1</v>
      </c>
      <c r="AP554" s="816" t="str">
        <f t="shared" ca="1" si="445"/>
        <v>-</v>
      </c>
      <c r="AQ554" s="817"/>
      <c r="AR554" s="794" t="str">
        <f t="shared" si="446"/>
        <v>НЕТЕЛЬ</v>
      </c>
      <c r="AS554" s="818"/>
      <c r="AT554" s="794" t="str">
        <f t="shared" si="447"/>
        <v>-</v>
      </c>
      <c r="AU554" s="819"/>
      <c r="AV554" s="820"/>
      <c r="AW554" s="821"/>
      <c r="AX554" s="821"/>
      <c r="AY554" s="969" t="str">
        <f t="shared" si="448"/>
        <v>-</v>
      </c>
      <c r="AZ554" s="966" t="str">
        <f t="shared" si="449"/>
        <v>-</v>
      </c>
      <c r="BA554" s="971" t="str">
        <f t="shared" si="450"/>
        <v>-</v>
      </c>
      <c r="BB554" s="975"/>
      <c r="BC554" s="821"/>
      <c r="BD554" s="821"/>
      <c r="BE554" s="963" t="str">
        <f t="shared" si="451"/>
        <v>-</v>
      </c>
      <c r="BF554" s="984"/>
      <c r="BG554" s="988"/>
      <c r="BH554" s="982"/>
      <c r="BI554" s="991"/>
      <c r="BJ554" s="991"/>
      <c r="BK554" s="993" t="str">
        <f t="shared" si="452"/>
        <v>-</v>
      </c>
      <c r="BL554" s="820">
        <v>42978</v>
      </c>
      <c r="BM554" s="821">
        <v>5</v>
      </c>
      <c r="BN554" s="822">
        <f t="shared" ca="1" si="453"/>
        <v>156</v>
      </c>
      <c r="BO554" s="823">
        <f t="shared" si="454"/>
        <v>20.399999999999999</v>
      </c>
      <c r="BP554" s="824"/>
      <c r="BQ554" s="821"/>
      <c r="BR554" s="822" t="str">
        <f t="shared" si="455"/>
        <v>-</v>
      </c>
      <c r="BS554" s="823" t="str">
        <f t="shared" si="456"/>
        <v>-</v>
      </c>
      <c r="BT554" s="825" t="str">
        <f t="shared" ca="1" si="457"/>
        <v>-</v>
      </c>
      <c r="BU554" s="826"/>
      <c r="BV554" s="827"/>
      <c r="BW554" s="828" t="str">
        <f t="shared" si="458"/>
        <v>Ж-Е НЕ ВАКЦ.</v>
      </c>
      <c r="BX554" s="829" t="str">
        <f t="shared" si="459"/>
        <v>-</v>
      </c>
      <c r="BY554" s="830" t="str">
        <f t="shared" ca="1" si="460"/>
        <v>-</v>
      </c>
      <c r="BZ554" s="831">
        <v>42891</v>
      </c>
      <c r="CA554" s="832">
        <v>5</v>
      </c>
      <c r="CB554" s="833">
        <f t="shared" ca="1" si="461"/>
        <v>243</v>
      </c>
      <c r="CC554" s="834" t="str">
        <f t="shared" ca="1" si="462"/>
        <v>-</v>
      </c>
      <c r="CD554" s="835">
        <f t="shared" si="463"/>
        <v>42912</v>
      </c>
      <c r="CE554" s="831">
        <v>42912</v>
      </c>
      <c r="CF554" s="832">
        <v>5</v>
      </c>
      <c r="CG554" s="833">
        <f t="shared" ca="1" si="464"/>
        <v>222</v>
      </c>
      <c r="CH554" s="836">
        <f t="shared" si="465"/>
        <v>0</v>
      </c>
      <c r="CI554" s="837" t="str">
        <f t="shared" si="466"/>
        <v>УСПЕШНО</v>
      </c>
      <c r="CJ554" s="838" t="str">
        <f t="shared" ca="1" si="467"/>
        <v>-</v>
      </c>
      <c r="CK554" s="831"/>
      <c r="CL554" s="832"/>
      <c r="CM554" s="833" t="str">
        <f t="shared" si="468"/>
        <v>-</v>
      </c>
      <c r="CN554" s="834" t="str">
        <f t="shared" si="469"/>
        <v>-</v>
      </c>
      <c r="CO554" s="830" t="str">
        <f t="shared" ca="1" si="470"/>
        <v>ТРЕБУЕТСЯ ВАКЦИНАЦИЯ</v>
      </c>
      <c r="CP554" s="839"/>
      <c r="CQ554" s="832"/>
      <c r="CR554" s="833" t="str">
        <f t="shared" si="471"/>
        <v>-</v>
      </c>
      <c r="CS554" s="833" t="str">
        <f t="shared" si="472"/>
        <v>-</v>
      </c>
      <c r="CT554" s="834" t="str">
        <f t="shared" si="473"/>
        <v>-</v>
      </c>
      <c r="CU554" s="835" t="str">
        <f t="shared" si="474"/>
        <v>-</v>
      </c>
      <c r="CV554" s="839"/>
      <c r="CW554" s="832"/>
      <c r="CX554" s="833" t="str">
        <f t="shared" si="475"/>
        <v>-</v>
      </c>
      <c r="CY554" s="840" t="str">
        <f t="shared" si="476"/>
        <v>-</v>
      </c>
      <c r="CZ554" s="833" t="str">
        <f t="shared" si="477"/>
        <v>-</v>
      </c>
      <c r="DA554" s="838" t="str">
        <f t="shared" ca="1" si="478"/>
        <v>-</v>
      </c>
      <c r="DB554" s="841"/>
      <c r="DC554" s="832"/>
    </row>
    <row r="555" spans="1:107" s="842" customFormat="1" ht="15.95" customHeight="1" x14ac:dyDescent="0.25">
      <c r="A555" s="790">
        <v>557</v>
      </c>
      <c r="B555" s="791">
        <f t="shared" ca="1" si="427"/>
        <v>43134</v>
      </c>
      <c r="C555" s="847" t="s">
        <v>2554</v>
      </c>
      <c r="D555" s="793" t="s">
        <v>2586</v>
      </c>
      <c r="E555" s="794" t="s">
        <v>2816</v>
      </c>
      <c r="F555" s="795" t="s">
        <v>2115</v>
      </c>
      <c r="G555" s="845">
        <f>SUMIFS(МОЛОКО!L8:L6958,МОЛОКО!F8:F6958,"2788",МОЛОКО!L8:L6958,"&gt;0")</f>
        <v>0</v>
      </c>
      <c r="H555" s="797" t="s">
        <v>603</v>
      </c>
      <c r="I555" s="798">
        <v>42366</v>
      </c>
      <c r="J555" s="799">
        <f t="shared" ca="1" si="428"/>
        <v>2.1041095890410957</v>
      </c>
      <c r="K555" s="799">
        <f t="shared" ca="1" si="429"/>
        <v>25.6</v>
      </c>
      <c r="L555" s="800">
        <f t="shared" ca="1" si="430"/>
        <v>768</v>
      </c>
      <c r="M555" s="801"/>
      <c r="N555" s="802"/>
      <c r="O555" s="803" t="str">
        <f t="shared" ca="1" si="431"/>
        <v>-</v>
      </c>
      <c r="P555" s="804"/>
      <c r="Q555" s="805" t="s">
        <v>2309</v>
      </c>
      <c r="R555" s="806" t="s">
        <v>1876</v>
      </c>
      <c r="S555" s="807">
        <v>42821</v>
      </c>
      <c r="T555" s="798">
        <v>42821</v>
      </c>
      <c r="U555" s="798" t="str">
        <f t="shared" si="432"/>
        <v>-</v>
      </c>
      <c r="V555" s="804" t="str">
        <f t="shared" ca="1" si="433"/>
        <v>-</v>
      </c>
      <c r="W555" s="808">
        <v>1</v>
      </c>
      <c r="X555" s="794" t="str">
        <f t="shared" si="426"/>
        <v>-</v>
      </c>
      <c r="Y555" s="794">
        <v>1</v>
      </c>
      <c r="Z555" s="809" t="str">
        <f t="shared" ca="1" si="434"/>
        <v>ПОДЛЕЖИТ ПЕРЕПРОВЕРКЕ</v>
      </c>
      <c r="AA555" s="810">
        <f t="shared" ca="1" si="435"/>
        <v>313</v>
      </c>
      <c r="AB555" s="804"/>
      <c r="AC555" s="811">
        <f t="shared" ca="1" si="436"/>
        <v>42893</v>
      </c>
      <c r="AD555" s="798"/>
      <c r="AE555" s="794" t="str">
        <f t="shared" ca="1" si="437"/>
        <v>-</v>
      </c>
      <c r="AF555" s="798" t="str">
        <f t="shared" si="438"/>
        <v>-</v>
      </c>
      <c r="AG555" s="812" t="str">
        <f t="shared" si="439"/>
        <v>---------</v>
      </c>
      <c r="AH555" s="807">
        <v>42881</v>
      </c>
      <c r="AI555" s="807" t="str">
        <f t="shared" si="440"/>
        <v>-</v>
      </c>
      <c r="AJ555" s="807" t="str">
        <f t="shared" si="441"/>
        <v>-</v>
      </c>
      <c r="AK555" s="813"/>
      <c r="AL555" s="807">
        <f t="shared" si="442"/>
        <v>43080</v>
      </c>
      <c r="AM555" s="807">
        <f t="shared" si="443"/>
        <v>43101</v>
      </c>
      <c r="AN555" s="814">
        <f t="shared" ca="1" si="444"/>
        <v>33</v>
      </c>
      <c r="AO555" s="815">
        <v>1</v>
      </c>
      <c r="AP555" s="816" t="str">
        <f t="shared" ca="1" si="445"/>
        <v>-</v>
      </c>
      <c r="AQ555" s="817"/>
      <c r="AR555" s="794" t="str">
        <f t="shared" si="446"/>
        <v>НЕТЕЛЬ</v>
      </c>
      <c r="AS555" s="818"/>
      <c r="AT555" s="794" t="str">
        <f t="shared" si="447"/>
        <v>-</v>
      </c>
      <c r="AU555" s="819"/>
      <c r="AV555" s="820"/>
      <c r="AW555" s="821"/>
      <c r="AX555" s="821"/>
      <c r="AY555" s="969" t="str">
        <f t="shared" si="448"/>
        <v>-</v>
      </c>
      <c r="AZ555" s="966" t="str">
        <f t="shared" si="449"/>
        <v>-</v>
      </c>
      <c r="BA555" s="971" t="str">
        <f t="shared" si="450"/>
        <v>-</v>
      </c>
      <c r="BB555" s="975"/>
      <c r="BC555" s="821"/>
      <c r="BD555" s="821"/>
      <c r="BE555" s="963" t="str">
        <f t="shared" si="451"/>
        <v>-</v>
      </c>
      <c r="BF555" s="984"/>
      <c r="BG555" s="988"/>
      <c r="BH555" s="982"/>
      <c r="BI555" s="991"/>
      <c r="BJ555" s="991"/>
      <c r="BK555" s="993" t="str">
        <f t="shared" si="452"/>
        <v>-</v>
      </c>
      <c r="BL555" s="820">
        <v>42978</v>
      </c>
      <c r="BM555" s="821">
        <v>5</v>
      </c>
      <c r="BN555" s="822">
        <f t="shared" ca="1" si="453"/>
        <v>156</v>
      </c>
      <c r="BO555" s="823">
        <f t="shared" si="454"/>
        <v>20.399999999999999</v>
      </c>
      <c r="BP555" s="824"/>
      <c r="BQ555" s="821"/>
      <c r="BR555" s="822" t="str">
        <f t="shared" si="455"/>
        <v>-</v>
      </c>
      <c r="BS555" s="823" t="str">
        <f t="shared" si="456"/>
        <v>-</v>
      </c>
      <c r="BT555" s="825" t="str">
        <f t="shared" ca="1" si="457"/>
        <v>-</v>
      </c>
      <c r="BU555" s="826"/>
      <c r="BV555" s="827"/>
      <c r="BW555" s="828" t="str">
        <f t="shared" si="458"/>
        <v>Ж-Е НЕ ВАКЦ.</v>
      </c>
      <c r="BX555" s="829" t="str">
        <f t="shared" si="459"/>
        <v>-</v>
      </c>
      <c r="BY555" s="830" t="str">
        <f t="shared" ca="1" si="460"/>
        <v>-</v>
      </c>
      <c r="BZ555" s="831">
        <v>42894</v>
      </c>
      <c r="CA555" s="832">
        <v>5</v>
      </c>
      <c r="CB555" s="833">
        <f t="shared" ca="1" si="461"/>
        <v>240</v>
      </c>
      <c r="CC555" s="834" t="str">
        <f t="shared" ca="1" si="462"/>
        <v>-</v>
      </c>
      <c r="CD555" s="835">
        <f t="shared" si="463"/>
        <v>42915</v>
      </c>
      <c r="CE555" s="831">
        <v>42915</v>
      </c>
      <c r="CF555" s="832">
        <v>5</v>
      </c>
      <c r="CG555" s="833">
        <f t="shared" ca="1" si="464"/>
        <v>219</v>
      </c>
      <c r="CH555" s="836">
        <f t="shared" si="465"/>
        <v>0</v>
      </c>
      <c r="CI555" s="837" t="str">
        <f t="shared" si="466"/>
        <v>УСПЕШНО</v>
      </c>
      <c r="CJ555" s="838" t="str">
        <f t="shared" ca="1" si="467"/>
        <v>-</v>
      </c>
      <c r="CK555" s="831"/>
      <c r="CL555" s="832"/>
      <c r="CM555" s="833" t="str">
        <f t="shared" si="468"/>
        <v>-</v>
      </c>
      <c r="CN555" s="834" t="str">
        <f t="shared" si="469"/>
        <v>-</v>
      </c>
      <c r="CO555" s="830" t="str">
        <f t="shared" ca="1" si="470"/>
        <v>-</v>
      </c>
      <c r="CP555" s="831">
        <v>43052</v>
      </c>
      <c r="CQ555" s="832">
        <v>2</v>
      </c>
      <c r="CR555" s="833">
        <f t="shared" si="471"/>
        <v>231</v>
      </c>
      <c r="CS555" s="833">
        <f t="shared" ca="1" si="472"/>
        <v>82</v>
      </c>
      <c r="CT555" s="834" t="str">
        <f t="shared" ca="1" si="473"/>
        <v>ТРЕБУЕТСЯ БУСТЕРНАЯ ДОЗА</v>
      </c>
      <c r="CU555" s="835">
        <f t="shared" si="474"/>
        <v>43073</v>
      </c>
      <c r="CV555" s="839"/>
      <c r="CW555" s="832"/>
      <c r="CX555" s="833" t="str">
        <f t="shared" si="475"/>
        <v>-</v>
      </c>
      <c r="CY555" s="840" t="str">
        <f t="shared" si="476"/>
        <v>-</v>
      </c>
      <c r="CZ555" s="833" t="str">
        <f t="shared" si="477"/>
        <v>-</v>
      </c>
      <c r="DA555" s="838" t="str">
        <f t="shared" ca="1" si="478"/>
        <v>-</v>
      </c>
      <c r="DB555" s="841"/>
      <c r="DC555" s="832"/>
    </row>
    <row r="556" spans="1:107" s="842" customFormat="1" ht="15.95" customHeight="1" x14ac:dyDescent="0.25">
      <c r="A556" s="790">
        <v>558</v>
      </c>
      <c r="B556" s="791">
        <f t="shared" ca="1" si="427"/>
        <v>43134</v>
      </c>
      <c r="C556" s="847" t="s">
        <v>2554</v>
      </c>
      <c r="D556" s="793" t="s">
        <v>2586</v>
      </c>
      <c r="E556" s="794" t="s">
        <v>1269</v>
      </c>
      <c r="F556" s="795" t="s">
        <v>2116</v>
      </c>
      <c r="G556" s="796">
        <f>SUMIFS(МОЛОКО!L8:L6958,МОЛОКО!F8:F6958,"2791",МОЛОКО!L8:L6958,"&gt;0")</f>
        <v>0</v>
      </c>
      <c r="H556" s="797" t="s">
        <v>603</v>
      </c>
      <c r="I556" s="798">
        <v>42373</v>
      </c>
      <c r="J556" s="799">
        <f t="shared" ca="1" si="428"/>
        <v>2.0849315068493151</v>
      </c>
      <c r="K556" s="799">
        <f t="shared" ca="1" si="429"/>
        <v>25.366666666666667</v>
      </c>
      <c r="L556" s="800">
        <f t="shared" ca="1" si="430"/>
        <v>761</v>
      </c>
      <c r="M556" s="801"/>
      <c r="N556" s="802"/>
      <c r="O556" s="803" t="str">
        <f t="shared" ca="1" si="431"/>
        <v>-</v>
      </c>
      <c r="P556" s="804"/>
      <c r="Q556" s="805" t="s">
        <v>2366</v>
      </c>
      <c r="R556" s="806" t="s">
        <v>2664</v>
      </c>
      <c r="S556" s="807">
        <v>42793</v>
      </c>
      <c r="T556" s="798">
        <v>42859</v>
      </c>
      <c r="U556" s="798" t="str">
        <f t="shared" si="432"/>
        <v>-</v>
      </c>
      <c r="V556" s="804" t="str">
        <f t="shared" ca="1" si="433"/>
        <v>-</v>
      </c>
      <c r="W556" s="808">
        <v>2</v>
      </c>
      <c r="X556" s="794" t="str">
        <f t="shared" si="426"/>
        <v>-</v>
      </c>
      <c r="Y556" s="794">
        <v>1</v>
      </c>
      <c r="Z556" s="809" t="str">
        <f t="shared" ca="1" si="434"/>
        <v>ПОДЛЕЖИТ ПЕРЕПРОВЕРКЕ</v>
      </c>
      <c r="AA556" s="810">
        <f t="shared" ca="1" si="435"/>
        <v>275</v>
      </c>
      <c r="AB556" s="804"/>
      <c r="AC556" s="811">
        <f t="shared" ca="1" si="436"/>
        <v>42931</v>
      </c>
      <c r="AD556" s="798"/>
      <c r="AE556" s="794" t="str">
        <f t="shared" ca="1" si="437"/>
        <v>-</v>
      </c>
      <c r="AF556" s="798" t="str">
        <f t="shared" si="438"/>
        <v>-</v>
      </c>
      <c r="AG556" s="812" t="str">
        <f t="shared" si="439"/>
        <v>---------</v>
      </c>
      <c r="AH556" s="807">
        <v>42918</v>
      </c>
      <c r="AI556" s="807" t="str">
        <f t="shared" si="440"/>
        <v>-</v>
      </c>
      <c r="AJ556" s="807" t="str">
        <f t="shared" si="441"/>
        <v>-</v>
      </c>
      <c r="AK556" s="813"/>
      <c r="AL556" s="807">
        <f t="shared" si="442"/>
        <v>43118</v>
      </c>
      <c r="AM556" s="807">
        <f t="shared" si="443"/>
        <v>43139</v>
      </c>
      <c r="AN556" s="814">
        <f t="shared" ca="1" si="444"/>
        <v>-5</v>
      </c>
      <c r="AO556" s="815">
        <v>1</v>
      </c>
      <c r="AP556" s="816" t="str">
        <f t="shared" ca="1" si="445"/>
        <v>-</v>
      </c>
      <c r="AQ556" s="817"/>
      <c r="AR556" s="794" t="str">
        <f t="shared" si="446"/>
        <v>НЕТЕЛЬ</v>
      </c>
      <c r="AS556" s="818"/>
      <c r="AT556" s="794" t="str">
        <f t="shared" si="447"/>
        <v>-</v>
      </c>
      <c r="AU556" s="819"/>
      <c r="AV556" s="820"/>
      <c r="AW556" s="821"/>
      <c r="AX556" s="821"/>
      <c r="AY556" s="969" t="str">
        <f t="shared" si="448"/>
        <v>-</v>
      </c>
      <c r="AZ556" s="966" t="str">
        <f t="shared" si="449"/>
        <v>-</v>
      </c>
      <c r="BA556" s="971" t="str">
        <f t="shared" si="450"/>
        <v>-</v>
      </c>
      <c r="BB556" s="975"/>
      <c r="BC556" s="821"/>
      <c r="BD556" s="821"/>
      <c r="BE556" s="963" t="str">
        <f t="shared" si="451"/>
        <v>-</v>
      </c>
      <c r="BF556" s="984"/>
      <c r="BG556" s="988"/>
      <c r="BH556" s="982"/>
      <c r="BI556" s="991"/>
      <c r="BJ556" s="991"/>
      <c r="BK556" s="993" t="str">
        <f t="shared" si="452"/>
        <v>-</v>
      </c>
      <c r="BL556" s="820">
        <v>42978</v>
      </c>
      <c r="BM556" s="821">
        <v>5</v>
      </c>
      <c r="BN556" s="822">
        <f t="shared" ca="1" si="453"/>
        <v>156</v>
      </c>
      <c r="BO556" s="823">
        <f t="shared" si="454"/>
        <v>20.166666666666668</v>
      </c>
      <c r="BP556" s="824"/>
      <c r="BQ556" s="821"/>
      <c r="BR556" s="822" t="str">
        <f t="shared" si="455"/>
        <v>-</v>
      </c>
      <c r="BS556" s="823" t="str">
        <f t="shared" si="456"/>
        <v>-</v>
      </c>
      <c r="BT556" s="825" t="str">
        <f t="shared" ca="1" si="457"/>
        <v>-</v>
      </c>
      <c r="BU556" s="826"/>
      <c r="BV556" s="827"/>
      <c r="BW556" s="828" t="str">
        <f t="shared" si="458"/>
        <v>Ж-Е НЕ ВАКЦ.</v>
      </c>
      <c r="BX556" s="829" t="str">
        <f t="shared" si="459"/>
        <v>-</v>
      </c>
      <c r="BY556" s="830" t="str">
        <f t="shared" ca="1" si="460"/>
        <v>-</v>
      </c>
      <c r="BZ556" s="831">
        <v>42891</v>
      </c>
      <c r="CA556" s="832">
        <v>5</v>
      </c>
      <c r="CB556" s="833">
        <f t="shared" ca="1" si="461"/>
        <v>243</v>
      </c>
      <c r="CC556" s="834" t="str">
        <f t="shared" ca="1" si="462"/>
        <v>-</v>
      </c>
      <c r="CD556" s="835">
        <f t="shared" si="463"/>
        <v>42912</v>
      </c>
      <c r="CE556" s="831">
        <v>42912</v>
      </c>
      <c r="CF556" s="832">
        <v>5</v>
      </c>
      <c r="CG556" s="833">
        <f t="shared" ca="1" si="464"/>
        <v>222</v>
      </c>
      <c r="CH556" s="836">
        <f t="shared" si="465"/>
        <v>0</v>
      </c>
      <c r="CI556" s="837" t="str">
        <f t="shared" si="466"/>
        <v>УСПЕШНО</v>
      </c>
      <c r="CJ556" s="838" t="str">
        <f t="shared" ca="1" si="467"/>
        <v>-</v>
      </c>
      <c r="CK556" s="831"/>
      <c r="CL556" s="832"/>
      <c r="CM556" s="833" t="str">
        <f t="shared" si="468"/>
        <v>-</v>
      </c>
      <c r="CN556" s="834" t="str">
        <f t="shared" si="469"/>
        <v>-</v>
      </c>
      <c r="CO556" s="830" t="str">
        <f t="shared" ca="1" si="470"/>
        <v>ТРЕБУЕТСЯ ВАКЦИНАЦИЯ</v>
      </c>
      <c r="CP556" s="839"/>
      <c r="CQ556" s="832"/>
      <c r="CR556" s="833" t="str">
        <f t="shared" si="471"/>
        <v>-</v>
      </c>
      <c r="CS556" s="833" t="str">
        <f t="shared" si="472"/>
        <v>-</v>
      </c>
      <c r="CT556" s="834" t="str">
        <f t="shared" si="473"/>
        <v>-</v>
      </c>
      <c r="CU556" s="835" t="str">
        <f t="shared" si="474"/>
        <v>-</v>
      </c>
      <c r="CV556" s="839"/>
      <c r="CW556" s="832"/>
      <c r="CX556" s="833" t="str">
        <f t="shared" si="475"/>
        <v>-</v>
      </c>
      <c r="CY556" s="840" t="str">
        <f t="shared" si="476"/>
        <v>-</v>
      </c>
      <c r="CZ556" s="833" t="str">
        <f t="shared" si="477"/>
        <v>-</v>
      </c>
      <c r="DA556" s="838" t="str">
        <f t="shared" ca="1" si="478"/>
        <v>-</v>
      </c>
      <c r="DB556" s="841"/>
      <c r="DC556" s="832"/>
    </row>
    <row r="557" spans="1:107" s="842" customFormat="1" ht="15.95" customHeight="1" x14ac:dyDescent="0.25">
      <c r="A557" s="790">
        <v>559</v>
      </c>
      <c r="B557" s="791">
        <f t="shared" ca="1" si="427"/>
        <v>43134</v>
      </c>
      <c r="C557" s="847" t="s">
        <v>2554</v>
      </c>
      <c r="D557" s="793" t="s">
        <v>2586</v>
      </c>
      <c r="E557" s="794" t="s">
        <v>1915</v>
      </c>
      <c r="F557" s="795" t="s">
        <v>2117</v>
      </c>
      <c r="G557" s="796">
        <f>SUMIFS(МОЛОКО!L8:L6958,МОЛОКО!F8:F6958,"2795",МОЛОКО!L8:L6958,"&gt;0")</f>
        <v>0</v>
      </c>
      <c r="H557" s="797" t="s">
        <v>603</v>
      </c>
      <c r="I557" s="798">
        <v>42382</v>
      </c>
      <c r="J557" s="799">
        <f t="shared" ca="1" si="428"/>
        <v>2.0602739726027397</v>
      </c>
      <c r="K557" s="799">
        <f t="shared" ca="1" si="429"/>
        <v>25.066666666666666</v>
      </c>
      <c r="L557" s="800">
        <f t="shared" ca="1" si="430"/>
        <v>752</v>
      </c>
      <c r="M557" s="801"/>
      <c r="N557" s="802"/>
      <c r="O557" s="803" t="str">
        <f t="shared" ca="1" si="431"/>
        <v>-</v>
      </c>
      <c r="P557" s="804"/>
      <c r="Q557" s="805" t="s">
        <v>2366</v>
      </c>
      <c r="R557" s="806" t="s">
        <v>1876</v>
      </c>
      <c r="S557" s="807">
        <v>42800</v>
      </c>
      <c r="T557" s="798">
        <v>42800</v>
      </c>
      <c r="U557" s="798" t="str">
        <f t="shared" si="432"/>
        <v>-</v>
      </c>
      <c r="V557" s="804" t="str">
        <f t="shared" ca="1" si="433"/>
        <v>-</v>
      </c>
      <c r="W557" s="808">
        <v>1</v>
      </c>
      <c r="X557" s="794" t="str">
        <f t="shared" si="426"/>
        <v>-</v>
      </c>
      <c r="Y557" s="794">
        <v>1</v>
      </c>
      <c r="Z557" s="809" t="str">
        <f t="shared" ca="1" si="434"/>
        <v>ПОДЛЕЖИТ ПЕРЕПРОВЕРКЕ</v>
      </c>
      <c r="AA557" s="810">
        <f t="shared" ca="1" si="435"/>
        <v>334</v>
      </c>
      <c r="AB557" s="804"/>
      <c r="AC557" s="811">
        <f t="shared" ca="1" si="436"/>
        <v>42872</v>
      </c>
      <c r="AD557" s="798"/>
      <c r="AE557" s="794" t="str">
        <f t="shared" ca="1" si="437"/>
        <v>-</v>
      </c>
      <c r="AF557" s="798" t="str">
        <f t="shared" si="438"/>
        <v>-</v>
      </c>
      <c r="AG557" s="812" t="str">
        <f t="shared" si="439"/>
        <v>---------</v>
      </c>
      <c r="AH557" s="807">
        <v>42881</v>
      </c>
      <c r="AI557" s="807" t="str">
        <f t="shared" si="440"/>
        <v>-</v>
      </c>
      <c r="AJ557" s="807" t="str">
        <f t="shared" si="441"/>
        <v>-</v>
      </c>
      <c r="AK557" s="813"/>
      <c r="AL557" s="807">
        <f t="shared" si="442"/>
        <v>43059</v>
      </c>
      <c r="AM557" s="807">
        <f t="shared" si="443"/>
        <v>43080</v>
      </c>
      <c r="AN557" s="814">
        <f t="shared" ca="1" si="444"/>
        <v>54</v>
      </c>
      <c r="AO557" s="815">
        <v>1</v>
      </c>
      <c r="AP557" s="816" t="str">
        <f t="shared" ca="1" si="445"/>
        <v>-</v>
      </c>
      <c r="AQ557" s="817"/>
      <c r="AR557" s="794" t="str">
        <f t="shared" si="446"/>
        <v>НЕТЕЛЬ</v>
      </c>
      <c r="AS557" s="818"/>
      <c r="AT557" s="794" t="str">
        <f t="shared" si="447"/>
        <v>-</v>
      </c>
      <c r="AU557" s="819"/>
      <c r="AV557" s="820"/>
      <c r="AW557" s="821"/>
      <c r="AX557" s="821"/>
      <c r="AY557" s="969" t="str">
        <f t="shared" si="448"/>
        <v>-</v>
      </c>
      <c r="AZ557" s="966" t="str">
        <f t="shared" si="449"/>
        <v>-</v>
      </c>
      <c r="BA557" s="971" t="str">
        <f t="shared" si="450"/>
        <v>-</v>
      </c>
      <c r="BB557" s="975"/>
      <c r="BC557" s="821"/>
      <c r="BD557" s="821"/>
      <c r="BE557" s="963" t="str">
        <f t="shared" si="451"/>
        <v>-</v>
      </c>
      <c r="BF557" s="984"/>
      <c r="BG557" s="988"/>
      <c r="BH557" s="982"/>
      <c r="BI557" s="991"/>
      <c r="BJ557" s="991"/>
      <c r="BK557" s="993" t="str">
        <f t="shared" si="452"/>
        <v>-</v>
      </c>
      <c r="BL557" s="820">
        <v>42978</v>
      </c>
      <c r="BM557" s="821">
        <v>5</v>
      </c>
      <c r="BN557" s="822">
        <f t="shared" ca="1" si="453"/>
        <v>156</v>
      </c>
      <c r="BO557" s="823">
        <f t="shared" si="454"/>
        <v>19.866666666666667</v>
      </c>
      <c r="BP557" s="824"/>
      <c r="BQ557" s="821"/>
      <c r="BR557" s="822" t="str">
        <f t="shared" si="455"/>
        <v>-</v>
      </c>
      <c r="BS557" s="823" t="str">
        <f t="shared" si="456"/>
        <v>-</v>
      </c>
      <c r="BT557" s="825" t="str">
        <f t="shared" ca="1" si="457"/>
        <v>-</v>
      </c>
      <c r="BU557" s="826"/>
      <c r="BV557" s="827"/>
      <c r="BW557" s="828" t="str">
        <f t="shared" si="458"/>
        <v>Ж-Е НЕ ВАКЦ.</v>
      </c>
      <c r="BX557" s="829" t="str">
        <f t="shared" si="459"/>
        <v>-</v>
      </c>
      <c r="BY557" s="830" t="str">
        <f t="shared" ca="1" si="460"/>
        <v>-</v>
      </c>
      <c r="BZ557" s="831">
        <v>42894</v>
      </c>
      <c r="CA557" s="832">
        <v>5</v>
      </c>
      <c r="CB557" s="833">
        <f t="shared" ca="1" si="461"/>
        <v>240</v>
      </c>
      <c r="CC557" s="834" t="str">
        <f t="shared" ca="1" si="462"/>
        <v>-</v>
      </c>
      <c r="CD557" s="835">
        <f t="shared" si="463"/>
        <v>42915</v>
      </c>
      <c r="CE557" s="831">
        <v>42915</v>
      </c>
      <c r="CF557" s="832">
        <v>5</v>
      </c>
      <c r="CG557" s="833">
        <f t="shared" ca="1" si="464"/>
        <v>219</v>
      </c>
      <c r="CH557" s="836">
        <f t="shared" si="465"/>
        <v>0</v>
      </c>
      <c r="CI557" s="837" t="str">
        <f t="shared" si="466"/>
        <v>УСПЕШНО</v>
      </c>
      <c r="CJ557" s="838" t="str">
        <f t="shared" ca="1" si="467"/>
        <v>-</v>
      </c>
      <c r="CK557" s="831"/>
      <c r="CL557" s="832"/>
      <c r="CM557" s="833" t="str">
        <f t="shared" si="468"/>
        <v>-</v>
      </c>
      <c r="CN557" s="834" t="str">
        <f t="shared" si="469"/>
        <v>-</v>
      </c>
      <c r="CO557" s="830" t="str">
        <f t="shared" ca="1" si="470"/>
        <v>-</v>
      </c>
      <c r="CP557" s="831">
        <v>43017</v>
      </c>
      <c r="CQ557" s="832">
        <v>2</v>
      </c>
      <c r="CR557" s="833">
        <f t="shared" si="471"/>
        <v>217</v>
      </c>
      <c r="CS557" s="833">
        <f t="shared" ca="1" si="472"/>
        <v>117</v>
      </c>
      <c r="CT557" s="834" t="str">
        <f t="shared" ca="1" si="473"/>
        <v>-</v>
      </c>
      <c r="CU557" s="835">
        <f t="shared" si="474"/>
        <v>43038</v>
      </c>
      <c r="CV557" s="831">
        <v>43038</v>
      </c>
      <c r="CW557" s="832">
        <v>2</v>
      </c>
      <c r="CX557" s="833">
        <f t="shared" si="475"/>
        <v>0</v>
      </c>
      <c r="CY557" s="840" t="str">
        <f t="shared" si="476"/>
        <v>УСПЕШНО</v>
      </c>
      <c r="CZ557" s="833">
        <f t="shared" si="477"/>
        <v>238</v>
      </c>
      <c r="DA557" s="838" t="str">
        <f t="shared" ca="1" si="478"/>
        <v>ТРЕБУЕТСЯ РЕВАКЦИНАЦИЯ</v>
      </c>
      <c r="DB557" s="841"/>
      <c r="DC557" s="832"/>
    </row>
    <row r="558" spans="1:107" s="842" customFormat="1" ht="15.95" customHeight="1" x14ac:dyDescent="0.25">
      <c r="A558" s="790">
        <v>560</v>
      </c>
      <c r="B558" s="791">
        <f t="shared" ca="1" si="427"/>
        <v>43134</v>
      </c>
      <c r="C558" s="847" t="s">
        <v>2554</v>
      </c>
      <c r="D558" s="793" t="s">
        <v>2586</v>
      </c>
      <c r="E558" s="794" t="s">
        <v>1300</v>
      </c>
      <c r="F558" s="795" t="s">
        <v>2118</v>
      </c>
      <c r="G558" s="796">
        <f>SUMIFS(МОЛОКО!L8:L6958,МОЛОКО!F8:F6958,"2800",МОЛОКО!L8:L6958,"&gt;0")</f>
        <v>0</v>
      </c>
      <c r="H558" s="797" t="s">
        <v>603</v>
      </c>
      <c r="I558" s="798">
        <v>42386</v>
      </c>
      <c r="J558" s="799">
        <f t="shared" ca="1" si="428"/>
        <v>2.0493150684931507</v>
      </c>
      <c r="K558" s="799">
        <f t="shared" ca="1" si="429"/>
        <v>24.933333333333334</v>
      </c>
      <c r="L558" s="800">
        <f t="shared" ca="1" si="430"/>
        <v>748</v>
      </c>
      <c r="M558" s="801"/>
      <c r="N558" s="802"/>
      <c r="O558" s="803" t="str">
        <f t="shared" ca="1" si="431"/>
        <v>-</v>
      </c>
      <c r="P558" s="804"/>
      <c r="Q558" s="805" t="s">
        <v>2366</v>
      </c>
      <c r="R558" s="806" t="s">
        <v>1876</v>
      </c>
      <c r="S558" s="807">
        <v>42806</v>
      </c>
      <c r="T558" s="798">
        <v>42806</v>
      </c>
      <c r="U558" s="798" t="str">
        <f t="shared" si="432"/>
        <v>-</v>
      </c>
      <c r="V558" s="804" t="str">
        <f t="shared" ca="1" si="433"/>
        <v>-</v>
      </c>
      <c r="W558" s="808">
        <v>1</v>
      </c>
      <c r="X558" s="794" t="str">
        <f t="shared" si="426"/>
        <v>-</v>
      </c>
      <c r="Y558" s="794">
        <v>1</v>
      </c>
      <c r="Z558" s="809" t="str">
        <f t="shared" ca="1" si="434"/>
        <v>ПОДЛЕЖИТ ПЕРЕПРОВЕРКЕ</v>
      </c>
      <c r="AA558" s="810">
        <f t="shared" ca="1" si="435"/>
        <v>328</v>
      </c>
      <c r="AB558" s="804"/>
      <c r="AC558" s="811">
        <f t="shared" ca="1" si="436"/>
        <v>42878</v>
      </c>
      <c r="AD558" s="798"/>
      <c r="AE558" s="794" t="str">
        <f t="shared" ca="1" si="437"/>
        <v>-</v>
      </c>
      <c r="AF558" s="798" t="str">
        <f t="shared" si="438"/>
        <v>-</v>
      </c>
      <c r="AG558" s="812" t="str">
        <f t="shared" si="439"/>
        <v>---------</v>
      </c>
      <c r="AH558" s="807">
        <v>42877</v>
      </c>
      <c r="AI558" s="807" t="str">
        <f t="shared" si="440"/>
        <v>-</v>
      </c>
      <c r="AJ558" s="807" t="str">
        <f t="shared" si="441"/>
        <v>-</v>
      </c>
      <c r="AK558" s="813"/>
      <c r="AL558" s="807">
        <f t="shared" si="442"/>
        <v>43065</v>
      </c>
      <c r="AM558" s="807">
        <f t="shared" si="443"/>
        <v>43086</v>
      </c>
      <c r="AN558" s="814">
        <f t="shared" ca="1" si="444"/>
        <v>48</v>
      </c>
      <c r="AO558" s="815">
        <v>1</v>
      </c>
      <c r="AP558" s="816" t="str">
        <f t="shared" ca="1" si="445"/>
        <v>-</v>
      </c>
      <c r="AQ558" s="817"/>
      <c r="AR558" s="794" t="str">
        <f t="shared" si="446"/>
        <v>НЕТЕЛЬ</v>
      </c>
      <c r="AS558" s="818"/>
      <c r="AT558" s="794" t="str">
        <f t="shared" si="447"/>
        <v>-</v>
      </c>
      <c r="AU558" s="819"/>
      <c r="AV558" s="820"/>
      <c r="AW558" s="821"/>
      <c r="AX558" s="821"/>
      <c r="AY558" s="969" t="str">
        <f t="shared" si="448"/>
        <v>-</v>
      </c>
      <c r="AZ558" s="966" t="str">
        <f t="shared" si="449"/>
        <v>-</v>
      </c>
      <c r="BA558" s="971" t="str">
        <f t="shared" si="450"/>
        <v>-</v>
      </c>
      <c r="BB558" s="975"/>
      <c r="BC558" s="821"/>
      <c r="BD558" s="821"/>
      <c r="BE558" s="963" t="str">
        <f t="shared" si="451"/>
        <v>-</v>
      </c>
      <c r="BF558" s="984"/>
      <c r="BG558" s="988"/>
      <c r="BH558" s="982"/>
      <c r="BI558" s="991"/>
      <c r="BJ558" s="991"/>
      <c r="BK558" s="993" t="str">
        <f t="shared" si="452"/>
        <v>-</v>
      </c>
      <c r="BL558" s="820">
        <v>42978</v>
      </c>
      <c r="BM558" s="821">
        <v>5</v>
      </c>
      <c r="BN558" s="822">
        <f t="shared" ca="1" si="453"/>
        <v>156</v>
      </c>
      <c r="BO558" s="823">
        <f t="shared" si="454"/>
        <v>19.733333333333334</v>
      </c>
      <c r="BP558" s="824"/>
      <c r="BQ558" s="821"/>
      <c r="BR558" s="822" t="str">
        <f t="shared" si="455"/>
        <v>-</v>
      </c>
      <c r="BS558" s="823" t="str">
        <f t="shared" si="456"/>
        <v>-</v>
      </c>
      <c r="BT558" s="825" t="str">
        <f t="shared" ca="1" si="457"/>
        <v>-</v>
      </c>
      <c r="BU558" s="826"/>
      <c r="BV558" s="827"/>
      <c r="BW558" s="828" t="str">
        <f t="shared" si="458"/>
        <v>Ж-Е НЕ ВАКЦ.</v>
      </c>
      <c r="BX558" s="829" t="str">
        <f t="shared" si="459"/>
        <v>-</v>
      </c>
      <c r="BY558" s="830" t="str">
        <f t="shared" ca="1" si="460"/>
        <v>-</v>
      </c>
      <c r="BZ558" s="831">
        <v>42894</v>
      </c>
      <c r="CA558" s="832">
        <v>5</v>
      </c>
      <c r="CB558" s="833">
        <f t="shared" ca="1" si="461"/>
        <v>240</v>
      </c>
      <c r="CC558" s="834" t="str">
        <f t="shared" ca="1" si="462"/>
        <v>-</v>
      </c>
      <c r="CD558" s="835">
        <f t="shared" si="463"/>
        <v>42915</v>
      </c>
      <c r="CE558" s="831">
        <v>42915</v>
      </c>
      <c r="CF558" s="832">
        <v>5</v>
      </c>
      <c r="CG558" s="833">
        <f t="shared" ca="1" si="464"/>
        <v>219</v>
      </c>
      <c r="CH558" s="836">
        <f t="shared" si="465"/>
        <v>0</v>
      </c>
      <c r="CI558" s="837" t="str">
        <f t="shared" si="466"/>
        <v>УСПЕШНО</v>
      </c>
      <c r="CJ558" s="838" t="str">
        <f t="shared" ca="1" si="467"/>
        <v>-</v>
      </c>
      <c r="CK558" s="831"/>
      <c r="CL558" s="832"/>
      <c r="CM558" s="833" t="str">
        <f t="shared" si="468"/>
        <v>-</v>
      </c>
      <c r="CN558" s="834" t="str">
        <f t="shared" si="469"/>
        <v>-</v>
      </c>
      <c r="CO558" s="830" t="str">
        <f t="shared" ca="1" si="470"/>
        <v>-</v>
      </c>
      <c r="CP558" s="831">
        <v>43031</v>
      </c>
      <c r="CQ558" s="832">
        <v>2</v>
      </c>
      <c r="CR558" s="833">
        <f t="shared" si="471"/>
        <v>225</v>
      </c>
      <c r="CS558" s="833">
        <f t="shared" ca="1" si="472"/>
        <v>103</v>
      </c>
      <c r="CT558" s="834" t="str">
        <f t="shared" ca="1" si="473"/>
        <v>-</v>
      </c>
      <c r="CU558" s="835">
        <f t="shared" si="474"/>
        <v>43052</v>
      </c>
      <c r="CV558" s="831">
        <v>43052</v>
      </c>
      <c r="CW558" s="832">
        <v>2</v>
      </c>
      <c r="CX558" s="833">
        <f t="shared" si="475"/>
        <v>0</v>
      </c>
      <c r="CY558" s="840" t="str">
        <f t="shared" si="476"/>
        <v>УСПЕШНО</v>
      </c>
      <c r="CZ558" s="833">
        <f t="shared" si="477"/>
        <v>246</v>
      </c>
      <c r="DA558" s="838" t="str">
        <f t="shared" ca="1" si="478"/>
        <v>ТРЕБУЕТСЯ РЕВАКЦИНАЦИЯ</v>
      </c>
      <c r="DB558" s="841"/>
      <c r="DC558" s="832"/>
    </row>
    <row r="559" spans="1:107" s="842" customFormat="1" ht="15.95" customHeight="1" x14ac:dyDescent="0.25">
      <c r="A559" s="790">
        <v>561</v>
      </c>
      <c r="B559" s="791">
        <f t="shared" ca="1" si="427"/>
        <v>43134</v>
      </c>
      <c r="C559" s="847" t="s">
        <v>2554</v>
      </c>
      <c r="D559" s="793" t="s">
        <v>2586</v>
      </c>
      <c r="E559" s="794" t="s">
        <v>2817</v>
      </c>
      <c r="F559" s="795" t="s">
        <v>2119</v>
      </c>
      <c r="G559" s="796">
        <f>SUMIFS(МОЛОКО!L8:L6958,МОЛОКО!F8:F6958,"2801",МОЛОКО!L8:L6958,"&gt;0")</f>
        <v>0</v>
      </c>
      <c r="H559" s="797" t="s">
        <v>603</v>
      </c>
      <c r="I559" s="798">
        <v>42387</v>
      </c>
      <c r="J559" s="799">
        <f t="shared" ca="1" si="428"/>
        <v>2.0465753424657533</v>
      </c>
      <c r="K559" s="799">
        <f t="shared" ca="1" si="429"/>
        <v>24.9</v>
      </c>
      <c r="L559" s="800">
        <f t="shared" ca="1" si="430"/>
        <v>747</v>
      </c>
      <c r="M559" s="801"/>
      <c r="N559" s="802"/>
      <c r="O559" s="803" t="str">
        <f t="shared" ca="1" si="431"/>
        <v>-</v>
      </c>
      <c r="P559" s="804"/>
      <c r="Q559" s="805" t="s">
        <v>1451</v>
      </c>
      <c r="R559" s="806" t="s">
        <v>1876</v>
      </c>
      <c r="S559" s="807">
        <v>42740</v>
      </c>
      <c r="T559" s="798">
        <v>42853</v>
      </c>
      <c r="U559" s="798" t="str">
        <f t="shared" si="432"/>
        <v>-</v>
      </c>
      <c r="V559" s="804" t="str">
        <f t="shared" ca="1" si="433"/>
        <v>-</v>
      </c>
      <c r="W559" s="808">
        <v>5</v>
      </c>
      <c r="X559" s="794" t="str">
        <f t="shared" si="426"/>
        <v>-</v>
      </c>
      <c r="Y559" s="794">
        <v>1</v>
      </c>
      <c r="Z559" s="809" t="str">
        <f t="shared" ca="1" si="434"/>
        <v>-----</v>
      </c>
      <c r="AA559" s="810" t="str">
        <f t="shared" ca="1" si="435"/>
        <v>-----</v>
      </c>
      <c r="AB559" s="804">
        <v>1</v>
      </c>
      <c r="AC559" s="811" t="str">
        <f t="shared" ca="1" si="436"/>
        <v>-----</v>
      </c>
      <c r="AD559" s="798"/>
      <c r="AE559" s="794" t="str">
        <f t="shared" ca="1" si="437"/>
        <v>-</v>
      </c>
      <c r="AF559" s="798" t="str">
        <f t="shared" si="438"/>
        <v>-</v>
      </c>
      <c r="AG559" s="812" t="str">
        <f t="shared" si="439"/>
        <v>---------</v>
      </c>
      <c r="AH559" s="807">
        <v>42963</v>
      </c>
      <c r="AI559" s="807" t="str">
        <f t="shared" si="440"/>
        <v>-</v>
      </c>
      <c r="AJ559" s="807" t="str">
        <f t="shared" si="441"/>
        <v>-</v>
      </c>
      <c r="AK559" s="813"/>
      <c r="AL559" s="807">
        <f t="shared" si="442"/>
        <v>43112</v>
      </c>
      <c r="AM559" s="807">
        <f t="shared" si="443"/>
        <v>43133</v>
      </c>
      <c r="AN559" s="814">
        <f t="shared" ca="1" si="444"/>
        <v>1</v>
      </c>
      <c r="AO559" s="815">
        <v>1</v>
      </c>
      <c r="AP559" s="816" t="str">
        <f t="shared" ca="1" si="445"/>
        <v>-</v>
      </c>
      <c r="AQ559" s="817"/>
      <c r="AR559" s="794" t="str">
        <f t="shared" si="446"/>
        <v>НЕТЕЛЬ</v>
      </c>
      <c r="AS559" s="818"/>
      <c r="AT559" s="794" t="str">
        <f t="shared" si="447"/>
        <v>-</v>
      </c>
      <c r="AU559" s="819"/>
      <c r="AV559" s="820"/>
      <c r="AW559" s="821"/>
      <c r="AX559" s="821"/>
      <c r="AY559" s="969" t="str">
        <f t="shared" si="448"/>
        <v>-</v>
      </c>
      <c r="AZ559" s="966" t="str">
        <f t="shared" si="449"/>
        <v>-</v>
      </c>
      <c r="BA559" s="971" t="str">
        <f t="shared" si="450"/>
        <v>-</v>
      </c>
      <c r="BB559" s="975"/>
      <c r="BC559" s="821"/>
      <c r="BD559" s="821"/>
      <c r="BE559" s="963" t="str">
        <f t="shared" si="451"/>
        <v>-</v>
      </c>
      <c r="BF559" s="984"/>
      <c r="BG559" s="988"/>
      <c r="BH559" s="982"/>
      <c r="BI559" s="991"/>
      <c r="BJ559" s="991"/>
      <c r="BK559" s="993" t="str">
        <f t="shared" si="452"/>
        <v>-</v>
      </c>
      <c r="BL559" s="820">
        <v>42978</v>
      </c>
      <c r="BM559" s="821">
        <v>5</v>
      </c>
      <c r="BN559" s="822">
        <f t="shared" ca="1" si="453"/>
        <v>156</v>
      </c>
      <c r="BO559" s="823">
        <f t="shared" si="454"/>
        <v>19.7</v>
      </c>
      <c r="BP559" s="824"/>
      <c r="BQ559" s="821"/>
      <c r="BR559" s="822" t="str">
        <f t="shared" si="455"/>
        <v>-</v>
      </c>
      <c r="BS559" s="823" t="str">
        <f t="shared" si="456"/>
        <v>-</v>
      </c>
      <c r="BT559" s="825" t="str">
        <f t="shared" ca="1" si="457"/>
        <v>-</v>
      </c>
      <c r="BU559" s="826"/>
      <c r="BV559" s="827"/>
      <c r="BW559" s="828" t="str">
        <f t="shared" si="458"/>
        <v>Ж-Е НЕ ВАКЦ.</v>
      </c>
      <c r="BX559" s="829" t="str">
        <f t="shared" si="459"/>
        <v>-</v>
      </c>
      <c r="BY559" s="830" t="str">
        <f t="shared" ca="1" si="460"/>
        <v>-</v>
      </c>
      <c r="BZ559" s="831">
        <v>42891</v>
      </c>
      <c r="CA559" s="832">
        <v>5</v>
      </c>
      <c r="CB559" s="833">
        <f t="shared" ca="1" si="461"/>
        <v>243</v>
      </c>
      <c r="CC559" s="834" t="str">
        <f t="shared" ca="1" si="462"/>
        <v>-</v>
      </c>
      <c r="CD559" s="835">
        <f t="shared" si="463"/>
        <v>42912</v>
      </c>
      <c r="CE559" s="831">
        <v>42912</v>
      </c>
      <c r="CF559" s="832">
        <v>5</v>
      </c>
      <c r="CG559" s="833">
        <f t="shared" ca="1" si="464"/>
        <v>222</v>
      </c>
      <c r="CH559" s="836">
        <f t="shared" si="465"/>
        <v>0</v>
      </c>
      <c r="CI559" s="837" t="str">
        <f t="shared" si="466"/>
        <v>УСПЕШНО</v>
      </c>
      <c r="CJ559" s="838" t="str">
        <f t="shared" ca="1" si="467"/>
        <v>-</v>
      </c>
      <c r="CK559" s="831"/>
      <c r="CL559" s="832"/>
      <c r="CM559" s="833" t="str">
        <f t="shared" si="468"/>
        <v>-</v>
      </c>
      <c r="CN559" s="834" t="str">
        <f t="shared" si="469"/>
        <v>-</v>
      </c>
      <c r="CO559" s="830" t="str">
        <f t="shared" ca="1" si="470"/>
        <v>ТРЕБУЕТСЯ ВАКЦИНАЦИЯ</v>
      </c>
      <c r="CP559" s="839"/>
      <c r="CQ559" s="832"/>
      <c r="CR559" s="833" t="str">
        <f t="shared" si="471"/>
        <v>-</v>
      </c>
      <c r="CS559" s="833" t="str">
        <f t="shared" si="472"/>
        <v>-</v>
      </c>
      <c r="CT559" s="834" t="str">
        <f t="shared" si="473"/>
        <v>-</v>
      </c>
      <c r="CU559" s="835" t="str">
        <f t="shared" si="474"/>
        <v>-</v>
      </c>
      <c r="CV559" s="839"/>
      <c r="CW559" s="832"/>
      <c r="CX559" s="833" t="str">
        <f t="shared" si="475"/>
        <v>-</v>
      </c>
      <c r="CY559" s="840" t="str">
        <f t="shared" si="476"/>
        <v>-</v>
      </c>
      <c r="CZ559" s="833" t="str">
        <f t="shared" si="477"/>
        <v>-</v>
      </c>
      <c r="DA559" s="838" t="str">
        <f t="shared" ca="1" si="478"/>
        <v>-</v>
      </c>
      <c r="DB559" s="841"/>
      <c r="DC559" s="832"/>
    </row>
    <row r="560" spans="1:107" s="842" customFormat="1" ht="15.95" customHeight="1" x14ac:dyDescent="0.25">
      <c r="A560" s="790">
        <v>562</v>
      </c>
      <c r="B560" s="791">
        <f t="shared" ca="1" si="427"/>
        <v>43134</v>
      </c>
      <c r="C560" s="847" t="s">
        <v>2554</v>
      </c>
      <c r="D560" s="793" t="s">
        <v>2586</v>
      </c>
      <c r="E560" s="794" t="s">
        <v>2818</v>
      </c>
      <c r="F560" s="795" t="s">
        <v>2120</v>
      </c>
      <c r="G560" s="796">
        <f>SUMIFS(МОЛОКО!L8:L6958,МОЛОКО!F8:F6958,"2803",МОЛОКО!L8:L6958,"&gt;0")</f>
        <v>0</v>
      </c>
      <c r="H560" s="797" t="s">
        <v>603</v>
      </c>
      <c r="I560" s="798">
        <v>42389</v>
      </c>
      <c r="J560" s="799">
        <f t="shared" ca="1" si="428"/>
        <v>2.0410958904109591</v>
      </c>
      <c r="K560" s="799">
        <f t="shared" ca="1" si="429"/>
        <v>24.833333333333332</v>
      </c>
      <c r="L560" s="800">
        <f t="shared" ca="1" si="430"/>
        <v>745</v>
      </c>
      <c r="M560" s="801"/>
      <c r="N560" s="802"/>
      <c r="O560" s="803" t="str">
        <f t="shared" ca="1" si="431"/>
        <v>-</v>
      </c>
      <c r="P560" s="804"/>
      <c r="Q560" s="805" t="s">
        <v>1451</v>
      </c>
      <c r="R560" s="806" t="s">
        <v>1876</v>
      </c>
      <c r="S560" s="807">
        <v>42793</v>
      </c>
      <c r="T560" s="798">
        <v>42813</v>
      </c>
      <c r="U560" s="798" t="str">
        <f t="shared" si="432"/>
        <v>-</v>
      </c>
      <c r="V560" s="804" t="str">
        <f t="shared" ca="1" si="433"/>
        <v>-</v>
      </c>
      <c r="W560" s="808">
        <v>2</v>
      </c>
      <c r="X560" s="794" t="str">
        <f t="shared" si="426"/>
        <v>-</v>
      </c>
      <c r="Y560" s="794">
        <v>1</v>
      </c>
      <c r="Z560" s="809" t="str">
        <f t="shared" ca="1" si="434"/>
        <v>ПОДЛЕЖИТ ПЕРЕПРОВЕРКЕ</v>
      </c>
      <c r="AA560" s="810">
        <f t="shared" ca="1" si="435"/>
        <v>321</v>
      </c>
      <c r="AB560" s="804"/>
      <c r="AC560" s="811">
        <f t="shared" ca="1" si="436"/>
        <v>42885</v>
      </c>
      <c r="AD560" s="798"/>
      <c r="AE560" s="794" t="str">
        <f t="shared" ca="1" si="437"/>
        <v>-</v>
      </c>
      <c r="AF560" s="798" t="str">
        <f t="shared" si="438"/>
        <v>-</v>
      </c>
      <c r="AG560" s="812" t="str">
        <f t="shared" si="439"/>
        <v>---------</v>
      </c>
      <c r="AH560" s="807">
        <v>42881</v>
      </c>
      <c r="AI560" s="807" t="str">
        <f t="shared" si="440"/>
        <v>-</v>
      </c>
      <c r="AJ560" s="807" t="str">
        <f t="shared" si="441"/>
        <v>-</v>
      </c>
      <c r="AK560" s="813"/>
      <c r="AL560" s="807">
        <f t="shared" si="442"/>
        <v>43072</v>
      </c>
      <c r="AM560" s="807">
        <f t="shared" si="443"/>
        <v>43093</v>
      </c>
      <c r="AN560" s="814">
        <f t="shared" ca="1" si="444"/>
        <v>41</v>
      </c>
      <c r="AO560" s="815">
        <v>1</v>
      </c>
      <c r="AP560" s="816" t="str">
        <f t="shared" ca="1" si="445"/>
        <v>-</v>
      </c>
      <c r="AQ560" s="817"/>
      <c r="AR560" s="794" t="str">
        <f t="shared" si="446"/>
        <v>НЕТЕЛЬ</v>
      </c>
      <c r="AS560" s="818"/>
      <c r="AT560" s="794" t="str">
        <f t="shared" si="447"/>
        <v>-</v>
      </c>
      <c r="AU560" s="819"/>
      <c r="AV560" s="820"/>
      <c r="AW560" s="821"/>
      <c r="AX560" s="821"/>
      <c r="AY560" s="969" t="str">
        <f t="shared" si="448"/>
        <v>-</v>
      </c>
      <c r="AZ560" s="966" t="str">
        <f t="shared" si="449"/>
        <v>-</v>
      </c>
      <c r="BA560" s="971" t="str">
        <f t="shared" si="450"/>
        <v>-</v>
      </c>
      <c r="BB560" s="975"/>
      <c r="BC560" s="821"/>
      <c r="BD560" s="821"/>
      <c r="BE560" s="963" t="str">
        <f t="shared" si="451"/>
        <v>-</v>
      </c>
      <c r="BF560" s="984"/>
      <c r="BG560" s="988"/>
      <c r="BH560" s="982"/>
      <c r="BI560" s="991"/>
      <c r="BJ560" s="991"/>
      <c r="BK560" s="993" t="str">
        <f t="shared" si="452"/>
        <v>-</v>
      </c>
      <c r="BL560" s="820">
        <v>42978</v>
      </c>
      <c r="BM560" s="821">
        <v>5</v>
      </c>
      <c r="BN560" s="822">
        <f t="shared" ca="1" si="453"/>
        <v>156</v>
      </c>
      <c r="BO560" s="823">
        <f t="shared" si="454"/>
        <v>19.633333333333333</v>
      </c>
      <c r="BP560" s="824"/>
      <c r="BQ560" s="821"/>
      <c r="BR560" s="822" t="str">
        <f t="shared" si="455"/>
        <v>-</v>
      </c>
      <c r="BS560" s="823" t="str">
        <f t="shared" si="456"/>
        <v>-</v>
      </c>
      <c r="BT560" s="825" t="str">
        <f t="shared" ca="1" si="457"/>
        <v>-</v>
      </c>
      <c r="BU560" s="826"/>
      <c r="BV560" s="827"/>
      <c r="BW560" s="828" t="str">
        <f t="shared" si="458"/>
        <v>Ж-Е НЕ ВАКЦ.</v>
      </c>
      <c r="BX560" s="829" t="str">
        <f t="shared" si="459"/>
        <v>-</v>
      </c>
      <c r="BY560" s="830" t="str">
        <f t="shared" ca="1" si="460"/>
        <v>-</v>
      </c>
      <c r="BZ560" s="831">
        <v>42894</v>
      </c>
      <c r="CA560" s="832">
        <v>5</v>
      </c>
      <c r="CB560" s="833">
        <f t="shared" ca="1" si="461"/>
        <v>240</v>
      </c>
      <c r="CC560" s="834" t="str">
        <f t="shared" ca="1" si="462"/>
        <v>-</v>
      </c>
      <c r="CD560" s="835">
        <f t="shared" si="463"/>
        <v>42915</v>
      </c>
      <c r="CE560" s="831">
        <v>42915</v>
      </c>
      <c r="CF560" s="832">
        <v>5</v>
      </c>
      <c r="CG560" s="833">
        <f t="shared" ca="1" si="464"/>
        <v>219</v>
      </c>
      <c r="CH560" s="836">
        <f t="shared" si="465"/>
        <v>0</v>
      </c>
      <c r="CI560" s="837" t="str">
        <f t="shared" si="466"/>
        <v>УСПЕШНО</v>
      </c>
      <c r="CJ560" s="838" t="str">
        <f t="shared" ca="1" si="467"/>
        <v>-</v>
      </c>
      <c r="CK560" s="831"/>
      <c r="CL560" s="832"/>
      <c r="CM560" s="833" t="str">
        <f t="shared" si="468"/>
        <v>-</v>
      </c>
      <c r="CN560" s="834" t="str">
        <f t="shared" si="469"/>
        <v>-</v>
      </c>
      <c r="CO560" s="830" t="str">
        <f t="shared" ca="1" si="470"/>
        <v>-</v>
      </c>
      <c r="CP560" s="831">
        <v>43052</v>
      </c>
      <c r="CQ560" s="832">
        <v>2</v>
      </c>
      <c r="CR560" s="833">
        <f t="shared" si="471"/>
        <v>239</v>
      </c>
      <c r="CS560" s="833">
        <f t="shared" ca="1" si="472"/>
        <v>82</v>
      </c>
      <c r="CT560" s="834" t="str">
        <f t="shared" ca="1" si="473"/>
        <v>ТРЕБУЕТСЯ БУСТЕРНАЯ ДОЗА</v>
      </c>
      <c r="CU560" s="835">
        <f t="shared" si="474"/>
        <v>43073</v>
      </c>
      <c r="CV560" s="839"/>
      <c r="CW560" s="832"/>
      <c r="CX560" s="833" t="str">
        <f t="shared" si="475"/>
        <v>-</v>
      </c>
      <c r="CY560" s="840" t="str">
        <f t="shared" si="476"/>
        <v>-</v>
      </c>
      <c r="CZ560" s="833" t="str">
        <f t="shared" si="477"/>
        <v>-</v>
      </c>
      <c r="DA560" s="838" t="str">
        <f t="shared" ca="1" si="478"/>
        <v>-</v>
      </c>
      <c r="DB560" s="841"/>
      <c r="DC560" s="832"/>
    </row>
    <row r="561" spans="1:107" s="842" customFormat="1" ht="15.95" customHeight="1" x14ac:dyDescent="0.25">
      <c r="A561" s="790">
        <v>563</v>
      </c>
      <c r="B561" s="791">
        <f t="shared" ca="1" si="427"/>
        <v>43134</v>
      </c>
      <c r="C561" s="847" t="s">
        <v>2554</v>
      </c>
      <c r="D561" s="793" t="s">
        <v>2586</v>
      </c>
      <c r="E561" s="794" t="s">
        <v>2820</v>
      </c>
      <c r="F561" s="795" t="s">
        <v>1786</v>
      </c>
      <c r="G561" s="796">
        <f>SUMIFS(МОЛОКО!L8:L6958,МОЛОКО!F8:F6958,"2805",МОЛОКО!L8:L6958,"&gt;0")</f>
        <v>0</v>
      </c>
      <c r="H561" s="797" t="s">
        <v>603</v>
      </c>
      <c r="I561" s="798">
        <v>42393</v>
      </c>
      <c r="J561" s="799">
        <f t="shared" ca="1" si="428"/>
        <v>2.0301369863013701</v>
      </c>
      <c r="K561" s="799">
        <f t="shared" ca="1" si="429"/>
        <v>24.7</v>
      </c>
      <c r="L561" s="800">
        <f t="shared" ca="1" si="430"/>
        <v>741</v>
      </c>
      <c r="M561" s="801"/>
      <c r="N561" s="802"/>
      <c r="O561" s="803" t="str">
        <f t="shared" ca="1" si="431"/>
        <v>-</v>
      </c>
      <c r="P561" s="804"/>
      <c r="Q561" s="805" t="s">
        <v>2366</v>
      </c>
      <c r="R561" s="806" t="s">
        <v>1876</v>
      </c>
      <c r="S561" s="807">
        <v>42750</v>
      </c>
      <c r="T561" s="798">
        <v>42909</v>
      </c>
      <c r="U561" s="798" t="str">
        <f t="shared" si="432"/>
        <v>-</v>
      </c>
      <c r="V561" s="804" t="str">
        <f t="shared" ca="1" si="433"/>
        <v>-</v>
      </c>
      <c r="W561" s="808">
        <v>4</v>
      </c>
      <c r="X561" s="794" t="str">
        <f t="shared" si="426"/>
        <v>-</v>
      </c>
      <c r="Y561" s="794">
        <v>1</v>
      </c>
      <c r="Z561" s="809" t="str">
        <f t="shared" ca="1" si="434"/>
        <v>ПОДЛЕЖИТ ПЕРЕПРОВЕРКЕ</v>
      </c>
      <c r="AA561" s="810">
        <f t="shared" ca="1" si="435"/>
        <v>225</v>
      </c>
      <c r="AB561" s="804"/>
      <c r="AC561" s="811">
        <f t="shared" ca="1" si="436"/>
        <v>42981</v>
      </c>
      <c r="AD561" s="798"/>
      <c r="AE561" s="794" t="str">
        <f t="shared" ca="1" si="437"/>
        <v>-</v>
      </c>
      <c r="AF561" s="798" t="str">
        <f t="shared" si="438"/>
        <v>-</v>
      </c>
      <c r="AG561" s="812" t="str">
        <f t="shared" si="439"/>
        <v>---------</v>
      </c>
      <c r="AH561" s="807">
        <v>42969</v>
      </c>
      <c r="AI561" s="807" t="str">
        <f t="shared" si="440"/>
        <v>-</v>
      </c>
      <c r="AJ561" s="807" t="str">
        <f t="shared" si="441"/>
        <v>-</v>
      </c>
      <c r="AK561" s="813"/>
      <c r="AL561" s="807">
        <f t="shared" si="442"/>
        <v>43168</v>
      </c>
      <c r="AM561" s="807">
        <f t="shared" si="443"/>
        <v>43189</v>
      </c>
      <c r="AN561" s="814">
        <f t="shared" ca="1" si="444"/>
        <v>-55</v>
      </c>
      <c r="AO561" s="815">
        <v>1</v>
      </c>
      <c r="AP561" s="816" t="str">
        <f t="shared" ca="1" si="445"/>
        <v>-</v>
      </c>
      <c r="AQ561" s="817"/>
      <c r="AR561" s="794" t="str">
        <f t="shared" si="446"/>
        <v>НЕТЕЛЬ</v>
      </c>
      <c r="AS561" s="818"/>
      <c r="AT561" s="794" t="str">
        <f t="shared" si="447"/>
        <v>-</v>
      </c>
      <c r="AU561" s="819"/>
      <c r="AV561" s="820"/>
      <c r="AW561" s="821"/>
      <c r="AX561" s="821"/>
      <c r="AY561" s="969" t="str">
        <f t="shared" si="448"/>
        <v>-</v>
      </c>
      <c r="AZ561" s="966" t="str">
        <f t="shared" si="449"/>
        <v>-</v>
      </c>
      <c r="BA561" s="971" t="str">
        <f t="shared" si="450"/>
        <v>-</v>
      </c>
      <c r="BB561" s="975"/>
      <c r="BC561" s="821"/>
      <c r="BD561" s="821"/>
      <c r="BE561" s="963" t="str">
        <f t="shared" si="451"/>
        <v>-</v>
      </c>
      <c r="BF561" s="984"/>
      <c r="BG561" s="988"/>
      <c r="BH561" s="982"/>
      <c r="BI561" s="991"/>
      <c r="BJ561" s="991"/>
      <c r="BK561" s="993" t="str">
        <f t="shared" si="452"/>
        <v>-</v>
      </c>
      <c r="BL561" s="820">
        <v>42978</v>
      </c>
      <c r="BM561" s="821">
        <v>5</v>
      </c>
      <c r="BN561" s="822">
        <f t="shared" ca="1" si="453"/>
        <v>156</v>
      </c>
      <c r="BO561" s="823">
        <f t="shared" si="454"/>
        <v>19.5</v>
      </c>
      <c r="BP561" s="824"/>
      <c r="BQ561" s="821"/>
      <c r="BR561" s="822" t="str">
        <f t="shared" si="455"/>
        <v>-</v>
      </c>
      <c r="BS561" s="823" t="str">
        <f t="shared" si="456"/>
        <v>-</v>
      </c>
      <c r="BT561" s="825" t="str">
        <f t="shared" ca="1" si="457"/>
        <v>-</v>
      </c>
      <c r="BU561" s="826"/>
      <c r="BV561" s="827"/>
      <c r="BW561" s="828" t="str">
        <f t="shared" si="458"/>
        <v>Ж-Е НЕ ВАКЦ.</v>
      </c>
      <c r="BX561" s="829" t="str">
        <f t="shared" si="459"/>
        <v>-</v>
      </c>
      <c r="BY561" s="830" t="str">
        <f t="shared" ca="1" si="460"/>
        <v>-</v>
      </c>
      <c r="BZ561" s="831">
        <v>42891</v>
      </c>
      <c r="CA561" s="832">
        <v>5</v>
      </c>
      <c r="CB561" s="833">
        <f t="shared" ca="1" si="461"/>
        <v>243</v>
      </c>
      <c r="CC561" s="834" t="str">
        <f t="shared" ca="1" si="462"/>
        <v>-</v>
      </c>
      <c r="CD561" s="835">
        <f t="shared" si="463"/>
        <v>42912</v>
      </c>
      <c r="CE561" s="831">
        <v>42912</v>
      </c>
      <c r="CF561" s="832">
        <v>5</v>
      </c>
      <c r="CG561" s="833">
        <f t="shared" ca="1" si="464"/>
        <v>222</v>
      </c>
      <c r="CH561" s="836">
        <f t="shared" si="465"/>
        <v>0</v>
      </c>
      <c r="CI561" s="837" t="str">
        <f t="shared" si="466"/>
        <v>УСПЕШНО</v>
      </c>
      <c r="CJ561" s="838" t="str">
        <f t="shared" ca="1" si="467"/>
        <v>-</v>
      </c>
      <c r="CK561" s="831"/>
      <c r="CL561" s="832"/>
      <c r="CM561" s="833" t="str">
        <f t="shared" si="468"/>
        <v>-</v>
      </c>
      <c r="CN561" s="834" t="str">
        <f t="shared" si="469"/>
        <v>-</v>
      </c>
      <c r="CO561" s="830" t="str">
        <f t="shared" ca="1" si="470"/>
        <v>ТРЕБУЕТСЯ ВАКЦИНАЦИЯ</v>
      </c>
      <c r="CP561" s="839"/>
      <c r="CQ561" s="832"/>
      <c r="CR561" s="833" t="str">
        <f t="shared" si="471"/>
        <v>-</v>
      </c>
      <c r="CS561" s="833" t="str">
        <f t="shared" si="472"/>
        <v>-</v>
      </c>
      <c r="CT561" s="834" t="str">
        <f t="shared" si="473"/>
        <v>-</v>
      </c>
      <c r="CU561" s="835" t="str">
        <f t="shared" si="474"/>
        <v>-</v>
      </c>
      <c r="CV561" s="839"/>
      <c r="CW561" s="832"/>
      <c r="CX561" s="833" t="str">
        <f t="shared" si="475"/>
        <v>-</v>
      </c>
      <c r="CY561" s="840" t="str">
        <f t="shared" si="476"/>
        <v>-</v>
      </c>
      <c r="CZ561" s="833" t="str">
        <f t="shared" si="477"/>
        <v>-</v>
      </c>
      <c r="DA561" s="838" t="str">
        <f t="shared" ca="1" si="478"/>
        <v>-</v>
      </c>
      <c r="DB561" s="841"/>
      <c r="DC561" s="832"/>
    </row>
    <row r="562" spans="1:107" s="842" customFormat="1" ht="15.95" customHeight="1" x14ac:dyDescent="0.25">
      <c r="A562" s="790">
        <v>564</v>
      </c>
      <c r="B562" s="791">
        <f t="shared" ca="1" si="427"/>
        <v>43134</v>
      </c>
      <c r="C562" s="271" t="s">
        <v>2554</v>
      </c>
      <c r="D562" s="59" t="s">
        <v>2586</v>
      </c>
      <c r="E562" s="794" t="s">
        <v>2821</v>
      </c>
      <c r="F562" s="795" t="s">
        <v>1803</v>
      </c>
      <c r="G562" s="796">
        <f>SUMIFS(МОЛОКО!L8:L6958,МОЛОКО!F8:F6958,"2814",МОЛОКО!L8:L6958,"&gt;0")</f>
        <v>0</v>
      </c>
      <c r="H562" s="797" t="s">
        <v>603</v>
      </c>
      <c r="I562" s="798">
        <v>42400</v>
      </c>
      <c r="J562" s="799">
        <f t="shared" ca="1" si="428"/>
        <v>2.010958904109589</v>
      </c>
      <c r="K562" s="799">
        <f t="shared" ca="1" si="429"/>
        <v>24.466666666666665</v>
      </c>
      <c r="L562" s="800">
        <f t="shared" ca="1" si="430"/>
        <v>734</v>
      </c>
      <c r="M562" s="801"/>
      <c r="N562" s="802"/>
      <c r="O562" s="803" t="str">
        <f t="shared" ca="1" si="431"/>
        <v>-</v>
      </c>
      <c r="P562" s="804"/>
      <c r="Q562" s="805" t="s">
        <v>2366</v>
      </c>
      <c r="R562" s="806" t="s">
        <v>2909</v>
      </c>
      <c r="S562" s="807">
        <v>42816</v>
      </c>
      <c r="T562" s="798">
        <v>42941</v>
      </c>
      <c r="U562" s="798" t="str">
        <f t="shared" si="432"/>
        <v>-</v>
      </c>
      <c r="V562" s="804" t="str">
        <f t="shared" ca="1" si="433"/>
        <v>-</v>
      </c>
      <c r="W562" s="808">
        <v>4</v>
      </c>
      <c r="X562" s="794" t="str">
        <f t="shared" si="426"/>
        <v>-</v>
      </c>
      <c r="Y562" s="794">
        <v>1</v>
      </c>
      <c r="Z562" s="809" t="str">
        <f t="shared" ca="1" si="434"/>
        <v>ПОДЛЕЖИТ ПЕРЕПРОВЕРКЕ</v>
      </c>
      <c r="AA562" s="810">
        <f t="shared" ca="1" si="435"/>
        <v>193</v>
      </c>
      <c r="AB562" s="804"/>
      <c r="AC562" s="811">
        <f t="shared" ca="1" si="436"/>
        <v>43013</v>
      </c>
      <c r="AD562" s="798"/>
      <c r="AE562" s="794" t="str">
        <f t="shared" ca="1" si="437"/>
        <v>-</v>
      </c>
      <c r="AF562" s="798" t="str">
        <f t="shared" si="438"/>
        <v>-</v>
      </c>
      <c r="AG562" s="812" t="str">
        <f t="shared" si="439"/>
        <v>---------</v>
      </c>
      <c r="AH562" s="807">
        <v>43001</v>
      </c>
      <c r="AI562" s="807" t="str">
        <f t="shared" si="440"/>
        <v>-</v>
      </c>
      <c r="AJ562" s="807" t="str">
        <f t="shared" si="441"/>
        <v>-</v>
      </c>
      <c r="AK562" s="813"/>
      <c r="AL562" s="807">
        <f t="shared" si="442"/>
        <v>43200</v>
      </c>
      <c r="AM562" s="807">
        <f t="shared" si="443"/>
        <v>43221</v>
      </c>
      <c r="AN562" s="814">
        <f t="shared" ca="1" si="444"/>
        <v>-87</v>
      </c>
      <c r="AO562" s="815">
        <v>1</v>
      </c>
      <c r="AP562" s="816" t="str">
        <f t="shared" ca="1" si="445"/>
        <v>-</v>
      </c>
      <c r="AQ562" s="817"/>
      <c r="AR562" s="794" t="str">
        <f t="shared" si="446"/>
        <v>НЕТЕЛЬ</v>
      </c>
      <c r="AS562" s="818"/>
      <c r="AT562" s="794" t="str">
        <f t="shared" si="447"/>
        <v>-</v>
      </c>
      <c r="AU562" s="819"/>
      <c r="AV562" s="820"/>
      <c r="AW562" s="821"/>
      <c r="AX562" s="821"/>
      <c r="AY562" s="969" t="str">
        <f t="shared" si="448"/>
        <v>-</v>
      </c>
      <c r="AZ562" s="966" t="str">
        <f t="shared" si="449"/>
        <v>-</v>
      </c>
      <c r="BA562" s="971" t="str">
        <f t="shared" si="450"/>
        <v>-</v>
      </c>
      <c r="BB562" s="975"/>
      <c r="BC562" s="821"/>
      <c r="BD562" s="821"/>
      <c r="BE562" s="963" t="str">
        <f t="shared" si="451"/>
        <v>-</v>
      </c>
      <c r="BF562" s="984"/>
      <c r="BG562" s="988"/>
      <c r="BH562" s="982"/>
      <c r="BI562" s="991"/>
      <c r="BJ562" s="991"/>
      <c r="BK562" s="993" t="str">
        <f t="shared" si="452"/>
        <v>-</v>
      </c>
      <c r="BL562" s="820">
        <v>42977</v>
      </c>
      <c r="BM562" s="821">
        <v>5</v>
      </c>
      <c r="BN562" s="822">
        <f t="shared" ca="1" si="453"/>
        <v>157</v>
      </c>
      <c r="BO562" s="823">
        <f t="shared" si="454"/>
        <v>19.233333333333334</v>
      </c>
      <c r="BP562" s="824"/>
      <c r="BQ562" s="821"/>
      <c r="BR562" s="822" t="str">
        <f t="shared" si="455"/>
        <v>-</v>
      </c>
      <c r="BS562" s="823" t="str">
        <f t="shared" si="456"/>
        <v>-</v>
      </c>
      <c r="BT562" s="825" t="str">
        <f t="shared" ca="1" si="457"/>
        <v>-</v>
      </c>
      <c r="BU562" s="826"/>
      <c r="BV562" s="827"/>
      <c r="BW562" s="828" t="str">
        <f t="shared" si="458"/>
        <v>Ж-Е НЕ ВАКЦ.</v>
      </c>
      <c r="BX562" s="829" t="str">
        <f t="shared" si="459"/>
        <v>-</v>
      </c>
      <c r="BY562" s="830" t="str">
        <f t="shared" ca="1" si="460"/>
        <v>-</v>
      </c>
      <c r="BZ562" s="831">
        <v>42891</v>
      </c>
      <c r="CA562" s="832">
        <v>5</v>
      </c>
      <c r="CB562" s="833">
        <f t="shared" ca="1" si="461"/>
        <v>243</v>
      </c>
      <c r="CC562" s="834" t="str">
        <f t="shared" ca="1" si="462"/>
        <v>-</v>
      </c>
      <c r="CD562" s="835">
        <f t="shared" si="463"/>
        <v>42912</v>
      </c>
      <c r="CE562" s="831">
        <v>42912</v>
      </c>
      <c r="CF562" s="832">
        <v>5</v>
      </c>
      <c r="CG562" s="833">
        <f t="shared" ca="1" si="464"/>
        <v>222</v>
      </c>
      <c r="CH562" s="836">
        <f t="shared" si="465"/>
        <v>0</v>
      </c>
      <c r="CI562" s="837" t="str">
        <f t="shared" si="466"/>
        <v>УСПЕШНО</v>
      </c>
      <c r="CJ562" s="838" t="str">
        <f t="shared" ca="1" si="467"/>
        <v>-</v>
      </c>
      <c r="CK562" s="831"/>
      <c r="CL562" s="832"/>
      <c r="CM562" s="833" t="str">
        <f t="shared" si="468"/>
        <v>-</v>
      </c>
      <c r="CN562" s="834" t="str">
        <f t="shared" si="469"/>
        <v>-</v>
      </c>
      <c r="CO562" s="830" t="str">
        <f t="shared" ca="1" si="470"/>
        <v>-</v>
      </c>
      <c r="CP562" s="839"/>
      <c r="CQ562" s="832"/>
      <c r="CR562" s="833" t="str">
        <f t="shared" si="471"/>
        <v>-</v>
      </c>
      <c r="CS562" s="833" t="str">
        <f t="shared" si="472"/>
        <v>-</v>
      </c>
      <c r="CT562" s="834" t="str">
        <f t="shared" si="473"/>
        <v>-</v>
      </c>
      <c r="CU562" s="835" t="str">
        <f t="shared" si="474"/>
        <v>-</v>
      </c>
      <c r="CV562" s="839"/>
      <c r="CW562" s="832"/>
      <c r="CX562" s="833" t="str">
        <f t="shared" si="475"/>
        <v>-</v>
      </c>
      <c r="CY562" s="840" t="str">
        <f t="shared" si="476"/>
        <v>-</v>
      </c>
      <c r="CZ562" s="833" t="str">
        <f t="shared" si="477"/>
        <v>-</v>
      </c>
      <c r="DA562" s="838" t="str">
        <f t="shared" ca="1" si="478"/>
        <v>-</v>
      </c>
      <c r="DB562" s="841"/>
      <c r="DC562" s="832"/>
    </row>
    <row r="563" spans="1:107" s="842" customFormat="1" ht="15.95" customHeight="1" x14ac:dyDescent="0.25">
      <c r="A563" s="790">
        <v>565</v>
      </c>
      <c r="B563" s="791">
        <f t="shared" ca="1" si="427"/>
        <v>43134</v>
      </c>
      <c r="C563" s="847" t="s">
        <v>2554</v>
      </c>
      <c r="D563" s="870" t="s">
        <v>2586</v>
      </c>
      <c r="E563" s="794" t="s">
        <v>2822</v>
      </c>
      <c r="F563" s="795" t="s">
        <v>1798</v>
      </c>
      <c r="G563" s="796">
        <f>SUMIFS(МОЛОКО!L8:L6958,МОЛОКО!F8:F6958,"2822",МОЛОКО!L8:L6958,"&gt;0")</f>
        <v>0</v>
      </c>
      <c r="H563" s="797" t="s">
        <v>603</v>
      </c>
      <c r="I563" s="798">
        <v>42405</v>
      </c>
      <c r="J563" s="799">
        <f t="shared" ca="1" si="428"/>
        <v>1.9972602739726026</v>
      </c>
      <c r="K563" s="799">
        <f t="shared" ca="1" si="429"/>
        <v>24.3</v>
      </c>
      <c r="L563" s="800">
        <f t="shared" ca="1" si="430"/>
        <v>729</v>
      </c>
      <c r="M563" s="801"/>
      <c r="N563" s="802"/>
      <c r="O563" s="803" t="str">
        <f t="shared" ca="1" si="431"/>
        <v>-</v>
      </c>
      <c r="P563" s="804"/>
      <c r="Q563" s="805" t="s">
        <v>2677</v>
      </c>
      <c r="R563" s="806" t="s">
        <v>1874</v>
      </c>
      <c r="S563" s="807">
        <v>42828</v>
      </c>
      <c r="T563" s="798">
        <v>42850</v>
      </c>
      <c r="U563" s="798" t="str">
        <f t="shared" si="432"/>
        <v>-</v>
      </c>
      <c r="V563" s="804" t="str">
        <f t="shared" ca="1" si="433"/>
        <v>-</v>
      </c>
      <c r="W563" s="808">
        <v>2</v>
      </c>
      <c r="X563" s="794" t="str">
        <f t="shared" si="426"/>
        <v>-</v>
      </c>
      <c r="Y563" s="794">
        <v>1</v>
      </c>
      <c r="Z563" s="809" t="str">
        <f t="shared" ca="1" si="434"/>
        <v>-----</v>
      </c>
      <c r="AA563" s="810" t="str">
        <f t="shared" ca="1" si="435"/>
        <v>-----</v>
      </c>
      <c r="AB563" s="804">
        <v>1</v>
      </c>
      <c r="AC563" s="811" t="str">
        <f t="shared" ca="1" si="436"/>
        <v>-----</v>
      </c>
      <c r="AD563" s="798"/>
      <c r="AE563" s="794" t="str">
        <f t="shared" ca="1" si="437"/>
        <v>-</v>
      </c>
      <c r="AF563" s="798" t="str">
        <f t="shared" si="438"/>
        <v>-</v>
      </c>
      <c r="AG563" s="812" t="str">
        <f t="shared" si="439"/>
        <v>---------</v>
      </c>
      <c r="AH563" s="807">
        <v>42963</v>
      </c>
      <c r="AI563" s="807" t="str">
        <f t="shared" si="440"/>
        <v>-</v>
      </c>
      <c r="AJ563" s="807" t="str">
        <f t="shared" si="441"/>
        <v>-</v>
      </c>
      <c r="AK563" s="813"/>
      <c r="AL563" s="807">
        <f t="shared" si="442"/>
        <v>43109</v>
      </c>
      <c r="AM563" s="807">
        <f t="shared" si="443"/>
        <v>43130</v>
      </c>
      <c r="AN563" s="814">
        <f t="shared" ca="1" si="444"/>
        <v>4</v>
      </c>
      <c r="AO563" s="815">
        <v>1</v>
      </c>
      <c r="AP563" s="816" t="str">
        <f t="shared" ca="1" si="445"/>
        <v>-</v>
      </c>
      <c r="AQ563" s="817"/>
      <c r="AR563" s="794" t="str">
        <f t="shared" si="446"/>
        <v>НЕТЕЛЬ</v>
      </c>
      <c r="AS563" s="818"/>
      <c r="AT563" s="794" t="str">
        <f t="shared" si="447"/>
        <v>-</v>
      </c>
      <c r="AU563" s="819"/>
      <c r="AV563" s="820"/>
      <c r="AW563" s="821"/>
      <c r="AX563" s="821"/>
      <c r="AY563" s="969" t="str">
        <f t="shared" si="448"/>
        <v>-</v>
      </c>
      <c r="AZ563" s="966" t="str">
        <f t="shared" si="449"/>
        <v>-</v>
      </c>
      <c r="BA563" s="971" t="str">
        <f t="shared" si="450"/>
        <v>-</v>
      </c>
      <c r="BB563" s="975"/>
      <c r="BC563" s="821"/>
      <c r="BD563" s="821"/>
      <c r="BE563" s="963" t="str">
        <f t="shared" si="451"/>
        <v>-</v>
      </c>
      <c r="BF563" s="984"/>
      <c r="BG563" s="988"/>
      <c r="BH563" s="982"/>
      <c r="BI563" s="991"/>
      <c r="BJ563" s="991"/>
      <c r="BK563" s="993" t="str">
        <f t="shared" si="452"/>
        <v>-</v>
      </c>
      <c r="BL563" s="820">
        <v>42978</v>
      </c>
      <c r="BM563" s="821">
        <v>5</v>
      </c>
      <c r="BN563" s="822">
        <f t="shared" ca="1" si="453"/>
        <v>156</v>
      </c>
      <c r="BO563" s="823">
        <f t="shared" si="454"/>
        <v>19.100000000000001</v>
      </c>
      <c r="BP563" s="824"/>
      <c r="BQ563" s="821"/>
      <c r="BR563" s="822" t="str">
        <f t="shared" si="455"/>
        <v>-</v>
      </c>
      <c r="BS563" s="823" t="str">
        <f t="shared" si="456"/>
        <v>-</v>
      </c>
      <c r="BT563" s="825" t="str">
        <f t="shared" ca="1" si="457"/>
        <v>-</v>
      </c>
      <c r="BU563" s="826"/>
      <c r="BV563" s="827"/>
      <c r="BW563" s="828" t="str">
        <f t="shared" si="458"/>
        <v>Ж-Е НЕ ВАКЦ.</v>
      </c>
      <c r="BX563" s="829" t="str">
        <f t="shared" si="459"/>
        <v>-</v>
      </c>
      <c r="BY563" s="830" t="str">
        <f t="shared" ca="1" si="460"/>
        <v>-</v>
      </c>
      <c r="BZ563" s="831">
        <v>42891</v>
      </c>
      <c r="CA563" s="832">
        <v>5</v>
      </c>
      <c r="CB563" s="833">
        <f t="shared" ca="1" si="461"/>
        <v>243</v>
      </c>
      <c r="CC563" s="834" t="str">
        <f t="shared" ca="1" si="462"/>
        <v>-</v>
      </c>
      <c r="CD563" s="835">
        <f t="shared" si="463"/>
        <v>42912</v>
      </c>
      <c r="CE563" s="831">
        <v>42912</v>
      </c>
      <c r="CF563" s="832">
        <v>5</v>
      </c>
      <c r="CG563" s="833">
        <f t="shared" ca="1" si="464"/>
        <v>222</v>
      </c>
      <c r="CH563" s="836">
        <f t="shared" si="465"/>
        <v>0</v>
      </c>
      <c r="CI563" s="837" t="str">
        <f t="shared" si="466"/>
        <v>УСПЕШНО</v>
      </c>
      <c r="CJ563" s="838" t="str">
        <f t="shared" ca="1" si="467"/>
        <v>-</v>
      </c>
      <c r="CK563" s="831"/>
      <c r="CL563" s="832"/>
      <c r="CM563" s="833" t="str">
        <f t="shared" si="468"/>
        <v>-</v>
      </c>
      <c r="CN563" s="834" t="str">
        <f t="shared" si="469"/>
        <v>-</v>
      </c>
      <c r="CO563" s="830" t="str">
        <f t="shared" ca="1" si="470"/>
        <v>ТРЕБУЕТСЯ ВАКЦИНАЦИЯ</v>
      </c>
      <c r="CP563" s="839"/>
      <c r="CQ563" s="832"/>
      <c r="CR563" s="833" t="str">
        <f t="shared" si="471"/>
        <v>-</v>
      </c>
      <c r="CS563" s="833" t="str">
        <f t="shared" si="472"/>
        <v>-</v>
      </c>
      <c r="CT563" s="834" t="str">
        <f t="shared" si="473"/>
        <v>-</v>
      </c>
      <c r="CU563" s="835" t="str">
        <f t="shared" si="474"/>
        <v>-</v>
      </c>
      <c r="CV563" s="839"/>
      <c r="CW563" s="832"/>
      <c r="CX563" s="833" t="str">
        <f t="shared" si="475"/>
        <v>-</v>
      </c>
      <c r="CY563" s="840" t="str">
        <f t="shared" si="476"/>
        <v>-</v>
      </c>
      <c r="CZ563" s="833" t="str">
        <f t="shared" si="477"/>
        <v>-</v>
      </c>
      <c r="DA563" s="838" t="str">
        <f t="shared" ca="1" si="478"/>
        <v>-</v>
      </c>
      <c r="DB563" s="841"/>
      <c r="DC563" s="832"/>
    </row>
    <row r="564" spans="1:107" s="842" customFormat="1" ht="15.95" customHeight="1" x14ac:dyDescent="0.25">
      <c r="A564" s="790">
        <v>566</v>
      </c>
      <c r="B564" s="791">
        <f t="shared" ca="1" si="427"/>
        <v>43134</v>
      </c>
      <c r="C564" s="847" t="s">
        <v>2554</v>
      </c>
      <c r="D564" s="793" t="s">
        <v>2586</v>
      </c>
      <c r="E564" s="794" t="s">
        <v>2957</v>
      </c>
      <c r="F564" s="795" t="s">
        <v>2486</v>
      </c>
      <c r="G564" s="796">
        <f>SUMIFS(МОЛОКО!L8:L6958,МОЛОКО!F8:F6958,"2825",МОЛОКО!L8:L6958,"&gt;0")</f>
        <v>0</v>
      </c>
      <c r="H564" s="797" t="s">
        <v>603</v>
      </c>
      <c r="I564" s="798">
        <v>42407</v>
      </c>
      <c r="J564" s="799">
        <f t="shared" ca="1" si="428"/>
        <v>1.9917808219178081</v>
      </c>
      <c r="K564" s="799">
        <f t="shared" ca="1" si="429"/>
        <v>24.233333333333334</v>
      </c>
      <c r="L564" s="800">
        <f t="shared" ca="1" si="430"/>
        <v>727</v>
      </c>
      <c r="M564" s="801"/>
      <c r="N564" s="802"/>
      <c r="O564" s="803" t="str">
        <f t="shared" ca="1" si="431"/>
        <v>-</v>
      </c>
      <c r="P564" s="804"/>
      <c r="Q564" s="805" t="s">
        <v>1451</v>
      </c>
      <c r="R564" s="806" t="s">
        <v>1876</v>
      </c>
      <c r="S564" s="807">
        <v>42805</v>
      </c>
      <c r="T564" s="798">
        <v>42830</v>
      </c>
      <c r="U564" s="798" t="str">
        <f t="shared" si="432"/>
        <v>-</v>
      </c>
      <c r="V564" s="804" t="str">
        <f t="shared" ca="1" si="433"/>
        <v>-</v>
      </c>
      <c r="W564" s="808">
        <v>2</v>
      </c>
      <c r="X564" s="794" t="str">
        <f t="shared" si="426"/>
        <v>-</v>
      </c>
      <c r="Y564" s="794">
        <v>1</v>
      </c>
      <c r="Z564" s="809" t="str">
        <f t="shared" ca="1" si="434"/>
        <v>ПОДЛЕЖИТ ПЕРЕПРОВЕРКЕ</v>
      </c>
      <c r="AA564" s="810">
        <f t="shared" ca="1" si="435"/>
        <v>304</v>
      </c>
      <c r="AB564" s="804"/>
      <c r="AC564" s="811">
        <f t="shared" ca="1" si="436"/>
        <v>42902</v>
      </c>
      <c r="AD564" s="798"/>
      <c r="AE564" s="794" t="str">
        <f t="shared" ca="1" si="437"/>
        <v>-</v>
      </c>
      <c r="AF564" s="798" t="str">
        <f t="shared" si="438"/>
        <v>-</v>
      </c>
      <c r="AG564" s="812" t="str">
        <f t="shared" si="439"/>
        <v>---------</v>
      </c>
      <c r="AH564" s="807">
        <v>42904</v>
      </c>
      <c r="AI564" s="807" t="str">
        <f t="shared" si="440"/>
        <v>-</v>
      </c>
      <c r="AJ564" s="807" t="str">
        <f t="shared" si="441"/>
        <v>-</v>
      </c>
      <c r="AK564" s="813"/>
      <c r="AL564" s="807">
        <f t="shared" si="442"/>
        <v>43089</v>
      </c>
      <c r="AM564" s="807">
        <f t="shared" si="443"/>
        <v>43110</v>
      </c>
      <c r="AN564" s="814">
        <f t="shared" ca="1" si="444"/>
        <v>24</v>
      </c>
      <c r="AO564" s="815">
        <v>1</v>
      </c>
      <c r="AP564" s="816" t="str">
        <f t="shared" ca="1" si="445"/>
        <v>-</v>
      </c>
      <c r="AQ564" s="817"/>
      <c r="AR564" s="794" t="str">
        <f t="shared" si="446"/>
        <v>НЕТЕЛЬ</v>
      </c>
      <c r="AS564" s="818"/>
      <c r="AT564" s="794" t="str">
        <f t="shared" si="447"/>
        <v>-</v>
      </c>
      <c r="AU564" s="819"/>
      <c r="AV564" s="820"/>
      <c r="AW564" s="821"/>
      <c r="AX564" s="821"/>
      <c r="AY564" s="969" t="str">
        <f t="shared" si="448"/>
        <v>-</v>
      </c>
      <c r="AZ564" s="966" t="str">
        <f t="shared" si="449"/>
        <v>-</v>
      </c>
      <c r="BA564" s="971" t="str">
        <f t="shared" si="450"/>
        <v>-</v>
      </c>
      <c r="BB564" s="975"/>
      <c r="BC564" s="821"/>
      <c r="BD564" s="821"/>
      <c r="BE564" s="963" t="str">
        <f t="shared" si="451"/>
        <v>-</v>
      </c>
      <c r="BF564" s="984"/>
      <c r="BG564" s="988"/>
      <c r="BH564" s="982"/>
      <c r="BI564" s="991"/>
      <c r="BJ564" s="991"/>
      <c r="BK564" s="993" t="str">
        <f t="shared" si="452"/>
        <v>-</v>
      </c>
      <c r="BL564" s="820">
        <v>42978</v>
      </c>
      <c r="BM564" s="821">
        <v>5</v>
      </c>
      <c r="BN564" s="822">
        <f t="shared" ca="1" si="453"/>
        <v>156</v>
      </c>
      <c r="BO564" s="823">
        <f t="shared" si="454"/>
        <v>19.033333333333335</v>
      </c>
      <c r="BP564" s="824"/>
      <c r="BQ564" s="821"/>
      <c r="BR564" s="822" t="str">
        <f t="shared" si="455"/>
        <v>-</v>
      </c>
      <c r="BS564" s="823" t="str">
        <f t="shared" si="456"/>
        <v>-</v>
      </c>
      <c r="BT564" s="825" t="str">
        <f t="shared" ca="1" si="457"/>
        <v>-</v>
      </c>
      <c r="BU564" s="826"/>
      <c r="BV564" s="827"/>
      <c r="BW564" s="828" t="str">
        <f t="shared" si="458"/>
        <v>Ж-Е НЕ ВАКЦ.</v>
      </c>
      <c r="BX564" s="829" t="str">
        <f t="shared" si="459"/>
        <v>-</v>
      </c>
      <c r="BY564" s="830" t="str">
        <f t="shared" ca="1" si="460"/>
        <v>-</v>
      </c>
      <c r="BZ564" s="831">
        <v>42891</v>
      </c>
      <c r="CA564" s="832">
        <v>5</v>
      </c>
      <c r="CB564" s="833">
        <f t="shared" ca="1" si="461"/>
        <v>243</v>
      </c>
      <c r="CC564" s="834" t="str">
        <f t="shared" ca="1" si="462"/>
        <v>-</v>
      </c>
      <c r="CD564" s="835">
        <f t="shared" si="463"/>
        <v>42912</v>
      </c>
      <c r="CE564" s="831">
        <v>42912</v>
      </c>
      <c r="CF564" s="832">
        <v>5</v>
      </c>
      <c r="CG564" s="833">
        <f t="shared" ca="1" si="464"/>
        <v>222</v>
      </c>
      <c r="CH564" s="836">
        <f t="shared" si="465"/>
        <v>0</v>
      </c>
      <c r="CI564" s="837" t="str">
        <f t="shared" si="466"/>
        <v>УСПЕШНО</v>
      </c>
      <c r="CJ564" s="838" t="str">
        <f t="shared" ca="1" si="467"/>
        <v>-</v>
      </c>
      <c r="CK564" s="831"/>
      <c r="CL564" s="832"/>
      <c r="CM564" s="833" t="str">
        <f t="shared" si="468"/>
        <v>-</v>
      </c>
      <c r="CN564" s="834" t="str">
        <f t="shared" si="469"/>
        <v>-</v>
      </c>
      <c r="CO564" s="830" t="str">
        <f t="shared" ca="1" si="470"/>
        <v>-</v>
      </c>
      <c r="CP564" s="831">
        <v>43053</v>
      </c>
      <c r="CQ564" s="832">
        <v>2</v>
      </c>
      <c r="CR564" s="833">
        <f t="shared" si="471"/>
        <v>223</v>
      </c>
      <c r="CS564" s="833">
        <f t="shared" ca="1" si="472"/>
        <v>81</v>
      </c>
      <c r="CT564" s="834" t="str">
        <f t="shared" ca="1" si="473"/>
        <v>ТРЕБУЕТСЯ БУСТЕРНАЯ ДОЗА</v>
      </c>
      <c r="CU564" s="835">
        <f t="shared" si="474"/>
        <v>43074</v>
      </c>
      <c r="CV564" s="839"/>
      <c r="CW564" s="832"/>
      <c r="CX564" s="833" t="str">
        <f t="shared" si="475"/>
        <v>-</v>
      </c>
      <c r="CY564" s="840" t="str">
        <f t="shared" si="476"/>
        <v>-</v>
      </c>
      <c r="CZ564" s="833" t="str">
        <f t="shared" si="477"/>
        <v>-</v>
      </c>
      <c r="DA564" s="838" t="str">
        <f t="shared" ca="1" si="478"/>
        <v>-</v>
      </c>
      <c r="DB564" s="841"/>
      <c r="DC564" s="832"/>
    </row>
    <row r="565" spans="1:107" s="842" customFormat="1" ht="15.95" customHeight="1" x14ac:dyDescent="0.25">
      <c r="A565" s="790">
        <v>567</v>
      </c>
      <c r="B565" s="791">
        <f t="shared" ca="1" si="427"/>
        <v>43134</v>
      </c>
      <c r="C565" s="847" t="s">
        <v>2554</v>
      </c>
      <c r="D565" s="793" t="s">
        <v>2586</v>
      </c>
      <c r="E565" s="794" t="s">
        <v>2958</v>
      </c>
      <c r="F565" s="795" t="s">
        <v>1780</v>
      </c>
      <c r="G565" s="796">
        <f>SUMIFS(МОЛОКО!L8:L6958,МОЛОКО!F8:F6958,"2832",МОЛОКО!L8:L6958,"&gt;0")</f>
        <v>0</v>
      </c>
      <c r="H565" s="797" t="s">
        <v>603</v>
      </c>
      <c r="I565" s="798">
        <v>42407</v>
      </c>
      <c r="J565" s="799">
        <f t="shared" ca="1" si="428"/>
        <v>1.9917808219178081</v>
      </c>
      <c r="K565" s="799">
        <f t="shared" ca="1" si="429"/>
        <v>24.233333333333334</v>
      </c>
      <c r="L565" s="800">
        <f t="shared" ca="1" si="430"/>
        <v>727</v>
      </c>
      <c r="M565" s="801"/>
      <c r="N565" s="802"/>
      <c r="O565" s="803" t="str">
        <f t="shared" ca="1" si="431"/>
        <v>-</v>
      </c>
      <c r="P565" s="804"/>
      <c r="Q565" s="805" t="s">
        <v>2309</v>
      </c>
      <c r="R565" s="806" t="s">
        <v>2664</v>
      </c>
      <c r="S565" s="807">
        <v>42851</v>
      </c>
      <c r="T565" s="798">
        <v>42851</v>
      </c>
      <c r="U565" s="798" t="str">
        <f t="shared" si="432"/>
        <v>-</v>
      </c>
      <c r="V565" s="804" t="str">
        <f t="shared" ca="1" si="433"/>
        <v>-</v>
      </c>
      <c r="W565" s="808">
        <v>1</v>
      </c>
      <c r="X565" s="794" t="str">
        <f t="shared" si="426"/>
        <v>-</v>
      </c>
      <c r="Y565" s="794">
        <v>1</v>
      </c>
      <c r="Z565" s="809" t="str">
        <f t="shared" ca="1" si="434"/>
        <v>ПОДЛЕЖИТ ПЕРЕПРОВЕРКЕ</v>
      </c>
      <c r="AA565" s="810">
        <f t="shared" ca="1" si="435"/>
        <v>283</v>
      </c>
      <c r="AB565" s="804"/>
      <c r="AC565" s="811">
        <f t="shared" ca="1" si="436"/>
        <v>42923</v>
      </c>
      <c r="AD565" s="798"/>
      <c r="AE565" s="794" t="str">
        <f t="shared" ca="1" si="437"/>
        <v>-</v>
      </c>
      <c r="AF565" s="798" t="str">
        <f t="shared" si="438"/>
        <v>-</v>
      </c>
      <c r="AG565" s="812" t="str">
        <f t="shared" si="439"/>
        <v>---------</v>
      </c>
      <c r="AH565" s="807">
        <v>42904</v>
      </c>
      <c r="AI565" s="807" t="str">
        <f t="shared" si="440"/>
        <v>-</v>
      </c>
      <c r="AJ565" s="807" t="str">
        <f t="shared" si="441"/>
        <v>-</v>
      </c>
      <c r="AK565" s="813"/>
      <c r="AL565" s="807">
        <f t="shared" si="442"/>
        <v>43110</v>
      </c>
      <c r="AM565" s="807">
        <f t="shared" si="443"/>
        <v>43131</v>
      </c>
      <c r="AN565" s="814">
        <f t="shared" ca="1" si="444"/>
        <v>3</v>
      </c>
      <c r="AO565" s="815">
        <v>1</v>
      </c>
      <c r="AP565" s="816" t="str">
        <f t="shared" ca="1" si="445"/>
        <v>-</v>
      </c>
      <c r="AQ565" s="817"/>
      <c r="AR565" s="794" t="str">
        <f t="shared" si="446"/>
        <v>НЕТЕЛЬ</v>
      </c>
      <c r="AS565" s="818"/>
      <c r="AT565" s="794" t="str">
        <f t="shared" si="447"/>
        <v>-</v>
      </c>
      <c r="AU565" s="819"/>
      <c r="AV565" s="820"/>
      <c r="AW565" s="821"/>
      <c r="AX565" s="821"/>
      <c r="AY565" s="969" t="str">
        <f t="shared" si="448"/>
        <v>-</v>
      </c>
      <c r="AZ565" s="966" t="str">
        <f t="shared" si="449"/>
        <v>-</v>
      </c>
      <c r="BA565" s="971" t="str">
        <f t="shared" si="450"/>
        <v>-</v>
      </c>
      <c r="BB565" s="975"/>
      <c r="BC565" s="821"/>
      <c r="BD565" s="821"/>
      <c r="BE565" s="963" t="str">
        <f t="shared" si="451"/>
        <v>-</v>
      </c>
      <c r="BF565" s="984"/>
      <c r="BG565" s="988"/>
      <c r="BH565" s="982"/>
      <c r="BI565" s="991"/>
      <c r="BJ565" s="991"/>
      <c r="BK565" s="993" t="str">
        <f t="shared" si="452"/>
        <v>-</v>
      </c>
      <c r="BL565" s="820">
        <v>42978</v>
      </c>
      <c r="BM565" s="821">
        <v>5</v>
      </c>
      <c r="BN565" s="822">
        <f t="shared" ca="1" si="453"/>
        <v>156</v>
      </c>
      <c r="BO565" s="823">
        <f t="shared" si="454"/>
        <v>19.033333333333335</v>
      </c>
      <c r="BP565" s="824"/>
      <c r="BQ565" s="821"/>
      <c r="BR565" s="822" t="str">
        <f t="shared" si="455"/>
        <v>-</v>
      </c>
      <c r="BS565" s="823" t="str">
        <f t="shared" si="456"/>
        <v>-</v>
      </c>
      <c r="BT565" s="825" t="str">
        <f t="shared" ca="1" si="457"/>
        <v>-</v>
      </c>
      <c r="BU565" s="826"/>
      <c r="BV565" s="827"/>
      <c r="BW565" s="828" t="str">
        <f t="shared" si="458"/>
        <v>Ж-Е НЕ ВАКЦ.</v>
      </c>
      <c r="BX565" s="829" t="str">
        <f t="shared" si="459"/>
        <v>-</v>
      </c>
      <c r="BY565" s="830" t="str">
        <f t="shared" ca="1" si="460"/>
        <v>-</v>
      </c>
      <c r="BZ565" s="831">
        <v>42891</v>
      </c>
      <c r="CA565" s="832">
        <v>5</v>
      </c>
      <c r="CB565" s="833">
        <f t="shared" ca="1" si="461"/>
        <v>243</v>
      </c>
      <c r="CC565" s="834" t="str">
        <f t="shared" ca="1" si="462"/>
        <v>-</v>
      </c>
      <c r="CD565" s="835">
        <f t="shared" si="463"/>
        <v>42912</v>
      </c>
      <c r="CE565" s="831">
        <v>42912</v>
      </c>
      <c r="CF565" s="832">
        <v>5</v>
      </c>
      <c r="CG565" s="833">
        <f t="shared" ca="1" si="464"/>
        <v>222</v>
      </c>
      <c r="CH565" s="836">
        <f t="shared" si="465"/>
        <v>0</v>
      </c>
      <c r="CI565" s="837" t="str">
        <f t="shared" si="466"/>
        <v>УСПЕШНО</v>
      </c>
      <c r="CJ565" s="838" t="str">
        <f t="shared" ca="1" si="467"/>
        <v>-</v>
      </c>
      <c r="CK565" s="831"/>
      <c r="CL565" s="832"/>
      <c r="CM565" s="833" t="str">
        <f t="shared" si="468"/>
        <v>-</v>
      </c>
      <c r="CN565" s="834" t="str">
        <f t="shared" si="469"/>
        <v>-</v>
      </c>
      <c r="CO565" s="830" t="str">
        <f t="shared" ca="1" si="470"/>
        <v>ТРЕБУЕТСЯ ВАКЦИНАЦИЯ</v>
      </c>
      <c r="CP565" s="839"/>
      <c r="CQ565" s="832"/>
      <c r="CR565" s="833" t="str">
        <f t="shared" si="471"/>
        <v>-</v>
      </c>
      <c r="CS565" s="833" t="str">
        <f t="shared" si="472"/>
        <v>-</v>
      </c>
      <c r="CT565" s="834" t="str">
        <f t="shared" si="473"/>
        <v>-</v>
      </c>
      <c r="CU565" s="835" t="str">
        <f t="shared" si="474"/>
        <v>-</v>
      </c>
      <c r="CV565" s="839"/>
      <c r="CW565" s="832"/>
      <c r="CX565" s="833" t="str">
        <f t="shared" si="475"/>
        <v>-</v>
      </c>
      <c r="CY565" s="840" t="str">
        <f t="shared" si="476"/>
        <v>-</v>
      </c>
      <c r="CZ565" s="833" t="str">
        <f t="shared" si="477"/>
        <v>-</v>
      </c>
      <c r="DA565" s="838" t="str">
        <f t="shared" ca="1" si="478"/>
        <v>-</v>
      </c>
      <c r="DB565" s="841"/>
      <c r="DC565" s="832"/>
    </row>
    <row r="566" spans="1:107" s="842" customFormat="1" ht="15.95" customHeight="1" x14ac:dyDescent="0.25">
      <c r="A566" s="790">
        <v>568</v>
      </c>
      <c r="B566" s="791">
        <f t="shared" ca="1" si="427"/>
        <v>43134</v>
      </c>
      <c r="C566" s="847" t="s">
        <v>2554</v>
      </c>
      <c r="D566" s="793" t="s">
        <v>2586</v>
      </c>
      <c r="E566" s="794" t="s">
        <v>2961</v>
      </c>
      <c r="F566" s="795" t="s">
        <v>1715</v>
      </c>
      <c r="G566" s="796">
        <f>SUMIFS(МОЛОКО!L8:L6958,МОЛОКО!F8:F6958,"2842",МОЛОКО!L8:L6958,"&gt;0")</f>
        <v>0</v>
      </c>
      <c r="H566" s="797" t="s">
        <v>603</v>
      </c>
      <c r="I566" s="798">
        <v>42417</v>
      </c>
      <c r="J566" s="799">
        <f t="shared" ca="1" si="428"/>
        <v>1.9643835616438357</v>
      </c>
      <c r="K566" s="799">
        <f t="shared" ca="1" si="429"/>
        <v>23.9</v>
      </c>
      <c r="L566" s="800">
        <f t="shared" ca="1" si="430"/>
        <v>717</v>
      </c>
      <c r="M566" s="801"/>
      <c r="N566" s="802"/>
      <c r="O566" s="803" t="str">
        <f t="shared" ca="1" si="431"/>
        <v>-</v>
      </c>
      <c r="P566" s="804"/>
      <c r="Q566" s="805" t="s">
        <v>1451</v>
      </c>
      <c r="R566" s="806" t="s">
        <v>1876</v>
      </c>
      <c r="S566" s="807">
        <v>42817</v>
      </c>
      <c r="T566" s="798">
        <v>42817</v>
      </c>
      <c r="U566" s="798" t="str">
        <f t="shared" si="432"/>
        <v>-</v>
      </c>
      <c r="V566" s="804" t="str">
        <f t="shared" ca="1" si="433"/>
        <v>-</v>
      </c>
      <c r="W566" s="808">
        <v>1</v>
      </c>
      <c r="X566" s="794" t="str">
        <f t="shared" ref="X566:X629" si="479">IF(AND(N566&gt;0,T566&gt;0),T566-N566,"-")</f>
        <v>-</v>
      </c>
      <c r="Y566" s="794">
        <v>1</v>
      </c>
      <c r="Z566" s="809" t="str">
        <f t="shared" ca="1" si="434"/>
        <v>ПОДЛЕЖИТ ПЕРЕПРОВЕРКЕ</v>
      </c>
      <c r="AA566" s="810">
        <f t="shared" ca="1" si="435"/>
        <v>317</v>
      </c>
      <c r="AB566" s="804"/>
      <c r="AC566" s="811">
        <f t="shared" ca="1" si="436"/>
        <v>42889</v>
      </c>
      <c r="AD566" s="798"/>
      <c r="AE566" s="794" t="str">
        <f t="shared" ca="1" si="437"/>
        <v>-</v>
      </c>
      <c r="AF566" s="798" t="str">
        <f t="shared" si="438"/>
        <v>-</v>
      </c>
      <c r="AG566" s="812" t="str">
        <f t="shared" si="439"/>
        <v>---------</v>
      </c>
      <c r="AH566" s="807">
        <v>42881</v>
      </c>
      <c r="AI566" s="807" t="str">
        <f t="shared" si="440"/>
        <v>-</v>
      </c>
      <c r="AJ566" s="807" t="str">
        <f t="shared" si="441"/>
        <v>-</v>
      </c>
      <c r="AK566" s="813"/>
      <c r="AL566" s="807">
        <f t="shared" si="442"/>
        <v>43076</v>
      </c>
      <c r="AM566" s="807">
        <f t="shared" si="443"/>
        <v>43097</v>
      </c>
      <c r="AN566" s="814">
        <f t="shared" ca="1" si="444"/>
        <v>37</v>
      </c>
      <c r="AO566" s="815">
        <v>1</v>
      </c>
      <c r="AP566" s="816" t="str">
        <f t="shared" ca="1" si="445"/>
        <v>-</v>
      </c>
      <c r="AQ566" s="817"/>
      <c r="AR566" s="794" t="str">
        <f t="shared" si="446"/>
        <v>НЕТЕЛЬ</v>
      </c>
      <c r="AS566" s="818"/>
      <c r="AT566" s="794" t="str">
        <f t="shared" si="447"/>
        <v>-</v>
      </c>
      <c r="AU566" s="819"/>
      <c r="AV566" s="820"/>
      <c r="AW566" s="821"/>
      <c r="AX566" s="821"/>
      <c r="AY566" s="969" t="str">
        <f t="shared" si="448"/>
        <v>-</v>
      </c>
      <c r="AZ566" s="966" t="str">
        <f t="shared" si="449"/>
        <v>-</v>
      </c>
      <c r="BA566" s="971" t="str">
        <f t="shared" si="450"/>
        <v>-</v>
      </c>
      <c r="BB566" s="975"/>
      <c r="BC566" s="821"/>
      <c r="BD566" s="821"/>
      <c r="BE566" s="963" t="str">
        <f t="shared" si="451"/>
        <v>-</v>
      </c>
      <c r="BF566" s="984"/>
      <c r="BG566" s="988"/>
      <c r="BH566" s="982"/>
      <c r="BI566" s="991"/>
      <c r="BJ566" s="991"/>
      <c r="BK566" s="993" t="str">
        <f t="shared" si="452"/>
        <v>-</v>
      </c>
      <c r="BL566" s="820">
        <v>42978</v>
      </c>
      <c r="BM566" s="821">
        <v>5</v>
      </c>
      <c r="BN566" s="822">
        <f t="shared" ca="1" si="453"/>
        <v>156</v>
      </c>
      <c r="BO566" s="823">
        <f t="shared" si="454"/>
        <v>18.7</v>
      </c>
      <c r="BP566" s="824"/>
      <c r="BQ566" s="821"/>
      <c r="BR566" s="822" t="str">
        <f t="shared" si="455"/>
        <v>-</v>
      </c>
      <c r="BS566" s="823" t="str">
        <f t="shared" si="456"/>
        <v>-</v>
      </c>
      <c r="BT566" s="825" t="str">
        <f t="shared" ca="1" si="457"/>
        <v>-</v>
      </c>
      <c r="BU566" s="826"/>
      <c r="BV566" s="827"/>
      <c r="BW566" s="828" t="str">
        <f t="shared" si="458"/>
        <v>Ж-Е НЕ ВАКЦ.</v>
      </c>
      <c r="BX566" s="829" t="str">
        <f t="shared" si="459"/>
        <v>-</v>
      </c>
      <c r="BY566" s="830" t="str">
        <f t="shared" ca="1" si="460"/>
        <v>-</v>
      </c>
      <c r="BZ566" s="831">
        <v>42894</v>
      </c>
      <c r="CA566" s="832">
        <v>5</v>
      </c>
      <c r="CB566" s="833">
        <f t="shared" ca="1" si="461"/>
        <v>240</v>
      </c>
      <c r="CC566" s="834" t="str">
        <f t="shared" ca="1" si="462"/>
        <v>-</v>
      </c>
      <c r="CD566" s="835">
        <f t="shared" si="463"/>
        <v>42915</v>
      </c>
      <c r="CE566" s="831">
        <v>42915</v>
      </c>
      <c r="CF566" s="832">
        <v>5</v>
      </c>
      <c r="CG566" s="833">
        <f t="shared" ca="1" si="464"/>
        <v>219</v>
      </c>
      <c r="CH566" s="836">
        <f t="shared" si="465"/>
        <v>0</v>
      </c>
      <c r="CI566" s="837" t="str">
        <f t="shared" si="466"/>
        <v>УСПЕШНО</v>
      </c>
      <c r="CJ566" s="838" t="str">
        <f t="shared" ca="1" si="467"/>
        <v>-</v>
      </c>
      <c r="CK566" s="831"/>
      <c r="CL566" s="832"/>
      <c r="CM566" s="833" t="str">
        <f t="shared" si="468"/>
        <v>-</v>
      </c>
      <c r="CN566" s="834" t="str">
        <f t="shared" si="469"/>
        <v>-</v>
      </c>
      <c r="CO566" s="830" t="str">
        <f t="shared" ca="1" si="470"/>
        <v>-</v>
      </c>
      <c r="CP566" s="831">
        <v>43052</v>
      </c>
      <c r="CQ566" s="832">
        <v>2</v>
      </c>
      <c r="CR566" s="833">
        <f t="shared" si="471"/>
        <v>235</v>
      </c>
      <c r="CS566" s="833">
        <f t="shared" ca="1" si="472"/>
        <v>82</v>
      </c>
      <c r="CT566" s="834" t="str">
        <f t="shared" ca="1" si="473"/>
        <v>ТРЕБУЕТСЯ БУСТЕРНАЯ ДОЗА</v>
      </c>
      <c r="CU566" s="835">
        <f t="shared" si="474"/>
        <v>43073</v>
      </c>
      <c r="CV566" s="839"/>
      <c r="CW566" s="832"/>
      <c r="CX566" s="833" t="str">
        <f t="shared" si="475"/>
        <v>-</v>
      </c>
      <c r="CY566" s="840" t="str">
        <f t="shared" si="476"/>
        <v>-</v>
      </c>
      <c r="CZ566" s="833" t="str">
        <f t="shared" si="477"/>
        <v>-</v>
      </c>
      <c r="DA566" s="838" t="str">
        <f t="shared" ca="1" si="478"/>
        <v>-</v>
      </c>
      <c r="DB566" s="841"/>
      <c r="DC566" s="832"/>
    </row>
    <row r="567" spans="1:107" s="842" customFormat="1" ht="15.95" customHeight="1" x14ac:dyDescent="0.25">
      <c r="A567" s="790">
        <v>569</v>
      </c>
      <c r="B567" s="791">
        <f t="shared" ca="1" si="427"/>
        <v>43134</v>
      </c>
      <c r="C567" s="847" t="s">
        <v>2554</v>
      </c>
      <c r="D567" s="793" t="s">
        <v>2586</v>
      </c>
      <c r="E567" s="794" t="s">
        <v>1563</v>
      </c>
      <c r="F567" s="795" t="s">
        <v>1791</v>
      </c>
      <c r="G567" s="796">
        <f>SUMIFS(МОЛОКО!L8:L6958,МОЛОКО!F8:F6958,"2845",МОЛОКО!L8:L6958,"&gt;0")</f>
        <v>0</v>
      </c>
      <c r="H567" s="797" t="s">
        <v>603</v>
      </c>
      <c r="I567" s="798">
        <v>42417</v>
      </c>
      <c r="J567" s="799">
        <f t="shared" ca="1" si="428"/>
        <v>1.9643835616438357</v>
      </c>
      <c r="K567" s="799">
        <f t="shared" ca="1" si="429"/>
        <v>23.9</v>
      </c>
      <c r="L567" s="800">
        <f t="shared" ca="1" si="430"/>
        <v>717</v>
      </c>
      <c r="M567" s="801"/>
      <c r="N567" s="802"/>
      <c r="O567" s="803" t="str">
        <f t="shared" ca="1" si="431"/>
        <v>-</v>
      </c>
      <c r="P567" s="804"/>
      <c r="Q567" s="805" t="s">
        <v>1451</v>
      </c>
      <c r="R567" s="806" t="s">
        <v>2664</v>
      </c>
      <c r="S567" s="807">
        <v>42825</v>
      </c>
      <c r="T567" s="798">
        <v>42848</v>
      </c>
      <c r="U567" s="798" t="str">
        <f t="shared" si="432"/>
        <v>-</v>
      </c>
      <c r="V567" s="804" t="str">
        <f t="shared" ca="1" si="433"/>
        <v>-</v>
      </c>
      <c r="W567" s="808">
        <v>2</v>
      </c>
      <c r="X567" s="794" t="str">
        <f t="shared" si="479"/>
        <v>-</v>
      </c>
      <c r="Y567" s="794">
        <v>1</v>
      </c>
      <c r="Z567" s="809" t="str">
        <f t="shared" ca="1" si="434"/>
        <v>ПОДЛЕЖИТ ПЕРЕПРОВЕРКЕ</v>
      </c>
      <c r="AA567" s="810">
        <f t="shared" ca="1" si="435"/>
        <v>286</v>
      </c>
      <c r="AB567" s="804"/>
      <c r="AC567" s="811">
        <f t="shared" ca="1" si="436"/>
        <v>42920</v>
      </c>
      <c r="AD567" s="798"/>
      <c r="AE567" s="794" t="str">
        <f t="shared" ca="1" si="437"/>
        <v>-</v>
      </c>
      <c r="AF567" s="798" t="str">
        <f t="shared" si="438"/>
        <v>-</v>
      </c>
      <c r="AG567" s="812" t="str">
        <f t="shared" si="439"/>
        <v>---------</v>
      </c>
      <c r="AH567" s="807">
        <v>42904</v>
      </c>
      <c r="AI567" s="807" t="str">
        <f t="shared" si="440"/>
        <v>-</v>
      </c>
      <c r="AJ567" s="807" t="str">
        <f t="shared" si="441"/>
        <v>-</v>
      </c>
      <c r="AK567" s="813"/>
      <c r="AL567" s="807">
        <f t="shared" si="442"/>
        <v>43107</v>
      </c>
      <c r="AM567" s="807">
        <f t="shared" si="443"/>
        <v>43128</v>
      </c>
      <c r="AN567" s="814">
        <f t="shared" ca="1" si="444"/>
        <v>6</v>
      </c>
      <c r="AO567" s="815">
        <v>1</v>
      </c>
      <c r="AP567" s="816" t="str">
        <f t="shared" ca="1" si="445"/>
        <v>-</v>
      </c>
      <c r="AQ567" s="817"/>
      <c r="AR567" s="794" t="str">
        <f t="shared" si="446"/>
        <v>НЕТЕЛЬ</v>
      </c>
      <c r="AS567" s="818"/>
      <c r="AT567" s="794" t="str">
        <f t="shared" si="447"/>
        <v>-</v>
      </c>
      <c r="AU567" s="819"/>
      <c r="AV567" s="820"/>
      <c r="AW567" s="821"/>
      <c r="AX567" s="821"/>
      <c r="AY567" s="969" t="str">
        <f t="shared" si="448"/>
        <v>-</v>
      </c>
      <c r="AZ567" s="966" t="str">
        <f t="shared" si="449"/>
        <v>-</v>
      </c>
      <c r="BA567" s="971" t="str">
        <f t="shared" si="450"/>
        <v>-</v>
      </c>
      <c r="BB567" s="975"/>
      <c r="BC567" s="821"/>
      <c r="BD567" s="821"/>
      <c r="BE567" s="963" t="str">
        <f t="shared" si="451"/>
        <v>-</v>
      </c>
      <c r="BF567" s="984"/>
      <c r="BG567" s="988"/>
      <c r="BH567" s="982"/>
      <c r="BI567" s="991"/>
      <c r="BJ567" s="991"/>
      <c r="BK567" s="993" t="str">
        <f t="shared" si="452"/>
        <v>-</v>
      </c>
      <c r="BL567" s="820">
        <v>42978</v>
      </c>
      <c r="BM567" s="821">
        <v>5</v>
      </c>
      <c r="BN567" s="822">
        <f t="shared" ca="1" si="453"/>
        <v>156</v>
      </c>
      <c r="BO567" s="823">
        <f t="shared" si="454"/>
        <v>18.7</v>
      </c>
      <c r="BP567" s="824"/>
      <c r="BQ567" s="821"/>
      <c r="BR567" s="822" t="str">
        <f t="shared" si="455"/>
        <v>-</v>
      </c>
      <c r="BS567" s="823" t="str">
        <f t="shared" si="456"/>
        <v>-</v>
      </c>
      <c r="BT567" s="825" t="str">
        <f t="shared" ca="1" si="457"/>
        <v>-</v>
      </c>
      <c r="BU567" s="826"/>
      <c r="BV567" s="827"/>
      <c r="BW567" s="828" t="str">
        <f t="shared" si="458"/>
        <v>Ж-Е НЕ ВАКЦ.</v>
      </c>
      <c r="BX567" s="829" t="str">
        <f t="shared" si="459"/>
        <v>-</v>
      </c>
      <c r="BY567" s="830" t="str">
        <f t="shared" ca="1" si="460"/>
        <v>-</v>
      </c>
      <c r="BZ567" s="831">
        <v>42891</v>
      </c>
      <c r="CA567" s="832">
        <v>5</v>
      </c>
      <c r="CB567" s="833">
        <f t="shared" ca="1" si="461"/>
        <v>243</v>
      </c>
      <c r="CC567" s="834" t="str">
        <f t="shared" ca="1" si="462"/>
        <v>-</v>
      </c>
      <c r="CD567" s="835">
        <f t="shared" si="463"/>
        <v>42912</v>
      </c>
      <c r="CE567" s="831">
        <v>42912</v>
      </c>
      <c r="CF567" s="832">
        <v>5</v>
      </c>
      <c r="CG567" s="833">
        <f t="shared" ca="1" si="464"/>
        <v>222</v>
      </c>
      <c r="CH567" s="836">
        <f t="shared" si="465"/>
        <v>0</v>
      </c>
      <c r="CI567" s="837" t="str">
        <f t="shared" si="466"/>
        <v>УСПЕШНО</v>
      </c>
      <c r="CJ567" s="838" t="str">
        <f t="shared" ca="1" si="467"/>
        <v>-</v>
      </c>
      <c r="CK567" s="831"/>
      <c r="CL567" s="832"/>
      <c r="CM567" s="833" t="str">
        <f t="shared" si="468"/>
        <v>-</v>
      </c>
      <c r="CN567" s="834" t="str">
        <f t="shared" si="469"/>
        <v>-</v>
      </c>
      <c r="CO567" s="830" t="str">
        <f t="shared" ca="1" si="470"/>
        <v>ТРЕБУЕТСЯ ВАКЦИНАЦИЯ</v>
      </c>
      <c r="CP567" s="839"/>
      <c r="CQ567" s="832"/>
      <c r="CR567" s="833" t="str">
        <f t="shared" si="471"/>
        <v>-</v>
      </c>
      <c r="CS567" s="833" t="str">
        <f t="shared" si="472"/>
        <v>-</v>
      </c>
      <c r="CT567" s="834" t="str">
        <f t="shared" si="473"/>
        <v>-</v>
      </c>
      <c r="CU567" s="835" t="str">
        <f t="shared" si="474"/>
        <v>-</v>
      </c>
      <c r="CV567" s="839"/>
      <c r="CW567" s="832"/>
      <c r="CX567" s="833" t="str">
        <f t="shared" si="475"/>
        <v>-</v>
      </c>
      <c r="CY567" s="840" t="str">
        <f t="shared" si="476"/>
        <v>-</v>
      </c>
      <c r="CZ567" s="833" t="str">
        <f t="shared" si="477"/>
        <v>-</v>
      </c>
      <c r="DA567" s="838" t="str">
        <f t="shared" ca="1" si="478"/>
        <v>-</v>
      </c>
      <c r="DB567" s="841"/>
      <c r="DC567" s="832"/>
    </row>
    <row r="568" spans="1:107" s="842" customFormat="1" ht="15.95" customHeight="1" x14ac:dyDescent="0.25">
      <c r="A568" s="790">
        <v>570</v>
      </c>
      <c r="B568" s="791">
        <f t="shared" ca="1" si="427"/>
        <v>43134</v>
      </c>
      <c r="C568" s="847" t="s">
        <v>2554</v>
      </c>
      <c r="D568" s="793" t="s">
        <v>2586</v>
      </c>
      <c r="E568" s="794" t="s">
        <v>1563</v>
      </c>
      <c r="F568" s="795" t="s">
        <v>1801</v>
      </c>
      <c r="G568" s="796">
        <f>SUMIFS(МОЛОКО!L8:L6958,МОЛОКО!F8:F6958,"2849",МОЛОКО!L8:L6958,"&gt;0")</f>
        <v>0</v>
      </c>
      <c r="H568" s="797" t="s">
        <v>603</v>
      </c>
      <c r="I568" s="798">
        <v>42421</v>
      </c>
      <c r="J568" s="799">
        <f t="shared" ca="1" si="428"/>
        <v>1.9534246575342467</v>
      </c>
      <c r="K568" s="799">
        <f t="shared" ca="1" si="429"/>
        <v>23.766666666666666</v>
      </c>
      <c r="L568" s="800">
        <f t="shared" ca="1" si="430"/>
        <v>713</v>
      </c>
      <c r="M568" s="801"/>
      <c r="N568" s="802"/>
      <c r="O568" s="803" t="str">
        <f t="shared" ca="1" si="431"/>
        <v>-</v>
      </c>
      <c r="P568" s="804"/>
      <c r="Q568" s="805" t="s">
        <v>2366</v>
      </c>
      <c r="R568" s="806" t="s">
        <v>2664</v>
      </c>
      <c r="S568" s="807">
        <v>42862</v>
      </c>
      <c r="T568" s="798">
        <v>42862</v>
      </c>
      <c r="U568" s="798" t="str">
        <f t="shared" si="432"/>
        <v>-</v>
      </c>
      <c r="V568" s="804" t="str">
        <f t="shared" ca="1" si="433"/>
        <v>-</v>
      </c>
      <c r="W568" s="808">
        <v>1</v>
      </c>
      <c r="X568" s="794" t="str">
        <f t="shared" si="479"/>
        <v>-</v>
      </c>
      <c r="Y568" s="794">
        <v>1</v>
      </c>
      <c r="Z568" s="809" t="str">
        <f t="shared" ca="1" si="434"/>
        <v>ПОДЛЕЖИТ ПЕРЕПРОВЕРКЕ</v>
      </c>
      <c r="AA568" s="810">
        <f t="shared" ca="1" si="435"/>
        <v>272</v>
      </c>
      <c r="AB568" s="804"/>
      <c r="AC568" s="811">
        <f t="shared" ca="1" si="436"/>
        <v>42934</v>
      </c>
      <c r="AD568" s="798"/>
      <c r="AE568" s="794" t="str">
        <f t="shared" ca="1" si="437"/>
        <v>-</v>
      </c>
      <c r="AF568" s="798" t="str">
        <f t="shared" si="438"/>
        <v>-</v>
      </c>
      <c r="AG568" s="812" t="str">
        <f t="shared" si="439"/>
        <v>---------</v>
      </c>
      <c r="AH568" s="807">
        <v>42931</v>
      </c>
      <c r="AI568" s="807" t="str">
        <f t="shared" si="440"/>
        <v>-</v>
      </c>
      <c r="AJ568" s="807" t="str">
        <f t="shared" si="441"/>
        <v>-</v>
      </c>
      <c r="AK568" s="813"/>
      <c r="AL568" s="807">
        <f t="shared" si="442"/>
        <v>43121</v>
      </c>
      <c r="AM568" s="807">
        <f t="shared" si="443"/>
        <v>43142</v>
      </c>
      <c r="AN568" s="814">
        <f t="shared" ca="1" si="444"/>
        <v>-8</v>
      </c>
      <c r="AO568" s="815">
        <v>1</v>
      </c>
      <c r="AP568" s="816" t="str">
        <f t="shared" ca="1" si="445"/>
        <v>-</v>
      </c>
      <c r="AQ568" s="817"/>
      <c r="AR568" s="794" t="str">
        <f t="shared" si="446"/>
        <v>НЕТЕЛЬ</v>
      </c>
      <c r="AS568" s="818"/>
      <c r="AT568" s="794" t="str">
        <f t="shared" si="447"/>
        <v>-</v>
      </c>
      <c r="AU568" s="819"/>
      <c r="AV568" s="865"/>
      <c r="AW568" s="821"/>
      <c r="AX568" s="821"/>
      <c r="AY568" s="969" t="str">
        <f t="shared" si="448"/>
        <v>-</v>
      </c>
      <c r="AZ568" s="966" t="str">
        <f t="shared" si="449"/>
        <v>-</v>
      </c>
      <c r="BA568" s="971" t="str">
        <f t="shared" si="450"/>
        <v>-</v>
      </c>
      <c r="BB568" s="975"/>
      <c r="BC568" s="821"/>
      <c r="BD568" s="821"/>
      <c r="BE568" s="963" t="str">
        <f t="shared" si="451"/>
        <v>-</v>
      </c>
      <c r="BF568" s="984"/>
      <c r="BG568" s="988"/>
      <c r="BH568" s="982"/>
      <c r="BI568" s="991"/>
      <c r="BJ568" s="991"/>
      <c r="BK568" s="993" t="str">
        <f t="shared" si="452"/>
        <v>-</v>
      </c>
      <c r="BL568" s="865"/>
      <c r="BM568" s="821"/>
      <c r="BN568" s="822" t="str">
        <f t="shared" si="453"/>
        <v>-</v>
      </c>
      <c r="BO568" s="823" t="str">
        <f t="shared" si="454"/>
        <v>-</v>
      </c>
      <c r="BP568" s="868"/>
      <c r="BQ568" s="821"/>
      <c r="BR568" s="822" t="str">
        <f t="shared" si="455"/>
        <v>-</v>
      </c>
      <c r="BS568" s="823" t="str">
        <f t="shared" si="456"/>
        <v>-</v>
      </c>
      <c r="BT568" s="825" t="str">
        <f t="shared" ca="1" si="457"/>
        <v>-</v>
      </c>
      <c r="BU568" s="826"/>
      <c r="BV568" s="827"/>
      <c r="BW568" s="828" t="str">
        <f t="shared" si="458"/>
        <v>Ж-Е НЕ ВАКЦ.</v>
      </c>
      <c r="BX568" s="829" t="str">
        <f t="shared" si="459"/>
        <v>-</v>
      </c>
      <c r="BY568" s="830" t="str">
        <f t="shared" ca="1" si="460"/>
        <v>-</v>
      </c>
      <c r="BZ568" s="831">
        <v>42891</v>
      </c>
      <c r="CA568" s="832">
        <v>5</v>
      </c>
      <c r="CB568" s="833">
        <f t="shared" ca="1" si="461"/>
        <v>243</v>
      </c>
      <c r="CC568" s="834" t="str">
        <f t="shared" ca="1" si="462"/>
        <v>-</v>
      </c>
      <c r="CD568" s="835">
        <f t="shared" si="463"/>
        <v>42912</v>
      </c>
      <c r="CE568" s="831">
        <v>42912</v>
      </c>
      <c r="CF568" s="832">
        <v>5</v>
      </c>
      <c r="CG568" s="833">
        <f t="shared" ca="1" si="464"/>
        <v>222</v>
      </c>
      <c r="CH568" s="836">
        <f t="shared" si="465"/>
        <v>0</v>
      </c>
      <c r="CI568" s="837" t="str">
        <f t="shared" si="466"/>
        <v>УСПЕШНО</v>
      </c>
      <c r="CJ568" s="838" t="str">
        <f t="shared" ca="1" si="467"/>
        <v>-</v>
      </c>
      <c r="CK568" s="831"/>
      <c r="CL568" s="832"/>
      <c r="CM568" s="833" t="str">
        <f t="shared" si="468"/>
        <v>-</v>
      </c>
      <c r="CN568" s="834" t="str">
        <f t="shared" si="469"/>
        <v>-</v>
      </c>
      <c r="CO568" s="830" t="str">
        <f t="shared" ca="1" si="470"/>
        <v>ТРЕБУЕТСЯ ВАКЦИНАЦИЯ</v>
      </c>
      <c r="CP568" s="839"/>
      <c r="CQ568" s="832"/>
      <c r="CR568" s="833" t="str">
        <f t="shared" si="471"/>
        <v>-</v>
      </c>
      <c r="CS568" s="833" t="str">
        <f t="shared" si="472"/>
        <v>-</v>
      </c>
      <c r="CT568" s="834" t="str">
        <f t="shared" si="473"/>
        <v>-</v>
      </c>
      <c r="CU568" s="835" t="str">
        <f t="shared" si="474"/>
        <v>-</v>
      </c>
      <c r="CV568" s="839"/>
      <c r="CW568" s="832"/>
      <c r="CX568" s="833" t="str">
        <f t="shared" si="475"/>
        <v>-</v>
      </c>
      <c r="CY568" s="840" t="str">
        <f t="shared" si="476"/>
        <v>-</v>
      </c>
      <c r="CZ568" s="833" t="str">
        <f t="shared" si="477"/>
        <v>-</v>
      </c>
      <c r="DA568" s="838" t="str">
        <f t="shared" ca="1" si="478"/>
        <v>-</v>
      </c>
      <c r="DB568" s="841"/>
      <c r="DC568" s="832"/>
    </row>
    <row r="569" spans="1:107" s="842" customFormat="1" ht="15.95" customHeight="1" x14ac:dyDescent="0.25">
      <c r="A569" s="790">
        <v>571</v>
      </c>
      <c r="B569" s="791">
        <f t="shared" ca="1" si="427"/>
        <v>43134</v>
      </c>
      <c r="C569" s="271" t="s">
        <v>2554</v>
      </c>
      <c r="D569" s="866" t="s">
        <v>2586</v>
      </c>
      <c r="E569" s="867" t="s">
        <v>1563</v>
      </c>
      <c r="F569" s="795" t="s">
        <v>1774</v>
      </c>
      <c r="G569" s="796">
        <f>SUMIFS(МОЛОКО!L8:L6958,МОЛОКО!F8:F6958,"2853",МОЛОКО!L8:L6958,"&gt;0")</f>
        <v>0</v>
      </c>
      <c r="H569" s="797" t="s">
        <v>603</v>
      </c>
      <c r="I569" s="798">
        <v>42423</v>
      </c>
      <c r="J569" s="799">
        <f t="shared" ca="1" si="428"/>
        <v>1.9479452054794522</v>
      </c>
      <c r="K569" s="799">
        <f t="shared" ca="1" si="429"/>
        <v>23.7</v>
      </c>
      <c r="L569" s="800">
        <f t="shared" ca="1" si="430"/>
        <v>711</v>
      </c>
      <c r="M569" s="801"/>
      <c r="N569" s="802"/>
      <c r="O569" s="803" t="str">
        <f t="shared" ca="1" si="431"/>
        <v>-</v>
      </c>
      <c r="P569" s="804"/>
      <c r="Q569" s="805" t="s">
        <v>1451</v>
      </c>
      <c r="R569" s="806" t="s">
        <v>2435</v>
      </c>
      <c r="S569" s="807">
        <v>42806</v>
      </c>
      <c r="T569" s="798">
        <v>42963</v>
      </c>
      <c r="U569" s="798" t="str">
        <f t="shared" si="432"/>
        <v>-</v>
      </c>
      <c r="V569" s="804" t="str">
        <f t="shared" ca="1" si="433"/>
        <v>-</v>
      </c>
      <c r="W569" s="808">
        <v>2</v>
      </c>
      <c r="X569" s="794" t="str">
        <f t="shared" si="479"/>
        <v>-</v>
      </c>
      <c r="Y569" s="794">
        <v>1</v>
      </c>
      <c r="Z569" s="809" t="str">
        <f t="shared" ca="1" si="434"/>
        <v>ПОДЛЕЖИТ ПЕРЕПРОВЕРКЕ</v>
      </c>
      <c r="AA569" s="810">
        <f t="shared" ca="1" si="435"/>
        <v>171</v>
      </c>
      <c r="AB569" s="804"/>
      <c r="AC569" s="811">
        <f t="shared" ca="1" si="436"/>
        <v>43035</v>
      </c>
      <c r="AD569" s="798"/>
      <c r="AE569" s="794" t="str">
        <f t="shared" ca="1" si="437"/>
        <v>-</v>
      </c>
      <c r="AF569" s="798" t="str">
        <f t="shared" si="438"/>
        <v>-</v>
      </c>
      <c r="AG569" s="812" t="str">
        <f t="shared" si="439"/>
        <v>---------</v>
      </c>
      <c r="AH569" s="807">
        <v>43032</v>
      </c>
      <c r="AI569" s="807" t="str">
        <f t="shared" si="440"/>
        <v>-</v>
      </c>
      <c r="AJ569" s="807" t="str">
        <f t="shared" si="441"/>
        <v>-</v>
      </c>
      <c r="AK569" s="813"/>
      <c r="AL569" s="807">
        <f t="shared" si="442"/>
        <v>43222</v>
      </c>
      <c r="AM569" s="807">
        <f t="shared" si="443"/>
        <v>43243</v>
      </c>
      <c r="AN569" s="814">
        <f t="shared" ca="1" si="444"/>
        <v>-109</v>
      </c>
      <c r="AO569" s="815">
        <v>1</v>
      </c>
      <c r="AP569" s="816" t="str">
        <f t="shared" ca="1" si="445"/>
        <v>-</v>
      </c>
      <c r="AQ569" s="817"/>
      <c r="AR569" s="794" t="str">
        <f t="shared" si="446"/>
        <v>НЕТЕЛЬ</v>
      </c>
      <c r="AS569" s="818"/>
      <c r="AT569" s="794" t="str">
        <f t="shared" si="447"/>
        <v>-</v>
      </c>
      <c r="AU569" s="819"/>
      <c r="AV569" s="820"/>
      <c r="AW569" s="821"/>
      <c r="AX569" s="821"/>
      <c r="AY569" s="969" t="str">
        <f t="shared" si="448"/>
        <v>-</v>
      </c>
      <c r="AZ569" s="966" t="str">
        <f t="shared" si="449"/>
        <v>-</v>
      </c>
      <c r="BA569" s="971" t="str">
        <f t="shared" si="450"/>
        <v>-</v>
      </c>
      <c r="BB569" s="975"/>
      <c r="BC569" s="821"/>
      <c r="BD569" s="821"/>
      <c r="BE569" s="963" t="str">
        <f t="shared" si="451"/>
        <v>-</v>
      </c>
      <c r="BF569" s="984"/>
      <c r="BG569" s="988"/>
      <c r="BH569" s="982"/>
      <c r="BI569" s="991"/>
      <c r="BJ569" s="991"/>
      <c r="BK569" s="993" t="str">
        <f t="shared" si="452"/>
        <v>-</v>
      </c>
      <c r="BL569" s="820">
        <v>42978</v>
      </c>
      <c r="BM569" s="821">
        <v>5</v>
      </c>
      <c r="BN569" s="822">
        <f t="shared" ca="1" si="453"/>
        <v>156</v>
      </c>
      <c r="BO569" s="823">
        <f t="shared" si="454"/>
        <v>18.5</v>
      </c>
      <c r="BP569" s="824"/>
      <c r="BQ569" s="821"/>
      <c r="BR569" s="822" t="str">
        <f t="shared" si="455"/>
        <v>-</v>
      </c>
      <c r="BS569" s="823" t="str">
        <f t="shared" si="456"/>
        <v>-</v>
      </c>
      <c r="BT569" s="825" t="str">
        <f t="shared" ca="1" si="457"/>
        <v>-</v>
      </c>
      <c r="BU569" s="826"/>
      <c r="BV569" s="827"/>
      <c r="BW569" s="828" t="str">
        <f t="shared" si="458"/>
        <v>Ж-Е НЕ ВАКЦ.</v>
      </c>
      <c r="BX569" s="829" t="str">
        <f t="shared" si="459"/>
        <v>-</v>
      </c>
      <c r="BY569" s="830" t="str">
        <f t="shared" ca="1" si="460"/>
        <v>-</v>
      </c>
      <c r="BZ569" s="831">
        <v>42894</v>
      </c>
      <c r="CA569" s="832">
        <v>5</v>
      </c>
      <c r="CB569" s="833">
        <f t="shared" ca="1" si="461"/>
        <v>240</v>
      </c>
      <c r="CC569" s="834" t="str">
        <f t="shared" ca="1" si="462"/>
        <v>-</v>
      </c>
      <c r="CD569" s="835">
        <f t="shared" si="463"/>
        <v>42915</v>
      </c>
      <c r="CE569" s="831">
        <v>42915</v>
      </c>
      <c r="CF569" s="832">
        <v>5</v>
      </c>
      <c r="CG569" s="833">
        <f t="shared" ca="1" si="464"/>
        <v>219</v>
      </c>
      <c r="CH569" s="836">
        <f t="shared" si="465"/>
        <v>0</v>
      </c>
      <c r="CI569" s="837" t="str">
        <f t="shared" si="466"/>
        <v>УСПЕШНО</v>
      </c>
      <c r="CJ569" s="838" t="str">
        <f t="shared" ca="1" si="467"/>
        <v>-</v>
      </c>
      <c r="CK569" s="831"/>
      <c r="CL569" s="832"/>
      <c r="CM569" s="833" t="str">
        <f t="shared" si="468"/>
        <v>-</v>
      </c>
      <c r="CN569" s="834" t="str">
        <f t="shared" si="469"/>
        <v>-</v>
      </c>
      <c r="CO569" s="830" t="str">
        <f t="shared" ca="1" si="470"/>
        <v>-</v>
      </c>
      <c r="CP569" s="839"/>
      <c r="CQ569" s="832"/>
      <c r="CR569" s="833" t="str">
        <f t="shared" si="471"/>
        <v>-</v>
      </c>
      <c r="CS569" s="833" t="str">
        <f t="shared" si="472"/>
        <v>-</v>
      </c>
      <c r="CT569" s="834" t="str">
        <f t="shared" si="473"/>
        <v>-</v>
      </c>
      <c r="CU569" s="835" t="str">
        <f t="shared" si="474"/>
        <v>-</v>
      </c>
      <c r="CV569" s="839"/>
      <c r="CW569" s="832"/>
      <c r="CX569" s="833" t="str">
        <f t="shared" si="475"/>
        <v>-</v>
      </c>
      <c r="CY569" s="840" t="str">
        <f t="shared" si="476"/>
        <v>-</v>
      </c>
      <c r="CZ569" s="833" t="str">
        <f t="shared" si="477"/>
        <v>-</v>
      </c>
      <c r="DA569" s="838" t="str">
        <f t="shared" ca="1" si="478"/>
        <v>-</v>
      </c>
      <c r="DB569" s="841"/>
      <c r="DC569" s="832"/>
    </row>
    <row r="570" spans="1:107" s="842" customFormat="1" ht="15.95" customHeight="1" x14ac:dyDescent="0.25">
      <c r="A570" s="790">
        <v>572</v>
      </c>
      <c r="B570" s="791">
        <f t="shared" ca="1" si="427"/>
        <v>43134</v>
      </c>
      <c r="C570" s="847" t="s">
        <v>2554</v>
      </c>
      <c r="D570" s="793" t="s">
        <v>2586</v>
      </c>
      <c r="E570" s="794" t="s">
        <v>1563</v>
      </c>
      <c r="F570" s="795" t="s">
        <v>1804</v>
      </c>
      <c r="G570" s="796">
        <f>SUMIFS(МОЛОКО!L8:L6958,МОЛОКО!F8:F6958,"2854",МОЛОКО!L8:L6958,"&gt;0")</f>
        <v>0</v>
      </c>
      <c r="H570" s="797" t="s">
        <v>603</v>
      </c>
      <c r="I570" s="798">
        <v>42423</v>
      </c>
      <c r="J570" s="799">
        <f t="shared" ca="1" si="428"/>
        <v>1.9479452054794522</v>
      </c>
      <c r="K570" s="799">
        <f t="shared" ca="1" si="429"/>
        <v>23.7</v>
      </c>
      <c r="L570" s="800">
        <f t="shared" ca="1" si="430"/>
        <v>711</v>
      </c>
      <c r="M570" s="801"/>
      <c r="N570" s="802"/>
      <c r="O570" s="803" t="str">
        <f t="shared" ca="1" si="431"/>
        <v>-</v>
      </c>
      <c r="P570" s="804"/>
      <c r="Q570" s="805" t="s">
        <v>2366</v>
      </c>
      <c r="R570" s="806" t="s">
        <v>1876</v>
      </c>
      <c r="S570" s="807">
        <v>42806</v>
      </c>
      <c r="T570" s="798">
        <v>42806</v>
      </c>
      <c r="U570" s="798" t="str">
        <f t="shared" si="432"/>
        <v>-</v>
      </c>
      <c r="V570" s="804" t="str">
        <f t="shared" ca="1" si="433"/>
        <v>-</v>
      </c>
      <c r="W570" s="808">
        <v>1</v>
      </c>
      <c r="X570" s="794" t="str">
        <f t="shared" si="479"/>
        <v>-</v>
      </c>
      <c r="Y570" s="794">
        <v>1</v>
      </c>
      <c r="Z570" s="809" t="str">
        <f t="shared" ca="1" si="434"/>
        <v>ПОДЛЕЖИТ ПЕРЕПРОВЕРКЕ</v>
      </c>
      <c r="AA570" s="810">
        <f t="shared" ca="1" si="435"/>
        <v>328</v>
      </c>
      <c r="AB570" s="804"/>
      <c r="AC570" s="811">
        <f t="shared" ca="1" si="436"/>
        <v>42878</v>
      </c>
      <c r="AD570" s="798"/>
      <c r="AE570" s="794" t="str">
        <f t="shared" ca="1" si="437"/>
        <v>-</v>
      </c>
      <c r="AF570" s="798" t="str">
        <f t="shared" si="438"/>
        <v>-</v>
      </c>
      <c r="AG570" s="812" t="str">
        <f t="shared" si="439"/>
        <v>---------</v>
      </c>
      <c r="AH570" s="807">
        <v>42881</v>
      </c>
      <c r="AI570" s="807" t="str">
        <f t="shared" si="440"/>
        <v>-</v>
      </c>
      <c r="AJ570" s="807" t="str">
        <f t="shared" si="441"/>
        <v>-</v>
      </c>
      <c r="AK570" s="813"/>
      <c r="AL570" s="807">
        <f t="shared" si="442"/>
        <v>43065</v>
      </c>
      <c r="AM570" s="807">
        <f t="shared" si="443"/>
        <v>43086</v>
      </c>
      <c r="AN570" s="814">
        <f t="shared" ca="1" si="444"/>
        <v>48</v>
      </c>
      <c r="AO570" s="815">
        <v>1</v>
      </c>
      <c r="AP570" s="816" t="str">
        <f t="shared" ca="1" si="445"/>
        <v>-</v>
      </c>
      <c r="AQ570" s="817"/>
      <c r="AR570" s="794" t="str">
        <f t="shared" si="446"/>
        <v>НЕТЕЛЬ</v>
      </c>
      <c r="AS570" s="818"/>
      <c r="AT570" s="794" t="str">
        <f t="shared" si="447"/>
        <v>-</v>
      </c>
      <c r="AU570" s="819"/>
      <c r="AV570" s="820"/>
      <c r="AW570" s="821"/>
      <c r="AX570" s="821"/>
      <c r="AY570" s="969" t="str">
        <f t="shared" si="448"/>
        <v>-</v>
      </c>
      <c r="AZ570" s="966" t="str">
        <f t="shared" si="449"/>
        <v>-</v>
      </c>
      <c r="BA570" s="971" t="str">
        <f t="shared" si="450"/>
        <v>-</v>
      </c>
      <c r="BB570" s="975"/>
      <c r="BC570" s="821"/>
      <c r="BD570" s="821"/>
      <c r="BE570" s="963" t="str">
        <f t="shared" si="451"/>
        <v>-</v>
      </c>
      <c r="BF570" s="984"/>
      <c r="BG570" s="988"/>
      <c r="BH570" s="982"/>
      <c r="BI570" s="991"/>
      <c r="BJ570" s="991"/>
      <c r="BK570" s="993" t="str">
        <f t="shared" si="452"/>
        <v>-</v>
      </c>
      <c r="BL570" s="820">
        <v>42978</v>
      </c>
      <c r="BM570" s="821">
        <v>5</v>
      </c>
      <c r="BN570" s="822">
        <f t="shared" ca="1" si="453"/>
        <v>156</v>
      </c>
      <c r="BO570" s="823">
        <f t="shared" si="454"/>
        <v>18.5</v>
      </c>
      <c r="BP570" s="824"/>
      <c r="BQ570" s="821"/>
      <c r="BR570" s="822" t="str">
        <f t="shared" si="455"/>
        <v>-</v>
      </c>
      <c r="BS570" s="823" t="str">
        <f t="shared" si="456"/>
        <v>-</v>
      </c>
      <c r="BT570" s="825" t="str">
        <f t="shared" ca="1" si="457"/>
        <v>-</v>
      </c>
      <c r="BU570" s="826"/>
      <c r="BV570" s="827"/>
      <c r="BW570" s="828" t="str">
        <f t="shared" si="458"/>
        <v>Ж-Е НЕ ВАКЦ.</v>
      </c>
      <c r="BX570" s="829" t="str">
        <f t="shared" si="459"/>
        <v>-</v>
      </c>
      <c r="BY570" s="830" t="str">
        <f t="shared" ca="1" si="460"/>
        <v>-</v>
      </c>
      <c r="BZ570" s="831">
        <v>42894</v>
      </c>
      <c r="CA570" s="832">
        <v>5</v>
      </c>
      <c r="CB570" s="833">
        <f t="shared" ca="1" si="461"/>
        <v>240</v>
      </c>
      <c r="CC570" s="834" t="str">
        <f t="shared" ca="1" si="462"/>
        <v>-</v>
      </c>
      <c r="CD570" s="835">
        <f t="shared" si="463"/>
        <v>42915</v>
      </c>
      <c r="CE570" s="831">
        <v>42915</v>
      </c>
      <c r="CF570" s="832">
        <v>5</v>
      </c>
      <c r="CG570" s="833">
        <f t="shared" ca="1" si="464"/>
        <v>219</v>
      </c>
      <c r="CH570" s="836">
        <f t="shared" si="465"/>
        <v>0</v>
      </c>
      <c r="CI570" s="837" t="str">
        <f t="shared" si="466"/>
        <v>УСПЕШНО</v>
      </c>
      <c r="CJ570" s="838" t="str">
        <f t="shared" ca="1" si="467"/>
        <v>-</v>
      </c>
      <c r="CK570" s="831"/>
      <c r="CL570" s="832"/>
      <c r="CM570" s="833" t="str">
        <f t="shared" si="468"/>
        <v>-</v>
      </c>
      <c r="CN570" s="834" t="str">
        <f t="shared" si="469"/>
        <v>-</v>
      </c>
      <c r="CO570" s="830" t="str">
        <f t="shared" ca="1" si="470"/>
        <v>-</v>
      </c>
      <c r="CP570" s="831">
        <v>43017</v>
      </c>
      <c r="CQ570" s="832">
        <v>2</v>
      </c>
      <c r="CR570" s="833">
        <f t="shared" si="471"/>
        <v>211</v>
      </c>
      <c r="CS570" s="833">
        <f t="shared" ca="1" si="472"/>
        <v>117</v>
      </c>
      <c r="CT570" s="834" t="str">
        <f t="shared" ca="1" si="473"/>
        <v>-</v>
      </c>
      <c r="CU570" s="835">
        <f t="shared" si="474"/>
        <v>43038</v>
      </c>
      <c r="CV570" s="831">
        <v>43038</v>
      </c>
      <c r="CW570" s="832">
        <v>2</v>
      </c>
      <c r="CX570" s="833">
        <f t="shared" si="475"/>
        <v>0</v>
      </c>
      <c r="CY570" s="840" t="str">
        <f t="shared" si="476"/>
        <v>УСПЕШНО</v>
      </c>
      <c r="CZ570" s="833">
        <f t="shared" si="477"/>
        <v>232</v>
      </c>
      <c r="DA570" s="838" t="str">
        <f t="shared" ca="1" si="478"/>
        <v>ТРЕБУЕТСЯ РЕВАКЦИНАЦИЯ</v>
      </c>
      <c r="DB570" s="841"/>
      <c r="DC570" s="832"/>
    </row>
    <row r="571" spans="1:107" s="842" customFormat="1" ht="15.95" customHeight="1" x14ac:dyDescent="0.25">
      <c r="A571" s="790">
        <v>573</v>
      </c>
      <c r="B571" s="791">
        <f t="shared" ca="1" si="427"/>
        <v>43134</v>
      </c>
      <c r="C571" s="847" t="s">
        <v>2554</v>
      </c>
      <c r="D571" s="793" t="s">
        <v>2586</v>
      </c>
      <c r="E571" s="794" t="s">
        <v>1563</v>
      </c>
      <c r="F571" s="795" t="s">
        <v>1781</v>
      </c>
      <c r="G571" s="796">
        <f>SUMIFS(МОЛОКО!L8:L6958,МОЛОКО!F8:F6958,"2856",МОЛОКО!L8:L6958,"&gt;0")</f>
        <v>0</v>
      </c>
      <c r="H571" s="797" t="s">
        <v>603</v>
      </c>
      <c r="I571" s="798">
        <v>42428</v>
      </c>
      <c r="J571" s="799">
        <f t="shared" ca="1" si="428"/>
        <v>1.9342465753424658</v>
      </c>
      <c r="K571" s="799">
        <f t="shared" ca="1" si="429"/>
        <v>23.533333333333335</v>
      </c>
      <c r="L571" s="800">
        <f t="shared" ca="1" si="430"/>
        <v>706</v>
      </c>
      <c r="M571" s="801"/>
      <c r="N571" s="802"/>
      <c r="O571" s="803" t="str">
        <f t="shared" ca="1" si="431"/>
        <v>-</v>
      </c>
      <c r="P571" s="804"/>
      <c r="Q571" s="805" t="s">
        <v>2366</v>
      </c>
      <c r="R571" s="806" t="s">
        <v>1876</v>
      </c>
      <c r="S571" s="807">
        <v>42805</v>
      </c>
      <c r="T571" s="798">
        <v>42805</v>
      </c>
      <c r="U571" s="798" t="str">
        <f t="shared" si="432"/>
        <v>-</v>
      </c>
      <c r="V571" s="804" t="str">
        <f t="shared" ca="1" si="433"/>
        <v>-</v>
      </c>
      <c r="W571" s="808">
        <v>1</v>
      </c>
      <c r="X571" s="794" t="str">
        <f t="shared" si="479"/>
        <v>-</v>
      </c>
      <c r="Y571" s="794">
        <v>1</v>
      </c>
      <c r="Z571" s="809" t="str">
        <f t="shared" ca="1" si="434"/>
        <v>ПОДЛЕЖИТ ПЕРЕПРОВЕРКЕ</v>
      </c>
      <c r="AA571" s="810">
        <f t="shared" ca="1" si="435"/>
        <v>329</v>
      </c>
      <c r="AB571" s="804"/>
      <c r="AC571" s="811">
        <f t="shared" ca="1" si="436"/>
        <v>42877</v>
      </c>
      <c r="AD571" s="798"/>
      <c r="AE571" s="794" t="str">
        <f t="shared" ca="1" si="437"/>
        <v>-</v>
      </c>
      <c r="AF571" s="798" t="str">
        <f t="shared" si="438"/>
        <v>-</v>
      </c>
      <c r="AG571" s="812" t="str">
        <f t="shared" si="439"/>
        <v>---------</v>
      </c>
      <c r="AH571" s="807">
        <v>42877</v>
      </c>
      <c r="AI571" s="807" t="str">
        <f t="shared" si="440"/>
        <v>-</v>
      </c>
      <c r="AJ571" s="807" t="str">
        <f t="shared" si="441"/>
        <v>-</v>
      </c>
      <c r="AK571" s="813"/>
      <c r="AL571" s="807">
        <f t="shared" si="442"/>
        <v>43064</v>
      </c>
      <c r="AM571" s="807">
        <f t="shared" si="443"/>
        <v>43085</v>
      </c>
      <c r="AN571" s="814">
        <f t="shared" ca="1" si="444"/>
        <v>49</v>
      </c>
      <c r="AO571" s="815">
        <v>1</v>
      </c>
      <c r="AP571" s="816" t="str">
        <f t="shared" ca="1" si="445"/>
        <v>-</v>
      </c>
      <c r="AQ571" s="817"/>
      <c r="AR571" s="794" t="str">
        <f t="shared" si="446"/>
        <v>НЕТЕЛЬ</v>
      </c>
      <c r="AS571" s="818"/>
      <c r="AT571" s="794" t="str">
        <f t="shared" si="447"/>
        <v>-</v>
      </c>
      <c r="AU571" s="819"/>
      <c r="AV571" s="820"/>
      <c r="AW571" s="821"/>
      <c r="AX571" s="821"/>
      <c r="AY571" s="969" t="str">
        <f t="shared" si="448"/>
        <v>-</v>
      </c>
      <c r="AZ571" s="966" t="str">
        <f t="shared" si="449"/>
        <v>-</v>
      </c>
      <c r="BA571" s="971" t="str">
        <f t="shared" si="450"/>
        <v>-</v>
      </c>
      <c r="BB571" s="975"/>
      <c r="BC571" s="821"/>
      <c r="BD571" s="821"/>
      <c r="BE571" s="963" t="str">
        <f t="shared" si="451"/>
        <v>-</v>
      </c>
      <c r="BF571" s="984"/>
      <c r="BG571" s="988"/>
      <c r="BH571" s="982"/>
      <c r="BI571" s="991"/>
      <c r="BJ571" s="991"/>
      <c r="BK571" s="993" t="str">
        <f t="shared" si="452"/>
        <v>-</v>
      </c>
      <c r="BL571" s="820">
        <v>42978</v>
      </c>
      <c r="BM571" s="821">
        <v>5</v>
      </c>
      <c r="BN571" s="822">
        <f t="shared" ca="1" si="453"/>
        <v>156</v>
      </c>
      <c r="BO571" s="823">
        <f t="shared" si="454"/>
        <v>18.333333333333332</v>
      </c>
      <c r="BP571" s="824"/>
      <c r="BQ571" s="821"/>
      <c r="BR571" s="822" t="str">
        <f t="shared" si="455"/>
        <v>-</v>
      </c>
      <c r="BS571" s="823" t="str">
        <f t="shared" si="456"/>
        <v>-</v>
      </c>
      <c r="BT571" s="825" t="str">
        <f t="shared" ca="1" si="457"/>
        <v>-</v>
      </c>
      <c r="BU571" s="826"/>
      <c r="BV571" s="827"/>
      <c r="BW571" s="828" t="str">
        <f t="shared" si="458"/>
        <v>Ж-Е НЕ ВАКЦ.</v>
      </c>
      <c r="BX571" s="829" t="str">
        <f t="shared" si="459"/>
        <v>-</v>
      </c>
      <c r="BY571" s="830" t="str">
        <f t="shared" ca="1" si="460"/>
        <v>-</v>
      </c>
      <c r="BZ571" s="831">
        <v>42894</v>
      </c>
      <c r="CA571" s="832">
        <v>5</v>
      </c>
      <c r="CB571" s="833">
        <f t="shared" ca="1" si="461"/>
        <v>240</v>
      </c>
      <c r="CC571" s="834" t="str">
        <f t="shared" ca="1" si="462"/>
        <v>-</v>
      </c>
      <c r="CD571" s="835">
        <f t="shared" si="463"/>
        <v>42915</v>
      </c>
      <c r="CE571" s="831">
        <v>42915</v>
      </c>
      <c r="CF571" s="832">
        <v>5</v>
      </c>
      <c r="CG571" s="833">
        <f t="shared" ca="1" si="464"/>
        <v>219</v>
      </c>
      <c r="CH571" s="836">
        <f t="shared" si="465"/>
        <v>0</v>
      </c>
      <c r="CI571" s="837" t="str">
        <f t="shared" si="466"/>
        <v>УСПЕШНО</v>
      </c>
      <c r="CJ571" s="838" t="str">
        <f t="shared" ca="1" si="467"/>
        <v>-</v>
      </c>
      <c r="CK571" s="831"/>
      <c r="CL571" s="832"/>
      <c r="CM571" s="833" t="str">
        <f t="shared" si="468"/>
        <v>-</v>
      </c>
      <c r="CN571" s="834" t="str">
        <f t="shared" si="469"/>
        <v>-</v>
      </c>
      <c r="CO571" s="830" t="str">
        <f t="shared" ca="1" si="470"/>
        <v>-</v>
      </c>
      <c r="CP571" s="831">
        <v>43017</v>
      </c>
      <c r="CQ571" s="832">
        <v>2</v>
      </c>
      <c r="CR571" s="833">
        <f t="shared" si="471"/>
        <v>212</v>
      </c>
      <c r="CS571" s="833">
        <f t="shared" ca="1" si="472"/>
        <v>117</v>
      </c>
      <c r="CT571" s="834" t="str">
        <f t="shared" ca="1" si="473"/>
        <v>-</v>
      </c>
      <c r="CU571" s="835">
        <f t="shared" si="474"/>
        <v>43038</v>
      </c>
      <c r="CV571" s="831">
        <v>43038</v>
      </c>
      <c r="CW571" s="832">
        <v>2</v>
      </c>
      <c r="CX571" s="833">
        <f t="shared" si="475"/>
        <v>0</v>
      </c>
      <c r="CY571" s="840" t="str">
        <f t="shared" si="476"/>
        <v>УСПЕШНО</v>
      </c>
      <c r="CZ571" s="833">
        <f t="shared" si="477"/>
        <v>233</v>
      </c>
      <c r="DA571" s="838" t="str">
        <f t="shared" ca="1" si="478"/>
        <v>ТРЕБУЕТСЯ РЕВАКЦИНАЦИЯ</v>
      </c>
      <c r="DB571" s="841"/>
      <c r="DC571" s="832"/>
    </row>
    <row r="572" spans="1:107" s="842" customFormat="1" ht="15.95" customHeight="1" x14ac:dyDescent="0.25">
      <c r="A572" s="790">
        <v>574</v>
      </c>
      <c r="B572" s="791">
        <f t="shared" ca="1" si="427"/>
        <v>43134</v>
      </c>
      <c r="C572" s="792" t="s">
        <v>2554</v>
      </c>
      <c r="D572" s="793" t="s">
        <v>2586</v>
      </c>
      <c r="E572" s="794" t="s">
        <v>1563</v>
      </c>
      <c r="F572" s="795" t="s">
        <v>1790</v>
      </c>
      <c r="G572" s="796">
        <f>SUMIFS(МОЛОКО!L8:L6958,МОЛОКО!F8:F6958,"2857",МОЛОКО!L8:L6958,"&gt;0")</f>
        <v>0</v>
      </c>
      <c r="H572" s="797" t="s">
        <v>603</v>
      </c>
      <c r="I572" s="798">
        <v>42428</v>
      </c>
      <c r="J572" s="799">
        <f t="shared" ca="1" si="428"/>
        <v>1.9342465753424658</v>
      </c>
      <c r="K572" s="799">
        <f t="shared" ca="1" si="429"/>
        <v>23.533333333333335</v>
      </c>
      <c r="L572" s="800">
        <f t="shared" ca="1" si="430"/>
        <v>706</v>
      </c>
      <c r="M572" s="801"/>
      <c r="N572" s="802"/>
      <c r="O572" s="803" t="str">
        <f t="shared" ca="1" si="431"/>
        <v>-</v>
      </c>
      <c r="P572" s="804"/>
      <c r="Q572" s="805" t="s">
        <v>2366</v>
      </c>
      <c r="R572" s="806" t="s">
        <v>1876</v>
      </c>
      <c r="S572" s="807">
        <v>42905</v>
      </c>
      <c r="T572" s="798">
        <v>42905</v>
      </c>
      <c r="U572" s="798" t="str">
        <f t="shared" si="432"/>
        <v>-</v>
      </c>
      <c r="V572" s="804" t="str">
        <f t="shared" ca="1" si="433"/>
        <v>-</v>
      </c>
      <c r="W572" s="808">
        <v>1</v>
      </c>
      <c r="X572" s="794" t="str">
        <f t="shared" si="479"/>
        <v>-</v>
      </c>
      <c r="Y572" s="794">
        <v>1</v>
      </c>
      <c r="Z572" s="809" t="str">
        <f t="shared" ca="1" si="434"/>
        <v>ПОДЛЕЖИТ ПЕРЕПРОВЕРКЕ</v>
      </c>
      <c r="AA572" s="810">
        <f t="shared" ca="1" si="435"/>
        <v>229</v>
      </c>
      <c r="AB572" s="804"/>
      <c r="AC572" s="811">
        <f t="shared" ca="1" si="436"/>
        <v>42977</v>
      </c>
      <c r="AD572" s="798"/>
      <c r="AE572" s="794" t="str">
        <f t="shared" ca="1" si="437"/>
        <v>-</v>
      </c>
      <c r="AF572" s="798" t="str">
        <f t="shared" si="438"/>
        <v>-</v>
      </c>
      <c r="AG572" s="812" t="str">
        <f t="shared" si="439"/>
        <v>---------</v>
      </c>
      <c r="AH572" s="807">
        <v>42969</v>
      </c>
      <c r="AI572" s="807" t="str">
        <f t="shared" si="440"/>
        <v>-</v>
      </c>
      <c r="AJ572" s="807" t="str">
        <f t="shared" si="441"/>
        <v>-</v>
      </c>
      <c r="AK572" s="813"/>
      <c r="AL572" s="807">
        <f t="shared" si="442"/>
        <v>43164</v>
      </c>
      <c r="AM572" s="807">
        <f t="shared" si="443"/>
        <v>43185</v>
      </c>
      <c r="AN572" s="814">
        <f t="shared" ca="1" si="444"/>
        <v>-51</v>
      </c>
      <c r="AO572" s="815">
        <v>1</v>
      </c>
      <c r="AP572" s="816" t="str">
        <f t="shared" ca="1" si="445"/>
        <v>-</v>
      </c>
      <c r="AQ572" s="817"/>
      <c r="AR572" s="794" t="str">
        <f t="shared" si="446"/>
        <v>НЕТЕЛЬ</v>
      </c>
      <c r="AS572" s="818"/>
      <c r="AT572" s="794" t="str">
        <f t="shared" si="447"/>
        <v>-</v>
      </c>
      <c r="AU572" s="819"/>
      <c r="AV572" s="820"/>
      <c r="AW572" s="821"/>
      <c r="AX572" s="821"/>
      <c r="AY572" s="969" t="str">
        <f t="shared" si="448"/>
        <v>-</v>
      </c>
      <c r="AZ572" s="966" t="str">
        <f t="shared" si="449"/>
        <v>-</v>
      </c>
      <c r="BA572" s="971" t="str">
        <f t="shared" si="450"/>
        <v>-</v>
      </c>
      <c r="BB572" s="975"/>
      <c r="BC572" s="821"/>
      <c r="BD572" s="821"/>
      <c r="BE572" s="963" t="str">
        <f t="shared" si="451"/>
        <v>-</v>
      </c>
      <c r="BF572" s="984"/>
      <c r="BG572" s="988"/>
      <c r="BH572" s="982"/>
      <c r="BI572" s="991"/>
      <c r="BJ572" s="991"/>
      <c r="BK572" s="993" t="str">
        <f t="shared" si="452"/>
        <v>-</v>
      </c>
      <c r="BL572" s="820">
        <v>42978</v>
      </c>
      <c r="BM572" s="821">
        <v>5</v>
      </c>
      <c r="BN572" s="822">
        <f t="shared" ca="1" si="453"/>
        <v>156</v>
      </c>
      <c r="BO572" s="823">
        <f t="shared" si="454"/>
        <v>18.333333333333332</v>
      </c>
      <c r="BP572" s="824"/>
      <c r="BQ572" s="821"/>
      <c r="BR572" s="822" t="str">
        <f t="shared" si="455"/>
        <v>-</v>
      </c>
      <c r="BS572" s="823" t="str">
        <f t="shared" si="456"/>
        <v>-</v>
      </c>
      <c r="BT572" s="825" t="str">
        <f t="shared" ca="1" si="457"/>
        <v>-</v>
      </c>
      <c r="BU572" s="826"/>
      <c r="BV572" s="827"/>
      <c r="BW572" s="828" t="str">
        <f t="shared" si="458"/>
        <v>Ж-Е НЕ ВАКЦ.</v>
      </c>
      <c r="BX572" s="829" t="str">
        <f t="shared" si="459"/>
        <v>-</v>
      </c>
      <c r="BY572" s="830" t="str">
        <f t="shared" ca="1" si="460"/>
        <v>-</v>
      </c>
      <c r="BZ572" s="831">
        <v>42891</v>
      </c>
      <c r="CA572" s="832">
        <v>5</v>
      </c>
      <c r="CB572" s="833">
        <f t="shared" ca="1" si="461"/>
        <v>243</v>
      </c>
      <c r="CC572" s="834" t="str">
        <f t="shared" ca="1" si="462"/>
        <v>-</v>
      </c>
      <c r="CD572" s="835">
        <f t="shared" si="463"/>
        <v>42912</v>
      </c>
      <c r="CE572" s="831">
        <v>42912</v>
      </c>
      <c r="CF572" s="832">
        <v>5</v>
      </c>
      <c r="CG572" s="833">
        <f t="shared" ca="1" si="464"/>
        <v>222</v>
      </c>
      <c r="CH572" s="836">
        <f t="shared" si="465"/>
        <v>0</v>
      </c>
      <c r="CI572" s="837" t="str">
        <f t="shared" si="466"/>
        <v>УСПЕШНО</v>
      </c>
      <c r="CJ572" s="838" t="str">
        <f t="shared" ca="1" si="467"/>
        <v>-</v>
      </c>
      <c r="CK572" s="831"/>
      <c r="CL572" s="832"/>
      <c r="CM572" s="833" t="str">
        <f t="shared" si="468"/>
        <v>-</v>
      </c>
      <c r="CN572" s="834" t="str">
        <f t="shared" si="469"/>
        <v>-</v>
      </c>
      <c r="CO572" s="830" t="str">
        <f t="shared" ca="1" si="470"/>
        <v>ТРЕБУЕТСЯ ВАКЦИНАЦИЯ</v>
      </c>
      <c r="CP572" s="839"/>
      <c r="CQ572" s="832"/>
      <c r="CR572" s="833" t="str">
        <f t="shared" si="471"/>
        <v>-</v>
      </c>
      <c r="CS572" s="833" t="str">
        <f t="shared" si="472"/>
        <v>-</v>
      </c>
      <c r="CT572" s="834" t="str">
        <f t="shared" si="473"/>
        <v>-</v>
      </c>
      <c r="CU572" s="835" t="str">
        <f t="shared" si="474"/>
        <v>-</v>
      </c>
      <c r="CV572" s="839"/>
      <c r="CW572" s="832"/>
      <c r="CX572" s="833" t="str">
        <f t="shared" si="475"/>
        <v>-</v>
      </c>
      <c r="CY572" s="840" t="str">
        <f t="shared" si="476"/>
        <v>-</v>
      </c>
      <c r="CZ572" s="833" t="str">
        <f t="shared" si="477"/>
        <v>-</v>
      </c>
      <c r="DA572" s="838" t="str">
        <f t="shared" ca="1" si="478"/>
        <v>-</v>
      </c>
      <c r="DB572" s="841"/>
      <c r="DC572" s="832"/>
    </row>
    <row r="573" spans="1:107" s="842" customFormat="1" ht="15.95" customHeight="1" x14ac:dyDescent="0.25">
      <c r="A573" s="790">
        <v>575</v>
      </c>
      <c r="B573" s="791">
        <f t="shared" ca="1" si="427"/>
        <v>43134</v>
      </c>
      <c r="C573" s="847" t="s">
        <v>2554</v>
      </c>
      <c r="D573" s="793" t="s">
        <v>2586</v>
      </c>
      <c r="E573" s="794" t="s">
        <v>1563</v>
      </c>
      <c r="F573" s="795" t="s">
        <v>1773</v>
      </c>
      <c r="G573" s="796">
        <f>SUMIFS(МОЛОКО!L8:L6958,МОЛОКО!F8:F6958,"2859",МОЛОКО!L8:L6958,"&gt;0")</f>
        <v>0</v>
      </c>
      <c r="H573" s="797" t="s">
        <v>603</v>
      </c>
      <c r="I573" s="798">
        <v>42431</v>
      </c>
      <c r="J573" s="799">
        <f t="shared" ca="1" si="428"/>
        <v>1.9260273972602739</v>
      </c>
      <c r="K573" s="799">
        <f t="shared" ca="1" si="429"/>
        <v>23.433333333333334</v>
      </c>
      <c r="L573" s="800">
        <f t="shared" ca="1" si="430"/>
        <v>703</v>
      </c>
      <c r="M573" s="801"/>
      <c r="N573" s="802"/>
      <c r="O573" s="803" t="str">
        <f t="shared" ca="1" si="431"/>
        <v>-</v>
      </c>
      <c r="P573" s="804"/>
      <c r="Q573" s="805" t="s">
        <v>1451</v>
      </c>
      <c r="R573" s="806" t="s">
        <v>1876</v>
      </c>
      <c r="S573" s="807">
        <v>42814</v>
      </c>
      <c r="T573" s="798">
        <v>42814</v>
      </c>
      <c r="U573" s="798" t="str">
        <f t="shared" si="432"/>
        <v>-</v>
      </c>
      <c r="V573" s="804" t="str">
        <f t="shared" ca="1" si="433"/>
        <v>-</v>
      </c>
      <c r="W573" s="808">
        <v>1</v>
      </c>
      <c r="X573" s="794" t="str">
        <f t="shared" si="479"/>
        <v>-</v>
      </c>
      <c r="Y573" s="794">
        <v>1</v>
      </c>
      <c r="Z573" s="809" t="str">
        <f t="shared" ca="1" si="434"/>
        <v>ПОДЛЕЖИТ ПЕРЕПРОВЕРКЕ</v>
      </c>
      <c r="AA573" s="810">
        <f t="shared" ca="1" si="435"/>
        <v>320</v>
      </c>
      <c r="AB573" s="804"/>
      <c r="AC573" s="811">
        <f t="shared" ca="1" si="436"/>
        <v>42886</v>
      </c>
      <c r="AD573" s="798"/>
      <c r="AE573" s="794" t="str">
        <f t="shared" ca="1" si="437"/>
        <v>-</v>
      </c>
      <c r="AF573" s="798" t="str">
        <f t="shared" si="438"/>
        <v>-</v>
      </c>
      <c r="AG573" s="812" t="str">
        <f t="shared" si="439"/>
        <v>---------</v>
      </c>
      <c r="AH573" s="807">
        <v>42881</v>
      </c>
      <c r="AI573" s="807" t="str">
        <f t="shared" si="440"/>
        <v>-</v>
      </c>
      <c r="AJ573" s="807" t="str">
        <f t="shared" si="441"/>
        <v>-</v>
      </c>
      <c r="AK573" s="813"/>
      <c r="AL573" s="807">
        <f t="shared" si="442"/>
        <v>43073</v>
      </c>
      <c r="AM573" s="807">
        <f t="shared" si="443"/>
        <v>43094</v>
      </c>
      <c r="AN573" s="814">
        <f t="shared" ca="1" si="444"/>
        <v>40</v>
      </c>
      <c r="AO573" s="815">
        <v>1</v>
      </c>
      <c r="AP573" s="816" t="str">
        <f t="shared" ca="1" si="445"/>
        <v>-</v>
      </c>
      <c r="AQ573" s="817"/>
      <c r="AR573" s="794" t="str">
        <f t="shared" si="446"/>
        <v>НЕТЕЛЬ</v>
      </c>
      <c r="AS573" s="818"/>
      <c r="AT573" s="794" t="str">
        <f t="shared" si="447"/>
        <v>-</v>
      </c>
      <c r="AU573" s="819"/>
      <c r="AV573" s="820"/>
      <c r="AW573" s="821"/>
      <c r="AX573" s="821"/>
      <c r="AY573" s="969" t="str">
        <f t="shared" si="448"/>
        <v>-</v>
      </c>
      <c r="AZ573" s="966" t="str">
        <f t="shared" si="449"/>
        <v>-</v>
      </c>
      <c r="BA573" s="971" t="str">
        <f t="shared" si="450"/>
        <v>-</v>
      </c>
      <c r="BB573" s="975"/>
      <c r="BC573" s="821"/>
      <c r="BD573" s="821"/>
      <c r="BE573" s="963" t="str">
        <f t="shared" si="451"/>
        <v>-</v>
      </c>
      <c r="BF573" s="984"/>
      <c r="BG573" s="988"/>
      <c r="BH573" s="982"/>
      <c r="BI573" s="991"/>
      <c r="BJ573" s="991"/>
      <c r="BK573" s="993" t="str">
        <f t="shared" si="452"/>
        <v>-</v>
      </c>
      <c r="BL573" s="820">
        <v>42978</v>
      </c>
      <c r="BM573" s="821">
        <v>5</v>
      </c>
      <c r="BN573" s="822">
        <f t="shared" ca="1" si="453"/>
        <v>156</v>
      </c>
      <c r="BO573" s="823">
        <f t="shared" si="454"/>
        <v>18.233333333333334</v>
      </c>
      <c r="BP573" s="824"/>
      <c r="BQ573" s="821"/>
      <c r="BR573" s="822" t="str">
        <f t="shared" si="455"/>
        <v>-</v>
      </c>
      <c r="BS573" s="823" t="str">
        <f t="shared" si="456"/>
        <v>-</v>
      </c>
      <c r="BT573" s="825" t="str">
        <f t="shared" ca="1" si="457"/>
        <v>-</v>
      </c>
      <c r="BU573" s="826"/>
      <c r="BV573" s="827"/>
      <c r="BW573" s="828" t="str">
        <f t="shared" si="458"/>
        <v>Ж-Е НЕ ВАКЦ.</v>
      </c>
      <c r="BX573" s="829" t="str">
        <f t="shared" si="459"/>
        <v>-</v>
      </c>
      <c r="BY573" s="830" t="str">
        <f t="shared" ca="1" si="460"/>
        <v>-</v>
      </c>
      <c r="BZ573" s="831">
        <v>42894</v>
      </c>
      <c r="CA573" s="832">
        <v>5</v>
      </c>
      <c r="CB573" s="833">
        <f t="shared" ca="1" si="461"/>
        <v>240</v>
      </c>
      <c r="CC573" s="834" t="str">
        <f t="shared" ca="1" si="462"/>
        <v>-</v>
      </c>
      <c r="CD573" s="835">
        <f t="shared" si="463"/>
        <v>42915</v>
      </c>
      <c r="CE573" s="831">
        <v>42915</v>
      </c>
      <c r="CF573" s="832">
        <v>5</v>
      </c>
      <c r="CG573" s="833">
        <f t="shared" ca="1" si="464"/>
        <v>219</v>
      </c>
      <c r="CH573" s="836">
        <f t="shared" si="465"/>
        <v>0</v>
      </c>
      <c r="CI573" s="837" t="str">
        <f t="shared" si="466"/>
        <v>УСПЕШНО</v>
      </c>
      <c r="CJ573" s="838" t="str">
        <f t="shared" ca="1" si="467"/>
        <v>-</v>
      </c>
      <c r="CK573" s="831"/>
      <c r="CL573" s="832"/>
      <c r="CM573" s="833" t="str">
        <f t="shared" si="468"/>
        <v>-</v>
      </c>
      <c r="CN573" s="834" t="str">
        <f t="shared" si="469"/>
        <v>-</v>
      </c>
      <c r="CO573" s="830" t="str">
        <f t="shared" ca="1" si="470"/>
        <v>-</v>
      </c>
      <c r="CP573" s="831">
        <v>43052</v>
      </c>
      <c r="CQ573" s="832">
        <v>2</v>
      </c>
      <c r="CR573" s="833">
        <f t="shared" si="471"/>
        <v>238</v>
      </c>
      <c r="CS573" s="833">
        <f t="shared" ca="1" si="472"/>
        <v>82</v>
      </c>
      <c r="CT573" s="834" t="str">
        <f t="shared" ca="1" si="473"/>
        <v>ТРЕБУЕТСЯ БУСТЕРНАЯ ДОЗА</v>
      </c>
      <c r="CU573" s="835">
        <f t="shared" si="474"/>
        <v>43073</v>
      </c>
      <c r="CV573" s="839"/>
      <c r="CW573" s="832"/>
      <c r="CX573" s="833" t="str">
        <f t="shared" si="475"/>
        <v>-</v>
      </c>
      <c r="CY573" s="840" t="str">
        <f t="shared" si="476"/>
        <v>-</v>
      </c>
      <c r="CZ573" s="833" t="str">
        <f t="shared" si="477"/>
        <v>-</v>
      </c>
      <c r="DA573" s="838" t="str">
        <f t="shared" ca="1" si="478"/>
        <v>-</v>
      </c>
      <c r="DB573" s="841"/>
      <c r="DC573" s="832"/>
    </row>
    <row r="574" spans="1:107" s="842" customFormat="1" ht="15.95" customHeight="1" x14ac:dyDescent="0.25">
      <c r="A574" s="790">
        <v>576</v>
      </c>
      <c r="B574" s="791">
        <f t="shared" ca="1" si="427"/>
        <v>43134</v>
      </c>
      <c r="C574" s="29" t="s">
        <v>2554</v>
      </c>
      <c r="D574" s="59" t="s">
        <v>2586</v>
      </c>
      <c r="E574" s="794" t="s">
        <v>1563</v>
      </c>
      <c r="F574" s="795" t="s">
        <v>1772</v>
      </c>
      <c r="G574" s="796">
        <f>SUMIFS(МОЛОКО!L8:L6958,МОЛОКО!F8:F6958,"2860",МОЛОКО!L8:L6958,"&gt;0")</f>
        <v>0</v>
      </c>
      <c r="H574" s="797" t="s">
        <v>603</v>
      </c>
      <c r="I574" s="798">
        <v>42433</v>
      </c>
      <c r="J574" s="799">
        <f t="shared" ca="1" si="428"/>
        <v>1.9205479452054794</v>
      </c>
      <c r="K574" s="799">
        <f t="shared" ca="1" si="429"/>
        <v>23.366666666666667</v>
      </c>
      <c r="L574" s="800">
        <f t="shared" ca="1" si="430"/>
        <v>701</v>
      </c>
      <c r="M574" s="801"/>
      <c r="N574" s="802"/>
      <c r="O574" s="803" t="str">
        <f t="shared" ca="1" si="431"/>
        <v>-</v>
      </c>
      <c r="P574" s="804"/>
      <c r="Q574" s="805" t="s">
        <v>2366</v>
      </c>
      <c r="R574" s="806" t="s">
        <v>2909</v>
      </c>
      <c r="S574" s="807">
        <v>42859</v>
      </c>
      <c r="T574" s="798">
        <v>42944</v>
      </c>
      <c r="U574" s="798" t="str">
        <f t="shared" si="432"/>
        <v>-</v>
      </c>
      <c r="V574" s="804" t="str">
        <f t="shared" ca="1" si="433"/>
        <v>-</v>
      </c>
      <c r="W574" s="808">
        <v>2</v>
      </c>
      <c r="X574" s="794" t="str">
        <f t="shared" si="479"/>
        <v>-</v>
      </c>
      <c r="Y574" s="794">
        <v>1</v>
      </c>
      <c r="Z574" s="809" t="str">
        <f t="shared" ca="1" si="434"/>
        <v>ПОДЛЕЖИТ ПЕРЕПРОВЕРКЕ</v>
      </c>
      <c r="AA574" s="810">
        <f t="shared" ca="1" si="435"/>
        <v>190</v>
      </c>
      <c r="AB574" s="804"/>
      <c r="AC574" s="811">
        <f t="shared" ca="1" si="436"/>
        <v>43016</v>
      </c>
      <c r="AD574" s="798"/>
      <c r="AE574" s="794" t="str">
        <f t="shared" ca="1" si="437"/>
        <v>-</v>
      </c>
      <c r="AF574" s="798" t="str">
        <f t="shared" si="438"/>
        <v>-</v>
      </c>
      <c r="AG574" s="812" t="str">
        <f t="shared" si="439"/>
        <v>---------</v>
      </c>
      <c r="AH574" s="807">
        <v>43001</v>
      </c>
      <c r="AI574" s="807" t="str">
        <f t="shared" si="440"/>
        <v>-</v>
      </c>
      <c r="AJ574" s="807" t="str">
        <f t="shared" si="441"/>
        <v>-</v>
      </c>
      <c r="AK574" s="813"/>
      <c r="AL574" s="807">
        <f t="shared" si="442"/>
        <v>43203</v>
      </c>
      <c r="AM574" s="807">
        <f t="shared" si="443"/>
        <v>43224</v>
      </c>
      <c r="AN574" s="814">
        <f t="shared" ca="1" si="444"/>
        <v>-90</v>
      </c>
      <c r="AO574" s="815">
        <v>1</v>
      </c>
      <c r="AP574" s="816" t="str">
        <f t="shared" ca="1" si="445"/>
        <v>-</v>
      </c>
      <c r="AQ574" s="817"/>
      <c r="AR574" s="794" t="str">
        <f t="shared" si="446"/>
        <v>НЕТЕЛЬ</v>
      </c>
      <c r="AS574" s="818"/>
      <c r="AT574" s="794" t="str">
        <f t="shared" si="447"/>
        <v>-</v>
      </c>
      <c r="AU574" s="819"/>
      <c r="AV574" s="820"/>
      <c r="AW574" s="821"/>
      <c r="AX574" s="821"/>
      <c r="AY574" s="969" t="str">
        <f t="shared" si="448"/>
        <v>-</v>
      </c>
      <c r="AZ574" s="966" t="str">
        <f t="shared" si="449"/>
        <v>-</v>
      </c>
      <c r="BA574" s="971" t="str">
        <f t="shared" si="450"/>
        <v>-</v>
      </c>
      <c r="BB574" s="975"/>
      <c r="BC574" s="821"/>
      <c r="BD574" s="821"/>
      <c r="BE574" s="963" t="str">
        <f t="shared" si="451"/>
        <v>-</v>
      </c>
      <c r="BF574" s="984"/>
      <c r="BG574" s="988"/>
      <c r="BH574" s="982"/>
      <c r="BI574" s="991"/>
      <c r="BJ574" s="991"/>
      <c r="BK574" s="993" t="str">
        <f t="shared" si="452"/>
        <v>-</v>
      </c>
      <c r="BL574" s="820">
        <v>42977</v>
      </c>
      <c r="BM574" s="821">
        <v>5</v>
      </c>
      <c r="BN574" s="822">
        <f t="shared" ca="1" si="453"/>
        <v>157</v>
      </c>
      <c r="BO574" s="823">
        <f t="shared" si="454"/>
        <v>18.133333333333333</v>
      </c>
      <c r="BP574" s="824"/>
      <c r="BQ574" s="821"/>
      <c r="BR574" s="822" t="str">
        <f t="shared" si="455"/>
        <v>-</v>
      </c>
      <c r="BS574" s="823" t="str">
        <f t="shared" si="456"/>
        <v>-</v>
      </c>
      <c r="BT574" s="825" t="str">
        <f t="shared" ca="1" si="457"/>
        <v>-</v>
      </c>
      <c r="BU574" s="826"/>
      <c r="BV574" s="827"/>
      <c r="BW574" s="828" t="str">
        <f t="shared" si="458"/>
        <v>Ж-Е НЕ ВАКЦ.</v>
      </c>
      <c r="BX574" s="829" t="str">
        <f t="shared" si="459"/>
        <v>-</v>
      </c>
      <c r="BY574" s="830" t="str">
        <f t="shared" ca="1" si="460"/>
        <v>-</v>
      </c>
      <c r="BZ574" s="831">
        <v>42891</v>
      </c>
      <c r="CA574" s="832">
        <v>5</v>
      </c>
      <c r="CB574" s="833">
        <f t="shared" ca="1" si="461"/>
        <v>243</v>
      </c>
      <c r="CC574" s="834" t="str">
        <f t="shared" ca="1" si="462"/>
        <v>-</v>
      </c>
      <c r="CD574" s="835">
        <f t="shared" si="463"/>
        <v>42912</v>
      </c>
      <c r="CE574" s="831">
        <v>42912</v>
      </c>
      <c r="CF574" s="832">
        <v>5</v>
      </c>
      <c r="CG574" s="833">
        <f t="shared" ca="1" si="464"/>
        <v>222</v>
      </c>
      <c r="CH574" s="836">
        <f t="shared" si="465"/>
        <v>0</v>
      </c>
      <c r="CI574" s="837" t="str">
        <f t="shared" si="466"/>
        <v>УСПЕШНО</v>
      </c>
      <c r="CJ574" s="838" t="str">
        <f t="shared" ca="1" si="467"/>
        <v>-</v>
      </c>
      <c r="CK574" s="831"/>
      <c r="CL574" s="832"/>
      <c r="CM574" s="833" t="str">
        <f t="shared" si="468"/>
        <v>-</v>
      </c>
      <c r="CN574" s="834" t="str">
        <f t="shared" si="469"/>
        <v>-</v>
      </c>
      <c r="CO574" s="830" t="str">
        <f t="shared" ca="1" si="470"/>
        <v>-</v>
      </c>
      <c r="CP574" s="839"/>
      <c r="CQ574" s="832"/>
      <c r="CR574" s="833" t="str">
        <f t="shared" si="471"/>
        <v>-</v>
      </c>
      <c r="CS574" s="833" t="str">
        <f t="shared" si="472"/>
        <v>-</v>
      </c>
      <c r="CT574" s="834" t="str">
        <f t="shared" si="473"/>
        <v>-</v>
      </c>
      <c r="CU574" s="835" t="str">
        <f t="shared" si="474"/>
        <v>-</v>
      </c>
      <c r="CV574" s="839"/>
      <c r="CW574" s="832"/>
      <c r="CX574" s="833" t="str">
        <f t="shared" si="475"/>
        <v>-</v>
      </c>
      <c r="CY574" s="840" t="str">
        <f t="shared" si="476"/>
        <v>-</v>
      </c>
      <c r="CZ574" s="833" t="str">
        <f t="shared" si="477"/>
        <v>-</v>
      </c>
      <c r="DA574" s="838" t="str">
        <f t="shared" ca="1" si="478"/>
        <v>-</v>
      </c>
      <c r="DB574" s="841"/>
      <c r="DC574" s="832"/>
    </row>
    <row r="575" spans="1:107" s="842" customFormat="1" ht="15.95" customHeight="1" x14ac:dyDescent="0.25">
      <c r="A575" s="790">
        <v>577</v>
      </c>
      <c r="B575" s="791">
        <f t="shared" ca="1" si="427"/>
        <v>43134</v>
      </c>
      <c r="C575" s="29" t="s">
        <v>2554</v>
      </c>
      <c r="D575" s="59" t="s">
        <v>2586</v>
      </c>
      <c r="E575" s="794" t="s">
        <v>1563</v>
      </c>
      <c r="F575" s="795" t="s">
        <v>1742</v>
      </c>
      <c r="G575" s="796">
        <f>SUMIFS(МОЛОКО!L8:L6958,МОЛОКО!F8:F6958,"2862",МОЛОКО!L8:L6958,"&gt;0")</f>
        <v>0</v>
      </c>
      <c r="H575" s="797" t="s">
        <v>603</v>
      </c>
      <c r="I575" s="798">
        <v>42434</v>
      </c>
      <c r="J575" s="799">
        <f t="shared" ca="1" si="428"/>
        <v>1.9178082191780821</v>
      </c>
      <c r="K575" s="799">
        <f t="shared" ca="1" si="429"/>
        <v>23.333333333333332</v>
      </c>
      <c r="L575" s="800">
        <f t="shared" ca="1" si="430"/>
        <v>700</v>
      </c>
      <c r="M575" s="801"/>
      <c r="N575" s="802"/>
      <c r="O575" s="803" t="str">
        <f t="shared" ca="1" si="431"/>
        <v>-</v>
      </c>
      <c r="P575" s="804"/>
      <c r="Q575" s="805" t="s">
        <v>2366</v>
      </c>
      <c r="R575" s="806" t="s">
        <v>1876</v>
      </c>
      <c r="S575" s="807">
        <v>42897</v>
      </c>
      <c r="T575" s="798">
        <v>42933</v>
      </c>
      <c r="U575" s="798" t="str">
        <f t="shared" si="432"/>
        <v>-</v>
      </c>
      <c r="V575" s="804" t="str">
        <f t="shared" ca="1" si="433"/>
        <v>-</v>
      </c>
      <c r="W575" s="808">
        <v>2</v>
      </c>
      <c r="X575" s="794" t="str">
        <f t="shared" si="479"/>
        <v>-</v>
      </c>
      <c r="Y575" s="794">
        <v>1</v>
      </c>
      <c r="Z575" s="809" t="str">
        <f t="shared" ca="1" si="434"/>
        <v>ПОДЛЕЖИТ ПЕРЕПРОВЕРКЕ</v>
      </c>
      <c r="AA575" s="810">
        <f t="shared" ca="1" si="435"/>
        <v>201</v>
      </c>
      <c r="AB575" s="804"/>
      <c r="AC575" s="811">
        <f t="shared" ca="1" si="436"/>
        <v>43005</v>
      </c>
      <c r="AD575" s="798"/>
      <c r="AE575" s="794" t="str">
        <f t="shared" ca="1" si="437"/>
        <v>-</v>
      </c>
      <c r="AF575" s="798" t="str">
        <f t="shared" si="438"/>
        <v>-</v>
      </c>
      <c r="AG575" s="812" t="str">
        <f t="shared" si="439"/>
        <v>---------</v>
      </c>
      <c r="AH575" s="807">
        <v>43001</v>
      </c>
      <c r="AI575" s="807" t="str">
        <f t="shared" si="440"/>
        <v>-</v>
      </c>
      <c r="AJ575" s="807" t="str">
        <f t="shared" si="441"/>
        <v>-</v>
      </c>
      <c r="AK575" s="813"/>
      <c r="AL575" s="807">
        <f t="shared" si="442"/>
        <v>43192</v>
      </c>
      <c r="AM575" s="807">
        <f t="shared" si="443"/>
        <v>43213</v>
      </c>
      <c r="AN575" s="814">
        <f t="shared" ca="1" si="444"/>
        <v>-79</v>
      </c>
      <c r="AO575" s="815">
        <v>1</v>
      </c>
      <c r="AP575" s="816" t="str">
        <f t="shared" ca="1" si="445"/>
        <v>-</v>
      </c>
      <c r="AQ575" s="817"/>
      <c r="AR575" s="794" t="str">
        <f t="shared" si="446"/>
        <v>НЕТЕЛЬ</v>
      </c>
      <c r="AS575" s="818"/>
      <c r="AT575" s="794" t="str">
        <f t="shared" si="447"/>
        <v>-</v>
      </c>
      <c r="AU575" s="819"/>
      <c r="AV575" s="820"/>
      <c r="AW575" s="821"/>
      <c r="AX575" s="821"/>
      <c r="AY575" s="969" t="str">
        <f t="shared" si="448"/>
        <v>-</v>
      </c>
      <c r="AZ575" s="966" t="str">
        <f t="shared" si="449"/>
        <v>-</v>
      </c>
      <c r="BA575" s="971" t="str">
        <f t="shared" si="450"/>
        <v>-</v>
      </c>
      <c r="BB575" s="975"/>
      <c r="BC575" s="821"/>
      <c r="BD575" s="821"/>
      <c r="BE575" s="963" t="str">
        <f t="shared" si="451"/>
        <v>-</v>
      </c>
      <c r="BF575" s="984"/>
      <c r="BG575" s="988"/>
      <c r="BH575" s="982"/>
      <c r="BI575" s="991"/>
      <c r="BJ575" s="991"/>
      <c r="BK575" s="993" t="str">
        <f t="shared" si="452"/>
        <v>-</v>
      </c>
      <c r="BL575" s="820">
        <v>42977</v>
      </c>
      <c r="BM575" s="821">
        <v>5</v>
      </c>
      <c r="BN575" s="822">
        <f t="shared" ca="1" si="453"/>
        <v>157</v>
      </c>
      <c r="BO575" s="823">
        <f t="shared" si="454"/>
        <v>18.100000000000001</v>
      </c>
      <c r="BP575" s="824"/>
      <c r="BQ575" s="821"/>
      <c r="BR575" s="822" t="str">
        <f t="shared" si="455"/>
        <v>-</v>
      </c>
      <c r="BS575" s="823" t="str">
        <f t="shared" si="456"/>
        <v>-</v>
      </c>
      <c r="BT575" s="825" t="str">
        <f t="shared" ca="1" si="457"/>
        <v>-</v>
      </c>
      <c r="BU575" s="826"/>
      <c r="BV575" s="827"/>
      <c r="BW575" s="828" t="str">
        <f t="shared" si="458"/>
        <v>Ж-Е НЕ ВАКЦ.</v>
      </c>
      <c r="BX575" s="829" t="str">
        <f t="shared" si="459"/>
        <v>-</v>
      </c>
      <c r="BY575" s="830" t="str">
        <f t="shared" ca="1" si="460"/>
        <v>-</v>
      </c>
      <c r="BZ575" s="831">
        <v>42891</v>
      </c>
      <c r="CA575" s="832">
        <v>5</v>
      </c>
      <c r="CB575" s="833">
        <f t="shared" ca="1" si="461"/>
        <v>243</v>
      </c>
      <c r="CC575" s="834" t="str">
        <f t="shared" ca="1" si="462"/>
        <v>-</v>
      </c>
      <c r="CD575" s="835">
        <f t="shared" si="463"/>
        <v>42912</v>
      </c>
      <c r="CE575" s="831">
        <v>42912</v>
      </c>
      <c r="CF575" s="832">
        <v>5</v>
      </c>
      <c r="CG575" s="833">
        <f t="shared" ca="1" si="464"/>
        <v>222</v>
      </c>
      <c r="CH575" s="836">
        <f t="shared" si="465"/>
        <v>0</v>
      </c>
      <c r="CI575" s="837" t="str">
        <f t="shared" si="466"/>
        <v>УСПЕШНО</v>
      </c>
      <c r="CJ575" s="838" t="str">
        <f t="shared" ca="1" si="467"/>
        <v>-</v>
      </c>
      <c r="CK575" s="831"/>
      <c r="CL575" s="832"/>
      <c r="CM575" s="833" t="str">
        <f t="shared" si="468"/>
        <v>-</v>
      </c>
      <c r="CN575" s="834" t="str">
        <f t="shared" si="469"/>
        <v>-</v>
      </c>
      <c r="CO575" s="830" t="str">
        <f t="shared" ca="1" si="470"/>
        <v>-</v>
      </c>
      <c r="CP575" s="839"/>
      <c r="CQ575" s="832"/>
      <c r="CR575" s="833" t="str">
        <f t="shared" si="471"/>
        <v>-</v>
      </c>
      <c r="CS575" s="833" t="str">
        <f t="shared" si="472"/>
        <v>-</v>
      </c>
      <c r="CT575" s="834" t="str">
        <f t="shared" si="473"/>
        <v>-</v>
      </c>
      <c r="CU575" s="835" t="str">
        <f t="shared" si="474"/>
        <v>-</v>
      </c>
      <c r="CV575" s="839"/>
      <c r="CW575" s="832"/>
      <c r="CX575" s="833" t="str">
        <f t="shared" si="475"/>
        <v>-</v>
      </c>
      <c r="CY575" s="840" t="str">
        <f t="shared" si="476"/>
        <v>-</v>
      </c>
      <c r="CZ575" s="833" t="str">
        <f t="shared" si="477"/>
        <v>-</v>
      </c>
      <c r="DA575" s="838" t="str">
        <f t="shared" ca="1" si="478"/>
        <v>-</v>
      </c>
      <c r="DB575" s="841"/>
      <c r="DC575" s="832"/>
    </row>
    <row r="576" spans="1:107" s="842" customFormat="1" ht="15.95" customHeight="1" x14ac:dyDescent="0.25">
      <c r="A576" s="790">
        <v>578</v>
      </c>
      <c r="B576" s="791">
        <f t="shared" ca="1" si="427"/>
        <v>43134</v>
      </c>
      <c r="C576" s="847" t="s">
        <v>2554</v>
      </c>
      <c r="D576" s="793" t="s">
        <v>2586</v>
      </c>
      <c r="E576" s="794" t="s">
        <v>1563</v>
      </c>
      <c r="F576" s="795" t="s">
        <v>1784</v>
      </c>
      <c r="G576" s="796">
        <f>SUMIFS(МОЛОКО!L8:L6958,МОЛОКО!F8:F6958,"2873",МОЛОКО!L8:L6958,"&gt;0")</f>
        <v>0</v>
      </c>
      <c r="H576" s="797" t="s">
        <v>603</v>
      </c>
      <c r="I576" s="798">
        <v>42447</v>
      </c>
      <c r="J576" s="799">
        <f t="shared" ca="1" si="428"/>
        <v>1.8821917808219177</v>
      </c>
      <c r="K576" s="799">
        <f t="shared" ca="1" si="429"/>
        <v>22.9</v>
      </c>
      <c r="L576" s="800">
        <f t="shared" ca="1" si="430"/>
        <v>687</v>
      </c>
      <c r="M576" s="801"/>
      <c r="N576" s="802"/>
      <c r="O576" s="803" t="str">
        <f t="shared" ca="1" si="431"/>
        <v>-</v>
      </c>
      <c r="P576" s="804"/>
      <c r="Q576" s="805" t="s">
        <v>1451</v>
      </c>
      <c r="R576" s="806" t="s">
        <v>2664</v>
      </c>
      <c r="S576" s="807">
        <v>42847</v>
      </c>
      <c r="T576" s="798">
        <v>42847</v>
      </c>
      <c r="U576" s="798" t="str">
        <f t="shared" si="432"/>
        <v>-</v>
      </c>
      <c r="V576" s="804" t="str">
        <f t="shared" ca="1" si="433"/>
        <v>-</v>
      </c>
      <c r="W576" s="808">
        <v>1</v>
      </c>
      <c r="X576" s="794" t="str">
        <f t="shared" si="479"/>
        <v>-</v>
      </c>
      <c r="Y576" s="794">
        <v>1</v>
      </c>
      <c r="Z576" s="809" t="str">
        <f t="shared" ca="1" si="434"/>
        <v>ПОДЛЕЖИТ ПЕРЕПРОВЕРКЕ</v>
      </c>
      <c r="AA576" s="810">
        <f t="shared" ca="1" si="435"/>
        <v>287</v>
      </c>
      <c r="AB576" s="804"/>
      <c r="AC576" s="811">
        <f t="shared" ca="1" si="436"/>
        <v>42919</v>
      </c>
      <c r="AD576" s="798"/>
      <c r="AE576" s="794" t="str">
        <f t="shared" ca="1" si="437"/>
        <v>-</v>
      </c>
      <c r="AF576" s="798" t="str">
        <f t="shared" si="438"/>
        <v>-</v>
      </c>
      <c r="AG576" s="812" t="str">
        <f t="shared" si="439"/>
        <v>---------</v>
      </c>
      <c r="AH576" s="807">
        <v>42904</v>
      </c>
      <c r="AI576" s="807" t="str">
        <f t="shared" si="440"/>
        <v>-</v>
      </c>
      <c r="AJ576" s="807" t="str">
        <f t="shared" si="441"/>
        <v>-</v>
      </c>
      <c r="AK576" s="813"/>
      <c r="AL576" s="807">
        <f t="shared" si="442"/>
        <v>43106</v>
      </c>
      <c r="AM576" s="807">
        <f t="shared" si="443"/>
        <v>43127</v>
      </c>
      <c r="AN576" s="814">
        <f t="shared" ca="1" si="444"/>
        <v>7</v>
      </c>
      <c r="AO576" s="815">
        <v>1</v>
      </c>
      <c r="AP576" s="816" t="str">
        <f t="shared" ca="1" si="445"/>
        <v>-</v>
      </c>
      <c r="AQ576" s="817"/>
      <c r="AR576" s="794" t="str">
        <f t="shared" si="446"/>
        <v>НЕТЕЛЬ</v>
      </c>
      <c r="AS576" s="818"/>
      <c r="AT576" s="794" t="str">
        <f t="shared" si="447"/>
        <v>-</v>
      </c>
      <c r="AU576" s="819"/>
      <c r="AV576" s="820"/>
      <c r="AW576" s="821"/>
      <c r="AX576" s="821"/>
      <c r="AY576" s="969" t="str">
        <f t="shared" si="448"/>
        <v>-</v>
      </c>
      <c r="AZ576" s="966" t="str">
        <f t="shared" si="449"/>
        <v>-</v>
      </c>
      <c r="BA576" s="971" t="str">
        <f t="shared" si="450"/>
        <v>-</v>
      </c>
      <c r="BB576" s="975"/>
      <c r="BC576" s="821"/>
      <c r="BD576" s="821"/>
      <c r="BE576" s="963" t="str">
        <f t="shared" si="451"/>
        <v>-</v>
      </c>
      <c r="BF576" s="984"/>
      <c r="BG576" s="988"/>
      <c r="BH576" s="982"/>
      <c r="BI576" s="991"/>
      <c r="BJ576" s="991"/>
      <c r="BK576" s="993" t="str">
        <f t="shared" si="452"/>
        <v>-</v>
      </c>
      <c r="BL576" s="820">
        <v>42978</v>
      </c>
      <c r="BM576" s="821">
        <v>5</v>
      </c>
      <c r="BN576" s="822">
        <f t="shared" ca="1" si="453"/>
        <v>156</v>
      </c>
      <c r="BO576" s="823">
        <f t="shared" si="454"/>
        <v>17.7</v>
      </c>
      <c r="BP576" s="824"/>
      <c r="BQ576" s="821"/>
      <c r="BR576" s="822" t="str">
        <f t="shared" si="455"/>
        <v>-</v>
      </c>
      <c r="BS576" s="823" t="str">
        <f t="shared" si="456"/>
        <v>-</v>
      </c>
      <c r="BT576" s="825" t="str">
        <f t="shared" ca="1" si="457"/>
        <v>-</v>
      </c>
      <c r="BU576" s="826"/>
      <c r="BV576" s="827"/>
      <c r="BW576" s="828" t="str">
        <f t="shared" si="458"/>
        <v>Ж-Е НЕ ВАКЦ.</v>
      </c>
      <c r="BX576" s="829" t="str">
        <f t="shared" si="459"/>
        <v>-</v>
      </c>
      <c r="BY576" s="830" t="str">
        <f t="shared" ca="1" si="460"/>
        <v>-</v>
      </c>
      <c r="BZ576" s="831">
        <v>42891</v>
      </c>
      <c r="CA576" s="832">
        <v>5</v>
      </c>
      <c r="CB576" s="833">
        <f t="shared" ca="1" si="461"/>
        <v>243</v>
      </c>
      <c r="CC576" s="834" t="str">
        <f t="shared" ca="1" si="462"/>
        <v>-</v>
      </c>
      <c r="CD576" s="835">
        <f t="shared" si="463"/>
        <v>42912</v>
      </c>
      <c r="CE576" s="831">
        <v>42912</v>
      </c>
      <c r="CF576" s="832">
        <v>5</v>
      </c>
      <c r="CG576" s="833">
        <f t="shared" ca="1" si="464"/>
        <v>222</v>
      </c>
      <c r="CH576" s="836">
        <f t="shared" si="465"/>
        <v>0</v>
      </c>
      <c r="CI576" s="837" t="str">
        <f t="shared" si="466"/>
        <v>УСПЕШНО</v>
      </c>
      <c r="CJ576" s="838" t="str">
        <f t="shared" ca="1" si="467"/>
        <v>-</v>
      </c>
      <c r="CK576" s="831"/>
      <c r="CL576" s="832"/>
      <c r="CM576" s="833" t="str">
        <f t="shared" si="468"/>
        <v>-</v>
      </c>
      <c r="CN576" s="834" t="str">
        <f t="shared" si="469"/>
        <v>-</v>
      </c>
      <c r="CO576" s="830" t="str">
        <f t="shared" ca="1" si="470"/>
        <v>ТРЕБУЕТСЯ ВАКЦИНАЦИЯ</v>
      </c>
      <c r="CP576" s="839"/>
      <c r="CQ576" s="832"/>
      <c r="CR576" s="833" t="str">
        <f t="shared" si="471"/>
        <v>-</v>
      </c>
      <c r="CS576" s="833" t="str">
        <f t="shared" si="472"/>
        <v>-</v>
      </c>
      <c r="CT576" s="834" t="str">
        <f t="shared" si="473"/>
        <v>-</v>
      </c>
      <c r="CU576" s="835" t="str">
        <f t="shared" si="474"/>
        <v>-</v>
      </c>
      <c r="CV576" s="839"/>
      <c r="CW576" s="832"/>
      <c r="CX576" s="833" t="str">
        <f t="shared" si="475"/>
        <v>-</v>
      </c>
      <c r="CY576" s="840" t="str">
        <f t="shared" si="476"/>
        <v>-</v>
      </c>
      <c r="CZ576" s="833" t="str">
        <f t="shared" si="477"/>
        <v>-</v>
      </c>
      <c r="DA576" s="838" t="str">
        <f t="shared" ca="1" si="478"/>
        <v>-</v>
      </c>
      <c r="DB576" s="841"/>
      <c r="DC576" s="832"/>
    </row>
    <row r="577" spans="1:107" s="842" customFormat="1" ht="15.95" customHeight="1" x14ac:dyDescent="0.25">
      <c r="A577" s="790">
        <v>579</v>
      </c>
      <c r="B577" s="791">
        <f t="shared" ca="1" si="427"/>
        <v>43134</v>
      </c>
      <c r="C577" s="847" t="s">
        <v>2554</v>
      </c>
      <c r="D577" s="793" t="s">
        <v>2586</v>
      </c>
      <c r="E577" s="794" t="s">
        <v>1563</v>
      </c>
      <c r="F577" s="795" t="s">
        <v>1770</v>
      </c>
      <c r="G577" s="796">
        <f>SUMIFS(МОЛОКО!L8:L6958,МОЛОКО!F8:F6958,"2875",МОЛОКО!L8:L6958,"&gt;0")</f>
        <v>0</v>
      </c>
      <c r="H577" s="797" t="s">
        <v>603</v>
      </c>
      <c r="I577" s="798">
        <v>42448</v>
      </c>
      <c r="J577" s="799">
        <f t="shared" ca="1" si="428"/>
        <v>1.8794520547945206</v>
      </c>
      <c r="K577" s="799">
        <f t="shared" ca="1" si="429"/>
        <v>22.866666666666667</v>
      </c>
      <c r="L577" s="800">
        <f t="shared" ca="1" si="430"/>
        <v>686</v>
      </c>
      <c r="M577" s="801"/>
      <c r="N577" s="802"/>
      <c r="O577" s="803" t="str">
        <f t="shared" ca="1" si="431"/>
        <v>-</v>
      </c>
      <c r="P577" s="804"/>
      <c r="Q577" s="805" t="s">
        <v>1451</v>
      </c>
      <c r="R577" s="806" t="s">
        <v>1876</v>
      </c>
      <c r="S577" s="807">
        <v>42870</v>
      </c>
      <c r="T577" s="798">
        <v>42870</v>
      </c>
      <c r="U577" s="798" t="str">
        <f t="shared" si="432"/>
        <v>-</v>
      </c>
      <c r="V577" s="804" t="str">
        <f t="shared" ca="1" si="433"/>
        <v>-</v>
      </c>
      <c r="W577" s="808">
        <v>1</v>
      </c>
      <c r="X577" s="794" t="str">
        <f t="shared" si="479"/>
        <v>-</v>
      </c>
      <c r="Y577" s="794">
        <v>1</v>
      </c>
      <c r="Z577" s="809" t="str">
        <f t="shared" ca="1" si="434"/>
        <v>ПОДЛЕЖИТ ПЕРЕПРОВЕРКЕ</v>
      </c>
      <c r="AA577" s="810">
        <f t="shared" ca="1" si="435"/>
        <v>264</v>
      </c>
      <c r="AB577" s="804"/>
      <c r="AC577" s="811">
        <f t="shared" ca="1" si="436"/>
        <v>42942</v>
      </c>
      <c r="AD577" s="798"/>
      <c r="AE577" s="794" t="str">
        <f t="shared" ca="1" si="437"/>
        <v>-</v>
      </c>
      <c r="AF577" s="798" t="str">
        <f t="shared" si="438"/>
        <v>-</v>
      </c>
      <c r="AG577" s="812" t="str">
        <f t="shared" si="439"/>
        <v>---------</v>
      </c>
      <c r="AH577" s="807">
        <v>42931</v>
      </c>
      <c r="AI577" s="807" t="str">
        <f t="shared" si="440"/>
        <v>-</v>
      </c>
      <c r="AJ577" s="807" t="str">
        <f t="shared" si="441"/>
        <v>-</v>
      </c>
      <c r="AK577" s="813"/>
      <c r="AL577" s="807">
        <f t="shared" si="442"/>
        <v>43129</v>
      </c>
      <c r="AM577" s="807">
        <f t="shared" si="443"/>
        <v>43150</v>
      </c>
      <c r="AN577" s="814">
        <f t="shared" ca="1" si="444"/>
        <v>-16</v>
      </c>
      <c r="AO577" s="815">
        <v>1</v>
      </c>
      <c r="AP577" s="816" t="str">
        <f t="shared" ca="1" si="445"/>
        <v>-</v>
      </c>
      <c r="AQ577" s="817"/>
      <c r="AR577" s="794" t="str">
        <f t="shared" si="446"/>
        <v>НЕТЕЛЬ</v>
      </c>
      <c r="AS577" s="818"/>
      <c r="AT577" s="794" t="str">
        <f t="shared" si="447"/>
        <v>-</v>
      </c>
      <c r="AU577" s="819"/>
      <c r="AV577" s="820"/>
      <c r="AW577" s="821"/>
      <c r="AX577" s="821"/>
      <c r="AY577" s="969" t="str">
        <f t="shared" si="448"/>
        <v>-</v>
      </c>
      <c r="AZ577" s="966" t="str">
        <f t="shared" si="449"/>
        <v>-</v>
      </c>
      <c r="BA577" s="971" t="str">
        <f t="shared" si="450"/>
        <v>-</v>
      </c>
      <c r="BB577" s="975"/>
      <c r="BC577" s="821"/>
      <c r="BD577" s="821"/>
      <c r="BE577" s="963" t="str">
        <f t="shared" si="451"/>
        <v>-</v>
      </c>
      <c r="BF577" s="984"/>
      <c r="BG577" s="988"/>
      <c r="BH577" s="982"/>
      <c r="BI577" s="991"/>
      <c r="BJ577" s="991"/>
      <c r="BK577" s="993" t="str">
        <f t="shared" si="452"/>
        <v>-</v>
      </c>
      <c r="BL577" s="820">
        <v>42978</v>
      </c>
      <c r="BM577" s="821">
        <v>5</v>
      </c>
      <c r="BN577" s="822">
        <f t="shared" ca="1" si="453"/>
        <v>156</v>
      </c>
      <c r="BO577" s="823">
        <f t="shared" si="454"/>
        <v>17.666666666666668</v>
      </c>
      <c r="BP577" s="824"/>
      <c r="BQ577" s="821"/>
      <c r="BR577" s="822" t="str">
        <f t="shared" si="455"/>
        <v>-</v>
      </c>
      <c r="BS577" s="823" t="str">
        <f t="shared" si="456"/>
        <v>-</v>
      </c>
      <c r="BT577" s="825" t="str">
        <f t="shared" ca="1" si="457"/>
        <v>-</v>
      </c>
      <c r="BU577" s="826"/>
      <c r="BV577" s="827"/>
      <c r="BW577" s="828" t="str">
        <f t="shared" si="458"/>
        <v>Ж-Е НЕ ВАКЦ.</v>
      </c>
      <c r="BX577" s="829" t="str">
        <f t="shared" si="459"/>
        <v>-</v>
      </c>
      <c r="BY577" s="830" t="str">
        <f t="shared" ca="1" si="460"/>
        <v>-</v>
      </c>
      <c r="BZ577" s="831">
        <v>42891</v>
      </c>
      <c r="CA577" s="832">
        <v>5</v>
      </c>
      <c r="CB577" s="833">
        <f t="shared" ca="1" si="461"/>
        <v>243</v>
      </c>
      <c r="CC577" s="834" t="str">
        <f t="shared" ca="1" si="462"/>
        <v>-</v>
      </c>
      <c r="CD577" s="835">
        <f t="shared" si="463"/>
        <v>42912</v>
      </c>
      <c r="CE577" s="831">
        <v>42912</v>
      </c>
      <c r="CF577" s="832">
        <v>5</v>
      </c>
      <c r="CG577" s="833">
        <f t="shared" ca="1" si="464"/>
        <v>222</v>
      </c>
      <c r="CH577" s="836">
        <f t="shared" si="465"/>
        <v>0</v>
      </c>
      <c r="CI577" s="837" t="str">
        <f t="shared" si="466"/>
        <v>УСПЕШНО</v>
      </c>
      <c r="CJ577" s="838" t="str">
        <f t="shared" ca="1" si="467"/>
        <v>-</v>
      </c>
      <c r="CK577" s="831"/>
      <c r="CL577" s="832"/>
      <c r="CM577" s="833" t="str">
        <f t="shared" si="468"/>
        <v>-</v>
      </c>
      <c r="CN577" s="834" t="str">
        <f t="shared" si="469"/>
        <v>-</v>
      </c>
      <c r="CO577" s="830" t="str">
        <f t="shared" ca="1" si="470"/>
        <v>ТРЕБУЕТСЯ ВАКЦИНАЦИЯ</v>
      </c>
      <c r="CP577" s="839"/>
      <c r="CQ577" s="832"/>
      <c r="CR577" s="833" t="str">
        <f t="shared" si="471"/>
        <v>-</v>
      </c>
      <c r="CS577" s="833" t="str">
        <f t="shared" si="472"/>
        <v>-</v>
      </c>
      <c r="CT577" s="834" t="str">
        <f t="shared" si="473"/>
        <v>-</v>
      </c>
      <c r="CU577" s="835" t="str">
        <f t="shared" si="474"/>
        <v>-</v>
      </c>
      <c r="CV577" s="839"/>
      <c r="CW577" s="832"/>
      <c r="CX577" s="833" t="str">
        <f t="shared" si="475"/>
        <v>-</v>
      </c>
      <c r="CY577" s="840" t="str">
        <f t="shared" si="476"/>
        <v>-</v>
      </c>
      <c r="CZ577" s="833" t="str">
        <f t="shared" si="477"/>
        <v>-</v>
      </c>
      <c r="DA577" s="838" t="str">
        <f t="shared" ca="1" si="478"/>
        <v>-</v>
      </c>
      <c r="DB577" s="841"/>
      <c r="DC577" s="832"/>
    </row>
    <row r="578" spans="1:107" s="842" customFormat="1" ht="15.95" customHeight="1" x14ac:dyDescent="0.25">
      <c r="A578" s="790">
        <v>580</v>
      </c>
      <c r="B578" s="791">
        <f t="shared" ca="1" si="427"/>
        <v>43134</v>
      </c>
      <c r="C578" s="792" t="s">
        <v>2554</v>
      </c>
      <c r="D578" s="793" t="s">
        <v>2586</v>
      </c>
      <c r="E578" s="794" t="s">
        <v>1563</v>
      </c>
      <c r="F578" s="795" t="s">
        <v>1771</v>
      </c>
      <c r="G578" s="796">
        <f>SUMIFS(МОЛОКО!L8:L6958,МОЛОКО!F8:F6958,"2877",МОЛОКО!L8:L6958,"&gt;0")</f>
        <v>0</v>
      </c>
      <c r="H578" s="797" t="s">
        <v>603</v>
      </c>
      <c r="I578" s="798">
        <v>42450</v>
      </c>
      <c r="J578" s="799">
        <f t="shared" ca="1" si="428"/>
        <v>1.8739726027397261</v>
      </c>
      <c r="K578" s="799">
        <f t="shared" ca="1" si="429"/>
        <v>22.8</v>
      </c>
      <c r="L578" s="800">
        <f t="shared" ca="1" si="430"/>
        <v>684</v>
      </c>
      <c r="M578" s="801"/>
      <c r="N578" s="802"/>
      <c r="O578" s="803" t="str">
        <f t="shared" ca="1" si="431"/>
        <v>-</v>
      </c>
      <c r="P578" s="804"/>
      <c r="Q578" s="805" t="s">
        <v>1451</v>
      </c>
      <c r="R578" s="806" t="s">
        <v>1876</v>
      </c>
      <c r="S578" s="807">
        <v>42889</v>
      </c>
      <c r="T578" s="798">
        <v>42908</v>
      </c>
      <c r="U578" s="798" t="str">
        <f t="shared" si="432"/>
        <v>-</v>
      </c>
      <c r="V578" s="804" t="str">
        <f t="shared" ca="1" si="433"/>
        <v>-</v>
      </c>
      <c r="W578" s="808">
        <v>2</v>
      </c>
      <c r="X578" s="794" t="str">
        <f t="shared" si="479"/>
        <v>-</v>
      </c>
      <c r="Y578" s="794">
        <v>1</v>
      </c>
      <c r="Z578" s="809" t="str">
        <f t="shared" ca="1" si="434"/>
        <v>ПОДЛЕЖИТ ПЕРЕПРОВЕРКЕ</v>
      </c>
      <c r="AA578" s="810">
        <f t="shared" ca="1" si="435"/>
        <v>226</v>
      </c>
      <c r="AB578" s="804"/>
      <c r="AC578" s="811">
        <f t="shared" ca="1" si="436"/>
        <v>42980</v>
      </c>
      <c r="AD578" s="798"/>
      <c r="AE578" s="794" t="str">
        <f t="shared" ca="1" si="437"/>
        <v>-</v>
      </c>
      <c r="AF578" s="798" t="str">
        <f t="shared" si="438"/>
        <v>-</v>
      </c>
      <c r="AG578" s="812" t="str">
        <f t="shared" si="439"/>
        <v>---------</v>
      </c>
      <c r="AH578" s="807">
        <v>42969</v>
      </c>
      <c r="AI578" s="807" t="str">
        <f t="shared" si="440"/>
        <v>-</v>
      </c>
      <c r="AJ578" s="807" t="str">
        <f t="shared" si="441"/>
        <v>-</v>
      </c>
      <c r="AK578" s="813"/>
      <c r="AL578" s="807">
        <f t="shared" si="442"/>
        <v>43167</v>
      </c>
      <c r="AM578" s="807">
        <f t="shared" si="443"/>
        <v>43188</v>
      </c>
      <c r="AN578" s="814">
        <f t="shared" ca="1" si="444"/>
        <v>-54</v>
      </c>
      <c r="AO578" s="815">
        <v>1</v>
      </c>
      <c r="AP578" s="816" t="str">
        <f t="shared" ca="1" si="445"/>
        <v>-</v>
      </c>
      <c r="AQ578" s="817"/>
      <c r="AR578" s="794" t="str">
        <f t="shared" si="446"/>
        <v>НЕТЕЛЬ</v>
      </c>
      <c r="AS578" s="818"/>
      <c r="AT578" s="794" t="str">
        <f t="shared" si="447"/>
        <v>-</v>
      </c>
      <c r="AU578" s="819"/>
      <c r="AV578" s="820"/>
      <c r="AW578" s="821"/>
      <c r="AX578" s="821"/>
      <c r="AY578" s="969" t="str">
        <f t="shared" si="448"/>
        <v>-</v>
      </c>
      <c r="AZ578" s="966" t="str">
        <f t="shared" si="449"/>
        <v>-</v>
      </c>
      <c r="BA578" s="971" t="str">
        <f t="shared" si="450"/>
        <v>-</v>
      </c>
      <c r="BB578" s="975"/>
      <c r="BC578" s="821"/>
      <c r="BD578" s="821"/>
      <c r="BE578" s="963" t="str">
        <f t="shared" si="451"/>
        <v>-</v>
      </c>
      <c r="BF578" s="984"/>
      <c r="BG578" s="988"/>
      <c r="BH578" s="982"/>
      <c r="BI578" s="991"/>
      <c r="BJ578" s="991"/>
      <c r="BK578" s="993" t="str">
        <f t="shared" si="452"/>
        <v>-</v>
      </c>
      <c r="BL578" s="820">
        <v>42978</v>
      </c>
      <c r="BM578" s="821">
        <v>5</v>
      </c>
      <c r="BN578" s="822">
        <f t="shared" ca="1" si="453"/>
        <v>156</v>
      </c>
      <c r="BO578" s="823">
        <f t="shared" si="454"/>
        <v>17.600000000000001</v>
      </c>
      <c r="BP578" s="824"/>
      <c r="BQ578" s="821"/>
      <c r="BR578" s="822" t="str">
        <f t="shared" si="455"/>
        <v>-</v>
      </c>
      <c r="BS578" s="823" t="str">
        <f t="shared" si="456"/>
        <v>-</v>
      </c>
      <c r="BT578" s="825" t="str">
        <f t="shared" ca="1" si="457"/>
        <v>-</v>
      </c>
      <c r="BU578" s="826"/>
      <c r="BV578" s="827"/>
      <c r="BW578" s="828" t="str">
        <f t="shared" si="458"/>
        <v>Ж-Е НЕ ВАКЦ.</v>
      </c>
      <c r="BX578" s="829" t="str">
        <f t="shared" si="459"/>
        <v>-</v>
      </c>
      <c r="BY578" s="830" t="str">
        <f t="shared" ca="1" si="460"/>
        <v>-</v>
      </c>
      <c r="BZ578" s="831">
        <v>42891</v>
      </c>
      <c r="CA578" s="832">
        <v>5</v>
      </c>
      <c r="CB578" s="833">
        <f t="shared" ca="1" si="461"/>
        <v>243</v>
      </c>
      <c r="CC578" s="834" t="str">
        <f t="shared" ca="1" si="462"/>
        <v>-</v>
      </c>
      <c r="CD578" s="835">
        <f t="shared" si="463"/>
        <v>42912</v>
      </c>
      <c r="CE578" s="831">
        <v>42912</v>
      </c>
      <c r="CF578" s="832">
        <v>5</v>
      </c>
      <c r="CG578" s="833">
        <f t="shared" ca="1" si="464"/>
        <v>222</v>
      </c>
      <c r="CH578" s="836">
        <f t="shared" si="465"/>
        <v>0</v>
      </c>
      <c r="CI578" s="837" t="str">
        <f t="shared" si="466"/>
        <v>УСПЕШНО</v>
      </c>
      <c r="CJ578" s="838" t="str">
        <f t="shared" ca="1" si="467"/>
        <v>-</v>
      </c>
      <c r="CK578" s="831"/>
      <c r="CL578" s="832"/>
      <c r="CM578" s="833" t="str">
        <f t="shared" si="468"/>
        <v>-</v>
      </c>
      <c r="CN578" s="834" t="str">
        <f t="shared" si="469"/>
        <v>-</v>
      </c>
      <c r="CO578" s="830" t="str">
        <f t="shared" ca="1" si="470"/>
        <v>ТРЕБУЕТСЯ ВАКЦИНАЦИЯ</v>
      </c>
      <c r="CP578" s="839"/>
      <c r="CQ578" s="832"/>
      <c r="CR578" s="833" t="str">
        <f t="shared" si="471"/>
        <v>-</v>
      </c>
      <c r="CS578" s="833" t="str">
        <f t="shared" si="472"/>
        <v>-</v>
      </c>
      <c r="CT578" s="834" t="str">
        <f t="shared" si="473"/>
        <v>-</v>
      </c>
      <c r="CU578" s="835" t="str">
        <f t="shared" si="474"/>
        <v>-</v>
      </c>
      <c r="CV578" s="839"/>
      <c r="CW578" s="832"/>
      <c r="CX578" s="833" t="str">
        <f t="shared" si="475"/>
        <v>-</v>
      </c>
      <c r="CY578" s="840" t="str">
        <f t="shared" si="476"/>
        <v>-</v>
      </c>
      <c r="CZ578" s="833" t="str">
        <f t="shared" si="477"/>
        <v>-</v>
      </c>
      <c r="DA578" s="838" t="str">
        <f t="shared" ca="1" si="478"/>
        <v>-</v>
      </c>
      <c r="DB578" s="841"/>
      <c r="DC578" s="832"/>
    </row>
    <row r="579" spans="1:107" s="842" customFormat="1" ht="15.95" customHeight="1" x14ac:dyDescent="0.25">
      <c r="A579" s="790">
        <v>581</v>
      </c>
      <c r="B579" s="791">
        <f t="shared" ref="B579:B642" ca="1" si="480">TODAY()</f>
        <v>43134</v>
      </c>
      <c r="C579" s="847" t="s">
        <v>2554</v>
      </c>
      <c r="D579" s="793" t="s">
        <v>2586</v>
      </c>
      <c r="E579" s="794" t="s">
        <v>1563</v>
      </c>
      <c r="F579" s="795" t="s">
        <v>1739</v>
      </c>
      <c r="G579" s="796">
        <f>SUMIFS(МОЛОКО!L8:L6958,МОЛОКО!F8:F6958,"2878",МОЛОКО!L8:L6958,"&gt;0")</f>
        <v>0</v>
      </c>
      <c r="H579" s="797" t="s">
        <v>603</v>
      </c>
      <c r="I579" s="798">
        <v>42452</v>
      </c>
      <c r="J579" s="799">
        <f t="shared" ref="J579:J642" ca="1" si="481">(B579-I579)/365</f>
        <v>1.8684931506849316</v>
      </c>
      <c r="K579" s="799">
        <f t="shared" ref="K579:K642" ca="1" si="482">(B579-I579)/30</f>
        <v>22.733333333333334</v>
      </c>
      <c r="L579" s="800">
        <f t="shared" ref="L579:L642" ca="1" si="483">B579-I579</f>
        <v>682</v>
      </c>
      <c r="M579" s="801"/>
      <c r="N579" s="802"/>
      <c r="O579" s="803" t="str">
        <f t="shared" ref="O579:O642" ca="1" si="484">IF(AND(B579&gt;0,N579&gt;0),B579-N579,"-")</f>
        <v>-</v>
      </c>
      <c r="P579" s="804"/>
      <c r="Q579" s="805" t="s">
        <v>1451</v>
      </c>
      <c r="R579" s="806" t="s">
        <v>1876</v>
      </c>
      <c r="S579" s="807">
        <v>42813</v>
      </c>
      <c r="T579" s="798">
        <v>42813</v>
      </c>
      <c r="U579" s="798" t="str">
        <f t="shared" ref="U579:U642" si="485">IF(AND(Y579&gt;1,T579&gt;0),T579+18,"-")</f>
        <v>-</v>
      </c>
      <c r="V579" s="804" t="str">
        <f t="shared" ref="V579:V642" ca="1" si="486">IF(AND(U579&gt;0,B579&gt;0,Y579&gt;1),B579-U579,"-")</f>
        <v>-</v>
      </c>
      <c r="W579" s="808">
        <v>1</v>
      </c>
      <c r="X579" s="794" t="str">
        <f t="shared" si="479"/>
        <v>-</v>
      </c>
      <c r="Y579" s="794">
        <v>1</v>
      </c>
      <c r="Z579" s="809" t="str">
        <f t="shared" ref="Z579:Z642" ca="1" si="487">IF(AND(Y579=1,AA579&gt;71,OR(ISBLANK(AB579),AB579=2)),"ПОДЛЕЖИТ ПЕРЕПРОВЕРКЕ","-----")</f>
        <v>ПОДЛЕЖИТ ПЕРЕПРОВЕРКЕ</v>
      </c>
      <c r="AA579" s="810">
        <f t="shared" ref="AA579:AA642" ca="1" si="488">IF(AND(O579&gt;-1,W579&gt;0,Y579=1,AB579=1),"-----",B579-T579)</f>
        <v>321</v>
      </c>
      <c r="AB579" s="804"/>
      <c r="AC579" s="811">
        <f t="shared" ref="AC579:AC642" ca="1" si="489">IF(AND(AB579&lt;1,Z579="ПОДЛЕЖИТ ПЕРЕПРОВЕРКЕ",Y579=1),T579+72,"-----")</f>
        <v>42885</v>
      </c>
      <c r="AD579" s="798"/>
      <c r="AE579" s="794" t="str">
        <f t="shared" ref="AE579:AE642" ca="1" si="490">IF(AND(O579&gt;120,Y579=0,N579&gt;0),"яловая","-")</f>
        <v>-</v>
      </c>
      <c r="AF579" s="798" t="str">
        <f t="shared" ref="AF579:AF642" si="491">IF(AND(T579&gt;0,OR(Y579=3,Y579=2)),T579+35,"-")</f>
        <v>-</v>
      </c>
      <c r="AG579" s="812" t="str">
        <f t="shared" ref="AG579:AG642" si="492">IF(AND(T579&gt;0,W579&gt;0,Q579&gt;0,OR(Y579=3,Y579=2)),B579-AF579,"---------")</f>
        <v>---------</v>
      </c>
      <c r="AH579" s="807">
        <v>42881</v>
      </c>
      <c r="AI579" s="807" t="str">
        <f t="shared" ref="AI579:AI642" si="493">IF(AND($T579&gt;0,$N579&gt;0,$Y579=1),$T579+280-90,"-")</f>
        <v>-</v>
      </c>
      <c r="AJ579" s="807" t="str">
        <f t="shared" ref="AJ579:AJ642" si="494">IF(AND(T579&gt;0,Y579=1,N579&gt;0),T579+280-60,"-")</f>
        <v>-</v>
      </c>
      <c r="AK579" s="813"/>
      <c r="AL579" s="807">
        <f t="shared" ref="AL579:AL642" si="495">IF(AND($T579&gt;0,$Y579=1),$T579+280-21,"-")</f>
        <v>43072</v>
      </c>
      <c r="AM579" s="807">
        <f t="shared" ref="AM579:AM642" si="496">IF(AND(T579&gt;0,Y579=1),T579+280,"-")</f>
        <v>43093</v>
      </c>
      <c r="AN579" s="814">
        <f t="shared" ref="AN579:AN642" ca="1" si="497">IF(AND(B579&gt;0,AM579&gt;0,AH579&gt;0,Y579=1),B579-AM579,"-")</f>
        <v>41</v>
      </c>
      <c r="AO579" s="815">
        <v>1</v>
      </c>
      <c r="AP579" s="816" t="str">
        <f t="shared" ref="AP579:AP642" ca="1" si="498">IF(AND(AE579="яловая",O579&gt;300),"БРАК","-")</f>
        <v>-</v>
      </c>
      <c r="AQ579" s="817"/>
      <c r="AR579" s="794" t="str">
        <f t="shared" ref="AR579:AR642" si="499">IF(AND(Y579=1,P579=0),"НЕТЕЛЬ","-")</f>
        <v>НЕТЕЛЬ</v>
      </c>
      <c r="AS579" s="818"/>
      <c r="AT579" s="794" t="str">
        <f t="shared" ref="AT579:AT642" si="500">IF(AND(N579&gt;0,T579&gt;0,W579&gt;0,Y579=1,AH579&gt;0,AK579&gt;0),"DRY COW","-")</f>
        <v>-</v>
      </c>
      <c r="AU579" s="819"/>
      <c r="AV579" s="820"/>
      <c r="AW579" s="821"/>
      <c r="AX579" s="821"/>
      <c r="AY579" s="969" t="str">
        <f t="shared" ref="AY579:AY642" si="501">IF(AND(AV579&gt;0,AW579&gt;0,AX579&gt;0),B579-AV579,"-")</f>
        <v>-</v>
      </c>
      <c r="AZ579" s="966" t="str">
        <f t="shared" ref="AZ579:AZ642" si="502">IF(AND(AV579&gt;0,AW579&gt;0,AX579&gt;0,AY579&gt;10,BB579=0,BC579=0,BD579=0),"РЕВАКЦИНАЦИЯ","-")</f>
        <v>-</v>
      </c>
      <c r="BA579" s="971" t="str">
        <f t="shared" ref="BA579:BA642" si="503">IF(AND(AV579&gt;0,AW579&gt;0,AX579&gt;0),AV579+10,"-")</f>
        <v>-</v>
      </c>
      <c r="BB579" s="975"/>
      <c r="BC579" s="821"/>
      <c r="BD579" s="821"/>
      <c r="BE579" s="963" t="str">
        <f t="shared" ref="BE579:BE642" si="504">IF(AND(BB579&gt;0,BC579&gt;0,BD579&gt;0),B579-BB579,"-")</f>
        <v>-</v>
      </c>
      <c r="BF579" s="984"/>
      <c r="BG579" s="988"/>
      <c r="BH579" s="982"/>
      <c r="BI579" s="991"/>
      <c r="BJ579" s="991"/>
      <c r="BK579" s="993" t="str">
        <f t="shared" ref="BK579:BK642" si="505">IF(AND(BF579&gt;0,BG579&gt;0,BH579&gt;0,BI579&gt;0,BJ579&gt;0),B579-BF579,"-")</f>
        <v>-</v>
      </c>
      <c r="BL579" s="820">
        <v>42978</v>
      </c>
      <c r="BM579" s="821">
        <v>5</v>
      </c>
      <c r="BN579" s="822">
        <f t="shared" ref="BN579:BN642" ca="1" si="506">IF(AND(BL579&gt;0,BM579&gt;0),B579-BL579,"-")</f>
        <v>156</v>
      </c>
      <c r="BO579" s="823">
        <f t="shared" ref="BO579:BO642" si="507">IF(AND(BL579&gt;0,BM579&gt;0),(BL579-I579)/30,"-")</f>
        <v>17.533333333333335</v>
      </c>
      <c r="BP579" s="824"/>
      <c r="BQ579" s="821"/>
      <c r="BR579" s="822" t="str">
        <f t="shared" ref="BR579:BR642" si="508">IF(AND(BP579&gt;0,BQ579&gt;0),B579-BP579,"-")</f>
        <v>-</v>
      </c>
      <c r="BS579" s="823" t="str">
        <f t="shared" ref="BS579:BS642" si="509">IF(AND(BP579&gt;0,BQ579&gt;0),(BP579-M579)/30,"-")</f>
        <v>-</v>
      </c>
      <c r="BT579" s="825" t="str">
        <f t="shared" ref="BT579:BT642" ca="1" si="510">IF(AND(OR(E579="тёлочка",E579="бычок"),L579&gt;0,BV579&lt;2,L579&lt;60),"ПОДЛЕЖИТ ВАКЦИНАЦИИ","-")</f>
        <v>-</v>
      </c>
      <c r="BU579" s="826"/>
      <c r="BV579" s="827"/>
      <c r="BW579" s="828" t="str">
        <f t="shared" ref="BW579:BW642" si="511">IF(AND(BU579&gt;0,BV579=2),BU579-I579,"Ж-Е НЕ ВАКЦ.")</f>
        <v>Ж-Е НЕ ВАКЦ.</v>
      </c>
      <c r="BX579" s="829" t="str">
        <f t="shared" ref="BX579:BX642" si="512">IF(AND(BU579&gt;0,BV579=2),B579-BU579,"-")</f>
        <v>-</v>
      </c>
      <c r="BY579" s="830" t="str">
        <f t="shared" ref="BY579:BY642" ca="1" si="513">IF(AND(L579&gt;42,CA579&lt;5),"ПОДЛЕЖИТ ВАКЦИНАЦИИ","-")</f>
        <v>-</v>
      </c>
      <c r="BZ579" s="831">
        <v>42894</v>
      </c>
      <c r="CA579" s="832">
        <v>5</v>
      </c>
      <c r="CB579" s="833">
        <f t="shared" ref="CB579:CB642" ca="1" si="514">IF(AND(BZ579&gt;0,CA579=5),B579-BZ579,"-")</f>
        <v>240</v>
      </c>
      <c r="CC579" s="834" t="str">
        <f t="shared" ref="CC579:CC642" ca="1" si="515">IF(AND(CA579=5,CB579&gt;20,CF579&lt;5),"ТРЕБУЕТСЯ БУСТЕРНАЯ ДОЗА","-")</f>
        <v>-</v>
      </c>
      <c r="CD579" s="835">
        <f t="shared" ref="CD579:CD642" si="516">IF(AND(BZ579&gt;0,CA579=5),BZ579+21,"-")</f>
        <v>42915</v>
      </c>
      <c r="CE579" s="831">
        <v>42915</v>
      </c>
      <c r="CF579" s="832">
        <v>5</v>
      </c>
      <c r="CG579" s="833">
        <f t="shared" ref="CG579:CG642" ca="1" si="517">IF(AND(CE579&gt;0,CF579=5),B579-CE579,"-")</f>
        <v>219</v>
      </c>
      <c r="CH579" s="836">
        <f t="shared" ref="CH579:CH642" si="518">IF(AND(CD579&gt;0,CE579&gt;0,CF579=5),CD579-CE579,"-")</f>
        <v>0</v>
      </c>
      <c r="CI579" s="837" t="str">
        <f t="shared" ref="CI579:CI642" si="519">IF(AND(CF579=5,CH579=0),"УСПЕШНО","-")</f>
        <v>УСПЕШНО</v>
      </c>
      <c r="CJ579" s="838" t="str">
        <f t="shared" ref="CJ579:CJ642" ca="1" si="520">IF(AND(BZ579&gt;0,CA579=5,CE579&gt;0,CF579=5,CG579&gt;240,CL579&lt;5),"НЕОБХОДИМА РЕВАКЦИНАЦИЯ","-")</f>
        <v>-</v>
      </c>
      <c r="CK579" s="831"/>
      <c r="CL579" s="832"/>
      <c r="CM579" s="833" t="str">
        <f t="shared" ref="CM579:CM642" si="521">IF(AND(CK579&gt;0,CL579=5),N579-CK579,"-")</f>
        <v>-</v>
      </c>
      <c r="CN579" s="834" t="str">
        <f t="shared" ref="CN579:CN642" si="522">IF(AND(CK579&gt;0,CL579=5,CM579&gt;240),"НЕОБХОДИМА РЕВАКЦИНАЦИЯ","-")</f>
        <v>-</v>
      </c>
      <c r="CO579" s="830" t="str">
        <f t="shared" ref="CO579:CO642" ca="1" si="523">IF(AND(Y579=1,AN579&gt;-70,CQ579&lt;2),"ТРЕБУЕТСЯ ВАКЦИНАЦИЯ","-")</f>
        <v>-</v>
      </c>
      <c r="CP579" s="831">
        <v>43031</v>
      </c>
      <c r="CQ579" s="832">
        <v>2</v>
      </c>
      <c r="CR579" s="833">
        <f t="shared" ref="CR579:CR642" si="524">IF(AND(CP579&gt;0,CQ579=2),CP579-T579,"-")</f>
        <v>218</v>
      </c>
      <c r="CS579" s="833">
        <f t="shared" ref="CS579:CS642" ca="1" si="525">IF(AND(CP579&gt;0,CQ579=2),B579-CP579,"-")</f>
        <v>103</v>
      </c>
      <c r="CT579" s="834" t="str">
        <f t="shared" ref="CT579:CT642" ca="1" si="526">IF(AND(CQ579=2,CS579&gt;20,CW579&lt;2),"ТРЕБУЕТСЯ БУСТЕРНАЯ ДОЗА","-")</f>
        <v>-</v>
      </c>
      <c r="CU579" s="835">
        <f t="shared" ref="CU579:CU642" si="527">IF(AND(CP579&gt;0,CQ579=2),CP579+21,"-")</f>
        <v>43052</v>
      </c>
      <c r="CV579" s="831">
        <v>43052</v>
      </c>
      <c r="CW579" s="832">
        <v>2</v>
      </c>
      <c r="CX579" s="833">
        <f t="shared" ref="CX579:CX642" si="528">IF(AND(CU579&gt;0,CV579&gt;0,CW579=2),CV579-CU579,"-")</f>
        <v>0</v>
      </c>
      <c r="CY579" s="840" t="str">
        <f t="shared" ref="CY579:CY642" si="529">IF(AND(CW579=2,CX579=0),"УСПЕШНО","-")</f>
        <v>УСПЕШНО</v>
      </c>
      <c r="CZ579" s="833">
        <f t="shared" ref="CZ579:CZ642" si="530">IF(AND(CV579&gt;0,CW579=2),CV579-T579,"-")</f>
        <v>239</v>
      </c>
      <c r="DA579" s="838" t="str">
        <f t="shared" ref="DA579:DA642" ca="1" si="531">IF(AND(CP579&gt;0,CQ579=2,CV579&gt;0,CW579=2,Y579=1,AN579&gt;-50,DC579&lt;2),"ТРЕБУЕТСЯ РЕВАКЦИНАЦИЯ","-")</f>
        <v>ТРЕБУЕТСЯ РЕВАКЦИНАЦИЯ</v>
      </c>
      <c r="DB579" s="841"/>
      <c r="DC579" s="832"/>
    </row>
    <row r="580" spans="1:107" s="842" customFormat="1" ht="15.95" customHeight="1" x14ac:dyDescent="0.25">
      <c r="A580" s="790">
        <v>582</v>
      </c>
      <c r="B580" s="791">
        <f t="shared" ca="1" si="480"/>
        <v>43134</v>
      </c>
      <c r="C580" s="847" t="s">
        <v>2554</v>
      </c>
      <c r="D580" s="793" t="s">
        <v>2586</v>
      </c>
      <c r="E580" s="794" t="s">
        <v>1563</v>
      </c>
      <c r="F580" s="795" t="s">
        <v>1740</v>
      </c>
      <c r="G580" s="796">
        <f>SUMIFS(МОЛОКО!L8:L6958,МОЛОКО!F8:F6958,"2892",МОЛОКО!L8:L6958,"&gt;0")</f>
        <v>0</v>
      </c>
      <c r="H580" s="797" t="s">
        <v>603</v>
      </c>
      <c r="I580" s="798">
        <v>42465</v>
      </c>
      <c r="J580" s="799">
        <f t="shared" ca="1" si="481"/>
        <v>1.832876712328767</v>
      </c>
      <c r="K580" s="799">
        <f t="shared" ca="1" si="482"/>
        <v>22.3</v>
      </c>
      <c r="L580" s="800">
        <f t="shared" ca="1" si="483"/>
        <v>669</v>
      </c>
      <c r="M580" s="801"/>
      <c r="N580" s="802"/>
      <c r="O580" s="803" t="str">
        <f t="shared" ca="1" si="484"/>
        <v>-</v>
      </c>
      <c r="P580" s="804"/>
      <c r="Q580" s="805" t="s">
        <v>2366</v>
      </c>
      <c r="R580" s="806" t="s">
        <v>2664</v>
      </c>
      <c r="S580" s="807">
        <v>42867</v>
      </c>
      <c r="T580" s="798">
        <v>42867</v>
      </c>
      <c r="U580" s="798" t="str">
        <f t="shared" si="485"/>
        <v>-</v>
      </c>
      <c r="V580" s="804" t="str">
        <f t="shared" ca="1" si="486"/>
        <v>-</v>
      </c>
      <c r="W580" s="808">
        <v>1</v>
      </c>
      <c r="X580" s="794" t="str">
        <f t="shared" si="479"/>
        <v>-</v>
      </c>
      <c r="Y580" s="794">
        <v>1</v>
      </c>
      <c r="Z580" s="809" t="str">
        <f t="shared" ca="1" si="487"/>
        <v>ПОДЛЕЖИТ ПЕРЕПРОВЕРКЕ</v>
      </c>
      <c r="AA580" s="810">
        <f t="shared" ca="1" si="488"/>
        <v>267</v>
      </c>
      <c r="AB580" s="804"/>
      <c r="AC580" s="811">
        <f t="shared" ca="1" si="489"/>
        <v>42939</v>
      </c>
      <c r="AD580" s="798"/>
      <c r="AE580" s="794" t="str">
        <f t="shared" ca="1" si="490"/>
        <v>-</v>
      </c>
      <c r="AF580" s="798" t="str">
        <f t="shared" si="491"/>
        <v>-</v>
      </c>
      <c r="AG580" s="812" t="str">
        <f t="shared" si="492"/>
        <v>---------</v>
      </c>
      <c r="AH580" s="807">
        <v>42931</v>
      </c>
      <c r="AI580" s="807" t="str">
        <f t="shared" si="493"/>
        <v>-</v>
      </c>
      <c r="AJ580" s="807" t="str">
        <f t="shared" si="494"/>
        <v>-</v>
      </c>
      <c r="AK580" s="813"/>
      <c r="AL580" s="807">
        <f t="shared" si="495"/>
        <v>43126</v>
      </c>
      <c r="AM580" s="807">
        <f t="shared" si="496"/>
        <v>43147</v>
      </c>
      <c r="AN580" s="814">
        <f t="shared" ca="1" si="497"/>
        <v>-13</v>
      </c>
      <c r="AO580" s="815">
        <v>1</v>
      </c>
      <c r="AP580" s="816" t="str">
        <f t="shared" ca="1" si="498"/>
        <v>-</v>
      </c>
      <c r="AQ580" s="817"/>
      <c r="AR580" s="794" t="str">
        <f t="shared" si="499"/>
        <v>НЕТЕЛЬ</v>
      </c>
      <c r="AS580" s="818"/>
      <c r="AT580" s="794" t="str">
        <f t="shared" si="500"/>
        <v>-</v>
      </c>
      <c r="AU580" s="819"/>
      <c r="AV580" s="820"/>
      <c r="AW580" s="821"/>
      <c r="AX580" s="821"/>
      <c r="AY580" s="969" t="str">
        <f t="shared" si="501"/>
        <v>-</v>
      </c>
      <c r="AZ580" s="966" t="str">
        <f t="shared" si="502"/>
        <v>-</v>
      </c>
      <c r="BA580" s="971" t="str">
        <f t="shared" si="503"/>
        <v>-</v>
      </c>
      <c r="BB580" s="975"/>
      <c r="BC580" s="821"/>
      <c r="BD580" s="821"/>
      <c r="BE580" s="963" t="str">
        <f t="shared" si="504"/>
        <v>-</v>
      </c>
      <c r="BF580" s="984"/>
      <c r="BG580" s="988"/>
      <c r="BH580" s="982"/>
      <c r="BI580" s="991"/>
      <c r="BJ580" s="991"/>
      <c r="BK580" s="993" t="str">
        <f t="shared" si="505"/>
        <v>-</v>
      </c>
      <c r="BL580" s="820">
        <v>42978</v>
      </c>
      <c r="BM580" s="821">
        <v>5</v>
      </c>
      <c r="BN580" s="822">
        <f t="shared" ca="1" si="506"/>
        <v>156</v>
      </c>
      <c r="BO580" s="823">
        <f t="shared" si="507"/>
        <v>17.100000000000001</v>
      </c>
      <c r="BP580" s="824"/>
      <c r="BQ580" s="821"/>
      <c r="BR580" s="822" t="str">
        <f t="shared" si="508"/>
        <v>-</v>
      </c>
      <c r="BS580" s="823" t="str">
        <f t="shared" si="509"/>
        <v>-</v>
      </c>
      <c r="BT580" s="825" t="str">
        <f t="shared" ca="1" si="510"/>
        <v>-</v>
      </c>
      <c r="BU580" s="826"/>
      <c r="BV580" s="827"/>
      <c r="BW580" s="828" t="str">
        <f t="shared" si="511"/>
        <v>Ж-Е НЕ ВАКЦ.</v>
      </c>
      <c r="BX580" s="829" t="str">
        <f t="shared" si="512"/>
        <v>-</v>
      </c>
      <c r="BY580" s="830" t="str">
        <f t="shared" ca="1" si="513"/>
        <v>-</v>
      </c>
      <c r="BZ580" s="831">
        <v>42891</v>
      </c>
      <c r="CA580" s="832">
        <v>5</v>
      </c>
      <c r="CB580" s="833">
        <f t="shared" ca="1" si="514"/>
        <v>243</v>
      </c>
      <c r="CC580" s="834" t="str">
        <f t="shared" ca="1" si="515"/>
        <v>-</v>
      </c>
      <c r="CD580" s="835">
        <f t="shared" si="516"/>
        <v>42912</v>
      </c>
      <c r="CE580" s="831">
        <v>42912</v>
      </c>
      <c r="CF580" s="832">
        <v>5</v>
      </c>
      <c r="CG580" s="833">
        <f t="shared" ca="1" si="517"/>
        <v>222</v>
      </c>
      <c r="CH580" s="836">
        <f t="shared" si="518"/>
        <v>0</v>
      </c>
      <c r="CI580" s="837" t="str">
        <f t="shared" si="519"/>
        <v>УСПЕШНО</v>
      </c>
      <c r="CJ580" s="838" t="str">
        <f t="shared" ca="1" si="520"/>
        <v>-</v>
      </c>
      <c r="CK580" s="831"/>
      <c r="CL580" s="832"/>
      <c r="CM580" s="833" t="str">
        <f t="shared" si="521"/>
        <v>-</v>
      </c>
      <c r="CN580" s="834" t="str">
        <f t="shared" si="522"/>
        <v>-</v>
      </c>
      <c r="CO580" s="830" t="str">
        <f t="shared" ca="1" si="523"/>
        <v>ТРЕБУЕТСЯ ВАКЦИНАЦИЯ</v>
      </c>
      <c r="CP580" s="839"/>
      <c r="CQ580" s="832"/>
      <c r="CR580" s="833" t="str">
        <f t="shared" si="524"/>
        <v>-</v>
      </c>
      <c r="CS580" s="833" t="str">
        <f t="shared" si="525"/>
        <v>-</v>
      </c>
      <c r="CT580" s="834" t="str">
        <f t="shared" si="526"/>
        <v>-</v>
      </c>
      <c r="CU580" s="835" t="str">
        <f t="shared" si="527"/>
        <v>-</v>
      </c>
      <c r="CV580" s="839"/>
      <c r="CW580" s="832"/>
      <c r="CX580" s="833" t="str">
        <f t="shared" si="528"/>
        <v>-</v>
      </c>
      <c r="CY580" s="840" t="str">
        <f t="shared" si="529"/>
        <v>-</v>
      </c>
      <c r="CZ580" s="833" t="str">
        <f t="shared" si="530"/>
        <v>-</v>
      </c>
      <c r="DA580" s="838" t="str">
        <f t="shared" ca="1" si="531"/>
        <v>-</v>
      </c>
      <c r="DB580" s="841"/>
      <c r="DC580" s="832"/>
    </row>
    <row r="581" spans="1:107" s="842" customFormat="1" ht="15.95" customHeight="1" x14ac:dyDescent="0.25">
      <c r="A581" s="790">
        <v>583</v>
      </c>
      <c r="B581" s="791">
        <f t="shared" ca="1" si="480"/>
        <v>43134</v>
      </c>
      <c r="C581" s="792" t="s">
        <v>2554</v>
      </c>
      <c r="D581" s="793" t="s">
        <v>2586</v>
      </c>
      <c r="E581" s="794" t="s">
        <v>1563</v>
      </c>
      <c r="F581" s="795" t="s">
        <v>1799</v>
      </c>
      <c r="G581" s="796">
        <f>SUMIFS(МОЛОКО!L8:L6958,МОЛОКО!F8:F6958,"2896",МОЛОКО!L8:L6958,"&gt;0")</f>
        <v>0</v>
      </c>
      <c r="H581" s="797" t="s">
        <v>603</v>
      </c>
      <c r="I581" s="798">
        <v>42469</v>
      </c>
      <c r="J581" s="799">
        <f t="shared" ca="1" si="481"/>
        <v>1.821917808219178</v>
      </c>
      <c r="K581" s="799">
        <f t="shared" ca="1" si="482"/>
        <v>22.166666666666668</v>
      </c>
      <c r="L581" s="800">
        <f t="shared" ca="1" si="483"/>
        <v>665</v>
      </c>
      <c r="M581" s="801"/>
      <c r="N581" s="802"/>
      <c r="O581" s="803" t="str">
        <f t="shared" ca="1" si="484"/>
        <v>-</v>
      </c>
      <c r="P581" s="804"/>
      <c r="Q581" s="805" t="s">
        <v>2366</v>
      </c>
      <c r="R581" s="806" t="s">
        <v>1876</v>
      </c>
      <c r="S581" s="807">
        <v>42894</v>
      </c>
      <c r="T581" s="798">
        <v>42894</v>
      </c>
      <c r="U581" s="798" t="str">
        <f t="shared" si="485"/>
        <v>-</v>
      </c>
      <c r="V581" s="804" t="str">
        <f t="shared" ca="1" si="486"/>
        <v>-</v>
      </c>
      <c r="W581" s="808">
        <v>1</v>
      </c>
      <c r="X581" s="794" t="str">
        <f t="shared" si="479"/>
        <v>-</v>
      </c>
      <c r="Y581" s="794">
        <v>1</v>
      </c>
      <c r="Z581" s="809" t="str">
        <f t="shared" ca="1" si="487"/>
        <v>ПОДЛЕЖИТ ПЕРЕПРОВЕРКЕ</v>
      </c>
      <c r="AA581" s="810">
        <f t="shared" ca="1" si="488"/>
        <v>240</v>
      </c>
      <c r="AB581" s="804"/>
      <c r="AC581" s="811">
        <f t="shared" ca="1" si="489"/>
        <v>42966</v>
      </c>
      <c r="AD581" s="798"/>
      <c r="AE581" s="794" t="str">
        <f t="shared" ca="1" si="490"/>
        <v>-</v>
      </c>
      <c r="AF581" s="798" t="str">
        <f t="shared" si="491"/>
        <v>-</v>
      </c>
      <c r="AG581" s="812" t="str">
        <f t="shared" si="492"/>
        <v>---------</v>
      </c>
      <c r="AH581" s="807">
        <v>42955</v>
      </c>
      <c r="AI581" s="807" t="str">
        <f t="shared" si="493"/>
        <v>-</v>
      </c>
      <c r="AJ581" s="807" t="str">
        <f t="shared" si="494"/>
        <v>-</v>
      </c>
      <c r="AK581" s="813"/>
      <c r="AL581" s="807">
        <f t="shared" si="495"/>
        <v>43153</v>
      </c>
      <c r="AM581" s="807">
        <f t="shared" si="496"/>
        <v>43174</v>
      </c>
      <c r="AN581" s="814">
        <f t="shared" ca="1" si="497"/>
        <v>-40</v>
      </c>
      <c r="AO581" s="815">
        <v>1</v>
      </c>
      <c r="AP581" s="816" t="str">
        <f t="shared" ca="1" si="498"/>
        <v>-</v>
      </c>
      <c r="AQ581" s="817"/>
      <c r="AR581" s="794" t="str">
        <f t="shared" si="499"/>
        <v>НЕТЕЛЬ</v>
      </c>
      <c r="AS581" s="818"/>
      <c r="AT581" s="794" t="str">
        <f t="shared" si="500"/>
        <v>-</v>
      </c>
      <c r="AU581" s="819"/>
      <c r="AV581" s="820"/>
      <c r="AW581" s="821"/>
      <c r="AX581" s="821"/>
      <c r="AY581" s="969" t="str">
        <f t="shared" si="501"/>
        <v>-</v>
      </c>
      <c r="AZ581" s="966" t="str">
        <f t="shared" si="502"/>
        <v>-</v>
      </c>
      <c r="BA581" s="971" t="str">
        <f t="shared" si="503"/>
        <v>-</v>
      </c>
      <c r="BB581" s="975"/>
      <c r="BC581" s="821"/>
      <c r="BD581" s="821"/>
      <c r="BE581" s="963" t="str">
        <f t="shared" si="504"/>
        <v>-</v>
      </c>
      <c r="BF581" s="984"/>
      <c r="BG581" s="988"/>
      <c r="BH581" s="982"/>
      <c r="BI581" s="991"/>
      <c r="BJ581" s="991"/>
      <c r="BK581" s="993" t="str">
        <f t="shared" si="505"/>
        <v>-</v>
      </c>
      <c r="BL581" s="820">
        <v>42978</v>
      </c>
      <c r="BM581" s="821">
        <v>5</v>
      </c>
      <c r="BN581" s="822">
        <f t="shared" ca="1" si="506"/>
        <v>156</v>
      </c>
      <c r="BO581" s="823">
        <f t="shared" si="507"/>
        <v>16.966666666666665</v>
      </c>
      <c r="BP581" s="824"/>
      <c r="BQ581" s="821"/>
      <c r="BR581" s="822" t="str">
        <f t="shared" si="508"/>
        <v>-</v>
      </c>
      <c r="BS581" s="823" t="str">
        <f t="shared" si="509"/>
        <v>-</v>
      </c>
      <c r="BT581" s="825" t="str">
        <f t="shared" ca="1" si="510"/>
        <v>-</v>
      </c>
      <c r="BU581" s="826"/>
      <c r="BV581" s="827"/>
      <c r="BW581" s="828" t="str">
        <f t="shared" si="511"/>
        <v>Ж-Е НЕ ВАКЦ.</v>
      </c>
      <c r="BX581" s="829" t="str">
        <f t="shared" si="512"/>
        <v>-</v>
      </c>
      <c r="BY581" s="830" t="str">
        <f t="shared" ca="1" si="513"/>
        <v>-</v>
      </c>
      <c r="BZ581" s="831">
        <v>42891</v>
      </c>
      <c r="CA581" s="832">
        <v>5</v>
      </c>
      <c r="CB581" s="833">
        <f t="shared" ca="1" si="514"/>
        <v>243</v>
      </c>
      <c r="CC581" s="834" t="str">
        <f t="shared" ca="1" si="515"/>
        <v>-</v>
      </c>
      <c r="CD581" s="835">
        <f t="shared" si="516"/>
        <v>42912</v>
      </c>
      <c r="CE581" s="831">
        <v>42912</v>
      </c>
      <c r="CF581" s="832">
        <v>5</v>
      </c>
      <c r="CG581" s="833">
        <f t="shared" ca="1" si="517"/>
        <v>222</v>
      </c>
      <c r="CH581" s="836">
        <f t="shared" si="518"/>
        <v>0</v>
      </c>
      <c r="CI581" s="837" t="str">
        <f t="shared" si="519"/>
        <v>УСПЕШНО</v>
      </c>
      <c r="CJ581" s="838" t="str">
        <f t="shared" ca="1" si="520"/>
        <v>-</v>
      </c>
      <c r="CK581" s="831"/>
      <c r="CL581" s="832"/>
      <c r="CM581" s="833" t="str">
        <f t="shared" si="521"/>
        <v>-</v>
      </c>
      <c r="CN581" s="834" t="str">
        <f t="shared" si="522"/>
        <v>-</v>
      </c>
      <c r="CO581" s="830" t="str">
        <f t="shared" ca="1" si="523"/>
        <v>ТРЕБУЕТСЯ ВАКЦИНАЦИЯ</v>
      </c>
      <c r="CP581" s="839"/>
      <c r="CQ581" s="832"/>
      <c r="CR581" s="833" t="str">
        <f t="shared" si="524"/>
        <v>-</v>
      </c>
      <c r="CS581" s="833" t="str">
        <f t="shared" si="525"/>
        <v>-</v>
      </c>
      <c r="CT581" s="834" t="str">
        <f t="shared" si="526"/>
        <v>-</v>
      </c>
      <c r="CU581" s="835" t="str">
        <f t="shared" si="527"/>
        <v>-</v>
      </c>
      <c r="CV581" s="839"/>
      <c r="CW581" s="832"/>
      <c r="CX581" s="833" t="str">
        <f t="shared" si="528"/>
        <v>-</v>
      </c>
      <c r="CY581" s="840" t="str">
        <f t="shared" si="529"/>
        <v>-</v>
      </c>
      <c r="CZ581" s="833" t="str">
        <f t="shared" si="530"/>
        <v>-</v>
      </c>
      <c r="DA581" s="838" t="str">
        <f t="shared" ca="1" si="531"/>
        <v>-</v>
      </c>
      <c r="DB581" s="841"/>
      <c r="DC581" s="832"/>
    </row>
    <row r="582" spans="1:107" s="842" customFormat="1" ht="15.95" customHeight="1" x14ac:dyDescent="0.25">
      <c r="A582" s="790">
        <v>584</v>
      </c>
      <c r="B582" s="791">
        <f t="shared" ca="1" si="480"/>
        <v>43134</v>
      </c>
      <c r="C582" s="847" t="s">
        <v>2554</v>
      </c>
      <c r="D582" s="793" t="s">
        <v>2586</v>
      </c>
      <c r="E582" s="794" t="s">
        <v>1563</v>
      </c>
      <c r="F582" s="795" t="s">
        <v>1755</v>
      </c>
      <c r="G582" s="796">
        <f>SUMIFS(МОЛОКО!L8:L6958,МОЛОКО!F8:F6958,"2898",МОЛОКО!L8:L6958,"&gt;0")</f>
        <v>0</v>
      </c>
      <c r="H582" s="797" t="s">
        <v>603</v>
      </c>
      <c r="I582" s="798">
        <v>42470</v>
      </c>
      <c r="J582" s="799">
        <f t="shared" ca="1" si="481"/>
        <v>1.8191780821917809</v>
      </c>
      <c r="K582" s="799">
        <f t="shared" ca="1" si="482"/>
        <v>22.133333333333333</v>
      </c>
      <c r="L582" s="800">
        <f t="shared" ca="1" si="483"/>
        <v>664</v>
      </c>
      <c r="M582" s="801"/>
      <c r="N582" s="802"/>
      <c r="O582" s="803" t="str">
        <f t="shared" ca="1" si="484"/>
        <v>-</v>
      </c>
      <c r="P582" s="804"/>
      <c r="Q582" s="805" t="s">
        <v>1451</v>
      </c>
      <c r="R582" s="806" t="s">
        <v>1820</v>
      </c>
      <c r="S582" s="807">
        <v>42825</v>
      </c>
      <c r="T582" s="798">
        <v>42825</v>
      </c>
      <c r="U582" s="798" t="str">
        <f t="shared" si="485"/>
        <v>-</v>
      </c>
      <c r="V582" s="804" t="str">
        <f t="shared" ca="1" si="486"/>
        <v>-</v>
      </c>
      <c r="W582" s="808">
        <v>1</v>
      </c>
      <c r="X582" s="794" t="str">
        <f t="shared" si="479"/>
        <v>-</v>
      </c>
      <c r="Y582" s="794">
        <v>1</v>
      </c>
      <c r="Z582" s="809" t="str">
        <f t="shared" ca="1" si="487"/>
        <v>ПОДЛЕЖИТ ПЕРЕПРОВЕРКЕ</v>
      </c>
      <c r="AA582" s="810">
        <f t="shared" ca="1" si="488"/>
        <v>309</v>
      </c>
      <c r="AB582" s="804"/>
      <c r="AC582" s="811">
        <f t="shared" ca="1" si="489"/>
        <v>42897</v>
      </c>
      <c r="AD582" s="798"/>
      <c r="AE582" s="794" t="str">
        <f t="shared" ca="1" si="490"/>
        <v>-</v>
      </c>
      <c r="AF582" s="798" t="str">
        <f t="shared" si="491"/>
        <v>-</v>
      </c>
      <c r="AG582" s="812" t="str">
        <f t="shared" si="492"/>
        <v>---------</v>
      </c>
      <c r="AH582" s="807">
        <v>42881</v>
      </c>
      <c r="AI582" s="807" t="str">
        <f t="shared" si="493"/>
        <v>-</v>
      </c>
      <c r="AJ582" s="807" t="str">
        <f t="shared" si="494"/>
        <v>-</v>
      </c>
      <c r="AK582" s="813"/>
      <c r="AL582" s="807">
        <f t="shared" si="495"/>
        <v>43084</v>
      </c>
      <c r="AM582" s="807">
        <f t="shared" si="496"/>
        <v>43105</v>
      </c>
      <c r="AN582" s="814">
        <f t="shared" ca="1" si="497"/>
        <v>29</v>
      </c>
      <c r="AO582" s="815">
        <v>1</v>
      </c>
      <c r="AP582" s="816" t="str">
        <f t="shared" ca="1" si="498"/>
        <v>-</v>
      </c>
      <c r="AQ582" s="817"/>
      <c r="AR582" s="794" t="str">
        <f t="shared" si="499"/>
        <v>НЕТЕЛЬ</v>
      </c>
      <c r="AS582" s="818"/>
      <c r="AT582" s="794" t="str">
        <f t="shared" si="500"/>
        <v>-</v>
      </c>
      <c r="AU582" s="819"/>
      <c r="AV582" s="820"/>
      <c r="AW582" s="821"/>
      <c r="AX582" s="821"/>
      <c r="AY582" s="969" t="str">
        <f t="shared" si="501"/>
        <v>-</v>
      </c>
      <c r="AZ582" s="966" t="str">
        <f t="shared" si="502"/>
        <v>-</v>
      </c>
      <c r="BA582" s="971" t="str">
        <f t="shared" si="503"/>
        <v>-</v>
      </c>
      <c r="BB582" s="975"/>
      <c r="BC582" s="821"/>
      <c r="BD582" s="821"/>
      <c r="BE582" s="963" t="str">
        <f t="shared" si="504"/>
        <v>-</v>
      </c>
      <c r="BF582" s="984"/>
      <c r="BG582" s="988"/>
      <c r="BH582" s="982"/>
      <c r="BI582" s="991"/>
      <c r="BJ582" s="991"/>
      <c r="BK582" s="993" t="str">
        <f t="shared" si="505"/>
        <v>-</v>
      </c>
      <c r="BL582" s="820">
        <v>42978</v>
      </c>
      <c r="BM582" s="821">
        <v>5</v>
      </c>
      <c r="BN582" s="822">
        <f t="shared" ca="1" si="506"/>
        <v>156</v>
      </c>
      <c r="BO582" s="823">
        <f t="shared" si="507"/>
        <v>16.933333333333334</v>
      </c>
      <c r="BP582" s="824"/>
      <c r="BQ582" s="821"/>
      <c r="BR582" s="822" t="str">
        <f t="shared" si="508"/>
        <v>-</v>
      </c>
      <c r="BS582" s="823" t="str">
        <f t="shared" si="509"/>
        <v>-</v>
      </c>
      <c r="BT582" s="825" t="str">
        <f t="shared" ca="1" si="510"/>
        <v>-</v>
      </c>
      <c r="BU582" s="826"/>
      <c r="BV582" s="827"/>
      <c r="BW582" s="828" t="str">
        <f t="shared" si="511"/>
        <v>Ж-Е НЕ ВАКЦ.</v>
      </c>
      <c r="BX582" s="829" t="str">
        <f t="shared" si="512"/>
        <v>-</v>
      </c>
      <c r="BY582" s="830" t="str">
        <f t="shared" ca="1" si="513"/>
        <v>-</v>
      </c>
      <c r="BZ582" s="831">
        <v>42894</v>
      </c>
      <c r="CA582" s="832">
        <v>5</v>
      </c>
      <c r="CB582" s="833">
        <f t="shared" ca="1" si="514"/>
        <v>240</v>
      </c>
      <c r="CC582" s="834" t="str">
        <f t="shared" ca="1" si="515"/>
        <v>-</v>
      </c>
      <c r="CD582" s="835">
        <f t="shared" si="516"/>
        <v>42915</v>
      </c>
      <c r="CE582" s="831">
        <v>42915</v>
      </c>
      <c r="CF582" s="832">
        <v>5</v>
      </c>
      <c r="CG582" s="833">
        <f t="shared" ca="1" si="517"/>
        <v>219</v>
      </c>
      <c r="CH582" s="836">
        <f t="shared" si="518"/>
        <v>0</v>
      </c>
      <c r="CI582" s="837" t="str">
        <f t="shared" si="519"/>
        <v>УСПЕШНО</v>
      </c>
      <c r="CJ582" s="838" t="str">
        <f t="shared" ca="1" si="520"/>
        <v>-</v>
      </c>
      <c r="CK582" s="831"/>
      <c r="CL582" s="832"/>
      <c r="CM582" s="833" t="str">
        <f t="shared" si="521"/>
        <v>-</v>
      </c>
      <c r="CN582" s="834" t="str">
        <f t="shared" si="522"/>
        <v>-</v>
      </c>
      <c r="CO582" s="830" t="str">
        <f t="shared" ca="1" si="523"/>
        <v>-</v>
      </c>
      <c r="CP582" s="831">
        <v>43053</v>
      </c>
      <c r="CQ582" s="832">
        <v>2</v>
      </c>
      <c r="CR582" s="833">
        <f t="shared" si="524"/>
        <v>228</v>
      </c>
      <c r="CS582" s="833">
        <f t="shared" ca="1" si="525"/>
        <v>81</v>
      </c>
      <c r="CT582" s="834" t="str">
        <f t="shared" ca="1" si="526"/>
        <v>ТРЕБУЕТСЯ БУСТЕРНАЯ ДОЗА</v>
      </c>
      <c r="CU582" s="835">
        <f t="shared" si="527"/>
        <v>43074</v>
      </c>
      <c r="CV582" s="839"/>
      <c r="CW582" s="832"/>
      <c r="CX582" s="833" t="str">
        <f t="shared" si="528"/>
        <v>-</v>
      </c>
      <c r="CY582" s="840" t="str">
        <f t="shared" si="529"/>
        <v>-</v>
      </c>
      <c r="CZ582" s="833" t="str">
        <f t="shared" si="530"/>
        <v>-</v>
      </c>
      <c r="DA582" s="838" t="str">
        <f t="shared" ca="1" si="531"/>
        <v>-</v>
      </c>
      <c r="DB582" s="841"/>
      <c r="DC582" s="832"/>
    </row>
    <row r="583" spans="1:107" s="842" customFormat="1" ht="15.95" customHeight="1" x14ac:dyDescent="0.25">
      <c r="A583" s="790">
        <v>585</v>
      </c>
      <c r="B583" s="791">
        <f t="shared" ca="1" si="480"/>
        <v>43134</v>
      </c>
      <c r="C583" s="29" t="s">
        <v>2554</v>
      </c>
      <c r="D583" s="59" t="s">
        <v>2586</v>
      </c>
      <c r="E583" s="794" t="s">
        <v>1563</v>
      </c>
      <c r="F583" s="795" t="s">
        <v>1694</v>
      </c>
      <c r="G583" s="796">
        <f>SUMIFS(МОЛОКО!L8:L6958,МОЛОКО!F8:F6958,"2901",МОЛОКО!L8:L6958,"&gt;0")</f>
        <v>0</v>
      </c>
      <c r="H583" s="797" t="s">
        <v>603</v>
      </c>
      <c r="I583" s="798">
        <v>42471</v>
      </c>
      <c r="J583" s="799">
        <f t="shared" ca="1" si="481"/>
        <v>1.8164383561643835</v>
      </c>
      <c r="K583" s="799">
        <f t="shared" ca="1" si="482"/>
        <v>22.1</v>
      </c>
      <c r="L583" s="800">
        <f t="shared" ca="1" si="483"/>
        <v>663</v>
      </c>
      <c r="M583" s="801"/>
      <c r="N583" s="802"/>
      <c r="O583" s="803" t="str">
        <f t="shared" ca="1" si="484"/>
        <v>-</v>
      </c>
      <c r="P583" s="804"/>
      <c r="Q583" s="805" t="s">
        <v>2309</v>
      </c>
      <c r="R583" s="806" t="s">
        <v>2909</v>
      </c>
      <c r="S583" s="807">
        <v>42937</v>
      </c>
      <c r="T583" s="798">
        <v>42937</v>
      </c>
      <c r="U583" s="798" t="str">
        <f t="shared" si="485"/>
        <v>-</v>
      </c>
      <c r="V583" s="804" t="str">
        <f t="shared" ca="1" si="486"/>
        <v>-</v>
      </c>
      <c r="W583" s="808">
        <v>1</v>
      </c>
      <c r="X583" s="794" t="str">
        <f t="shared" si="479"/>
        <v>-</v>
      </c>
      <c r="Y583" s="794">
        <v>1</v>
      </c>
      <c r="Z583" s="809" t="str">
        <f t="shared" ca="1" si="487"/>
        <v>ПОДЛЕЖИТ ПЕРЕПРОВЕРКЕ</v>
      </c>
      <c r="AA583" s="810">
        <f t="shared" ca="1" si="488"/>
        <v>197</v>
      </c>
      <c r="AB583" s="804"/>
      <c r="AC583" s="811">
        <f t="shared" ca="1" si="489"/>
        <v>43009</v>
      </c>
      <c r="AD583" s="798"/>
      <c r="AE583" s="794" t="str">
        <f t="shared" ca="1" si="490"/>
        <v>-</v>
      </c>
      <c r="AF583" s="798" t="str">
        <f t="shared" si="491"/>
        <v>-</v>
      </c>
      <c r="AG583" s="812" t="str">
        <f t="shared" si="492"/>
        <v>---------</v>
      </c>
      <c r="AH583" s="807">
        <v>43001</v>
      </c>
      <c r="AI583" s="807" t="str">
        <f t="shared" si="493"/>
        <v>-</v>
      </c>
      <c r="AJ583" s="807" t="str">
        <f t="shared" si="494"/>
        <v>-</v>
      </c>
      <c r="AK583" s="813"/>
      <c r="AL583" s="807">
        <f t="shared" si="495"/>
        <v>43196</v>
      </c>
      <c r="AM583" s="807">
        <f t="shared" si="496"/>
        <v>43217</v>
      </c>
      <c r="AN583" s="814">
        <f t="shared" ca="1" si="497"/>
        <v>-83</v>
      </c>
      <c r="AO583" s="815">
        <v>1</v>
      </c>
      <c r="AP583" s="816" t="str">
        <f t="shared" ca="1" si="498"/>
        <v>-</v>
      </c>
      <c r="AQ583" s="817"/>
      <c r="AR583" s="794" t="str">
        <f t="shared" si="499"/>
        <v>НЕТЕЛЬ</v>
      </c>
      <c r="AS583" s="818"/>
      <c r="AT583" s="794" t="str">
        <f t="shared" si="500"/>
        <v>-</v>
      </c>
      <c r="AU583" s="819"/>
      <c r="AV583" s="820"/>
      <c r="AW583" s="821"/>
      <c r="AX583" s="821"/>
      <c r="AY583" s="969" t="str">
        <f t="shared" si="501"/>
        <v>-</v>
      </c>
      <c r="AZ583" s="966" t="str">
        <f t="shared" si="502"/>
        <v>-</v>
      </c>
      <c r="BA583" s="971" t="str">
        <f t="shared" si="503"/>
        <v>-</v>
      </c>
      <c r="BB583" s="975"/>
      <c r="BC583" s="821"/>
      <c r="BD583" s="821"/>
      <c r="BE583" s="963" t="str">
        <f t="shared" si="504"/>
        <v>-</v>
      </c>
      <c r="BF583" s="984"/>
      <c r="BG583" s="988"/>
      <c r="BH583" s="982"/>
      <c r="BI583" s="991"/>
      <c r="BJ583" s="991"/>
      <c r="BK583" s="993" t="str">
        <f t="shared" si="505"/>
        <v>-</v>
      </c>
      <c r="BL583" s="820">
        <v>42977</v>
      </c>
      <c r="BM583" s="821">
        <v>5</v>
      </c>
      <c r="BN583" s="822">
        <f t="shared" ca="1" si="506"/>
        <v>157</v>
      </c>
      <c r="BO583" s="823">
        <f t="shared" si="507"/>
        <v>16.866666666666667</v>
      </c>
      <c r="BP583" s="824"/>
      <c r="BQ583" s="821"/>
      <c r="BR583" s="822" t="str">
        <f t="shared" si="508"/>
        <v>-</v>
      </c>
      <c r="BS583" s="823" t="str">
        <f t="shared" si="509"/>
        <v>-</v>
      </c>
      <c r="BT583" s="825" t="str">
        <f t="shared" ca="1" si="510"/>
        <v>-</v>
      </c>
      <c r="BU583" s="826"/>
      <c r="BV583" s="827"/>
      <c r="BW583" s="828" t="str">
        <f t="shared" si="511"/>
        <v>Ж-Е НЕ ВАКЦ.</v>
      </c>
      <c r="BX583" s="829" t="str">
        <f t="shared" si="512"/>
        <v>-</v>
      </c>
      <c r="BY583" s="830" t="str">
        <f t="shared" ca="1" si="513"/>
        <v>-</v>
      </c>
      <c r="BZ583" s="831">
        <v>42891</v>
      </c>
      <c r="CA583" s="832">
        <v>5</v>
      </c>
      <c r="CB583" s="833">
        <f t="shared" ca="1" si="514"/>
        <v>243</v>
      </c>
      <c r="CC583" s="834" t="str">
        <f t="shared" ca="1" si="515"/>
        <v>-</v>
      </c>
      <c r="CD583" s="835">
        <f t="shared" si="516"/>
        <v>42912</v>
      </c>
      <c r="CE583" s="831">
        <v>42912</v>
      </c>
      <c r="CF583" s="832">
        <v>5</v>
      </c>
      <c r="CG583" s="833">
        <f t="shared" ca="1" si="517"/>
        <v>222</v>
      </c>
      <c r="CH583" s="836">
        <f t="shared" si="518"/>
        <v>0</v>
      </c>
      <c r="CI583" s="837" t="str">
        <f t="shared" si="519"/>
        <v>УСПЕШНО</v>
      </c>
      <c r="CJ583" s="838" t="str">
        <f t="shared" ca="1" si="520"/>
        <v>-</v>
      </c>
      <c r="CK583" s="831"/>
      <c r="CL583" s="832"/>
      <c r="CM583" s="833" t="str">
        <f t="shared" si="521"/>
        <v>-</v>
      </c>
      <c r="CN583" s="834" t="str">
        <f t="shared" si="522"/>
        <v>-</v>
      </c>
      <c r="CO583" s="830" t="str">
        <f t="shared" ca="1" si="523"/>
        <v>-</v>
      </c>
      <c r="CP583" s="839"/>
      <c r="CQ583" s="832"/>
      <c r="CR583" s="833" t="str">
        <f t="shared" si="524"/>
        <v>-</v>
      </c>
      <c r="CS583" s="833" t="str">
        <f t="shared" si="525"/>
        <v>-</v>
      </c>
      <c r="CT583" s="834" t="str">
        <f t="shared" si="526"/>
        <v>-</v>
      </c>
      <c r="CU583" s="835" t="str">
        <f t="shared" si="527"/>
        <v>-</v>
      </c>
      <c r="CV583" s="839"/>
      <c r="CW583" s="832"/>
      <c r="CX583" s="833" t="str">
        <f t="shared" si="528"/>
        <v>-</v>
      </c>
      <c r="CY583" s="840" t="str">
        <f t="shared" si="529"/>
        <v>-</v>
      </c>
      <c r="CZ583" s="833" t="str">
        <f t="shared" si="530"/>
        <v>-</v>
      </c>
      <c r="DA583" s="838" t="str">
        <f t="shared" ca="1" si="531"/>
        <v>-</v>
      </c>
      <c r="DB583" s="841"/>
      <c r="DC583" s="832"/>
    </row>
    <row r="584" spans="1:107" s="842" customFormat="1" ht="15.75" customHeight="1" x14ac:dyDescent="0.25">
      <c r="A584" s="790">
        <v>586</v>
      </c>
      <c r="B584" s="791">
        <f t="shared" ca="1" si="480"/>
        <v>43134</v>
      </c>
      <c r="C584" s="29" t="s">
        <v>2554</v>
      </c>
      <c r="D584" s="59" t="s">
        <v>2586</v>
      </c>
      <c r="E584" s="794" t="s">
        <v>1563</v>
      </c>
      <c r="F584" s="795" t="s">
        <v>1727</v>
      </c>
      <c r="G584" s="796">
        <f>SUMIFS(МОЛОКО!L8:L6958,МОЛОКО!F8:F6958,"2903",МОЛОКО!L8:L6958,"&gt;0")</f>
        <v>0</v>
      </c>
      <c r="H584" s="797" t="s">
        <v>603</v>
      </c>
      <c r="I584" s="798">
        <v>42472</v>
      </c>
      <c r="J584" s="799">
        <f t="shared" ca="1" si="481"/>
        <v>1.8136986301369864</v>
      </c>
      <c r="K584" s="799">
        <f t="shared" ca="1" si="482"/>
        <v>22.066666666666666</v>
      </c>
      <c r="L584" s="800">
        <f t="shared" ca="1" si="483"/>
        <v>662</v>
      </c>
      <c r="M584" s="801"/>
      <c r="N584" s="802"/>
      <c r="O584" s="803" t="str">
        <f t="shared" ca="1" si="484"/>
        <v>-</v>
      </c>
      <c r="P584" s="804"/>
      <c r="Q584" s="805" t="s">
        <v>2366</v>
      </c>
      <c r="R584" s="806" t="s">
        <v>1876</v>
      </c>
      <c r="S584" s="807">
        <v>42933</v>
      </c>
      <c r="T584" s="798">
        <v>42933</v>
      </c>
      <c r="U584" s="798" t="str">
        <f t="shared" si="485"/>
        <v>-</v>
      </c>
      <c r="V584" s="804" t="str">
        <f t="shared" ca="1" si="486"/>
        <v>-</v>
      </c>
      <c r="W584" s="808">
        <v>1</v>
      </c>
      <c r="X584" s="794" t="str">
        <f t="shared" si="479"/>
        <v>-</v>
      </c>
      <c r="Y584" s="794">
        <v>1</v>
      </c>
      <c r="Z584" s="809" t="str">
        <f t="shared" ca="1" si="487"/>
        <v>ПОДЛЕЖИТ ПЕРЕПРОВЕРКЕ</v>
      </c>
      <c r="AA584" s="810">
        <f t="shared" ca="1" si="488"/>
        <v>201</v>
      </c>
      <c r="AB584" s="804"/>
      <c r="AC584" s="811">
        <f t="shared" ca="1" si="489"/>
        <v>43005</v>
      </c>
      <c r="AD584" s="798"/>
      <c r="AE584" s="794" t="str">
        <f t="shared" ca="1" si="490"/>
        <v>-</v>
      </c>
      <c r="AF584" s="798" t="str">
        <f t="shared" si="491"/>
        <v>-</v>
      </c>
      <c r="AG584" s="812" t="str">
        <f t="shared" si="492"/>
        <v>---------</v>
      </c>
      <c r="AH584" s="807">
        <v>43001</v>
      </c>
      <c r="AI584" s="807" t="str">
        <f t="shared" si="493"/>
        <v>-</v>
      </c>
      <c r="AJ584" s="807" t="str">
        <f t="shared" si="494"/>
        <v>-</v>
      </c>
      <c r="AK584" s="813"/>
      <c r="AL584" s="807">
        <f t="shared" si="495"/>
        <v>43192</v>
      </c>
      <c r="AM584" s="807">
        <f t="shared" si="496"/>
        <v>43213</v>
      </c>
      <c r="AN584" s="814">
        <f t="shared" ca="1" si="497"/>
        <v>-79</v>
      </c>
      <c r="AO584" s="815">
        <v>1</v>
      </c>
      <c r="AP584" s="816" t="str">
        <f t="shared" ca="1" si="498"/>
        <v>-</v>
      </c>
      <c r="AQ584" s="817"/>
      <c r="AR584" s="794" t="str">
        <f t="shared" si="499"/>
        <v>НЕТЕЛЬ</v>
      </c>
      <c r="AS584" s="818"/>
      <c r="AT584" s="794" t="str">
        <f t="shared" si="500"/>
        <v>-</v>
      </c>
      <c r="AU584" s="819"/>
      <c r="AV584" s="820"/>
      <c r="AW584" s="821"/>
      <c r="AX584" s="821"/>
      <c r="AY584" s="969" t="str">
        <f t="shared" si="501"/>
        <v>-</v>
      </c>
      <c r="AZ584" s="966" t="str">
        <f t="shared" si="502"/>
        <v>-</v>
      </c>
      <c r="BA584" s="971" t="str">
        <f t="shared" si="503"/>
        <v>-</v>
      </c>
      <c r="BB584" s="975"/>
      <c r="BC584" s="821"/>
      <c r="BD584" s="821"/>
      <c r="BE584" s="963" t="str">
        <f t="shared" si="504"/>
        <v>-</v>
      </c>
      <c r="BF584" s="984"/>
      <c r="BG584" s="988"/>
      <c r="BH584" s="982"/>
      <c r="BI584" s="991"/>
      <c r="BJ584" s="991"/>
      <c r="BK584" s="993" t="str">
        <f t="shared" si="505"/>
        <v>-</v>
      </c>
      <c r="BL584" s="820">
        <v>42977</v>
      </c>
      <c r="BM584" s="821">
        <v>5</v>
      </c>
      <c r="BN584" s="822">
        <f t="shared" ca="1" si="506"/>
        <v>157</v>
      </c>
      <c r="BO584" s="823">
        <f t="shared" si="507"/>
        <v>16.833333333333332</v>
      </c>
      <c r="BP584" s="824"/>
      <c r="BQ584" s="821"/>
      <c r="BR584" s="822" t="str">
        <f t="shared" si="508"/>
        <v>-</v>
      </c>
      <c r="BS584" s="823" t="str">
        <f t="shared" si="509"/>
        <v>-</v>
      </c>
      <c r="BT584" s="825" t="str">
        <f t="shared" ca="1" si="510"/>
        <v>-</v>
      </c>
      <c r="BU584" s="826"/>
      <c r="BV584" s="827"/>
      <c r="BW584" s="828" t="str">
        <f t="shared" si="511"/>
        <v>Ж-Е НЕ ВАКЦ.</v>
      </c>
      <c r="BX584" s="829" t="str">
        <f t="shared" si="512"/>
        <v>-</v>
      </c>
      <c r="BY584" s="830" t="str">
        <f t="shared" ca="1" si="513"/>
        <v>-</v>
      </c>
      <c r="BZ584" s="831">
        <v>42892</v>
      </c>
      <c r="CA584" s="832">
        <v>5</v>
      </c>
      <c r="CB584" s="833">
        <f t="shared" ca="1" si="514"/>
        <v>242</v>
      </c>
      <c r="CC584" s="834" t="str">
        <f t="shared" ca="1" si="515"/>
        <v>-</v>
      </c>
      <c r="CD584" s="835">
        <f t="shared" si="516"/>
        <v>42913</v>
      </c>
      <c r="CE584" s="831">
        <v>42913</v>
      </c>
      <c r="CF584" s="832">
        <v>5</v>
      </c>
      <c r="CG584" s="833">
        <f t="shared" ca="1" si="517"/>
        <v>221</v>
      </c>
      <c r="CH584" s="836">
        <f t="shared" si="518"/>
        <v>0</v>
      </c>
      <c r="CI584" s="837" t="str">
        <f t="shared" si="519"/>
        <v>УСПЕШНО</v>
      </c>
      <c r="CJ584" s="838" t="str">
        <f t="shared" ca="1" si="520"/>
        <v>-</v>
      </c>
      <c r="CK584" s="831"/>
      <c r="CL584" s="832"/>
      <c r="CM584" s="833" t="str">
        <f t="shared" si="521"/>
        <v>-</v>
      </c>
      <c r="CN584" s="834" t="str">
        <f t="shared" si="522"/>
        <v>-</v>
      </c>
      <c r="CO584" s="830" t="str">
        <f t="shared" ca="1" si="523"/>
        <v>-</v>
      </c>
      <c r="CP584" s="839"/>
      <c r="CQ584" s="832"/>
      <c r="CR584" s="833" t="str">
        <f t="shared" si="524"/>
        <v>-</v>
      </c>
      <c r="CS584" s="833" t="str">
        <f t="shared" si="525"/>
        <v>-</v>
      </c>
      <c r="CT584" s="834" t="str">
        <f t="shared" si="526"/>
        <v>-</v>
      </c>
      <c r="CU584" s="835" t="str">
        <f t="shared" si="527"/>
        <v>-</v>
      </c>
      <c r="CV584" s="839"/>
      <c r="CW584" s="832"/>
      <c r="CX584" s="833" t="str">
        <f t="shared" si="528"/>
        <v>-</v>
      </c>
      <c r="CY584" s="840" t="str">
        <f t="shared" si="529"/>
        <v>-</v>
      </c>
      <c r="CZ584" s="833" t="str">
        <f t="shared" si="530"/>
        <v>-</v>
      </c>
      <c r="DA584" s="838" t="str">
        <f t="shared" ca="1" si="531"/>
        <v>-</v>
      </c>
      <c r="DB584" s="841"/>
      <c r="DC584" s="832"/>
    </row>
    <row r="585" spans="1:107" s="842" customFormat="1" ht="15.95" customHeight="1" x14ac:dyDescent="0.25">
      <c r="A585" s="790">
        <v>587</v>
      </c>
      <c r="B585" s="791">
        <f t="shared" ca="1" si="480"/>
        <v>43134</v>
      </c>
      <c r="C585" s="847" t="s">
        <v>2554</v>
      </c>
      <c r="D585" s="793" t="s">
        <v>2586</v>
      </c>
      <c r="E585" s="794" t="s">
        <v>1563</v>
      </c>
      <c r="F585" s="795" t="s">
        <v>1714</v>
      </c>
      <c r="G585" s="796">
        <f>SUMIFS(МОЛОКО!L8:L6958,МОЛОКО!F8:F6958,"2905",МОЛОКО!L8:L6958,"&gt;0")</f>
        <v>0</v>
      </c>
      <c r="H585" s="797" t="s">
        <v>603</v>
      </c>
      <c r="I585" s="798">
        <v>42473</v>
      </c>
      <c r="J585" s="799">
        <f t="shared" ca="1" si="481"/>
        <v>1.810958904109589</v>
      </c>
      <c r="K585" s="799">
        <f t="shared" ca="1" si="482"/>
        <v>22.033333333333335</v>
      </c>
      <c r="L585" s="800">
        <f t="shared" ca="1" si="483"/>
        <v>661</v>
      </c>
      <c r="M585" s="801"/>
      <c r="N585" s="802"/>
      <c r="O585" s="803" t="str">
        <f t="shared" ca="1" si="484"/>
        <v>-</v>
      </c>
      <c r="P585" s="804"/>
      <c r="Q585" s="805" t="s">
        <v>2366</v>
      </c>
      <c r="R585" s="806" t="s">
        <v>2664</v>
      </c>
      <c r="S585" s="807">
        <v>42858</v>
      </c>
      <c r="T585" s="798">
        <v>42858</v>
      </c>
      <c r="U585" s="798" t="str">
        <f t="shared" si="485"/>
        <v>-</v>
      </c>
      <c r="V585" s="804" t="str">
        <f t="shared" ca="1" si="486"/>
        <v>-</v>
      </c>
      <c r="W585" s="808">
        <v>1</v>
      </c>
      <c r="X585" s="794" t="str">
        <f t="shared" si="479"/>
        <v>-</v>
      </c>
      <c r="Y585" s="794">
        <v>1</v>
      </c>
      <c r="Z585" s="809" t="str">
        <f t="shared" ca="1" si="487"/>
        <v>ПОДЛЕЖИТ ПЕРЕПРОВЕРКЕ</v>
      </c>
      <c r="AA585" s="810">
        <f t="shared" ca="1" si="488"/>
        <v>276</v>
      </c>
      <c r="AB585" s="804"/>
      <c r="AC585" s="811">
        <f t="shared" ca="1" si="489"/>
        <v>42930</v>
      </c>
      <c r="AD585" s="798"/>
      <c r="AE585" s="794" t="str">
        <f t="shared" ca="1" si="490"/>
        <v>-</v>
      </c>
      <c r="AF585" s="798" t="str">
        <f t="shared" si="491"/>
        <v>-</v>
      </c>
      <c r="AG585" s="812" t="str">
        <f t="shared" si="492"/>
        <v>---------</v>
      </c>
      <c r="AH585" s="807">
        <v>42918</v>
      </c>
      <c r="AI585" s="807" t="str">
        <f t="shared" si="493"/>
        <v>-</v>
      </c>
      <c r="AJ585" s="807" t="str">
        <f t="shared" si="494"/>
        <v>-</v>
      </c>
      <c r="AK585" s="813"/>
      <c r="AL585" s="807">
        <f t="shared" si="495"/>
        <v>43117</v>
      </c>
      <c r="AM585" s="807">
        <f t="shared" si="496"/>
        <v>43138</v>
      </c>
      <c r="AN585" s="814">
        <f t="shared" ca="1" si="497"/>
        <v>-4</v>
      </c>
      <c r="AO585" s="815">
        <v>1</v>
      </c>
      <c r="AP585" s="816" t="str">
        <f t="shared" ca="1" si="498"/>
        <v>-</v>
      </c>
      <c r="AQ585" s="817"/>
      <c r="AR585" s="794" t="str">
        <f t="shared" si="499"/>
        <v>НЕТЕЛЬ</v>
      </c>
      <c r="AS585" s="818"/>
      <c r="AT585" s="794" t="str">
        <f t="shared" si="500"/>
        <v>-</v>
      </c>
      <c r="AU585" s="819"/>
      <c r="AV585" s="820"/>
      <c r="AW585" s="821"/>
      <c r="AX585" s="821"/>
      <c r="AY585" s="969" t="str">
        <f t="shared" si="501"/>
        <v>-</v>
      </c>
      <c r="AZ585" s="966" t="str">
        <f t="shared" si="502"/>
        <v>-</v>
      </c>
      <c r="BA585" s="971" t="str">
        <f t="shared" si="503"/>
        <v>-</v>
      </c>
      <c r="BB585" s="975"/>
      <c r="BC585" s="821"/>
      <c r="BD585" s="821"/>
      <c r="BE585" s="963" t="str">
        <f t="shared" si="504"/>
        <v>-</v>
      </c>
      <c r="BF585" s="984"/>
      <c r="BG585" s="988"/>
      <c r="BH585" s="982"/>
      <c r="BI585" s="991"/>
      <c r="BJ585" s="991"/>
      <c r="BK585" s="993" t="str">
        <f t="shared" si="505"/>
        <v>-</v>
      </c>
      <c r="BL585" s="820">
        <v>42978</v>
      </c>
      <c r="BM585" s="821">
        <v>5</v>
      </c>
      <c r="BN585" s="822">
        <f t="shared" ca="1" si="506"/>
        <v>156</v>
      </c>
      <c r="BO585" s="823">
        <f t="shared" si="507"/>
        <v>16.833333333333332</v>
      </c>
      <c r="BP585" s="824"/>
      <c r="BQ585" s="821"/>
      <c r="BR585" s="822" t="str">
        <f t="shared" si="508"/>
        <v>-</v>
      </c>
      <c r="BS585" s="823" t="str">
        <f t="shared" si="509"/>
        <v>-</v>
      </c>
      <c r="BT585" s="825" t="str">
        <f t="shared" ca="1" si="510"/>
        <v>-</v>
      </c>
      <c r="BU585" s="826"/>
      <c r="BV585" s="827"/>
      <c r="BW585" s="828" t="str">
        <f t="shared" si="511"/>
        <v>Ж-Е НЕ ВАКЦ.</v>
      </c>
      <c r="BX585" s="829" t="str">
        <f t="shared" si="512"/>
        <v>-</v>
      </c>
      <c r="BY585" s="830" t="str">
        <f t="shared" ca="1" si="513"/>
        <v>-</v>
      </c>
      <c r="BZ585" s="831">
        <v>42891</v>
      </c>
      <c r="CA585" s="832">
        <v>5</v>
      </c>
      <c r="CB585" s="833">
        <f t="shared" ca="1" si="514"/>
        <v>243</v>
      </c>
      <c r="CC585" s="834" t="str">
        <f t="shared" ca="1" si="515"/>
        <v>-</v>
      </c>
      <c r="CD585" s="835">
        <f t="shared" si="516"/>
        <v>42912</v>
      </c>
      <c r="CE585" s="831">
        <v>42912</v>
      </c>
      <c r="CF585" s="832">
        <v>5</v>
      </c>
      <c r="CG585" s="833">
        <f t="shared" ca="1" si="517"/>
        <v>222</v>
      </c>
      <c r="CH585" s="836">
        <f t="shared" si="518"/>
        <v>0</v>
      </c>
      <c r="CI585" s="837" t="str">
        <f t="shared" si="519"/>
        <v>УСПЕШНО</v>
      </c>
      <c r="CJ585" s="838" t="str">
        <f t="shared" ca="1" si="520"/>
        <v>-</v>
      </c>
      <c r="CK585" s="831"/>
      <c r="CL585" s="832"/>
      <c r="CM585" s="833" t="str">
        <f t="shared" si="521"/>
        <v>-</v>
      </c>
      <c r="CN585" s="834" t="str">
        <f t="shared" si="522"/>
        <v>-</v>
      </c>
      <c r="CO585" s="830" t="str">
        <f t="shared" ca="1" si="523"/>
        <v>ТРЕБУЕТСЯ ВАКЦИНАЦИЯ</v>
      </c>
      <c r="CP585" s="839"/>
      <c r="CQ585" s="832"/>
      <c r="CR585" s="833" t="str">
        <f t="shared" si="524"/>
        <v>-</v>
      </c>
      <c r="CS585" s="833" t="str">
        <f t="shared" si="525"/>
        <v>-</v>
      </c>
      <c r="CT585" s="834" t="str">
        <f t="shared" si="526"/>
        <v>-</v>
      </c>
      <c r="CU585" s="835" t="str">
        <f t="shared" si="527"/>
        <v>-</v>
      </c>
      <c r="CV585" s="839"/>
      <c r="CW585" s="832"/>
      <c r="CX585" s="833" t="str">
        <f t="shared" si="528"/>
        <v>-</v>
      </c>
      <c r="CY585" s="840" t="str">
        <f t="shared" si="529"/>
        <v>-</v>
      </c>
      <c r="CZ585" s="833" t="str">
        <f t="shared" si="530"/>
        <v>-</v>
      </c>
      <c r="DA585" s="838" t="str">
        <f t="shared" ca="1" si="531"/>
        <v>-</v>
      </c>
      <c r="DB585" s="841"/>
      <c r="DC585" s="832"/>
    </row>
    <row r="586" spans="1:107" s="842" customFormat="1" ht="15.95" customHeight="1" x14ac:dyDescent="0.25">
      <c r="A586" s="790">
        <v>588</v>
      </c>
      <c r="B586" s="791">
        <f t="shared" ca="1" si="480"/>
        <v>43134</v>
      </c>
      <c r="C586" s="29" t="s">
        <v>2554</v>
      </c>
      <c r="D586" s="59" t="s">
        <v>2586</v>
      </c>
      <c r="E586" s="794" t="s">
        <v>1563</v>
      </c>
      <c r="F586" s="795" t="s">
        <v>1721</v>
      </c>
      <c r="G586" s="796">
        <f>SUMIFS(МОЛОКО!L8:L6958,МОЛОКО!F8:F6958,"2909",МОЛОКО!L8:L6958,"&gt;0")</f>
        <v>0</v>
      </c>
      <c r="H586" s="797" t="s">
        <v>603</v>
      </c>
      <c r="I586" s="798">
        <v>42474</v>
      </c>
      <c r="J586" s="799">
        <f t="shared" ca="1" si="481"/>
        <v>1.8082191780821917</v>
      </c>
      <c r="K586" s="799">
        <f t="shared" ca="1" si="482"/>
        <v>22</v>
      </c>
      <c r="L586" s="800">
        <f t="shared" ca="1" si="483"/>
        <v>660</v>
      </c>
      <c r="M586" s="801"/>
      <c r="N586" s="802"/>
      <c r="O586" s="803" t="str">
        <f t="shared" ca="1" si="484"/>
        <v>-</v>
      </c>
      <c r="P586" s="804"/>
      <c r="Q586" s="805" t="s">
        <v>2366</v>
      </c>
      <c r="R586" s="806" t="s">
        <v>2909</v>
      </c>
      <c r="S586" s="807">
        <v>42870</v>
      </c>
      <c r="T586" s="798">
        <v>42944</v>
      </c>
      <c r="U586" s="798" t="str">
        <f t="shared" si="485"/>
        <v>-</v>
      </c>
      <c r="V586" s="804" t="str">
        <f t="shared" ca="1" si="486"/>
        <v>-</v>
      </c>
      <c r="W586" s="808">
        <v>2</v>
      </c>
      <c r="X586" s="794" t="str">
        <f t="shared" si="479"/>
        <v>-</v>
      </c>
      <c r="Y586" s="794">
        <v>1</v>
      </c>
      <c r="Z586" s="809" t="str">
        <f t="shared" ca="1" si="487"/>
        <v>ПОДЛЕЖИТ ПЕРЕПРОВЕРКЕ</v>
      </c>
      <c r="AA586" s="810">
        <f t="shared" ca="1" si="488"/>
        <v>190</v>
      </c>
      <c r="AB586" s="804"/>
      <c r="AC586" s="811">
        <f t="shared" ca="1" si="489"/>
        <v>43016</v>
      </c>
      <c r="AD586" s="798"/>
      <c r="AE586" s="794" t="str">
        <f t="shared" ca="1" si="490"/>
        <v>-</v>
      </c>
      <c r="AF586" s="798" t="str">
        <f t="shared" si="491"/>
        <v>-</v>
      </c>
      <c r="AG586" s="812" t="str">
        <f t="shared" si="492"/>
        <v>---------</v>
      </c>
      <c r="AH586" s="807">
        <v>43001</v>
      </c>
      <c r="AI586" s="807" t="str">
        <f t="shared" si="493"/>
        <v>-</v>
      </c>
      <c r="AJ586" s="807" t="str">
        <f t="shared" si="494"/>
        <v>-</v>
      </c>
      <c r="AK586" s="813"/>
      <c r="AL586" s="807">
        <f t="shared" si="495"/>
        <v>43203</v>
      </c>
      <c r="AM586" s="807">
        <f t="shared" si="496"/>
        <v>43224</v>
      </c>
      <c r="AN586" s="814">
        <f t="shared" ca="1" si="497"/>
        <v>-90</v>
      </c>
      <c r="AO586" s="815">
        <v>1</v>
      </c>
      <c r="AP586" s="816" t="str">
        <f t="shared" ca="1" si="498"/>
        <v>-</v>
      </c>
      <c r="AQ586" s="817"/>
      <c r="AR586" s="794" t="str">
        <f t="shared" si="499"/>
        <v>НЕТЕЛЬ</v>
      </c>
      <c r="AS586" s="818"/>
      <c r="AT586" s="794" t="str">
        <f t="shared" si="500"/>
        <v>-</v>
      </c>
      <c r="AU586" s="819"/>
      <c r="AV586" s="820"/>
      <c r="AW586" s="821"/>
      <c r="AX586" s="821"/>
      <c r="AY586" s="969" t="str">
        <f t="shared" si="501"/>
        <v>-</v>
      </c>
      <c r="AZ586" s="966" t="str">
        <f t="shared" si="502"/>
        <v>-</v>
      </c>
      <c r="BA586" s="971" t="str">
        <f t="shared" si="503"/>
        <v>-</v>
      </c>
      <c r="BB586" s="975"/>
      <c r="BC586" s="821"/>
      <c r="BD586" s="821"/>
      <c r="BE586" s="963" t="str">
        <f t="shared" si="504"/>
        <v>-</v>
      </c>
      <c r="BF586" s="984"/>
      <c r="BG586" s="988"/>
      <c r="BH586" s="982"/>
      <c r="BI586" s="991"/>
      <c r="BJ586" s="991"/>
      <c r="BK586" s="993" t="str">
        <f t="shared" si="505"/>
        <v>-</v>
      </c>
      <c r="BL586" s="820">
        <v>42977</v>
      </c>
      <c r="BM586" s="821">
        <v>5</v>
      </c>
      <c r="BN586" s="822">
        <f t="shared" ca="1" si="506"/>
        <v>157</v>
      </c>
      <c r="BO586" s="823">
        <f t="shared" si="507"/>
        <v>16.766666666666666</v>
      </c>
      <c r="BP586" s="824"/>
      <c r="BQ586" s="821"/>
      <c r="BR586" s="822" t="str">
        <f t="shared" si="508"/>
        <v>-</v>
      </c>
      <c r="BS586" s="823" t="str">
        <f t="shared" si="509"/>
        <v>-</v>
      </c>
      <c r="BT586" s="825" t="str">
        <f t="shared" ca="1" si="510"/>
        <v>-</v>
      </c>
      <c r="BU586" s="826"/>
      <c r="BV586" s="827"/>
      <c r="BW586" s="828" t="str">
        <f t="shared" si="511"/>
        <v>Ж-Е НЕ ВАКЦ.</v>
      </c>
      <c r="BX586" s="829" t="str">
        <f t="shared" si="512"/>
        <v>-</v>
      </c>
      <c r="BY586" s="830" t="str">
        <f t="shared" ca="1" si="513"/>
        <v>-</v>
      </c>
      <c r="BZ586" s="831">
        <v>42891</v>
      </c>
      <c r="CA586" s="832">
        <v>5</v>
      </c>
      <c r="CB586" s="833">
        <f t="shared" ca="1" si="514"/>
        <v>243</v>
      </c>
      <c r="CC586" s="834" t="str">
        <f t="shared" ca="1" si="515"/>
        <v>-</v>
      </c>
      <c r="CD586" s="835">
        <f t="shared" si="516"/>
        <v>42912</v>
      </c>
      <c r="CE586" s="831">
        <v>42912</v>
      </c>
      <c r="CF586" s="832">
        <v>5</v>
      </c>
      <c r="CG586" s="833">
        <f t="shared" ca="1" si="517"/>
        <v>222</v>
      </c>
      <c r="CH586" s="836">
        <f t="shared" si="518"/>
        <v>0</v>
      </c>
      <c r="CI586" s="837" t="str">
        <f t="shared" si="519"/>
        <v>УСПЕШНО</v>
      </c>
      <c r="CJ586" s="838" t="str">
        <f t="shared" ca="1" si="520"/>
        <v>-</v>
      </c>
      <c r="CK586" s="831"/>
      <c r="CL586" s="832"/>
      <c r="CM586" s="833" t="str">
        <f t="shared" si="521"/>
        <v>-</v>
      </c>
      <c r="CN586" s="834" t="str">
        <f t="shared" si="522"/>
        <v>-</v>
      </c>
      <c r="CO586" s="830" t="str">
        <f t="shared" ca="1" si="523"/>
        <v>-</v>
      </c>
      <c r="CP586" s="839"/>
      <c r="CQ586" s="832"/>
      <c r="CR586" s="833" t="str">
        <f t="shared" si="524"/>
        <v>-</v>
      </c>
      <c r="CS586" s="833" t="str">
        <f t="shared" si="525"/>
        <v>-</v>
      </c>
      <c r="CT586" s="834" t="str">
        <f t="shared" si="526"/>
        <v>-</v>
      </c>
      <c r="CU586" s="835" t="str">
        <f t="shared" si="527"/>
        <v>-</v>
      </c>
      <c r="CV586" s="839"/>
      <c r="CW586" s="832"/>
      <c r="CX586" s="833" t="str">
        <f t="shared" si="528"/>
        <v>-</v>
      </c>
      <c r="CY586" s="840" t="str">
        <f t="shared" si="529"/>
        <v>-</v>
      </c>
      <c r="CZ586" s="833" t="str">
        <f t="shared" si="530"/>
        <v>-</v>
      </c>
      <c r="DA586" s="838" t="str">
        <f t="shared" ca="1" si="531"/>
        <v>-</v>
      </c>
      <c r="DB586" s="841"/>
      <c r="DC586" s="832"/>
    </row>
    <row r="587" spans="1:107" s="842" customFormat="1" ht="15.95" customHeight="1" x14ac:dyDescent="0.25">
      <c r="A587" s="790">
        <v>589</v>
      </c>
      <c r="B587" s="791">
        <f t="shared" ca="1" si="480"/>
        <v>43134</v>
      </c>
      <c r="C587" s="847" t="s">
        <v>2554</v>
      </c>
      <c r="D587" s="793" t="s">
        <v>2586</v>
      </c>
      <c r="E587" s="794" t="s">
        <v>1563</v>
      </c>
      <c r="F587" s="795" t="s">
        <v>1724</v>
      </c>
      <c r="G587" s="796">
        <f>SUMIFS(МОЛОКО!L8:L6958,МОЛОКО!F8:F6958,"2914",МОЛОКО!L8:L6958,"&gt;0")</f>
        <v>0</v>
      </c>
      <c r="H587" s="797" t="s">
        <v>603</v>
      </c>
      <c r="I587" s="798">
        <v>42476</v>
      </c>
      <c r="J587" s="799">
        <f t="shared" ca="1" si="481"/>
        <v>1.8027397260273972</v>
      </c>
      <c r="K587" s="799">
        <f t="shared" ca="1" si="482"/>
        <v>21.933333333333334</v>
      </c>
      <c r="L587" s="800">
        <f t="shared" ca="1" si="483"/>
        <v>658</v>
      </c>
      <c r="M587" s="801"/>
      <c r="N587" s="802"/>
      <c r="O587" s="803" t="str">
        <f t="shared" ca="1" si="484"/>
        <v>-</v>
      </c>
      <c r="P587" s="804"/>
      <c r="Q587" s="805" t="s">
        <v>1451</v>
      </c>
      <c r="R587" s="806" t="s">
        <v>2664</v>
      </c>
      <c r="S587" s="807">
        <v>42846</v>
      </c>
      <c r="T587" s="798">
        <v>42846</v>
      </c>
      <c r="U587" s="798" t="str">
        <f t="shared" si="485"/>
        <v>-</v>
      </c>
      <c r="V587" s="804" t="str">
        <f t="shared" ca="1" si="486"/>
        <v>-</v>
      </c>
      <c r="W587" s="808">
        <v>1</v>
      </c>
      <c r="X587" s="794" t="str">
        <f t="shared" si="479"/>
        <v>-</v>
      </c>
      <c r="Y587" s="794">
        <v>1</v>
      </c>
      <c r="Z587" s="809" t="str">
        <f t="shared" ca="1" si="487"/>
        <v>ПОДЛЕЖИТ ПЕРЕПРОВЕРКЕ</v>
      </c>
      <c r="AA587" s="810">
        <f t="shared" ca="1" si="488"/>
        <v>288</v>
      </c>
      <c r="AB587" s="804"/>
      <c r="AC587" s="811">
        <f t="shared" ca="1" si="489"/>
        <v>42918</v>
      </c>
      <c r="AD587" s="798"/>
      <c r="AE587" s="794" t="str">
        <f t="shared" ca="1" si="490"/>
        <v>-</v>
      </c>
      <c r="AF587" s="798" t="str">
        <f t="shared" si="491"/>
        <v>-</v>
      </c>
      <c r="AG587" s="812" t="str">
        <f t="shared" si="492"/>
        <v>---------</v>
      </c>
      <c r="AH587" s="807">
        <v>42904</v>
      </c>
      <c r="AI587" s="807" t="str">
        <f t="shared" si="493"/>
        <v>-</v>
      </c>
      <c r="AJ587" s="807" t="str">
        <f t="shared" si="494"/>
        <v>-</v>
      </c>
      <c r="AK587" s="813"/>
      <c r="AL587" s="807">
        <f t="shared" si="495"/>
        <v>43105</v>
      </c>
      <c r="AM587" s="807">
        <f t="shared" si="496"/>
        <v>43126</v>
      </c>
      <c r="AN587" s="814">
        <f t="shared" ca="1" si="497"/>
        <v>8</v>
      </c>
      <c r="AO587" s="815">
        <v>1</v>
      </c>
      <c r="AP587" s="816" t="str">
        <f t="shared" ca="1" si="498"/>
        <v>-</v>
      </c>
      <c r="AQ587" s="817"/>
      <c r="AR587" s="794" t="str">
        <f t="shared" si="499"/>
        <v>НЕТЕЛЬ</v>
      </c>
      <c r="AS587" s="818"/>
      <c r="AT587" s="794" t="str">
        <f t="shared" si="500"/>
        <v>-</v>
      </c>
      <c r="AU587" s="819"/>
      <c r="AV587" s="820"/>
      <c r="AW587" s="821"/>
      <c r="AX587" s="821"/>
      <c r="AY587" s="969" t="str">
        <f t="shared" si="501"/>
        <v>-</v>
      </c>
      <c r="AZ587" s="966" t="str">
        <f t="shared" si="502"/>
        <v>-</v>
      </c>
      <c r="BA587" s="971" t="str">
        <f t="shared" si="503"/>
        <v>-</v>
      </c>
      <c r="BB587" s="975"/>
      <c r="BC587" s="821"/>
      <c r="BD587" s="821"/>
      <c r="BE587" s="963" t="str">
        <f t="shared" si="504"/>
        <v>-</v>
      </c>
      <c r="BF587" s="984"/>
      <c r="BG587" s="988"/>
      <c r="BH587" s="982"/>
      <c r="BI587" s="991"/>
      <c r="BJ587" s="991"/>
      <c r="BK587" s="993" t="str">
        <f t="shared" si="505"/>
        <v>-</v>
      </c>
      <c r="BL587" s="820">
        <v>42978</v>
      </c>
      <c r="BM587" s="821">
        <v>5</v>
      </c>
      <c r="BN587" s="822">
        <f t="shared" ca="1" si="506"/>
        <v>156</v>
      </c>
      <c r="BO587" s="823">
        <f t="shared" si="507"/>
        <v>16.733333333333334</v>
      </c>
      <c r="BP587" s="824"/>
      <c r="BQ587" s="821"/>
      <c r="BR587" s="822" t="str">
        <f t="shared" si="508"/>
        <v>-</v>
      </c>
      <c r="BS587" s="823" t="str">
        <f t="shared" si="509"/>
        <v>-</v>
      </c>
      <c r="BT587" s="825" t="str">
        <f t="shared" ca="1" si="510"/>
        <v>-</v>
      </c>
      <c r="BU587" s="826"/>
      <c r="BV587" s="827"/>
      <c r="BW587" s="828" t="str">
        <f t="shared" si="511"/>
        <v>Ж-Е НЕ ВАКЦ.</v>
      </c>
      <c r="BX587" s="829" t="str">
        <f t="shared" si="512"/>
        <v>-</v>
      </c>
      <c r="BY587" s="830" t="str">
        <f t="shared" ca="1" si="513"/>
        <v>-</v>
      </c>
      <c r="BZ587" s="831">
        <v>42891</v>
      </c>
      <c r="CA587" s="832">
        <v>5</v>
      </c>
      <c r="CB587" s="833">
        <f t="shared" ca="1" si="514"/>
        <v>243</v>
      </c>
      <c r="CC587" s="834" t="str">
        <f t="shared" ca="1" si="515"/>
        <v>-</v>
      </c>
      <c r="CD587" s="835">
        <f t="shared" si="516"/>
        <v>42912</v>
      </c>
      <c r="CE587" s="831">
        <v>42912</v>
      </c>
      <c r="CF587" s="832">
        <v>5</v>
      </c>
      <c r="CG587" s="833">
        <f t="shared" ca="1" si="517"/>
        <v>222</v>
      </c>
      <c r="CH587" s="836">
        <f t="shared" si="518"/>
        <v>0</v>
      </c>
      <c r="CI587" s="837" t="str">
        <f t="shared" si="519"/>
        <v>УСПЕШНО</v>
      </c>
      <c r="CJ587" s="838" t="str">
        <f t="shared" ca="1" si="520"/>
        <v>-</v>
      </c>
      <c r="CK587" s="831"/>
      <c r="CL587" s="832"/>
      <c r="CM587" s="833" t="str">
        <f t="shared" si="521"/>
        <v>-</v>
      </c>
      <c r="CN587" s="834" t="str">
        <f t="shared" si="522"/>
        <v>-</v>
      </c>
      <c r="CO587" s="830" t="str">
        <f t="shared" ca="1" si="523"/>
        <v>ТРЕБУЕТСЯ ВАКЦИНАЦИЯ</v>
      </c>
      <c r="CP587" s="839"/>
      <c r="CQ587" s="832"/>
      <c r="CR587" s="833" t="str">
        <f t="shared" si="524"/>
        <v>-</v>
      </c>
      <c r="CS587" s="833" t="str">
        <f t="shared" si="525"/>
        <v>-</v>
      </c>
      <c r="CT587" s="834" t="str">
        <f t="shared" si="526"/>
        <v>-</v>
      </c>
      <c r="CU587" s="835" t="str">
        <f t="shared" si="527"/>
        <v>-</v>
      </c>
      <c r="CV587" s="839"/>
      <c r="CW587" s="832"/>
      <c r="CX587" s="833" t="str">
        <f t="shared" si="528"/>
        <v>-</v>
      </c>
      <c r="CY587" s="840" t="str">
        <f t="shared" si="529"/>
        <v>-</v>
      </c>
      <c r="CZ587" s="833" t="str">
        <f t="shared" si="530"/>
        <v>-</v>
      </c>
      <c r="DA587" s="838" t="str">
        <f t="shared" ca="1" si="531"/>
        <v>-</v>
      </c>
      <c r="DB587" s="841"/>
      <c r="DC587" s="832"/>
    </row>
    <row r="588" spans="1:107" s="842" customFormat="1" ht="15.95" customHeight="1" x14ac:dyDescent="0.25">
      <c r="A588" s="790">
        <v>590</v>
      </c>
      <c r="B588" s="791">
        <f t="shared" ca="1" si="480"/>
        <v>43134</v>
      </c>
      <c r="C588" s="792" t="s">
        <v>2554</v>
      </c>
      <c r="D588" s="793" t="s">
        <v>2586</v>
      </c>
      <c r="E588" s="794" t="s">
        <v>1563</v>
      </c>
      <c r="F588" s="795" t="s">
        <v>1748</v>
      </c>
      <c r="G588" s="796">
        <f>SUMIFS(МОЛОКО!L8:L6958,МОЛОКО!F8:F6958,"2917",МОЛОКО!L8:L6958,"&gt;0")</f>
        <v>0</v>
      </c>
      <c r="H588" s="797" t="s">
        <v>603</v>
      </c>
      <c r="I588" s="798">
        <v>42476</v>
      </c>
      <c r="J588" s="799">
        <f t="shared" ca="1" si="481"/>
        <v>1.8027397260273972</v>
      </c>
      <c r="K588" s="799">
        <f t="shared" ca="1" si="482"/>
        <v>21.933333333333334</v>
      </c>
      <c r="L588" s="800">
        <f t="shared" ca="1" si="483"/>
        <v>658</v>
      </c>
      <c r="M588" s="801"/>
      <c r="N588" s="802"/>
      <c r="O588" s="803" t="str">
        <f t="shared" ca="1" si="484"/>
        <v>-</v>
      </c>
      <c r="P588" s="804"/>
      <c r="Q588" s="805" t="s">
        <v>2366</v>
      </c>
      <c r="R588" s="806" t="s">
        <v>1876</v>
      </c>
      <c r="S588" s="807">
        <v>42899</v>
      </c>
      <c r="T588" s="798">
        <v>42907</v>
      </c>
      <c r="U588" s="798" t="str">
        <f t="shared" si="485"/>
        <v>-</v>
      </c>
      <c r="V588" s="804" t="str">
        <f t="shared" ca="1" si="486"/>
        <v>-</v>
      </c>
      <c r="W588" s="808">
        <v>2</v>
      </c>
      <c r="X588" s="794" t="str">
        <f t="shared" si="479"/>
        <v>-</v>
      </c>
      <c r="Y588" s="794">
        <v>1</v>
      </c>
      <c r="Z588" s="809" t="str">
        <f t="shared" ca="1" si="487"/>
        <v>ПОДЛЕЖИТ ПЕРЕПРОВЕРКЕ</v>
      </c>
      <c r="AA588" s="810">
        <f t="shared" ca="1" si="488"/>
        <v>227</v>
      </c>
      <c r="AB588" s="804"/>
      <c r="AC588" s="811">
        <f t="shared" ca="1" si="489"/>
        <v>42979</v>
      </c>
      <c r="AD588" s="798"/>
      <c r="AE588" s="794" t="str">
        <f t="shared" ca="1" si="490"/>
        <v>-</v>
      </c>
      <c r="AF588" s="798" t="str">
        <f t="shared" si="491"/>
        <v>-</v>
      </c>
      <c r="AG588" s="812" t="str">
        <f t="shared" si="492"/>
        <v>---------</v>
      </c>
      <c r="AH588" s="807">
        <v>42969</v>
      </c>
      <c r="AI588" s="807" t="str">
        <f t="shared" si="493"/>
        <v>-</v>
      </c>
      <c r="AJ588" s="807" t="str">
        <f t="shared" si="494"/>
        <v>-</v>
      </c>
      <c r="AK588" s="813"/>
      <c r="AL588" s="807">
        <f t="shared" si="495"/>
        <v>43166</v>
      </c>
      <c r="AM588" s="807">
        <f t="shared" si="496"/>
        <v>43187</v>
      </c>
      <c r="AN588" s="814">
        <f t="shared" ca="1" si="497"/>
        <v>-53</v>
      </c>
      <c r="AO588" s="815">
        <v>1</v>
      </c>
      <c r="AP588" s="816" t="str">
        <f t="shared" ca="1" si="498"/>
        <v>-</v>
      </c>
      <c r="AQ588" s="817"/>
      <c r="AR588" s="794" t="str">
        <f t="shared" si="499"/>
        <v>НЕТЕЛЬ</v>
      </c>
      <c r="AS588" s="818"/>
      <c r="AT588" s="794" t="str">
        <f t="shared" si="500"/>
        <v>-</v>
      </c>
      <c r="AU588" s="819"/>
      <c r="AV588" s="820"/>
      <c r="AW588" s="821"/>
      <c r="AX588" s="821"/>
      <c r="AY588" s="969" t="str">
        <f t="shared" si="501"/>
        <v>-</v>
      </c>
      <c r="AZ588" s="966" t="str">
        <f t="shared" si="502"/>
        <v>-</v>
      </c>
      <c r="BA588" s="971" t="str">
        <f t="shared" si="503"/>
        <v>-</v>
      </c>
      <c r="BB588" s="975"/>
      <c r="BC588" s="821"/>
      <c r="BD588" s="821"/>
      <c r="BE588" s="963" t="str">
        <f t="shared" si="504"/>
        <v>-</v>
      </c>
      <c r="BF588" s="984"/>
      <c r="BG588" s="988"/>
      <c r="BH588" s="982"/>
      <c r="BI588" s="991"/>
      <c r="BJ588" s="991"/>
      <c r="BK588" s="993" t="str">
        <f t="shared" si="505"/>
        <v>-</v>
      </c>
      <c r="BL588" s="820">
        <v>42978</v>
      </c>
      <c r="BM588" s="821">
        <v>5</v>
      </c>
      <c r="BN588" s="822">
        <f t="shared" ca="1" si="506"/>
        <v>156</v>
      </c>
      <c r="BO588" s="823">
        <f t="shared" si="507"/>
        <v>16.733333333333334</v>
      </c>
      <c r="BP588" s="824"/>
      <c r="BQ588" s="821"/>
      <c r="BR588" s="822" t="str">
        <f t="shared" si="508"/>
        <v>-</v>
      </c>
      <c r="BS588" s="823" t="str">
        <f t="shared" si="509"/>
        <v>-</v>
      </c>
      <c r="BT588" s="825" t="str">
        <f t="shared" ca="1" si="510"/>
        <v>-</v>
      </c>
      <c r="BU588" s="826"/>
      <c r="BV588" s="827"/>
      <c r="BW588" s="828" t="str">
        <f t="shared" si="511"/>
        <v>Ж-Е НЕ ВАКЦ.</v>
      </c>
      <c r="BX588" s="829" t="str">
        <f t="shared" si="512"/>
        <v>-</v>
      </c>
      <c r="BY588" s="830" t="str">
        <f t="shared" ca="1" si="513"/>
        <v>-</v>
      </c>
      <c r="BZ588" s="831">
        <v>42891</v>
      </c>
      <c r="CA588" s="832">
        <v>5</v>
      </c>
      <c r="CB588" s="833">
        <f t="shared" ca="1" si="514"/>
        <v>243</v>
      </c>
      <c r="CC588" s="834" t="str">
        <f t="shared" ca="1" si="515"/>
        <v>-</v>
      </c>
      <c r="CD588" s="835">
        <f t="shared" si="516"/>
        <v>42912</v>
      </c>
      <c r="CE588" s="831">
        <v>42912</v>
      </c>
      <c r="CF588" s="832">
        <v>5</v>
      </c>
      <c r="CG588" s="833">
        <f t="shared" ca="1" si="517"/>
        <v>222</v>
      </c>
      <c r="CH588" s="836">
        <f t="shared" si="518"/>
        <v>0</v>
      </c>
      <c r="CI588" s="837" t="str">
        <f t="shared" si="519"/>
        <v>УСПЕШНО</v>
      </c>
      <c r="CJ588" s="838" t="str">
        <f t="shared" ca="1" si="520"/>
        <v>-</v>
      </c>
      <c r="CK588" s="831"/>
      <c r="CL588" s="832"/>
      <c r="CM588" s="833" t="str">
        <f t="shared" si="521"/>
        <v>-</v>
      </c>
      <c r="CN588" s="834" t="str">
        <f t="shared" si="522"/>
        <v>-</v>
      </c>
      <c r="CO588" s="830" t="str">
        <f t="shared" ca="1" si="523"/>
        <v>ТРЕБУЕТСЯ ВАКЦИНАЦИЯ</v>
      </c>
      <c r="CP588" s="839"/>
      <c r="CQ588" s="832"/>
      <c r="CR588" s="833" t="str">
        <f t="shared" si="524"/>
        <v>-</v>
      </c>
      <c r="CS588" s="833" t="str">
        <f t="shared" si="525"/>
        <v>-</v>
      </c>
      <c r="CT588" s="834" t="str">
        <f t="shared" si="526"/>
        <v>-</v>
      </c>
      <c r="CU588" s="835" t="str">
        <f t="shared" si="527"/>
        <v>-</v>
      </c>
      <c r="CV588" s="839"/>
      <c r="CW588" s="832"/>
      <c r="CX588" s="833" t="str">
        <f t="shared" si="528"/>
        <v>-</v>
      </c>
      <c r="CY588" s="840" t="str">
        <f t="shared" si="529"/>
        <v>-</v>
      </c>
      <c r="CZ588" s="833" t="str">
        <f t="shared" si="530"/>
        <v>-</v>
      </c>
      <c r="DA588" s="838" t="str">
        <f t="shared" ca="1" si="531"/>
        <v>-</v>
      </c>
      <c r="DB588" s="841"/>
      <c r="DC588" s="832"/>
    </row>
    <row r="589" spans="1:107" s="842" customFormat="1" ht="15.95" customHeight="1" x14ac:dyDescent="0.25">
      <c r="A589" s="790">
        <v>591</v>
      </c>
      <c r="B589" s="791">
        <f t="shared" ca="1" si="480"/>
        <v>43134</v>
      </c>
      <c r="C589" s="847" t="s">
        <v>2554</v>
      </c>
      <c r="D589" s="793" t="s">
        <v>2586</v>
      </c>
      <c r="E589" s="794" t="s">
        <v>1563</v>
      </c>
      <c r="F589" s="795" t="s">
        <v>1763</v>
      </c>
      <c r="G589" s="796">
        <f>SUMIFS(МОЛОКО!L8:L6958,МОЛОКО!F8:F6958,"2922",МОЛОКО!L8:L6958,"&gt;0")</f>
        <v>0</v>
      </c>
      <c r="H589" s="797" t="s">
        <v>603</v>
      </c>
      <c r="I589" s="798">
        <v>42478</v>
      </c>
      <c r="J589" s="799">
        <f t="shared" ca="1" si="481"/>
        <v>1.7972602739726027</v>
      </c>
      <c r="K589" s="799">
        <f t="shared" ca="1" si="482"/>
        <v>21.866666666666667</v>
      </c>
      <c r="L589" s="800">
        <f t="shared" ca="1" si="483"/>
        <v>656</v>
      </c>
      <c r="M589" s="801"/>
      <c r="N589" s="802"/>
      <c r="O589" s="803" t="str">
        <f t="shared" ca="1" si="484"/>
        <v>-</v>
      </c>
      <c r="P589" s="804"/>
      <c r="Q589" s="805" t="s">
        <v>1451</v>
      </c>
      <c r="R589" s="806" t="s">
        <v>1876</v>
      </c>
      <c r="S589" s="807">
        <v>42875</v>
      </c>
      <c r="T589" s="798">
        <v>42875</v>
      </c>
      <c r="U589" s="798" t="str">
        <f t="shared" si="485"/>
        <v>-</v>
      </c>
      <c r="V589" s="804" t="str">
        <f t="shared" ca="1" si="486"/>
        <v>-</v>
      </c>
      <c r="W589" s="808">
        <v>1</v>
      </c>
      <c r="X589" s="794" t="str">
        <f t="shared" si="479"/>
        <v>-</v>
      </c>
      <c r="Y589" s="794">
        <v>1</v>
      </c>
      <c r="Z589" s="809" t="str">
        <f t="shared" ca="1" si="487"/>
        <v>-----</v>
      </c>
      <c r="AA589" s="810" t="str">
        <f t="shared" ca="1" si="488"/>
        <v>-----</v>
      </c>
      <c r="AB589" s="804">
        <v>1</v>
      </c>
      <c r="AC589" s="811" t="str">
        <f t="shared" ca="1" si="489"/>
        <v>-----</v>
      </c>
      <c r="AD589" s="798">
        <v>42941</v>
      </c>
      <c r="AE589" s="794" t="str">
        <f t="shared" ca="1" si="490"/>
        <v>-</v>
      </c>
      <c r="AF589" s="798" t="str">
        <f t="shared" si="491"/>
        <v>-</v>
      </c>
      <c r="AG589" s="812" t="str">
        <f t="shared" si="492"/>
        <v>---------</v>
      </c>
      <c r="AH589" s="807">
        <v>42941</v>
      </c>
      <c r="AI589" s="807" t="str">
        <f t="shared" si="493"/>
        <v>-</v>
      </c>
      <c r="AJ589" s="807" t="str">
        <f t="shared" si="494"/>
        <v>-</v>
      </c>
      <c r="AK589" s="813"/>
      <c r="AL589" s="807">
        <f t="shared" si="495"/>
        <v>43134</v>
      </c>
      <c r="AM589" s="807">
        <f t="shared" si="496"/>
        <v>43155</v>
      </c>
      <c r="AN589" s="814">
        <f t="shared" ca="1" si="497"/>
        <v>-21</v>
      </c>
      <c r="AO589" s="815">
        <v>1</v>
      </c>
      <c r="AP589" s="816" t="str">
        <f t="shared" ca="1" si="498"/>
        <v>-</v>
      </c>
      <c r="AQ589" s="817"/>
      <c r="AR589" s="794" t="str">
        <f t="shared" si="499"/>
        <v>НЕТЕЛЬ</v>
      </c>
      <c r="AS589" s="818"/>
      <c r="AT589" s="794" t="str">
        <f t="shared" si="500"/>
        <v>-</v>
      </c>
      <c r="AU589" s="819"/>
      <c r="AV589" s="820"/>
      <c r="AW589" s="821"/>
      <c r="AX589" s="821"/>
      <c r="AY589" s="969" t="str">
        <f t="shared" si="501"/>
        <v>-</v>
      </c>
      <c r="AZ589" s="966" t="str">
        <f t="shared" si="502"/>
        <v>-</v>
      </c>
      <c r="BA589" s="971" t="str">
        <f t="shared" si="503"/>
        <v>-</v>
      </c>
      <c r="BB589" s="975"/>
      <c r="BC589" s="821"/>
      <c r="BD589" s="821"/>
      <c r="BE589" s="963" t="str">
        <f t="shared" si="504"/>
        <v>-</v>
      </c>
      <c r="BF589" s="984"/>
      <c r="BG589" s="988"/>
      <c r="BH589" s="982"/>
      <c r="BI589" s="991"/>
      <c r="BJ589" s="991"/>
      <c r="BK589" s="993" t="str">
        <f t="shared" si="505"/>
        <v>-</v>
      </c>
      <c r="BL589" s="820">
        <v>42978</v>
      </c>
      <c r="BM589" s="821">
        <v>5</v>
      </c>
      <c r="BN589" s="822">
        <f t="shared" ca="1" si="506"/>
        <v>156</v>
      </c>
      <c r="BO589" s="823">
        <f t="shared" si="507"/>
        <v>16.666666666666668</v>
      </c>
      <c r="BP589" s="824"/>
      <c r="BQ589" s="821"/>
      <c r="BR589" s="822" t="str">
        <f t="shared" si="508"/>
        <v>-</v>
      </c>
      <c r="BS589" s="823" t="str">
        <f t="shared" si="509"/>
        <v>-</v>
      </c>
      <c r="BT589" s="825" t="str">
        <f t="shared" ca="1" si="510"/>
        <v>-</v>
      </c>
      <c r="BU589" s="826"/>
      <c r="BV589" s="827"/>
      <c r="BW589" s="828" t="str">
        <f t="shared" si="511"/>
        <v>Ж-Е НЕ ВАКЦ.</v>
      </c>
      <c r="BX589" s="829" t="str">
        <f t="shared" si="512"/>
        <v>-</v>
      </c>
      <c r="BY589" s="830" t="str">
        <f t="shared" ca="1" si="513"/>
        <v>-</v>
      </c>
      <c r="BZ589" s="831">
        <v>42891</v>
      </c>
      <c r="CA589" s="832">
        <v>5</v>
      </c>
      <c r="CB589" s="833">
        <f t="shared" ca="1" si="514"/>
        <v>243</v>
      </c>
      <c r="CC589" s="834" t="str">
        <f t="shared" ca="1" si="515"/>
        <v>-</v>
      </c>
      <c r="CD589" s="835">
        <f t="shared" si="516"/>
        <v>42912</v>
      </c>
      <c r="CE589" s="831">
        <v>42912</v>
      </c>
      <c r="CF589" s="832">
        <v>5</v>
      </c>
      <c r="CG589" s="833">
        <f t="shared" ca="1" si="517"/>
        <v>222</v>
      </c>
      <c r="CH589" s="836">
        <f t="shared" si="518"/>
        <v>0</v>
      </c>
      <c r="CI589" s="837" t="str">
        <f t="shared" si="519"/>
        <v>УСПЕШНО</v>
      </c>
      <c r="CJ589" s="838" t="str">
        <f t="shared" ca="1" si="520"/>
        <v>-</v>
      </c>
      <c r="CK589" s="831"/>
      <c r="CL589" s="832"/>
      <c r="CM589" s="833" t="str">
        <f t="shared" si="521"/>
        <v>-</v>
      </c>
      <c r="CN589" s="834" t="str">
        <f t="shared" si="522"/>
        <v>-</v>
      </c>
      <c r="CO589" s="830" t="str">
        <f t="shared" ca="1" si="523"/>
        <v>ТРЕБУЕТСЯ ВАКЦИНАЦИЯ</v>
      </c>
      <c r="CP589" s="839"/>
      <c r="CQ589" s="832"/>
      <c r="CR589" s="833" t="str">
        <f t="shared" si="524"/>
        <v>-</v>
      </c>
      <c r="CS589" s="833" t="str">
        <f t="shared" si="525"/>
        <v>-</v>
      </c>
      <c r="CT589" s="834" t="str">
        <f t="shared" si="526"/>
        <v>-</v>
      </c>
      <c r="CU589" s="835" t="str">
        <f t="shared" si="527"/>
        <v>-</v>
      </c>
      <c r="CV589" s="839"/>
      <c r="CW589" s="832"/>
      <c r="CX589" s="833" t="str">
        <f t="shared" si="528"/>
        <v>-</v>
      </c>
      <c r="CY589" s="840" t="str">
        <f t="shared" si="529"/>
        <v>-</v>
      </c>
      <c r="CZ589" s="833" t="str">
        <f t="shared" si="530"/>
        <v>-</v>
      </c>
      <c r="DA589" s="838" t="str">
        <f t="shared" ca="1" si="531"/>
        <v>-</v>
      </c>
      <c r="DB589" s="841"/>
      <c r="DC589" s="832"/>
    </row>
    <row r="590" spans="1:107" s="842" customFormat="1" ht="15.95" customHeight="1" x14ac:dyDescent="0.25">
      <c r="A590" s="790">
        <v>592</v>
      </c>
      <c r="B590" s="791">
        <f t="shared" ca="1" si="480"/>
        <v>43134</v>
      </c>
      <c r="C590" s="29" t="s">
        <v>2554</v>
      </c>
      <c r="D590" s="59" t="s">
        <v>2586</v>
      </c>
      <c r="E590" s="794" t="s">
        <v>1563</v>
      </c>
      <c r="F590" s="795" t="s">
        <v>1756</v>
      </c>
      <c r="G590" s="796">
        <f>SUMIFS(МОЛОКО!L8:L6958,МОЛОКО!F8:F6958,"2923",МОЛОКО!L8:L6958,"&gt;0")</f>
        <v>0</v>
      </c>
      <c r="H590" s="797" t="s">
        <v>603</v>
      </c>
      <c r="I590" s="798">
        <v>42478</v>
      </c>
      <c r="J590" s="799">
        <f t="shared" ca="1" si="481"/>
        <v>1.7972602739726027</v>
      </c>
      <c r="K590" s="799">
        <f t="shared" ca="1" si="482"/>
        <v>21.866666666666667</v>
      </c>
      <c r="L590" s="800">
        <f t="shared" ca="1" si="483"/>
        <v>656</v>
      </c>
      <c r="M590" s="801"/>
      <c r="N590" s="802"/>
      <c r="O590" s="803" t="str">
        <f t="shared" ca="1" si="484"/>
        <v>-</v>
      </c>
      <c r="P590" s="804"/>
      <c r="Q590" s="805" t="s">
        <v>1451</v>
      </c>
      <c r="R590" s="806" t="s">
        <v>2435</v>
      </c>
      <c r="S590" s="807">
        <v>42963</v>
      </c>
      <c r="T590" s="798">
        <v>42963</v>
      </c>
      <c r="U590" s="798" t="str">
        <f t="shared" si="485"/>
        <v>-</v>
      </c>
      <c r="V590" s="804" t="str">
        <f t="shared" ca="1" si="486"/>
        <v>-</v>
      </c>
      <c r="W590" s="808">
        <v>1</v>
      </c>
      <c r="X590" s="794" t="str">
        <f t="shared" si="479"/>
        <v>-</v>
      </c>
      <c r="Y590" s="794">
        <v>1</v>
      </c>
      <c r="Z590" s="809" t="str">
        <f t="shared" ca="1" si="487"/>
        <v>ПОДЛЕЖИТ ПЕРЕПРОВЕРКЕ</v>
      </c>
      <c r="AA590" s="810">
        <f t="shared" ca="1" si="488"/>
        <v>171</v>
      </c>
      <c r="AB590" s="804"/>
      <c r="AC590" s="811">
        <f t="shared" ca="1" si="489"/>
        <v>43035</v>
      </c>
      <c r="AD590" s="798"/>
      <c r="AE590" s="794" t="str">
        <f t="shared" ca="1" si="490"/>
        <v>-</v>
      </c>
      <c r="AF590" s="798" t="str">
        <f t="shared" si="491"/>
        <v>-</v>
      </c>
      <c r="AG590" s="812" t="str">
        <f t="shared" si="492"/>
        <v>---------</v>
      </c>
      <c r="AH590" s="807">
        <v>43032</v>
      </c>
      <c r="AI590" s="807" t="str">
        <f t="shared" si="493"/>
        <v>-</v>
      </c>
      <c r="AJ590" s="807" t="str">
        <f t="shared" si="494"/>
        <v>-</v>
      </c>
      <c r="AK590" s="813"/>
      <c r="AL590" s="807">
        <f t="shared" si="495"/>
        <v>43222</v>
      </c>
      <c r="AM590" s="807">
        <f t="shared" si="496"/>
        <v>43243</v>
      </c>
      <c r="AN590" s="814">
        <f t="shared" ca="1" si="497"/>
        <v>-109</v>
      </c>
      <c r="AO590" s="815">
        <v>1</v>
      </c>
      <c r="AP590" s="816" t="str">
        <f t="shared" ca="1" si="498"/>
        <v>-</v>
      </c>
      <c r="AQ590" s="817"/>
      <c r="AR590" s="794" t="str">
        <f t="shared" si="499"/>
        <v>НЕТЕЛЬ</v>
      </c>
      <c r="AS590" s="818"/>
      <c r="AT590" s="794" t="str">
        <f t="shared" si="500"/>
        <v>-</v>
      </c>
      <c r="AU590" s="819"/>
      <c r="AV590" s="820"/>
      <c r="AW590" s="821"/>
      <c r="AX590" s="821"/>
      <c r="AY590" s="969" t="str">
        <f t="shared" si="501"/>
        <v>-</v>
      </c>
      <c r="AZ590" s="966" t="str">
        <f t="shared" si="502"/>
        <v>-</v>
      </c>
      <c r="BA590" s="971" t="str">
        <f t="shared" si="503"/>
        <v>-</v>
      </c>
      <c r="BB590" s="975"/>
      <c r="BC590" s="821"/>
      <c r="BD590" s="821"/>
      <c r="BE590" s="963" t="str">
        <f t="shared" si="504"/>
        <v>-</v>
      </c>
      <c r="BF590" s="984"/>
      <c r="BG590" s="988"/>
      <c r="BH590" s="982"/>
      <c r="BI590" s="991"/>
      <c r="BJ590" s="991"/>
      <c r="BK590" s="993" t="str">
        <f t="shared" si="505"/>
        <v>-</v>
      </c>
      <c r="BL590" s="820">
        <v>42977</v>
      </c>
      <c r="BM590" s="821">
        <v>5</v>
      </c>
      <c r="BN590" s="822">
        <f t="shared" ca="1" si="506"/>
        <v>157</v>
      </c>
      <c r="BO590" s="823">
        <f t="shared" si="507"/>
        <v>16.633333333333333</v>
      </c>
      <c r="BP590" s="824"/>
      <c r="BQ590" s="821"/>
      <c r="BR590" s="822" t="str">
        <f t="shared" si="508"/>
        <v>-</v>
      </c>
      <c r="BS590" s="823" t="str">
        <f t="shared" si="509"/>
        <v>-</v>
      </c>
      <c r="BT590" s="825" t="str">
        <f t="shared" ca="1" si="510"/>
        <v>-</v>
      </c>
      <c r="BU590" s="826"/>
      <c r="BV590" s="827"/>
      <c r="BW590" s="828" t="str">
        <f t="shared" si="511"/>
        <v>Ж-Е НЕ ВАКЦ.</v>
      </c>
      <c r="BX590" s="829" t="str">
        <f t="shared" si="512"/>
        <v>-</v>
      </c>
      <c r="BY590" s="830" t="str">
        <f t="shared" ca="1" si="513"/>
        <v>-</v>
      </c>
      <c r="BZ590" s="831">
        <v>42892</v>
      </c>
      <c r="CA590" s="832">
        <v>5</v>
      </c>
      <c r="CB590" s="833">
        <f t="shared" ca="1" si="514"/>
        <v>242</v>
      </c>
      <c r="CC590" s="834" t="str">
        <f t="shared" ca="1" si="515"/>
        <v>-</v>
      </c>
      <c r="CD590" s="835">
        <f t="shared" si="516"/>
        <v>42913</v>
      </c>
      <c r="CE590" s="831">
        <v>42913</v>
      </c>
      <c r="CF590" s="832">
        <v>5</v>
      </c>
      <c r="CG590" s="833">
        <f t="shared" ca="1" si="517"/>
        <v>221</v>
      </c>
      <c r="CH590" s="836">
        <f t="shared" si="518"/>
        <v>0</v>
      </c>
      <c r="CI590" s="837" t="str">
        <f t="shared" si="519"/>
        <v>УСПЕШНО</v>
      </c>
      <c r="CJ590" s="838" t="str">
        <f t="shared" ca="1" si="520"/>
        <v>-</v>
      </c>
      <c r="CK590" s="831"/>
      <c r="CL590" s="832"/>
      <c r="CM590" s="833" t="str">
        <f t="shared" si="521"/>
        <v>-</v>
      </c>
      <c r="CN590" s="834" t="str">
        <f t="shared" si="522"/>
        <v>-</v>
      </c>
      <c r="CO590" s="830" t="str">
        <f t="shared" ca="1" si="523"/>
        <v>-</v>
      </c>
      <c r="CP590" s="839"/>
      <c r="CQ590" s="832"/>
      <c r="CR590" s="833" t="str">
        <f t="shared" si="524"/>
        <v>-</v>
      </c>
      <c r="CS590" s="833" t="str">
        <f t="shared" si="525"/>
        <v>-</v>
      </c>
      <c r="CT590" s="834" t="str">
        <f t="shared" si="526"/>
        <v>-</v>
      </c>
      <c r="CU590" s="835" t="str">
        <f t="shared" si="527"/>
        <v>-</v>
      </c>
      <c r="CV590" s="839"/>
      <c r="CW590" s="832"/>
      <c r="CX590" s="833" t="str">
        <f t="shared" si="528"/>
        <v>-</v>
      </c>
      <c r="CY590" s="840" t="str">
        <f t="shared" si="529"/>
        <v>-</v>
      </c>
      <c r="CZ590" s="833" t="str">
        <f t="shared" si="530"/>
        <v>-</v>
      </c>
      <c r="DA590" s="838" t="str">
        <f t="shared" ca="1" si="531"/>
        <v>-</v>
      </c>
      <c r="DB590" s="841"/>
      <c r="DC590" s="832"/>
    </row>
    <row r="591" spans="1:107" s="842" customFormat="1" ht="15.95" customHeight="1" x14ac:dyDescent="0.25">
      <c r="A591" s="790">
        <v>593</v>
      </c>
      <c r="B591" s="791">
        <f t="shared" ca="1" si="480"/>
        <v>43134</v>
      </c>
      <c r="C591" s="792" t="s">
        <v>2554</v>
      </c>
      <c r="D591" s="793" t="s">
        <v>2586</v>
      </c>
      <c r="E591" s="794" t="s">
        <v>1563</v>
      </c>
      <c r="F591" s="795" t="s">
        <v>1768</v>
      </c>
      <c r="G591" s="796">
        <f>SUMIFS(МОЛОКО!L8:L6958,МОЛОКО!F8:F6958,"2926",МОЛОКО!L8:L6958,"&gt;0")</f>
        <v>0</v>
      </c>
      <c r="H591" s="797" t="s">
        <v>603</v>
      </c>
      <c r="I591" s="798">
        <v>42480</v>
      </c>
      <c r="J591" s="799">
        <f t="shared" ca="1" si="481"/>
        <v>1.7917808219178082</v>
      </c>
      <c r="K591" s="799">
        <f t="shared" ca="1" si="482"/>
        <v>21.8</v>
      </c>
      <c r="L591" s="800">
        <f t="shared" ca="1" si="483"/>
        <v>654</v>
      </c>
      <c r="M591" s="801"/>
      <c r="N591" s="802"/>
      <c r="O591" s="803" t="str">
        <f t="shared" ca="1" si="484"/>
        <v>-</v>
      </c>
      <c r="P591" s="804"/>
      <c r="Q591" s="805" t="s">
        <v>1451</v>
      </c>
      <c r="R591" s="806" t="s">
        <v>1876</v>
      </c>
      <c r="S591" s="807">
        <v>42893</v>
      </c>
      <c r="T591" s="798">
        <v>42893</v>
      </c>
      <c r="U591" s="798" t="str">
        <f t="shared" si="485"/>
        <v>-</v>
      </c>
      <c r="V591" s="804" t="str">
        <f t="shared" ca="1" si="486"/>
        <v>-</v>
      </c>
      <c r="W591" s="808">
        <v>1</v>
      </c>
      <c r="X591" s="794" t="str">
        <f t="shared" si="479"/>
        <v>-</v>
      </c>
      <c r="Y591" s="794">
        <v>1</v>
      </c>
      <c r="Z591" s="809" t="str">
        <f t="shared" ca="1" si="487"/>
        <v>ПОДЛЕЖИТ ПЕРЕПРОВЕРКЕ</v>
      </c>
      <c r="AA591" s="810">
        <f t="shared" ca="1" si="488"/>
        <v>241</v>
      </c>
      <c r="AB591" s="804"/>
      <c r="AC591" s="811">
        <f t="shared" ca="1" si="489"/>
        <v>42965</v>
      </c>
      <c r="AD591" s="798"/>
      <c r="AE591" s="794" t="str">
        <f t="shared" ca="1" si="490"/>
        <v>-</v>
      </c>
      <c r="AF591" s="798" t="str">
        <f t="shared" si="491"/>
        <v>-</v>
      </c>
      <c r="AG591" s="812" t="str">
        <f t="shared" si="492"/>
        <v>---------</v>
      </c>
      <c r="AH591" s="807">
        <v>42955</v>
      </c>
      <c r="AI591" s="807" t="str">
        <f t="shared" si="493"/>
        <v>-</v>
      </c>
      <c r="AJ591" s="807" t="str">
        <f t="shared" si="494"/>
        <v>-</v>
      </c>
      <c r="AK591" s="813"/>
      <c r="AL591" s="807">
        <f t="shared" si="495"/>
        <v>43152</v>
      </c>
      <c r="AM591" s="807">
        <f t="shared" si="496"/>
        <v>43173</v>
      </c>
      <c r="AN591" s="814">
        <f t="shared" ca="1" si="497"/>
        <v>-39</v>
      </c>
      <c r="AO591" s="815">
        <v>1</v>
      </c>
      <c r="AP591" s="816" t="str">
        <f t="shared" ca="1" si="498"/>
        <v>-</v>
      </c>
      <c r="AQ591" s="817"/>
      <c r="AR591" s="794" t="str">
        <f t="shared" si="499"/>
        <v>НЕТЕЛЬ</v>
      </c>
      <c r="AS591" s="818"/>
      <c r="AT591" s="794" t="str">
        <f t="shared" si="500"/>
        <v>-</v>
      </c>
      <c r="AU591" s="819"/>
      <c r="AV591" s="820"/>
      <c r="AW591" s="821"/>
      <c r="AX591" s="821"/>
      <c r="AY591" s="969" t="str">
        <f t="shared" si="501"/>
        <v>-</v>
      </c>
      <c r="AZ591" s="966" t="str">
        <f t="shared" si="502"/>
        <v>-</v>
      </c>
      <c r="BA591" s="971" t="str">
        <f t="shared" si="503"/>
        <v>-</v>
      </c>
      <c r="BB591" s="975"/>
      <c r="BC591" s="821"/>
      <c r="BD591" s="821"/>
      <c r="BE591" s="963" t="str">
        <f t="shared" si="504"/>
        <v>-</v>
      </c>
      <c r="BF591" s="984"/>
      <c r="BG591" s="988"/>
      <c r="BH591" s="982"/>
      <c r="BI591" s="991"/>
      <c r="BJ591" s="991"/>
      <c r="BK591" s="993" t="str">
        <f t="shared" si="505"/>
        <v>-</v>
      </c>
      <c r="BL591" s="820">
        <v>42978</v>
      </c>
      <c r="BM591" s="821">
        <v>5</v>
      </c>
      <c r="BN591" s="822">
        <f t="shared" ca="1" si="506"/>
        <v>156</v>
      </c>
      <c r="BO591" s="823">
        <f t="shared" si="507"/>
        <v>16.600000000000001</v>
      </c>
      <c r="BP591" s="824"/>
      <c r="BQ591" s="821"/>
      <c r="BR591" s="822" t="str">
        <f t="shared" si="508"/>
        <v>-</v>
      </c>
      <c r="BS591" s="823" t="str">
        <f t="shared" si="509"/>
        <v>-</v>
      </c>
      <c r="BT591" s="825" t="str">
        <f t="shared" ca="1" si="510"/>
        <v>-</v>
      </c>
      <c r="BU591" s="826"/>
      <c r="BV591" s="827"/>
      <c r="BW591" s="828" t="str">
        <f t="shared" si="511"/>
        <v>Ж-Е НЕ ВАКЦ.</v>
      </c>
      <c r="BX591" s="829" t="str">
        <f t="shared" si="512"/>
        <v>-</v>
      </c>
      <c r="BY591" s="830" t="str">
        <f t="shared" ca="1" si="513"/>
        <v>-</v>
      </c>
      <c r="BZ591" s="831">
        <v>42891</v>
      </c>
      <c r="CA591" s="832">
        <v>5</v>
      </c>
      <c r="CB591" s="833">
        <f t="shared" ca="1" si="514"/>
        <v>243</v>
      </c>
      <c r="CC591" s="834" t="str">
        <f t="shared" ca="1" si="515"/>
        <v>-</v>
      </c>
      <c r="CD591" s="835">
        <f t="shared" si="516"/>
        <v>42912</v>
      </c>
      <c r="CE591" s="831">
        <v>42912</v>
      </c>
      <c r="CF591" s="832">
        <v>5</v>
      </c>
      <c r="CG591" s="833">
        <f t="shared" ca="1" si="517"/>
        <v>222</v>
      </c>
      <c r="CH591" s="836">
        <f t="shared" si="518"/>
        <v>0</v>
      </c>
      <c r="CI591" s="837" t="str">
        <f t="shared" si="519"/>
        <v>УСПЕШНО</v>
      </c>
      <c r="CJ591" s="838" t="str">
        <f t="shared" ca="1" si="520"/>
        <v>-</v>
      </c>
      <c r="CK591" s="831"/>
      <c r="CL591" s="832"/>
      <c r="CM591" s="833" t="str">
        <f t="shared" si="521"/>
        <v>-</v>
      </c>
      <c r="CN591" s="834" t="str">
        <f t="shared" si="522"/>
        <v>-</v>
      </c>
      <c r="CO591" s="830" t="str">
        <f t="shared" ca="1" si="523"/>
        <v>ТРЕБУЕТСЯ ВАКЦИНАЦИЯ</v>
      </c>
      <c r="CP591" s="839"/>
      <c r="CQ591" s="832"/>
      <c r="CR591" s="833" t="str">
        <f t="shared" si="524"/>
        <v>-</v>
      </c>
      <c r="CS591" s="833" t="str">
        <f t="shared" si="525"/>
        <v>-</v>
      </c>
      <c r="CT591" s="834" t="str">
        <f t="shared" si="526"/>
        <v>-</v>
      </c>
      <c r="CU591" s="835" t="str">
        <f t="shared" si="527"/>
        <v>-</v>
      </c>
      <c r="CV591" s="839"/>
      <c r="CW591" s="832"/>
      <c r="CX591" s="833" t="str">
        <f t="shared" si="528"/>
        <v>-</v>
      </c>
      <c r="CY591" s="840" t="str">
        <f t="shared" si="529"/>
        <v>-</v>
      </c>
      <c r="CZ591" s="833" t="str">
        <f t="shared" si="530"/>
        <v>-</v>
      </c>
      <c r="DA591" s="838" t="str">
        <f t="shared" ca="1" si="531"/>
        <v>-</v>
      </c>
      <c r="DB591" s="841"/>
      <c r="DC591" s="832"/>
    </row>
    <row r="592" spans="1:107" s="842" customFormat="1" ht="15.95" customHeight="1" x14ac:dyDescent="0.25">
      <c r="A592" s="790">
        <v>594</v>
      </c>
      <c r="B592" s="791">
        <f t="shared" ca="1" si="480"/>
        <v>43134</v>
      </c>
      <c r="C592" s="847" t="s">
        <v>2554</v>
      </c>
      <c r="D592" s="793" t="s">
        <v>2586</v>
      </c>
      <c r="E592" s="794" t="s">
        <v>1563</v>
      </c>
      <c r="F592" s="795" t="s">
        <v>1746</v>
      </c>
      <c r="G592" s="796">
        <f>SUMIFS(МОЛОКО!L8:L6958,МОЛОКО!F8:F6958,"2931",МОЛОКО!L8:L6958,"&gt;0")</f>
        <v>0</v>
      </c>
      <c r="H592" s="797" t="s">
        <v>603</v>
      </c>
      <c r="I592" s="798">
        <v>42482</v>
      </c>
      <c r="J592" s="799">
        <f t="shared" ca="1" si="481"/>
        <v>1.7863013698630137</v>
      </c>
      <c r="K592" s="799">
        <f t="shared" ca="1" si="482"/>
        <v>21.733333333333334</v>
      </c>
      <c r="L592" s="800">
        <f t="shared" ca="1" si="483"/>
        <v>652</v>
      </c>
      <c r="M592" s="801"/>
      <c r="N592" s="802"/>
      <c r="O592" s="803" t="str">
        <f t="shared" ca="1" si="484"/>
        <v>-</v>
      </c>
      <c r="P592" s="804"/>
      <c r="Q592" s="805" t="s">
        <v>1451</v>
      </c>
      <c r="R592" s="806" t="s">
        <v>1876</v>
      </c>
      <c r="S592" s="807">
        <v>42870</v>
      </c>
      <c r="T592" s="798">
        <v>42870</v>
      </c>
      <c r="U592" s="798" t="str">
        <f t="shared" si="485"/>
        <v>-</v>
      </c>
      <c r="V592" s="804" t="str">
        <f t="shared" ca="1" si="486"/>
        <v>-</v>
      </c>
      <c r="W592" s="808">
        <v>1</v>
      </c>
      <c r="X592" s="794" t="str">
        <f t="shared" si="479"/>
        <v>-</v>
      </c>
      <c r="Y592" s="794">
        <v>1</v>
      </c>
      <c r="Z592" s="809" t="str">
        <f t="shared" ca="1" si="487"/>
        <v>ПОДЛЕЖИТ ПЕРЕПРОВЕРКЕ</v>
      </c>
      <c r="AA592" s="810">
        <f t="shared" ca="1" si="488"/>
        <v>264</v>
      </c>
      <c r="AB592" s="804"/>
      <c r="AC592" s="811">
        <f t="shared" ca="1" si="489"/>
        <v>42942</v>
      </c>
      <c r="AD592" s="798"/>
      <c r="AE592" s="794" t="str">
        <f t="shared" ca="1" si="490"/>
        <v>-</v>
      </c>
      <c r="AF592" s="798" t="str">
        <f t="shared" si="491"/>
        <v>-</v>
      </c>
      <c r="AG592" s="812" t="str">
        <f t="shared" si="492"/>
        <v>---------</v>
      </c>
      <c r="AH592" s="807">
        <v>42931</v>
      </c>
      <c r="AI592" s="807" t="str">
        <f t="shared" si="493"/>
        <v>-</v>
      </c>
      <c r="AJ592" s="807" t="str">
        <f t="shared" si="494"/>
        <v>-</v>
      </c>
      <c r="AK592" s="813"/>
      <c r="AL592" s="807">
        <f t="shared" si="495"/>
        <v>43129</v>
      </c>
      <c r="AM592" s="807">
        <f t="shared" si="496"/>
        <v>43150</v>
      </c>
      <c r="AN592" s="814">
        <f t="shared" ca="1" si="497"/>
        <v>-16</v>
      </c>
      <c r="AO592" s="815">
        <v>1</v>
      </c>
      <c r="AP592" s="816" t="str">
        <f t="shared" ca="1" si="498"/>
        <v>-</v>
      </c>
      <c r="AQ592" s="817"/>
      <c r="AR592" s="794" t="str">
        <f t="shared" si="499"/>
        <v>НЕТЕЛЬ</v>
      </c>
      <c r="AS592" s="818"/>
      <c r="AT592" s="794" t="str">
        <f t="shared" si="500"/>
        <v>-</v>
      </c>
      <c r="AU592" s="819"/>
      <c r="AV592" s="820"/>
      <c r="AW592" s="821"/>
      <c r="AX592" s="821"/>
      <c r="AY592" s="969" t="str">
        <f t="shared" si="501"/>
        <v>-</v>
      </c>
      <c r="AZ592" s="966" t="str">
        <f t="shared" si="502"/>
        <v>-</v>
      </c>
      <c r="BA592" s="971" t="str">
        <f t="shared" si="503"/>
        <v>-</v>
      </c>
      <c r="BB592" s="975"/>
      <c r="BC592" s="821"/>
      <c r="BD592" s="821"/>
      <c r="BE592" s="963" t="str">
        <f t="shared" si="504"/>
        <v>-</v>
      </c>
      <c r="BF592" s="984"/>
      <c r="BG592" s="988"/>
      <c r="BH592" s="982"/>
      <c r="BI592" s="991"/>
      <c r="BJ592" s="991"/>
      <c r="BK592" s="993" t="str">
        <f t="shared" si="505"/>
        <v>-</v>
      </c>
      <c r="BL592" s="820">
        <v>42978</v>
      </c>
      <c r="BM592" s="821">
        <v>5</v>
      </c>
      <c r="BN592" s="822">
        <f t="shared" ca="1" si="506"/>
        <v>156</v>
      </c>
      <c r="BO592" s="823">
        <f t="shared" si="507"/>
        <v>16.533333333333335</v>
      </c>
      <c r="BP592" s="824"/>
      <c r="BQ592" s="821"/>
      <c r="BR592" s="822" t="str">
        <f t="shared" si="508"/>
        <v>-</v>
      </c>
      <c r="BS592" s="823" t="str">
        <f t="shared" si="509"/>
        <v>-</v>
      </c>
      <c r="BT592" s="825" t="str">
        <f t="shared" ca="1" si="510"/>
        <v>-</v>
      </c>
      <c r="BU592" s="826"/>
      <c r="BV592" s="827"/>
      <c r="BW592" s="828" t="str">
        <f t="shared" si="511"/>
        <v>Ж-Е НЕ ВАКЦ.</v>
      </c>
      <c r="BX592" s="829" t="str">
        <f t="shared" si="512"/>
        <v>-</v>
      </c>
      <c r="BY592" s="830" t="str">
        <f t="shared" ca="1" si="513"/>
        <v>-</v>
      </c>
      <c r="BZ592" s="831">
        <v>42891</v>
      </c>
      <c r="CA592" s="832">
        <v>5</v>
      </c>
      <c r="CB592" s="833">
        <f t="shared" ca="1" si="514"/>
        <v>243</v>
      </c>
      <c r="CC592" s="834" t="str">
        <f t="shared" ca="1" si="515"/>
        <v>-</v>
      </c>
      <c r="CD592" s="835">
        <f t="shared" si="516"/>
        <v>42912</v>
      </c>
      <c r="CE592" s="831">
        <v>42912</v>
      </c>
      <c r="CF592" s="832">
        <v>5</v>
      </c>
      <c r="CG592" s="833">
        <f t="shared" ca="1" si="517"/>
        <v>222</v>
      </c>
      <c r="CH592" s="836">
        <f t="shared" si="518"/>
        <v>0</v>
      </c>
      <c r="CI592" s="837" t="str">
        <f t="shared" si="519"/>
        <v>УСПЕШНО</v>
      </c>
      <c r="CJ592" s="838" t="str">
        <f t="shared" ca="1" si="520"/>
        <v>-</v>
      </c>
      <c r="CK592" s="831"/>
      <c r="CL592" s="832"/>
      <c r="CM592" s="833" t="str">
        <f t="shared" si="521"/>
        <v>-</v>
      </c>
      <c r="CN592" s="834" t="str">
        <f t="shared" si="522"/>
        <v>-</v>
      </c>
      <c r="CO592" s="830" t="str">
        <f t="shared" ca="1" si="523"/>
        <v>ТРЕБУЕТСЯ ВАКЦИНАЦИЯ</v>
      </c>
      <c r="CP592" s="839"/>
      <c r="CQ592" s="832"/>
      <c r="CR592" s="833" t="str">
        <f t="shared" si="524"/>
        <v>-</v>
      </c>
      <c r="CS592" s="833" t="str">
        <f t="shared" si="525"/>
        <v>-</v>
      </c>
      <c r="CT592" s="834" t="str">
        <f t="shared" si="526"/>
        <v>-</v>
      </c>
      <c r="CU592" s="835" t="str">
        <f t="shared" si="527"/>
        <v>-</v>
      </c>
      <c r="CV592" s="839"/>
      <c r="CW592" s="832"/>
      <c r="CX592" s="833" t="str">
        <f t="shared" si="528"/>
        <v>-</v>
      </c>
      <c r="CY592" s="840" t="str">
        <f t="shared" si="529"/>
        <v>-</v>
      </c>
      <c r="CZ592" s="833" t="str">
        <f t="shared" si="530"/>
        <v>-</v>
      </c>
      <c r="DA592" s="838" t="str">
        <f t="shared" ca="1" si="531"/>
        <v>-</v>
      </c>
      <c r="DB592" s="841"/>
      <c r="DC592" s="832"/>
    </row>
    <row r="593" spans="1:107" s="842" customFormat="1" ht="15.95" customHeight="1" x14ac:dyDescent="0.25">
      <c r="A593" s="790">
        <v>595</v>
      </c>
      <c r="B593" s="791">
        <f t="shared" ca="1" si="480"/>
        <v>43134</v>
      </c>
      <c r="C593" s="847" t="s">
        <v>2554</v>
      </c>
      <c r="D593" s="793" t="s">
        <v>2586</v>
      </c>
      <c r="E593" s="794" t="s">
        <v>1563</v>
      </c>
      <c r="F593" s="795" t="s">
        <v>1732</v>
      </c>
      <c r="G593" s="796">
        <f>SUMIFS(МОЛОКО!L8:L6958,МОЛОКО!F8:F6958,"2934",МОЛОКО!L8:L6958,"&gt;0")</f>
        <v>0</v>
      </c>
      <c r="H593" s="797" t="s">
        <v>603</v>
      </c>
      <c r="I593" s="798">
        <v>42483</v>
      </c>
      <c r="J593" s="799">
        <f t="shared" ca="1" si="481"/>
        <v>1.7835616438356163</v>
      </c>
      <c r="K593" s="799">
        <f t="shared" ca="1" si="482"/>
        <v>21.7</v>
      </c>
      <c r="L593" s="800">
        <f t="shared" ca="1" si="483"/>
        <v>651</v>
      </c>
      <c r="M593" s="801"/>
      <c r="N593" s="802"/>
      <c r="O593" s="803" t="str">
        <f t="shared" ca="1" si="484"/>
        <v>-</v>
      </c>
      <c r="P593" s="804"/>
      <c r="Q593" s="805" t="s">
        <v>1451</v>
      </c>
      <c r="R593" s="806" t="s">
        <v>1876</v>
      </c>
      <c r="S593" s="807">
        <v>42889</v>
      </c>
      <c r="T593" s="798">
        <v>42889</v>
      </c>
      <c r="U593" s="798" t="str">
        <f t="shared" si="485"/>
        <v>-</v>
      </c>
      <c r="V593" s="804" t="str">
        <f t="shared" ca="1" si="486"/>
        <v>-</v>
      </c>
      <c r="W593" s="808">
        <v>1</v>
      </c>
      <c r="X593" s="794" t="str">
        <f t="shared" si="479"/>
        <v>-</v>
      </c>
      <c r="Y593" s="794">
        <v>1</v>
      </c>
      <c r="Z593" s="809" t="str">
        <f t="shared" ca="1" si="487"/>
        <v>-----</v>
      </c>
      <c r="AA593" s="810" t="str">
        <f t="shared" ca="1" si="488"/>
        <v>-----</v>
      </c>
      <c r="AB593" s="804">
        <v>1</v>
      </c>
      <c r="AC593" s="811" t="str">
        <f t="shared" ca="1" si="489"/>
        <v>-----</v>
      </c>
      <c r="AD593" s="798">
        <v>42941</v>
      </c>
      <c r="AE593" s="794" t="str">
        <f t="shared" ca="1" si="490"/>
        <v>-</v>
      </c>
      <c r="AF593" s="798" t="str">
        <f t="shared" si="491"/>
        <v>-</v>
      </c>
      <c r="AG593" s="812" t="str">
        <f t="shared" si="492"/>
        <v>---------</v>
      </c>
      <c r="AH593" s="807">
        <v>42941</v>
      </c>
      <c r="AI593" s="807" t="str">
        <f t="shared" si="493"/>
        <v>-</v>
      </c>
      <c r="AJ593" s="807" t="str">
        <f t="shared" si="494"/>
        <v>-</v>
      </c>
      <c r="AK593" s="813"/>
      <c r="AL593" s="807">
        <f t="shared" si="495"/>
        <v>43148</v>
      </c>
      <c r="AM593" s="807">
        <f t="shared" si="496"/>
        <v>43169</v>
      </c>
      <c r="AN593" s="814">
        <f t="shared" ca="1" si="497"/>
        <v>-35</v>
      </c>
      <c r="AO593" s="815">
        <v>1</v>
      </c>
      <c r="AP593" s="816" t="str">
        <f t="shared" ca="1" si="498"/>
        <v>-</v>
      </c>
      <c r="AQ593" s="817"/>
      <c r="AR593" s="794" t="str">
        <f t="shared" si="499"/>
        <v>НЕТЕЛЬ</v>
      </c>
      <c r="AS593" s="818"/>
      <c r="AT593" s="794" t="str">
        <f t="shared" si="500"/>
        <v>-</v>
      </c>
      <c r="AU593" s="819"/>
      <c r="AV593" s="820"/>
      <c r="AW593" s="821"/>
      <c r="AX593" s="821"/>
      <c r="AY593" s="969" t="str">
        <f t="shared" si="501"/>
        <v>-</v>
      </c>
      <c r="AZ593" s="966" t="str">
        <f t="shared" si="502"/>
        <v>-</v>
      </c>
      <c r="BA593" s="971" t="str">
        <f t="shared" si="503"/>
        <v>-</v>
      </c>
      <c r="BB593" s="975"/>
      <c r="BC593" s="821"/>
      <c r="BD593" s="821"/>
      <c r="BE593" s="963" t="str">
        <f t="shared" si="504"/>
        <v>-</v>
      </c>
      <c r="BF593" s="984"/>
      <c r="BG593" s="988"/>
      <c r="BH593" s="982"/>
      <c r="BI593" s="991"/>
      <c r="BJ593" s="991"/>
      <c r="BK593" s="993" t="str">
        <f t="shared" si="505"/>
        <v>-</v>
      </c>
      <c r="BL593" s="820">
        <v>42978</v>
      </c>
      <c r="BM593" s="821">
        <v>5</v>
      </c>
      <c r="BN593" s="822">
        <f t="shared" ca="1" si="506"/>
        <v>156</v>
      </c>
      <c r="BO593" s="823">
        <f t="shared" si="507"/>
        <v>16.5</v>
      </c>
      <c r="BP593" s="824"/>
      <c r="BQ593" s="821"/>
      <c r="BR593" s="822" t="str">
        <f t="shared" si="508"/>
        <v>-</v>
      </c>
      <c r="BS593" s="823" t="str">
        <f t="shared" si="509"/>
        <v>-</v>
      </c>
      <c r="BT593" s="825" t="str">
        <f t="shared" ca="1" si="510"/>
        <v>-</v>
      </c>
      <c r="BU593" s="826"/>
      <c r="BV593" s="827"/>
      <c r="BW593" s="828" t="str">
        <f t="shared" si="511"/>
        <v>Ж-Е НЕ ВАКЦ.</v>
      </c>
      <c r="BX593" s="829" t="str">
        <f t="shared" si="512"/>
        <v>-</v>
      </c>
      <c r="BY593" s="830" t="str">
        <f t="shared" ca="1" si="513"/>
        <v>-</v>
      </c>
      <c r="BZ593" s="831">
        <v>42891</v>
      </c>
      <c r="CA593" s="832">
        <v>5</v>
      </c>
      <c r="CB593" s="833">
        <f t="shared" ca="1" si="514"/>
        <v>243</v>
      </c>
      <c r="CC593" s="834" t="str">
        <f t="shared" ca="1" si="515"/>
        <v>-</v>
      </c>
      <c r="CD593" s="835">
        <f t="shared" si="516"/>
        <v>42912</v>
      </c>
      <c r="CE593" s="831">
        <v>42912</v>
      </c>
      <c r="CF593" s="832">
        <v>5</v>
      </c>
      <c r="CG593" s="833">
        <f t="shared" ca="1" si="517"/>
        <v>222</v>
      </c>
      <c r="CH593" s="836">
        <f t="shared" si="518"/>
        <v>0</v>
      </c>
      <c r="CI593" s="837" t="str">
        <f t="shared" si="519"/>
        <v>УСПЕШНО</v>
      </c>
      <c r="CJ593" s="838" t="str">
        <f t="shared" ca="1" si="520"/>
        <v>-</v>
      </c>
      <c r="CK593" s="831"/>
      <c r="CL593" s="832"/>
      <c r="CM593" s="833" t="str">
        <f t="shared" si="521"/>
        <v>-</v>
      </c>
      <c r="CN593" s="834" t="str">
        <f t="shared" si="522"/>
        <v>-</v>
      </c>
      <c r="CO593" s="830" t="str">
        <f t="shared" ca="1" si="523"/>
        <v>ТРЕБУЕТСЯ ВАКЦИНАЦИЯ</v>
      </c>
      <c r="CP593" s="839"/>
      <c r="CQ593" s="832"/>
      <c r="CR593" s="833" t="str">
        <f t="shared" si="524"/>
        <v>-</v>
      </c>
      <c r="CS593" s="833" t="str">
        <f t="shared" si="525"/>
        <v>-</v>
      </c>
      <c r="CT593" s="834" t="str">
        <f t="shared" si="526"/>
        <v>-</v>
      </c>
      <c r="CU593" s="835" t="str">
        <f t="shared" si="527"/>
        <v>-</v>
      </c>
      <c r="CV593" s="839"/>
      <c r="CW593" s="832"/>
      <c r="CX593" s="833" t="str">
        <f t="shared" si="528"/>
        <v>-</v>
      </c>
      <c r="CY593" s="840" t="str">
        <f t="shared" si="529"/>
        <v>-</v>
      </c>
      <c r="CZ593" s="833" t="str">
        <f t="shared" si="530"/>
        <v>-</v>
      </c>
      <c r="DA593" s="838" t="str">
        <f t="shared" ca="1" si="531"/>
        <v>-</v>
      </c>
      <c r="DB593" s="841"/>
      <c r="DC593" s="832"/>
    </row>
    <row r="594" spans="1:107" ht="15.95" customHeight="1" x14ac:dyDescent="0.25">
      <c r="A594" s="790">
        <v>596</v>
      </c>
      <c r="B594" s="791">
        <f t="shared" ca="1" si="480"/>
        <v>43134</v>
      </c>
      <c r="C594" s="792" t="s">
        <v>2554</v>
      </c>
      <c r="D594" s="793" t="s">
        <v>2586</v>
      </c>
      <c r="E594" s="794" t="s">
        <v>1563</v>
      </c>
      <c r="F594" s="795" t="s">
        <v>1719</v>
      </c>
      <c r="G594" s="796">
        <f>SUMIFS(МОЛОКО!L8:L6958,МОЛОКО!F8:F6958,"2936",МОЛОКО!L8:L6958,"&gt;0")</f>
        <v>0</v>
      </c>
      <c r="H594" s="797" t="s">
        <v>603</v>
      </c>
      <c r="I594" s="798">
        <v>42484</v>
      </c>
      <c r="J594" s="799">
        <f t="shared" ca="1" si="481"/>
        <v>1.7808219178082192</v>
      </c>
      <c r="K594" s="799">
        <f t="shared" ca="1" si="482"/>
        <v>21.666666666666668</v>
      </c>
      <c r="L594" s="800">
        <f t="shared" ca="1" si="483"/>
        <v>650</v>
      </c>
      <c r="M594" s="801"/>
      <c r="N594" s="802"/>
      <c r="O594" s="803" t="str">
        <f t="shared" ca="1" si="484"/>
        <v>-</v>
      </c>
      <c r="P594" s="804"/>
      <c r="Q594" s="805" t="s">
        <v>2366</v>
      </c>
      <c r="R594" s="806" t="s">
        <v>1876</v>
      </c>
      <c r="S594" s="807">
        <v>42907</v>
      </c>
      <c r="T594" s="798">
        <v>42907</v>
      </c>
      <c r="U594" s="798" t="str">
        <f t="shared" si="485"/>
        <v>-</v>
      </c>
      <c r="V594" s="804" t="str">
        <f t="shared" ca="1" si="486"/>
        <v>-</v>
      </c>
      <c r="W594" s="808">
        <v>1</v>
      </c>
      <c r="X594" s="794" t="str">
        <f t="shared" si="479"/>
        <v>-</v>
      </c>
      <c r="Y594" s="794">
        <v>1</v>
      </c>
      <c r="Z594" s="809" t="str">
        <f t="shared" ca="1" si="487"/>
        <v>ПОДЛЕЖИТ ПЕРЕПРОВЕРКЕ</v>
      </c>
      <c r="AA594" s="810">
        <f t="shared" ca="1" si="488"/>
        <v>227</v>
      </c>
      <c r="AB594" s="804"/>
      <c r="AC594" s="811">
        <f t="shared" ca="1" si="489"/>
        <v>42979</v>
      </c>
      <c r="AD594" s="798"/>
      <c r="AE594" s="794" t="str">
        <f t="shared" ca="1" si="490"/>
        <v>-</v>
      </c>
      <c r="AF594" s="798" t="str">
        <f t="shared" si="491"/>
        <v>-</v>
      </c>
      <c r="AG594" s="812" t="str">
        <f t="shared" si="492"/>
        <v>---------</v>
      </c>
      <c r="AH594" s="807">
        <v>42969</v>
      </c>
      <c r="AI594" s="807" t="str">
        <f t="shared" si="493"/>
        <v>-</v>
      </c>
      <c r="AJ594" s="807" t="str">
        <f t="shared" si="494"/>
        <v>-</v>
      </c>
      <c r="AK594" s="813"/>
      <c r="AL594" s="807">
        <f t="shared" si="495"/>
        <v>43166</v>
      </c>
      <c r="AM594" s="807">
        <f t="shared" si="496"/>
        <v>43187</v>
      </c>
      <c r="AN594" s="814">
        <f t="shared" ca="1" si="497"/>
        <v>-53</v>
      </c>
      <c r="AO594" s="815">
        <v>1</v>
      </c>
      <c r="AP594" s="816" t="str">
        <f t="shared" ca="1" si="498"/>
        <v>-</v>
      </c>
      <c r="AQ594" s="817"/>
      <c r="AR594" s="794" t="str">
        <f t="shared" si="499"/>
        <v>НЕТЕЛЬ</v>
      </c>
      <c r="AS594" s="818"/>
      <c r="AT594" s="794" t="str">
        <f t="shared" si="500"/>
        <v>-</v>
      </c>
      <c r="AU594" s="819"/>
      <c r="AV594" s="820"/>
      <c r="AW594" s="821"/>
      <c r="AX594" s="821"/>
      <c r="AY594" s="969" t="str">
        <f t="shared" si="501"/>
        <v>-</v>
      </c>
      <c r="AZ594" s="966" t="str">
        <f t="shared" si="502"/>
        <v>-</v>
      </c>
      <c r="BA594" s="971" t="str">
        <f t="shared" si="503"/>
        <v>-</v>
      </c>
      <c r="BB594" s="975"/>
      <c r="BC594" s="821"/>
      <c r="BD594" s="821"/>
      <c r="BE594" s="963" t="str">
        <f t="shared" si="504"/>
        <v>-</v>
      </c>
      <c r="BF594" s="984"/>
      <c r="BG594" s="988"/>
      <c r="BH594" s="982"/>
      <c r="BI594" s="991"/>
      <c r="BJ594" s="991"/>
      <c r="BK594" s="993" t="str">
        <f t="shared" si="505"/>
        <v>-</v>
      </c>
      <c r="BL594" s="820">
        <v>42978</v>
      </c>
      <c r="BM594" s="821">
        <v>5</v>
      </c>
      <c r="BN594" s="822">
        <f t="shared" ca="1" si="506"/>
        <v>156</v>
      </c>
      <c r="BO594" s="823">
        <f t="shared" si="507"/>
        <v>16.466666666666665</v>
      </c>
      <c r="BP594" s="824"/>
      <c r="BQ594" s="821"/>
      <c r="BR594" s="822" t="str">
        <f t="shared" si="508"/>
        <v>-</v>
      </c>
      <c r="BS594" s="823" t="str">
        <f t="shared" si="509"/>
        <v>-</v>
      </c>
      <c r="BT594" s="825" t="str">
        <f t="shared" ca="1" si="510"/>
        <v>-</v>
      </c>
      <c r="BU594" s="826"/>
      <c r="BV594" s="827"/>
      <c r="BW594" s="828" t="str">
        <f t="shared" si="511"/>
        <v>Ж-Е НЕ ВАКЦ.</v>
      </c>
      <c r="BX594" s="829" t="str">
        <f t="shared" si="512"/>
        <v>-</v>
      </c>
      <c r="BY594" s="830" t="str">
        <f t="shared" ca="1" si="513"/>
        <v>-</v>
      </c>
      <c r="BZ594" s="831">
        <v>42891</v>
      </c>
      <c r="CA594" s="832">
        <v>5</v>
      </c>
      <c r="CB594" s="833">
        <f t="shared" ca="1" si="514"/>
        <v>243</v>
      </c>
      <c r="CC594" s="834" t="str">
        <f t="shared" ca="1" si="515"/>
        <v>-</v>
      </c>
      <c r="CD594" s="835">
        <f t="shared" si="516"/>
        <v>42912</v>
      </c>
      <c r="CE594" s="831">
        <v>42912</v>
      </c>
      <c r="CF594" s="832">
        <v>5</v>
      </c>
      <c r="CG594" s="833">
        <f t="shared" ca="1" si="517"/>
        <v>222</v>
      </c>
      <c r="CH594" s="836">
        <f t="shared" si="518"/>
        <v>0</v>
      </c>
      <c r="CI594" s="837" t="str">
        <f t="shared" si="519"/>
        <v>УСПЕШНО</v>
      </c>
      <c r="CJ594" s="838" t="str">
        <f t="shared" ca="1" si="520"/>
        <v>-</v>
      </c>
      <c r="CK594" s="831"/>
      <c r="CL594" s="832"/>
      <c r="CM594" s="833" t="str">
        <f t="shared" si="521"/>
        <v>-</v>
      </c>
      <c r="CN594" s="834" t="str">
        <f t="shared" si="522"/>
        <v>-</v>
      </c>
      <c r="CO594" s="830" t="str">
        <f t="shared" ca="1" si="523"/>
        <v>ТРЕБУЕТСЯ ВАКЦИНАЦИЯ</v>
      </c>
      <c r="CP594" s="839"/>
      <c r="CQ594" s="832"/>
      <c r="CR594" s="833" t="str">
        <f t="shared" si="524"/>
        <v>-</v>
      </c>
      <c r="CS594" s="833" t="str">
        <f t="shared" si="525"/>
        <v>-</v>
      </c>
      <c r="CT594" s="834" t="str">
        <f t="shared" si="526"/>
        <v>-</v>
      </c>
      <c r="CU594" s="835" t="str">
        <f t="shared" si="527"/>
        <v>-</v>
      </c>
      <c r="CV594" s="839"/>
      <c r="CW594" s="832"/>
      <c r="CX594" s="833" t="str">
        <f t="shared" si="528"/>
        <v>-</v>
      </c>
      <c r="CY594" s="840" t="str">
        <f t="shared" si="529"/>
        <v>-</v>
      </c>
      <c r="CZ594" s="833" t="str">
        <f t="shared" si="530"/>
        <v>-</v>
      </c>
      <c r="DA594" s="838" t="str">
        <f t="shared" ca="1" si="531"/>
        <v>-</v>
      </c>
      <c r="DB594" s="841"/>
      <c r="DC594" s="832"/>
    </row>
    <row r="595" spans="1:107" ht="15.95" customHeight="1" x14ac:dyDescent="0.25">
      <c r="A595" s="790">
        <v>597</v>
      </c>
      <c r="B595" s="791">
        <f t="shared" ca="1" si="480"/>
        <v>43134</v>
      </c>
      <c r="C595" s="29" t="s">
        <v>2554</v>
      </c>
      <c r="D595" s="59" t="s">
        <v>2586</v>
      </c>
      <c r="E595" s="794" t="s">
        <v>1563</v>
      </c>
      <c r="F595" s="795" t="s">
        <v>1747</v>
      </c>
      <c r="G595" s="796">
        <f>SUMIFS(МОЛОКО!L8:L6958,МОЛОКО!F8:F6958,"2937",МОЛОКО!L8:L6958,"&gt;0")</f>
        <v>0</v>
      </c>
      <c r="H595" s="797" t="s">
        <v>603</v>
      </c>
      <c r="I595" s="798">
        <v>42484</v>
      </c>
      <c r="J595" s="799">
        <f t="shared" ca="1" si="481"/>
        <v>1.7808219178082192</v>
      </c>
      <c r="K595" s="799">
        <f t="shared" ca="1" si="482"/>
        <v>21.666666666666668</v>
      </c>
      <c r="L595" s="800">
        <f t="shared" ca="1" si="483"/>
        <v>650</v>
      </c>
      <c r="M595" s="801"/>
      <c r="N595" s="802"/>
      <c r="O595" s="803" t="str">
        <f t="shared" ca="1" si="484"/>
        <v>-</v>
      </c>
      <c r="P595" s="804"/>
      <c r="Q595" s="805" t="s">
        <v>2366</v>
      </c>
      <c r="R595" s="806" t="s">
        <v>2909</v>
      </c>
      <c r="S595" s="807">
        <v>42896</v>
      </c>
      <c r="T595" s="798">
        <v>42932</v>
      </c>
      <c r="U595" s="798" t="str">
        <f t="shared" si="485"/>
        <v>-</v>
      </c>
      <c r="V595" s="804" t="str">
        <f t="shared" ca="1" si="486"/>
        <v>-</v>
      </c>
      <c r="W595" s="808">
        <v>2</v>
      </c>
      <c r="X595" s="794" t="str">
        <f t="shared" si="479"/>
        <v>-</v>
      </c>
      <c r="Y595" s="794">
        <v>1</v>
      </c>
      <c r="Z595" s="809" t="str">
        <f t="shared" ca="1" si="487"/>
        <v>ПОДЛЕЖИТ ПЕРЕПРОВЕРКЕ</v>
      </c>
      <c r="AA595" s="810">
        <f t="shared" ca="1" si="488"/>
        <v>202</v>
      </c>
      <c r="AB595" s="804"/>
      <c r="AC595" s="811">
        <f t="shared" ca="1" si="489"/>
        <v>43004</v>
      </c>
      <c r="AD595" s="798"/>
      <c r="AE595" s="794" t="str">
        <f t="shared" ca="1" si="490"/>
        <v>-</v>
      </c>
      <c r="AF595" s="798" t="str">
        <f t="shared" si="491"/>
        <v>-</v>
      </c>
      <c r="AG595" s="812" t="str">
        <f t="shared" si="492"/>
        <v>---------</v>
      </c>
      <c r="AH595" s="807">
        <v>43001</v>
      </c>
      <c r="AI595" s="807" t="str">
        <f t="shared" si="493"/>
        <v>-</v>
      </c>
      <c r="AJ595" s="807" t="str">
        <f t="shared" si="494"/>
        <v>-</v>
      </c>
      <c r="AK595" s="813"/>
      <c r="AL595" s="807">
        <f t="shared" si="495"/>
        <v>43191</v>
      </c>
      <c r="AM595" s="807">
        <f t="shared" si="496"/>
        <v>43212</v>
      </c>
      <c r="AN595" s="814">
        <f t="shared" ca="1" si="497"/>
        <v>-78</v>
      </c>
      <c r="AO595" s="815">
        <v>1</v>
      </c>
      <c r="AP595" s="816" t="str">
        <f t="shared" ca="1" si="498"/>
        <v>-</v>
      </c>
      <c r="AQ595" s="817"/>
      <c r="AR595" s="794" t="str">
        <f t="shared" si="499"/>
        <v>НЕТЕЛЬ</v>
      </c>
      <c r="AS595" s="818"/>
      <c r="AT595" s="794" t="str">
        <f t="shared" si="500"/>
        <v>-</v>
      </c>
      <c r="AU595" s="819"/>
      <c r="AV595" s="820"/>
      <c r="AW595" s="821"/>
      <c r="AX595" s="821"/>
      <c r="AY595" s="969" t="str">
        <f t="shared" si="501"/>
        <v>-</v>
      </c>
      <c r="AZ595" s="966" t="str">
        <f t="shared" si="502"/>
        <v>-</v>
      </c>
      <c r="BA595" s="971" t="str">
        <f t="shared" si="503"/>
        <v>-</v>
      </c>
      <c r="BB595" s="975"/>
      <c r="BC595" s="821"/>
      <c r="BD595" s="821"/>
      <c r="BE595" s="963" t="str">
        <f t="shared" si="504"/>
        <v>-</v>
      </c>
      <c r="BF595" s="984"/>
      <c r="BG595" s="988"/>
      <c r="BH595" s="982"/>
      <c r="BI595" s="991"/>
      <c r="BJ595" s="991"/>
      <c r="BK595" s="993" t="str">
        <f t="shared" si="505"/>
        <v>-</v>
      </c>
      <c r="BL595" s="820">
        <v>42977</v>
      </c>
      <c r="BM595" s="821">
        <v>5</v>
      </c>
      <c r="BN595" s="822">
        <f t="shared" ca="1" si="506"/>
        <v>157</v>
      </c>
      <c r="BO595" s="823">
        <f t="shared" si="507"/>
        <v>16.433333333333334</v>
      </c>
      <c r="BP595" s="824"/>
      <c r="BQ595" s="821"/>
      <c r="BR595" s="822" t="str">
        <f t="shared" si="508"/>
        <v>-</v>
      </c>
      <c r="BS595" s="823" t="str">
        <f t="shared" si="509"/>
        <v>-</v>
      </c>
      <c r="BT595" s="825" t="str">
        <f t="shared" ca="1" si="510"/>
        <v>-</v>
      </c>
      <c r="BU595" s="826"/>
      <c r="BV595" s="827"/>
      <c r="BW595" s="828" t="str">
        <f t="shared" si="511"/>
        <v>Ж-Е НЕ ВАКЦ.</v>
      </c>
      <c r="BX595" s="829" t="str">
        <f t="shared" si="512"/>
        <v>-</v>
      </c>
      <c r="BY595" s="830" t="str">
        <f t="shared" ca="1" si="513"/>
        <v>-</v>
      </c>
      <c r="BZ595" s="831">
        <v>42891</v>
      </c>
      <c r="CA595" s="832">
        <v>5</v>
      </c>
      <c r="CB595" s="833">
        <f t="shared" ca="1" si="514"/>
        <v>243</v>
      </c>
      <c r="CC595" s="834" t="str">
        <f t="shared" ca="1" si="515"/>
        <v>-</v>
      </c>
      <c r="CD595" s="835">
        <f t="shared" si="516"/>
        <v>42912</v>
      </c>
      <c r="CE595" s="831">
        <v>42912</v>
      </c>
      <c r="CF595" s="832">
        <v>5</v>
      </c>
      <c r="CG595" s="833">
        <f t="shared" ca="1" si="517"/>
        <v>222</v>
      </c>
      <c r="CH595" s="836">
        <f t="shared" si="518"/>
        <v>0</v>
      </c>
      <c r="CI595" s="837" t="str">
        <f t="shared" si="519"/>
        <v>УСПЕШНО</v>
      </c>
      <c r="CJ595" s="838" t="str">
        <f t="shared" ca="1" si="520"/>
        <v>-</v>
      </c>
      <c r="CK595" s="831"/>
      <c r="CL595" s="832"/>
      <c r="CM595" s="833" t="str">
        <f t="shared" si="521"/>
        <v>-</v>
      </c>
      <c r="CN595" s="834" t="str">
        <f t="shared" si="522"/>
        <v>-</v>
      </c>
      <c r="CO595" s="830" t="str">
        <f t="shared" ca="1" si="523"/>
        <v>-</v>
      </c>
      <c r="CP595" s="839"/>
      <c r="CQ595" s="832"/>
      <c r="CR595" s="833" t="str">
        <f t="shared" si="524"/>
        <v>-</v>
      </c>
      <c r="CS595" s="833" t="str">
        <f t="shared" si="525"/>
        <v>-</v>
      </c>
      <c r="CT595" s="834" t="str">
        <f t="shared" si="526"/>
        <v>-</v>
      </c>
      <c r="CU595" s="835" t="str">
        <f t="shared" si="527"/>
        <v>-</v>
      </c>
      <c r="CV595" s="839"/>
      <c r="CW595" s="832"/>
      <c r="CX595" s="833" t="str">
        <f t="shared" si="528"/>
        <v>-</v>
      </c>
      <c r="CY595" s="840" t="str">
        <f t="shared" si="529"/>
        <v>-</v>
      </c>
      <c r="CZ595" s="833" t="str">
        <f t="shared" si="530"/>
        <v>-</v>
      </c>
      <c r="DA595" s="838" t="str">
        <f t="shared" ca="1" si="531"/>
        <v>-</v>
      </c>
      <c r="DB595" s="841"/>
      <c r="DC595" s="832"/>
    </row>
    <row r="596" spans="1:107" s="842" customFormat="1" ht="15.95" customHeight="1" x14ac:dyDescent="0.25">
      <c r="A596" s="790">
        <v>598</v>
      </c>
      <c r="B596" s="791">
        <f t="shared" ca="1" si="480"/>
        <v>43134</v>
      </c>
      <c r="C596" s="847" t="s">
        <v>2554</v>
      </c>
      <c r="D596" s="793" t="s">
        <v>2586</v>
      </c>
      <c r="E596" s="794" t="s">
        <v>1563</v>
      </c>
      <c r="F596" s="795" t="s">
        <v>1699</v>
      </c>
      <c r="G596" s="796">
        <f>SUMIFS(МОЛОКО!L8:L6958,МОЛОКО!F8:F6958,"2945",МОЛОКО!L8:L6958,"&gt;0")</f>
        <v>0</v>
      </c>
      <c r="H596" s="797" t="s">
        <v>603</v>
      </c>
      <c r="I596" s="798">
        <v>42489</v>
      </c>
      <c r="J596" s="799">
        <f t="shared" ca="1" si="481"/>
        <v>1.7671232876712328</v>
      </c>
      <c r="K596" s="799">
        <f t="shared" ca="1" si="482"/>
        <v>21.5</v>
      </c>
      <c r="L596" s="800">
        <f t="shared" ca="1" si="483"/>
        <v>645</v>
      </c>
      <c r="M596" s="801"/>
      <c r="N596" s="802"/>
      <c r="O596" s="803" t="str">
        <f t="shared" ca="1" si="484"/>
        <v>-</v>
      </c>
      <c r="P596" s="804"/>
      <c r="Q596" s="805" t="s">
        <v>2366</v>
      </c>
      <c r="R596" s="806" t="s">
        <v>1876</v>
      </c>
      <c r="S596" s="807">
        <v>42888</v>
      </c>
      <c r="T596" s="798">
        <v>42888</v>
      </c>
      <c r="U596" s="798" t="str">
        <f t="shared" si="485"/>
        <v>-</v>
      </c>
      <c r="V596" s="804" t="str">
        <f t="shared" ca="1" si="486"/>
        <v>-</v>
      </c>
      <c r="W596" s="808">
        <v>1</v>
      </c>
      <c r="X596" s="794" t="str">
        <f t="shared" si="479"/>
        <v>-</v>
      </c>
      <c r="Y596" s="794">
        <v>1</v>
      </c>
      <c r="Z596" s="809" t="str">
        <f t="shared" ca="1" si="487"/>
        <v>-----</v>
      </c>
      <c r="AA596" s="810" t="str">
        <f t="shared" ca="1" si="488"/>
        <v>-----</v>
      </c>
      <c r="AB596" s="804">
        <v>1</v>
      </c>
      <c r="AC596" s="811" t="str">
        <f t="shared" ca="1" si="489"/>
        <v>-----</v>
      </c>
      <c r="AD596" s="798">
        <v>42941</v>
      </c>
      <c r="AE596" s="794" t="str">
        <f t="shared" ca="1" si="490"/>
        <v>-</v>
      </c>
      <c r="AF596" s="798" t="str">
        <f t="shared" si="491"/>
        <v>-</v>
      </c>
      <c r="AG596" s="812" t="str">
        <f t="shared" si="492"/>
        <v>---------</v>
      </c>
      <c r="AH596" s="807">
        <v>42941</v>
      </c>
      <c r="AI596" s="807" t="str">
        <f t="shared" si="493"/>
        <v>-</v>
      </c>
      <c r="AJ596" s="807" t="str">
        <f t="shared" si="494"/>
        <v>-</v>
      </c>
      <c r="AK596" s="813"/>
      <c r="AL596" s="807">
        <f t="shared" si="495"/>
        <v>43147</v>
      </c>
      <c r="AM596" s="807">
        <f t="shared" si="496"/>
        <v>43168</v>
      </c>
      <c r="AN596" s="814">
        <f t="shared" ca="1" si="497"/>
        <v>-34</v>
      </c>
      <c r="AO596" s="815">
        <v>1</v>
      </c>
      <c r="AP596" s="816" t="str">
        <f t="shared" ca="1" si="498"/>
        <v>-</v>
      </c>
      <c r="AQ596" s="817"/>
      <c r="AR596" s="794" t="str">
        <f t="shared" si="499"/>
        <v>НЕТЕЛЬ</v>
      </c>
      <c r="AS596" s="818"/>
      <c r="AT596" s="794" t="str">
        <f t="shared" si="500"/>
        <v>-</v>
      </c>
      <c r="AU596" s="819"/>
      <c r="AV596" s="820"/>
      <c r="AW596" s="821"/>
      <c r="AX596" s="821"/>
      <c r="AY596" s="969" t="str">
        <f t="shared" si="501"/>
        <v>-</v>
      </c>
      <c r="AZ596" s="966" t="str">
        <f t="shared" si="502"/>
        <v>-</v>
      </c>
      <c r="BA596" s="971" t="str">
        <f t="shared" si="503"/>
        <v>-</v>
      </c>
      <c r="BB596" s="975"/>
      <c r="BC596" s="821"/>
      <c r="BD596" s="821"/>
      <c r="BE596" s="963" t="str">
        <f t="shared" si="504"/>
        <v>-</v>
      </c>
      <c r="BF596" s="984"/>
      <c r="BG596" s="988"/>
      <c r="BH596" s="982"/>
      <c r="BI596" s="991"/>
      <c r="BJ596" s="991"/>
      <c r="BK596" s="993" t="str">
        <f t="shared" si="505"/>
        <v>-</v>
      </c>
      <c r="BL596" s="820">
        <v>42978</v>
      </c>
      <c r="BM596" s="821">
        <v>5</v>
      </c>
      <c r="BN596" s="822">
        <f t="shared" ca="1" si="506"/>
        <v>156</v>
      </c>
      <c r="BO596" s="823">
        <f t="shared" si="507"/>
        <v>16.3</v>
      </c>
      <c r="BP596" s="824"/>
      <c r="BQ596" s="821"/>
      <c r="BR596" s="822" t="str">
        <f t="shared" si="508"/>
        <v>-</v>
      </c>
      <c r="BS596" s="823" t="str">
        <f t="shared" si="509"/>
        <v>-</v>
      </c>
      <c r="BT596" s="825" t="str">
        <f t="shared" ca="1" si="510"/>
        <v>-</v>
      </c>
      <c r="BU596" s="826"/>
      <c r="BV596" s="827"/>
      <c r="BW596" s="828" t="str">
        <f t="shared" si="511"/>
        <v>Ж-Е НЕ ВАКЦ.</v>
      </c>
      <c r="BX596" s="829" t="str">
        <f t="shared" si="512"/>
        <v>-</v>
      </c>
      <c r="BY596" s="830" t="str">
        <f t="shared" ca="1" si="513"/>
        <v>-</v>
      </c>
      <c r="BZ596" s="831">
        <v>42891</v>
      </c>
      <c r="CA596" s="832">
        <v>5</v>
      </c>
      <c r="CB596" s="833">
        <f t="shared" ca="1" si="514"/>
        <v>243</v>
      </c>
      <c r="CC596" s="834" t="str">
        <f t="shared" ca="1" si="515"/>
        <v>-</v>
      </c>
      <c r="CD596" s="835">
        <f t="shared" si="516"/>
        <v>42912</v>
      </c>
      <c r="CE596" s="831">
        <v>42912</v>
      </c>
      <c r="CF596" s="832">
        <v>5</v>
      </c>
      <c r="CG596" s="833">
        <f t="shared" ca="1" si="517"/>
        <v>222</v>
      </c>
      <c r="CH596" s="836">
        <f t="shared" si="518"/>
        <v>0</v>
      </c>
      <c r="CI596" s="837" t="str">
        <f t="shared" si="519"/>
        <v>УСПЕШНО</v>
      </c>
      <c r="CJ596" s="838" t="str">
        <f t="shared" ca="1" si="520"/>
        <v>-</v>
      </c>
      <c r="CK596" s="831"/>
      <c r="CL596" s="832"/>
      <c r="CM596" s="833" t="str">
        <f t="shared" si="521"/>
        <v>-</v>
      </c>
      <c r="CN596" s="834" t="str">
        <f t="shared" si="522"/>
        <v>-</v>
      </c>
      <c r="CO596" s="830" t="str">
        <f t="shared" ca="1" si="523"/>
        <v>ТРЕБУЕТСЯ ВАКЦИНАЦИЯ</v>
      </c>
      <c r="CP596" s="839"/>
      <c r="CQ596" s="832"/>
      <c r="CR596" s="833" t="str">
        <f t="shared" si="524"/>
        <v>-</v>
      </c>
      <c r="CS596" s="833" t="str">
        <f t="shared" si="525"/>
        <v>-</v>
      </c>
      <c r="CT596" s="834" t="str">
        <f t="shared" si="526"/>
        <v>-</v>
      </c>
      <c r="CU596" s="835" t="str">
        <f t="shared" si="527"/>
        <v>-</v>
      </c>
      <c r="CV596" s="839"/>
      <c r="CW596" s="832"/>
      <c r="CX596" s="833" t="str">
        <f t="shared" si="528"/>
        <v>-</v>
      </c>
      <c r="CY596" s="840" t="str">
        <f t="shared" si="529"/>
        <v>-</v>
      </c>
      <c r="CZ596" s="833" t="str">
        <f t="shared" si="530"/>
        <v>-</v>
      </c>
      <c r="DA596" s="838" t="str">
        <f t="shared" ca="1" si="531"/>
        <v>-</v>
      </c>
      <c r="DB596" s="841"/>
      <c r="DC596" s="832"/>
    </row>
    <row r="597" spans="1:107" s="842" customFormat="1" ht="15.95" customHeight="1" x14ac:dyDescent="0.25">
      <c r="A597" s="790">
        <v>599</v>
      </c>
      <c r="B597" s="791">
        <f t="shared" ca="1" si="480"/>
        <v>43134</v>
      </c>
      <c r="C597" s="847" t="s">
        <v>2554</v>
      </c>
      <c r="D597" s="793" t="s">
        <v>2586</v>
      </c>
      <c r="E597" s="794" t="s">
        <v>1563</v>
      </c>
      <c r="F597" s="795" t="s">
        <v>1788</v>
      </c>
      <c r="G597" s="796">
        <f>SUMIFS(МОЛОКО!L8:L6958,МОЛОКО!F8:F6958,"2948",МОЛОКО!L8:L6958,"&gt;0")</f>
        <v>0</v>
      </c>
      <c r="H597" s="797" t="s">
        <v>603</v>
      </c>
      <c r="I597" s="798">
        <v>42490</v>
      </c>
      <c r="J597" s="799">
        <f t="shared" ca="1" si="481"/>
        <v>1.7643835616438357</v>
      </c>
      <c r="K597" s="799">
        <f t="shared" ca="1" si="482"/>
        <v>21.466666666666665</v>
      </c>
      <c r="L597" s="800">
        <f t="shared" ca="1" si="483"/>
        <v>644</v>
      </c>
      <c r="M597" s="801"/>
      <c r="N597" s="802"/>
      <c r="O597" s="803" t="str">
        <f t="shared" ca="1" si="484"/>
        <v>-</v>
      </c>
      <c r="P597" s="804"/>
      <c r="Q597" s="805" t="s">
        <v>1451</v>
      </c>
      <c r="R597" s="806" t="s">
        <v>1876</v>
      </c>
      <c r="S597" s="807">
        <v>42863</v>
      </c>
      <c r="T597" s="798">
        <v>42863</v>
      </c>
      <c r="U597" s="798" t="str">
        <f t="shared" si="485"/>
        <v>-</v>
      </c>
      <c r="V597" s="804" t="str">
        <f t="shared" ca="1" si="486"/>
        <v>-</v>
      </c>
      <c r="W597" s="808">
        <v>1</v>
      </c>
      <c r="X597" s="794" t="str">
        <f t="shared" si="479"/>
        <v>-</v>
      </c>
      <c r="Y597" s="794">
        <v>1</v>
      </c>
      <c r="Z597" s="809" t="str">
        <f t="shared" ca="1" si="487"/>
        <v>ПОДЛЕЖИТ ПЕРЕПРОВЕРКЕ</v>
      </c>
      <c r="AA597" s="810">
        <f t="shared" ca="1" si="488"/>
        <v>271</v>
      </c>
      <c r="AB597" s="804"/>
      <c r="AC597" s="811">
        <f t="shared" ca="1" si="489"/>
        <v>42935</v>
      </c>
      <c r="AD597" s="798"/>
      <c r="AE597" s="794" t="str">
        <f t="shared" ca="1" si="490"/>
        <v>-</v>
      </c>
      <c r="AF597" s="798" t="str">
        <f t="shared" si="491"/>
        <v>-</v>
      </c>
      <c r="AG597" s="812" t="str">
        <f t="shared" si="492"/>
        <v>---------</v>
      </c>
      <c r="AH597" s="807">
        <v>42931</v>
      </c>
      <c r="AI597" s="807" t="str">
        <f t="shared" si="493"/>
        <v>-</v>
      </c>
      <c r="AJ597" s="807" t="str">
        <f t="shared" si="494"/>
        <v>-</v>
      </c>
      <c r="AK597" s="813"/>
      <c r="AL597" s="807">
        <f t="shared" si="495"/>
        <v>43122</v>
      </c>
      <c r="AM597" s="807">
        <f t="shared" si="496"/>
        <v>43143</v>
      </c>
      <c r="AN597" s="814">
        <f t="shared" ca="1" si="497"/>
        <v>-9</v>
      </c>
      <c r="AO597" s="815">
        <v>1</v>
      </c>
      <c r="AP597" s="816" t="str">
        <f t="shared" ca="1" si="498"/>
        <v>-</v>
      </c>
      <c r="AQ597" s="817"/>
      <c r="AR597" s="794" t="str">
        <f t="shared" si="499"/>
        <v>НЕТЕЛЬ</v>
      </c>
      <c r="AS597" s="818"/>
      <c r="AT597" s="794" t="str">
        <f t="shared" si="500"/>
        <v>-</v>
      </c>
      <c r="AU597" s="819"/>
      <c r="AV597" s="820"/>
      <c r="AW597" s="821"/>
      <c r="AX597" s="821"/>
      <c r="AY597" s="969" t="str">
        <f t="shared" si="501"/>
        <v>-</v>
      </c>
      <c r="AZ597" s="966" t="str">
        <f t="shared" si="502"/>
        <v>-</v>
      </c>
      <c r="BA597" s="971" t="str">
        <f t="shared" si="503"/>
        <v>-</v>
      </c>
      <c r="BB597" s="975"/>
      <c r="BC597" s="821"/>
      <c r="BD597" s="821"/>
      <c r="BE597" s="963" t="str">
        <f t="shared" si="504"/>
        <v>-</v>
      </c>
      <c r="BF597" s="984"/>
      <c r="BG597" s="988"/>
      <c r="BH597" s="982"/>
      <c r="BI597" s="991"/>
      <c r="BJ597" s="991"/>
      <c r="BK597" s="993" t="str">
        <f t="shared" si="505"/>
        <v>-</v>
      </c>
      <c r="BL597" s="820">
        <v>42978</v>
      </c>
      <c r="BM597" s="821">
        <v>5</v>
      </c>
      <c r="BN597" s="822">
        <f t="shared" ca="1" si="506"/>
        <v>156</v>
      </c>
      <c r="BO597" s="823">
        <f t="shared" si="507"/>
        <v>16.266666666666666</v>
      </c>
      <c r="BP597" s="824"/>
      <c r="BQ597" s="821"/>
      <c r="BR597" s="822" t="str">
        <f t="shared" si="508"/>
        <v>-</v>
      </c>
      <c r="BS597" s="823" t="str">
        <f t="shared" si="509"/>
        <v>-</v>
      </c>
      <c r="BT597" s="825" t="str">
        <f t="shared" ca="1" si="510"/>
        <v>-</v>
      </c>
      <c r="BU597" s="826"/>
      <c r="BV597" s="827"/>
      <c r="BW597" s="828" t="str">
        <f t="shared" si="511"/>
        <v>Ж-Е НЕ ВАКЦ.</v>
      </c>
      <c r="BX597" s="829" t="str">
        <f t="shared" si="512"/>
        <v>-</v>
      </c>
      <c r="BY597" s="830" t="str">
        <f t="shared" ca="1" si="513"/>
        <v>-</v>
      </c>
      <c r="BZ597" s="831">
        <v>42891</v>
      </c>
      <c r="CA597" s="832">
        <v>5</v>
      </c>
      <c r="CB597" s="833">
        <f t="shared" ca="1" si="514"/>
        <v>243</v>
      </c>
      <c r="CC597" s="834" t="str">
        <f t="shared" ca="1" si="515"/>
        <v>-</v>
      </c>
      <c r="CD597" s="835">
        <f t="shared" si="516"/>
        <v>42912</v>
      </c>
      <c r="CE597" s="831">
        <v>42912</v>
      </c>
      <c r="CF597" s="832">
        <v>5</v>
      </c>
      <c r="CG597" s="833">
        <f t="shared" ca="1" si="517"/>
        <v>222</v>
      </c>
      <c r="CH597" s="836">
        <f t="shared" si="518"/>
        <v>0</v>
      </c>
      <c r="CI597" s="837" t="str">
        <f t="shared" si="519"/>
        <v>УСПЕШНО</v>
      </c>
      <c r="CJ597" s="838" t="str">
        <f t="shared" ca="1" si="520"/>
        <v>-</v>
      </c>
      <c r="CK597" s="831"/>
      <c r="CL597" s="832"/>
      <c r="CM597" s="833" t="str">
        <f t="shared" si="521"/>
        <v>-</v>
      </c>
      <c r="CN597" s="834" t="str">
        <f t="shared" si="522"/>
        <v>-</v>
      </c>
      <c r="CO597" s="830" t="str">
        <f t="shared" ca="1" si="523"/>
        <v>ТРЕБУЕТСЯ ВАКЦИНАЦИЯ</v>
      </c>
      <c r="CP597" s="839"/>
      <c r="CQ597" s="832"/>
      <c r="CR597" s="833" t="str">
        <f t="shared" si="524"/>
        <v>-</v>
      </c>
      <c r="CS597" s="833" t="str">
        <f t="shared" si="525"/>
        <v>-</v>
      </c>
      <c r="CT597" s="834" t="str">
        <f t="shared" si="526"/>
        <v>-</v>
      </c>
      <c r="CU597" s="835" t="str">
        <f t="shared" si="527"/>
        <v>-</v>
      </c>
      <c r="CV597" s="839"/>
      <c r="CW597" s="832"/>
      <c r="CX597" s="833" t="str">
        <f t="shared" si="528"/>
        <v>-</v>
      </c>
      <c r="CY597" s="840" t="str">
        <f t="shared" si="529"/>
        <v>-</v>
      </c>
      <c r="CZ597" s="833" t="str">
        <f t="shared" si="530"/>
        <v>-</v>
      </c>
      <c r="DA597" s="838" t="str">
        <f t="shared" ca="1" si="531"/>
        <v>-</v>
      </c>
      <c r="DB597" s="841"/>
      <c r="DC597" s="832"/>
    </row>
    <row r="598" spans="1:107" s="842" customFormat="1" ht="15.95" customHeight="1" x14ac:dyDescent="0.25">
      <c r="A598" s="790">
        <v>600</v>
      </c>
      <c r="B598" s="791">
        <f t="shared" ca="1" si="480"/>
        <v>43134</v>
      </c>
      <c r="C598" s="847" t="s">
        <v>2554</v>
      </c>
      <c r="D598" s="793" t="s">
        <v>2586</v>
      </c>
      <c r="E598" s="794" t="s">
        <v>1563</v>
      </c>
      <c r="F598" s="795" t="s">
        <v>1743</v>
      </c>
      <c r="G598" s="796">
        <f>SUMIFS(МОЛОКО!L8:L6958,МОЛОКО!F8:F6958,"2950",МОЛОКО!L8:L6958,"&gt;0")</f>
        <v>0</v>
      </c>
      <c r="H598" s="797" t="s">
        <v>603</v>
      </c>
      <c r="I598" s="798">
        <v>42491</v>
      </c>
      <c r="J598" s="799">
        <f t="shared" ca="1" si="481"/>
        <v>1.7616438356164383</v>
      </c>
      <c r="K598" s="799">
        <f t="shared" ca="1" si="482"/>
        <v>21.433333333333334</v>
      </c>
      <c r="L598" s="800">
        <f t="shared" ca="1" si="483"/>
        <v>643</v>
      </c>
      <c r="M598" s="801"/>
      <c r="N598" s="802"/>
      <c r="O598" s="803" t="str">
        <f t="shared" ca="1" si="484"/>
        <v>-</v>
      </c>
      <c r="P598" s="804"/>
      <c r="Q598" s="805" t="s">
        <v>1451</v>
      </c>
      <c r="R598" s="806" t="s">
        <v>2664</v>
      </c>
      <c r="S598" s="807">
        <v>42863</v>
      </c>
      <c r="T598" s="798">
        <v>42863</v>
      </c>
      <c r="U598" s="798" t="str">
        <f t="shared" si="485"/>
        <v>-</v>
      </c>
      <c r="V598" s="804" t="str">
        <f t="shared" ca="1" si="486"/>
        <v>-</v>
      </c>
      <c r="W598" s="808">
        <v>1</v>
      </c>
      <c r="X598" s="794" t="str">
        <f t="shared" si="479"/>
        <v>-</v>
      </c>
      <c r="Y598" s="794">
        <v>1</v>
      </c>
      <c r="Z598" s="809" t="str">
        <f t="shared" ca="1" si="487"/>
        <v>ПОДЛЕЖИТ ПЕРЕПРОВЕРКЕ</v>
      </c>
      <c r="AA598" s="810">
        <f t="shared" ca="1" si="488"/>
        <v>271</v>
      </c>
      <c r="AB598" s="804"/>
      <c r="AC598" s="811">
        <f t="shared" ca="1" si="489"/>
        <v>42935</v>
      </c>
      <c r="AD598" s="798"/>
      <c r="AE598" s="794" t="str">
        <f t="shared" ca="1" si="490"/>
        <v>-</v>
      </c>
      <c r="AF598" s="798" t="str">
        <f t="shared" si="491"/>
        <v>-</v>
      </c>
      <c r="AG598" s="812" t="str">
        <f t="shared" si="492"/>
        <v>---------</v>
      </c>
      <c r="AH598" s="807">
        <v>42931</v>
      </c>
      <c r="AI598" s="807" t="str">
        <f t="shared" si="493"/>
        <v>-</v>
      </c>
      <c r="AJ598" s="807" t="str">
        <f t="shared" si="494"/>
        <v>-</v>
      </c>
      <c r="AK598" s="813"/>
      <c r="AL598" s="807">
        <f t="shared" si="495"/>
        <v>43122</v>
      </c>
      <c r="AM598" s="807">
        <f t="shared" si="496"/>
        <v>43143</v>
      </c>
      <c r="AN598" s="814">
        <f t="shared" ca="1" si="497"/>
        <v>-9</v>
      </c>
      <c r="AO598" s="815">
        <v>1</v>
      </c>
      <c r="AP598" s="816" t="str">
        <f t="shared" ca="1" si="498"/>
        <v>-</v>
      </c>
      <c r="AQ598" s="817"/>
      <c r="AR598" s="794" t="str">
        <f t="shared" si="499"/>
        <v>НЕТЕЛЬ</v>
      </c>
      <c r="AS598" s="818"/>
      <c r="AT598" s="794" t="str">
        <f t="shared" si="500"/>
        <v>-</v>
      </c>
      <c r="AU598" s="819"/>
      <c r="AV598" s="820"/>
      <c r="AW598" s="821"/>
      <c r="AX598" s="821"/>
      <c r="AY598" s="969" t="str">
        <f t="shared" si="501"/>
        <v>-</v>
      </c>
      <c r="AZ598" s="966" t="str">
        <f t="shared" si="502"/>
        <v>-</v>
      </c>
      <c r="BA598" s="971" t="str">
        <f t="shared" si="503"/>
        <v>-</v>
      </c>
      <c r="BB598" s="975"/>
      <c r="BC598" s="821"/>
      <c r="BD598" s="821"/>
      <c r="BE598" s="963" t="str">
        <f t="shared" si="504"/>
        <v>-</v>
      </c>
      <c r="BF598" s="984"/>
      <c r="BG598" s="988"/>
      <c r="BH598" s="982"/>
      <c r="BI598" s="991"/>
      <c r="BJ598" s="991"/>
      <c r="BK598" s="993" t="str">
        <f t="shared" si="505"/>
        <v>-</v>
      </c>
      <c r="BL598" s="820">
        <v>42978</v>
      </c>
      <c r="BM598" s="821">
        <v>5</v>
      </c>
      <c r="BN598" s="822">
        <f t="shared" ca="1" si="506"/>
        <v>156</v>
      </c>
      <c r="BO598" s="823">
        <f t="shared" si="507"/>
        <v>16.233333333333334</v>
      </c>
      <c r="BP598" s="824"/>
      <c r="BQ598" s="821"/>
      <c r="BR598" s="822" t="str">
        <f t="shared" si="508"/>
        <v>-</v>
      </c>
      <c r="BS598" s="823" t="str">
        <f t="shared" si="509"/>
        <v>-</v>
      </c>
      <c r="BT598" s="825" t="str">
        <f t="shared" ca="1" si="510"/>
        <v>-</v>
      </c>
      <c r="BU598" s="826"/>
      <c r="BV598" s="827"/>
      <c r="BW598" s="828" t="str">
        <f t="shared" si="511"/>
        <v>Ж-Е НЕ ВАКЦ.</v>
      </c>
      <c r="BX598" s="829" t="str">
        <f t="shared" si="512"/>
        <v>-</v>
      </c>
      <c r="BY598" s="830" t="str">
        <f t="shared" ca="1" si="513"/>
        <v>-</v>
      </c>
      <c r="BZ598" s="831">
        <v>42891</v>
      </c>
      <c r="CA598" s="832">
        <v>5</v>
      </c>
      <c r="CB598" s="833">
        <f t="shared" ca="1" si="514"/>
        <v>243</v>
      </c>
      <c r="CC598" s="834" t="str">
        <f t="shared" ca="1" si="515"/>
        <v>-</v>
      </c>
      <c r="CD598" s="835">
        <f t="shared" si="516"/>
        <v>42912</v>
      </c>
      <c r="CE598" s="831">
        <v>42912</v>
      </c>
      <c r="CF598" s="832">
        <v>5</v>
      </c>
      <c r="CG598" s="833">
        <f t="shared" ca="1" si="517"/>
        <v>222</v>
      </c>
      <c r="CH598" s="836">
        <f t="shared" si="518"/>
        <v>0</v>
      </c>
      <c r="CI598" s="837" t="str">
        <f t="shared" si="519"/>
        <v>УСПЕШНО</v>
      </c>
      <c r="CJ598" s="838" t="str">
        <f t="shared" ca="1" si="520"/>
        <v>-</v>
      </c>
      <c r="CK598" s="831"/>
      <c r="CL598" s="832"/>
      <c r="CM598" s="833" t="str">
        <f t="shared" si="521"/>
        <v>-</v>
      </c>
      <c r="CN598" s="834" t="str">
        <f t="shared" si="522"/>
        <v>-</v>
      </c>
      <c r="CO598" s="830" t="str">
        <f t="shared" ca="1" si="523"/>
        <v>ТРЕБУЕТСЯ ВАКЦИНАЦИЯ</v>
      </c>
      <c r="CP598" s="839"/>
      <c r="CQ598" s="832"/>
      <c r="CR598" s="833" t="str">
        <f t="shared" si="524"/>
        <v>-</v>
      </c>
      <c r="CS598" s="833" t="str">
        <f t="shared" si="525"/>
        <v>-</v>
      </c>
      <c r="CT598" s="834" t="str">
        <f t="shared" si="526"/>
        <v>-</v>
      </c>
      <c r="CU598" s="835" t="str">
        <f t="shared" si="527"/>
        <v>-</v>
      </c>
      <c r="CV598" s="839"/>
      <c r="CW598" s="832"/>
      <c r="CX598" s="833" t="str">
        <f t="shared" si="528"/>
        <v>-</v>
      </c>
      <c r="CY598" s="840" t="str">
        <f t="shared" si="529"/>
        <v>-</v>
      </c>
      <c r="CZ598" s="833" t="str">
        <f t="shared" si="530"/>
        <v>-</v>
      </c>
      <c r="DA598" s="838" t="str">
        <f t="shared" ca="1" si="531"/>
        <v>-</v>
      </c>
      <c r="DB598" s="841"/>
      <c r="DC598" s="832"/>
    </row>
    <row r="599" spans="1:107" s="842" customFormat="1" ht="15.95" customHeight="1" x14ac:dyDescent="0.25">
      <c r="A599" s="790">
        <v>601</v>
      </c>
      <c r="B599" s="791">
        <f t="shared" ca="1" si="480"/>
        <v>43134</v>
      </c>
      <c r="C599" s="271" t="s">
        <v>2554</v>
      </c>
      <c r="D599" s="59" t="s">
        <v>2586</v>
      </c>
      <c r="E599" s="794" t="s">
        <v>1563</v>
      </c>
      <c r="F599" s="795" t="s">
        <v>1754</v>
      </c>
      <c r="G599" s="796">
        <f>SUMIFS(МОЛОКО!L8:L6958,МОЛОКО!F8:F6958,"2953",МОЛОКО!L8:L6958,"&gt;0")</f>
        <v>0</v>
      </c>
      <c r="H599" s="797" t="s">
        <v>603</v>
      </c>
      <c r="I599" s="798">
        <v>42492</v>
      </c>
      <c r="J599" s="799">
        <f t="shared" ca="1" si="481"/>
        <v>1.7589041095890412</v>
      </c>
      <c r="K599" s="799">
        <f t="shared" ca="1" si="482"/>
        <v>21.4</v>
      </c>
      <c r="L599" s="800">
        <f t="shared" ca="1" si="483"/>
        <v>642</v>
      </c>
      <c r="M599" s="801"/>
      <c r="N599" s="802"/>
      <c r="O599" s="803" t="str">
        <f t="shared" ca="1" si="484"/>
        <v>-</v>
      </c>
      <c r="P599" s="804"/>
      <c r="Q599" s="805" t="s">
        <v>2366</v>
      </c>
      <c r="R599" s="806" t="s">
        <v>2909</v>
      </c>
      <c r="S599" s="807">
        <v>42861</v>
      </c>
      <c r="T599" s="798">
        <v>42934</v>
      </c>
      <c r="U599" s="798" t="str">
        <f t="shared" si="485"/>
        <v>-</v>
      </c>
      <c r="V599" s="804" t="str">
        <f t="shared" ca="1" si="486"/>
        <v>-</v>
      </c>
      <c r="W599" s="808">
        <v>2</v>
      </c>
      <c r="X599" s="794" t="str">
        <f t="shared" si="479"/>
        <v>-</v>
      </c>
      <c r="Y599" s="794">
        <v>1</v>
      </c>
      <c r="Z599" s="809" t="str">
        <f t="shared" ca="1" si="487"/>
        <v>ПОДЛЕЖИТ ПЕРЕПРОВЕРКЕ</v>
      </c>
      <c r="AA599" s="810">
        <f t="shared" ca="1" si="488"/>
        <v>200</v>
      </c>
      <c r="AB599" s="804"/>
      <c r="AC599" s="811">
        <f t="shared" ca="1" si="489"/>
        <v>43006</v>
      </c>
      <c r="AD599" s="798"/>
      <c r="AE599" s="794" t="str">
        <f t="shared" ca="1" si="490"/>
        <v>-</v>
      </c>
      <c r="AF599" s="798" t="str">
        <f t="shared" si="491"/>
        <v>-</v>
      </c>
      <c r="AG599" s="812" t="str">
        <f t="shared" si="492"/>
        <v>---------</v>
      </c>
      <c r="AH599" s="807">
        <v>43001</v>
      </c>
      <c r="AI599" s="807" t="str">
        <f t="shared" si="493"/>
        <v>-</v>
      </c>
      <c r="AJ599" s="807" t="str">
        <f t="shared" si="494"/>
        <v>-</v>
      </c>
      <c r="AK599" s="813"/>
      <c r="AL599" s="807">
        <f t="shared" si="495"/>
        <v>43193</v>
      </c>
      <c r="AM599" s="807">
        <f t="shared" si="496"/>
        <v>43214</v>
      </c>
      <c r="AN599" s="814">
        <f t="shared" ca="1" si="497"/>
        <v>-80</v>
      </c>
      <c r="AO599" s="815">
        <v>1</v>
      </c>
      <c r="AP599" s="816" t="str">
        <f t="shared" ca="1" si="498"/>
        <v>-</v>
      </c>
      <c r="AQ599" s="817"/>
      <c r="AR599" s="794" t="str">
        <f t="shared" si="499"/>
        <v>НЕТЕЛЬ</v>
      </c>
      <c r="AS599" s="818"/>
      <c r="AT599" s="794" t="str">
        <f t="shared" si="500"/>
        <v>-</v>
      </c>
      <c r="AU599" s="819"/>
      <c r="AV599" s="820"/>
      <c r="AW599" s="821"/>
      <c r="AX599" s="821"/>
      <c r="AY599" s="969" t="str">
        <f t="shared" si="501"/>
        <v>-</v>
      </c>
      <c r="AZ599" s="966" t="str">
        <f t="shared" si="502"/>
        <v>-</v>
      </c>
      <c r="BA599" s="971" t="str">
        <f t="shared" si="503"/>
        <v>-</v>
      </c>
      <c r="BB599" s="975"/>
      <c r="BC599" s="821"/>
      <c r="BD599" s="821"/>
      <c r="BE599" s="963" t="str">
        <f t="shared" si="504"/>
        <v>-</v>
      </c>
      <c r="BF599" s="984"/>
      <c r="BG599" s="988"/>
      <c r="BH599" s="982"/>
      <c r="BI599" s="991"/>
      <c r="BJ599" s="991"/>
      <c r="BK599" s="993" t="str">
        <f t="shared" si="505"/>
        <v>-</v>
      </c>
      <c r="BL599" s="820">
        <v>42977</v>
      </c>
      <c r="BM599" s="821">
        <v>5</v>
      </c>
      <c r="BN599" s="822">
        <f t="shared" ca="1" si="506"/>
        <v>157</v>
      </c>
      <c r="BO599" s="823">
        <f t="shared" si="507"/>
        <v>16.166666666666668</v>
      </c>
      <c r="BP599" s="824"/>
      <c r="BQ599" s="821"/>
      <c r="BR599" s="822" t="str">
        <f t="shared" si="508"/>
        <v>-</v>
      </c>
      <c r="BS599" s="823" t="str">
        <f t="shared" si="509"/>
        <v>-</v>
      </c>
      <c r="BT599" s="825" t="str">
        <f t="shared" ca="1" si="510"/>
        <v>-</v>
      </c>
      <c r="BU599" s="826"/>
      <c r="BV599" s="827"/>
      <c r="BW599" s="828" t="str">
        <f t="shared" si="511"/>
        <v>Ж-Е НЕ ВАКЦ.</v>
      </c>
      <c r="BX599" s="829" t="str">
        <f t="shared" si="512"/>
        <v>-</v>
      </c>
      <c r="BY599" s="830" t="str">
        <f t="shared" ca="1" si="513"/>
        <v>-</v>
      </c>
      <c r="BZ599" s="831">
        <v>42891</v>
      </c>
      <c r="CA599" s="832">
        <v>5</v>
      </c>
      <c r="CB599" s="833">
        <f t="shared" ca="1" si="514"/>
        <v>243</v>
      </c>
      <c r="CC599" s="834" t="str">
        <f t="shared" ca="1" si="515"/>
        <v>-</v>
      </c>
      <c r="CD599" s="835">
        <f t="shared" si="516"/>
        <v>42912</v>
      </c>
      <c r="CE599" s="831">
        <v>42912</v>
      </c>
      <c r="CF599" s="832">
        <v>5</v>
      </c>
      <c r="CG599" s="833">
        <f t="shared" ca="1" si="517"/>
        <v>222</v>
      </c>
      <c r="CH599" s="836">
        <f t="shared" si="518"/>
        <v>0</v>
      </c>
      <c r="CI599" s="837" t="str">
        <f t="shared" si="519"/>
        <v>УСПЕШНО</v>
      </c>
      <c r="CJ599" s="838" t="str">
        <f t="shared" ca="1" si="520"/>
        <v>-</v>
      </c>
      <c r="CK599" s="831"/>
      <c r="CL599" s="832"/>
      <c r="CM599" s="833" t="str">
        <f t="shared" si="521"/>
        <v>-</v>
      </c>
      <c r="CN599" s="834" t="str">
        <f t="shared" si="522"/>
        <v>-</v>
      </c>
      <c r="CO599" s="830" t="str">
        <f t="shared" ca="1" si="523"/>
        <v>-</v>
      </c>
      <c r="CP599" s="839"/>
      <c r="CQ599" s="832"/>
      <c r="CR599" s="833" t="str">
        <f t="shared" si="524"/>
        <v>-</v>
      </c>
      <c r="CS599" s="833" t="str">
        <f t="shared" si="525"/>
        <v>-</v>
      </c>
      <c r="CT599" s="834" t="str">
        <f t="shared" si="526"/>
        <v>-</v>
      </c>
      <c r="CU599" s="835" t="str">
        <f t="shared" si="527"/>
        <v>-</v>
      </c>
      <c r="CV599" s="839"/>
      <c r="CW599" s="832"/>
      <c r="CX599" s="833" t="str">
        <f t="shared" si="528"/>
        <v>-</v>
      </c>
      <c r="CY599" s="840" t="str">
        <f t="shared" si="529"/>
        <v>-</v>
      </c>
      <c r="CZ599" s="833" t="str">
        <f t="shared" si="530"/>
        <v>-</v>
      </c>
      <c r="DA599" s="838" t="str">
        <f t="shared" ca="1" si="531"/>
        <v>-</v>
      </c>
      <c r="DB599" s="841"/>
      <c r="DC599" s="832"/>
    </row>
    <row r="600" spans="1:107" s="842" customFormat="1" ht="15.95" customHeight="1" x14ac:dyDescent="0.25">
      <c r="A600" s="790">
        <v>602</v>
      </c>
      <c r="B600" s="791">
        <f t="shared" ca="1" si="480"/>
        <v>43134</v>
      </c>
      <c r="C600" s="271" t="s">
        <v>2554</v>
      </c>
      <c r="D600" s="59" t="s">
        <v>2586</v>
      </c>
      <c r="E600" s="794" t="s">
        <v>1563</v>
      </c>
      <c r="F600" s="795" t="s">
        <v>1691</v>
      </c>
      <c r="G600" s="796">
        <f>SUMIFS(МОЛОКО!L8:L6958,МОЛОКО!F8:F6958,"2955",МОЛОКО!L8:L6958,"&gt;0")</f>
        <v>0</v>
      </c>
      <c r="H600" s="797" t="s">
        <v>603</v>
      </c>
      <c r="I600" s="798">
        <v>42493</v>
      </c>
      <c r="J600" s="799">
        <f t="shared" ca="1" si="481"/>
        <v>1.7561643835616438</v>
      </c>
      <c r="K600" s="799">
        <f t="shared" ca="1" si="482"/>
        <v>21.366666666666667</v>
      </c>
      <c r="L600" s="800">
        <f t="shared" ca="1" si="483"/>
        <v>641</v>
      </c>
      <c r="M600" s="801"/>
      <c r="N600" s="802"/>
      <c r="O600" s="803" t="str">
        <f t="shared" ca="1" si="484"/>
        <v>-</v>
      </c>
      <c r="P600" s="804"/>
      <c r="Q600" s="805" t="s">
        <v>1451</v>
      </c>
      <c r="R600" s="806" t="s">
        <v>1876</v>
      </c>
      <c r="S600" s="807">
        <v>42929</v>
      </c>
      <c r="T600" s="798">
        <v>42929</v>
      </c>
      <c r="U600" s="798" t="str">
        <f t="shared" si="485"/>
        <v>-</v>
      </c>
      <c r="V600" s="804" t="str">
        <f t="shared" ca="1" si="486"/>
        <v>-</v>
      </c>
      <c r="W600" s="808">
        <v>1</v>
      </c>
      <c r="X600" s="794" t="str">
        <f t="shared" si="479"/>
        <v>-</v>
      </c>
      <c r="Y600" s="794">
        <v>1</v>
      </c>
      <c r="Z600" s="809" t="str">
        <f t="shared" ca="1" si="487"/>
        <v>ПОДЛЕЖИТ ПЕРЕПРОВЕРКЕ</v>
      </c>
      <c r="AA600" s="810">
        <f t="shared" ca="1" si="488"/>
        <v>205</v>
      </c>
      <c r="AB600" s="804"/>
      <c r="AC600" s="811">
        <f t="shared" ca="1" si="489"/>
        <v>43001</v>
      </c>
      <c r="AD600" s="798"/>
      <c r="AE600" s="794" t="str">
        <f t="shared" ca="1" si="490"/>
        <v>-</v>
      </c>
      <c r="AF600" s="798" t="str">
        <f t="shared" si="491"/>
        <v>-</v>
      </c>
      <c r="AG600" s="812" t="str">
        <f t="shared" si="492"/>
        <v>---------</v>
      </c>
      <c r="AH600" s="807">
        <v>43001</v>
      </c>
      <c r="AI600" s="807" t="str">
        <f t="shared" si="493"/>
        <v>-</v>
      </c>
      <c r="AJ600" s="807" t="str">
        <f t="shared" si="494"/>
        <v>-</v>
      </c>
      <c r="AK600" s="813"/>
      <c r="AL600" s="807">
        <f t="shared" si="495"/>
        <v>43188</v>
      </c>
      <c r="AM600" s="807">
        <f t="shared" si="496"/>
        <v>43209</v>
      </c>
      <c r="AN600" s="814">
        <f t="shared" ca="1" si="497"/>
        <v>-75</v>
      </c>
      <c r="AO600" s="815">
        <v>1</v>
      </c>
      <c r="AP600" s="816" t="str">
        <f t="shared" ca="1" si="498"/>
        <v>-</v>
      </c>
      <c r="AQ600" s="817"/>
      <c r="AR600" s="794" t="str">
        <f t="shared" si="499"/>
        <v>НЕТЕЛЬ</v>
      </c>
      <c r="AS600" s="818"/>
      <c r="AT600" s="794" t="str">
        <f t="shared" si="500"/>
        <v>-</v>
      </c>
      <c r="AU600" s="819"/>
      <c r="AV600" s="820"/>
      <c r="AW600" s="821"/>
      <c r="AX600" s="821"/>
      <c r="AY600" s="969" t="str">
        <f t="shared" si="501"/>
        <v>-</v>
      </c>
      <c r="AZ600" s="966" t="str">
        <f t="shared" si="502"/>
        <v>-</v>
      </c>
      <c r="BA600" s="971" t="str">
        <f t="shared" si="503"/>
        <v>-</v>
      </c>
      <c r="BB600" s="975"/>
      <c r="BC600" s="821"/>
      <c r="BD600" s="821"/>
      <c r="BE600" s="963" t="str">
        <f t="shared" si="504"/>
        <v>-</v>
      </c>
      <c r="BF600" s="984"/>
      <c r="BG600" s="988"/>
      <c r="BH600" s="982"/>
      <c r="BI600" s="991"/>
      <c r="BJ600" s="991"/>
      <c r="BK600" s="993" t="str">
        <f t="shared" si="505"/>
        <v>-</v>
      </c>
      <c r="BL600" s="820">
        <v>42977</v>
      </c>
      <c r="BM600" s="821">
        <v>5</v>
      </c>
      <c r="BN600" s="822">
        <f t="shared" ca="1" si="506"/>
        <v>157</v>
      </c>
      <c r="BO600" s="823">
        <f t="shared" si="507"/>
        <v>16.133333333333333</v>
      </c>
      <c r="BP600" s="824"/>
      <c r="BQ600" s="821"/>
      <c r="BR600" s="822" t="str">
        <f t="shared" si="508"/>
        <v>-</v>
      </c>
      <c r="BS600" s="823" t="str">
        <f t="shared" si="509"/>
        <v>-</v>
      </c>
      <c r="BT600" s="825" t="str">
        <f t="shared" ca="1" si="510"/>
        <v>-</v>
      </c>
      <c r="BU600" s="826"/>
      <c r="BV600" s="827"/>
      <c r="BW600" s="828" t="str">
        <f t="shared" si="511"/>
        <v>Ж-Е НЕ ВАКЦ.</v>
      </c>
      <c r="BX600" s="829" t="str">
        <f t="shared" si="512"/>
        <v>-</v>
      </c>
      <c r="BY600" s="830" t="str">
        <f t="shared" ca="1" si="513"/>
        <v>-</v>
      </c>
      <c r="BZ600" s="831">
        <v>42891</v>
      </c>
      <c r="CA600" s="832">
        <v>5</v>
      </c>
      <c r="CB600" s="833">
        <f t="shared" ca="1" si="514"/>
        <v>243</v>
      </c>
      <c r="CC600" s="834" t="str">
        <f t="shared" ca="1" si="515"/>
        <v>-</v>
      </c>
      <c r="CD600" s="835">
        <f t="shared" si="516"/>
        <v>42912</v>
      </c>
      <c r="CE600" s="831">
        <v>42912</v>
      </c>
      <c r="CF600" s="832">
        <v>5</v>
      </c>
      <c r="CG600" s="833">
        <f t="shared" ca="1" si="517"/>
        <v>222</v>
      </c>
      <c r="CH600" s="836">
        <f t="shared" si="518"/>
        <v>0</v>
      </c>
      <c r="CI600" s="837" t="str">
        <f t="shared" si="519"/>
        <v>УСПЕШНО</v>
      </c>
      <c r="CJ600" s="838" t="str">
        <f t="shared" ca="1" si="520"/>
        <v>-</v>
      </c>
      <c r="CK600" s="831"/>
      <c r="CL600" s="832"/>
      <c r="CM600" s="833" t="str">
        <f t="shared" si="521"/>
        <v>-</v>
      </c>
      <c r="CN600" s="834" t="str">
        <f t="shared" si="522"/>
        <v>-</v>
      </c>
      <c r="CO600" s="830" t="str">
        <f t="shared" ca="1" si="523"/>
        <v>-</v>
      </c>
      <c r="CP600" s="839"/>
      <c r="CQ600" s="832"/>
      <c r="CR600" s="833" t="str">
        <f t="shared" si="524"/>
        <v>-</v>
      </c>
      <c r="CS600" s="833" t="str">
        <f t="shared" si="525"/>
        <v>-</v>
      </c>
      <c r="CT600" s="834" t="str">
        <f t="shared" si="526"/>
        <v>-</v>
      </c>
      <c r="CU600" s="835" t="str">
        <f t="shared" si="527"/>
        <v>-</v>
      </c>
      <c r="CV600" s="839"/>
      <c r="CW600" s="832"/>
      <c r="CX600" s="833" t="str">
        <f t="shared" si="528"/>
        <v>-</v>
      </c>
      <c r="CY600" s="840" t="str">
        <f t="shared" si="529"/>
        <v>-</v>
      </c>
      <c r="CZ600" s="833" t="str">
        <f t="shared" si="530"/>
        <v>-</v>
      </c>
      <c r="DA600" s="838" t="str">
        <f t="shared" ca="1" si="531"/>
        <v>-</v>
      </c>
      <c r="DB600" s="841"/>
      <c r="DC600" s="832"/>
    </row>
    <row r="601" spans="1:107" s="842" customFormat="1" ht="15.95" customHeight="1" x14ac:dyDescent="0.25">
      <c r="A601" s="790">
        <v>603</v>
      </c>
      <c r="B601" s="791">
        <f t="shared" ca="1" si="480"/>
        <v>43134</v>
      </c>
      <c r="C601" s="29" t="s">
        <v>2554</v>
      </c>
      <c r="D601" s="59" t="s">
        <v>2586</v>
      </c>
      <c r="E601" s="794" t="s">
        <v>1563</v>
      </c>
      <c r="F601" s="795" t="s">
        <v>1687</v>
      </c>
      <c r="G601" s="796">
        <f>SUMIFS(МОЛОКО!L8:L6958,МОЛОКО!F8:F6958,"2957",МОЛОКО!L8:L6958,"&gt;0")</f>
        <v>0</v>
      </c>
      <c r="H601" s="797" t="s">
        <v>603</v>
      </c>
      <c r="I601" s="798">
        <v>42493</v>
      </c>
      <c r="J601" s="799">
        <f t="shared" ca="1" si="481"/>
        <v>1.7561643835616438</v>
      </c>
      <c r="K601" s="799">
        <f t="shared" ca="1" si="482"/>
        <v>21.366666666666667</v>
      </c>
      <c r="L601" s="800">
        <f t="shared" ca="1" si="483"/>
        <v>641</v>
      </c>
      <c r="M601" s="801"/>
      <c r="N601" s="802"/>
      <c r="O601" s="803" t="str">
        <f t="shared" ca="1" si="484"/>
        <v>-</v>
      </c>
      <c r="P601" s="804"/>
      <c r="Q601" s="805" t="s">
        <v>2366</v>
      </c>
      <c r="R601" s="806" t="s">
        <v>1876</v>
      </c>
      <c r="S601" s="807">
        <v>42935</v>
      </c>
      <c r="T601" s="798">
        <v>42935</v>
      </c>
      <c r="U601" s="798" t="str">
        <f t="shared" si="485"/>
        <v>-</v>
      </c>
      <c r="V601" s="804" t="str">
        <f t="shared" ca="1" si="486"/>
        <v>-</v>
      </c>
      <c r="W601" s="808">
        <v>1</v>
      </c>
      <c r="X601" s="794" t="str">
        <f t="shared" si="479"/>
        <v>-</v>
      </c>
      <c r="Y601" s="794">
        <v>1</v>
      </c>
      <c r="Z601" s="809" t="str">
        <f t="shared" ca="1" si="487"/>
        <v>ПОДЛЕЖИТ ПЕРЕПРОВЕРКЕ</v>
      </c>
      <c r="AA601" s="810">
        <f t="shared" ca="1" si="488"/>
        <v>199</v>
      </c>
      <c r="AB601" s="804"/>
      <c r="AC601" s="811">
        <f t="shared" ca="1" si="489"/>
        <v>43007</v>
      </c>
      <c r="AD601" s="798"/>
      <c r="AE601" s="794" t="str">
        <f t="shared" ca="1" si="490"/>
        <v>-</v>
      </c>
      <c r="AF601" s="798" t="str">
        <f t="shared" si="491"/>
        <v>-</v>
      </c>
      <c r="AG601" s="812" t="str">
        <f t="shared" si="492"/>
        <v>---------</v>
      </c>
      <c r="AH601" s="807">
        <v>43001</v>
      </c>
      <c r="AI601" s="807" t="str">
        <f t="shared" si="493"/>
        <v>-</v>
      </c>
      <c r="AJ601" s="807" t="str">
        <f t="shared" si="494"/>
        <v>-</v>
      </c>
      <c r="AK601" s="813"/>
      <c r="AL601" s="807">
        <f t="shared" si="495"/>
        <v>43194</v>
      </c>
      <c r="AM601" s="807">
        <f t="shared" si="496"/>
        <v>43215</v>
      </c>
      <c r="AN601" s="814">
        <f t="shared" ca="1" si="497"/>
        <v>-81</v>
      </c>
      <c r="AO601" s="815">
        <v>1</v>
      </c>
      <c r="AP601" s="816" t="str">
        <f t="shared" ca="1" si="498"/>
        <v>-</v>
      </c>
      <c r="AQ601" s="817"/>
      <c r="AR601" s="794" t="str">
        <f t="shared" si="499"/>
        <v>НЕТЕЛЬ</v>
      </c>
      <c r="AS601" s="818"/>
      <c r="AT601" s="794" t="str">
        <f t="shared" si="500"/>
        <v>-</v>
      </c>
      <c r="AU601" s="819"/>
      <c r="AV601" s="820"/>
      <c r="AW601" s="821"/>
      <c r="AX601" s="821"/>
      <c r="AY601" s="969" t="str">
        <f t="shared" si="501"/>
        <v>-</v>
      </c>
      <c r="AZ601" s="966" t="str">
        <f t="shared" si="502"/>
        <v>-</v>
      </c>
      <c r="BA601" s="971" t="str">
        <f t="shared" si="503"/>
        <v>-</v>
      </c>
      <c r="BB601" s="975"/>
      <c r="BC601" s="821"/>
      <c r="BD601" s="821"/>
      <c r="BE601" s="963" t="str">
        <f t="shared" si="504"/>
        <v>-</v>
      </c>
      <c r="BF601" s="984"/>
      <c r="BG601" s="988"/>
      <c r="BH601" s="982"/>
      <c r="BI601" s="991"/>
      <c r="BJ601" s="991"/>
      <c r="BK601" s="993" t="str">
        <f t="shared" si="505"/>
        <v>-</v>
      </c>
      <c r="BL601" s="820">
        <v>42977</v>
      </c>
      <c r="BM601" s="821">
        <v>5</v>
      </c>
      <c r="BN601" s="822">
        <f t="shared" ca="1" si="506"/>
        <v>157</v>
      </c>
      <c r="BO601" s="823">
        <f t="shared" si="507"/>
        <v>16.133333333333333</v>
      </c>
      <c r="BP601" s="824"/>
      <c r="BQ601" s="821"/>
      <c r="BR601" s="822" t="str">
        <f t="shared" si="508"/>
        <v>-</v>
      </c>
      <c r="BS601" s="823" t="str">
        <f t="shared" si="509"/>
        <v>-</v>
      </c>
      <c r="BT601" s="825" t="str">
        <f t="shared" ca="1" si="510"/>
        <v>-</v>
      </c>
      <c r="BU601" s="826"/>
      <c r="BV601" s="827"/>
      <c r="BW601" s="828" t="str">
        <f t="shared" si="511"/>
        <v>Ж-Е НЕ ВАКЦ.</v>
      </c>
      <c r="BX601" s="829" t="str">
        <f t="shared" si="512"/>
        <v>-</v>
      </c>
      <c r="BY601" s="830" t="str">
        <f t="shared" ca="1" si="513"/>
        <v>-</v>
      </c>
      <c r="BZ601" s="831">
        <v>42891</v>
      </c>
      <c r="CA601" s="832">
        <v>5</v>
      </c>
      <c r="CB601" s="833">
        <f t="shared" ca="1" si="514"/>
        <v>243</v>
      </c>
      <c r="CC601" s="834" t="str">
        <f t="shared" ca="1" si="515"/>
        <v>-</v>
      </c>
      <c r="CD601" s="835">
        <f t="shared" si="516"/>
        <v>42912</v>
      </c>
      <c r="CE601" s="831">
        <v>42912</v>
      </c>
      <c r="CF601" s="832">
        <v>5</v>
      </c>
      <c r="CG601" s="833">
        <f t="shared" ca="1" si="517"/>
        <v>222</v>
      </c>
      <c r="CH601" s="836">
        <f t="shared" si="518"/>
        <v>0</v>
      </c>
      <c r="CI601" s="837" t="str">
        <f t="shared" si="519"/>
        <v>УСПЕШНО</v>
      </c>
      <c r="CJ601" s="838" t="str">
        <f t="shared" ca="1" si="520"/>
        <v>-</v>
      </c>
      <c r="CK601" s="831"/>
      <c r="CL601" s="832"/>
      <c r="CM601" s="833" t="str">
        <f t="shared" si="521"/>
        <v>-</v>
      </c>
      <c r="CN601" s="834" t="str">
        <f t="shared" si="522"/>
        <v>-</v>
      </c>
      <c r="CO601" s="830" t="str">
        <f t="shared" ca="1" si="523"/>
        <v>-</v>
      </c>
      <c r="CP601" s="839"/>
      <c r="CQ601" s="832"/>
      <c r="CR601" s="833" t="str">
        <f t="shared" si="524"/>
        <v>-</v>
      </c>
      <c r="CS601" s="833" t="str">
        <f t="shared" si="525"/>
        <v>-</v>
      </c>
      <c r="CT601" s="834" t="str">
        <f t="shared" si="526"/>
        <v>-</v>
      </c>
      <c r="CU601" s="835" t="str">
        <f t="shared" si="527"/>
        <v>-</v>
      </c>
      <c r="CV601" s="839"/>
      <c r="CW601" s="832"/>
      <c r="CX601" s="833" t="str">
        <f t="shared" si="528"/>
        <v>-</v>
      </c>
      <c r="CY601" s="840" t="str">
        <f t="shared" si="529"/>
        <v>-</v>
      </c>
      <c r="CZ601" s="833" t="str">
        <f t="shared" si="530"/>
        <v>-</v>
      </c>
      <c r="DA601" s="838" t="str">
        <f t="shared" ca="1" si="531"/>
        <v>-</v>
      </c>
      <c r="DB601" s="841"/>
      <c r="DC601" s="832"/>
    </row>
    <row r="602" spans="1:107" ht="15.95" customHeight="1" x14ac:dyDescent="0.25">
      <c r="A602" s="790">
        <v>604</v>
      </c>
      <c r="B602" s="791">
        <f t="shared" ca="1" si="480"/>
        <v>43134</v>
      </c>
      <c r="C602" s="29" t="s">
        <v>2554</v>
      </c>
      <c r="D602" s="59" t="s">
        <v>2586</v>
      </c>
      <c r="E602" s="794" t="s">
        <v>1563</v>
      </c>
      <c r="F602" s="795" t="s">
        <v>1676</v>
      </c>
      <c r="G602" s="796">
        <f>SUMIFS(МОЛОКО!L8:L6958,МОЛОКО!F8:F6958,"2958",МОЛОКО!L8:L6958,"&gt;0")</f>
        <v>0</v>
      </c>
      <c r="H602" s="797" t="s">
        <v>603</v>
      </c>
      <c r="I602" s="798">
        <v>42493</v>
      </c>
      <c r="J602" s="799">
        <f t="shared" ca="1" si="481"/>
        <v>1.7561643835616438</v>
      </c>
      <c r="K602" s="799">
        <f t="shared" ca="1" si="482"/>
        <v>21.366666666666667</v>
      </c>
      <c r="L602" s="800">
        <f t="shared" ca="1" si="483"/>
        <v>641</v>
      </c>
      <c r="M602" s="801"/>
      <c r="N602" s="802"/>
      <c r="O602" s="803" t="str">
        <f t="shared" ca="1" si="484"/>
        <v>-</v>
      </c>
      <c r="P602" s="804"/>
      <c r="Q602" s="805" t="s">
        <v>2309</v>
      </c>
      <c r="R602" s="806" t="s">
        <v>2909</v>
      </c>
      <c r="S602" s="807">
        <v>42937</v>
      </c>
      <c r="T602" s="798">
        <v>42937</v>
      </c>
      <c r="U602" s="798" t="str">
        <f t="shared" si="485"/>
        <v>-</v>
      </c>
      <c r="V602" s="804" t="str">
        <f t="shared" ca="1" si="486"/>
        <v>-</v>
      </c>
      <c r="W602" s="808">
        <v>1</v>
      </c>
      <c r="X602" s="794" t="str">
        <f t="shared" si="479"/>
        <v>-</v>
      </c>
      <c r="Y602" s="794">
        <v>1</v>
      </c>
      <c r="Z602" s="809" t="str">
        <f t="shared" ca="1" si="487"/>
        <v>ПОДЛЕЖИТ ПЕРЕПРОВЕРКЕ</v>
      </c>
      <c r="AA602" s="810">
        <f t="shared" ca="1" si="488"/>
        <v>197</v>
      </c>
      <c r="AB602" s="804"/>
      <c r="AC602" s="811">
        <f t="shared" ca="1" si="489"/>
        <v>43009</v>
      </c>
      <c r="AD602" s="798"/>
      <c r="AE602" s="794" t="str">
        <f t="shared" ca="1" si="490"/>
        <v>-</v>
      </c>
      <c r="AF602" s="798" t="str">
        <f t="shared" si="491"/>
        <v>-</v>
      </c>
      <c r="AG602" s="812" t="str">
        <f t="shared" si="492"/>
        <v>---------</v>
      </c>
      <c r="AH602" s="807">
        <v>43001</v>
      </c>
      <c r="AI602" s="807" t="str">
        <f t="shared" si="493"/>
        <v>-</v>
      </c>
      <c r="AJ602" s="807" t="str">
        <f t="shared" si="494"/>
        <v>-</v>
      </c>
      <c r="AK602" s="813"/>
      <c r="AL602" s="807">
        <f t="shared" si="495"/>
        <v>43196</v>
      </c>
      <c r="AM602" s="807">
        <f t="shared" si="496"/>
        <v>43217</v>
      </c>
      <c r="AN602" s="814">
        <f t="shared" ca="1" si="497"/>
        <v>-83</v>
      </c>
      <c r="AO602" s="815">
        <v>1</v>
      </c>
      <c r="AP602" s="816" t="str">
        <f t="shared" ca="1" si="498"/>
        <v>-</v>
      </c>
      <c r="AQ602" s="817"/>
      <c r="AR602" s="794" t="str">
        <f t="shared" si="499"/>
        <v>НЕТЕЛЬ</v>
      </c>
      <c r="AS602" s="818"/>
      <c r="AT602" s="794" t="str">
        <f t="shared" si="500"/>
        <v>-</v>
      </c>
      <c r="AU602" s="819"/>
      <c r="AV602" s="820"/>
      <c r="AW602" s="821"/>
      <c r="AX602" s="821"/>
      <c r="AY602" s="969" t="str">
        <f t="shared" si="501"/>
        <v>-</v>
      </c>
      <c r="AZ602" s="966" t="str">
        <f t="shared" si="502"/>
        <v>-</v>
      </c>
      <c r="BA602" s="971" t="str">
        <f t="shared" si="503"/>
        <v>-</v>
      </c>
      <c r="BB602" s="975"/>
      <c r="BC602" s="821"/>
      <c r="BD602" s="821"/>
      <c r="BE602" s="963" t="str">
        <f t="shared" si="504"/>
        <v>-</v>
      </c>
      <c r="BF602" s="984"/>
      <c r="BG602" s="988"/>
      <c r="BH602" s="982"/>
      <c r="BI602" s="991"/>
      <c r="BJ602" s="991"/>
      <c r="BK602" s="993" t="str">
        <f t="shared" si="505"/>
        <v>-</v>
      </c>
      <c r="BL602" s="820">
        <v>42977</v>
      </c>
      <c r="BM602" s="821">
        <v>5</v>
      </c>
      <c r="BN602" s="822">
        <f t="shared" ca="1" si="506"/>
        <v>157</v>
      </c>
      <c r="BO602" s="823">
        <f t="shared" si="507"/>
        <v>16.133333333333333</v>
      </c>
      <c r="BP602" s="824"/>
      <c r="BQ602" s="821"/>
      <c r="BR602" s="822" t="str">
        <f t="shared" si="508"/>
        <v>-</v>
      </c>
      <c r="BS602" s="823" t="str">
        <f t="shared" si="509"/>
        <v>-</v>
      </c>
      <c r="BT602" s="825" t="str">
        <f t="shared" ca="1" si="510"/>
        <v>-</v>
      </c>
      <c r="BU602" s="826"/>
      <c r="BV602" s="827"/>
      <c r="BW602" s="828" t="str">
        <f t="shared" si="511"/>
        <v>Ж-Е НЕ ВАКЦ.</v>
      </c>
      <c r="BX602" s="829" t="str">
        <f t="shared" si="512"/>
        <v>-</v>
      </c>
      <c r="BY602" s="830" t="str">
        <f t="shared" ca="1" si="513"/>
        <v>-</v>
      </c>
      <c r="BZ602" s="831">
        <v>42892</v>
      </c>
      <c r="CA602" s="832">
        <v>5</v>
      </c>
      <c r="CB602" s="833">
        <f t="shared" ca="1" si="514"/>
        <v>242</v>
      </c>
      <c r="CC602" s="834" t="str">
        <f t="shared" ca="1" si="515"/>
        <v>-</v>
      </c>
      <c r="CD602" s="835">
        <f t="shared" si="516"/>
        <v>42913</v>
      </c>
      <c r="CE602" s="831">
        <v>42913</v>
      </c>
      <c r="CF602" s="832">
        <v>5</v>
      </c>
      <c r="CG602" s="833">
        <f t="shared" ca="1" si="517"/>
        <v>221</v>
      </c>
      <c r="CH602" s="836">
        <f t="shared" si="518"/>
        <v>0</v>
      </c>
      <c r="CI602" s="837" t="str">
        <f t="shared" si="519"/>
        <v>УСПЕШНО</v>
      </c>
      <c r="CJ602" s="838" t="str">
        <f t="shared" ca="1" si="520"/>
        <v>-</v>
      </c>
      <c r="CK602" s="831"/>
      <c r="CL602" s="832"/>
      <c r="CM602" s="833" t="str">
        <f t="shared" si="521"/>
        <v>-</v>
      </c>
      <c r="CN602" s="834" t="str">
        <f t="shared" si="522"/>
        <v>-</v>
      </c>
      <c r="CO602" s="830" t="str">
        <f t="shared" ca="1" si="523"/>
        <v>-</v>
      </c>
      <c r="CP602" s="839"/>
      <c r="CQ602" s="832"/>
      <c r="CR602" s="833" t="str">
        <f t="shared" si="524"/>
        <v>-</v>
      </c>
      <c r="CS602" s="833" t="str">
        <f t="shared" si="525"/>
        <v>-</v>
      </c>
      <c r="CT602" s="834" t="str">
        <f t="shared" si="526"/>
        <v>-</v>
      </c>
      <c r="CU602" s="835" t="str">
        <f t="shared" si="527"/>
        <v>-</v>
      </c>
      <c r="CV602" s="839"/>
      <c r="CW602" s="832"/>
      <c r="CX602" s="833" t="str">
        <f t="shared" si="528"/>
        <v>-</v>
      </c>
      <c r="CY602" s="840" t="str">
        <f t="shared" si="529"/>
        <v>-</v>
      </c>
      <c r="CZ602" s="833" t="str">
        <f t="shared" si="530"/>
        <v>-</v>
      </c>
      <c r="DA602" s="838" t="str">
        <f t="shared" ca="1" si="531"/>
        <v>-</v>
      </c>
      <c r="DB602" s="841"/>
      <c r="DC602" s="832"/>
    </row>
    <row r="603" spans="1:107" ht="15.95" customHeight="1" x14ac:dyDescent="0.25">
      <c r="A603" s="790">
        <v>605</v>
      </c>
      <c r="B603" s="791">
        <f t="shared" ca="1" si="480"/>
        <v>43134</v>
      </c>
      <c r="C603" s="847" t="s">
        <v>2554</v>
      </c>
      <c r="D603" s="793" t="s">
        <v>2586</v>
      </c>
      <c r="E603" s="794" t="s">
        <v>1563</v>
      </c>
      <c r="F603" s="795" t="s">
        <v>1690</v>
      </c>
      <c r="G603" s="796">
        <f>SUMIFS(МОЛОКО!L8:L6958,МОЛОКО!F8:F6958,"2960",МОЛОКО!L8:L6958,"&gt;0")</f>
        <v>0</v>
      </c>
      <c r="H603" s="797" t="s">
        <v>603</v>
      </c>
      <c r="I603" s="798">
        <v>42494</v>
      </c>
      <c r="J603" s="799">
        <f t="shared" ca="1" si="481"/>
        <v>1.7534246575342465</v>
      </c>
      <c r="K603" s="799">
        <f t="shared" ca="1" si="482"/>
        <v>21.333333333333332</v>
      </c>
      <c r="L603" s="800">
        <f t="shared" ca="1" si="483"/>
        <v>640</v>
      </c>
      <c r="M603" s="801"/>
      <c r="N603" s="802"/>
      <c r="O603" s="803" t="str">
        <f t="shared" ca="1" si="484"/>
        <v>-</v>
      </c>
      <c r="P603" s="804"/>
      <c r="Q603" s="805" t="s">
        <v>1451</v>
      </c>
      <c r="R603" s="806" t="s">
        <v>2664</v>
      </c>
      <c r="S603" s="807">
        <v>42855</v>
      </c>
      <c r="T603" s="798">
        <v>42855</v>
      </c>
      <c r="U603" s="798" t="str">
        <f t="shared" si="485"/>
        <v>-</v>
      </c>
      <c r="V603" s="804" t="str">
        <f t="shared" ca="1" si="486"/>
        <v>-</v>
      </c>
      <c r="W603" s="808">
        <v>1</v>
      </c>
      <c r="X603" s="794" t="str">
        <f t="shared" si="479"/>
        <v>-</v>
      </c>
      <c r="Y603" s="794">
        <v>1</v>
      </c>
      <c r="Z603" s="809" t="str">
        <f t="shared" ca="1" si="487"/>
        <v>ПОДЛЕЖИТ ПЕРЕПРОВЕРКЕ</v>
      </c>
      <c r="AA603" s="810">
        <f t="shared" ca="1" si="488"/>
        <v>279</v>
      </c>
      <c r="AB603" s="804"/>
      <c r="AC603" s="811">
        <f t="shared" ca="1" si="489"/>
        <v>42927</v>
      </c>
      <c r="AD603" s="798"/>
      <c r="AE603" s="794" t="str">
        <f t="shared" ca="1" si="490"/>
        <v>-</v>
      </c>
      <c r="AF603" s="798" t="str">
        <f t="shared" si="491"/>
        <v>-</v>
      </c>
      <c r="AG603" s="812" t="str">
        <f t="shared" si="492"/>
        <v>---------</v>
      </c>
      <c r="AH603" s="807">
        <v>42918</v>
      </c>
      <c r="AI603" s="807" t="str">
        <f t="shared" si="493"/>
        <v>-</v>
      </c>
      <c r="AJ603" s="807" t="str">
        <f t="shared" si="494"/>
        <v>-</v>
      </c>
      <c r="AK603" s="813"/>
      <c r="AL603" s="807">
        <f t="shared" si="495"/>
        <v>43114</v>
      </c>
      <c r="AM603" s="807">
        <f t="shared" si="496"/>
        <v>43135</v>
      </c>
      <c r="AN603" s="814">
        <f t="shared" ca="1" si="497"/>
        <v>-1</v>
      </c>
      <c r="AO603" s="815">
        <v>1</v>
      </c>
      <c r="AP603" s="816" t="str">
        <f t="shared" ca="1" si="498"/>
        <v>-</v>
      </c>
      <c r="AQ603" s="817"/>
      <c r="AR603" s="794" t="str">
        <f t="shared" si="499"/>
        <v>НЕТЕЛЬ</v>
      </c>
      <c r="AS603" s="818"/>
      <c r="AT603" s="794" t="str">
        <f t="shared" si="500"/>
        <v>-</v>
      </c>
      <c r="AU603" s="819"/>
      <c r="AV603" s="820"/>
      <c r="AW603" s="821"/>
      <c r="AX603" s="821"/>
      <c r="AY603" s="969" t="str">
        <f t="shared" si="501"/>
        <v>-</v>
      </c>
      <c r="AZ603" s="966" t="str">
        <f t="shared" si="502"/>
        <v>-</v>
      </c>
      <c r="BA603" s="971" t="str">
        <f t="shared" si="503"/>
        <v>-</v>
      </c>
      <c r="BB603" s="975"/>
      <c r="BC603" s="821"/>
      <c r="BD603" s="821"/>
      <c r="BE603" s="963" t="str">
        <f t="shared" si="504"/>
        <v>-</v>
      </c>
      <c r="BF603" s="984"/>
      <c r="BG603" s="988"/>
      <c r="BH603" s="982"/>
      <c r="BI603" s="991"/>
      <c r="BJ603" s="991"/>
      <c r="BK603" s="993" t="str">
        <f t="shared" si="505"/>
        <v>-</v>
      </c>
      <c r="BL603" s="820">
        <v>42978</v>
      </c>
      <c r="BM603" s="821">
        <v>5</v>
      </c>
      <c r="BN603" s="822">
        <f t="shared" ca="1" si="506"/>
        <v>156</v>
      </c>
      <c r="BO603" s="823">
        <f t="shared" si="507"/>
        <v>16.133333333333333</v>
      </c>
      <c r="BP603" s="824"/>
      <c r="BQ603" s="821"/>
      <c r="BR603" s="822" t="str">
        <f t="shared" si="508"/>
        <v>-</v>
      </c>
      <c r="BS603" s="823" t="str">
        <f t="shared" si="509"/>
        <v>-</v>
      </c>
      <c r="BT603" s="825" t="str">
        <f t="shared" ca="1" si="510"/>
        <v>-</v>
      </c>
      <c r="BU603" s="826"/>
      <c r="BV603" s="827"/>
      <c r="BW603" s="828" t="str">
        <f t="shared" si="511"/>
        <v>Ж-Е НЕ ВАКЦ.</v>
      </c>
      <c r="BX603" s="829" t="str">
        <f t="shared" si="512"/>
        <v>-</v>
      </c>
      <c r="BY603" s="830" t="str">
        <f t="shared" ca="1" si="513"/>
        <v>-</v>
      </c>
      <c r="BZ603" s="831">
        <v>42891</v>
      </c>
      <c r="CA603" s="832">
        <v>5</v>
      </c>
      <c r="CB603" s="833">
        <f t="shared" ca="1" si="514"/>
        <v>243</v>
      </c>
      <c r="CC603" s="834" t="str">
        <f t="shared" ca="1" si="515"/>
        <v>-</v>
      </c>
      <c r="CD603" s="835">
        <f t="shared" si="516"/>
        <v>42912</v>
      </c>
      <c r="CE603" s="831">
        <v>42912</v>
      </c>
      <c r="CF603" s="832">
        <v>5</v>
      </c>
      <c r="CG603" s="833">
        <f t="shared" ca="1" si="517"/>
        <v>222</v>
      </c>
      <c r="CH603" s="836">
        <f t="shared" si="518"/>
        <v>0</v>
      </c>
      <c r="CI603" s="837" t="str">
        <f t="shared" si="519"/>
        <v>УСПЕШНО</v>
      </c>
      <c r="CJ603" s="838" t="str">
        <f t="shared" ca="1" si="520"/>
        <v>-</v>
      </c>
      <c r="CK603" s="831"/>
      <c r="CL603" s="832"/>
      <c r="CM603" s="833" t="str">
        <f t="shared" si="521"/>
        <v>-</v>
      </c>
      <c r="CN603" s="834" t="str">
        <f t="shared" si="522"/>
        <v>-</v>
      </c>
      <c r="CO603" s="830" t="str">
        <f t="shared" ca="1" si="523"/>
        <v>ТРЕБУЕТСЯ ВАКЦИНАЦИЯ</v>
      </c>
      <c r="CP603" s="839"/>
      <c r="CQ603" s="832"/>
      <c r="CR603" s="833" t="str">
        <f t="shared" si="524"/>
        <v>-</v>
      </c>
      <c r="CS603" s="833" t="str">
        <f t="shared" si="525"/>
        <v>-</v>
      </c>
      <c r="CT603" s="834" t="str">
        <f t="shared" si="526"/>
        <v>-</v>
      </c>
      <c r="CU603" s="835" t="str">
        <f t="shared" si="527"/>
        <v>-</v>
      </c>
      <c r="CV603" s="839"/>
      <c r="CW603" s="832"/>
      <c r="CX603" s="833" t="str">
        <f t="shared" si="528"/>
        <v>-</v>
      </c>
      <c r="CY603" s="840" t="str">
        <f t="shared" si="529"/>
        <v>-</v>
      </c>
      <c r="CZ603" s="833" t="str">
        <f t="shared" si="530"/>
        <v>-</v>
      </c>
      <c r="DA603" s="838" t="str">
        <f t="shared" ca="1" si="531"/>
        <v>-</v>
      </c>
      <c r="DB603" s="841"/>
      <c r="DC603" s="832"/>
    </row>
    <row r="604" spans="1:107" ht="15.95" customHeight="1" x14ac:dyDescent="0.25">
      <c r="A604" s="790">
        <v>606</v>
      </c>
      <c r="B604" s="791">
        <f t="shared" ca="1" si="480"/>
        <v>43134</v>
      </c>
      <c r="C604" s="847" t="s">
        <v>2554</v>
      </c>
      <c r="D604" s="793" t="s">
        <v>2586</v>
      </c>
      <c r="E604" s="794" t="s">
        <v>1563</v>
      </c>
      <c r="F604" s="795" t="s">
        <v>1751</v>
      </c>
      <c r="G604" s="796">
        <f>SUMIFS(МОЛОКО!L8:L6958,МОЛОКО!F8:F6958,"2965",МОЛОКО!L8:L6958,"&gt;0")</f>
        <v>0</v>
      </c>
      <c r="H604" s="797" t="s">
        <v>603</v>
      </c>
      <c r="I604" s="798">
        <v>42497</v>
      </c>
      <c r="J604" s="799">
        <f t="shared" ca="1" si="481"/>
        <v>1.7452054794520548</v>
      </c>
      <c r="K604" s="799">
        <f t="shared" ca="1" si="482"/>
        <v>21.233333333333334</v>
      </c>
      <c r="L604" s="800">
        <f t="shared" ca="1" si="483"/>
        <v>637</v>
      </c>
      <c r="M604" s="801"/>
      <c r="N604" s="802"/>
      <c r="O604" s="803" t="str">
        <f t="shared" ca="1" si="484"/>
        <v>-</v>
      </c>
      <c r="P604" s="804"/>
      <c r="Q604" s="805" t="s">
        <v>1451</v>
      </c>
      <c r="R604" s="806" t="s">
        <v>1876</v>
      </c>
      <c r="S604" s="807">
        <v>42889</v>
      </c>
      <c r="T604" s="798">
        <v>42889</v>
      </c>
      <c r="U604" s="798" t="str">
        <f t="shared" si="485"/>
        <v>-</v>
      </c>
      <c r="V604" s="804" t="str">
        <f t="shared" ca="1" si="486"/>
        <v>-</v>
      </c>
      <c r="W604" s="808">
        <v>1</v>
      </c>
      <c r="X604" s="794" t="str">
        <f t="shared" si="479"/>
        <v>-</v>
      </c>
      <c r="Y604" s="794">
        <v>1</v>
      </c>
      <c r="Z604" s="809" t="str">
        <f t="shared" ca="1" si="487"/>
        <v>-----</v>
      </c>
      <c r="AA604" s="810" t="str">
        <f t="shared" ca="1" si="488"/>
        <v>-----</v>
      </c>
      <c r="AB604" s="804">
        <v>1</v>
      </c>
      <c r="AC604" s="811" t="str">
        <f t="shared" ca="1" si="489"/>
        <v>-----</v>
      </c>
      <c r="AD604" s="798">
        <v>42941</v>
      </c>
      <c r="AE604" s="794" t="str">
        <f t="shared" ca="1" si="490"/>
        <v>-</v>
      </c>
      <c r="AF604" s="798" t="str">
        <f t="shared" si="491"/>
        <v>-</v>
      </c>
      <c r="AG604" s="812" t="str">
        <f t="shared" si="492"/>
        <v>---------</v>
      </c>
      <c r="AH604" s="807">
        <v>42941</v>
      </c>
      <c r="AI604" s="807" t="str">
        <f t="shared" si="493"/>
        <v>-</v>
      </c>
      <c r="AJ604" s="807" t="str">
        <f t="shared" si="494"/>
        <v>-</v>
      </c>
      <c r="AK604" s="813"/>
      <c r="AL604" s="807">
        <f t="shared" si="495"/>
        <v>43148</v>
      </c>
      <c r="AM604" s="807">
        <f t="shared" si="496"/>
        <v>43169</v>
      </c>
      <c r="AN604" s="814">
        <f t="shared" ca="1" si="497"/>
        <v>-35</v>
      </c>
      <c r="AO604" s="815">
        <v>1</v>
      </c>
      <c r="AP604" s="816" t="str">
        <f t="shared" ca="1" si="498"/>
        <v>-</v>
      </c>
      <c r="AQ604" s="817"/>
      <c r="AR604" s="794" t="str">
        <f t="shared" si="499"/>
        <v>НЕТЕЛЬ</v>
      </c>
      <c r="AS604" s="818"/>
      <c r="AT604" s="794" t="str">
        <f t="shared" si="500"/>
        <v>-</v>
      </c>
      <c r="AU604" s="819"/>
      <c r="AV604" s="820"/>
      <c r="AW604" s="821"/>
      <c r="AX604" s="821"/>
      <c r="AY604" s="969" t="str">
        <f t="shared" si="501"/>
        <v>-</v>
      </c>
      <c r="AZ604" s="966" t="str">
        <f t="shared" si="502"/>
        <v>-</v>
      </c>
      <c r="BA604" s="971" t="str">
        <f t="shared" si="503"/>
        <v>-</v>
      </c>
      <c r="BB604" s="975"/>
      <c r="BC604" s="821"/>
      <c r="BD604" s="821"/>
      <c r="BE604" s="963" t="str">
        <f t="shared" si="504"/>
        <v>-</v>
      </c>
      <c r="BF604" s="984"/>
      <c r="BG604" s="988"/>
      <c r="BH604" s="982"/>
      <c r="BI604" s="991"/>
      <c r="BJ604" s="991"/>
      <c r="BK604" s="993" t="str">
        <f t="shared" si="505"/>
        <v>-</v>
      </c>
      <c r="BL604" s="820">
        <v>42978</v>
      </c>
      <c r="BM604" s="821">
        <v>5</v>
      </c>
      <c r="BN604" s="822">
        <f t="shared" ca="1" si="506"/>
        <v>156</v>
      </c>
      <c r="BO604" s="823">
        <f t="shared" si="507"/>
        <v>16.033333333333335</v>
      </c>
      <c r="BP604" s="824"/>
      <c r="BQ604" s="821"/>
      <c r="BR604" s="822" t="str">
        <f t="shared" si="508"/>
        <v>-</v>
      </c>
      <c r="BS604" s="823" t="str">
        <f t="shared" si="509"/>
        <v>-</v>
      </c>
      <c r="BT604" s="825" t="str">
        <f t="shared" ca="1" si="510"/>
        <v>-</v>
      </c>
      <c r="BU604" s="826"/>
      <c r="BV604" s="827"/>
      <c r="BW604" s="828" t="str">
        <f t="shared" si="511"/>
        <v>Ж-Е НЕ ВАКЦ.</v>
      </c>
      <c r="BX604" s="829" t="str">
        <f t="shared" si="512"/>
        <v>-</v>
      </c>
      <c r="BY604" s="830" t="str">
        <f t="shared" ca="1" si="513"/>
        <v>-</v>
      </c>
      <c r="BZ604" s="831">
        <v>42891</v>
      </c>
      <c r="CA604" s="832">
        <v>5</v>
      </c>
      <c r="CB604" s="833">
        <f t="shared" ca="1" si="514"/>
        <v>243</v>
      </c>
      <c r="CC604" s="834" t="str">
        <f t="shared" ca="1" si="515"/>
        <v>-</v>
      </c>
      <c r="CD604" s="835">
        <f t="shared" si="516"/>
        <v>42912</v>
      </c>
      <c r="CE604" s="831">
        <v>42912</v>
      </c>
      <c r="CF604" s="832">
        <v>5</v>
      </c>
      <c r="CG604" s="833">
        <f t="shared" ca="1" si="517"/>
        <v>222</v>
      </c>
      <c r="CH604" s="836">
        <f t="shared" si="518"/>
        <v>0</v>
      </c>
      <c r="CI604" s="837" t="str">
        <f t="shared" si="519"/>
        <v>УСПЕШНО</v>
      </c>
      <c r="CJ604" s="838" t="str">
        <f t="shared" ca="1" si="520"/>
        <v>-</v>
      </c>
      <c r="CK604" s="831"/>
      <c r="CL604" s="832"/>
      <c r="CM604" s="833" t="str">
        <f t="shared" si="521"/>
        <v>-</v>
      </c>
      <c r="CN604" s="834" t="str">
        <f t="shared" si="522"/>
        <v>-</v>
      </c>
      <c r="CO604" s="830" t="str">
        <f t="shared" ca="1" si="523"/>
        <v>ТРЕБУЕТСЯ ВАКЦИНАЦИЯ</v>
      </c>
      <c r="CP604" s="839"/>
      <c r="CQ604" s="832"/>
      <c r="CR604" s="833" t="str">
        <f t="shared" si="524"/>
        <v>-</v>
      </c>
      <c r="CS604" s="833" t="str">
        <f t="shared" si="525"/>
        <v>-</v>
      </c>
      <c r="CT604" s="834" t="str">
        <f t="shared" si="526"/>
        <v>-</v>
      </c>
      <c r="CU604" s="835" t="str">
        <f t="shared" si="527"/>
        <v>-</v>
      </c>
      <c r="CV604" s="839"/>
      <c r="CW604" s="832"/>
      <c r="CX604" s="833" t="str">
        <f t="shared" si="528"/>
        <v>-</v>
      </c>
      <c r="CY604" s="840" t="str">
        <f t="shared" si="529"/>
        <v>-</v>
      </c>
      <c r="CZ604" s="833" t="str">
        <f t="shared" si="530"/>
        <v>-</v>
      </c>
      <c r="DA604" s="838" t="str">
        <f t="shared" ca="1" si="531"/>
        <v>-</v>
      </c>
      <c r="DB604" s="841"/>
      <c r="DC604" s="832"/>
    </row>
    <row r="605" spans="1:107" ht="15.95" customHeight="1" x14ac:dyDescent="0.25">
      <c r="A605" s="790">
        <v>607</v>
      </c>
      <c r="B605" s="791">
        <f t="shared" ca="1" si="480"/>
        <v>43134</v>
      </c>
      <c r="C605" s="792" t="s">
        <v>2554</v>
      </c>
      <c r="D605" s="793" t="s">
        <v>2586</v>
      </c>
      <c r="E605" s="794" t="s">
        <v>1563</v>
      </c>
      <c r="F605" s="795" t="s">
        <v>1682</v>
      </c>
      <c r="G605" s="796">
        <f>SUMIFS(МОЛОКО!L8:L6958,МОЛОКО!F8:F6958,"2970",МОЛОКО!L8:L6958,"&gt;0")</f>
        <v>0</v>
      </c>
      <c r="H605" s="797" t="s">
        <v>603</v>
      </c>
      <c r="I605" s="798">
        <v>42502</v>
      </c>
      <c r="J605" s="799">
        <f t="shared" ca="1" si="481"/>
        <v>1.7315068493150685</v>
      </c>
      <c r="K605" s="799">
        <f t="shared" ca="1" si="482"/>
        <v>21.066666666666666</v>
      </c>
      <c r="L605" s="800">
        <f t="shared" ca="1" si="483"/>
        <v>632</v>
      </c>
      <c r="M605" s="801"/>
      <c r="N605" s="802"/>
      <c r="O605" s="803" t="str">
        <f t="shared" ca="1" si="484"/>
        <v>-</v>
      </c>
      <c r="P605" s="804"/>
      <c r="Q605" s="805" t="s">
        <v>1451</v>
      </c>
      <c r="R605" s="806" t="s">
        <v>1876</v>
      </c>
      <c r="S605" s="807">
        <v>42897</v>
      </c>
      <c r="T605" s="798">
        <v>42897</v>
      </c>
      <c r="U605" s="798" t="str">
        <f t="shared" si="485"/>
        <v>-</v>
      </c>
      <c r="V605" s="804" t="str">
        <f t="shared" ca="1" si="486"/>
        <v>-</v>
      </c>
      <c r="W605" s="808">
        <v>1</v>
      </c>
      <c r="X605" s="794" t="str">
        <f t="shared" si="479"/>
        <v>-</v>
      </c>
      <c r="Y605" s="794">
        <v>1</v>
      </c>
      <c r="Z605" s="809" t="str">
        <f t="shared" ca="1" si="487"/>
        <v>ПОДЛЕЖИТ ПЕРЕПРОВЕРКЕ</v>
      </c>
      <c r="AA605" s="810">
        <f t="shared" ca="1" si="488"/>
        <v>237</v>
      </c>
      <c r="AB605" s="804"/>
      <c r="AC605" s="811">
        <f t="shared" ca="1" si="489"/>
        <v>42969</v>
      </c>
      <c r="AD605" s="798"/>
      <c r="AE605" s="794" t="str">
        <f t="shared" ca="1" si="490"/>
        <v>-</v>
      </c>
      <c r="AF605" s="798" t="str">
        <f t="shared" si="491"/>
        <v>-</v>
      </c>
      <c r="AG605" s="812" t="str">
        <f t="shared" si="492"/>
        <v>---------</v>
      </c>
      <c r="AH605" s="807">
        <v>42955</v>
      </c>
      <c r="AI605" s="807" t="str">
        <f t="shared" si="493"/>
        <v>-</v>
      </c>
      <c r="AJ605" s="807" t="str">
        <f t="shared" si="494"/>
        <v>-</v>
      </c>
      <c r="AK605" s="813"/>
      <c r="AL605" s="807">
        <f t="shared" si="495"/>
        <v>43156</v>
      </c>
      <c r="AM605" s="807">
        <f t="shared" si="496"/>
        <v>43177</v>
      </c>
      <c r="AN605" s="814">
        <f t="shared" ca="1" si="497"/>
        <v>-43</v>
      </c>
      <c r="AO605" s="815">
        <v>1</v>
      </c>
      <c r="AP605" s="816" t="str">
        <f t="shared" ca="1" si="498"/>
        <v>-</v>
      </c>
      <c r="AQ605" s="817"/>
      <c r="AR605" s="794" t="str">
        <f t="shared" si="499"/>
        <v>НЕТЕЛЬ</v>
      </c>
      <c r="AS605" s="818"/>
      <c r="AT605" s="794" t="str">
        <f t="shared" si="500"/>
        <v>-</v>
      </c>
      <c r="AU605" s="819"/>
      <c r="AV605" s="865"/>
      <c r="AW605" s="821"/>
      <c r="AX605" s="821"/>
      <c r="AY605" s="969" t="str">
        <f t="shared" si="501"/>
        <v>-</v>
      </c>
      <c r="AZ605" s="966" t="str">
        <f t="shared" si="502"/>
        <v>-</v>
      </c>
      <c r="BA605" s="971" t="str">
        <f t="shared" si="503"/>
        <v>-</v>
      </c>
      <c r="BB605" s="975"/>
      <c r="BC605" s="821"/>
      <c r="BD605" s="821"/>
      <c r="BE605" s="963" t="str">
        <f t="shared" si="504"/>
        <v>-</v>
      </c>
      <c r="BF605" s="984"/>
      <c r="BG605" s="988"/>
      <c r="BH605" s="982"/>
      <c r="BI605" s="991"/>
      <c r="BJ605" s="991"/>
      <c r="BK605" s="993" t="str">
        <f t="shared" si="505"/>
        <v>-</v>
      </c>
      <c r="BL605" s="865"/>
      <c r="BM605" s="821"/>
      <c r="BN605" s="822" t="str">
        <f t="shared" si="506"/>
        <v>-</v>
      </c>
      <c r="BO605" s="823" t="str">
        <f t="shared" si="507"/>
        <v>-</v>
      </c>
      <c r="BP605" s="868"/>
      <c r="BQ605" s="821"/>
      <c r="BR605" s="822" t="str">
        <f t="shared" si="508"/>
        <v>-</v>
      </c>
      <c r="BS605" s="823" t="str">
        <f t="shared" si="509"/>
        <v>-</v>
      </c>
      <c r="BT605" s="825" t="str">
        <f t="shared" ca="1" si="510"/>
        <v>-</v>
      </c>
      <c r="BU605" s="826"/>
      <c r="BV605" s="827"/>
      <c r="BW605" s="828" t="str">
        <f t="shared" si="511"/>
        <v>Ж-Е НЕ ВАКЦ.</v>
      </c>
      <c r="BX605" s="829" t="str">
        <f t="shared" si="512"/>
        <v>-</v>
      </c>
      <c r="BY605" s="830" t="str">
        <f t="shared" ca="1" si="513"/>
        <v>-</v>
      </c>
      <c r="BZ605" s="831">
        <v>42891</v>
      </c>
      <c r="CA605" s="832">
        <v>5</v>
      </c>
      <c r="CB605" s="833">
        <f t="shared" ca="1" si="514"/>
        <v>243</v>
      </c>
      <c r="CC605" s="834" t="str">
        <f t="shared" ca="1" si="515"/>
        <v>-</v>
      </c>
      <c r="CD605" s="835">
        <f t="shared" si="516"/>
        <v>42912</v>
      </c>
      <c r="CE605" s="831">
        <v>42912</v>
      </c>
      <c r="CF605" s="832">
        <v>5</v>
      </c>
      <c r="CG605" s="833">
        <f t="shared" ca="1" si="517"/>
        <v>222</v>
      </c>
      <c r="CH605" s="836">
        <f t="shared" si="518"/>
        <v>0</v>
      </c>
      <c r="CI605" s="837" t="str">
        <f t="shared" si="519"/>
        <v>УСПЕШНО</v>
      </c>
      <c r="CJ605" s="838" t="str">
        <f t="shared" ca="1" si="520"/>
        <v>-</v>
      </c>
      <c r="CK605" s="831"/>
      <c r="CL605" s="832"/>
      <c r="CM605" s="833" t="str">
        <f t="shared" si="521"/>
        <v>-</v>
      </c>
      <c r="CN605" s="834" t="str">
        <f t="shared" si="522"/>
        <v>-</v>
      </c>
      <c r="CO605" s="830" t="str">
        <f t="shared" ca="1" si="523"/>
        <v>ТРЕБУЕТСЯ ВАКЦИНАЦИЯ</v>
      </c>
      <c r="CP605" s="839"/>
      <c r="CQ605" s="832"/>
      <c r="CR605" s="833" t="str">
        <f t="shared" si="524"/>
        <v>-</v>
      </c>
      <c r="CS605" s="833" t="str">
        <f t="shared" si="525"/>
        <v>-</v>
      </c>
      <c r="CT605" s="834" t="str">
        <f t="shared" si="526"/>
        <v>-</v>
      </c>
      <c r="CU605" s="835" t="str">
        <f t="shared" si="527"/>
        <v>-</v>
      </c>
      <c r="CV605" s="839"/>
      <c r="CW605" s="832"/>
      <c r="CX605" s="833" t="str">
        <f t="shared" si="528"/>
        <v>-</v>
      </c>
      <c r="CY605" s="840" t="str">
        <f t="shared" si="529"/>
        <v>-</v>
      </c>
      <c r="CZ605" s="833" t="str">
        <f t="shared" si="530"/>
        <v>-</v>
      </c>
      <c r="DA605" s="838" t="str">
        <f t="shared" ca="1" si="531"/>
        <v>-</v>
      </c>
      <c r="DB605" s="841"/>
      <c r="DC605" s="832"/>
    </row>
    <row r="606" spans="1:107" ht="15.95" customHeight="1" x14ac:dyDescent="0.25">
      <c r="A606" s="790">
        <v>608</v>
      </c>
      <c r="B606" s="791">
        <f t="shared" ca="1" si="480"/>
        <v>43134</v>
      </c>
      <c r="C606" s="29" t="s">
        <v>2554</v>
      </c>
      <c r="D606" s="59" t="s">
        <v>2586</v>
      </c>
      <c r="E606" s="794" t="s">
        <v>1563</v>
      </c>
      <c r="F606" s="795" t="s">
        <v>1775</v>
      </c>
      <c r="G606" s="796">
        <f>SUMIFS(МОЛОКО!L8:L6958,МОЛОКО!F8:F6958,"2971",МОЛОКО!L8:L6958,"&gt;0")</f>
        <v>0</v>
      </c>
      <c r="H606" s="797" t="s">
        <v>603</v>
      </c>
      <c r="I606" s="798">
        <v>42502</v>
      </c>
      <c r="J606" s="799">
        <f t="shared" ca="1" si="481"/>
        <v>1.7315068493150685</v>
      </c>
      <c r="K606" s="799">
        <f t="shared" ca="1" si="482"/>
        <v>21.066666666666666</v>
      </c>
      <c r="L606" s="800">
        <f t="shared" ca="1" si="483"/>
        <v>632</v>
      </c>
      <c r="M606" s="801"/>
      <c r="N606" s="802"/>
      <c r="O606" s="803" t="str">
        <f t="shared" ca="1" si="484"/>
        <v>-</v>
      </c>
      <c r="P606" s="804"/>
      <c r="Q606" s="805" t="s">
        <v>1451</v>
      </c>
      <c r="R606" s="806" t="s">
        <v>2967</v>
      </c>
      <c r="S606" s="807">
        <v>42890</v>
      </c>
      <c r="T606" s="798">
        <v>42977</v>
      </c>
      <c r="U606" s="798" t="str">
        <f t="shared" si="485"/>
        <v>-</v>
      </c>
      <c r="V606" s="804" t="str">
        <f t="shared" ca="1" si="486"/>
        <v>-</v>
      </c>
      <c r="W606" s="808">
        <v>3</v>
      </c>
      <c r="X606" s="794" t="str">
        <f t="shared" si="479"/>
        <v>-</v>
      </c>
      <c r="Y606" s="794">
        <v>1</v>
      </c>
      <c r="Z606" s="809" t="str">
        <f t="shared" ca="1" si="487"/>
        <v>ПОДЛЕЖИТ ПЕРЕПРОВЕРКЕ</v>
      </c>
      <c r="AA606" s="810">
        <f t="shared" ca="1" si="488"/>
        <v>157</v>
      </c>
      <c r="AB606" s="804"/>
      <c r="AC606" s="811">
        <f t="shared" ca="1" si="489"/>
        <v>43049</v>
      </c>
      <c r="AD606" s="798"/>
      <c r="AE606" s="794" t="str">
        <f t="shared" ca="1" si="490"/>
        <v>-</v>
      </c>
      <c r="AF606" s="798" t="str">
        <f t="shared" si="491"/>
        <v>-</v>
      </c>
      <c r="AG606" s="812" t="str">
        <f t="shared" si="492"/>
        <v>---------</v>
      </c>
      <c r="AH606" s="807">
        <v>43032</v>
      </c>
      <c r="AI606" s="807" t="str">
        <f t="shared" si="493"/>
        <v>-</v>
      </c>
      <c r="AJ606" s="807" t="str">
        <f t="shared" si="494"/>
        <v>-</v>
      </c>
      <c r="AK606" s="813"/>
      <c r="AL606" s="807">
        <f t="shared" si="495"/>
        <v>43236</v>
      </c>
      <c r="AM606" s="807">
        <f t="shared" si="496"/>
        <v>43257</v>
      </c>
      <c r="AN606" s="814">
        <f t="shared" ca="1" si="497"/>
        <v>-123</v>
      </c>
      <c r="AO606" s="815">
        <v>1</v>
      </c>
      <c r="AP606" s="816" t="str">
        <f t="shared" ca="1" si="498"/>
        <v>-</v>
      </c>
      <c r="AQ606" s="817"/>
      <c r="AR606" s="794" t="str">
        <f t="shared" si="499"/>
        <v>НЕТЕЛЬ</v>
      </c>
      <c r="AS606" s="818"/>
      <c r="AT606" s="794" t="str">
        <f t="shared" si="500"/>
        <v>-</v>
      </c>
      <c r="AU606" s="819"/>
      <c r="AV606" s="820"/>
      <c r="AW606" s="821"/>
      <c r="AX606" s="821"/>
      <c r="AY606" s="969" t="str">
        <f t="shared" si="501"/>
        <v>-</v>
      </c>
      <c r="AZ606" s="966" t="str">
        <f t="shared" si="502"/>
        <v>-</v>
      </c>
      <c r="BA606" s="971" t="str">
        <f t="shared" si="503"/>
        <v>-</v>
      </c>
      <c r="BB606" s="975"/>
      <c r="BC606" s="821"/>
      <c r="BD606" s="821"/>
      <c r="BE606" s="963" t="str">
        <f t="shared" si="504"/>
        <v>-</v>
      </c>
      <c r="BF606" s="984"/>
      <c r="BG606" s="988"/>
      <c r="BH606" s="982"/>
      <c r="BI606" s="991"/>
      <c r="BJ606" s="991"/>
      <c r="BK606" s="993" t="str">
        <f t="shared" si="505"/>
        <v>-</v>
      </c>
      <c r="BL606" s="820">
        <v>42977</v>
      </c>
      <c r="BM606" s="821">
        <v>5</v>
      </c>
      <c r="BN606" s="822">
        <f t="shared" ca="1" si="506"/>
        <v>157</v>
      </c>
      <c r="BO606" s="823">
        <f t="shared" si="507"/>
        <v>15.833333333333334</v>
      </c>
      <c r="BP606" s="824"/>
      <c r="BQ606" s="821"/>
      <c r="BR606" s="822" t="str">
        <f t="shared" si="508"/>
        <v>-</v>
      </c>
      <c r="BS606" s="823" t="str">
        <f t="shared" si="509"/>
        <v>-</v>
      </c>
      <c r="BT606" s="825" t="str">
        <f t="shared" ca="1" si="510"/>
        <v>-</v>
      </c>
      <c r="BU606" s="826"/>
      <c r="BV606" s="827"/>
      <c r="BW606" s="828" t="str">
        <f t="shared" si="511"/>
        <v>Ж-Е НЕ ВАКЦ.</v>
      </c>
      <c r="BX606" s="829" t="str">
        <f t="shared" si="512"/>
        <v>-</v>
      </c>
      <c r="BY606" s="830" t="str">
        <f t="shared" ca="1" si="513"/>
        <v>-</v>
      </c>
      <c r="BZ606" s="831">
        <v>42891</v>
      </c>
      <c r="CA606" s="832">
        <v>5</v>
      </c>
      <c r="CB606" s="833">
        <f t="shared" ca="1" si="514"/>
        <v>243</v>
      </c>
      <c r="CC606" s="834" t="str">
        <f t="shared" ca="1" si="515"/>
        <v>-</v>
      </c>
      <c r="CD606" s="835">
        <f t="shared" si="516"/>
        <v>42912</v>
      </c>
      <c r="CE606" s="831">
        <v>42912</v>
      </c>
      <c r="CF606" s="832">
        <v>5</v>
      </c>
      <c r="CG606" s="833">
        <f t="shared" ca="1" si="517"/>
        <v>222</v>
      </c>
      <c r="CH606" s="836">
        <f t="shared" si="518"/>
        <v>0</v>
      </c>
      <c r="CI606" s="837" t="str">
        <f t="shared" si="519"/>
        <v>УСПЕШНО</v>
      </c>
      <c r="CJ606" s="838" t="str">
        <f t="shared" ca="1" si="520"/>
        <v>-</v>
      </c>
      <c r="CK606" s="831"/>
      <c r="CL606" s="832"/>
      <c r="CM606" s="833" t="str">
        <f t="shared" si="521"/>
        <v>-</v>
      </c>
      <c r="CN606" s="834" t="str">
        <f t="shared" si="522"/>
        <v>-</v>
      </c>
      <c r="CO606" s="830" t="str">
        <f t="shared" ca="1" si="523"/>
        <v>-</v>
      </c>
      <c r="CP606" s="839"/>
      <c r="CQ606" s="832"/>
      <c r="CR606" s="833" t="str">
        <f t="shared" si="524"/>
        <v>-</v>
      </c>
      <c r="CS606" s="833" t="str">
        <f t="shared" si="525"/>
        <v>-</v>
      </c>
      <c r="CT606" s="834" t="str">
        <f t="shared" si="526"/>
        <v>-</v>
      </c>
      <c r="CU606" s="835" t="str">
        <f t="shared" si="527"/>
        <v>-</v>
      </c>
      <c r="CV606" s="839"/>
      <c r="CW606" s="832"/>
      <c r="CX606" s="833" t="str">
        <f t="shared" si="528"/>
        <v>-</v>
      </c>
      <c r="CY606" s="840" t="str">
        <f t="shared" si="529"/>
        <v>-</v>
      </c>
      <c r="CZ606" s="833" t="str">
        <f t="shared" si="530"/>
        <v>-</v>
      </c>
      <c r="DA606" s="838" t="str">
        <f t="shared" ca="1" si="531"/>
        <v>-</v>
      </c>
      <c r="DB606" s="841"/>
      <c r="DC606" s="832"/>
    </row>
    <row r="607" spans="1:107" ht="15.95" customHeight="1" x14ac:dyDescent="0.25">
      <c r="A607" s="790">
        <v>609</v>
      </c>
      <c r="B607" s="791">
        <f t="shared" ca="1" si="480"/>
        <v>43134</v>
      </c>
      <c r="C607" s="847" t="s">
        <v>2554</v>
      </c>
      <c r="D607" s="793" t="s">
        <v>2586</v>
      </c>
      <c r="E607" s="794" t="s">
        <v>1563</v>
      </c>
      <c r="F607" s="795" t="s">
        <v>1698</v>
      </c>
      <c r="G607" s="796">
        <f>SUMIFS(МОЛОКО!L8:L6958,МОЛОКО!F8:F6958,"2972",МОЛОКО!L8:L6958,"&gt;0")</f>
        <v>0</v>
      </c>
      <c r="H607" s="797" t="s">
        <v>603</v>
      </c>
      <c r="I607" s="798">
        <v>42502</v>
      </c>
      <c r="J607" s="799">
        <f t="shared" ca="1" si="481"/>
        <v>1.7315068493150685</v>
      </c>
      <c r="K607" s="799">
        <f t="shared" ca="1" si="482"/>
        <v>21.066666666666666</v>
      </c>
      <c r="L607" s="800">
        <f t="shared" ca="1" si="483"/>
        <v>632</v>
      </c>
      <c r="M607" s="801"/>
      <c r="N607" s="802"/>
      <c r="O607" s="803" t="str">
        <f t="shared" ca="1" si="484"/>
        <v>-</v>
      </c>
      <c r="P607" s="804"/>
      <c r="Q607" s="805" t="s">
        <v>1451</v>
      </c>
      <c r="R607" s="806" t="s">
        <v>2664</v>
      </c>
      <c r="S607" s="807">
        <v>42848</v>
      </c>
      <c r="T607" s="798">
        <v>42848</v>
      </c>
      <c r="U607" s="798" t="str">
        <f t="shared" si="485"/>
        <v>-</v>
      </c>
      <c r="V607" s="804" t="str">
        <f t="shared" ca="1" si="486"/>
        <v>-</v>
      </c>
      <c r="W607" s="808">
        <v>1</v>
      </c>
      <c r="X607" s="794" t="str">
        <f t="shared" si="479"/>
        <v>-</v>
      </c>
      <c r="Y607" s="794">
        <v>1</v>
      </c>
      <c r="Z607" s="809" t="str">
        <f t="shared" ca="1" si="487"/>
        <v>ПОДЛЕЖИТ ПЕРЕПРОВЕРКЕ</v>
      </c>
      <c r="AA607" s="810">
        <f t="shared" ca="1" si="488"/>
        <v>286</v>
      </c>
      <c r="AB607" s="804"/>
      <c r="AC607" s="811">
        <f t="shared" ca="1" si="489"/>
        <v>42920</v>
      </c>
      <c r="AD607" s="798"/>
      <c r="AE607" s="794" t="str">
        <f t="shared" ca="1" si="490"/>
        <v>-</v>
      </c>
      <c r="AF607" s="798" t="str">
        <f t="shared" si="491"/>
        <v>-</v>
      </c>
      <c r="AG607" s="812" t="str">
        <f t="shared" si="492"/>
        <v>---------</v>
      </c>
      <c r="AH607" s="807">
        <v>42904</v>
      </c>
      <c r="AI607" s="807" t="str">
        <f t="shared" si="493"/>
        <v>-</v>
      </c>
      <c r="AJ607" s="807" t="str">
        <f t="shared" si="494"/>
        <v>-</v>
      </c>
      <c r="AK607" s="813"/>
      <c r="AL607" s="807">
        <f t="shared" si="495"/>
        <v>43107</v>
      </c>
      <c r="AM607" s="807">
        <f t="shared" si="496"/>
        <v>43128</v>
      </c>
      <c r="AN607" s="814">
        <f t="shared" ca="1" si="497"/>
        <v>6</v>
      </c>
      <c r="AO607" s="815">
        <v>1</v>
      </c>
      <c r="AP607" s="816" t="str">
        <f t="shared" ca="1" si="498"/>
        <v>-</v>
      </c>
      <c r="AQ607" s="817"/>
      <c r="AR607" s="794" t="str">
        <f t="shared" si="499"/>
        <v>НЕТЕЛЬ</v>
      </c>
      <c r="AS607" s="818"/>
      <c r="AT607" s="794" t="str">
        <f t="shared" si="500"/>
        <v>-</v>
      </c>
      <c r="AU607" s="819"/>
      <c r="AV607" s="820"/>
      <c r="AW607" s="821"/>
      <c r="AX607" s="821"/>
      <c r="AY607" s="969" t="str">
        <f t="shared" si="501"/>
        <v>-</v>
      </c>
      <c r="AZ607" s="966" t="str">
        <f t="shared" si="502"/>
        <v>-</v>
      </c>
      <c r="BA607" s="971" t="str">
        <f t="shared" si="503"/>
        <v>-</v>
      </c>
      <c r="BB607" s="975"/>
      <c r="BC607" s="821"/>
      <c r="BD607" s="821"/>
      <c r="BE607" s="963" t="str">
        <f t="shared" si="504"/>
        <v>-</v>
      </c>
      <c r="BF607" s="984"/>
      <c r="BG607" s="988"/>
      <c r="BH607" s="982"/>
      <c r="BI607" s="991"/>
      <c r="BJ607" s="991"/>
      <c r="BK607" s="993" t="str">
        <f t="shared" si="505"/>
        <v>-</v>
      </c>
      <c r="BL607" s="820">
        <v>42978</v>
      </c>
      <c r="BM607" s="821">
        <v>5</v>
      </c>
      <c r="BN607" s="822">
        <f t="shared" ca="1" si="506"/>
        <v>156</v>
      </c>
      <c r="BO607" s="823">
        <f t="shared" si="507"/>
        <v>15.866666666666667</v>
      </c>
      <c r="BP607" s="824"/>
      <c r="BQ607" s="821"/>
      <c r="BR607" s="822" t="str">
        <f t="shared" si="508"/>
        <v>-</v>
      </c>
      <c r="BS607" s="823" t="str">
        <f t="shared" si="509"/>
        <v>-</v>
      </c>
      <c r="BT607" s="825" t="str">
        <f t="shared" ca="1" si="510"/>
        <v>-</v>
      </c>
      <c r="BU607" s="826"/>
      <c r="BV607" s="827"/>
      <c r="BW607" s="828" t="str">
        <f t="shared" si="511"/>
        <v>Ж-Е НЕ ВАКЦ.</v>
      </c>
      <c r="BX607" s="829" t="str">
        <f t="shared" si="512"/>
        <v>-</v>
      </c>
      <c r="BY607" s="830" t="str">
        <f t="shared" ca="1" si="513"/>
        <v>-</v>
      </c>
      <c r="BZ607" s="831">
        <v>42891</v>
      </c>
      <c r="CA607" s="832">
        <v>5</v>
      </c>
      <c r="CB607" s="833">
        <f t="shared" ca="1" si="514"/>
        <v>243</v>
      </c>
      <c r="CC607" s="834" t="str">
        <f t="shared" ca="1" si="515"/>
        <v>-</v>
      </c>
      <c r="CD607" s="835">
        <f t="shared" si="516"/>
        <v>42912</v>
      </c>
      <c r="CE607" s="831">
        <v>42912</v>
      </c>
      <c r="CF607" s="832">
        <v>5</v>
      </c>
      <c r="CG607" s="833">
        <f t="shared" ca="1" si="517"/>
        <v>222</v>
      </c>
      <c r="CH607" s="836">
        <f t="shared" si="518"/>
        <v>0</v>
      </c>
      <c r="CI607" s="837" t="str">
        <f t="shared" si="519"/>
        <v>УСПЕШНО</v>
      </c>
      <c r="CJ607" s="838" t="str">
        <f t="shared" ca="1" si="520"/>
        <v>-</v>
      </c>
      <c r="CK607" s="831"/>
      <c r="CL607" s="832"/>
      <c r="CM607" s="833" t="str">
        <f t="shared" si="521"/>
        <v>-</v>
      </c>
      <c r="CN607" s="834" t="str">
        <f t="shared" si="522"/>
        <v>-</v>
      </c>
      <c r="CO607" s="830" t="str">
        <f t="shared" ca="1" si="523"/>
        <v>ТРЕБУЕТСЯ ВАКЦИНАЦИЯ</v>
      </c>
      <c r="CP607" s="839"/>
      <c r="CQ607" s="832"/>
      <c r="CR607" s="833" t="str">
        <f t="shared" si="524"/>
        <v>-</v>
      </c>
      <c r="CS607" s="833" t="str">
        <f t="shared" si="525"/>
        <v>-</v>
      </c>
      <c r="CT607" s="834" t="str">
        <f t="shared" si="526"/>
        <v>-</v>
      </c>
      <c r="CU607" s="835" t="str">
        <f t="shared" si="527"/>
        <v>-</v>
      </c>
      <c r="CV607" s="839"/>
      <c r="CW607" s="832"/>
      <c r="CX607" s="833" t="str">
        <f t="shared" si="528"/>
        <v>-</v>
      </c>
      <c r="CY607" s="840" t="str">
        <f t="shared" si="529"/>
        <v>-</v>
      </c>
      <c r="CZ607" s="833" t="str">
        <f t="shared" si="530"/>
        <v>-</v>
      </c>
      <c r="DA607" s="838" t="str">
        <f t="shared" ca="1" si="531"/>
        <v>-</v>
      </c>
      <c r="DB607" s="841"/>
      <c r="DC607" s="832"/>
    </row>
    <row r="608" spans="1:107" ht="15.95" customHeight="1" x14ac:dyDescent="0.25">
      <c r="A608" s="790">
        <v>610</v>
      </c>
      <c r="B608" s="791">
        <f t="shared" ca="1" si="480"/>
        <v>43134</v>
      </c>
      <c r="C608" s="847" t="s">
        <v>2554</v>
      </c>
      <c r="D608" s="793" t="s">
        <v>2586</v>
      </c>
      <c r="E608" s="794" t="s">
        <v>1563</v>
      </c>
      <c r="F608" s="795" t="s">
        <v>1683</v>
      </c>
      <c r="G608" s="796">
        <f>SUMIFS(МОЛОКО!L8:L6958,МОЛОКО!F8:F6958,"2974",МОЛОКО!L8:L6958,"&gt;0")</f>
        <v>0</v>
      </c>
      <c r="H608" s="797" t="s">
        <v>603</v>
      </c>
      <c r="I608" s="798">
        <v>42502</v>
      </c>
      <c r="J608" s="799">
        <f t="shared" ca="1" si="481"/>
        <v>1.7315068493150685</v>
      </c>
      <c r="K608" s="799">
        <f t="shared" ca="1" si="482"/>
        <v>21.066666666666666</v>
      </c>
      <c r="L608" s="800">
        <f t="shared" ca="1" si="483"/>
        <v>632</v>
      </c>
      <c r="M608" s="801"/>
      <c r="N608" s="802"/>
      <c r="O608" s="803" t="str">
        <f t="shared" ca="1" si="484"/>
        <v>-</v>
      </c>
      <c r="P608" s="804"/>
      <c r="Q608" s="805" t="s">
        <v>1451</v>
      </c>
      <c r="R608" s="806" t="s">
        <v>2664</v>
      </c>
      <c r="S608" s="807">
        <v>42858</v>
      </c>
      <c r="T608" s="798">
        <v>42858</v>
      </c>
      <c r="U608" s="798" t="str">
        <f t="shared" si="485"/>
        <v>-</v>
      </c>
      <c r="V608" s="804" t="str">
        <f t="shared" ca="1" si="486"/>
        <v>-</v>
      </c>
      <c r="W608" s="808">
        <v>1</v>
      </c>
      <c r="X608" s="794" t="str">
        <f t="shared" si="479"/>
        <v>-</v>
      </c>
      <c r="Y608" s="794">
        <v>1</v>
      </c>
      <c r="Z608" s="809" t="str">
        <f t="shared" ca="1" si="487"/>
        <v>ПОДЛЕЖИТ ПЕРЕПРОВЕРКЕ</v>
      </c>
      <c r="AA608" s="810">
        <f t="shared" ca="1" si="488"/>
        <v>276</v>
      </c>
      <c r="AB608" s="804"/>
      <c r="AC608" s="811">
        <f t="shared" ca="1" si="489"/>
        <v>42930</v>
      </c>
      <c r="AD608" s="798"/>
      <c r="AE608" s="794" t="str">
        <f t="shared" ca="1" si="490"/>
        <v>-</v>
      </c>
      <c r="AF608" s="798" t="str">
        <f t="shared" si="491"/>
        <v>-</v>
      </c>
      <c r="AG608" s="812" t="str">
        <f t="shared" si="492"/>
        <v>---------</v>
      </c>
      <c r="AH608" s="807">
        <v>42918</v>
      </c>
      <c r="AI608" s="807" t="str">
        <f t="shared" si="493"/>
        <v>-</v>
      </c>
      <c r="AJ608" s="807" t="str">
        <f t="shared" si="494"/>
        <v>-</v>
      </c>
      <c r="AK608" s="813"/>
      <c r="AL608" s="807">
        <f t="shared" si="495"/>
        <v>43117</v>
      </c>
      <c r="AM608" s="807">
        <f t="shared" si="496"/>
        <v>43138</v>
      </c>
      <c r="AN608" s="814">
        <f t="shared" ca="1" si="497"/>
        <v>-4</v>
      </c>
      <c r="AO608" s="815">
        <v>1</v>
      </c>
      <c r="AP608" s="816" t="str">
        <f t="shared" ca="1" si="498"/>
        <v>-</v>
      </c>
      <c r="AQ608" s="817"/>
      <c r="AR608" s="794" t="str">
        <f t="shared" si="499"/>
        <v>НЕТЕЛЬ</v>
      </c>
      <c r="AS608" s="818"/>
      <c r="AT608" s="794" t="str">
        <f t="shared" si="500"/>
        <v>-</v>
      </c>
      <c r="AU608" s="819"/>
      <c r="AV608" s="865"/>
      <c r="AW608" s="821"/>
      <c r="AX608" s="821"/>
      <c r="AY608" s="969" t="str">
        <f t="shared" si="501"/>
        <v>-</v>
      </c>
      <c r="AZ608" s="966" t="str">
        <f t="shared" si="502"/>
        <v>-</v>
      </c>
      <c r="BA608" s="971" t="str">
        <f t="shared" si="503"/>
        <v>-</v>
      </c>
      <c r="BB608" s="975"/>
      <c r="BC608" s="821"/>
      <c r="BD608" s="821"/>
      <c r="BE608" s="963" t="str">
        <f t="shared" si="504"/>
        <v>-</v>
      </c>
      <c r="BF608" s="984"/>
      <c r="BG608" s="988"/>
      <c r="BH608" s="982"/>
      <c r="BI608" s="991"/>
      <c r="BJ608" s="991"/>
      <c r="BK608" s="993" t="str">
        <f t="shared" si="505"/>
        <v>-</v>
      </c>
      <c r="BL608" s="865"/>
      <c r="BM608" s="821"/>
      <c r="BN608" s="822" t="str">
        <f t="shared" si="506"/>
        <v>-</v>
      </c>
      <c r="BO608" s="823" t="str">
        <f t="shared" si="507"/>
        <v>-</v>
      </c>
      <c r="BP608" s="868"/>
      <c r="BQ608" s="821"/>
      <c r="BR608" s="822" t="str">
        <f t="shared" si="508"/>
        <v>-</v>
      </c>
      <c r="BS608" s="823" t="str">
        <f t="shared" si="509"/>
        <v>-</v>
      </c>
      <c r="BT608" s="825" t="str">
        <f t="shared" ca="1" si="510"/>
        <v>-</v>
      </c>
      <c r="BU608" s="826"/>
      <c r="BV608" s="827"/>
      <c r="BW608" s="828" t="str">
        <f t="shared" si="511"/>
        <v>Ж-Е НЕ ВАКЦ.</v>
      </c>
      <c r="BX608" s="829" t="str">
        <f t="shared" si="512"/>
        <v>-</v>
      </c>
      <c r="BY608" s="830" t="str">
        <f t="shared" ca="1" si="513"/>
        <v>-</v>
      </c>
      <c r="BZ608" s="831">
        <v>42891</v>
      </c>
      <c r="CA608" s="832">
        <v>5</v>
      </c>
      <c r="CB608" s="833">
        <f t="shared" ca="1" si="514"/>
        <v>243</v>
      </c>
      <c r="CC608" s="834" t="str">
        <f t="shared" ca="1" si="515"/>
        <v>-</v>
      </c>
      <c r="CD608" s="835">
        <f t="shared" si="516"/>
        <v>42912</v>
      </c>
      <c r="CE608" s="831">
        <v>42912</v>
      </c>
      <c r="CF608" s="832">
        <v>5</v>
      </c>
      <c r="CG608" s="833">
        <f t="shared" ca="1" si="517"/>
        <v>222</v>
      </c>
      <c r="CH608" s="836">
        <f t="shared" si="518"/>
        <v>0</v>
      </c>
      <c r="CI608" s="837" t="str">
        <f t="shared" si="519"/>
        <v>УСПЕШНО</v>
      </c>
      <c r="CJ608" s="838" t="str">
        <f t="shared" ca="1" si="520"/>
        <v>-</v>
      </c>
      <c r="CK608" s="831"/>
      <c r="CL608" s="832"/>
      <c r="CM608" s="833" t="str">
        <f t="shared" si="521"/>
        <v>-</v>
      </c>
      <c r="CN608" s="834" t="str">
        <f t="shared" si="522"/>
        <v>-</v>
      </c>
      <c r="CO608" s="830" t="str">
        <f t="shared" ca="1" si="523"/>
        <v>ТРЕБУЕТСЯ ВАКЦИНАЦИЯ</v>
      </c>
      <c r="CP608" s="839"/>
      <c r="CQ608" s="832"/>
      <c r="CR608" s="833" t="str">
        <f t="shared" si="524"/>
        <v>-</v>
      </c>
      <c r="CS608" s="833" t="str">
        <f t="shared" si="525"/>
        <v>-</v>
      </c>
      <c r="CT608" s="834" t="str">
        <f t="shared" si="526"/>
        <v>-</v>
      </c>
      <c r="CU608" s="835" t="str">
        <f t="shared" si="527"/>
        <v>-</v>
      </c>
      <c r="CV608" s="839"/>
      <c r="CW608" s="832"/>
      <c r="CX608" s="833" t="str">
        <f t="shared" si="528"/>
        <v>-</v>
      </c>
      <c r="CY608" s="840" t="str">
        <f t="shared" si="529"/>
        <v>-</v>
      </c>
      <c r="CZ608" s="833" t="str">
        <f t="shared" si="530"/>
        <v>-</v>
      </c>
      <c r="DA608" s="838" t="str">
        <f t="shared" ca="1" si="531"/>
        <v>-</v>
      </c>
      <c r="DB608" s="841"/>
      <c r="DC608" s="832"/>
    </row>
    <row r="609" spans="1:107" ht="15.95" customHeight="1" x14ac:dyDescent="0.25">
      <c r="A609" s="790">
        <v>611</v>
      </c>
      <c r="B609" s="791">
        <f t="shared" ca="1" si="480"/>
        <v>43134</v>
      </c>
      <c r="C609" s="29" t="s">
        <v>2554</v>
      </c>
      <c r="D609" s="59" t="s">
        <v>2586</v>
      </c>
      <c r="E609" s="794" t="s">
        <v>1563</v>
      </c>
      <c r="F609" s="795" t="s">
        <v>1681</v>
      </c>
      <c r="G609" s="796">
        <f>SUMIFS(МОЛОКО!L8:L6958,МОЛОКО!F8:F6958,"2979",МОЛОКО!L8:L6958,"&gt;0")</f>
        <v>0</v>
      </c>
      <c r="H609" s="797" t="s">
        <v>603</v>
      </c>
      <c r="I609" s="798">
        <v>42505</v>
      </c>
      <c r="J609" s="799">
        <f t="shared" ca="1" si="481"/>
        <v>1.7232876712328766</v>
      </c>
      <c r="K609" s="799">
        <f t="shared" ca="1" si="482"/>
        <v>20.966666666666665</v>
      </c>
      <c r="L609" s="800">
        <f t="shared" ca="1" si="483"/>
        <v>629</v>
      </c>
      <c r="M609" s="801"/>
      <c r="N609" s="802"/>
      <c r="O609" s="803" t="str">
        <f t="shared" ca="1" si="484"/>
        <v>-</v>
      </c>
      <c r="P609" s="804"/>
      <c r="Q609" s="805" t="s">
        <v>2366</v>
      </c>
      <c r="R609" s="806" t="s">
        <v>1875</v>
      </c>
      <c r="S609" s="807">
        <v>42853</v>
      </c>
      <c r="T609" s="798">
        <v>42920</v>
      </c>
      <c r="U609" s="798" t="str">
        <f t="shared" si="485"/>
        <v>-</v>
      </c>
      <c r="V609" s="804" t="str">
        <f t="shared" ca="1" si="486"/>
        <v>-</v>
      </c>
      <c r="W609" s="808">
        <v>2</v>
      </c>
      <c r="X609" s="794" t="str">
        <f t="shared" si="479"/>
        <v>-</v>
      </c>
      <c r="Y609" s="794">
        <v>1</v>
      </c>
      <c r="Z609" s="809" t="str">
        <f t="shared" ca="1" si="487"/>
        <v>ПОДЛЕЖИТ ПЕРЕПРОВЕРКЕ</v>
      </c>
      <c r="AA609" s="810">
        <f t="shared" ca="1" si="488"/>
        <v>214</v>
      </c>
      <c r="AB609" s="804"/>
      <c r="AC609" s="811">
        <f t="shared" ca="1" si="489"/>
        <v>42992</v>
      </c>
      <c r="AD609" s="798"/>
      <c r="AE609" s="794" t="str">
        <f t="shared" ca="1" si="490"/>
        <v>-</v>
      </c>
      <c r="AF609" s="798" t="str">
        <f t="shared" si="491"/>
        <v>-</v>
      </c>
      <c r="AG609" s="812" t="str">
        <f t="shared" si="492"/>
        <v>---------</v>
      </c>
      <c r="AH609" s="807">
        <v>43001</v>
      </c>
      <c r="AI609" s="807" t="str">
        <f t="shared" si="493"/>
        <v>-</v>
      </c>
      <c r="AJ609" s="807" t="str">
        <f t="shared" si="494"/>
        <v>-</v>
      </c>
      <c r="AK609" s="813"/>
      <c r="AL609" s="807">
        <f t="shared" si="495"/>
        <v>43179</v>
      </c>
      <c r="AM609" s="807">
        <f t="shared" si="496"/>
        <v>43200</v>
      </c>
      <c r="AN609" s="814">
        <f t="shared" ca="1" si="497"/>
        <v>-66</v>
      </c>
      <c r="AO609" s="815">
        <v>1</v>
      </c>
      <c r="AP609" s="816" t="str">
        <f t="shared" ca="1" si="498"/>
        <v>-</v>
      </c>
      <c r="AQ609" s="817"/>
      <c r="AR609" s="794" t="str">
        <f t="shared" si="499"/>
        <v>НЕТЕЛЬ</v>
      </c>
      <c r="AS609" s="818"/>
      <c r="AT609" s="794" t="str">
        <f t="shared" si="500"/>
        <v>-</v>
      </c>
      <c r="AU609" s="819"/>
      <c r="AV609" s="820"/>
      <c r="AW609" s="821"/>
      <c r="AX609" s="821"/>
      <c r="AY609" s="969" t="str">
        <f t="shared" si="501"/>
        <v>-</v>
      </c>
      <c r="AZ609" s="966" t="str">
        <f t="shared" si="502"/>
        <v>-</v>
      </c>
      <c r="BA609" s="971" t="str">
        <f t="shared" si="503"/>
        <v>-</v>
      </c>
      <c r="BB609" s="975"/>
      <c r="BC609" s="821"/>
      <c r="BD609" s="821"/>
      <c r="BE609" s="963" t="str">
        <f t="shared" si="504"/>
        <v>-</v>
      </c>
      <c r="BF609" s="984"/>
      <c r="BG609" s="988"/>
      <c r="BH609" s="982"/>
      <c r="BI609" s="991"/>
      <c r="BJ609" s="991"/>
      <c r="BK609" s="993" t="str">
        <f t="shared" si="505"/>
        <v>-</v>
      </c>
      <c r="BL609" s="820">
        <v>42977</v>
      </c>
      <c r="BM609" s="821">
        <v>5</v>
      </c>
      <c r="BN609" s="822">
        <f t="shared" ca="1" si="506"/>
        <v>157</v>
      </c>
      <c r="BO609" s="823">
        <f t="shared" si="507"/>
        <v>15.733333333333333</v>
      </c>
      <c r="BP609" s="824"/>
      <c r="BQ609" s="821"/>
      <c r="BR609" s="822" t="str">
        <f t="shared" si="508"/>
        <v>-</v>
      </c>
      <c r="BS609" s="823" t="str">
        <f t="shared" si="509"/>
        <v>-</v>
      </c>
      <c r="BT609" s="825" t="str">
        <f t="shared" ca="1" si="510"/>
        <v>-</v>
      </c>
      <c r="BU609" s="826"/>
      <c r="BV609" s="827"/>
      <c r="BW609" s="828" t="str">
        <f t="shared" si="511"/>
        <v>Ж-Е НЕ ВАКЦ.</v>
      </c>
      <c r="BX609" s="829" t="str">
        <f t="shared" si="512"/>
        <v>-</v>
      </c>
      <c r="BY609" s="830" t="str">
        <f t="shared" ca="1" si="513"/>
        <v>-</v>
      </c>
      <c r="BZ609" s="831">
        <v>42891</v>
      </c>
      <c r="CA609" s="832">
        <v>5</v>
      </c>
      <c r="CB609" s="833">
        <f t="shared" ca="1" si="514"/>
        <v>243</v>
      </c>
      <c r="CC609" s="834" t="str">
        <f t="shared" ca="1" si="515"/>
        <v>-</v>
      </c>
      <c r="CD609" s="835">
        <f t="shared" si="516"/>
        <v>42912</v>
      </c>
      <c r="CE609" s="831">
        <v>42912</v>
      </c>
      <c r="CF609" s="832">
        <v>5</v>
      </c>
      <c r="CG609" s="833">
        <f t="shared" ca="1" si="517"/>
        <v>222</v>
      </c>
      <c r="CH609" s="836">
        <f t="shared" si="518"/>
        <v>0</v>
      </c>
      <c r="CI609" s="837" t="str">
        <f t="shared" si="519"/>
        <v>УСПЕШНО</v>
      </c>
      <c r="CJ609" s="838" t="str">
        <f t="shared" ca="1" si="520"/>
        <v>-</v>
      </c>
      <c r="CK609" s="831"/>
      <c r="CL609" s="832"/>
      <c r="CM609" s="833" t="str">
        <f t="shared" si="521"/>
        <v>-</v>
      </c>
      <c r="CN609" s="834" t="str">
        <f t="shared" si="522"/>
        <v>-</v>
      </c>
      <c r="CO609" s="830" t="str">
        <f t="shared" ca="1" si="523"/>
        <v>ТРЕБУЕТСЯ ВАКЦИНАЦИЯ</v>
      </c>
      <c r="CP609" s="839"/>
      <c r="CQ609" s="832"/>
      <c r="CR609" s="833" t="str">
        <f t="shared" si="524"/>
        <v>-</v>
      </c>
      <c r="CS609" s="833" t="str">
        <f t="shared" si="525"/>
        <v>-</v>
      </c>
      <c r="CT609" s="834" t="str">
        <f t="shared" si="526"/>
        <v>-</v>
      </c>
      <c r="CU609" s="835" t="str">
        <f t="shared" si="527"/>
        <v>-</v>
      </c>
      <c r="CV609" s="839"/>
      <c r="CW609" s="832"/>
      <c r="CX609" s="833" t="str">
        <f t="shared" si="528"/>
        <v>-</v>
      </c>
      <c r="CY609" s="840" t="str">
        <f t="shared" si="529"/>
        <v>-</v>
      </c>
      <c r="CZ609" s="833" t="str">
        <f t="shared" si="530"/>
        <v>-</v>
      </c>
      <c r="DA609" s="838" t="str">
        <f t="shared" ca="1" si="531"/>
        <v>-</v>
      </c>
      <c r="DB609" s="841"/>
      <c r="DC609" s="832"/>
    </row>
    <row r="610" spans="1:107" ht="15.95" customHeight="1" x14ac:dyDescent="0.25">
      <c r="A610" s="790">
        <v>612</v>
      </c>
      <c r="B610" s="791">
        <f t="shared" ca="1" si="480"/>
        <v>43134</v>
      </c>
      <c r="C610" s="792" t="s">
        <v>2554</v>
      </c>
      <c r="D610" s="793" t="s">
        <v>2586</v>
      </c>
      <c r="E610" s="794" t="s">
        <v>1563</v>
      </c>
      <c r="F610" s="795" t="s">
        <v>1688</v>
      </c>
      <c r="G610" s="845"/>
      <c r="H610" s="797" t="s">
        <v>603</v>
      </c>
      <c r="I610" s="798">
        <v>42505</v>
      </c>
      <c r="J610" s="799">
        <f t="shared" ca="1" si="481"/>
        <v>1.7232876712328766</v>
      </c>
      <c r="K610" s="799">
        <f t="shared" ca="1" si="482"/>
        <v>20.966666666666665</v>
      </c>
      <c r="L610" s="800">
        <f t="shared" ca="1" si="483"/>
        <v>629</v>
      </c>
      <c r="M610" s="801"/>
      <c r="N610" s="802"/>
      <c r="O610" s="803" t="str">
        <f t="shared" ca="1" si="484"/>
        <v>-</v>
      </c>
      <c r="P610" s="804"/>
      <c r="Q610" s="805" t="s">
        <v>2366</v>
      </c>
      <c r="R610" s="806" t="s">
        <v>1876</v>
      </c>
      <c r="S610" s="807">
        <v>42907</v>
      </c>
      <c r="T610" s="798">
        <v>42907</v>
      </c>
      <c r="U610" s="798" t="str">
        <f t="shared" si="485"/>
        <v>-</v>
      </c>
      <c r="V610" s="804" t="str">
        <f t="shared" ca="1" si="486"/>
        <v>-</v>
      </c>
      <c r="W610" s="808">
        <v>1</v>
      </c>
      <c r="X610" s="794" t="str">
        <f t="shared" si="479"/>
        <v>-</v>
      </c>
      <c r="Y610" s="794">
        <v>1</v>
      </c>
      <c r="Z610" s="809" t="str">
        <f t="shared" ca="1" si="487"/>
        <v>ПОДЛЕЖИТ ПЕРЕПРОВЕРКЕ</v>
      </c>
      <c r="AA610" s="810">
        <f t="shared" ca="1" si="488"/>
        <v>227</v>
      </c>
      <c r="AB610" s="804"/>
      <c r="AC610" s="811">
        <f t="shared" ca="1" si="489"/>
        <v>42979</v>
      </c>
      <c r="AD610" s="798"/>
      <c r="AE610" s="794" t="str">
        <f t="shared" ca="1" si="490"/>
        <v>-</v>
      </c>
      <c r="AF610" s="798" t="str">
        <f t="shared" si="491"/>
        <v>-</v>
      </c>
      <c r="AG610" s="812" t="str">
        <f t="shared" si="492"/>
        <v>---------</v>
      </c>
      <c r="AH610" s="807">
        <v>42969</v>
      </c>
      <c r="AI610" s="807" t="str">
        <f t="shared" si="493"/>
        <v>-</v>
      </c>
      <c r="AJ610" s="807" t="str">
        <f t="shared" si="494"/>
        <v>-</v>
      </c>
      <c r="AK610" s="813"/>
      <c r="AL610" s="807">
        <f t="shared" si="495"/>
        <v>43166</v>
      </c>
      <c r="AM610" s="807">
        <f t="shared" si="496"/>
        <v>43187</v>
      </c>
      <c r="AN610" s="814">
        <f t="shared" ca="1" si="497"/>
        <v>-53</v>
      </c>
      <c r="AO610" s="815">
        <v>1</v>
      </c>
      <c r="AP610" s="816" t="str">
        <f t="shared" ca="1" si="498"/>
        <v>-</v>
      </c>
      <c r="AQ610" s="817"/>
      <c r="AR610" s="794" t="str">
        <f t="shared" si="499"/>
        <v>НЕТЕЛЬ</v>
      </c>
      <c r="AS610" s="818"/>
      <c r="AT610" s="794" t="str">
        <f t="shared" si="500"/>
        <v>-</v>
      </c>
      <c r="AU610" s="819"/>
      <c r="AV610" s="820"/>
      <c r="AW610" s="821"/>
      <c r="AX610" s="821"/>
      <c r="AY610" s="969" t="str">
        <f t="shared" si="501"/>
        <v>-</v>
      </c>
      <c r="AZ610" s="966" t="str">
        <f t="shared" si="502"/>
        <v>-</v>
      </c>
      <c r="BA610" s="971" t="str">
        <f t="shared" si="503"/>
        <v>-</v>
      </c>
      <c r="BB610" s="975"/>
      <c r="BC610" s="821"/>
      <c r="BD610" s="821"/>
      <c r="BE610" s="963" t="str">
        <f t="shared" si="504"/>
        <v>-</v>
      </c>
      <c r="BF610" s="984"/>
      <c r="BG610" s="988"/>
      <c r="BH610" s="982"/>
      <c r="BI610" s="991"/>
      <c r="BJ610" s="991"/>
      <c r="BK610" s="993" t="str">
        <f t="shared" si="505"/>
        <v>-</v>
      </c>
      <c r="BL610" s="820">
        <v>42978</v>
      </c>
      <c r="BM610" s="821">
        <v>5</v>
      </c>
      <c r="BN610" s="822">
        <f t="shared" ca="1" si="506"/>
        <v>156</v>
      </c>
      <c r="BO610" s="823">
        <f t="shared" si="507"/>
        <v>15.766666666666667</v>
      </c>
      <c r="BP610" s="824"/>
      <c r="BQ610" s="821"/>
      <c r="BR610" s="822" t="str">
        <f t="shared" si="508"/>
        <v>-</v>
      </c>
      <c r="BS610" s="823" t="str">
        <f t="shared" si="509"/>
        <v>-</v>
      </c>
      <c r="BT610" s="825" t="str">
        <f t="shared" ca="1" si="510"/>
        <v>-</v>
      </c>
      <c r="BU610" s="826"/>
      <c r="BV610" s="827"/>
      <c r="BW610" s="828" t="str">
        <f t="shared" si="511"/>
        <v>Ж-Е НЕ ВАКЦ.</v>
      </c>
      <c r="BX610" s="829" t="str">
        <f t="shared" si="512"/>
        <v>-</v>
      </c>
      <c r="BY610" s="830" t="str">
        <f t="shared" ca="1" si="513"/>
        <v>-</v>
      </c>
      <c r="BZ610" s="831">
        <v>42891</v>
      </c>
      <c r="CA610" s="832">
        <v>5</v>
      </c>
      <c r="CB610" s="833">
        <f t="shared" ca="1" si="514"/>
        <v>243</v>
      </c>
      <c r="CC610" s="834" t="str">
        <f t="shared" ca="1" si="515"/>
        <v>-</v>
      </c>
      <c r="CD610" s="835">
        <f t="shared" si="516"/>
        <v>42912</v>
      </c>
      <c r="CE610" s="831">
        <v>42912</v>
      </c>
      <c r="CF610" s="832">
        <v>5</v>
      </c>
      <c r="CG610" s="833">
        <f t="shared" ca="1" si="517"/>
        <v>222</v>
      </c>
      <c r="CH610" s="836">
        <f t="shared" si="518"/>
        <v>0</v>
      </c>
      <c r="CI610" s="837" t="str">
        <f t="shared" si="519"/>
        <v>УСПЕШНО</v>
      </c>
      <c r="CJ610" s="838" t="str">
        <f t="shared" ca="1" si="520"/>
        <v>-</v>
      </c>
      <c r="CK610" s="831"/>
      <c r="CL610" s="832"/>
      <c r="CM610" s="833" t="str">
        <f t="shared" si="521"/>
        <v>-</v>
      </c>
      <c r="CN610" s="834" t="str">
        <f t="shared" si="522"/>
        <v>-</v>
      </c>
      <c r="CO610" s="830" t="str">
        <f t="shared" ca="1" si="523"/>
        <v>ТРЕБУЕТСЯ ВАКЦИНАЦИЯ</v>
      </c>
      <c r="CP610" s="839"/>
      <c r="CQ610" s="832"/>
      <c r="CR610" s="833" t="str">
        <f t="shared" si="524"/>
        <v>-</v>
      </c>
      <c r="CS610" s="833" t="str">
        <f t="shared" si="525"/>
        <v>-</v>
      </c>
      <c r="CT610" s="834" t="str">
        <f t="shared" si="526"/>
        <v>-</v>
      </c>
      <c r="CU610" s="835" t="str">
        <f t="shared" si="527"/>
        <v>-</v>
      </c>
      <c r="CV610" s="839"/>
      <c r="CW610" s="832"/>
      <c r="CX610" s="833" t="str">
        <f t="shared" si="528"/>
        <v>-</v>
      </c>
      <c r="CY610" s="840" t="str">
        <f t="shared" si="529"/>
        <v>-</v>
      </c>
      <c r="CZ610" s="833" t="str">
        <f t="shared" si="530"/>
        <v>-</v>
      </c>
      <c r="DA610" s="838" t="str">
        <f t="shared" ca="1" si="531"/>
        <v>-</v>
      </c>
      <c r="DB610" s="841"/>
      <c r="DC610" s="832"/>
    </row>
    <row r="611" spans="1:107" ht="15.95" customHeight="1" x14ac:dyDescent="0.25">
      <c r="A611" s="790">
        <v>613</v>
      </c>
      <c r="B611" s="791">
        <f t="shared" ca="1" si="480"/>
        <v>43134</v>
      </c>
      <c r="C611" s="847" t="s">
        <v>2554</v>
      </c>
      <c r="D611" s="793" t="s">
        <v>2586</v>
      </c>
      <c r="E611" s="794" t="s">
        <v>1563</v>
      </c>
      <c r="F611" s="795" t="s">
        <v>1679</v>
      </c>
      <c r="G611" s="845"/>
      <c r="H611" s="797" t="s">
        <v>603</v>
      </c>
      <c r="I611" s="798">
        <v>42506</v>
      </c>
      <c r="J611" s="799">
        <f t="shared" ca="1" si="481"/>
        <v>1.7205479452054795</v>
      </c>
      <c r="K611" s="799">
        <f t="shared" ca="1" si="482"/>
        <v>20.933333333333334</v>
      </c>
      <c r="L611" s="800">
        <f t="shared" ca="1" si="483"/>
        <v>628</v>
      </c>
      <c r="M611" s="801"/>
      <c r="N611" s="802"/>
      <c r="O611" s="803" t="str">
        <f t="shared" ca="1" si="484"/>
        <v>-</v>
      </c>
      <c r="P611" s="804"/>
      <c r="Q611" s="805" t="s">
        <v>2366</v>
      </c>
      <c r="R611" s="806" t="s">
        <v>1875</v>
      </c>
      <c r="S611" s="807">
        <v>42869</v>
      </c>
      <c r="T611" s="798">
        <v>42869</v>
      </c>
      <c r="U611" s="798" t="str">
        <f t="shared" si="485"/>
        <v>-</v>
      </c>
      <c r="V611" s="804" t="str">
        <f t="shared" ca="1" si="486"/>
        <v>-</v>
      </c>
      <c r="W611" s="808">
        <v>1</v>
      </c>
      <c r="X611" s="794" t="str">
        <f t="shared" si="479"/>
        <v>-</v>
      </c>
      <c r="Y611" s="794">
        <v>1</v>
      </c>
      <c r="Z611" s="809" t="str">
        <f t="shared" ca="1" si="487"/>
        <v>ПОДЛЕЖИТ ПЕРЕПРОВЕРКЕ</v>
      </c>
      <c r="AA611" s="810">
        <f t="shared" ca="1" si="488"/>
        <v>265</v>
      </c>
      <c r="AB611" s="804"/>
      <c r="AC611" s="811">
        <f t="shared" ca="1" si="489"/>
        <v>42941</v>
      </c>
      <c r="AD611" s="798"/>
      <c r="AE611" s="794" t="str">
        <f t="shared" ca="1" si="490"/>
        <v>-</v>
      </c>
      <c r="AF611" s="798" t="str">
        <f t="shared" si="491"/>
        <v>-</v>
      </c>
      <c r="AG611" s="812" t="str">
        <f t="shared" si="492"/>
        <v>---------</v>
      </c>
      <c r="AH611" s="807">
        <v>42931</v>
      </c>
      <c r="AI611" s="807" t="str">
        <f t="shared" si="493"/>
        <v>-</v>
      </c>
      <c r="AJ611" s="807" t="str">
        <f t="shared" si="494"/>
        <v>-</v>
      </c>
      <c r="AK611" s="813"/>
      <c r="AL611" s="807">
        <f t="shared" si="495"/>
        <v>43128</v>
      </c>
      <c r="AM611" s="807">
        <f t="shared" si="496"/>
        <v>43149</v>
      </c>
      <c r="AN611" s="814">
        <f t="shared" ca="1" si="497"/>
        <v>-15</v>
      </c>
      <c r="AO611" s="815">
        <v>1</v>
      </c>
      <c r="AP611" s="816" t="str">
        <f t="shared" ca="1" si="498"/>
        <v>-</v>
      </c>
      <c r="AQ611" s="817"/>
      <c r="AR611" s="794" t="str">
        <f t="shared" si="499"/>
        <v>НЕТЕЛЬ</v>
      </c>
      <c r="AS611" s="818"/>
      <c r="AT611" s="794" t="str">
        <f t="shared" si="500"/>
        <v>-</v>
      </c>
      <c r="AU611" s="819"/>
      <c r="AV611" s="820"/>
      <c r="AW611" s="821"/>
      <c r="AX611" s="821"/>
      <c r="AY611" s="969" t="str">
        <f t="shared" si="501"/>
        <v>-</v>
      </c>
      <c r="AZ611" s="966" t="str">
        <f t="shared" si="502"/>
        <v>-</v>
      </c>
      <c r="BA611" s="971" t="str">
        <f t="shared" si="503"/>
        <v>-</v>
      </c>
      <c r="BB611" s="975"/>
      <c r="BC611" s="821"/>
      <c r="BD611" s="821"/>
      <c r="BE611" s="963" t="str">
        <f t="shared" si="504"/>
        <v>-</v>
      </c>
      <c r="BF611" s="984"/>
      <c r="BG611" s="988"/>
      <c r="BH611" s="982"/>
      <c r="BI611" s="991"/>
      <c r="BJ611" s="991"/>
      <c r="BK611" s="993" t="str">
        <f t="shared" si="505"/>
        <v>-</v>
      </c>
      <c r="BL611" s="820">
        <v>42978</v>
      </c>
      <c r="BM611" s="821">
        <v>5</v>
      </c>
      <c r="BN611" s="822">
        <f t="shared" ca="1" si="506"/>
        <v>156</v>
      </c>
      <c r="BO611" s="823">
        <f t="shared" si="507"/>
        <v>15.733333333333333</v>
      </c>
      <c r="BP611" s="824"/>
      <c r="BQ611" s="821"/>
      <c r="BR611" s="822" t="str">
        <f t="shared" si="508"/>
        <v>-</v>
      </c>
      <c r="BS611" s="823" t="str">
        <f t="shared" si="509"/>
        <v>-</v>
      </c>
      <c r="BT611" s="825" t="str">
        <f t="shared" ca="1" si="510"/>
        <v>-</v>
      </c>
      <c r="BU611" s="826"/>
      <c r="BV611" s="827"/>
      <c r="BW611" s="828" t="str">
        <f t="shared" si="511"/>
        <v>Ж-Е НЕ ВАКЦ.</v>
      </c>
      <c r="BX611" s="829" t="str">
        <f t="shared" si="512"/>
        <v>-</v>
      </c>
      <c r="BY611" s="830" t="str">
        <f t="shared" ca="1" si="513"/>
        <v>-</v>
      </c>
      <c r="BZ611" s="831">
        <v>42891</v>
      </c>
      <c r="CA611" s="832">
        <v>5</v>
      </c>
      <c r="CB611" s="833">
        <f t="shared" ca="1" si="514"/>
        <v>243</v>
      </c>
      <c r="CC611" s="834" t="str">
        <f t="shared" ca="1" si="515"/>
        <v>-</v>
      </c>
      <c r="CD611" s="835">
        <f t="shared" si="516"/>
        <v>42912</v>
      </c>
      <c r="CE611" s="831">
        <v>42912</v>
      </c>
      <c r="CF611" s="832">
        <v>5</v>
      </c>
      <c r="CG611" s="833">
        <f t="shared" ca="1" si="517"/>
        <v>222</v>
      </c>
      <c r="CH611" s="836">
        <f t="shared" si="518"/>
        <v>0</v>
      </c>
      <c r="CI611" s="837" t="str">
        <f t="shared" si="519"/>
        <v>УСПЕШНО</v>
      </c>
      <c r="CJ611" s="838" t="str">
        <f t="shared" ca="1" si="520"/>
        <v>-</v>
      </c>
      <c r="CK611" s="831"/>
      <c r="CL611" s="832"/>
      <c r="CM611" s="833" t="str">
        <f t="shared" si="521"/>
        <v>-</v>
      </c>
      <c r="CN611" s="834" t="str">
        <f t="shared" si="522"/>
        <v>-</v>
      </c>
      <c r="CO611" s="830" t="str">
        <f t="shared" ca="1" si="523"/>
        <v>ТРЕБУЕТСЯ ВАКЦИНАЦИЯ</v>
      </c>
      <c r="CP611" s="839"/>
      <c r="CQ611" s="832"/>
      <c r="CR611" s="833" t="str">
        <f t="shared" si="524"/>
        <v>-</v>
      </c>
      <c r="CS611" s="833" t="str">
        <f t="shared" si="525"/>
        <v>-</v>
      </c>
      <c r="CT611" s="834" t="str">
        <f t="shared" si="526"/>
        <v>-</v>
      </c>
      <c r="CU611" s="835" t="str">
        <f t="shared" si="527"/>
        <v>-</v>
      </c>
      <c r="CV611" s="839"/>
      <c r="CW611" s="832"/>
      <c r="CX611" s="833" t="str">
        <f t="shared" si="528"/>
        <v>-</v>
      </c>
      <c r="CY611" s="840" t="str">
        <f t="shared" si="529"/>
        <v>-</v>
      </c>
      <c r="CZ611" s="833" t="str">
        <f t="shared" si="530"/>
        <v>-</v>
      </c>
      <c r="DA611" s="838" t="str">
        <f t="shared" ca="1" si="531"/>
        <v>-</v>
      </c>
      <c r="DB611" s="841"/>
      <c r="DC611" s="832"/>
    </row>
    <row r="612" spans="1:107" ht="15.95" customHeight="1" x14ac:dyDescent="0.25">
      <c r="A612" s="790">
        <v>614</v>
      </c>
      <c r="B612" s="791">
        <f t="shared" ca="1" si="480"/>
        <v>43134</v>
      </c>
      <c r="C612" s="847" t="s">
        <v>2554</v>
      </c>
      <c r="D612" s="793" t="s">
        <v>2586</v>
      </c>
      <c r="E612" s="794" t="s">
        <v>1563</v>
      </c>
      <c r="F612" s="795" t="s">
        <v>1760</v>
      </c>
      <c r="G612" s="845"/>
      <c r="H612" s="797" t="s">
        <v>603</v>
      </c>
      <c r="I612" s="798">
        <v>42507</v>
      </c>
      <c r="J612" s="799">
        <f t="shared" ca="1" si="481"/>
        <v>1.7178082191780821</v>
      </c>
      <c r="K612" s="799">
        <f t="shared" ca="1" si="482"/>
        <v>20.9</v>
      </c>
      <c r="L612" s="800">
        <f t="shared" ca="1" si="483"/>
        <v>627</v>
      </c>
      <c r="M612" s="801"/>
      <c r="N612" s="802"/>
      <c r="O612" s="803" t="str">
        <f t="shared" ca="1" si="484"/>
        <v>-</v>
      </c>
      <c r="P612" s="804"/>
      <c r="Q612" s="805" t="s">
        <v>2366</v>
      </c>
      <c r="R612" s="806" t="s">
        <v>1876</v>
      </c>
      <c r="S612" s="807">
        <v>42869</v>
      </c>
      <c r="T612" s="798">
        <v>42869</v>
      </c>
      <c r="U612" s="798" t="str">
        <f t="shared" si="485"/>
        <v>-</v>
      </c>
      <c r="V612" s="804" t="str">
        <f t="shared" ca="1" si="486"/>
        <v>-</v>
      </c>
      <c r="W612" s="808">
        <v>1</v>
      </c>
      <c r="X612" s="794" t="str">
        <f t="shared" si="479"/>
        <v>-</v>
      </c>
      <c r="Y612" s="794">
        <v>1</v>
      </c>
      <c r="Z612" s="809" t="str">
        <f t="shared" ca="1" si="487"/>
        <v>ПОДЛЕЖИТ ПЕРЕПРОВЕРКЕ</v>
      </c>
      <c r="AA612" s="810">
        <f t="shared" ca="1" si="488"/>
        <v>265</v>
      </c>
      <c r="AB612" s="804"/>
      <c r="AC612" s="811">
        <f t="shared" ca="1" si="489"/>
        <v>42941</v>
      </c>
      <c r="AD612" s="798"/>
      <c r="AE612" s="794" t="str">
        <f t="shared" ca="1" si="490"/>
        <v>-</v>
      </c>
      <c r="AF612" s="798" t="str">
        <f t="shared" si="491"/>
        <v>-</v>
      </c>
      <c r="AG612" s="812" t="str">
        <f t="shared" si="492"/>
        <v>---------</v>
      </c>
      <c r="AH612" s="807">
        <v>42931</v>
      </c>
      <c r="AI612" s="807" t="str">
        <f t="shared" si="493"/>
        <v>-</v>
      </c>
      <c r="AJ612" s="807" t="str">
        <f t="shared" si="494"/>
        <v>-</v>
      </c>
      <c r="AK612" s="813"/>
      <c r="AL612" s="807">
        <f t="shared" si="495"/>
        <v>43128</v>
      </c>
      <c r="AM612" s="807">
        <f t="shared" si="496"/>
        <v>43149</v>
      </c>
      <c r="AN612" s="814">
        <f t="shared" ca="1" si="497"/>
        <v>-15</v>
      </c>
      <c r="AO612" s="815">
        <v>1</v>
      </c>
      <c r="AP612" s="816" t="str">
        <f t="shared" ca="1" si="498"/>
        <v>-</v>
      </c>
      <c r="AQ612" s="817"/>
      <c r="AR612" s="794" t="str">
        <f t="shared" si="499"/>
        <v>НЕТЕЛЬ</v>
      </c>
      <c r="AS612" s="818"/>
      <c r="AT612" s="794" t="str">
        <f t="shared" si="500"/>
        <v>-</v>
      </c>
      <c r="AU612" s="819"/>
      <c r="AV612" s="820"/>
      <c r="AW612" s="821"/>
      <c r="AX612" s="821"/>
      <c r="AY612" s="969" t="str">
        <f t="shared" si="501"/>
        <v>-</v>
      </c>
      <c r="AZ612" s="966" t="str">
        <f t="shared" si="502"/>
        <v>-</v>
      </c>
      <c r="BA612" s="971" t="str">
        <f t="shared" si="503"/>
        <v>-</v>
      </c>
      <c r="BB612" s="975"/>
      <c r="BC612" s="821"/>
      <c r="BD612" s="821"/>
      <c r="BE612" s="963" t="str">
        <f t="shared" si="504"/>
        <v>-</v>
      </c>
      <c r="BF612" s="984"/>
      <c r="BG612" s="988"/>
      <c r="BH612" s="982"/>
      <c r="BI612" s="991"/>
      <c r="BJ612" s="991"/>
      <c r="BK612" s="993" t="str">
        <f t="shared" si="505"/>
        <v>-</v>
      </c>
      <c r="BL612" s="820">
        <v>42978</v>
      </c>
      <c r="BM612" s="821">
        <v>5</v>
      </c>
      <c r="BN612" s="822">
        <f t="shared" ca="1" si="506"/>
        <v>156</v>
      </c>
      <c r="BO612" s="823">
        <f t="shared" si="507"/>
        <v>15.7</v>
      </c>
      <c r="BP612" s="824"/>
      <c r="BQ612" s="821"/>
      <c r="BR612" s="822" t="str">
        <f t="shared" si="508"/>
        <v>-</v>
      </c>
      <c r="BS612" s="823" t="str">
        <f t="shared" si="509"/>
        <v>-</v>
      </c>
      <c r="BT612" s="825" t="str">
        <f t="shared" ca="1" si="510"/>
        <v>-</v>
      </c>
      <c r="BU612" s="826"/>
      <c r="BV612" s="827"/>
      <c r="BW612" s="828" t="str">
        <f t="shared" si="511"/>
        <v>Ж-Е НЕ ВАКЦ.</v>
      </c>
      <c r="BX612" s="829" t="str">
        <f t="shared" si="512"/>
        <v>-</v>
      </c>
      <c r="BY612" s="830" t="str">
        <f t="shared" ca="1" si="513"/>
        <v>-</v>
      </c>
      <c r="BZ612" s="831">
        <v>42891</v>
      </c>
      <c r="CA612" s="832">
        <v>5</v>
      </c>
      <c r="CB612" s="833">
        <f t="shared" ca="1" si="514"/>
        <v>243</v>
      </c>
      <c r="CC612" s="834" t="str">
        <f t="shared" ca="1" si="515"/>
        <v>-</v>
      </c>
      <c r="CD612" s="835">
        <f t="shared" si="516"/>
        <v>42912</v>
      </c>
      <c r="CE612" s="831">
        <v>42912</v>
      </c>
      <c r="CF612" s="832">
        <v>5</v>
      </c>
      <c r="CG612" s="833">
        <f t="shared" ca="1" si="517"/>
        <v>222</v>
      </c>
      <c r="CH612" s="836">
        <f t="shared" si="518"/>
        <v>0</v>
      </c>
      <c r="CI612" s="837" t="str">
        <f t="shared" si="519"/>
        <v>УСПЕШНО</v>
      </c>
      <c r="CJ612" s="838" t="str">
        <f t="shared" ca="1" si="520"/>
        <v>-</v>
      </c>
      <c r="CK612" s="831"/>
      <c r="CL612" s="832"/>
      <c r="CM612" s="833" t="str">
        <f t="shared" si="521"/>
        <v>-</v>
      </c>
      <c r="CN612" s="834" t="str">
        <f t="shared" si="522"/>
        <v>-</v>
      </c>
      <c r="CO612" s="830" t="str">
        <f t="shared" ca="1" si="523"/>
        <v>ТРЕБУЕТСЯ ВАКЦИНАЦИЯ</v>
      </c>
      <c r="CP612" s="839"/>
      <c r="CQ612" s="832"/>
      <c r="CR612" s="833" t="str">
        <f t="shared" si="524"/>
        <v>-</v>
      </c>
      <c r="CS612" s="833" t="str">
        <f t="shared" si="525"/>
        <v>-</v>
      </c>
      <c r="CT612" s="834" t="str">
        <f t="shared" si="526"/>
        <v>-</v>
      </c>
      <c r="CU612" s="835" t="str">
        <f t="shared" si="527"/>
        <v>-</v>
      </c>
      <c r="CV612" s="839"/>
      <c r="CW612" s="832"/>
      <c r="CX612" s="833" t="str">
        <f t="shared" si="528"/>
        <v>-</v>
      </c>
      <c r="CY612" s="840" t="str">
        <f t="shared" si="529"/>
        <v>-</v>
      </c>
      <c r="CZ612" s="833" t="str">
        <f t="shared" si="530"/>
        <v>-</v>
      </c>
      <c r="DA612" s="838" t="str">
        <f t="shared" ca="1" si="531"/>
        <v>-</v>
      </c>
      <c r="DB612" s="841"/>
      <c r="DC612" s="832"/>
    </row>
    <row r="613" spans="1:107" ht="15.95" customHeight="1" x14ac:dyDescent="0.25">
      <c r="A613" s="790">
        <v>615</v>
      </c>
      <c r="B613" s="791">
        <f t="shared" ca="1" si="480"/>
        <v>43134</v>
      </c>
      <c r="C613" s="29" t="s">
        <v>2554</v>
      </c>
      <c r="D613" s="59" t="s">
        <v>2586</v>
      </c>
      <c r="E613" s="794" t="s">
        <v>1563</v>
      </c>
      <c r="F613" s="795" t="s">
        <v>1696</v>
      </c>
      <c r="G613" s="845"/>
      <c r="H613" s="797" t="s">
        <v>603</v>
      </c>
      <c r="I613" s="798">
        <v>42513</v>
      </c>
      <c r="J613" s="799">
        <f t="shared" ca="1" si="481"/>
        <v>1.7013698630136986</v>
      </c>
      <c r="K613" s="799">
        <f t="shared" ca="1" si="482"/>
        <v>20.7</v>
      </c>
      <c r="L613" s="800">
        <f t="shared" ca="1" si="483"/>
        <v>621</v>
      </c>
      <c r="M613" s="801" t="s">
        <v>3075</v>
      </c>
      <c r="N613" s="802"/>
      <c r="O613" s="803" t="str">
        <f t="shared" ca="1" si="484"/>
        <v>-</v>
      </c>
      <c r="P613" s="804"/>
      <c r="Q613" s="805" t="s">
        <v>1451</v>
      </c>
      <c r="R613" s="806" t="s">
        <v>2967</v>
      </c>
      <c r="S613" s="807">
        <v>42906</v>
      </c>
      <c r="T613" s="798">
        <v>42951</v>
      </c>
      <c r="U613" s="798" t="str">
        <f t="shared" si="485"/>
        <v>-</v>
      </c>
      <c r="V613" s="804" t="str">
        <f t="shared" ca="1" si="486"/>
        <v>-</v>
      </c>
      <c r="W613" s="808">
        <v>2</v>
      </c>
      <c r="X613" s="794" t="str">
        <f t="shared" si="479"/>
        <v>-</v>
      </c>
      <c r="Y613" s="794">
        <v>1</v>
      </c>
      <c r="Z613" s="809" t="str">
        <f t="shared" ca="1" si="487"/>
        <v>-----</v>
      </c>
      <c r="AA613" s="810" t="str">
        <f t="shared" ca="1" si="488"/>
        <v>-----</v>
      </c>
      <c r="AB613" s="804">
        <v>1</v>
      </c>
      <c r="AC613" s="811" t="str">
        <f t="shared" ca="1" si="489"/>
        <v>-----</v>
      </c>
      <c r="AD613" s="798">
        <v>43020</v>
      </c>
      <c r="AE613" s="794" t="str">
        <f t="shared" ca="1" si="490"/>
        <v>-</v>
      </c>
      <c r="AF613" s="798" t="str">
        <f t="shared" si="491"/>
        <v>-</v>
      </c>
      <c r="AG613" s="812" t="str">
        <f t="shared" si="492"/>
        <v>---------</v>
      </c>
      <c r="AH613" s="807">
        <v>43020</v>
      </c>
      <c r="AI613" s="807" t="str">
        <f t="shared" si="493"/>
        <v>-</v>
      </c>
      <c r="AJ613" s="807" t="str">
        <f t="shared" si="494"/>
        <v>-</v>
      </c>
      <c r="AK613" s="813"/>
      <c r="AL613" s="807">
        <f t="shared" si="495"/>
        <v>43210</v>
      </c>
      <c r="AM613" s="807">
        <f t="shared" si="496"/>
        <v>43231</v>
      </c>
      <c r="AN613" s="814">
        <f t="shared" ca="1" si="497"/>
        <v>-97</v>
      </c>
      <c r="AO613" s="815">
        <v>1</v>
      </c>
      <c r="AP613" s="816" t="str">
        <f t="shared" ca="1" si="498"/>
        <v>-</v>
      </c>
      <c r="AQ613" s="817"/>
      <c r="AR613" s="794" t="str">
        <f t="shared" si="499"/>
        <v>НЕТЕЛЬ</v>
      </c>
      <c r="AS613" s="818"/>
      <c r="AT613" s="794" t="str">
        <f t="shared" si="500"/>
        <v>-</v>
      </c>
      <c r="AU613" s="819"/>
      <c r="AV613" s="820"/>
      <c r="AW613" s="821"/>
      <c r="AX613" s="821"/>
      <c r="AY613" s="969" t="str">
        <f t="shared" si="501"/>
        <v>-</v>
      </c>
      <c r="AZ613" s="966" t="str">
        <f t="shared" si="502"/>
        <v>-</v>
      </c>
      <c r="BA613" s="971" t="str">
        <f t="shared" si="503"/>
        <v>-</v>
      </c>
      <c r="BB613" s="975"/>
      <c r="BC613" s="821"/>
      <c r="BD613" s="821"/>
      <c r="BE613" s="963" t="str">
        <f t="shared" si="504"/>
        <v>-</v>
      </c>
      <c r="BF613" s="984"/>
      <c r="BG613" s="988"/>
      <c r="BH613" s="982"/>
      <c r="BI613" s="991"/>
      <c r="BJ613" s="991"/>
      <c r="BK613" s="993" t="str">
        <f t="shared" si="505"/>
        <v>-</v>
      </c>
      <c r="BL613" s="820">
        <v>42977</v>
      </c>
      <c r="BM613" s="821">
        <v>5</v>
      </c>
      <c r="BN613" s="822">
        <f t="shared" ca="1" si="506"/>
        <v>157</v>
      </c>
      <c r="BO613" s="823">
        <f t="shared" si="507"/>
        <v>15.466666666666667</v>
      </c>
      <c r="BP613" s="824"/>
      <c r="BQ613" s="821"/>
      <c r="BR613" s="822" t="str">
        <f t="shared" si="508"/>
        <v>-</v>
      </c>
      <c r="BS613" s="823" t="str">
        <f t="shared" si="509"/>
        <v>-</v>
      </c>
      <c r="BT613" s="825" t="str">
        <f t="shared" ca="1" si="510"/>
        <v>-</v>
      </c>
      <c r="BU613" s="826"/>
      <c r="BV613" s="827"/>
      <c r="BW613" s="828" t="str">
        <f t="shared" si="511"/>
        <v>Ж-Е НЕ ВАКЦ.</v>
      </c>
      <c r="BX613" s="829" t="str">
        <f t="shared" si="512"/>
        <v>-</v>
      </c>
      <c r="BY613" s="830" t="str">
        <f t="shared" ca="1" si="513"/>
        <v>-</v>
      </c>
      <c r="BZ613" s="831">
        <v>42891</v>
      </c>
      <c r="CA613" s="832">
        <v>5</v>
      </c>
      <c r="CB613" s="833">
        <f t="shared" ca="1" si="514"/>
        <v>243</v>
      </c>
      <c r="CC613" s="834" t="str">
        <f t="shared" ca="1" si="515"/>
        <v>-</v>
      </c>
      <c r="CD613" s="835">
        <f t="shared" si="516"/>
        <v>42912</v>
      </c>
      <c r="CE613" s="831">
        <v>42912</v>
      </c>
      <c r="CF613" s="832">
        <v>5</v>
      </c>
      <c r="CG613" s="833">
        <f t="shared" ca="1" si="517"/>
        <v>222</v>
      </c>
      <c r="CH613" s="836">
        <f t="shared" si="518"/>
        <v>0</v>
      </c>
      <c r="CI613" s="837" t="str">
        <f t="shared" si="519"/>
        <v>УСПЕШНО</v>
      </c>
      <c r="CJ613" s="838" t="str">
        <f t="shared" ca="1" si="520"/>
        <v>-</v>
      </c>
      <c r="CK613" s="831"/>
      <c r="CL613" s="832"/>
      <c r="CM613" s="833" t="str">
        <f t="shared" si="521"/>
        <v>-</v>
      </c>
      <c r="CN613" s="834" t="str">
        <f t="shared" si="522"/>
        <v>-</v>
      </c>
      <c r="CO613" s="830" t="str">
        <f t="shared" ca="1" si="523"/>
        <v>-</v>
      </c>
      <c r="CP613" s="839"/>
      <c r="CQ613" s="832"/>
      <c r="CR613" s="833" t="str">
        <f t="shared" si="524"/>
        <v>-</v>
      </c>
      <c r="CS613" s="833" t="str">
        <f t="shared" si="525"/>
        <v>-</v>
      </c>
      <c r="CT613" s="834" t="str">
        <f t="shared" si="526"/>
        <v>-</v>
      </c>
      <c r="CU613" s="835" t="str">
        <f t="shared" si="527"/>
        <v>-</v>
      </c>
      <c r="CV613" s="839"/>
      <c r="CW613" s="832"/>
      <c r="CX613" s="833" t="str">
        <f t="shared" si="528"/>
        <v>-</v>
      </c>
      <c r="CY613" s="840" t="str">
        <f t="shared" si="529"/>
        <v>-</v>
      </c>
      <c r="CZ613" s="833" t="str">
        <f t="shared" si="530"/>
        <v>-</v>
      </c>
      <c r="DA613" s="838" t="str">
        <f t="shared" ca="1" si="531"/>
        <v>-</v>
      </c>
      <c r="DB613" s="841"/>
      <c r="DC613" s="832"/>
    </row>
    <row r="614" spans="1:107" ht="15.95" customHeight="1" x14ac:dyDescent="0.25">
      <c r="A614" s="790">
        <v>616</v>
      </c>
      <c r="B614" s="791">
        <f t="shared" ca="1" si="480"/>
        <v>43134</v>
      </c>
      <c r="C614" s="792" t="s">
        <v>2554</v>
      </c>
      <c r="D614" s="793" t="s">
        <v>2586</v>
      </c>
      <c r="E614" s="794" t="s">
        <v>1563</v>
      </c>
      <c r="F614" s="795" t="s">
        <v>1685</v>
      </c>
      <c r="G614" s="845"/>
      <c r="H614" s="797" t="s">
        <v>603</v>
      </c>
      <c r="I614" s="798">
        <v>42515</v>
      </c>
      <c r="J614" s="799">
        <f t="shared" ca="1" si="481"/>
        <v>1.6958904109589041</v>
      </c>
      <c r="K614" s="799">
        <f t="shared" ca="1" si="482"/>
        <v>20.633333333333333</v>
      </c>
      <c r="L614" s="800">
        <f t="shared" ca="1" si="483"/>
        <v>619</v>
      </c>
      <c r="M614" s="801"/>
      <c r="N614" s="802"/>
      <c r="O614" s="803" t="str">
        <f t="shared" ca="1" si="484"/>
        <v>-</v>
      </c>
      <c r="P614" s="804"/>
      <c r="Q614" s="805" t="s">
        <v>1451</v>
      </c>
      <c r="R614" s="806" t="s">
        <v>1876</v>
      </c>
      <c r="S614" s="807">
        <v>42898</v>
      </c>
      <c r="T614" s="798">
        <v>42898</v>
      </c>
      <c r="U614" s="798" t="str">
        <f t="shared" si="485"/>
        <v>-</v>
      </c>
      <c r="V614" s="804" t="str">
        <f t="shared" ca="1" si="486"/>
        <v>-</v>
      </c>
      <c r="W614" s="808">
        <v>1</v>
      </c>
      <c r="X614" s="794" t="str">
        <f t="shared" si="479"/>
        <v>-</v>
      </c>
      <c r="Y614" s="794">
        <v>1</v>
      </c>
      <c r="Z614" s="809" t="str">
        <f t="shared" ca="1" si="487"/>
        <v>ПОДЛЕЖИТ ПЕРЕПРОВЕРКЕ</v>
      </c>
      <c r="AA614" s="810">
        <f t="shared" ca="1" si="488"/>
        <v>236</v>
      </c>
      <c r="AB614" s="804"/>
      <c r="AC614" s="811">
        <f t="shared" ca="1" si="489"/>
        <v>42970</v>
      </c>
      <c r="AD614" s="798"/>
      <c r="AE614" s="794" t="str">
        <f t="shared" ca="1" si="490"/>
        <v>-</v>
      </c>
      <c r="AF614" s="798" t="str">
        <f t="shared" si="491"/>
        <v>-</v>
      </c>
      <c r="AG614" s="812" t="str">
        <f t="shared" si="492"/>
        <v>---------</v>
      </c>
      <c r="AH614" s="807">
        <v>42955</v>
      </c>
      <c r="AI614" s="807" t="str">
        <f t="shared" si="493"/>
        <v>-</v>
      </c>
      <c r="AJ614" s="807" t="str">
        <f t="shared" si="494"/>
        <v>-</v>
      </c>
      <c r="AK614" s="813"/>
      <c r="AL614" s="807">
        <f t="shared" si="495"/>
        <v>43157</v>
      </c>
      <c r="AM614" s="807">
        <f t="shared" si="496"/>
        <v>43178</v>
      </c>
      <c r="AN614" s="814">
        <f t="shared" ca="1" si="497"/>
        <v>-44</v>
      </c>
      <c r="AO614" s="815">
        <v>1</v>
      </c>
      <c r="AP614" s="816" t="str">
        <f t="shared" ca="1" si="498"/>
        <v>-</v>
      </c>
      <c r="AQ614" s="817"/>
      <c r="AR614" s="794" t="str">
        <f t="shared" si="499"/>
        <v>НЕТЕЛЬ</v>
      </c>
      <c r="AS614" s="818"/>
      <c r="AT614" s="794" t="str">
        <f t="shared" si="500"/>
        <v>-</v>
      </c>
      <c r="AU614" s="819"/>
      <c r="AV614" s="820"/>
      <c r="AW614" s="821"/>
      <c r="AX614" s="821"/>
      <c r="AY614" s="969" t="str">
        <f t="shared" si="501"/>
        <v>-</v>
      </c>
      <c r="AZ614" s="966" t="str">
        <f t="shared" si="502"/>
        <v>-</v>
      </c>
      <c r="BA614" s="971" t="str">
        <f t="shared" si="503"/>
        <v>-</v>
      </c>
      <c r="BB614" s="975"/>
      <c r="BC614" s="821"/>
      <c r="BD614" s="821"/>
      <c r="BE614" s="963" t="str">
        <f t="shared" si="504"/>
        <v>-</v>
      </c>
      <c r="BF614" s="984"/>
      <c r="BG614" s="988"/>
      <c r="BH614" s="982"/>
      <c r="BI614" s="991"/>
      <c r="BJ614" s="991"/>
      <c r="BK614" s="993" t="str">
        <f t="shared" si="505"/>
        <v>-</v>
      </c>
      <c r="BL614" s="820">
        <v>42978</v>
      </c>
      <c r="BM614" s="821">
        <v>5</v>
      </c>
      <c r="BN614" s="822">
        <f t="shared" ca="1" si="506"/>
        <v>156</v>
      </c>
      <c r="BO614" s="823">
        <f t="shared" si="507"/>
        <v>15.433333333333334</v>
      </c>
      <c r="BP614" s="824"/>
      <c r="BQ614" s="821"/>
      <c r="BR614" s="822" t="str">
        <f t="shared" si="508"/>
        <v>-</v>
      </c>
      <c r="BS614" s="823" t="str">
        <f t="shared" si="509"/>
        <v>-</v>
      </c>
      <c r="BT614" s="825" t="str">
        <f t="shared" ca="1" si="510"/>
        <v>-</v>
      </c>
      <c r="BU614" s="826"/>
      <c r="BV614" s="827"/>
      <c r="BW614" s="828" t="str">
        <f t="shared" si="511"/>
        <v>Ж-Е НЕ ВАКЦ.</v>
      </c>
      <c r="BX614" s="829" t="str">
        <f t="shared" si="512"/>
        <v>-</v>
      </c>
      <c r="BY614" s="830" t="str">
        <f t="shared" ca="1" si="513"/>
        <v>-</v>
      </c>
      <c r="BZ614" s="831">
        <v>42891</v>
      </c>
      <c r="CA614" s="832">
        <v>5</v>
      </c>
      <c r="CB614" s="833">
        <f t="shared" ca="1" si="514"/>
        <v>243</v>
      </c>
      <c r="CC614" s="834" t="str">
        <f t="shared" ca="1" si="515"/>
        <v>-</v>
      </c>
      <c r="CD614" s="835">
        <f t="shared" si="516"/>
        <v>42912</v>
      </c>
      <c r="CE614" s="831">
        <v>42912</v>
      </c>
      <c r="CF614" s="832">
        <v>5</v>
      </c>
      <c r="CG614" s="833">
        <f t="shared" ca="1" si="517"/>
        <v>222</v>
      </c>
      <c r="CH614" s="836">
        <f t="shared" si="518"/>
        <v>0</v>
      </c>
      <c r="CI614" s="837" t="str">
        <f t="shared" si="519"/>
        <v>УСПЕШНО</v>
      </c>
      <c r="CJ614" s="838" t="str">
        <f t="shared" ca="1" si="520"/>
        <v>-</v>
      </c>
      <c r="CK614" s="831"/>
      <c r="CL614" s="832"/>
      <c r="CM614" s="833" t="str">
        <f t="shared" si="521"/>
        <v>-</v>
      </c>
      <c r="CN614" s="834" t="str">
        <f t="shared" si="522"/>
        <v>-</v>
      </c>
      <c r="CO614" s="830" t="str">
        <f t="shared" ca="1" si="523"/>
        <v>ТРЕБУЕТСЯ ВАКЦИНАЦИЯ</v>
      </c>
      <c r="CP614" s="839"/>
      <c r="CQ614" s="832"/>
      <c r="CR614" s="833" t="str">
        <f t="shared" si="524"/>
        <v>-</v>
      </c>
      <c r="CS614" s="833" t="str">
        <f t="shared" si="525"/>
        <v>-</v>
      </c>
      <c r="CT614" s="834" t="str">
        <f t="shared" si="526"/>
        <v>-</v>
      </c>
      <c r="CU614" s="835" t="str">
        <f t="shared" si="527"/>
        <v>-</v>
      </c>
      <c r="CV614" s="839"/>
      <c r="CW614" s="832"/>
      <c r="CX614" s="833" t="str">
        <f t="shared" si="528"/>
        <v>-</v>
      </c>
      <c r="CY614" s="840" t="str">
        <f t="shared" si="529"/>
        <v>-</v>
      </c>
      <c r="CZ614" s="833" t="str">
        <f t="shared" si="530"/>
        <v>-</v>
      </c>
      <c r="DA614" s="838" t="str">
        <f t="shared" ca="1" si="531"/>
        <v>-</v>
      </c>
      <c r="DB614" s="841"/>
      <c r="DC614" s="832"/>
    </row>
    <row r="615" spans="1:107" ht="15.95" customHeight="1" x14ac:dyDescent="0.25">
      <c r="A615" s="790">
        <v>617</v>
      </c>
      <c r="B615" s="791">
        <f t="shared" ca="1" si="480"/>
        <v>43134</v>
      </c>
      <c r="C615" s="847" t="s">
        <v>2554</v>
      </c>
      <c r="D615" s="793" t="s">
        <v>2586</v>
      </c>
      <c r="E615" s="794" t="s">
        <v>1563</v>
      </c>
      <c r="F615" s="795" t="s">
        <v>1686</v>
      </c>
      <c r="G615" s="845"/>
      <c r="H615" s="797" t="s">
        <v>603</v>
      </c>
      <c r="I615" s="798">
        <v>42515</v>
      </c>
      <c r="J615" s="799">
        <f t="shared" ca="1" si="481"/>
        <v>1.6958904109589041</v>
      </c>
      <c r="K615" s="799">
        <f t="shared" ca="1" si="482"/>
        <v>20.633333333333333</v>
      </c>
      <c r="L615" s="800">
        <f t="shared" ca="1" si="483"/>
        <v>619</v>
      </c>
      <c r="M615" s="801"/>
      <c r="N615" s="802"/>
      <c r="O615" s="803" t="str">
        <f t="shared" ca="1" si="484"/>
        <v>-</v>
      </c>
      <c r="P615" s="804"/>
      <c r="Q615" s="805" t="s">
        <v>1451</v>
      </c>
      <c r="R615" s="806" t="s">
        <v>1876</v>
      </c>
      <c r="S615" s="807">
        <v>42889</v>
      </c>
      <c r="T615" s="798">
        <v>42889</v>
      </c>
      <c r="U615" s="798" t="str">
        <f t="shared" si="485"/>
        <v>-</v>
      </c>
      <c r="V615" s="804" t="str">
        <f t="shared" ca="1" si="486"/>
        <v>-</v>
      </c>
      <c r="W615" s="808">
        <v>1</v>
      </c>
      <c r="X615" s="794" t="str">
        <f t="shared" si="479"/>
        <v>-</v>
      </c>
      <c r="Y615" s="794">
        <v>1</v>
      </c>
      <c r="Z615" s="809" t="str">
        <f t="shared" ca="1" si="487"/>
        <v>-----</v>
      </c>
      <c r="AA615" s="810" t="str">
        <f t="shared" ca="1" si="488"/>
        <v>-----</v>
      </c>
      <c r="AB615" s="804">
        <v>1</v>
      </c>
      <c r="AC615" s="811" t="str">
        <f t="shared" ca="1" si="489"/>
        <v>-----</v>
      </c>
      <c r="AD615" s="798">
        <v>42941</v>
      </c>
      <c r="AE615" s="794" t="str">
        <f t="shared" ca="1" si="490"/>
        <v>-</v>
      </c>
      <c r="AF615" s="798" t="str">
        <f t="shared" si="491"/>
        <v>-</v>
      </c>
      <c r="AG615" s="812" t="str">
        <f t="shared" si="492"/>
        <v>---------</v>
      </c>
      <c r="AH615" s="807">
        <v>42941</v>
      </c>
      <c r="AI615" s="807" t="str">
        <f t="shared" si="493"/>
        <v>-</v>
      </c>
      <c r="AJ615" s="807" t="str">
        <f t="shared" si="494"/>
        <v>-</v>
      </c>
      <c r="AK615" s="813"/>
      <c r="AL615" s="807">
        <f t="shared" si="495"/>
        <v>43148</v>
      </c>
      <c r="AM615" s="807">
        <f t="shared" si="496"/>
        <v>43169</v>
      </c>
      <c r="AN615" s="814">
        <f t="shared" ca="1" si="497"/>
        <v>-35</v>
      </c>
      <c r="AO615" s="815">
        <v>1</v>
      </c>
      <c r="AP615" s="816" t="str">
        <f t="shared" ca="1" si="498"/>
        <v>-</v>
      </c>
      <c r="AQ615" s="817"/>
      <c r="AR615" s="794" t="str">
        <f t="shared" si="499"/>
        <v>НЕТЕЛЬ</v>
      </c>
      <c r="AS615" s="818"/>
      <c r="AT615" s="794" t="str">
        <f t="shared" si="500"/>
        <v>-</v>
      </c>
      <c r="AU615" s="819"/>
      <c r="AV615" s="820"/>
      <c r="AW615" s="821"/>
      <c r="AX615" s="821"/>
      <c r="AY615" s="969" t="str">
        <f t="shared" si="501"/>
        <v>-</v>
      </c>
      <c r="AZ615" s="966" t="str">
        <f t="shared" si="502"/>
        <v>-</v>
      </c>
      <c r="BA615" s="971" t="str">
        <f t="shared" si="503"/>
        <v>-</v>
      </c>
      <c r="BB615" s="975"/>
      <c r="BC615" s="821"/>
      <c r="BD615" s="821"/>
      <c r="BE615" s="963" t="str">
        <f t="shared" si="504"/>
        <v>-</v>
      </c>
      <c r="BF615" s="984"/>
      <c r="BG615" s="988"/>
      <c r="BH615" s="982"/>
      <c r="BI615" s="991"/>
      <c r="BJ615" s="991"/>
      <c r="BK615" s="993" t="str">
        <f t="shared" si="505"/>
        <v>-</v>
      </c>
      <c r="BL615" s="820">
        <v>42978</v>
      </c>
      <c r="BM615" s="821">
        <v>5</v>
      </c>
      <c r="BN615" s="822">
        <f t="shared" ca="1" si="506"/>
        <v>156</v>
      </c>
      <c r="BO615" s="823">
        <f t="shared" si="507"/>
        <v>15.433333333333334</v>
      </c>
      <c r="BP615" s="824"/>
      <c r="BQ615" s="821"/>
      <c r="BR615" s="822" t="str">
        <f t="shared" si="508"/>
        <v>-</v>
      </c>
      <c r="BS615" s="823" t="str">
        <f t="shared" si="509"/>
        <v>-</v>
      </c>
      <c r="BT615" s="825" t="str">
        <f t="shared" ca="1" si="510"/>
        <v>-</v>
      </c>
      <c r="BU615" s="826"/>
      <c r="BV615" s="827"/>
      <c r="BW615" s="828" t="str">
        <f t="shared" si="511"/>
        <v>Ж-Е НЕ ВАКЦ.</v>
      </c>
      <c r="BX615" s="829" t="str">
        <f t="shared" si="512"/>
        <v>-</v>
      </c>
      <c r="BY615" s="830" t="str">
        <f t="shared" ca="1" si="513"/>
        <v>-</v>
      </c>
      <c r="BZ615" s="831">
        <v>42891</v>
      </c>
      <c r="CA615" s="832">
        <v>5</v>
      </c>
      <c r="CB615" s="833">
        <f t="shared" ca="1" si="514"/>
        <v>243</v>
      </c>
      <c r="CC615" s="834" t="str">
        <f t="shared" ca="1" si="515"/>
        <v>-</v>
      </c>
      <c r="CD615" s="835">
        <f t="shared" si="516"/>
        <v>42912</v>
      </c>
      <c r="CE615" s="831">
        <v>42912</v>
      </c>
      <c r="CF615" s="832">
        <v>5</v>
      </c>
      <c r="CG615" s="833">
        <f t="shared" ca="1" si="517"/>
        <v>222</v>
      </c>
      <c r="CH615" s="836">
        <f t="shared" si="518"/>
        <v>0</v>
      </c>
      <c r="CI615" s="837" t="str">
        <f t="shared" si="519"/>
        <v>УСПЕШНО</v>
      </c>
      <c r="CJ615" s="838" t="str">
        <f t="shared" ca="1" si="520"/>
        <v>-</v>
      </c>
      <c r="CK615" s="831"/>
      <c r="CL615" s="832"/>
      <c r="CM615" s="833" t="str">
        <f t="shared" si="521"/>
        <v>-</v>
      </c>
      <c r="CN615" s="834" t="str">
        <f t="shared" si="522"/>
        <v>-</v>
      </c>
      <c r="CO615" s="830" t="str">
        <f t="shared" ca="1" si="523"/>
        <v>ТРЕБУЕТСЯ ВАКЦИНАЦИЯ</v>
      </c>
      <c r="CP615" s="839"/>
      <c r="CQ615" s="832"/>
      <c r="CR615" s="833" t="str">
        <f t="shared" si="524"/>
        <v>-</v>
      </c>
      <c r="CS615" s="833" t="str">
        <f t="shared" si="525"/>
        <v>-</v>
      </c>
      <c r="CT615" s="834" t="str">
        <f t="shared" si="526"/>
        <v>-</v>
      </c>
      <c r="CU615" s="835" t="str">
        <f t="shared" si="527"/>
        <v>-</v>
      </c>
      <c r="CV615" s="839"/>
      <c r="CW615" s="832"/>
      <c r="CX615" s="833" t="str">
        <f t="shared" si="528"/>
        <v>-</v>
      </c>
      <c r="CY615" s="840" t="str">
        <f t="shared" si="529"/>
        <v>-</v>
      </c>
      <c r="CZ615" s="833" t="str">
        <f t="shared" si="530"/>
        <v>-</v>
      </c>
      <c r="DA615" s="838" t="str">
        <f t="shared" ca="1" si="531"/>
        <v>-</v>
      </c>
      <c r="DB615" s="841"/>
      <c r="DC615" s="832"/>
    </row>
    <row r="616" spans="1:107" ht="15.95" customHeight="1" x14ac:dyDescent="0.25">
      <c r="A616" s="790">
        <v>618</v>
      </c>
      <c r="B616" s="791">
        <f t="shared" ca="1" si="480"/>
        <v>43134</v>
      </c>
      <c r="C616" s="29" t="s">
        <v>2554</v>
      </c>
      <c r="D616" s="59" t="s">
        <v>2586</v>
      </c>
      <c r="E616" s="794" t="s">
        <v>1563</v>
      </c>
      <c r="F616" s="795" t="s">
        <v>1646</v>
      </c>
      <c r="G616" s="845"/>
      <c r="H616" s="797" t="s">
        <v>603</v>
      </c>
      <c r="I616" s="798">
        <v>42518</v>
      </c>
      <c r="J616" s="799">
        <f t="shared" ca="1" si="481"/>
        <v>1.6876712328767123</v>
      </c>
      <c r="K616" s="799">
        <f t="shared" ca="1" si="482"/>
        <v>20.533333333333335</v>
      </c>
      <c r="L616" s="800">
        <f t="shared" ca="1" si="483"/>
        <v>616</v>
      </c>
      <c r="M616" s="801"/>
      <c r="N616" s="802"/>
      <c r="O616" s="803" t="str">
        <f t="shared" ca="1" si="484"/>
        <v>-</v>
      </c>
      <c r="P616" s="804"/>
      <c r="Q616" s="805" t="s">
        <v>2366</v>
      </c>
      <c r="R616" s="806" t="s">
        <v>2909</v>
      </c>
      <c r="S616" s="807">
        <v>42928</v>
      </c>
      <c r="T616" s="798">
        <v>42946</v>
      </c>
      <c r="U616" s="798" t="str">
        <f t="shared" si="485"/>
        <v>-</v>
      </c>
      <c r="V616" s="804" t="str">
        <f t="shared" ca="1" si="486"/>
        <v>-</v>
      </c>
      <c r="W616" s="808">
        <v>3</v>
      </c>
      <c r="X616" s="794" t="str">
        <f t="shared" si="479"/>
        <v>-</v>
      </c>
      <c r="Y616" s="794">
        <v>1</v>
      </c>
      <c r="Z616" s="809" t="str">
        <f t="shared" ca="1" si="487"/>
        <v>-----</v>
      </c>
      <c r="AA616" s="810" t="str">
        <f t="shared" ca="1" si="488"/>
        <v>-----</v>
      </c>
      <c r="AB616" s="804">
        <v>1</v>
      </c>
      <c r="AC616" s="811" t="str">
        <f t="shared" ca="1" si="489"/>
        <v>-----</v>
      </c>
      <c r="AD616" s="798">
        <v>43020</v>
      </c>
      <c r="AE616" s="794" t="str">
        <f t="shared" ca="1" si="490"/>
        <v>-</v>
      </c>
      <c r="AF616" s="798" t="str">
        <f t="shared" si="491"/>
        <v>-</v>
      </c>
      <c r="AG616" s="812" t="str">
        <f t="shared" si="492"/>
        <v>---------</v>
      </c>
      <c r="AH616" s="807">
        <v>43020</v>
      </c>
      <c r="AI616" s="807" t="str">
        <f t="shared" si="493"/>
        <v>-</v>
      </c>
      <c r="AJ616" s="807" t="str">
        <f t="shared" si="494"/>
        <v>-</v>
      </c>
      <c r="AK616" s="813"/>
      <c r="AL616" s="807">
        <f t="shared" si="495"/>
        <v>43205</v>
      </c>
      <c r="AM616" s="807">
        <f t="shared" si="496"/>
        <v>43226</v>
      </c>
      <c r="AN616" s="814">
        <f t="shared" ca="1" si="497"/>
        <v>-92</v>
      </c>
      <c r="AO616" s="815">
        <v>1</v>
      </c>
      <c r="AP616" s="816" t="str">
        <f t="shared" ca="1" si="498"/>
        <v>-</v>
      </c>
      <c r="AQ616" s="817"/>
      <c r="AR616" s="794" t="str">
        <f t="shared" si="499"/>
        <v>НЕТЕЛЬ</v>
      </c>
      <c r="AS616" s="818"/>
      <c r="AT616" s="794" t="str">
        <f t="shared" si="500"/>
        <v>-</v>
      </c>
      <c r="AU616" s="819"/>
      <c r="AV616" s="820"/>
      <c r="AW616" s="821"/>
      <c r="AX616" s="821"/>
      <c r="AY616" s="969" t="str">
        <f t="shared" si="501"/>
        <v>-</v>
      </c>
      <c r="AZ616" s="966" t="str">
        <f t="shared" si="502"/>
        <v>-</v>
      </c>
      <c r="BA616" s="971" t="str">
        <f t="shared" si="503"/>
        <v>-</v>
      </c>
      <c r="BB616" s="975"/>
      <c r="BC616" s="821"/>
      <c r="BD616" s="821"/>
      <c r="BE616" s="963" t="str">
        <f t="shared" si="504"/>
        <v>-</v>
      </c>
      <c r="BF616" s="984"/>
      <c r="BG616" s="988"/>
      <c r="BH616" s="982"/>
      <c r="BI616" s="991"/>
      <c r="BJ616" s="991"/>
      <c r="BK616" s="993" t="str">
        <f t="shared" si="505"/>
        <v>-</v>
      </c>
      <c r="BL616" s="820">
        <v>42977</v>
      </c>
      <c r="BM616" s="821">
        <v>5</v>
      </c>
      <c r="BN616" s="822">
        <f t="shared" ca="1" si="506"/>
        <v>157</v>
      </c>
      <c r="BO616" s="823">
        <f t="shared" si="507"/>
        <v>15.3</v>
      </c>
      <c r="BP616" s="824"/>
      <c r="BQ616" s="821"/>
      <c r="BR616" s="822" t="str">
        <f t="shared" si="508"/>
        <v>-</v>
      </c>
      <c r="BS616" s="823" t="str">
        <f t="shared" si="509"/>
        <v>-</v>
      </c>
      <c r="BT616" s="825" t="str">
        <f t="shared" ca="1" si="510"/>
        <v>-</v>
      </c>
      <c r="BU616" s="826"/>
      <c r="BV616" s="827"/>
      <c r="BW616" s="828" t="str">
        <f t="shared" si="511"/>
        <v>Ж-Е НЕ ВАКЦ.</v>
      </c>
      <c r="BX616" s="829" t="str">
        <f t="shared" si="512"/>
        <v>-</v>
      </c>
      <c r="BY616" s="830" t="str">
        <f t="shared" ca="1" si="513"/>
        <v>-</v>
      </c>
      <c r="BZ616" s="831">
        <v>42891</v>
      </c>
      <c r="CA616" s="832">
        <v>5</v>
      </c>
      <c r="CB616" s="833">
        <f t="shared" ca="1" si="514"/>
        <v>243</v>
      </c>
      <c r="CC616" s="834" t="str">
        <f t="shared" ca="1" si="515"/>
        <v>-</v>
      </c>
      <c r="CD616" s="835">
        <f t="shared" si="516"/>
        <v>42912</v>
      </c>
      <c r="CE616" s="831">
        <v>42912</v>
      </c>
      <c r="CF616" s="832">
        <v>5</v>
      </c>
      <c r="CG616" s="833">
        <f t="shared" ca="1" si="517"/>
        <v>222</v>
      </c>
      <c r="CH616" s="836">
        <f t="shared" si="518"/>
        <v>0</v>
      </c>
      <c r="CI616" s="837" t="str">
        <f t="shared" si="519"/>
        <v>УСПЕШНО</v>
      </c>
      <c r="CJ616" s="838" t="str">
        <f t="shared" ca="1" si="520"/>
        <v>-</v>
      </c>
      <c r="CK616" s="831"/>
      <c r="CL616" s="832"/>
      <c r="CM616" s="833" t="str">
        <f t="shared" si="521"/>
        <v>-</v>
      </c>
      <c r="CN616" s="834" t="str">
        <f t="shared" si="522"/>
        <v>-</v>
      </c>
      <c r="CO616" s="830" t="str">
        <f t="shared" ca="1" si="523"/>
        <v>-</v>
      </c>
      <c r="CP616" s="839"/>
      <c r="CQ616" s="832"/>
      <c r="CR616" s="833" t="str">
        <f t="shared" si="524"/>
        <v>-</v>
      </c>
      <c r="CS616" s="833" t="str">
        <f t="shared" si="525"/>
        <v>-</v>
      </c>
      <c r="CT616" s="834" t="str">
        <f t="shared" si="526"/>
        <v>-</v>
      </c>
      <c r="CU616" s="835" t="str">
        <f t="shared" si="527"/>
        <v>-</v>
      </c>
      <c r="CV616" s="839"/>
      <c r="CW616" s="832"/>
      <c r="CX616" s="833" t="str">
        <f t="shared" si="528"/>
        <v>-</v>
      </c>
      <c r="CY616" s="840" t="str">
        <f t="shared" si="529"/>
        <v>-</v>
      </c>
      <c r="CZ616" s="833" t="str">
        <f t="shared" si="530"/>
        <v>-</v>
      </c>
      <c r="DA616" s="838" t="str">
        <f t="shared" ca="1" si="531"/>
        <v>-</v>
      </c>
      <c r="DB616" s="841"/>
      <c r="DC616" s="832"/>
    </row>
    <row r="617" spans="1:107" ht="15.95" customHeight="1" x14ac:dyDescent="0.25">
      <c r="A617" s="790">
        <v>619</v>
      </c>
      <c r="B617" s="791">
        <f t="shared" ca="1" si="480"/>
        <v>43134</v>
      </c>
      <c r="C617" s="847" t="s">
        <v>2554</v>
      </c>
      <c r="D617" s="870" t="s">
        <v>2586</v>
      </c>
      <c r="E617" s="794" t="s">
        <v>1563</v>
      </c>
      <c r="F617" s="795" t="s">
        <v>1672</v>
      </c>
      <c r="G617" s="845"/>
      <c r="H617" s="797" t="s">
        <v>603</v>
      </c>
      <c r="I617" s="798">
        <v>42518</v>
      </c>
      <c r="J617" s="799">
        <f t="shared" ca="1" si="481"/>
        <v>1.6876712328767123</v>
      </c>
      <c r="K617" s="799">
        <f t="shared" ca="1" si="482"/>
        <v>20.533333333333335</v>
      </c>
      <c r="L617" s="800">
        <f t="shared" ca="1" si="483"/>
        <v>616</v>
      </c>
      <c r="M617" s="801"/>
      <c r="N617" s="802"/>
      <c r="O617" s="803" t="str">
        <f t="shared" ca="1" si="484"/>
        <v>-</v>
      </c>
      <c r="P617" s="804"/>
      <c r="Q617" s="805" t="s">
        <v>2366</v>
      </c>
      <c r="R617" s="806" t="s">
        <v>1820</v>
      </c>
      <c r="S617" s="807">
        <v>42895</v>
      </c>
      <c r="T617" s="798">
        <v>42895</v>
      </c>
      <c r="U617" s="798" t="str">
        <f t="shared" si="485"/>
        <v>-</v>
      </c>
      <c r="V617" s="804" t="str">
        <f t="shared" ca="1" si="486"/>
        <v>-</v>
      </c>
      <c r="W617" s="808">
        <v>1</v>
      </c>
      <c r="X617" s="794" t="str">
        <f t="shared" si="479"/>
        <v>-</v>
      </c>
      <c r="Y617" s="794">
        <v>1</v>
      </c>
      <c r="Z617" s="809" t="str">
        <f t="shared" ca="1" si="487"/>
        <v>ПОДЛЕЖИТ ПЕРЕПРОВЕРКЕ</v>
      </c>
      <c r="AA617" s="810">
        <f t="shared" ca="1" si="488"/>
        <v>239</v>
      </c>
      <c r="AB617" s="804"/>
      <c r="AC617" s="811">
        <f t="shared" ca="1" si="489"/>
        <v>42967</v>
      </c>
      <c r="AD617" s="798"/>
      <c r="AE617" s="794" t="str">
        <f t="shared" ca="1" si="490"/>
        <v>-</v>
      </c>
      <c r="AF617" s="798" t="str">
        <f t="shared" si="491"/>
        <v>-</v>
      </c>
      <c r="AG617" s="812" t="str">
        <f t="shared" si="492"/>
        <v>---------</v>
      </c>
      <c r="AH617" s="807">
        <v>42955</v>
      </c>
      <c r="AI617" s="807" t="str">
        <f t="shared" si="493"/>
        <v>-</v>
      </c>
      <c r="AJ617" s="807" t="str">
        <f t="shared" si="494"/>
        <v>-</v>
      </c>
      <c r="AK617" s="813"/>
      <c r="AL617" s="807">
        <f t="shared" si="495"/>
        <v>43154</v>
      </c>
      <c r="AM617" s="807">
        <f t="shared" si="496"/>
        <v>43175</v>
      </c>
      <c r="AN617" s="814">
        <f t="shared" ca="1" si="497"/>
        <v>-41</v>
      </c>
      <c r="AO617" s="815">
        <v>1</v>
      </c>
      <c r="AP617" s="816" t="str">
        <f t="shared" ca="1" si="498"/>
        <v>-</v>
      </c>
      <c r="AQ617" s="817"/>
      <c r="AR617" s="794" t="str">
        <f t="shared" si="499"/>
        <v>НЕТЕЛЬ</v>
      </c>
      <c r="AS617" s="818"/>
      <c r="AT617" s="794" t="str">
        <f t="shared" si="500"/>
        <v>-</v>
      </c>
      <c r="AU617" s="819"/>
      <c r="AV617" s="865"/>
      <c r="AW617" s="821"/>
      <c r="AX617" s="821"/>
      <c r="AY617" s="969" t="str">
        <f t="shared" si="501"/>
        <v>-</v>
      </c>
      <c r="AZ617" s="966" t="str">
        <f t="shared" si="502"/>
        <v>-</v>
      </c>
      <c r="BA617" s="971" t="str">
        <f t="shared" si="503"/>
        <v>-</v>
      </c>
      <c r="BB617" s="975"/>
      <c r="BC617" s="821"/>
      <c r="BD617" s="821"/>
      <c r="BE617" s="963" t="str">
        <f t="shared" si="504"/>
        <v>-</v>
      </c>
      <c r="BF617" s="984"/>
      <c r="BG617" s="988"/>
      <c r="BH617" s="982"/>
      <c r="BI617" s="991"/>
      <c r="BJ617" s="991"/>
      <c r="BK617" s="993" t="str">
        <f t="shared" si="505"/>
        <v>-</v>
      </c>
      <c r="BL617" s="865"/>
      <c r="BM617" s="821"/>
      <c r="BN617" s="822" t="str">
        <f t="shared" si="506"/>
        <v>-</v>
      </c>
      <c r="BO617" s="823" t="str">
        <f t="shared" si="507"/>
        <v>-</v>
      </c>
      <c r="BP617" s="868"/>
      <c r="BQ617" s="821"/>
      <c r="BR617" s="822" t="str">
        <f t="shared" si="508"/>
        <v>-</v>
      </c>
      <c r="BS617" s="823" t="str">
        <f t="shared" si="509"/>
        <v>-</v>
      </c>
      <c r="BT617" s="825" t="str">
        <f t="shared" ca="1" si="510"/>
        <v>-</v>
      </c>
      <c r="BU617" s="826"/>
      <c r="BV617" s="827"/>
      <c r="BW617" s="828" t="str">
        <f t="shared" si="511"/>
        <v>Ж-Е НЕ ВАКЦ.</v>
      </c>
      <c r="BX617" s="829" t="str">
        <f t="shared" si="512"/>
        <v>-</v>
      </c>
      <c r="BY617" s="830" t="str">
        <f t="shared" ca="1" si="513"/>
        <v>-</v>
      </c>
      <c r="BZ617" s="831">
        <v>42891</v>
      </c>
      <c r="CA617" s="832">
        <v>5</v>
      </c>
      <c r="CB617" s="833">
        <f t="shared" ca="1" si="514"/>
        <v>243</v>
      </c>
      <c r="CC617" s="834" t="str">
        <f t="shared" ca="1" si="515"/>
        <v>-</v>
      </c>
      <c r="CD617" s="835">
        <f t="shared" si="516"/>
        <v>42912</v>
      </c>
      <c r="CE617" s="831">
        <v>42912</v>
      </c>
      <c r="CF617" s="832">
        <v>5</v>
      </c>
      <c r="CG617" s="833">
        <f t="shared" ca="1" si="517"/>
        <v>222</v>
      </c>
      <c r="CH617" s="836">
        <f t="shared" si="518"/>
        <v>0</v>
      </c>
      <c r="CI617" s="837" t="str">
        <f t="shared" si="519"/>
        <v>УСПЕШНО</v>
      </c>
      <c r="CJ617" s="838" t="str">
        <f t="shared" ca="1" si="520"/>
        <v>-</v>
      </c>
      <c r="CK617" s="831"/>
      <c r="CL617" s="832"/>
      <c r="CM617" s="833" t="str">
        <f t="shared" si="521"/>
        <v>-</v>
      </c>
      <c r="CN617" s="834" t="str">
        <f t="shared" si="522"/>
        <v>-</v>
      </c>
      <c r="CO617" s="830" t="str">
        <f t="shared" ca="1" si="523"/>
        <v>ТРЕБУЕТСЯ ВАКЦИНАЦИЯ</v>
      </c>
      <c r="CP617" s="839"/>
      <c r="CQ617" s="832"/>
      <c r="CR617" s="833" t="str">
        <f t="shared" si="524"/>
        <v>-</v>
      </c>
      <c r="CS617" s="833" t="str">
        <f t="shared" si="525"/>
        <v>-</v>
      </c>
      <c r="CT617" s="834" t="str">
        <f t="shared" si="526"/>
        <v>-</v>
      </c>
      <c r="CU617" s="835" t="str">
        <f t="shared" si="527"/>
        <v>-</v>
      </c>
      <c r="CV617" s="839"/>
      <c r="CW617" s="832"/>
      <c r="CX617" s="833" t="str">
        <f t="shared" si="528"/>
        <v>-</v>
      </c>
      <c r="CY617" s="840" t="str">
        <f t="shared" si="529"/>
        <v>-</v>
      </c>
      <c r="CZ617" s="833" t="str">
        <f t="shared" si="530"/>
        <v>-</v>
      </c>
      <c r="DA617" s="838" t="str">
        <f t="shared" ca="1" si="531"/>
        <v>-</v>
      </c>
      <c r="DB617" s="841"/>
      <c r="DC617" s="832"/>
    </row>
    <row r="618" spans="1:107" ht="15.95" customHeight="1" x14ac:dyDescent="0.25">
      <c r="A618" s="790">
        <v>620</v>
      </c>
      <c r="B618" s="791">
        <f t="shared" ca="1" si="480"/>
        <v>43134</v>
      </c>
      <c r="C618" s="792" t="s">
        <v>2554</v>
      </c>
      <c r="D618" s="793" t="s">
        <v>2586</v>
      </c>
      <c r="E618" s="794" t="s">
        <v>1563</v>
      </c>
      <c r="F618" s="795" t="s">
        <v>1692</v>
      </c>
      <c r="G618" s="845"/>
      <c r="H618" s="797" t="s">
        <v>603</v>
      </c>
      <c r="I618" s="798">
        <v>42519</v>
      </c>
      <c r="J618" s="799">
        <f t="shared" ca="1" si="481"/>
        <v>1.6849315068493151</v>
      </c>
      <c r="K618" s="799">
        <f t="shared" ca="1" si="482"/>
        <v>20.5</v>
      </c>
      <c r="L618" s="800">
        <f t="shared" ca="1" si="483"/>
        <v>615</v>
      </c>
      <c r="M618" s="801"/>
      <c r="N618" s="802"/>
      <c r="O618" s="803" t="str">
        <f t="shared" ca="1" si="484"/>
        <v>-</v>
      </c>
      <c r="P618" s="804"/>
      <c r="Q618" s="805" t="s">
        <v>2366</v>
      </c>
      <c r="R618" s="806" t="s">
        <v>1876</v>
      </c>
      <c r="S618" s="807">
        <v>42901</v>
      </c>
      <c r="T618" s="798">
        <v>42901</v>
      </c>
      <c r="U618" s="798" t="str">
        <f t="shared" si="485"/>
        <v>-</v>
      </c>
      <c r="V618" s="804" t="str">
        <f t="shared" ca="1" si="486"/>
        <v>-</v>
      </c>
      <c r="W618" s="808">
        <v>1</v>
      </c>
      <c r="X618" s="794" t="str">
        <f t="shared" si="479"/>
        <v>-</v>
      </c>
      <c r="Y618" s="794">
        <v>1</v>
      </c>
      <c r="Z618" s="809" t="str">
        <f t="shared" ca="1" si="487"/>
        <v>ПОДЛЕЖИТ ПЕРЕПРОВЕРКЕ</v>
      </c>
      <c r="AA618" s="810">
        <f t="shared" ca="1" si="488"/>
        <v>233</v>
      </c>
      <c r="AB618" s="804"/>
      <c r="AC618" s="811">
        <f t="shared" ca="1" si="489"/>
        <v>42973</v>
      </c>
      <c r="AD618" s="798"/>
      <c r="AE618" s="794" t="str">
        <f t="shared" ca="1" si="490"/>
        <v>-</v>
      </c>
      <c r="AF618" s="798" t="str">
        <f t="shared" si="491"/>
        <v>-</v>
      </c>
      <c r="AG618" s="812" t="str">
        <f t="shared" si="492"/>
        <v>---------</v>
      </c>
      <c r="AH618" s="807">
        <v>42955</v>
      </c>
      <c r="AI618" s="807" t="str">
        <f t="shared" si="493"/>
        <v>-</v>
      </c>
      <c r="AJ618" s="807" t="str">
        <f t="shared" si="494"/>
        <v>-</v>
      </c>
      <c r="AK618" s="813"/>
      <c r="AL618" s="807">
        <f t="shared" si="495"/>
        <v>43160</v>
      </c>
      <c r="AM618" s="807">
        <f t="shared" si="496"/>
        <v>43181</v>
      </c>
      <c r="AN618" s="814">
        <f t="shared" ca="1" si="497"/>
        <v>-47</v>
      </c>
      <c r="AO618" s="815">
        <v>1</v>
      </c>
      <c r="AP618" s="816" t="str">
        <f t="shared" ca="1" si="498"/>
        <v>-</v>
      </c>
      <c r="AQ618" s="817"/>
      <c r="AR618" s="794" t="str">
        <f t="shared" si="499"/>
        <v>НЕТЕЛЬ</v>
      </c>
      <c r="AS618" s="818"/>
      <c r="AT618" s="794" t="str">
        <f t="shared" si="500"/>
        <v>-</v>
      </c>
      <c r="AU618" s="819"/>
      <c r="AV618" s="820"/>
      <c r="AW618" s="821"/>
      <c r="AX618" s="821"/>
      <c r="AY618" s="969" t="str">
        <f t="shared" si="501"/>
        <v>-</v>
      </c>
      <c r="AZ618" s="966" t="str">
        <f t="shared" si="502"/>
        <v>-</v>
      </c>
      <c r="BA618" s="971" t="str">
        <f t="shared" si="503"/>
        <v>-</v>
      </c>
      <c r="BB618" s="975"/>
      <c r="BC618" s="821"/>
      <c r="BD618" s="821"/>
      <c r="BE618" s="963" t="str">
        <f t="shared" si="504"/>
        <v>-</v>
      </c>
      <c r="BF618" s="984"/>
      <c r="BG618" s="988"/>
      <c r="BH618" s="982"/>
      <c r="BI618" s="991"/>
      <c r="BJ618" s="991"/>
      <c r="BK618" s="993" t="str">
        <f t="shared" si="505"/>
        <v>-</v>
      </c>
      <c r="BL618" s="820">
        <v>42978</v>
      </c>
      <c r="BM618" s="821">
        <v>5</v>
      </c>
      <c r="BN618" s="822">
        <f t="shared" ca="1" si="506"/>
        <v>156</v>
      </c>
      <c r="BO618" s="823">
        <f t="shared" si="507"/>
        <v>15.3</v>
      </c>
      <c r="BP618" s="824"/>
      <c r="BQ618" s="821"/>
      <c r="BR618" s="822" t="str">
        <f t="shared" si="508"/>
        <v>-</v>
      </c>
      <c r="BS618" s="823" t="str">
        <f t="shared" si="509"/>
        <v>-</v>
      </c>
      <c r="BT618" s="825" t="str">
        <f t="shared" ca="1" si="510"/>
        <v>-</v>
      </c>
      <c r="BU618" s="826"/>
      <c r="BV618" s="827"/>
      <c r="BW618" s="828" t="str">
        <f t="shared" si="511"/>
        <v>Ж-Е НЕ ВАКЦ.</v>
      </c>
      <c r="BX618" s="829" t="str">
        <f t="shared" si="512"/>
        <v>-</v>
      </c>
      <c r="BY618" s="830" t="str">
        <f t="shared" ca="1" si="513"/>
        <v>-</v>
      </c>
      <c r="BZ618" s="831">
        <v>42891</v>
      </c>
      <c r="CA618" s="832">
        <v>5</v>
      </c>
      <c r="CB618" s="833">
        <f t="shared" ca="1" si="514"/>
        <v>243</v>
      </c>
      <c r="CC618" s="834" t="str">
        <f t="shared" ca="1" si="515"/>
        <v>-</v>
      </c>
      <c r="CD618" s="835">
        <f t="shared" si="516"/>
        <v>42912</v>
      </c>
      <c r="CE618" s="831">
        <v>42912</v>
      </c>
      <c r="CF618" s="832">
        <v>5</v>
      </c>
      <c r="CG618" s="833">
        <f t="shared" ca="1" si="517"/>
        <v>222</v>
      </c>
      <c r="CH618" s="836">
        <f t="shared" si="518"/>
        <v>0</v>
      </c>
      <c r="CI618" s="837" t="str">
        <f t="shared" si="519"/>
        <v>УСПЕШНО</v>
      </c>
      <c r="CJ618" s="838" t="str">
        <f t="shared" ca="1" si="520"/>
        <v>-</v>
      </c>
      <c r="CK618" s="831"/>
      <c r="CL618" s="832"/>
      <c r="CM618" s="833" t="str">
        <f t="shared" si="521"/>
        <v>-</v>
      </c>
      <c r="CN618" s="834" t="str">
        <f t="shared" si="522"/>
        <v>-</v>
      </c>
      <c r="CO618" s="830" t="str">
        <f t="shared" ca="1" si="523"/>
        <v>ТРЕБУЕТСЯ ВАКЦИНАЦИЯ</v>
      </c>
      <c r="CP618" s="839"/>
      <c r="CQ618" s="832"/>
      <c r="CR618" s="833" t="str">
        <f t="shared" si="524"/>
        <v>-</v>
      </c>
      <c r="CS618" s="833" t="str">
        <f t="shared" si="525"/>
        <v>-</v>
      </c>
      <c r="CT618" s="834" t="str">
        <f t="shared" si="526"/>
        <v>-</v>
      </c>
      <c r="CU618" s="835" t="str">
        <f t="shared" si="527"/>
        <v>-</v>
      </c>
      <c r="CV618" s="839"/>
      <c r="CW618" s="832"/>
      <c r="CX618" s="833" t="str">
        <f t="shared" si="528"/>
        <v>-</v>
      </c>
      <c r="CY618" s="840" t="str">
        <f t="shared" si="529"/>
        <v>-</v>
      </c>
      <c r="CZ618" s="833" t="str">
        <f t="shared" si="530"/>
        <v>-</v>
      </c>
      <c r="DA618" s="838" t="str">
        <f t="shared" ca="1" si="531"/>
        <v>-</v>
      </c>
      <c r="DB618" s="841"/>
      <c r="DC618" s="832"/>
    </row>
    <row r="619" spans="1:107" ht="15.95" customHeight="1" x14ac:dyDescent="0.25">
      <c r="A619" s="790">
        <v>621</v>
      </c>
      <c r="B619" s="791">
        <f t="shared" ca="1" si="480"/>
        <v>43134</v>
      </c>
      <c r="C619" s="271" t="s">
        <v>2554</v>
      </c>
      <c r="D619" s="59" t="s">
        <v>2586</v>
      </c>
      <c r="E619" s="794" t="s">
        <v>1563</v>
      </c>
      <c r="F619" s="795" t="s">
        <v>1677</v>
      </c>
      <c r="G619" s="845"/>
      <c r="H619" s="797" t="s">
        <v>603</v>
      </c>
      <c r="I619" s="798">
        <v>42519</v>
      </c>
      <c r="J619" s="799">
        <f t="shared" ca="1" si="481"/>
        <v>1.6849315068493151</v>
      </c>
      <c r="K619" s="799">
        <f t="shared" ca="1" si="482"/>
        <v>20.5</v>
      </c>
      <c r="L619" s="800">
        <f t="shared" ca="1" si="483"/>
        <v>615</v>
      </c>
      <c r="M619" s="801"/>
      <c r="N619" s="802"/>
      <c r="O619" s="803" t="str">
        <f t="shared" ca="1" si="484"/>
        <v>-</v>
      </c>
      <c r="P619" s="804"/>
      <c r="Q619" s="805" t="s">
        <v>2366</v>
      </c>
      <c r="R619" s="806" t="s">
        <v>2909</v>
      </c>
      <c r="S619" s="807">
        <v>42888</v>
      </c>
      <c r="T619" s="798">
        <v>42944</v>
      </c>
      <c r="U619" s="798" t="str">
        <f t="shared" si="485"/>
        <v>-</v>
      </c>
      <c r="V619" s="804" t="str">
        <f t="shared" ca="1" si="486"/>
        <v>-</v>
      </c>
      <c r="W619" s="808">
        <v>3</v>
      </c>
      <c r="X619" s="794" t="str">
        <f t="shared" si="479"/>
        <v>-</v>
      </c>
      <c r="Y619" s="794">
        <v>1</v>
      </c>
      <c r="Z619" s="809" t="str">
        <f t="shared" ca="1" si="487"/>
        <v>ПОДЛЕЖИТ ПЕРЕПРОВЕРКЕ</v>
      </c>
      <c r="AA619" s="810">
        <f t="shared" ca="1" si="488"/>
        <v>190</v>
      </c>
      <c r="AB619" s="804"/>
      <c r="AC619" s="811">
        <f t="shared" ca="1" si="489"/>
        <v>43016</v>
      </c>
      <c r="AD619" s="798"/>
      <c r="AE619" s="794" t="str">
        <f t="shared" ca="1" si="490"/>
        <v>-</v>
      </c>
      <c r="AF619" s="798" t="str">
        <f t="shared" si="491"/>
        <v>-</v>
      </c>
      <c r="AG619" s="812" t="str">
        <f t="shared" si="492"/>
        <v>---------</v>
      </c>
      <c r="AH619" s="807">
        <v>43001</v>
      </c>
      <c r="AI619" s="807" t="str">
        <f t="shared" si="493"/>
        <v>-</v>
      </c>
      <c r="AJ619" s="807" t="str">
        <f t="shared" si="494"/>
        <v>-</v>
      </c>
      <c r="AK619" s="813"/>
      <c r="AL619" s="807">
        <f t="shared" si="495"/>
        <v>43203</v>
      </c>
      <c r="AM619" s="807">
        <f t="shared" si="496"/>
        <v>43224</v>
      </c>
      <c r="AN619" s="814">
        <f t="shared" ca="1" si="497"/>
        <v>-90</v>
      </c>
      <c r="AO619" s="815">
        <v>1</v>
      </c>
      <c r="AP619" s="816" t="str">
        <f t="shared" ca="1" si="498"/>
        <v>-</v>
      </c>
      <c r="AQ619" s="817"/>
      <c r="AR619" s="794" t="str">
        <f t="shared" si="499"/>
        <v>НЕТЕЛЬ</v>
      </c>
      <c r="AS619" s="818"/>
      <c r="AT619" s="794" t="str">
        <f t="shared" si="500"/>
        <v>-</v>
      </c>
      <c r="AU619" s="819"/>
      <c r="AV619" s="820"/>
      <c r="AW619" s="821"/>
      <c r="AX619" s="821"/>
      <c r="AY619" s="969" t="str">
        <f t="shared" si="501"/>
        <v>-</v>
      </c>
      <c r="AZ619" s="966" t="str">
        <f t="shared" si="502"/>
        <v>-</v>
      </c>
      <c r="BA619" s="971" t="str">
        <f t="shared" si="503"/>
        <v>-</v>
      </c>
      <c r="BB619" s="975"/>
      <c r="BC619" s="821"/>
      <c r="BD619" s="821"/>
      <c r="BE619" s="963" t="str">
        <f t="shared" si="504"/>
        <v>-</v>
      </c>
      <c r="BF619" s="984"/>
      <c r="BG619" s="988"/>
      <c r="BH619" s="982"/>
      <c r="BI619" s="991"/>
      <c r="BJ619" s="991"/>
      <c r="BK619" s="993" t="str">
        <f t="shared" si="505"/>
        <v>-</v>
      </c>
      <c r="BL619" s="820">
        <v>42977</v>
      </c>
      <c r="BM619" s="821">
        <v>5</v>
      </c>
      <c r="BN619" s="822">
        <f t="shared" ca="1" si="506"/>
        <v>157</v>
      </c>
      <c r="BO619" s="823">
        <f t="shared" si="507"/>
        <v>15.266666666666667</v>
      </c>
      <c r="BP619" s="824"/>
      <c r="BQ619" s="821"/>
      <c r="BR619" s="822" t="str">
        <f t="shared" si="508"/>
        <v>-</v>
      </c>
      <c r="BS619" s="823" t="str">
        <f t="shared" si="509"/>
        <v>-</v>
      </c>
      <c r="BT619" s="825" t="str">
        <f t="shared" ca="1" si="510"/>
        <v>-</v>
      </c>
      <c r="BU619" s="826"/>
      <c r="BV619" s="827"/>
      <c r="BW619" s="828" t="str">
        <f t="shared" si="511"/>
        <v>Ж-Е НЕ ВАКЦ.</v>
      </c>
      <c r="BX619" s="829" t="str">
        <f t="shared" si="512"/>
        <v>-</v>
      </c>
      <c r="BY619" s="830" t="str">
        <f t="shared" ca="1" si="513"/>
        <v>-</v>
      </c>
      <c r="BZ619" s="831">
        <v>42891</v>
      </c>
      <c r="CA619" s="832">
        <v>5</v>
      </c>
      <c r="CB619" s="833">
        <f t="shared" ca="1" si="514"/>
        <v>243</v>
      </c>
      <c r="CC619" s="834" t="str">
        <f t="shared" ca="1" si="515"/>
        <v>-</v>
      </c>
      <c r="CD619" s="835">
        <f t="shared" si="516"/>
        <v>42912</v>
      </c>
      <c r="CE619" s="831">
        <v>42912</v>
      </c>
      <c r="CF619" s="832">
        <v>5</v>
      </c>
      <c r="CG619" s="833">
        <f t="shared" ca="1" si="517"/>
        <v>222</v>
      </c>
      <c r="CH619" s="836">
        <f t="shared" si="518"/>
        <v>0</v>
      </c>
      <c r="CI619" s="837" t="str">
        <f t="shared" si="519"/>
        <v>УСПЕШНО</v>
      </c>
      <c r="CJ619" s="838" t="str">
        <f t="shared" ca="1" si="520"/>
        <v>-</v>
      </c>
      <c r="CK619" s="831"/>
      <c r="CL619" s="832"/>
      <c r="CM619" s="833" t="str">
        <f t="shared" si="521"/>
        <v>-</v>
      </c>
      <c r="CN619" s="834" t="str">
        <f t="shared" si="522"/>
        <v>-</v>
      </c>
      <c r="CO619" s="830" t="str">
        <f t="shared" ca="1" si="523"/>
        <v>-</v>
      </c>
      <c r="CP619" s="839"/>
      <c r="CQ619" s="832"/>
      <c r="CR619" s="833" t="str">
        <f t="shared" si="524"/>
        <v>-</v>
      </c>
      <c r="CS619" s="833" t="str">
        <f t="shared" si="525"/>
        <v>-</v>
      </c>
      <c r="CT619" s="834" t="str">
        <f t="shared" si="526"/>
        <v>-</v>
      </c>
      <c r="CU619" s="835" t="str">
        <f t="shared" si="527"/>
        <v>-</v>
      </c>
      <c r="CV619" s="839"/>
      <c r="CW619" s="832"/>
      <c r="CX619" s="833" t="str">
        <f t="shared" si="528"/>
        <v>-</v>
      </c>
      <c r="CY619" s="840" t="str">
        <f t="shared" si="529"/>
        <v>-</v>
      </c>
      <c r="CZ619" s="833" t="str">
        <f t="shared" si="530"/>
        <v>-</v>
      </c>
      <c r="DA619" s="838" t="str">
        <f t="shared" ca="1" si="531"/>
        <v>-</v>
      </c>
      <c r="DB619" s="841"/>
      <c r="DC619" s="832"/>
    </row>
    <row r="620" spans="1:107" ht="15.95" customHeight="1" x14ac:dyDescent="0.25">
      <c r="A620" s="790">
        <v>622</v>
      </c>
      <c r="B620" s="791">
        <f t="shared" ca="1" si="480"/>
        <v>43134</v>
      </c>
      <c r="C620" s="792" t="s">
        <v>2554</v>
      </c>
      <c r="D620" s="793" t="s">
        <v>2586</v>
      </c>
      <c r="E620" s="794" t="s">
        <v>1563</v>
      </c>
      <c r="F620" s="795" t="s">
        <v>1649</v>
      </c>
      <c r="G620" s="845"/>
      <c r="H620" s="797" t="s">
        <v>603</v>
      </c>
      <c r="I620" s="798">
        <v>42522</v>
      </c>
      <c r="J620" s="799">
        <f t="shared" ca="1" si="481"/>
        <v>1.6767123287671233</v>
      </c>
      <c r="K620" s="799">
        <f t="shared" ca="1" si="482"/>
        <v>20.399999999999999</v>
      </c>
      <c r="L620" s="800">
        <f t="shared" ca="1" si="483"/>
        <v>612</v>
      </c>
      <c r="M620" s="801"/>
      <c r="N620" s="802"/>
      <c r="O620" s="803" t="str">
        <f t="shared" ca="1" si="484"/>
        <v>-</v>
      </c>
      <c r="P620" s="804"/>
      <c r="Q620" s="805" t="s">
        <v>2366</v>
      </c>
      <c r="R620" s="806" t="s">
        <v>1876</v>
      </c>
      <c r="S620" s="807">
        <v>42895</v>
      </c>
      <c r="T620" s="798">
        <v>42895</v>
      </c>
      <c r="U620" s="798" t="str">
        <f t="shared" si="485"/>
        <v>-</v>
      </c>
      <c r="V620" s="804" t="str">
        <f t="shared" ca="1" si="486"/>
        <v>-</v>
      </c>
      <c r="W620" s="808">
        <v>1</v>
      </c>
      <c r="X620" s="794" t="str">
        <f t="shared" si="479"/>
        <v>-</v>
      </c>
      <c r="Y620" s="794">
        <v>1</v>
      </c>
      <c r="Z620" s="809" t="str">
        <f t="shared" ca="1" si="487"/>
        <v>ПОДЛЕЖИТ ПЕРЕПРОВЕРКЕ</v>
      </c>
      <c r="AA620" s="810">
        <f t="shared" ca="1" si="488"/>
        <v>239</v>
      </c>
      <c r="AB620" s="804"/>
      <c r="AC620" s="811">
        <f t="shared" ca="1" si="489"/>
        <v>42967</v>
      </c>
      <c r="AD620" s="798"/>
      <c r="AE620" s="794" t="str">
        <f t="shared" ca="1" si="490"/>
        <v>-</v>
      </c>
      <c r="AF620" s="798" t="str">
        <f t="shared" si="491"/>
        <v>-</v>
      </c>
      <c r="AG620" s="812" t="str">
        <f t="shared" si="492"/>
        <v>---------</v>
      </c>
      <c r="AH620" s="807">
        <v>42955</v>
      </c>
      <c r="AI620" s="807" t="str">
        <f t="shared" si="493"/>
        <v>-</v>
      </c>
      <c r="AJ620" s="807" t="str">
        <f t="shared" si="494"/>
        <v>-</v>
      </c>
      <c r="AK620" s="813"/>
      <c r="AL620" s="807">
        <f t="shared" si="495"/>
        <v>43154</v>
      </c>
      <c r="AM620" s="807">
        <f t="shared" si="496"/>
        <v>43175</v>
      </c>
      <c r="AN620" s="814">
        <f t="shared" ca="1" si="497"/>
        <v>-41</v>
      </c>
      <c r="AO620" s="815">
        <v>1</v>
      </c>
      <c r="AP620" s="816" t="str">
        <f t="shared" ca="1" si="498"/>
        <v>-</v>
      </c>
      <c r="AQ620" s="817"/>
      <c r="AR620" s="794" t="str">
        <f t="shared" si="499"/>
        <v>НЕТЕЛЬ</v>
      </c>
      <c r="AS620" s="818"/>
      <c r="AT620" s="794" t="str">
        <f t="shared" si="500"/>
        <v>-</v>
      </c>
      <c r="AU620" s="819"/>
      <c r="AV620" s="820"/>
      <c r="AW620" s="821"/>
      <c r="AX620" s="821"/>
      <c r="AY620" s="969" t="str">
        <f t="shared" si="501"/>
        <v>-</v>
      </c>
      <c r="AZ620" s="966" t="str">
        <f t="shared" si="502"/>
        <v>-</v>
      </c>
      <c r="BA620" s="971" t="str">
        <f t="shared" si="503"/>
        <v>-</v>
      </c>
      <c r="BB620" s="975"/>
      <c r="BC620" s="821"/>
      <c r="BD620" s="821"/>
      <c r="BE620" s="963" t="str">
        <f t="shared" si="504"/>
        <v>-</v>
      </c>
      <c r="BF620" s="984"/>
      <c r="BG620" s="988"/>
      <c r="BH620" s="982"/>
      <c r="BI620" s="991"/>
      <c r="BJ620" s="991"/>
      <c r="BK620" s="993" t="str">
        <f t="shared" si="505"/>
        <v>-</v>
      </c>
      <c r="BL620" s="820">
        <v>42977</v>
      </c>
      <c r="BM620" s="821">
        <v>5</v>
      </c>
      <c r="BN620" s="822">
        <f t="shared" ca="1" si="506"/>
        <v>157</v>
      </c>
      <c r="BO620" s="823">
        <f t="shared" si="507"/>
        <v>15.166666666666666</v>
      </c>
      <c r="BP620" s="824"/>
      <c r="BQ620" s="821"/>
      <c r="BR620" s="822" t="str">
        <f t="shared" si="508"/>
        <v>-</v>
      </c>
      <c r="BS620" s="823" t="str">
        <f t="shared" si="509"/>
        <v>-</v>
      </c>
      <c r="BT620" s="825" t="str">
        <f t="shared" ca="1" si="510"/>
        <v>-</v>
      </c>
      <c r="BU620" s="826"/>
      <c r="BV620" s="827"/>
      <c r="BW620" s="828" t="str">
        <f t="shared" si="511"/>
        <v>Ж-Е НЕ ВАКЦ.</v>
      </c>
      <c r="BX620" s="829" t="str">
        <f t="shared" si="512"/>
        <v>-</v>
      </c>
      <c r="BY620" s="830" t="str">
        <f t="shared" ca="1" si="513"/>
        <v>-</v>
      </c>
      <c r="BZ620" s="831">
        <v>42891</v>
      </c>
      <c r="CA620" s="832">
        <v>5</v>
      </c>
      <c r="CB620" s="833">
        <f t="shared" ca="1" si="514"/>
        <v>243</v>
      </c>
      <c r="CC620" s="834" t="str">
        <f t="shared" ca="1" si="515"/>
        <v>-</v>
      </c>
      <c r="CD620" s="835">
        <f t="shared" si="516"/>
        <v>42912</v>
      </c>
      <c r="CE620" s="831">
        <v>42912</v>
      </c>
      <c r="CF620" s="832">
        <v>5</v>
      </c>
      <c r="CG620" s="833">
        <f t="shared" ca="1" si="517"/>
        <v>222</v>
      </c>
      <c r="CH620" s="836">
        <f t="shared" si="518"/>
        <v>0</v>
      </c>
      <c r="CI620" s="837" t="str">
        <f t="shared" si="519"/>
        <v>УСПЕШНО</v>
      </c>
      <c r="CJ620" s="838" t="str">
        <f t="shared" ca="1" si="520"/>
        <v>-</v>
      </c>
      <c r="CK620" s="831"/>
      <c r="CL620" s="832"/>
      <c r="CM620" s="833" t="str">
        <f t="shared" si="521"/>
        <v>-</v>
      </c>
      <c r="CN620" s="834" t="str">
        <f t="shared" si="522"/>
        <v>-</v>
      </c>
      <c r="CO620" s="830" t="str">
        <f t="shared" ca="1" si="523"/>
        <v>ТРЕБУЕТСЯ ВАКЦИНАЦИЯ</v>
      </c>
      <c r="CP620" s="839"/>
      <c r="CQ620" s="832"/>
      <c r="CR620" s="833" t="str">
        <f t="shared" si="524"/>
        <v>-</v>
      </c>
      <c r="CS620" s="833" t="str">
        <f t="shared" si="525"/>
        <v>-</v>
      </c>
      <c r="CT620" s="834" t="str">
        <f t="shared" si="526"/>
        <v>-</v>
      </c>
      <c r="CU620" s="835" t="str">
        <f t="shared" si="527"/>
        <v>-</v>
      </c>
      <c r="CV620" s="839"/>
      <c r="CW620" s="832"/>
      <c r="CX620" s="833" t="str">
        <f t="shared" si="528"/>
        <v>-</v>
      </c>
      <c r="CY620" s="840" t="str">
        <f t="shared" si="529"/>
        <v>-</v>
      </c>
      <c r="CZ620" s="833" t="str">
        <f t="shared" si="530"/>
        <v>-</v>
      </c>
      <c r="DA620" s="838" t="str">
        <f t="shared" ca="1" si="531"/>
        <v>-</v>
      </c>
      <c r="DB620" s="841"/>
      <c r="DC620" s="832"/>
    </row>
    <row r="621" spans="1:107" s="842" customFormat="1" ht="15.95" customHeight="1" x14ac:dyDescent="0.25">
      <c r="A621" s="790">
        <v>623</v>
      </c>
      <c r="B621" s="791">
        <f t="shared" ca="1" si="480"/>
        <v>43134</v>
      </c>
      <c r="C621" s="271" t="s">
        <v>2554</v>
      </c>
      <c r="D621" s="59" t="s">
        <v>2586</v>
      </c>
      <c r="E621" s="794" t="s">
        <v>1563</v>
      </c>
      <c r="F621" s="795" t="s">
        <v>1651</v>
      </c>
      <c r="G621" s="845"/>
      <c r="H621" s="797" t="s">
        <v>603</v>
      </c>
      <c r="I621" s="798">
        <v>42523</v>
      </c>
      <c r="J621" s="799">
        <f t="shared" ca="1" si="481"/>
        <v>1.6739726027397259</v>
      </c>
      <c r="K621" s="799">
        <f t="shared" ca="1" si="482"/>
        <v>20.366666666666667</v>
      </c>
      <c r="L621" s="800">
        <f t="shared" ca="1" si="483"/>
        <v>611</v>
      </c>
      <c r="M621" s="801"/>
      <c r="N621" s="802"/>
      <c r="O621" s="803" t="str">
        <f t="shared" ca="1" si="484"/>
        <v>-</v>
      </c>
      <c r="P621" s="804"/>
      <c r="Q621" s="805" t="s">
        <v>1451</v>
      </c>
      <c r="R621" s="806" t="s">
        <v>2435</v>
      </c>
      <c r="S621" s="807">
        <v>42881</v>
      </c>
      <c r="T621" s="798">
        <v>42975</v>
      </c>
      <c r="U621" s="798" t="str">
        <f t="shared" si="485"/>
        <v>-</v>
      </c>
      <c r="V621" s="804" t="str">
        <f t="shared" ca="1" si="486"/>
        <v>-</v>
      </c>
      <c r="W621" s="808">
        <v>2</v>
      </c>
      <c r="X621" s="794" t="str">
        <f t="shared" si="479"/>
        <v>-</v>
      </c>
      <c r="Y621" s="794">
        <v>1</v>
      </c>
      <c r="Z621" s="809" t="str">
        <f t="shared" ca="1" si="487"/>
        <v>ПОДЛЕЖИТ ПЕРЕПРОВЕРКЕ</v>
      </c>
      <c r="AA621" s="810">
        <f t="shared" ca="1" si="488"/>
        <v>159</v>
      </c>
      <c r="AB621" s="804"/>
      <c r="AC621" s="811">
        <f t="shared" ca="1" si="489"/>
        <v>43047</v>
      </c>
      <c r="AD621" s="798"/>
      <c r="AE621" s="794" t="str">
        <f t="shared" ca="1" si="490"/>
        <v>-</v>
      </c>
      <c r="AF621" s="798" t="str">
        <f t="shared" si="491"/>
        <v>-</v>
      </c>
      <c r="AG621" s="812" t="str">
        <f t="shared" si="492"/>
        <v>---------</v>
      </c>
      <c r="AH621" s="807">
        <v>43032</v>
      </c>
      <c r="AI621" s="807" t="str">
        <f t="shared" si="493"/>
        <v>-</v>
      </c>
      <c r="AJ621" s="807" t="str">
        <f t="shared" si="494"/>
        <v>-</v>
      </c>
      <c r="AK621" s="813"/>
      <c r="AL621" s="807">
        <f t="shared" si="495"/>
        <v>43234</v>
      </c>
      <c r="AM621" s="807">
        <f t="shared" si="496"/>
        <v>43255</v>
      </c>
      <c r="AN621" s="814">
        <f t="shared" ca="1" si="497"/>
        <v>-121</v>
      </c>
      <c r="AO621" s="815">
        <v>1</v>
      </c>
      <c r="AP621" s="816" t="str">
        <f t="shared" ca="1" si="498"/>
        <v>-</v>
      </c>
      <c r="AQ621" s="817"/>
      <c r="AR621" s="794" t="str">
        <f t="shared" si="499"/>
        <v>НЕТЕЛЬ</v>
      </c>
      <c r="AS621" s="818"/>
      <c r="AT621" s="794" t="str">
        <f t="shared" si="500"/>
        <v>-</v>
      </c>
      <c r="AU621" s="819"/>
      <c r="AV621" s="820"/>
      <c r="AW621" s="821"/>
      <c r="AX621" s="821"/>
      <c r="AY621" s="969" t="str">
        <f t="shared" si="501"/>
        <v>-</v>
      </c>
      <c r="AZ621" s="966" t="str">
        <f t="shared" si="502"/>
        <v>-</v>
      </c>
      <c r="BA621" s="971" t="str">
        <f t="shared" si="503"/>
        <v>-</v>
      </c>
      <c r="BB621" s="975"/>
      <c r="BC621" s="821"/>
      <c r="BD621" s="821"/>
      <c r="BE621" s="963" t="str">
        <f t="shared" si="504"/>
        <v>-</v>
      </c>
      <c r="BF621" s="984"/>
      <c r="BG621" s="988"/>
      <c r="BH621" s="982"/>
      <c r="BI621" s="991"/>
      <c r="BJ621" s="991"/>
      <c r="BK621" s="993" t="str">
        <f t="shared" si="505"/>
        <v>-</v>
      </c>
      <c r="BL621" s="820">
        <v>42977</v>
      </c>
      <c r="BM621" s="821">
        <v>5</v>
      </c>
      <c r="BN621" s="822">
        <f t="shared" ca="1" si="506"/>
        <v>157</v>
      </c>
      <c r="BO621" s="823">
        <f t="shared" si="507"/>
        <v>15.133333333333333</v>
      </c>
      <c r="BP621" s="824"/>
      <c r="BQ621" s="821"/>
      <c r="BR621" s="822" t="str">
        <f t="shared" si="508"/>
        <v>-</v>
      </c>
      <c r="BS621" s="823" t="str">
        <f t="shared" si="509"/>
        <v>-</v>
      </c>
      <c r="BT621" s="825" t="str">
        <f t="shared" ca="1" si="510"/>
        <v>-</v>
      </c>
      <c r="BU621" s="826"/>
      <c r="BV621" s="827"/>
      <c r="BW621" s="828" t="str">
        <f t="shared" si="511"/>
        <v>Ж-Е НЕ ВАКЦ.</v>
      </c>
      <c r="BX621" s="829" t="str">
        <f t="shared" si="512"/>
        <v>-</v>
      </c>
      <c r="BY621" s="830" t="str">
        <f t="shared" ca="1" si="513"/>
        <v>-</v>
      </c>
      <c r="BZ621" s="831">
        <v>42891</v>
      </c>
      <c r="CA621" s="832">
        <v>5</v>
      </c>
      <c r="CB621" s="833">
        <f t="shared" ca="1" si="514"/>
        <v>243</v>
      </c>
      <c r="CC621" s="834" t="str">
        <f t="shared" ca="1" si="515"/>
        <v>-</v>
      </c>
      <c r="CD621" s="835">
        <f t="shared" si="516"/>
        <v>42912</v>
      </c>
      <c r="CE621" s="831">
        <v>42912</v>
      </c>
      <c r="CF621" s="832">
        <v>5</v>
      </c>
      <c r="CG621" s="833">
        <f t="shared" ca="1" si="517"/>
        <v>222</v>
      </c>
      <c r="CH621" s="836">
        <f t="shared" si="518"/>
        <v>0</v>
      </c>
      <c r="CI621" s="837" t="str">
        <f t="shared" si="519"/>
        <v>УСПЕШНО</v>
      </c>
      <c r="CJ621" s="838" t="str">
        <f t="shared" ca="1" si="520"/>
        <v>-</v>
      </c>
      <c r="CK621" s="831"/>
      <c r="CL621" s="832"/>
      <c r="CM621" s="833" t="str">
        <f t="shared" si="521"/>
        <v>-</v>
      </c>
      <c r="CN621" s="834" t="str">
        <f t="shared" si="522"/>
        <v>-</v>
      </c>
      <c r="CO621" s="830" t="str">
        <f t="shared" ca="1" si="523"/>
        <v>-</v>
      </c>
      <c r="CP621" s="839"/>
      <c r="CQ621" s="832"/>
      <c r="CR621" s="833" t="str">
        <f t="shared" si="524"/>
        <v>-</v>
      </c>
      <c r="CS621" s="833" t="str">
        <f t="shared" si="525"/>
        <v>-</v>
      </c>
      <c r="CT621" s="834" t="str">
        <f t="shared" si="526"/>
        <v>-</v>
      </c>
      <c r="CU621" s="835" t="str">
        <f t="shared" si="527"/>
        <v>-</v>
      </c>
      <c r="CV621" s="839"/>
      <c r="CW621" s="832"/>
      <c r="CX621" s="833" t="str">
        <f t="shared" si="528"/>
        <v>-</v>
      </c>
      <c r="CY621" s="840" t="str">
        <f t="shared" si="529"/>
        <v>-</v>
      </c>
      <c r="CZ621" s="833" t="str">
        <f t="shared" si="530"/>
        <v>-</v>
      </c>
      <c r="DA621" s="838" t="str">
        <f t="shared" ca="1" si="531"/>
        <v>-</v>
      </c>
      <c r="DB621" s="841"/>
      <c r="DC621" s="832"/>
    </row>
    <row r="622" spans="1:107" ht="15.95" customHeight="1" x14ac:dyDescent="0.25">
      <c r="A622" s="790">
        <v>624</v>
      </c>
      <c r="B622" s="791">
        <f t="shared" ca="1" si="480"/>
        <v>43134</v>
      </c>
      <c r="C622" s="847" t="s">
        <v>2554</v>
      </c>
      <c r="D622" s="793" t="s">
        <v>2586</v>
      </c>
      <c r="E622" s="794" t="s">
        <v>1563</v>
      </c>
      <c r="F622" s="795" t="s">
        <v>1643</v>
      </c>
      <c r="G622" s="845"/>
      <c r="H622" s="797" t="s">
        <v>603</v>
      </c>
      <c r="I622" s="798">
        <v>42527</v>
      </c>
      <c r="J622" s="799">
        <f t="shared" ca="1" si="481"/>
        <v>1.6630136986301369</v>
      </c>
      <c r="K622" s="799">
        <f t="shared" ca="1" si="482"/>
        <v>20.233333333333334</v>
      </c>
      <c r="L622" s="800">
        <f t="shared" ca="1" si="483"/>
        <v>607</v>
      </c>
      <c r="M622" s="801"/>
      <c r="N622" s="802"/>
      <c r="O622" s="803" t="str">
        <f t="shared" ca="1" si="484"/>
        <v>-</v>
      </c>
      <c r="P622" s="804"/>
      <c r="Q622" s="805" t="s">
        <v>2366</v>
      </c>
      <c r="R622" s="806" t="s">
        <v>1876</v>
      </c>
      <c r="S622" s="807">
        <v>42881</v>
      </c>
      <c r="T622" s="798">
        <v>42881</v>
      </c>
      <c r="U622" s="798" t="str">
        <f t="shared" si="485"/>
        <v>-</v>
      </c>
      <c r="V622" s="804" t="str">
        <f t="shared" ca="1" si="486"/>
        <v>-</v>
      </c>
      <c r="W622" s="808">
        <v>1</v>
      </c>
      <c r="X622" s="794" t="str">
        <f t="shared" si="479"/>
        <v>-</v>
      </c>
      <c r="Y622" s="794">
        <v>1</v>
      </c>
      <c r="Z622" s="809" t="str">
        <f t="shared" ca="1" si="487"/>
        <v>-----</v>
      </c>
      <c r="AA622" s="810" t="str">
        <f t="shared" ca="1" si="488"/>
        <v>-----</v>
      </c>
      <c r="AB622" s="804">
        <v>1</v>
      </c>
      <c r="AC622" s="811" t="str">
        <f t="shared" ca="1" si="489"/>
        <v>-----</v>
      </c>
      <c r="AD622" s="798">
        <v>42941</v>
      </c>
      <c r="AE622" s="794" t="str">
        <f t="shared" ca="1" si="490"/>
        <v>-</v>
      </c>
      <c r="AF622" s="798" t="str">
        <f t="shared" si="491"/>
        <v>-</v>
      </c>
      <c r="AG622" s="812" t="str">
        <f t="shared" si="492"/>
        <v>---------</v>
      </c>
      <c r="AH622" s="807">
        <v>42941</v>
      </c>
      <c r="AI622" s="807" t="str">
        <f t="shared" si="493"/>
        <v>-</v>
      </c>
      <c r="AJ622" s="807" t="str">
        <f t="shared" si="494"/>
        <v>-</v>
      </c>
      <c r="AK622" s="813"/>
      <c r="AL622" s="807">
        <f t="shared" si="495"/>
        <v>43140</v>
      </c>
      <c r="AM622" s="807">
        <f t="shared" si="496"/>
        <v>43161</v>
      </c>
      <c r="AN622" s="814">
        <f t="shared" ca="1" si="497"/>
        <v>-27</v>
      </c>
      <c r="AO622" s="815">
        <v>1</v>
      </c>
      <c r="AP622" s="816" t="str">
        <f t="shared" ca="1" si="498"/>
        <v>-</v>
      </c>
      <c r="AQ622" s="817"/>
      <c r="AR622" s="794" t="str">
        <f t="shared" si="499"/>
        <v>НЕТЕЛЬ</v>
      </c>
      <c r="AS622" s="818"/>
      <c r="AT622" s="794" t="str">
        <f t="shared" si="500"/>
        <v>-</v>
      </c>
      <c r="AU622" s="819"/>
      <c r="AV622" s="820"/>
      <c r="AW622" s="821"/>
      <c r="AX622" s="821"/>
      <c r="AY622" s="969" t="str">
        <f t="shared" si="501"/>
        <v>-</v>
      </c>
      <c r="AZ622" s="966" t="str">
        <f t="shared" si="502"/>
        <v>-</v>
      </c>
      <c r="BA622" s="971" t="str">
        <f t="shared" si="503"/>
        <v>-</v>
      </c>
      <c r="BB622" s="975"/>
      <c r="BC622" s="821"/>
      <c r="BD622" s="821"/>
      <c r="BE622" s="963" t="str">
        <f t="shared" si="504"/>
        <v>-</v>
      </c>
      <c r="BF622" s="984"/>
      <c r="BG622" s="988"/>
      <c r="BH622" s="982"/>
      <c r="BI622" s="991"/>
      <c r="BJ622" s="991"/>
      <c r="BK622" s="993" t="str">
        <f t="shared" si="505"/>
        <v>-</v>
      </c>
      <c r="BL622" s="820">
        <v>42978</v>
      </c>
      <c r="BM622" s="821">
        <v>5</v>
      </c>
      <c r="BN622" s="822">
        <f t="shared" ca="1" si="506"/>
        <v>156</v>
      </c>
      <c r="BO622" s="823">
        <f t="shared" si="507"/>
        <v>15.033333333333333</v>
      </c>
      <c r="BP622" s="824"/>
      <c r="BQ622" s="821"/>
      <c r="BR622" s="822" t="str">
        <f t="shared" si="508"/>
        <v>-</v>
      </c>
      <c r="BS622" s="823" t="str">
        <f t="shared" si="509"/>
        <v>-</v>
      </c>
      <c r="BT622" s="825" t="str">
        <f t="shared" ca="1" si="510"/>
        <v>-</v>
      </c>
      <c r="BU622" s="826"/>
      <c r="BV622" s="827"/>
      <c r="BW622" s="828" t="str">
        <f t="shared" si="511"/>
        <v>Ж-Е НЕ ВАКЦ.</v>
      </c>
      <c r="BX622" s="829" t="str">
        <f t="shared" si="512"/>
        <v>-</v>
      </c>
      <c r="BY622" s="830" t="str">
        <f t="shared" ca="1" si="513"/>
        <v>-</v>
      </c>
      <c r="BZ622" s="831">
        <v>42891</v>
      </c>
      <c r="CA622" s="832">
        <v>5</v>
      </c>
      <c r="CB622" s="833">
        <f t="shared" ca="1" si="514"/>
        <v>243</v>
      </c>
      <c r="CC622" s="834" t="str">
        <f t="shared" ca="1" si="515"/>
        <v>-</v>
      </c>
      <c r="CD622" s="835">
        <f t="shared" si="516"/>
        <v>42912</v>
      </c>
      <c r="CE622" s="831">
        <v>42912</v>
      </c>
      <c r="CF622" s="832">
        <v>5</v>
      </c>
      <c r="CG622" s="833">
        <f t="shared" ca="1" si="517"/>
        <v>222</v>
      </c>
      <c r="CH622" s="836">
        <f t="shared" si="518"/>
        <v>0</v>
      </c>
      <c r="CI622" s="837" t="str">
        <f t="shared" si="519"/>
        <v>УСПЕШНО</v>
      </c>
      <c r="CJ622" s="838" t="str">
        <f t="shared" ca="1" si="520"/>
        <v>-</v>
      </c>
      <c r="CK622" s="831"/>
      <c r="CL622" s="832"/>
      <c r="CM622" s="833" t="str">
        <f t="shared" si="521"/>
        <v>-</v>
      </c>
      <c r="CN622" s="834" t="str">
        <f t="shared" si="522"/>
        <v>-</v>
      </c>
      <c r="CO622" s="830" t="str">
        <f t="shared" ca="1" si="523"/>
        <v>ТРЕБУЕТСЯ ВАКЦИНАЦИЯ</v>
      </c>
      <c r="CP622" s="839"/>
      <c r="CQ622" s="832"/>
      <c r="CR622" s="833" t="str">
        <f t="shared" si="524"/>
        <v>-</v>
      </c>
      <c r="CS622" s="833" t="str">
        <f t="shared" si="525"/>
        <v>-</v>
      </c>
      <c r="CT622" s="834" t="str">
        <f t="shared" si="526"/>
        <v>-</v>
      </c>
      <c r="CU622" s="835" t="str">
        <f t="shared" si="527"/>
        <v>-</v>
      </c>
      <c r="CV622" s="839"/>
      <c r="CW622" s="832"/>
      <c r="CX622" s="833" t="str">
        <f t="shared" si="528"/>
        <v>-</v>
      </c>
      <c r="CY622" s="840" t="str">
        <f t="shared" si="529"/>
        <v>-</v>
      </c>
      <c r="CZ622" s="833" t="str">
        <f t="shared" si="530"/>
        <v>-</v>
      </c>
      <c r="DA622" s="838" t="str">
        <f t="shared" ca="1" si="531"/>
        <v>-</v>
      </c>
      <c r="DB622" s="841"/>
      <c r="DC622" s="832"/>
    </row>
    <row r="623" spans="1:107" ht="15.95" customHeight="1" x14ac:dyDescent="0.25">
      <c r="A623" s="790">
        <v>625</v>
      </c>
      <c r="B623" s="791">
        <f t="shared" ca="1" si="480"/>
        <v>43134</v>
      </c>
      <c r="C623" s="792" t="s">
        <v>2554</v>
      </c>
      <c r="D623" s="793" t="s">
        <v>2586</v>
      </c>
      <c r="E623" s="794" t="s">
        <v>1563</v>
      </c>
      <c r="F623" s="795" t="s">
        <v>1644</v>
      </c>
      <c r="G623" s="845"/>
      <c r="H623" s="797" t="s">
        <v>603</v>
      </c>
      <c r="I623" s="798">
        <v>42530</v>
      </c>
      <c r="J623" s="799">
        <f t="shared" ca="1" si="481"/>
        <v>1.6547945205479453</v>
      </c>
      <c r="K623" s="799">
        <f t="shared" ca="1" si="482"/>
        <v>20.133333333333333</v>
      </c>
      <c r="L623" s="800">
        <f t="shared" ca="1" si="483"/>
        <v>604</v>
      </c>
      <c r="M623" s="801"/>
      <c r="N623" s="802"/>
      <c r="O623" s="803" t="str">
        <f t="shared" ca="1" si="484"/>
        <v>-</v>
      </c>
      <c r="P623" s="804"/>
      <c r="Q623" s="805" t="s">
        <v>1451</v>
      </c>
      <c r="R623" s="806" t="s">
        <v>1876</v>
      </c>
      <c r="S623" s="807">
        <v>42911</v>
      </c>
      <c r="T623" s="798">
        <v>42911</v>
      </c>
      <c r="U623" s="798" t="str">
        <f t="shared" si="485"/>
        <v>-</v>
      </c>
      <c r="V623" s="804" t="str">
        <f t="shared" ca="1" si="486"/>
        <v>-</v>
      </c>
      <c r="W623" s="808">
        <v>1</v>
      </c>
      <c r="X623" s="794" t="str">
        <f t="shared" si="479"/>
        <v>-</v>
      </c>
      <c r="Y623" s="794">
        <v>1</v>
      </c>
      <c r="Z623" s="809" t="str">
        <f t="shared" ca="1" si="487"/>
        <v>ПОДЛЕЖИТ ПЕРЕПРОВЕРКЕ</v>
      </c>
      <c r="AA623" s="810">
        <f t="shared" ca="1" si="488"/>
        <v>223</v>
      </c>
      <c r="AB623" s="804"/>
      <c r="AC623" s="811">
        <f t="shared" ca="1" si="489"/>
        <v>42983</v>
      </c>
      <c r="AD623" s="798"/>
      <c r="AE623" s="794" t="str">
        <f t="shared" ca="1" si="490"/>
        <v>-</v>
      </c>
      <c r="AF623" s="798" t="str">
        <f t="shared" si="491"/>
        <v>-</v>
      </c>
      <c r="AG623" s="812" t="str">
        <f t="shared" si="492"/>
        <v>---------</v>
      </c>
      <c r="AH623" s="807">
        <v>42969</v>
      </c>
      <c r="AI623" s="807" t="str">
        <f t="shared" si="493"/>
        <v>-</v>
      </c>
      <c r="AJ623" s="807" t="str">
        <f t="shared" si="494"/>
        <v>-</v>
      </c>
      <c r="AK623" s="813"/>
      <c r="AL623" s="807">
        <f t="shared" si="495"/>
        <v>43170</v>
      </c>
      <c r="AM623" s="807">
        <f t="shared" si="496"/>
        <v>43191</v>
      </c>
      <c r="AN623" s="814">
        <f t="shared" ca="1" si="497"/>
        <v>-57</v>
      </c>
      <c r="AO623" s="815">
        <v>1</v>
      </c>
      <c r="AP623" s="816" t="str">
        <f t="shared" ca="1" si="498"/>
        <v>-</v>
      </c>
      <c r="AQ623" s="817"/>
      <c r="AR623" s="794" t="str">
        <f t="shared" si="499"/>
        <v>НЕТЕЛЬ</v>
      </c>
      <c r="AS623" s="818"/>
      <c r="AT623" s="794" t="str">
        <f t="shared" si="500"/>
        <v>-</v>
      </c>
      <c r="AU623" s="819"/>
      <c r="AV623" s="820"/>
      <c r="AW623" s="821"/>
      <c r="AX623" s="821"/>
      <c r="AY623" s="969" t="str">
        <f t="shared" si="501"/>
        <v>-</v>
      </c>
      <c r="AZ623" s="966" t="str">
        <f t="shared" si="502"/>
        <v>-</v>
      </c>
      <c r="BA623" s="971" t="str">
        <f t="shared" si="503"/>
        <v>-</v>
      </c>
      <c r="BB623" s="975"/>
      <c r="BC623" s="821"/>
      <c r="BD623" s="821"/>
      <c r="BE623" s="963" t="str">
        <f t="shared" si="504"/>
        <v>-</v>
      </c>
      <c r="BF623" s="984"/>
      <c r="BG623" s="988"/>
      <c r="BH623" s="982"/>
      <c r="BI623" s="991"/>
      <c r="BJ623" s="991"/>
      <c r="BK623" s="993" t="str">
        <f t="shared" si="505"/>
        <v>-</v>
      </c>
      <c r="BL623" s="820">
        <v>42977</v>
      </c>
      <c r="BM623" s="821">
        <v>5</v>
      </c>
      <c r="BN623" s="822">
        <f t="shared" ca="1" si="506"/>
        <v>157</v>
      </c>
      <c r="BO623" s="823">
        <f t="shared" si="507"/>
        <v>14.9</v>
      </c>
      <c r="BP623" s="824"/>
      <c r="BQ623" s="821"/>
      <c r="BR623" s="822" t="str">
        <f t="shared" si="508"/>
        <v>-</v>
      </c>
      <c r="BS623" s="823" t="str">
        <f t="shared" si="509"/>
        <v>-</v>
      </c>
      <c r="BT623" s="825" t="str">
        <f t="shared" ca="1" si="510"/>
        <v>-</v>
      </c>
      <c r="BU623" s="826"/>
      <c r="BV623" s="827"/>
      <c r="BW623" s="828" t="str">
        <f t="shared" si="511"/>
        <v>Ж-Е НЕ ВАКЦ.</v>
      </c>
      <c r="BX623" s="829" t="str">
        <f t="shared" si="512"/>
        <v>-</v>
      </c>
      <c r="BY623" s="830" t="str">
        <f t="shared" ca="1" si="513"/>
        <v>-</v>
      </c>
      <c r="BZ623" s="831">
        <v>42891</v>
      </c>
      <c r="CA623" s="832">
        <v>5</v>
      </c>
      <c r="CB623" s="833">
        <f t="shared" ca="1" si="514"/>
        <v>243</v>
      </c>
      <c r="CC623" s="834" t="str">
        <f t="shared" ca="1" si="515"/>
        <v>-</v>
      </c>
      <c r="CD623" s="835">
        <f t="shared" si="516"/>
        <v>42912</v>
      </c>
      <c r="CE623" s="831">
        <v>42912</v>
      </c>
      <c r="CF623" s="832">
        <v>5</v>
      </c>
      <c r="CG623" s="833">
        <f t="shared" ca="1" si="517"/>
        <v>222</v>
      </c>
      <c r="CH623" s="836">
        <f t="shared" si="518"/>
        <v>0</v>
      </c>
      <c r="CI623" s="837" t="str">
        <f t="shared" si="519"/>
        <v>УСПЕШНО</v>
      </c>
      <c r="CJ623" s="838" t="str">
        <f t="shared" ca="1" si="520"/>
        <v>-</v>
      </c>
      <c r="CK623" s="831"/>
      <c r="CL623" s="832"/>
      <c r="CM623" s="833" t="str">
        <f t="shared" si="521"/>
        <v>-</v>
      </c>
      <c r="CN623" s="834" t="str">
        <f t="shared" si="522"/>
        <v>-</v>
      </c>
      <c r="CO623" s="830" t="str">
        <f t="shared" ca="1" si="523"/>
        <v>ТРЕБУЕТСЯ ВАКЦИНАЦИЯ</v>
      </c>
      <c r="CP623" s="839"/>
      <c r="CQ623" s="832"/>
      <c r="CR623" s="833" t="str">
        <f t="shared" si="524"/>
        <v>-</v>
      </c>
      <c r="CS623" s="833" t="str">
        <f t="shared" si="525"/>
        <v>-</v>
      </c>
      <c r="CT623" s="834" t="str">
        <f t="shared" si="526"/>
        <v>-</v>
      </c>
      <c r="CU623" s="835" t="str">
        <f t="shared" si="527"/>
        <v>-</v>
      </c>
      <c r="CV623" s="839"/>
      <c r="CW623" s="832"/>
      <c r="CX623" s="833" t="str">
        <f t="shared" si="528"/>
        <v>-</v>
      </c>
      <c r="CY623" s="840" t="str">
        <f t="shared" si="529"/>
        <v>-</v>
      </c>
      <c r="CZ623" s="833" t="str">
        <f t="shared" si="530"/>
        <v>-</v>
      </c>
      <c r="DA623" s="838" t="str">
        <f t="shared" ca="1" si="531"/>
        <v>-</v>
      </c>
      <c r="DB623" s="841"/>
      <c r="DC623" s="832"/>
    </row>
    <row r="624" spans="1:107" ht="15.95" customHeight="1" x14ac:dyDescent="0.25">
      <c r="A624" s="790">
        <v>626</v>
      </c>
      <c r="B624" s="791">
        <f t="shared" ca="1" si="480"/>
        <v>43134</v>
      </c>
      <c r="C624" s="29" t="s">
        <v>2554</v>
      </c>
      <c r="D624" s="59" t="s">
        <v>2586</v>
      </c>
      <c r="E624" s="794" t="s">
        <v>1563</v>
      </c>
      <c r="F624" s="795" t="s">
        <v>1648</v>
      </c>
      <c r="G624" s="845"/>
      <c r="H624" s="797" t="s">
        <v>603</v>
      </c>
      <c r="I624" s="798">
        <v>42530</v>
      </c>
      <c r="J624" s="799">
        <f t="shared" ca="1" si="481"/>
        <v>1.6547945205479453</v>
      </c>
      <c r="K624" s="799">
        <f t="shared" ca="1" si="482"/>
        <v>20.133333333333333</v>
      </c>
      <c r="L624" s="800">
        <f t="shared" ca="1" si="483"/>
        <v>604</v>
      </c>
      <c r="M624" s="801"/>
      <c r="N624" s="802"/>
      <c r="O624" s="803" t="str">
        <f t="shared" ca="1" si="484"/>
        <v>-</v>
      </c>
      <c r="P624" s="804"/>
      <c r="Q624" s="805" t="s">
        <v>2366</v>
      </c>
      <c r="R624" s="806" t="s">
        <v>2909</v>
      </c>
      <c r="S624" s="807">
        <v>42897</v>
      </c>
      <c r="T624" s="798">
        <v>42944</v>
      </c>
      <c r="U624" s="798" t="str">
        <f t="shared" si="485"/>
        <v>-</v>
      </c>
      <c r="V624" s="804" t="str">
        <f t="shared" ca="1" si="486"/>
        <v>-</v>
      </c>
      <c r="W624" s="808">
        <v>3</v>
      </c>
      <c r="X624" s="794" t="str">
        <f t="shared" si="479"/>
        <v>-</v>
      </c>
      <c r="Y624" s="794">
        <v>1</v>
      </c>
      <c r="Z624" s="809" t="str">
        <f t="shared" ca="1" si="487"/>
        <v>ПОДЛЕЖИТ ПЕРЕПРОВЕРКЕ</v>
      </c>
      <c r="AA624" s="810">
        <f t="shared" ca="1" si="488"/>
        <v>190</v>
      </c>
      <c r="AB624" s="804"/>
      <c r="AC624" s="811">
        <f t="shared" ca="1" si="489"/>
        <v>43016</v>
      </c>
      <c r="AD624" s="798"/>
      <c r="AE624" s="794" t="str">
        <f t="shared" ca="1" si="490"/>
        <v>-</v>
      </c>
      <c r="AF624" s="798" t="str">
        <f t="shared" si="491"/>
        <v>-</v>
      </c>
      <c r="AG624" s="812" t="str">
        <f t="shared" si="492"/>
        <v>---------</v>
      </c>
      <c r="AH624" s="807">
        <v>43001</v>
      </c>
      <c r="AI624" s="807" t="str">
        <f t="shared" si="493"/>
        <v>-</v>
      </c>
      <c r="AJ624" s="807" t="str">
        <f t="shared" si="494"/>
        <v>-</v>
      </c>
      <c r="AK624" s="813"/>
      <c r="AL624" s="807">
        <f t="shared" si="495"/>
        <v>43203</v>
      </c>
      <c r="AM624" s="807">
        <f t="shared" si="496"/>
        <v>43224</v>
      </c>
      <c r="AN624" s="814">
        <f t="shared" ca="1" si="497"/>
        <v>-90</v>
      </c>
      <c r="AO624" s="815">
        <v>1</v>
      </c>
      <c r="AP624" s="816" t="str">
        <f t="shared" ca="1" si="498"/>
        <v>-</v>
      </c>
      <c r="AQ624" s="817"/>
      <c r="AR624" s="794" t="str">
        <f t="shared" si="499"/>
        <v>НЕТЕЛЬ</v>
      </c>
      <c r="AS624" s="818"/>
      <c r="AT624" s="794" t="str">
        <f t="shared" si="500"/>
        <v>-</v>
      </c>
      <c r="AU624" s="819"/>
      <c r="AV624" s="820"/>
      <c r="AW624" s="821"/>
      <c r="AX624" s="821"/>
      <c r="AY624" s="969" t="str">
        <f t="shared" si="501"/>
        <v>-</v>
      </c>
      <c r="AZ624" s="966" t="str">
        <f t="shared" si="502"/>
        <v>-</v>
      </c>
      <c r="BA624" s="971" t="str">
        <f t="shared" si="503"/>
        <v>-</v>
      </c>
      <c r="BB624" s="975"/>
      <c r="BC624" s="821"/>
      <c r="BD624" s="821"/>
      <c r="BE624" s="963" t="str">
        <f t="shared" si="504"/>
        <v>-</v>
      </c>
      <c r="BF624" s="984"/>
      <c r="BG624" s="988"/>
      <c r="BH624" s="982"/>
      <c r="BI624" s="991"/>
      <c r="BJ624" s="991"/>
      <c r="BK624" s="993" t="str">
        <f t="shared" si="505"/>
        <v>-</v>
      </c>
      <c r="BL624" s="820">
        <v>42977</v>
      </c>
      <c r="BM624" s="821">
        <v>5</v>
      </c>
      <c r="BN624" s="822">
        <f t="shared" ca="1" si="506"/>
        <v>157</v>
      </c>
      <c r="BO624" s="823">
        <f t="shared" si="507"/>
        <v>14.9</v>
      </c>
      <c r="BP624" s="824"/>
      <c r="BQ624" s="821"/>
      <c r="BR624" s="822" t="str">
        <f t="shared" si="508"/>
        <v>-</v>
      </c>
      <c r="BS624" s="823" t="str">
        <f t="shared" si="509"/>
        <v>-</v>
      </c>
      <c r="BT624" s="825" t="str">
        <f t="shared" ca="1" si="510"/>
        <v>-</v>
      </c>
      <c r="BU624" s="826"/>
      <c r="BV624" s="827"/>
      <c r="BW624" s="828" t="str">
        <f t="shared" si="511"/>
        <v>Ж-Е НЕ ВАКЦ.</v>
      </c>
      <c r="BX624" s="829" t="str">
        <f t="shared" si="512"/>
        <v>-</v>
      </c>
      <c r="BY624" s="830" t="str">
        <f t="shared" ca="1" si="513"/>
        <v>-</v>
      </c>
      <c r="BZ624" s="831">
        <v>42891</v>
      </c>
      <c r="CA624" s="832">
        <v>5</v>
      </c>
      <c r="CB624" s="833">
        <f t="shared" ca="1" si="514"/>
        <v>243</v>
      </c>
      <c r="CC624" s="834" t="str">
        <f t="shared" ca="1" si="515"/>
        <v>-</v>
      </c>
      <c r="CD624" s="835">
        <f t="shared" si="516"/>
        <v>42912</v>
      </c>
      <c r="CE624" s="831">
        <v>42912</v>
      </c>
      <c r="CF624" s="832">
        <v>5</v>
      </c>
      <c r="CG624" s="833">
        <f t="shared" ca="1" si="517"/>
        <v>222</v>
      </c>
      <c r="CH624" s="836">
        <f t="shared" si="518"/>
        <v>0</v>
      </c>
      <c r="CI624" s="837" t="str">
        <f t="shared" si="519"/>
        <v>УСПЕШНО</v>
      </c>
      <c r="CJ624" s="838" t="str">
        <f t="shared" ca="1" si="520"/>
        <v>-</v>
      </c>
      <c r="CK624" s="831"/>
      <c r="CL624" s="832"/>
      <c r="CM624" s="833" t="str">
        <f t="shared" si="521"/>
        <v>-</v>
      </c>
      <c r="CN624" s="834" t="str">
        <f t="shared" si="522"/>
        <v>-</v>
      </c>
      <c r="CO624" s="830" t="str">
        <f t="shared" ca="1" si="523"/>
        <v>-</v>
      </c>
      <c r="CP624" s="839"/>
      <c r="CQ624" s="832"/>
      <c r="CR624" s="833" t="str">
        <f t="shared" si="524"/>
        <v>-</v>
      </c>
      <c r="CS624" s="833" t="str">
        <f t="shared" si="525"/>
        <v>-</v>
      </c>
      <c r="CT624" s="834" t="str">
        <f t="shared" si="526"/>
        <v>-</v>
      </c>
      <c r="CU624" s="835" t="str">
        <f t="shared" si="527"/>
        <v>-</v>
      </c>
      <c r="CV624" s="839"/>
      <c r="CW624" s="832"/>
      <c r="CX624" s="833" t="str">
        <f t="shared" si="528"/>
        <v>-</v>
      </c>
      <c r="CY624" s="840" t="str">
        <f t="shared" si="529"/>
        <v>-</v>
      </c>
      <c r="CZ624" s="833" t="str">
        <f t="shared" si="530"/>
        <v>-</v>
      </c>
      <c r="DA624" s="838" t="str">
        <f t="shared" ca="1" si="531"/>
        <v>-</v>
      </c>
      <c r="DB624" s="841"/>
      <c r="DC624" s="832"/>
    </row>
    <row r="625" spans="1:107" ht="15.95" customHeight="1" x14ac:dyDescent="0.25">
      <c r="A625" s="790">
        <v>627</v>
      </c>
      <c r="B625" s="791">
        <f t="shared" ca="1" si="480"/>
        <v>43134</v>
      </c>
      <c r="C625" s="271" t="s">
        <v>2554</v>
      </c>
      <c r="D625" s="59" t="s">
        <v>2586</v>
      </c>
      <c r="E625" s="794" t="s">
        <v>1563</v>
      </c>
      <c r="F625" s="795" t="s">
        <v>1645</v>
      </c>
      <c r="G625" s="845"/>
      <c r="H625" s="797" t="s">
        <v>603</v>
      </c>
      <c r="I625" s="798">
        <v>42533</v>
      </c>
      <c r="J625" s="799">
        <f t="shared" ca="1" si="481"/>
        <v>1.6465753424657534</v>
      </c>
      <c r="K625" s="799">
        <f t="shared" ca="1" si="482"/>
        <v>20.033333333333335</v>
      </c>
      <c r="L625" s="800">
        <f t="shared" ca="1" si="483"/>
        <v>601</v>
      </c>
      <c r="M625" s="801"/>
      <c r="N625" s="802"/>
      <c r="O625" s="803" t="str">
        <f t="shared" ca="1" si="484"/>
        <v>-</v>
      </c>
      <c r="P625" s="804"/>
      <c r="Q625" s="805" t="s">
        <v>2309</v>
      </c>
      <c r="R625" s="806" t="s">
        <v>2909</v>
      </c>
      <c r="S625" s="807">
        <v>42918</v>
      </c>
      <c r="T625" s="798">
        <v>42937</v>
      </c>
      <c r="U625" s="798" t="str">
        <f t="shared" si="485"/>
        <v>-</v>
      </c>
      <c r="V625" s="804" t="str">
        <f t="shared" ca="1" si="486"/>
        <v>-</v>
      </c>
      <c r="W625" s="808">
        <v>2</v>
      </c>
      <c r="X625" s="794" t="str">
        <f t="shared" si="479"/>
        <v>-</v>
      </c>
      <c r="Y625" s="794">
        <v>1</v>
      </c>
      <c r="Z625" s="809" t="str">
        <f t="shared" ca="1" si="487"/>
        <v>ПОДЛЕЖИТ ПЕРЕПРОВЕРКЕ</v>
      </c>
      <c r="AA625" s="810">
        <f t="shared" ca="1" si="488"/>
        <v>197</v>
      </c>
      <c r="AB625" s="804"/>
      <c r="AC625" s="811">
        <f t="shared" ca="1" si="489"/>
        <v>43009</v>
      </c>
      <c r="AD625" s="798"/>
      <c r="AE625" s="794" t="str">
        <f t="shared" ca="1" si="490"/>
        <v>-</v>
      </c>
      <c r="AF625" s="798" t="str">
        <f t="shared" si="491"/>
        <v>-</v>
      </c>
      <c r="AG625" s="812" t="str">
        <f t="shared" si="492"/>
        <v>---------</v>
      </c>
      <c r="AH625" s="807">
        <v>43001</v>
      </c>
      <c r="AI625" s="807" t="str">
        <f t="shared" si="493"/>
        <v>-</v>
      </c>
      <c r="AJ625" s="807" t="str">
        <f t="shared" si="494"/>
        <v>-</v>
      </c>
      <c r="AK625" s="813"/>
      <c r="AL625" s="807">
        <f t="shared" si="495"/>
        <v>43196</v>
      </c>
      <c r="AM625" s="807">
        <f t="shared" si="496"/>
        <v>43217</v>
      </c>
      <c r="AN625" s="814">
        <f t="shared" ca="1" si="497"/>
        <v>-83</v>
      </c>
      <c r="AO625" s="815">
        <v>1</v>
      </c>
      <c r="AP625" s="816" t="str">
        <f t="shared" ca="1" si="498"/>
        <v>-</v>
      </c>
      <c r="AQ625" s="817"/>
      <c r="AR625" s="794" t="str">
        <f t="shared" si="499"/>
        <v>НЕТЕЛЬ</v>
      </c>
      <c r="AS625" s="818"/>
      <c r="AT625" s="794" t="str">
        <f t="shared" si="500"/>
        <v>-</v>
      </c>
      <c r="AU625" s="819"/>
      <c r="AV625" s="820"/>
      <c r="AW625" s="821"/>
      <c r="AX625" s="821"/>
      <c r="AY625" s="969" t="str">
        <f t="shared" si="501"/>
        <v>-</v>
      </c>
      <c r="AZ625" s="966" t="str">
        <f t="shared" si="502"/>
        <v>-</v>
      </c>
      <c r="BA625" s="971" t="str">
        <f t="shared" si="503"/>
        <v>-</v>
      </c>
      <c r="BB625" s="975"/>
      <c r="BC625" s="821"/>
      <c r="BD625" s="821"/>
      <c r="BE625" s="963" t="str">
        <f t="shared" si="504"/>
        <v>-</v>
      </c>
      <c r="BF625" s="984"/>
      <c r="BG625" s="988"/>
      <c r="BH625" s="982"/>
      <c r="BI625" s="991"/>
      <c r="BJ625" s="991"/>
      <c r="BK625" s="993" t="str">
        <f t="shared" si="505"/>
        <v>-</v>
      </c>
      <c r="BL625" s="820">
        <v>42977</v>
      </c>
      <c r="BM625" s="821">
        <v>5</v>
      </c>
      <c r="BN625" s="822">
        <f t="shared" ca="1" si="506"/>
        <v>157</v>
      </c>
      <c r="BO625" s="823">
        <f t="shared" si="507"/>
        <v>14.8</v>
      </c>
      <c r="BP625" s="824"/>
      <c r="BQ625" s="821"/>
      <c r="BR625" s="822" t="str">
        <f t="shared" si="508"/>
        <v>-</v>
      </c>
      <c r="BS625" s="823" t="str">
        <f t="shared" si="509"/>
        <v>-</v>
      </c>
      <c r="BT625" s="825" t="str">
        <f t="shared" ca="1" si="510"/>
        <v>-</v>
      </c>
      <c r="BU625" s="826"/>
      <c r="BV625" s="827"/>
      <c r="BW625" s="828" t="str">
        <f t="shared" si="511"/>
        <v>Ж-Е НЕ ВАКЦ.</v>
      </c>
      <c r="BX625" s="829" t="str">
        <f t="shared" si="512"/>
        <v>-</v>
      </c>
      <c r="BY625" s="830" t="str">
        <f t="shared" ca="1" si="513"/>
        <v>-</v>
      </c>
      <c r="BZ625" s="831">
        <v>42891</v>
      </c>
      <c r="CA625" s="832">
        <v>5</v>
      </c>
      <c r="CB625" s="833">
        <f t="shared" ca="1" si="514"/>
        <v>243</v>
      </c>
      <c r="CC625" s="834" t="str">
        <f t="shared" ca="1" si="515"/>
        <v>-</v>
      </c>
      <c r="CD625" s="835">
        <f t="shared" si="516"/>
        <v>42912</v>
      </c>
      <c r="CE625" s="831">
        <v>42912</v>
      </c>
      <c r="CF625" s="832">
        <v>5</v>
      </c>
      <c r="CG625" s="833">
        <f t="shared" ca="1" si="517"/>
        <v>222</v>
      </c>
      <c r="CH625" s="836">
        <f t="shared" si="518"/>
        <v>0</v>
      </c>
      <c r="CI625" s="837" t="str">
        <f t="shared" si="519"/>
        <v>УСПЕШНО</v>
      </c>
      <c r="CJ625" s="838" t="str">
        <f t="shared" ca="1" si="520"/>
        <v>-</v>
      </c>
      <c r="CK625" s="831"/>
      <c r="CL625" s="832"/>
      <c r="CM625" s="833" t="str">
        <f t="shared" si="521"/>
        <v>-</v>
      </c>
      <c r="CN625" s="834" t="str">
        <f t="shared" si="522"/>
        <v>-</v>
      </c>
      <c r="CO625" s="830" t="str">
        <f t="shared" ca="1" si="523"/>
        <v>-</v>
      </c>
      <c r="CP625" s="839"/>
      <c r="CQ625" s="832"/>
      <c r="CR625" s="833" t="str">
        <f t="shared" si="524"/>
        <v>-</v>
      </c>
      <c r="CS625" s="833" t="str">
        <f t="shared" si="525"/>
        <v>-</v>
      </c>
      <c r="CT625" s="834" t="str">
        <f t="shared" si="526"/>
        <v>-</v>
      </c>
      <c r="CU625" s="835" t="str">
        <f t="shared" si="527"/>
        <v>-</v>
      </c>
      <c r="CV625" s="839"/>
      <c r="CW625" s="832"/>
      <c r="CX625" s="833" t="str">
        <f t="shared" si="528"/>
        <v>-</v>
      </c>
      <c r="CY625" s="840" t="str">
        <f t="shared" si="529"/>
        <v>-</v>
      </c>
      <c r="CZ625" s="833" t="str">
        <f t="shared" si="530"/>
        <v>-</v>
      </c>
      <c r="DA625" s="838" t="str">
        <f t="shared" ca="1" si="531"/>
        <v>-</v>
      </c>
      <c r="DB625" s="841"/>
      <c r="DC625" s="832"/>
    </row>
    <row r="626" spans="1:107" x14ac:dyDescent="0.25">
      <c r="A626" s="790">
        <v>628</v>
      </c>
      <c r="B626" s="791">
        <f t="shared" ca="1" si="480"/>
        <v>43134</v>
      </c>
      <c r="C626" s="847" t="s">
        <v>2554</v>
      </c>
      <c r="D626" s="793" t="s">
        <v>2586</v>
      </c>
      <c r="E626" s="794" t="s">
        <v>1563</v>
      </c>
      <c r="F626" s="795" t="s">
        <v>1653</v>
      </c>
      <c r="G626" s="845"/>
      <c r="H626" s="797" t="s">
        <v>603</v>
      </c>
      <c r="I626" s="798">
        <v>42533</v>
      </c>
      <c r="J626" s="799">
        <f t="shared" ca="1" si="481"/>
        <v>1.6465753424657534</v>
      </c>
      <c r="K626" s="799">
        <f t="shared" ca="1" si="482"/>
        <v>20.033333333333335</v>
      </c>
      <c r="L626" s="800">
        <f t="shared" ca="1" si="483"/>
        <v>601</v>
      </c>
      <c r="M626" s="801"/>
      <c r="N626" s="802"/>
      <c r="O626" s="803" t="str">
        <f t="shared" ca="1" si="484"/>
        <v>-</v>
      </c>
      <c r="P626" s="804"/>
      <c r="Q626" s="805" t="s">
        <v>2366</v>
      </c>
      <c r="R626" s="806" t="s">
        <v>1876</v>
      </c>
      <c r="S626" s="807">
        <v>42900</v>
      </c>
      <c r="T626" s="798">
        <v>42900</v>
      </c>
      <c r="U626" s="798" t="str">
        <f t="shared" si="485"/>
        <v>-</v>
      </c>
      <c r="V626" s="804" t="str">
        <f t="shared" ca="1" si="486"/>
        <v>-</v>
      </c>
      <c r="W626" s="808">
        <v>1</v>
      </c>
      <c r="X626" s="794" t="str">
        <f t="shared" si="479"/>
        <v>-</v>
      </c>
      <c r="Y626" s="794">
        <v>1</v>
      </c>
      <c r="Z626" s="809" t="str">
        <f t="shared" ca="1" si="487"/>
        <v>ПОДЛЕЖИТ ПЕРЕПРОВЕРКЕ</v>
      </c>
      <c r="AA626" s="810">
        <f t="shared" ca="1" si="488"/>
        <v>234</v>
      </c>
      <c r="AB626" s="804"/>
      <c r="AC626" s="811">
        <f t="shared" ca="1" si="489"/>
        <v>42972</v>
      </c>
      <c r="AD626" s="798"/>
      <c r="AE626" s="794" t="str">
        <f t="shared" ca="1" si="490"/>
        <v>-</v>
      </c>
      <c r="AF626" s="798" t="str">
        <f t="shared" si="491"/>
        <v>-</v>
      </c>
      <c r="AG626" s="812" t="str">
        <f t="shared" si="492"/>
        <v>---------</v>
      </c>
      <c r="AH626" s="807">
        <v>42955</v>
      </c>
      <c r="AI626" s="807" t="str">
        <f t="shared" si="493"/>
        <v>-</v>
      </c>
      <c r="AJ626" s="807" t="str">
        <f t="shared" si="494"/>
        <v>-</v>
      </c>
      <c r="AK626" s="813"/>
      <c r="AL626" s="807">
        <f t="shared" si="495"/>
        <v>43159</v>
      </c>
      <c r="AM626" s="807">
        <f t="shared" si="496"/>
        <v>43180</v>
      </c>
      <c r="AN626" s="814">
        <f t="shared" ca="1" si="497"/>
        <v>-46</v>
      </c>
      <c r="AO626" s="815">
        <v>1</v>
      </c>
      <c r="AP626" s="816" t="str">
        <f t="shared" ca="1" si="498"/>
        <v>-</v>
      </c>
      <c r="AQ626" s="817"/>
      <c r="AR626" s="794" t="str">
        <f t="shared" si="499"/>
        <v>НЕТЕЛЬ</v>
      </c>
      <c r="AS626" s="818"/>
      <c r="AT626" s="794" t="str">
        <f t="shared" si="500"/>
        <v>-</v>
      </c>
      <c r="AU626" s="819"/>
      <c r="AV626" s="820"/>
      <c r="AW626" s="821"/>
      <c r="AX626" s="821"/>
      <c r="AY626" s="969" t="str">
        <f t="shared" si="501"/>
        <v>-</v>
      </c>
      <c r="AZ626" s="966" t="str">
        <f t="shared" si="502"/>
        <v>-</v>
      </c>
      <c r="BA626" s="971" t="str">
        <f t="shared" si="503"/>
        <v>-</v>
      </c>
      <c r="BB626" s="975"/>
      <c r="BC626" s="821"/>
      <c r="BD626" s="821"/>
      <c r="BE626" s="963" t="str">
        <f t="shared" si="504"/>
        <v>-</v>
      </c>
      <c r="BF626" s="984"/>
      <c r="BG626" s="988"/>
      <c r="BH626" s="982"/>
      <c r="BI626" s="991"/>
      <c r="BJ626" s="991"/>
      <c r="BK626" s="993" t="str">
        <f t="shared" si="505"/>
        <v>-</v>
      </c>
      <c r="BL626" s="820">
        <v>42978</v>
      </c>
      <c r="BM626" s="821">
        <v>5</v>
      </c>
      <c r="BN626" s="822">
        <f t="shared" ca="1" si="506"/>
        <v>156</v>
      </c>
      <c r="BO626" s="823">
        <f t="shared" si="507"/>
        <v>14.833333333333334</v>
      </c>
      <c r="BP626" s="824"/>
      <c r="BQ626" s="821"/>
      <c r="BR626" s="822" t="str">
        <f t="shared" si="508"/>
        <v>-</v>
      </c>
      <c r="BS626" s="823" t="str">
        <f t="shared" si="509"/>
        <v>-</v>
      </c>
      <c r="BT626" s="825" t="str">
        <f t="shared" ca="1" si="510"/>
        <v>-</v>
      </c>
      <c r="BU626" s="826"/>
      <c r="BV626" s="827"/>
      <c r="BW626" s="828" t="str">
        <f t="shared" si="511"/>
        <v>Ж-Е НЕ ВАКЦ.</v>
      </c>
      <c r="BX626" s="829" t="str">
        <f t="shared" si="512"/>
        <v>-</v>
      </c>
      <c r="BY626" s="830" t="str">
        <f t="shared" ca="1" si="513"/>
        <v>-</v>
      </c>
      <c r="BZ626" s="831">
        <v>42891</v>
      </c>
      <c r="CA626" s="832">
        <v>5</v>
      </c>
      <c r="CB626" s="833">
        <f t="shared" ca="1" si="514"/>
        <v>243</v>
      </c>
      <c r="CC626" s="834" t="str">
        <f t="shared" ca="1" si="515"/>
        <v>-</v>
      </c>
      <c r="CD626" s="835">
        <f t="shared" si="516"/>
        <v>42912</v>
      </c>
      <c r="CE626" s="831">
        <v>42912</v>
      </c>
      <c r="CF626" s="832">
        <v>5</v>
      </c>
      <c r="CG626" s="833">
        <f t="shared" ca="1" si="517"/>
        <v>222</v>
      </c>
      <c r="CH626" s="836">
        <f t="shared" si="518"/>
        <v>0</v>
      </c>
      <c r="CI626" s="837" t="str">
        <f t="shared" si="519"/>
        <v>УСПЕШНО</v>
      </c>
      <c r="CJ626" s="838" t="str">
        <f t="shared" ca="1" si="520"/>
        <v>-</v>
      </c>
      <c r="CK626" s="831"/>
      <c r="CL626" s="832"/>
      <c r="CM626" s="833" t="str">
        <f t="shared" si="521"/>
        <v>-</v>
      </c>
      <c r="CN626" s="834" t="str">
        <f t="shared" si="522"/>
        <v>-</v>
      </c>
      <c r="CO626" s="830" t="str">
        <f t="shared" ca="1" si="523"/>
        <v>ТРЕБУЕТСЯ ВАКЦИНАЦИЯ</v>
      </c>
      <c r="CP626" s="839"/>
      <c r="CQ626" s="832"/>
      <c r="CR626" s="833" t="str">
        <f t="shared" si="524"/>
        <v>-</v>
      </c>
      <c r="CS626" s="833" t="str">
        <f t="shared" si="525"/>
        <v>-</v>
      </c>
      <c r="CT626" s="834" t="str">
        <f t="shared" si="526"/>
        <v>-</v>
      </c>
      <c r="CU626" s="835" t="str">
        <f t="shared" si="527"/>
        <v>-</v>
      </c>
      <c r="CV626" s="839"/>
      <c r="CW626" s="832"/>
      <c r="CX626" s="833" t="str">
        <f t="shared" si="528"/>
        <v>-</v>
      </c>
      <c r="CY626" s="840" t="str">
        <f t="shared" si="529"/>
        <v>-</v>
      </c>
      <c r="CZ626" s="833" t="str">
        <f t="shared" si="530"/>
        <v>-</v>
      </c>
      <c r="DA626" s="838" t="str">
        <f t="shared" ca="1" si="531"/>
        <v>-</v>
      </c>
      <c r="DB626" s="841"/>
      <c r="DC626" s="832"/>
    </row>
    <row r="627" spans="1:107" ht="15.95" customHeight="1" x14ac:dyDescent="0.25">
      <c r="A627" s="790">
        <v>629</v>
      </c>
      <c r="B627" s="791">
        <f t="shared" ca="1" si="480"/>
        <v>43134</v>
      </c>
      <c r="C627" s="792" t="s">
        <v>2554</v>
      </c>
      <c r="D627" s="793" t="s">
        <v>2586</v>
      </c>
      <c r="E627" s="794" t="s">
        <v>1563</v>
      </c>
      <c r="F627" s="795" t="s">
        <v>1652</v>
      </c>
      <c r="G627" s="845"/>
      <c r="H627" s="797" t="s">
        <v>603</v>
      </c>
      <c r="I627" s="798">
        <v>42534</v>
      </c>
      <c r="J627" s="799">
        <f t="shared" ca="1" si="481"/>
        <v>1.6438356164383561</v>
      </c>
      <c r="K627" s="799">
        <f t="shared" ca="1" si="482"/>
        <v>20</v>
      </c>
      <c r="L627" s="800">
        <f t="shared" ca="1" si="483"/>
        <v>600</v>
      </c>
      <c r="M627" s="801"/>
      <c r="N627" s="802"/>
      <c r="O627" s="803" t="str">
        <f t="shared" ca="1" si="484"/>
        <v>-</v>
      </c>
      <c r="P627" s="804"/>
      <c r="Q627" s="805" t="s">
        <v>2366</v>
      </c>
      <c r="R627" s="806" t="s">
        <v>1876</v>
      </c>
      <c r="S627" s="807">
        <v>42900</v>
      </c>
      <c r="T627" s="798">
        <v>42900</v>
      </c>
      <c r="U627" s="798" t="str">
        <f t="shared" si="485"/>
        <v>-</v>
      </c>
      <c r="V627" s="804" t="str">
        <f t="shared" ca="1" si="486"/>
        <v>-</v>
      </c>
      <c r="W627" s="808">
        <v>1</v>
      </c>
      <c r="X627" s="794" t="str">
        <f t="shared" si="479"/>
        <v>-</v>
      </c>
      <c r="Y627" s="794">
        <v>1</v>
      </c>
      <c r="Z627" s="809" t="str">
        <f t="shared" ca="1" si="487"/>
        <v>ПОДЛЕЖИТ ПЕРЕПРОВЕРКЕ</v>
      </c>
      <c r="AA627" s="810">
        <f t="shared" ca="1" si="488"/>
        <v>234</v>
      </c>
      <c r="AB627" s="804"/>
      <c r="AC627" s="811">
        <f t="shared" ca="1" si="489"/>
        <v>42972</v>
      </c>
      <c r="AD627" s="798"/>
      <c r="AE627" s="794" t="str">
        <f t="shared" ca="1" si="490"/>
        <v>-</v>
      </c>
      <c r="AF627" s="798" t="str">
        <f t="shared" si="491"/>
        <v>-</v>
      </c>
      <c r="AG627" s="812" t="str">
        <f t="shared" si="492"/>
        <v>---------</v>
      </c>
      <c r="AH627" s="807">
        <v>42955</v>
      </c>
      <c r="AI627" s="807" t="str">
        <f t="shared" si="493"/>
        <v>-</v>
      </c>
      <c r="AJ627" s="807" t="str">
        <f t="shared" si="494"/>
        <v>-</v>
      </c>
      <c r="AK627" s="813"/>
      <c r="AL627" s="807">
        <f t="shared" si="495"/>
        <v>43159</v>
      </c>
      <c r="AM627" s="807">
        <f t="shared" si="496"/>
        <v>43180</v>
      </c>
      <c r="AN627" s="814">
        <f t="shared" ca="1" si="497"/>
        <v>-46</v>
      </c>
      <c r="AO627" s="815">
        <v>1</v>
      </c>
      <c r="AP627" s="816" t="str">
        <f t="shared" ca="1" si="498"/>
        <v>-</v>
      </c>
      <c r="AQ627" s="817"/>
      <c r="AR627" s="794" t="str">
        <f t="shared" si="499"/>
        <v>НЕТЕЛЬ</v>
      </c>
      <c r="AS627" s="818"/>
      <c r="AT627" s="794" t="str">
        <f t="shared" si="500"/>
        <v>-</v>
      </c>
      <c r="AU627" s="819"/>
      <c r="AV627" s="820"/>
      <c r="AW627" s="821"/>
      <c r="AX627" s="821"/>
      <c r="AY627" s="969" t="str">
        <f t="shared" si="501"/>
        <v>-</v>
      </c>
      <c r="AZ627" s="966" t="str">
        <f t="shared" si="502"/>
        <v>-</v>
      </c>
      <c r="BA627" s="971" t="str">
        <f t="shared" si="503"/>
        <v>-</v>
      </c>
      <c r="BB627" s="975"/>
      <c r="BC627" s="821"/>
      <c r="BD627" s="821"/>
      <c r="BE627" s="963" t="str">
        <f t="shared" si="504"/>
        <v>-</v>
      </c>
      <c r="BF627" s="984"/>
      <c r="BG627" s="988"/>
      <c r="BH627" s="982"/>
      <c r="BI627" s="991"/>
      <c r="BJ627" s="991"/>
      <c r="BK627" s="993" t="str">
        <f t="shared" si="505"/>
        <v>-</v>
      </c>
      <c r="BL627" s="820">
        <v>42978</v>
      </c>
      <c r="BM627" s="821">
        <v>5</v>
      </c>
      <c r="BN627" s="822">
        <f t="shared" ca="1" si="506"/>
        <v>156</v>
      </c>
      <c r="BO627" s="823">
        <f t="shared" si="507"/>
        <v>14.8</v>
      </c>
      <c r="BP627" s="824"/>
      <c r="BQ627" s="821"/>
      <c r="BR627" s="822" t="str">
        <f t="shared" si="508"/>
        <v>-</v>
      </c>
      <c r="BS627" s="823" t="str">
        <f t="shared" si="509"/>
        <v>-</v>
      </c>
      <c r="BT627" s="825" t="str">
        <f t="shared" ca="1" si="510"/>
        <v>-</v>
      </c>
      <c r="BU627" s="826"/>
      <c r="BV627" s="827"/>
      <c r="BW627" s="828" t="str">
        <f t="shared" si="511"/>
        <v>Ж-Е НЕ ВАКЦ.</v>
      </c>
      <c r="BX627" s="829" t="str">
        <f t="shared" si="512"/>
        <v>-</v>
      </c>
      <c r="BY627" s="830" t="str">
        <f t="shared" ca="1" si="513"/>
        <v>-</v>
      </c>
      <c r="BZ627" s="831">
        <v>42891</v>
      </c>
      <c r="CA627" s="832">
        <v>5</v>
      </c>
      <c r="CB627" s="833">
        <f t="shared" ca="1" si="514"/>
        <v>243</v>
      </c>
      <c r="CC627" s="834" t="str">
        <f t="shared" ca="1" si="515"/>
        <v>-</v>
      </c>
      <c r="CD627" s="835">
        <f t="shared" si="516"/>
        <v>42912</v>
      </c>
      <c r="CE627" s="831">
        <v>42912</v>
      </c>
      <c r="CF627" s="832">
        <v>5</v>
      </c>
      <c r="CG627" s="833">
        <f t="shared" ca="1" si="517"/>
        <v>222</v>
      </c>
      <c r="CH627" s="836">
        <f t="shared" si="518"/>
        <v>0</v>
      </c>
      <c r="CI627" s="837" t="str">
        <f t="shared" si="519"/>
        <v>УСПЕШНО</v>
      </c>
      <c r="CJ627" s="838" t="str">
        <f t="shared" ca="1" si="520"/>
        <v>-</v>
      </c>
      <c r="CK627" s="831"/>
      <c r="CL627" s="832"/>
      <c r="CM627" s="833" t="str">
        <f t="shared" si="521"/>
        <v>-</v>
      </c>
      <c r="CN627" s="834" t="str">
        <f t="shared" si="522"/>
        <v>-</v>
      </c>
      <c r="CO627" s="830" t="str">
        <f t="shared" ca="1" si="523"/>
        <v>ТРЕБУЕТСЯ ВАКЦИНАЦИЯ</v>
      </c>
      <c r="CP627" s="839"/>
      <c r="CQ627" s="832"/>
      <c r="CR627" s="833" t="str">
        <f t="shared" si="524"/>
        <v>-</v>
      </c>
      <c r="CS627" s="833" t="str">
        <f t="shared" si="525"/>
        <v>-</v>
      </c>
      <c r="CT627" s="834" t="str">
        <f t="shared" si="526"/>
        <v>-</v>
      </c>
      <c r="CU627" s="835" t="str">
        <f t="shared" si="527"/>
        <v>-</v>
      </c>
      <c r="CV627" s="839"/>
      <c r="CW627" s="832"/>
      <c r="CX627" s="833" t="str">
        <f t="shared" si="528"/>
        <v>-</v>
      </c>
      <c r="CY627" s="840" t="str">
        <f t="shared" si="529"/>
        <v>-</v>
      </c>
      <c r="CZ627" s="833" t="str">
        <f t="shared" si="530"/>
        <v>-</v>
      </c>
      <c r="DA627" s="838" t="str">
        <f t="shared" ca="1" si="531"/>
        <v>-</v>
      </c>
      <c r="DB627" s="841"/>
      <c r="DC627" s="832"/>
    </row>
    <row r="628" spans="1:107" ht="15.95" customHeight="1" x14ac:dyDescent="0.25">
      <c r="A628" s="790">
        <v>630</v>
      </c>
      <c r="B628" s="791">
        <f t="shared" ca="1" si="480"/>
        <v>43134</v>
      </c>
      <c r="C628" s="29" t="s">
        <v>2554</v>
      </c>
      <c r="D628" s="59" t="s">
        <v>2586</v>
      </c>
      <c r="E628" s="794" t="s">
        <v>1563</v>
      </c>
      <c r="F628" s="795" t="s">
        <v>1660</v>
      </c>
      <c r="G628" s="845"/>
      <c r="H628" s="797" t="s">
        <v>603</v>
      </c>
      <c r="I628" s="798">
        <v>42534</v>
      </c>
      <c r="J628" s="799">
        <f t="shared" ca="1" si="481"/>
        <v>1.6438356164383561</v>
      </c>
      <c r="K628" s="799">
        <f t="shared" ca="1" si="482"/>
        <v>20</v>
      </c>
      <c r="L628" s="800">
        <f t="shared" ca="1" si="483"/>
        <v>600</v>
      </c>
      <c r="M628" s="801"/>
      <c r="N628" s="802"/>
      <c r="O628" s="803" t="str">
        <f t="shared" ca="1" si="484"/>
        <v>-</v>
      </c>
      <c r="P628" s="804"/>
      <c r="Q628" s="805" t="s">
        <v>1451</v>
      </c>
      <c r="R628" s="806" t="s">
        <v>2435</v>
      </c>
      <c r="S628" s="807">
        <v>42874</v>
      </c>
      <c r="T628" s="798">
        <v>42951</v>
      </c>
      <c r="U628" s="798" t="str">
        <f t="shared" si="485"/>
        <v>-</v>
      </c>
      <c r="V628" s="804" t="str">
        <f t="shared" ca="1" si="486"/>
        <v>-</v>
      </c>
      <c r="W628" s="808">
        <v>1</v>
      </c>
      <c r="X628" s="794" t="str">
        <f t="shared" si="479"/>
        <v>-</v>
      </c>
      <c r="Y628" s="794">
        <v>1</v>
      </c>
      <c r="Z628" s="809" t="str">
        <f t="shared" ca="1" si="487"/>
        <v>-----</v>
      </c>
      <c r="AA628" s="810" t="str">
        <f t="shared" ca="1" si="488"/>
        <v>-----</v>
      </c>
      <c r="AB628" s="804">
        <v>1</v>
      </c>
      <c r="AC628" s="811" t="str">
        <f t="shared" ca="1" si="489"/>
        <v>-----</v>
      </c>
      <c r="AD628" s="798">
        <v>43020</v>
      </c>
      <c r="AE628" s="794" t="str">
        <f t="shared" ca="1" si="490"/>
        <v>-</v>
      </c>
      <c r="AF628" s="798" t="str">
        <f t="shared" si="491"/>
        <v>-</v>
      </c>
      <c r="AG628" s="812" t="str">
        <f t="shared" si="492"/>
        <v>---------</v>
      </c>
      <c r="AH628" s="807">
        <v>43020</v>
      </c>
      <c r="AI628" s="807" t="str">
        <f t="shared" si="493"/>
        <v>-</v>
      </c>
      <c r="AJ628" s="807" t="str">
        <f t="shared" si="494"/>
        <v>-</v>
      </c>
      <c r="AK628" s="813"/>
      <c r="AL628" s="807">
        <f t="shared" si="495"/>
        <v>43210</v>
      </c>
      <c r="AM628" s="807">
        <f t="shared" si="496"/>
        <v>43231</v>
      </c>
      <c r="AN628" s="814">
        <f t="shared" ca="1" si="497"/>
        <v>-97</v>
      </c>
      <c r="AO628" s="815">
        <v>1</v>
      </c>
      <c r="AP628" s="816" t="str">
        <f t="shared" ca="1" si="498"/>
        <v>-</v>
      </c>
      <c r="AQ628" s="817"/>
      <c r="AR628" s="794" t="str">
        <f t="shared" si="499"/>
        <v>НЕТЕЛЬ</v>
      </c>
      <c r="AS628" s="818"/>
      <c r="AT628" s="794" t="str">
        <f t="shared" si="500"/>
        <v>-</v>
      </c>
      <c r="AU628" s="819"/>
      <c r="AV628" s="820"/>
      <c r="AW628" s="821"/>
      <c r="AX628" s="821"/>
      <c r="AY628" s="969" t="str">
        <f t="shared" si="501"/>
        <v>-</v>
      </c>
      <c r="AZ628" s="966" t="str">
        <f t="shared" si="502"/>
        <v>-</v>
      </c>
      <c r="BA628" s="971" t="str">
        <f t="shared" si="503"/>
        <v>-</v>
      </c>
      <c r="BB628" s="975"/>
      <c r="BC628" s="821"/>
      <c r="BD628" s="821"/>
      <c r="BE628" s="963" t="str">
        <f t="shared" si="504"/>
        <v>-</v>
      </c>
      <c r="BF628" s="984"/>
      <c r="BG628" s="988"/>
      <c r="BH628" s="982"/>
      <c r="BI628" s="991"/>
      <c r="BJ628" s="991"/>
      <c r="BK628" s="993" t="str">
        <f t="shared" si="505"/>
        <v>-</v>
      </c>
      <c r="BL628" s="820">
        <v>42977</v>
      </c>
      <c r="BM628" s="821">
        <v>5</v>
      </c>
      <c r="BN628" s="822">
        <f t="shared" ca="1" si="506"/>
        <v>157</v>
      </c>
      <c r="BO628" s="823">
        <f t="shared" si="507"/>
        <v>14.766666666666667</v>
      </c>
      <c r="BP628" s="824"/>
      <c r="BQ628" s="821"/>
      <c r="BR628" s="822" t="str">
        <f t="shared" si="508"/>
        <v>-</v>
      </c>
      <c r="BS628" s="823" t="str">
        <f t="shared" si="509"/>
        <v>-</v>
      </c>
      <c r="BT628" s="825" t="str">
        <f t="shared" ca="1" si="510"/>
        <v>-</v>
      </c>
      <c r="BU628" s="826"/>
      <c r="BV628" s="827"/>
      <c r="BW628" s="828" t="str">
        <f t="shared" si="511"/>
        <v>Ж-Е НЕ ВАКЦ.</v>
      </c>
      <c r="BX628" s="829" t="str">
        <f t="shared" si="512"/>
        <v>-</v>
      </c>
      <c r="BY628" s="830" t="str">
        <f t="shared" ca="1" si="513"/>
        <v>-</v>
      </c>
      <c r="BZ628" s="831">
        <v>42891</v>
      </c>
      <c r="CA628" s="832">
        <v>5</v>
      </c>
      <c r="CB628" s="833">
        <f t="shared" ca="1" si="514"/>
        <v>243</v>
      </c>
      <c r="CC628" s="834" t="str">
        <f t="shared" ca="1" si="515"/>
        <v>-</v>
      </c>
      <c r="CD628" s="835">
        <f t="shared" si="516"/>
        <v>42912</v>
      </c>
      <c r="CE628" s="831">
        <v>42912</v>
      </c>
      <c r="CF628" s="832">
        <v>5</v>
      </c>
      <c r="CG628" s="833">
        <f t="shared" ca="1" si="517"/>
        <v>222</v>
      </c>
      <c r="CH628" s="836">
        <f t="shared" si="518"/>
        <v>0</v>
      </c>
      <c r="CI628" s="837" t="str">
        <f t="shared" si="519"/>
        <v>УСПЕШНО</v>
      </c>
      <c r="CJ628" s="838" t="str">
        <f t="shared" ca="1" si="520"/>
        <v>-</v>
      </c>
      <c r="CK628" s="831"/>
      <c r="CL628" s="832"/>
      <c r="CM628" s="833" t="str">
        <f t="shared" si="521"/>
        <v>-</v>
      </c>
      <c r="CN628" s="834" t="str">
        <f t="shared" si="522"/>
        <v>-</v>
      </c>
      <c r="CO628" s="830" t="str">
        <f t="shared" ca="1" si="523"/>
        <v>-</v>
      </c>
      <c r="CP628" s="839"/>
      <c r="CQ628" s="832"/>
      <c r="CR628" s="833" t="str">
        <f t="shared" si="524"/>
        <v>-</v>
      </c>
      <c r="CS628" s="833" t="str">
        <f t="shared" si="525"/>
        <v>-</v>
      </c>
      <c r="CT628" s="834" t="str">
        <f t="shared" si="526"/>
        <v>-</v>
      </c>
      <c r="CU628" s="835" t="str">
        <f t="shared" si="527"/>
        <v>-</v>
      </c>
      <c r="CV628" s="839"/>
      <c r="CW628" s="832"/>
      <c r="CX628" s="833" t="str">
        <f t="shared" si="528"/>
        <v>-</v>
      </c>
      <c r="CY628" s="840" t="str">
        <f t="shared" si="529"/>
        <v>-</v>
      </c>
      <c r="CZ628" s="833" t="str">
        <f t="shared" si="530"/>
        <v>-</v>
      </c>
      <c r="DA628" s="838" t="str">
        <f t="shared" ca="1" si="531"/>
        <v>-</v>
      </c>
      <c r="DB628" s="841"/>
      <c r="DC628" s="832"/>
    </row>
    <row r="629" spans="1:107" ht="15.95" customHeight="1" x14ac:dyDescent="0.25">
      <c r="A629" s="790">
        <v>631</v>
      </c>
      <c r="B629" s="791">
        <f t="shared" ca="1" si="480"/>
        <v>43134</v>
      </c>
      <c r="C629" s="29" t="s">
        <v>2554</v>
      </c>
      <c r="D629" s="59" t="s">
        <v>2586</v>
      </c>
      <c r="E629" s="794" t="s">
        <v>1563</v>
      </c>
      <c r="F629" s="795" t="s">
        <v>1662</v>
      </c>
      <c r="G629" s="845"/>
      <c r="H629" s="797" t="s">
        <v>603</v>
      </c>
      <c r="I629" s="798">
        <v>42537</v>
      </c>
      <c r="J629" s="799">
        <f t="shared" ca="1" si="481"/>
        <v>1.6356164383561644</v>
      </c>
      <c r="K629" s="799">
        <f t="shared" ca="1" si="482"/>
        <v>19.899999999999999</v>
      </c>
      <c r="L629" s="800">
        <f t="shared" ca="1" si="483"/>
        <v>597</v>
      </c>
      <c r="M629" s="801"/>
      <c r="N629" s="802"/>
      <c r="O629" s="803" t="str">
        <f t="shared" ca="1" si="484"/>
        <v>-</v>
      </c>
      <c r="P629" s="804"/>
      <c r="Q629" s="805" t="s">
        <v>1451</v>
      </c>
      <c r="R629" s="806" t="s">
        <v>2909</v>
      </c>
      <c r="S629" s="807">
        <v>42906</v>
      </c>
      <c r="T629" s="798">
        <v>42925</v>
      </c>
      <c r="U629" s="798" t="str">
        <f t="shared" si="485"/>
        <v>-</v>
      </c>
      <c r="V629" s="804" t="str">
        <f t="shared" ca="1" si="486"/>
        <v>-</v>
      </c>
      <c r="W629" s="808">
        <v>2</v>
      </c>
      <c r="X629" s="794" t="str">
        <f t="shared" si="479"/>
        <v>-</v>
      </c>
      <c r="Y629" s="794">
        <v>1</v>
      </c>
      <c r="Z629" s="809" t="str">
        <f t="shared" ca="1" si="487"/>
        <v>ПОДЛЕЖИТ ПЕРЕПРОВЕРКЕ</v>
      </c>
      <c r="AA629" s="810">
        <f t="shared" ca="1" si="488"/>
        <v>209</v>
      </c>
      <c r="AB629" s="804"/>
      <c r="AC629" s="811">
        <f t="shared" ca="1" si="489"/>
        <v>42997</v>
      </c>
      <c r="AD629" s="798"/>
      <c r="AE629" s="794" t="str">
        <f t="shared" ca="1" si="490"/>
        <v>-</v>
      </c>
      <c r="AF629" s="798" t="str">
        <f t="shared" si="491"/>
        <v>-</v>
      </c>
      <c r="AG629" s="812" t="str">
        <f t="shared" si="492"/>
        <v>---------</v>
      </c>
      <c r="AH629" s="807">
        <v>43001</v>
      </c>
      <c r="AI629" s="807" t="str">
        <f t="shared" si="493"/>
        <v>-</v>
      </c>
      <c r="AJ629" s="807" t="str">
        <f t="shared" si="494"/>
        <v>-</v>
      </c>
      <c r="AK629" s="813"/>
      <c r="AL629" s="807">
        <f t="shared" si="495"/>
        <v>43184</v>
      </c>
      <c r="AM629" s="807">
        <f t="shared" si="496"/>
        <v>43205</v>
      </c>
      <c r="AN629" s="814">
        <f t="shared" ca="1" si="497"/>
        <v>-71</v>
      </c>
      <c r="AO629" s="815">
        <v>1</v>
      </c>
      <c r="AP629" s="816" t="str">
        <f t="shared" ca="1" si="498"/>
        <v>-</v>
      </c>
      <c r="AQ629" s="817"/>
      <c r="AR629" s="794" t="str">
        <f t="shared" si="499"/>
        <v>НЕТЕЛЬ</v>
      </c>
      <c r="AS629" s="818"/>
      <c r="AT629" s="794" t="str">
        <f t="shared" si="500"/>
        <v>-</v>
      </c>
      <c r="AU629" s="819"/>
      <c r="AV629" s="820"/>
      <c r="AW629" s="821"/>
      <c r="AX629" s="821"/>
      <c r="AY629" s="969" t="str">
        <f t="shared" si="501"/>
        <v>-</v>
      </c>
      <c r="AZ629" s="966" t="str">
        <f t="shared" si="502"/>
        <v>-</v>
      </c>
      <c r="BA629" s="971" t="str">
        <f t="shared" si="503"/>
        <v>-</v>
      </c>
      <c r="BB629" s="975"/>
      <c r="BC629" s="821"/>
      <c r="BD629" s="821"/>
      <c r="BE629" s="963" t="str">
        <f t="shared" si="504"/>
        <v>-</v>
      </c>
      <c r="BF629" s="984"/>
      <c r="BG629" s="988"/>
      <c r="BH629" s="982"/>
      <c r="BI629" s="991"/>
      <c r="BJ629" s="991"/>
      <c r="BK629" s="993" t="str">
        <f t="shared" si="505"/>
        <v>-</v>
      </c>
      <c r="BL629" s="820">
        <v>42977</v>
      </c>
      <c r="BM629" s="821">
        <v>5</v>
      </c>
      <c r="BN629" s="822">
        <f t="shared" ca="1" si="506"/>
        <v>157</v>
      </c>
      <c r="BO629" s="823">
        <f t="shared" si="507"/>
        <v>14.666666666666666</v>
      </c>
      <c r="BP629" s="824"/>
      <c r="BQ629" s="821"/>
      <c r="BR629" s="822" t="str">
        <f t="shared" si="508"/>
        <v>-</v>
      </c>
      <c r="BS629" s="823" t="str">
        <f t="shared" si="509"/>
        <v>-</v>
      </c>
      <c r="BT629" s="825" t="str">
        <f t="shared" ca="1" si="510"/>
        <v>-</v>
      </c>
      <c r="BU629" s="826"/>
      <c r="BV629" s="827"/>
      <c r="BW629" s="828" t="str">
        <f t="shared" si="511"/>
        <v>Ж-Е НЕ ВАКЦ.</v>
      </c>
      <c r="BX629" s="829" t="str">
        <f t="shared" si="512"/>
        <v>-</v>
      </c>
      <c r="BY629" s="830" t="str">
        <f t="shared" ca="1" si="513"/>
        <v>-</v>
      </c>
      <c r="BZ629" s="831">
        <v>42891</v>
      </c>
      <c r="CA629" s="832">
        <v>5</v>
      </c>
      <c r="CB629" s="833">
        <f t="shared" ca="1" si="514"/>
        <v>243</v>
      </c>
      <c r="CC629" s="834" t="str">
        <f t="shared" ca="1" si="515"/>
        <v>-</v>
      </c>
      <c r="CD629" s="835">
        <f t="shared" si="516"/>
        <v>42912</v>
      </c>
      <c r="CE629" s="831">
        <v>42912</v>
      </c>
      <c r="CF629" s="832">
        <v>5</v>
      </c>
      <c r="CG629" s="833">
        <f t="shared" ca="1" si="517"/>
        <v>222</v>
      </c>
      <c r="CH629" s="836">
        <f t="shared" si="518"/>
        <v>0</v>
      </c>
      <c r="CI629" s="837" t="str">
        <f t="shared" si="519"/>
        <v>УСПЕШНО</v>
      </c>
      <c r="CJ629" s="838" t="str">
        <f t="shared" ca="1" si="520"/>
        <v>-</v>
      </c>
      <c r="CK629" s="831"/>
      <c r="CL629" s="832"/>
      <c r="CM629" s="833" t="str">
        <f t="shared" si="521"/>
        <v>-</v>
      </c>
      <c r="CN629" s="834" t="str">
        <f t="shared" si="522"/>
        <v>-</v>
      </c>
      <c r="CO629" s="830" t="str">
        <f t="shared" ca="1" si="523"/>
        <v>-</v>
      </c>
      <c r="CP629" s="839"/>
      <c r="CQ629" s="832"/>
      <c r="CR629" s="833" t="str">
        <f t="shared" si="524"/>
        <v>-</v>
      </c>
      <c r="CS629" s="833" t="str">
        <f t="shared" si="525"/>
        <v>-</v>
      </c>
      <c r="CT629" s="834" t="str">
        <f t="shared" si="526"/>
        <v>-</v>
      </c>
      <c r="CU629" s="835" t="str">
        <f t="shared" si="527"/>
        <v>-</v>
      </c>
      <c r="CV629" s="839"/>
      <c r="CW629" s="832"/>
      <c r="CX629" s="833" t="str">
        <f t="shared" si="528"/>
        <v>-</v>
      </c>
      <c r="CY629" s="840" t="str">
        <f t="shared" si="529"/>
        <v>-</v>
      </c>
      <c r="CZ629" s="833" t="str">
        <f t="shared" si="530"/>
        <v>-</v>
      </c>
      <c r="DA629" s="838" t="str">
        <f t="shared" ca="1" si="531"/>
        <v>-</v>
      </c>
      <c r="DB629" s="841"/>
      <c r="DC629" s="832"/>
    </row>
    <row r="630" spans="1:107" ht="15.95" customHeight="1" x14ac:dyDescent="0.25">
      <c r="A630" s="790">
        <v>632</v>
      </c>
      <c r="B630" s="791">
        <f t="shared" ca="1" si="480"/>
        <v>43134</v>
      </c>
      <c r="C630" s="29" t="s">
        <v>2554</v>
      </c>
      <c r="D630" s="59" t="s">
        <v>2586</v>
      </c>
      <c r="E630" s="794" t="s">
        <v>1563</v>
      </c>
      <c r="F630" s="795" t="s">
        <v>1667</v>
      </c>
      <c r="G630" s="845"/>
      <c r="H630" s="797" t="s">
        <v>603</v>
      </c>
      <c r="I630" s="798">
        <v>42538</v>
      </c>
      <c r="J630" s="799">
        <f t="shared" ca="1" si="481"/>
        <v>1.6328767123287671</v>
      </c>
      <c r="K630" s="799">
        <f t="shared" ca="1" si="482"/>
        <v>19.866666666666667</v>
      </c>
      <c r="L630" s="800">
        <f t="shared" ca="1" si="483"/>
        <v>596</v>
      </c>
      <c r="M630" s="801"/>
      <c r="N630" s="802"/>
      <c r="O630" s="803" t="str">
        <f t="shared" ca="1" si="484"/>
        <v>-</v>
      </c>
      <c r="P630" s="804"/>
      <c r="Q630" s="805" t="s">
        <v>2309</v>
      </c>
      <c r="R630" s="806" t="s">
        <v>2909</v>
      </c>
      <c r="S630" s="807">
        <v>42937</v>
      </c>
      <c r="T630" s="798">
        <v>42937</v>
      </c>
      <c r="U630" s="798" t="str">
        <f t="shared" si="485"/>
        <v>-</v>
      </c>
      <c r="V630" s="804" t="str">
        <f t="shared" ca="1" si="486"/>
        <v>-</v>
      </c>
      <c r="W630" s="808">
        <v>1</v>
      </c>
      <c r="X630" s="794" t="str">
        <f t="shared" ref="X630:X693" si="532">IF(AND(N630&gt;0,T630&gt;0),T630-N630,"-")</f>
        <v>-</v>
      </c>
      <c r="Y630" s="794">
        <v>1</v>
      </c>
      <c r="Z630" s="809" t="str">
        <f t="shared" ca="1" si="487"/>
        <v>ПОДЛЕЖИТ ПЕРЕПРОВЕРКЕ</v>
      </c>
      <c r="AA630" s="810">
        <f t="shared" ca="1" si="488"/>
        <v>197</v>
      </c>
      <c r="AB630" s="804"/>
      <c r="AC630" s="811">
        <f t="shared" ca="1" si="489"/>
        <v>43009</v>
      </c>
      <c r="AD630" s="798"/>
      <c r="AE630" s="794" t="str">
        <f t="shared" ca="1" si="490"/>
        <v>-</v>
      </c>
      <c r="AF630" s="798" t="str">
        <f t="shared" si="491"/>
        <v>-</v>
      </c>
      <c r="AG630" s="812" t="str">
        <f t="shared" si="492"/>
        <v>---------</v>
      </c>
      <c r="AH630" s="807">
        <v>43001</v>
      </c>
      <c r="AI630" s="807" t="str">
        <f t="shared" si="493"/>
        <v>-</v>
      </c>
      <c r="AJ630" s="807" t="str">
        <f t="shared" si="494"/>
        <v>-</v>
      </c>
      <c r="AK630" s="813"/>
      <c r="AL630" s="807">
        <f t="shared" si="495"/>
        <v>43196</v>
      </c>
      <c r="AM630" s="807">
        <f t="shared" si="496"/>
        <v>43217</v>
      </c>
      <c r="AN630" s="814">
        <f t="shared" ca="1" si="497"/>
        <v>-83</v>
      </c>
      <c r="AO630" s="815">
        <v>1</v>
      </c>
      <c r="AP630" s="816" t="str">
        <f t="shared" ca="1" si="498"/>
        <v>-</v>
      </c>
      <c r="AQ630" s="817"/>
      <c r="AR630" s="794" t="str">
        <f t="shared" si="499"/>
        <v>НЕТЕЛЬ</v>
      </c>
      <c r="AS630" s="818"/>
      <c r="AT630" s="794" t="str">
        <f t="shared" si="500"/>
        <v>-</v>
      </c>
      <c r="AU630" s="819"/>
      <c r="AV630" s="820"/>
      <c r="AW630" s="821"/>
      <c r="AX630" s="821"/>
      <c r="AY630" s="969" t="str">
        <f t="shared" si="501"/>
        <v>-</v>
      </c>
      <c r="AZ630" s="966" t="str">
        <f t="shared" si="502"/>
        <v>-</v>
      </c>
      <c r="BA630" s="971" t="str">
        <f t="shared" si="503"/>
        <v>-</v>
      </c>
      <c r="BB630" s="975"/>
      <c r="BC630" s="821"/>
      <c r="BD630" s="821"/>
      <c r="BE630" s="963" t="str">
        <f t="shared" si="504"/>
        <v>-</v>
      </c>
      <c r="BF630" s="984"/>
      <c r="BG630" s="988"/>
      <c r="BH630" s="982"/>
      <c r="BI630" s="991"/>
      <c r="BJ630" s="991"/>
      <c r="BK630" s="993" t="str">
        <f t="shared" si="505"/>
        <v>-</v>
      </c>
      <c r="BL630" s="820">
        <v>42977</v>
      </c>
      <c r="BM630" s="821">
        <v>5</v>
      </c>
      <c r="BN630" s="822">
        <f t="shared" ca="1" si="506"/>
        <v>157</v>
      </c>
      <c r="BO630" s="823">
        <f t="shared" si="507"/>
        <v>14.633333333333333</v>
      </c>
      <c r="BP630" s="824"/>
      <c r="BQ630" s="821"/>
      <c r="BR630" s="822" t="str">
        <f t="shared" si="508"/>
        <v>-</v>
      </c>
      <c r="BS630" s="823" t="str">
        <f t="shared" si="509"/>
        <v>-</v>
      </c>
      <c r="BT630" s="825" t="str">
        <f t="shared" ca="1" si="510"/>
        <v>-</v>
      </c>
      <c r="BU630" s="826"/>
      <c r="BV630" s="827"/>
      <c r="BW630" s="828" t="str">
        <f t="shared" si="511"/>
        <v>Ж-Е НЕ ВАКЦ.</v>
      </c>
      <c r="BX630" s="829" t="str">
        <f t="shared" si="512"/>
        <v>-</v>
      </c>
      <c r="BY630" s="830" t="str">
        <f t="shared" ca="1" si="513"/>
        <v>-</v>
      </c>
      <c r="BZ630" s="831">
        <v>42891</v>
      </c>
      <c r="CA630" s="832">
        <v>5</v>
      </c>
      <c r="CB630" s="833">
        <f t="shared" ca="1" si="514"/>
        <v>243</v>
      </c>
      <c r="CC630" s="834" t="str">
        <f t="shared" ca="1" si="515"/>
        <v>-</v>
      </c>
      <c r="CD630" s="835">
        <f t="shared" si="516"/>
        <v>42912</v>
      </c>
      <c r="CE630" s="831">
        <v>42912</v>
      </c>
      <c r="CF630" s="832">
        <v>5</v>
      </c>
      <c r="CG630" s="833">
        <f t="shared" ca="1" si="517"/>
        <v>222</v>
      </c>
      <c r="CH630" s="836">
        <f t="shared" si="518"/>
        <v>0</v>
      </c>
      <c r="CI630" s="837" t="str">
        <f t="shared" si="519"/>
        <v>УСПЕШНО</v>
      </c>
      <c r="CJ630" s="838" t="str">
        <f t="shared" ca="1" si="520"/>
        <v>-</v>
      </c>
      <c r="CK630" s="831"/>
      <c r="CL630" s="832"/>
      <c r="CM630" s="833" t="str">
        <f t="shared" si="521"/>
        <v>-</v>
      </c>
      <c r="CN630" s="834" t="str">
        <f t="shared" si="522"/>
        <v>-</v>
      </c>
      <c r="CO630" s="830" t="str">
        <f t="shared" ca="1" si="523"/>
        <v>-</v>
      </c>
      <c r="CP630" s="839"/>
      <c r="CQ630" s="832"/>
      <c r="CR630" s="833" t="str">
        <f t="shared" si="524"/>
        <v>-</v>
      </c>
      <c r="CS630" s="833" t="str">
        <f t="shared" si="525"/>
        <v>-</v>
      </c>
      <c r="CT630" s="834" t="str">
        <f t="shared" si="526"/>
        <v>-</v>
      </c>
      <c r="CU630" s="835" t="str">
        <f t="shared" si="527"/>
        <v>-</v>
      </c>
      <c r="CV630" s="839"/>
      <c r="CW630" s="832"/>
      <c r="CX630" s="833" t="str">
        <f t="shared" si="528"/>
        <v>-</v>
      </c>
      <c r="CY630" s="840" t="str">
        <f t="shared" si="529"/>
        <v>-</v>
      </c>
      <c r="CZ630" s="833" t="str">
        <f t="shared" si="530"/>
        <v>-</v>
      </c>
      <c r="DA630" s="838" t="str">
        <f t="shared" ca="1" si="531"/>
        <v>-</v>
      </c>
      <c r="DB630" s="841"/>
      <c r="DC630" s="832"/>
    </row>
    <row r="631" spans="1:107" ht="15.95" customHeight="1" x14ac:dyDescent="0.25">
      <c r="A631" s="790">
        <v>633</v>
      </c>
      <c r="B631" s="791">
        <f t="shared" ca="1" si="480"/>
        <v>43134</v>
      </c>
      <c r="C631" s="271" t="s">
        <v>2554</v>
      </c>
      <c r="D631" s="270" t="s">
        <v>2586</v>
      </c>
      <c r="E631" s="794" t="s">
        <v>1563</v>
      </c>
      <c r="F631" s="795" t="s">
        <v>1656</v>
      </c>
      <c r="G631" s="845"/>
      <c r="H631" s="797" t="s">
        <v>603</v>
      </c>
      <c r="I631" s="798">
        <v>42539</v>
      </c>
      <c r="J631" s="799">
        <f t="shared" ca="1" si="481"/>
        <v>1.6301369863013699</v>
      </c>
      <c r="K631" s="799">
        <f t="shared" ca="1" si="482"/>
        <v>19.833333333333332</v>
      </c>
      <c r="L631" s="800">
        <f t="shared" ca="1" si="483"/>
        <v>595</v>
      </c>
      <c r="M631" s="801"/>
      <c r="N631" s="802"/>
      <c r="O631" s="803" t="str">
        <f t="shared" ca="1" si="484"/>
        <v>-</v>
      </c>
      <c r="P631" s="804"/>
      <c r="Q631" s="805" t="s">
        <v>2309</v>
      </c>
      <c r="R631" s="806" t="s">
        <v>2909</v>
      </c>
      <c r="S631" s="807">
        <v>42937</v>
      </c>
      <c r="T631" s="798">
        <v>42937</v>
      </c>
      <c r="U631" s="798" t="str">
        <f t="shared" si="485"/>
        <v>-</v>
      </c>
      <c r="V631" s="804" t="str">
        <f t="shared" ca="1" si="486"/>
        <v>-</v>
      </c>
      <c r="W631" s="808">
        <v>1</v>
      </c>
      <c r="X631" s="794" t="str">
        <f t="shared" si="532"/>
        <v>-</v>
      </c>
      <c r="Y631" s="794">
        <v>1</v>
      </c>
      <c r="Z631" s="809" t="str">
        <f t="shared" ca="1" si="487"/>
        <v>ПОДЛЕЖИТ ПЕРЕПРОВЕРКЕ</v>
      </c>
      <c r="AA631" s="810">
        <f t="shared" ca="1" si="488"/>
        <v>197</v>
      </c>
      <c r="AB631" s="804"/>
      <c r="AC631" s="811">
        <f t="shared" ca="1" si="489"/>
        <v>43009</v>
      </c>
      <c r="AD631" s="798"/>
      <c r="AE631" s="794" t="str">
        <f t="shared" ca="1" si="490"/>
        <v>-</v>
      </c>
      <c r="AF631" s="798" t="str">
        <f t="shared" si="491"/>
        <v>-</v>
      </c>
      <c r="AG631" s="812" t="str">
        <f t="shared" si="492"/>
        <v>---------</v>
      </c>
      <c r="AH631" s="807">
        <v>43001</v>
      </c>
      <c r="AI631" s="807" t="str">
        <f t="shared" si="493"/>
        <v>-</v>
      </c>
      <c r="AJ631" s="807" t="str">
        <f t="shared" si="494"/>
        <v>-</v>
      </c>
      <c r="AK631" s="813"/>
      <c r="AL631" s="807">
        <f t="shared" si="495"/>
        <v>43196</v>
      </c>
      <c r="AM631" s="807">
        <f t="shared" si="496"/>
        <v>43217</v>
      </c>
      <c r="AN631" s="814">
        <f t="shared" ca="1" si="497"/>
        <v>-83</v>
      </c>
      <c r="AO631" s="815">
        <v>1</v>
      </c>
      <c r="AP631" s="816" t="str">
        <f t="shared" ca="1" si="498"/>
        <v>-</v>
      </c>
      <c r="AQ631" s="817"/>
      <c r="AR631" s="794" t="str">
        <f t="shared" si="499"/>
        <v>НЕТЕЛЬ</v>
      </c>
      <c r="AS631" s="818"/>
      <c r="AT631" s="794" t="str">
        <f t="shared" si="500"/>
        <v>-</v>
      </c>
      <c r="AU631" s="819"/>
      <c r="AV631" s="820"/>
      <c r="AW631" s="821"/>
      <c r="AX631" s="821"/>
      <c r="AY631" s="969" t="str">
        <f t="shared" si="501"/>
        <v>-</v>
      </c>
      <c r="AZ631" s="966" t="str">
        <f t="shared" si="502"/>
        <v>-</v>
      </c>
      <c r="BA631" s="971" t="str">
        <f t="shared" si="503"/>
        <v>-</v>
      </c>
      <c r="BB631" s="975"/>
      <c r="BC631" s="821"/>
      <c r="BD631" s="821"/>
      <c r="BE631" s="963" t="str">
        <f t="shared" si="504"/>
        <v>-</v>
      </c>
      <c r="BF631" s="984"/>
      <c r="BG631" s="988"/>
      <c r="BH631" s="982"/>
      <c r="BI631" s="991"/>
      <c r="BJ631" s="991"/>
      <c r="BK631" s="993" t="str">
        <f t="shared" si="505"/>
        <v>-</v>
      </c>
      <c r="BL631" s="820">
        <v>42977</v>
      </c>
      <c r="BM631" s="821">
        <v>5</v>
      </c>
      <c r="BN631" s="822">
        <f t="shared" ca="1" si="506"/>
        <v>157</v>
      </c>
      <c r="BO631" s="823">
        <f t="shared" si="507"/>
        <v>14.6</v>
      </c>
      <c r="BP631" s="824"/>
      <c r="BQ631" s="821"/>
      <c r="BR631" s="822" t="str">
        <f t="shared" si="508"/>
        <v>-</v>
      </c>
      <c r="BS631" s="823" t="str">
        <f t="shared" si="509"/>
        <v>-</v>
      </c>
      <c r="BT631" s="825" t="str">
        <f t="shared" ca="1" si="510"/>
        <v>-</v>
      </c>
      <c r="BU631" s="826"/>
      <c r="BV631" s="827"/>
      <c r="BW631" s="828" t="str">
        <f t="shared" si="511"/>
        <v>Ж-Е НЕ ВАКЦ.</v>
      </c>
      <c r="BX631" s="829" t="str">
        <f t="shared" si="512"/>
        <v>-</v>
      </c>
      <c r="BY631" s="830" t="str">
        <f t="shared" ca="1" si="513"/>
        <v>-</v>
      </c>
      <c r="BZ631" s="831">
        <v>42891</v>
      </c>
      <c r="CA631" s="832">
        <v>5</v>
      </c>
      <c r="CB631" s="833">
        <f t="shared" ca="1" si="514"/>
        <v>243</v>
      </c>
      <c r="CC631" s="834" t="str">
        <f t="shared" ca="1" si="515"/>
        <v>-</v>
      </c>
      <c r="CD631" s="835">
        <f t="shared" si="516"/>
        <v>42912</v>
      </c>
      <c r="CE631" s="831">
        <v>42912</v>
      </c>
      <c r="CF631" s="832">
        <v>5</v>
      </c>
      <c r="CG631" s="833">
        <f t="shared" ca="1" si="517"/>
        <v>222</v>
      </c>
      <c r="CH631" s="836">
        <f t="shared" si="518"/>
        <v>0</v>
      </c>
      <c r="CI631" s="837" t="str">
        <f t="shared" si="519"/>
        <v>УСПЕШНО</v>
      </c>
      <c r="CJ631" s="838" t="str">
        <f t="shared" ca="1" si="520"/>
        <v>-</v>
      </c>
      <c r="CK631" s="831"/>
      <c r="CL631" s="832"/>
      <c r="CM631" s="833" t="str">
        <f t="shared" si="521"/>
        <v>-</v>
      </c>
      <c r="CN631" s="834" t="str">
        <f t="shared" si="522"/>
        <v>-</v>
      </c>
      <c r="CO631" s="830" t="str">
        <f t="shared" ca="1" si="523"/>
        <v>-</v>
      </c>
      <c r="CP631" s="839"/>
      <c r="CQ631" s="832"/>
      <c r="CR631" s="833" t="str">
        <f t="shared" si="524"/>
        <v>-</v>
      </c>
      <c r="CS631" s="833" t="str">
        <f t="shared" si="525"/>
        <v>-</v>
      </c>
      <c r="CT631" s="834" t="str">
        <f t="shared" si="526"/>
        <v>-</v>
      </c>
      <c r="CU631" s="835" t="str">
        <f t="shared" si="527"/>
        <v>-</v>
      </c>
      <c r="CV631" s="839"/>
      <c r="CW631" s="832"/>
      <c r="CX631" s="833" t="str">
        <f t="shared" si="528"/>
        <v>-</v>
      </c>
      <c r="CY631" s="840" t="str">
        <f t="shared" si="529"/>
        <v>-</v>
      </c>
      <c r="CZ631" s="833" t="str">
        <f t="shared" si="530"/>
        <v>-</v>
      </c>
      <c r="DA631" s="838" t="str">
        <f t="shared" ca="1" si="531"/>
        <v>-</v>
      </c>
      <c r="DB631" s="841"/>
      <c r="DC631" s="832"/>
    </row>
    <row r="632" spans="1:107" ht="15.95" customHeight="1" x14ac:dyDescent="0.25">
      <c r="A632" s="790">
        <v>634</v>
      </c>
      <c r="B632" s="791">
        <f t="shared" ca="1" si="480"/>
        <v>43134</v>
      </c>
      <c r="C632" s="29" t="s">
        <v>2554</v>
      </c>
      <c r="D632" s="59" t="s">
        <v>2586</v>
      </c>
      <c r="E632" s="794" t="s">
        <v>1563</v>
      </c>
      <c r="F632" s="795" t="s">
        <v>1670</v>
      </c>
      <c r="G632" s="845"/>
      <c r="H632" s="797" t="s">
        <v>603</v>
      </c>
      <c r="I632" s="798">
        <v>42540</v>
      </c>
      <c r="J632" s="799">
        <f t="shared" ca="1" si="481"/>
        <v>1.6273972602739726</v>
      </c>
      <c r="K632" s="799">
        <f t="shared" ca="1" si="482"/>
        <v>19.8</v>
      </c>
      <c r="L632" s="800">
        <f t="shared" ca="1" si="483"/>
        <v>594</v>
      </c>
      <c r="M632" s="801"/>
      <c r="N632" s="802"/>
      <c r="O632" s="803" t="str">
        <f t="shared" ca="1" si="484"/>
        <v>-</v>
      </c>
      <c r="P632" s="804"/>
      <c r="Q632" s="805" t="s">
        <v>2366</v>
      </c>
      <c r="R632" s="806" t="s">
        <v>2269</v>
      </c>
      <c r="S632" s="807">
        <v>42920</v>
      </c>
      <c r="T632" s="798">
        <v>42920</v>
      </c>
      <c r="U632" s="798" t="str">
        <f t="shared" si="485"/>
        <v>-</v>
      </c>
      <c r="V632" s="804" t="str">
        <f t="shared" ca="1" si="486"/>
        <v>-</v>
      </c>
      <c r="W632" s="808">
        <v>1</v>
      </c>
      <c r="X632" s="794" t="str">
        <f t="shared" si="532"/>
        <v>-</v>
      </c>
      <c r="Y632" s="794">
        <v>1</v>
      </c>
      <c r="Z632" s="809" t="str">
        <f t="shared" ca="1" si="487"/>
        <v>ПОДЛЕЖИТ ПЕРЕПРОВЕРКЕ</v>
      </c>
      <c r="AA632" s="810">
        <f t="shared" ca="1" si="488"/>
        <v>214</v>
      </c>
      <c r="AB632" s="804"/>
      <c r="AC632" s="811">
        <f t="shared" ca="1" si="489"/>
        <v>42992</v>
      </c>
      <c r="AD632" s="798"/>
      <c r="AE632" s="794" t="str">
        <f t="shared" ca="1" si="490"/>
        <v>-</v>
      </c>
      <c r="AF632" s="798" t="str">
        <f t="shared" si="491"/>
        <v>-</v>
      </c>
      <c r="AG632" s="812" t="str">
        <f t="shared" si="492"/>
        <v>---------</v>
      </c>
      <c r="AH632" s="807">
        <v>43001</v>
      </c>
      <c r="AI632" s="807" t="str">
        <f t="shared" si="493"/>
        <v>-</v>
      </c>
      <c r="AJ632" s="807" t="str">
        <f t="shared" si="494"/>
        <v>-</v>
      </c>
      <c r="AK632" s="813"/>
      <c r="AL632" s="807">
        <f t="shared" si="495"/>
        <v>43179</v>
      </c>
      <c r="AM632" s="807">
        <f t="shared" si="496"/>
        <v>43200</v>
      </c>
      <c r="AN632" s="814">
        <f t="shared" ca="1" si="497"/>
        <v>-66</v>
      </c>
      <c r="AO632" s="815">
        <v>1</v>
      </c>
      <c r="AP632" s="816" t="str">
        <f t="shared" ca="1" si="498"/>
        <v>-</v>
      </c>
      <c r="AQ632" s="817"/>
      <c r="AR632" s="794" t="str">
        <f t="shared" si="499"/>
        <v>НЕТЕЛЬ</v>
      </c>
      <c r="AS632" s="818"/>
      <c r="AT632" s="794" t="str">
        <f t="shared" si="500"/>
        <v>-</v>
      </c>
      <c r="AU632" s="819"/>
      <c r="AV632" s="820"/>
      <c r="AW632" s="821"/>
      <c r="AX632" s="821"/>
      <c r="AY632" s="969" t="str">
        <f t="shared" si="501"/>
        <v>-</v>
      </c>
      <c r="AZ632" s="966" t="str">
        <f t="shared" si="502"/>
        <v>-</v>
      </c>
      <c r="BA632" s="971" t="str">
        <f t="shared" si="503"/>
        <v>-</v>
      </c>
      <c r="BB632" s="975"/>
      <c r="BC632" s="821"/>
      <c r="BD632" s="821"/>
      <c r="BE632" s="963" t="str">
        <f t="shared" si="504"/>
        <v>-</v>
      </c>
      <c r="BF632" s="984"/>
      <c r="BG632" s="988"/>
      <c r="BH632" s="982"/>
      <c r="BI632" s="991"/>
      <c r="BJ632" s="991"/>
      <c r="BK632" s="993" t="str">
        <f t="shared" si="505"/>
        <v>-</v>
      </c>
      <c r="BL632" s="820">
        <v>42977</v>
      </c>
      <c r="BM632" s="821">
        <v>5</v>
      </c>
      <c r="BN632" s="822">
        <f t="shared" ca="1" si="506"/>
        <v>157</v>
      </c>
      <c r="BO632" s="823">
        <f t="shared" si="507"/>
        <v>14.566666666666666</v>
      </c>
      <c r="BP632" s="824"/>
      <c r="BQ632" s="821"/>
      <c r="BR632" s="822" t="str">
        <f t="shared" si="508"/>
        <v>-</v>
      </c>
      <c r="BS632" s="823" t="str">
        <f t="shared" si="509"/>
        <v>-</v>
      </c>
      <c r="BT632" s="825" t="str">
        <f t="shared" ca="1" si="510"/>
        <v>-</v>
      </c>
      <c r="BU632" s="826"/>
      <c r="BV632" s="827"/>
      <c r="BW632" s="828" t="str">
        <f t="shared" si="511"/>
        <v>Ж-Е НЕ ВАКЦ.</v>
      </c>
      <c r="BX632" s="829" t="str">
        <f t="shared" si="512"/>
        <v>-</v>
      </c>
      <c r="BY632" s="830" t="str">
        <f t="shared" ca="1" si="513"/>
        <v>-</v>
      </c>
      <c r="BZ632" s="831">
        <v>42891</v>
      </c>
      <c r="CA632" s="832">
        <v>5</v>
      </c>
      <c r="CB632" s="833">
        <f t="shared" ca="1" si="514"/>
        <v>243</v>
      </c>
      <c r="CC632" s="834" t="str">
        <f t="shared" ca="1" si="515"/>
        <v>-</v>
      </c>
      <c r="CD632" s="835">
        <f t="shared" si="516"/>
        <v>42912</v>
      </c>
      <c r="CE632" s="831">
        <v>42912</v>
      </c>
      <c r="CF632" s="832">
        <v>5</v>
      </c>
      <c r="CG632" s="833">
        <f t="shared" ca="1" si="517"/>
        <v>222</v>
      </c>
      <c r="CH632" s="836">
        <f t="shared" si="518"/>
        <v>0</v>
      </c>
      <c r="CI632" s="837" t="str">
        <f t="shared" si="519"/>
        <v>УСПЕШНО</v>
      </c>
      <c r="CJ632" s="838" t="str">
        <f t="shared" ca="1" si="520"/>
        <v>-</v>
      </c>
      <c r="CK632" s="831"/>
      <c r="CL632" s="832"/>
      <c r="CM632" s="833" t="str">
        <f t="shared" si="521"/>
        <v>-</v>
      </c>
      <c r="CN632" s="834" t="str">
        <f t="shared" si="522"/>
        <v>-</v>
      </c>
      <c r="CO632" s="830" t="str">
        <f t="shared" ca="1" si="523"/>
        <v>ТРЕБУЕТСЯ ВАКЦИНАЦИЯ</v>
      </c>
      <c r="CP632" s="839"/>
      <c r="CQ632" s="832"/>
      <c r="CR632" s="833" t="str">
        <f t="shared" si="524"/>
        <v>-</v>
      </c>
      <c r="CS632" s="833" t="str">
        <f t="shared" si="525"/>
        <v>-</v>
      </c>
      <c r="CT632" s="834" t="str">
        <f t="shared" si="526"/>
        <v>-</v>
      </c>
      <c r="CU632" s="835" t="str">
        <f t="shared" si="527"/>
        <v>-</v>
      </c>
      <c r="CV632" s="839"/>
      <c r="CW632" s="832"/>
      <c r="CX632" s="833" t="str">
        <f t="shared" si="528"/>
        <v>-</v>
      </c>
      <c r="CY632" s="840" t="str">
        <f t="shared" si="529"/>
        <v>-</v>
      </c>
      <c r="CZ632" s="833" t="str">
        <f t="shared" si="530"/>
        <v>-</v>
      </c>
      <c r="DA632" s="838" t="str">
        <f t="shared" ca="1" si="531"/>
        <v>-</v>
      </c>
      <c r="DB632" s="841"/>
      <c r="DC632" s="832"/>
    </row>
    <row r="633" spans="1:107" ht="15.95" customHeight="1" x14ac:dyDescent="0.25">
      <c r="A633" s="790">
        <v>635</v>
      </c>
      <c r="B633" s="791">
        <f t="shared" ca="1" si="480"/>
        <v>43134</v>
      </c>
      <c r="C633" s="29" t="s">
        <v>2554</v>
      </c>
      <c r="D633" s="59" t="s">
        <v>2586</v>
      </c>
      <c r="E633" s="794" t="s">
        <v>1563</v>
      </c>
      <c r="F633" s="795" t="s">
        <v>1641</v>
      </c>
      <c r="G633" s="845"/>
      <c r="H633" s="797" t="s">
        <v>603</v>
      </c>
      <c r="I633" s="798">
        <v>42542</v>
      </c>
      <c r="J633" s="799">
        <f t="shared" ca="1" si="481"/>
        <v>1.6219178082191781</v>
      </c>
      <c r="K633" s="799">
        <f t="shared" ca="1" si="482"/>
        <v>19.733333333333334</v>
      </c>
      <c r="L633" s="800">
        <f t="shared" ca="1" si="483"/>
        <v>592</v>
      </c>
      <c r="M633" s="801"/>
      <c r="N633" s="802"/>
      <c r="O633" s="803" t="str">
        <f t="shared" ca="1" si="484"/>
        <v>-</v>
      </c>
      <c r="P633" s="804"/>
      <c r="Q633" s="805" t="s">
        <v>2366</v>
      </c>
      <c r="R633" s="806" t="s">
        <v>2909</v>
      </c>
      <c r="S633" s="807">
        <v>42923</v>
      </c>
      <c r="T633" s="798">
        <v>42923</v>
      </c>
      <c r="U633" s="798" t="str">
        <f t="shared" si="485"/>
        <v>-</v>
      </c>
      <c r="V633" s="804" t="str">
        <f t="shared" ca="1" si="486"/>
        <v>-</v>
      </c>
      <c r="W633" s="808">
        <v>1</v>
      </c>
      <c r="X633" s="794" t="str">
        <f t="shared" si="532"/>
        <v>-</v>
      </c>
      <c r="Y633" s="794">
        <v>1</v>
      </c>
      <c r="Z633" s="809" t="str">
        <f t="shared" ca="1" si="487"/>
        <v>ПОДЛЕЖИТ ПЕРЕПРОВЕРКЕ</v>
      </c>
      <c r="AA633" s="810">
        <f t="shared" ca="1" si="488"/>
        <v>211</v>
      </c>
      <c r="AB633" s="804"/>
      <c r="AC633" s="811">
        <f t="shared" ca="1" si="489"/>
        <v>42995</v>
      </c>
      <c r="AD633" s="798"/>
      <c r="AE633" s="794" t="str">
        <f t="shared" ca="1" si="490"/>
        <v>-</v>
      </c>
      <c r="AF633" s="798" t="str">
        <f t="shared" si="491"/>
        <v>-</v>
      </c>
      <c r="AG633" s="812" t="str">
        <f t="shared" si="492"/>
        <v>---------</v>
      </c>
      <c r="AH633" s="807">
        <v>43001</v>
      </c>
      <c r="AI633" s="807" t="str">
        <f t="shared" si="493"/>
        <v>-</v>
      </c>
      <c r="AJ633" s="807" t="str">
        <f t="shared" si="494"/>
        <v>-</v>
      </c>
      <c r="AK633" s="813"/>
      <c r="AL633" s="807">
        <f t="shared" si="495"/>
        <v>43182</v>
      </c>
      <c r="AM633" s="807">
        <f t="shared" si="496"/>
        <v>43203</v>
      </c>
      <c r="AN633" s="814">
        <f t="shared" ca="1" si="497"/>
        <v>-69</v>
      </c>
      <c r="AO633" s="815">
        <v>1</v>
      </c>
      <c r="AP633" s="816" t="str">
        <f t="shared" ca="1" si="498"/>
        <v>-</v>
      </c>
      <c r="AQ633" s="817"/>
      <c r="AR633" s="794" t="str">
        <f t="shared" si="499"/>
        <v>НЕТЕЛЬ</v>
      </c>
      <c r="AS633" s="818"/>
      <c r="AT633" s="794" t="str">
        <f t="shared" si="500"/>
        <v>-</v>
      </c>
      <c r="AU633" s="819"/>
      <c r="AV633" s="820"/>
      <c r="AW633" s="821"/>
      <c r="AX633" s="821"/>
      <c r="AY633" s="969" t="str">
        <f t="shared" si="501"/>
        <v>-</v>
      </c>
      <c r="AZ633" s="966" t="str">
        <f t="shared" si="502"/>
        <v>-</v>
      </c>
      <c r="BA633" s="971" t="str">
        <f t="shared" si="503"/>
        <v>-</v>
      </c>
      <c r="BB633" s="975"/>
      <c r="BC633" s="821"/>
      <c r="BD633" s="821"/>
      <c r="BE633" s="963" t="str">
        <f t="shared" si="504"/>
        <v>-</v>
      </c>
      <c r="BF633" s="984"/>
      <c r="BG633" s="988"/>
      <c r="BH633" s="982"/>
      <c r="BI633" s="991"/>
      <c r="BJ633" s="991"/>
      <c r="BK633" s="993" t="str">
        <f t="shared" si="505"/>
        <v>-</v>
      </c>
      <c r="BL633" s="820">
        <v>42977</v>
      </c>
      <c r="BM633" s="821">
        <v>5</v>
      </c>
      <c r="BN633" s="822">
        <f t="shared" ca="1" si="506"/>
        <v>157</v>
      </c>
      <c r="BO633" s="823">
        <f t="shared" si="507"/>
        <v>14.5</v>
      </c>
      <c r="BP633" s="824"/>
      <c r="BQ633" s="821"/>
      <c r="BR633" s="822" t="str">
        <f t="shared" si="508"/>
        <v>-</v>
      </c>
      <c r="BS633" s="823" t="str">
        <f t="shared" si="509"/>
        <v>-</v>
      </c>
      <c r="BT633" s="825" t="str">
        <f t="shared" ca="1" si="510"/>
        <v>-</v>
      </c>
      <c r="BU633" s="826"/>
      <c r="BV633" s="827"/>
      <c r="BW633" s="828" t="str">
        <f t="shared" si="511"/>
        <v>Ж-Е НЕ ВАКЦ.</v>
      </c>
      <c r="BX633" s="829" t="str">
        <f t="shared" si="512"/>
        <v>-</v>
      </c>
      <c r="BY633" s="830" t="str">
        <f t="shared" ca="1" si="513"/>
        <v>-</v>
      </c>
      <c r="BZ633" s="831">
        <v>42891</v>
      </c>
      <c r="CA633" s="832">
        <v>5</v>
      </c>
      <c r="CB633" s="833">
        <f t="shared" ca="1" si="514"/>
        <v>243</v>
      </c>
      <c r="CC633" s="834" t="str">
        <f t="shared" ca="1" si="515"/>
        <v>-</v>
      </c>
      <c r="CD633" s="835">
        <f t="shared" si="516"/>
        <v>42912</v>
      </c>
      <c r="CE633" s="831">
        <v>42912</v>
      </c>
      <c r="CF633" s="832">
        <v>5</v>
      </c>
      <c r="CG633" s="833">
        <f t="shared" ca="1" si="517"/>
        <v>222</v>
      </c>
      <c r="CH633" s="836">
        <f t="shared" si="518"/>
        <v>0</v>
      </c>
      <c r="CI633" s="837" t="str">
        <f t="shared" si="519"/>
        <v>УСПЕШНО</v>
      </c>
      <c r="CJ633" s="838" t="str">
        <f t="shared" ca="1" si="520"/>
        <v>-</v>
      </c>
      <c r="CK633" s="831"/>
      <c r="CL633" s="832"/>
      <c r="CM633" s="833" t="str">
        <f t="shared" si="521"/>
        <v>-</v>
      </c>
      <c r="CN633" s="834" t="str">
        <f t="shared" si="522"/>
        <v>-</v>
      </c>
      <c r="CO633" s="830" t="str">
        <f t="shared" ca="1" si="523"/>
        <v>ТРЕБУЕТСЯ ВАКЦИНАЦИЯ</v>
      </c>
      <c r="CP633" s="839"/>
      <c r="CQ633" s="832"/>
      <c r="CR633" s="833" t="str">
        <f t="shared" si="524"/>
        <v>-</v>
      </c>
      <c r="CS633" s="833" t="str">
        <f t="shared" si="525"/>
        <v>-</v>
      </c>
      <c r="CT633" s="834" t="str">
        <f t="shared" si="526"/>
        <v>-</v>
      </c>
      <c r="CU633" s="835" t="str">
        <f t="shared" si="527"/>
        <v>-</v>
      </c>
      <c r="CV633" s="839"/>
      <c r="CW633" s="832"/>
      <c r="CX633" s="833" t="str">
        <f t="shared" si="528"/>
        <v>-</v>
      </c>
      <c r="CY633" s="840" t="str">
        <f t="shared" si="529"/>
        <v>-</v>
      </c>
      <c r="CZ633" s="833" t="str">
        <f t="shared" si="530"/>
        <v>-</v>
      </c>
      <c r="DA633" s="838" t="str">
        <f t="shared" ca="1" si="531"/>
        <v>-</v>
      </c>
      <c r="DB633" s="841"/>
      <c r="DC633" s="832"/>
    </row>
    <row r="634" spans="1:107" ht="15.95" customHeight="1" x14ac:dyDescent="0.25">
      <c r="A634" s="790">
        <v>636</v>
      </c>
      <c r="B634" s="791">
        <f t="shared" ca="1" si="480"/>
        <v>43134</v>
      </c>
      <c r="C634" s="29" t="s">
        <v>2554</v>
      </c>
      <c r="D634" s="59" t="s">
        <v>2586</v>
      </c>
      <c r="E634" s="794" t="s">
        <v>1563</v>
      </c>
      <c r="F634" s="795" t="s">
        <v>1655</v>
      </c>
      <c r="G634" s="845"/>
      <c r="H634" s="797" t="s">
        <v>603</v>
      </c>
      <c r="I634" s="798">
        <v>42542</v>
      </c>
      <c r="J634" s="799">
        <f t="shared" ca="1" si="481"/>
        <v>1.6219178082191781</v>
      </c>
      <c r="K634" s="799">
        <f t="shared" ca="1" si="482"/>
        <v>19.733333333333334</v>
      </c>
      <c r="L634" s="800">
        <f t="shared" ca="1" si="483"/>
        <v>592</v>
      </c>
      <c r="M634" s="801"/>
      <c r="N634" s="802"/>
      <c r="O634" s="803" t="str">
        <f t="shared" ca="1" si="484"/>
        <v>-</v>
      </c>
      <c r="P634" s="804"/>
      <c r="Q634" s="805" t="s">
        <v>1451</v>
      </c>
      <c r="R634" s="806" t="s">
        <v>2269</v>
      </c>
      <c r="S634" s="807">
        <v>42914</v>
      </c>
      <c r="T634" s="798">
        <v>42914</v>
      </c>
      <c r="U634" s="798" t="str">
        <f t="shared" si="485"/>
        <v>-</v>
      </c>
      <c r="V634" s="804" t="str">
        <f t="shared" ca="1" si="486"/>
        <v>-</v>
      </c>
      <c r="W634" s="808">
        <v>1</v>
      </c>
      <c r="X634" s="794" t="str">
        <f t="shared" si="532"/>
        <v>-</v>
      </c>
      <c r="Y634" s="794">
        <v>1</v>
      </c>
      <c r="Z634" s="809" t="str">
        <f t="shared" ca="1" si="487"/>
        <v>ПОДЛЕЖИТ ПЕРЕПРОВЕРКЕ</v>
      </c>
      <c r="AA634" s="810">
        <f t="shared" ca="1" si="488"/>
        <v>220</v>
      </c>
      <c r="AB634" s="804"/>
      <c r="AC634" s="811">
        <f t="shared" ca="1" si="489"/>
        <v>42986</v>
      </c>
      <c r="AD634" s="798"/>
      <c r="AE634" s="794" t="str">
        <f t="shared" ca="1" si="490"/>
        <v>-</v>
      </c>
      <c r="AF634" s="798" t="str">
        <f t="shared" si="491"/>
        <v>-</v>
      </c>
      <c r="AG634" s="812" t="str">
        <f t="shared" si="492"/>
        <v>---------</v>
      </c>
      <c r="AH634" s="807">
        <v>43001</v>
      </c>
      <c r="AI634" s="807" t="str">
        <f t="shared" si="493"/>
        <v>-</v>
      </c>
      <c r="AJ634" s="807" t="str">
        <f t="shared" si="494"/>
        <v>-</v>
      </c>
      <c r="AK634" s="813"/>
      <c r="AL634" s="807">
        <f t="shared" si="495"/>
        <v>43173</v>
      </c>
      <c r="AM634" s="807">
        <f t="shared" si="496"/>
        <v>43194</v>
      </c>
      <c r="AN634" s="814">
        <f t="shared" ca="1" si="497"/>
        <v>-60</v>
      </c>
      <c r="AO634" s="815">
        <v>1</v>
      </c>
      <c r="AP634" s="816" t="str">
        <f t="shared" ca="1" si="498"/>
        <v>-</v>
      </c>
      <c r="AQ634" s="817"/>
      <c r="AR634" s="794" t="str">
        <f t="shared" si="499"/>
        <v>НЕТЕЛЬ</v>
      </c>
      <c r="AS634" s="818"/>
      <c r="AT634" s="794" t="str">
        <f t="shared" si="500"/>
        <v>-</v>
      </c>
      <c r="AU634" s="819"/>
      <c r="AV634" s="820"/>
      <c r="AW634" s="821"/>
      <c r="AX634" s="821"/>
      <c r="AY634" s="969" t="str">
        <f t="shared" si="501"/>
        <v>-</v>
      </c>
      <c r="AZ634" s="966" t="str">
        <f t="shared" si="502"/>
        <v>-</v>
      </c>
      <c r="BA634" s="971" t="str">
        <f t="shared" si="503"/>
        <v>-</v>
      </c>
      <c r="BB634" s="975"/>
      <c r="BC634" s="821"/>
      <c r="BD634" s="821"/>
      <c r="BE634" s="963" t="str">
        <f t="shared" si="504"/>
        <v>-</v>
      </c>
      <c r="BF634" s="984"/>
      <c r="BG634" s="988"/>
      <c r="BH634" s="982"/>
      <c r="BI634" s="991"/>
      <c r="BJ634" s="991"/>
      <c r="BK634" s="993" t="str">
        <f t="shared" si="505"/>
        <v>-</v>
      </c>
      <c r="BL634" s="820">
        <v>42977</v>
      </c>
      <c r="BM634" s="821">
        <v>5</v>
      </c>
      <c r="BN634" s="822">
        <f t="shared" ca="1" si="506"/>
        <v>157</v>
      </c>
      <c r="BO634" s="823">
        <f t="shared" si="507"/>
        <v>14.5</v>
      </c>
      <c r="BP634" s="824"/>
      <c r="BQ634" s="821"/>
      <c r="BR634" s="822" t="str">
        <f t="shared" si="508"/>
        <v>-</v>
      </c>
      <c r="BS634" s="823" t="str">
        <f t="shared" si="509"/>
        <v>-</v>
      </c>
      <c r="BT634" s="825" t="str">
        <f t="shared" ca="1" si="510"/>
        <v>-</v>
      </c>
      <c r="BU634" s="826"/>
      <c r="BV634" s="827"/>
      <c r="BW634" s="828" t="str">
        <f t="shared" si="511"/>
        <v>Ж-Е НЕ ВАКЦ.</v>
      </c>
      <c r="BX634" s="829" t="str">
        <f t="shared" si="512"/>
        <v>-</v>
      </c>
      <c r="BY634" s="830" t="str">
        <f t="shared" ca="1" si="513"/>
        <v>-</v>
      </c>
      <c r="BZ634" s="831">
        <v>42891</v>
      </c>
      <c r="CA634" s="832">
        <v>5</v>
      </c>
      <c r="CB634" s="833">
        <f t="shared" ca="1" si="514"/>
        <v>243</v>
      </c>
      <c r="CC634" s="834" t="str">
        <f t="shared" ca="1" si="515"/>
        <v>-</v>
      </c>
      <c r="CD634" s="835">
        <f t="shared" si="516"/>
        <v>42912</v>
      </c>
      <c r="CE634" s="831">
        <v>42912</v>
      </c>
      <c r="CF634" s="832">
        <v>5</v>
      </c>
      <c r="CG634" s="833">
        <f t="shared" ca="1" si="517"/>
        <v>222</v>
      </c>
      <c r="CH634" s="836">
        <f t="shared" si="518"/>
        <v>0</v>
      </c>
      <c r="CI634" s="837" t="str">
        <f t="shared" si="519"/>
        <v>УСПЕШНО</v>
      </c>
      <c r="CJ634" s="838" t="str">
        <f t="shared" ca="1" si="520"/>
        <v>-</v>
      </c>
      <c r="CK634" s="831"/>
      <c r="CL634" s="832"/>
      <c r="CM634" s="833" t="str">
        <f t="shared" si="521"/>
        <v>-</v>
      </c>
      <c r="CN634" s="834" t="str">
        <f t="shared" si="522"/>
        <v>-</v>
      </c>
      <c r="CO634" s="830" t="str">
        <f t="shared" ca="1" si="523"/>
        <v>ТРЕБУЕТСЯ ВАКЦИНАЦИЯ</v>
      </c>
      <c r="CP634" s="839"/>
      <c r="CQ634" s="832"/>
      <c r="CR634" s="833" t="str">
        <f t="shared" si="524"/>
        <v>-</v>
      </c>
      <c r="CS634" s="833" t="str">
        <f t="shared" si="525"/>
        <v>-</v>
      </c>
      <c r="CT634" s="834" t="str">
        <f t="shared" si="526"/>
        <v>-</v>
      </c>
      <c r="CU634" s="835" t="str">
        <f t="shared" si="527"/>
        <v>-</v>
      </c>
      <c r="CV634" s="839"/>
      <c r="CW634" s="832"/>
      <c r="CX634" s="833" t="str">
        <f t="shared" si="528"/>
        <v>-</v>
      </c>
      <c r="CY634" s="840" t="str">
        <f t="shared" si="529"/>
        <v>-</v>
      </c>
      <c r="CZ634" s="833" t="str">
        <f t="shared" si="530"/>
        <v>-</v>
      </c>
      <c r="DA634" s="838" t="str">
        <f t="shared" ca="1" si="531"/>
        <v>-</v>
      </c>
      <c r="DB634" s="841"/>
      <c r="DC634" s="832"/>
    </row>
    <row r="635" spans="1:107" ht="15.95" customHeight="1" x14ac:dyDescent="0.25">
      <c r="A635" s="790">
        <v>637</v>
      </c>
      <c r="B635" s="791">
        <f t="shared" ca="1" si="480"/>
        <v>43134</v>
      </c>
      <c r="C635" s="792" t="s">
        <v>2554</v>
      </c>
      <c r="D635" s="793" t="s">
        <v>2586</v>
      </c>
      <c r="E635" s="794" t="s">
        <v>1563</v>
      </c>
      <c r="F635" s="795" t="s">
        <v>1659</v>
      </c>
      <c r="G635" s="845"/>
      <c r="H635" s="797" t="s">
        <v>603</v>
      </c>
      <c r="I635" s="798">
        <v>42545</v>
      </c>
      <c r="J635" s="799">
        <f t="shared" ca="1" si="481"/>
        <v>1.6136986301369862</v>
      </c>
      <c r="K635" s="799">
        <f t="shared" ca="1" si="482"/>
        <v>19.633333333333333</v>
      </c>
      <c r="L635" s="800">
        <f t="shared" ca="1" si="483"/>
        <v>589</v>
      </c>
      <c r="M635" s="801"/>
      <c r="N635" s="802"/>
      <c r="O635" s="803" t="str">
        <f t="shared" ca="1" si="484"/>
        <v>-</v>
      </c>
      <c r="P635" s="804"/>
      <c r="Q635" s="805" t="s">
        <v>1451</v>
      </c>
      <c r="R635" s="806" t="s">
        <v>1876</v>
      </c>
      <c r="S635" s="807">
        <v>42908</v>
      </c>
      <c r="T635" s="798">
        <v>42908</v>
      </c>
      <c r="U635" s="798" t="str">
        <f t="shared" si="485"/>
        <v>-</v>
      </c>
      <c r="V635" s="804" t="str">
        <f t="shared" ca="1" si="486"/>
        <v>-</v>
      </c>
      <c r="W635" s="808">
        <v>1</v>
      </c>
      <c r="X635" s="794" t="str">
        <f t="shared" si="532"/>
        <v>-</v>
      </c>
      <c r="Y635" s="794">
        <v>1</v>
      </c>
      <c r="Z635" s="809" t="str">
        <f t="shared" ca="1" si="487"/>
        <v>ПОДЛЕЖИТ ПЕРЕПРОВЕРКЕ</v>
      </c>
      <c r="AA635" s="810">
        <f t="shared" ca="1" si="488"/>
        <v>226</v>
      </c>
      <c r="AB635" s="804"/>
      <c r="AC635" s="811">
        <f t="shared" ca="1" si="489"/>
        <v>42980</v>
      </c>
      <c r="AD635" s="798"/>
      <c r="AE635" s="794" t="str">
        <f t="shared" ca="1" si="490"/>
        <v>-</v>
      </c>
      <c r="AF635" s="798" t="str">
        <f t="shared" si="491"/>
        <v>-</v>
      </c>
      <c r="AG635" s="812" t="str">
        <f t="shared" si="492"/>
        <v>---------</v>
      </c>
      <c r="AH635" s="807">
        <v>42969</v>
      </c>
      <c r="AI635" s="807" t="str">
        <f t="shared" si="493"/>
        <v>-</v>
      </c>
      <c r="AJ635" s="807" t="str">
        <f t="shared" si="494"/>
        <v>-</v>
      </c>
      <c r="AK635" s="813"/>
      <c r="AL635" s="807">
        <f t="shared" si="495"/>
        <v>43167</v>
      </c>
      <c r="AM635" s="807">
        <f t="shared" si="496"/>
        <v>43188</v>
      </c>
      <c r="AN635" s="814">
        <f t="shared" ca="1" si="497"/>
        <v>-54</v>
      </c>
      <c r="AO635" s="815">
        <v>1</v>
      </c>
      <c r="AP635" s="816" t="str">
        <f t="shared" ca="1" si="498"/>
        <v>-</v>
      </c>
      <c r="AQ635" s="817"/>
      <c r="AR635" s="794" t="str">
        <f t="shared" si="499"/>
        <v>НЕТЕЛЬ</v>
      </c>
      <c r="AS635" s="818"/>
      <c r="AT635" s="794" t="str">
        <f t="shared" si="500"/>
        <v>-</v>
      </c>
      <c r="AU635" s="819"/>
      <c r="AV635" s="820"/>
      <c r="AW635" s="821"/>
      <c r="AX635" s="821"/>
      <c r="AY635" s="969" t="str">
        <f t="shared" si="501"/>
        <v>-</v>
      </c>
      <c r="AZ635" s="966" t="str">
        <f t="shared" si="502"/>
        <v>-</v>
      </c>
      <c r="BA635" s="971" t="str">
        <f t="shared" si="503"/>
        <v>-</v>
      </c>
      <c r="BB635" s="975"/>
      <c r="BC635" s="821"/>
      <c r="BD635" s="821"/>
      <c r="BE635" s="963" t="str">
        <f t="shared" si="504"/>
        <v>-</v>
      </c>
      <c r="BF635" s="984"/>
      <c r="BG635" s="988"/>
      <c r="BH635" s="982"/>
      <c r="BI635" s="991"/>
      <c r="BJ635" s="991"/>
      <c r="BK635" s="993" t="str">
        <f t="shared" si="505"/>
        <v>-</v>
      </c>
      <c r="BL635" s="820">
        <v>42978</v>
      </c>
      <c r="BM635" s="821">
        <v>5</v>
      </c>
      <c r="BN635" s="822">
        <f t="shared" ca="1" si="506"/>
        <v>156</v>
      </c>
      <c r="BO635" s="823">
        <f t="shared" si="507"/>
        <v>14.433333333333334</v>
      </c>
      <c r="BP635" s="824"/>
      <c r="BQ635" s="821"/>
      <c r="BR635" s="822" t="str">
        <f t="shared" si="508"/>
        <v>-</v>
      </c>
      <c r="BS635" s="823" t="str">
        <f t="shared" si="509"/>
        <v>-</v>
      </c>
      <c r="BT635" s="825" t="str">
        <f t="shared" ca="1" si="510"/>
        <v>-</v>
      </c>
      <c r="BU635" s="826"/>
      <c r="BV635" s="827"/>
      <c r="BW635" s="828" t="str">
        <f t="shared" si="511"/>
        <v>Ж-Е НЕ ВАКЦ.</v>
      </c>
      <c r="BX635" s="829" t="str">
        <f t="shared" si="512"/>
        <v>-</v>
      </c>
      <c r="BY635" s="830" t="str">
        <f t="shared" ca="1" si="513"/>
        <v>-</v>
      </c>
      <c r="BZ635" s="831">
        <v>42891</v>
      </c>
      <c r="CA635" s="832">
        <v>5</v>
      </c>
      <c r="CB635" s="833">
        <f t="shared" ca="1" si="514"/>
        <v>243</v>
      </c>
      <c r="CC635" s="834" t="str">
        <f t="shared" ca="1" si="515"/>
        <v>-</v>
      </c>
      <c r="CD635" s="835">
        <f t="shared" si="516"/>
        <v>42912</v>
      </c>
      <c r="CE635" s="831">
        <v>42912</v>
      </c>
      <c r="CF635" s="832">
        <v>5</v>
      </c>
      <c r="CG635" s="833">
        <f t="shared" ca="1" si="517"/>
        <v>222</v>
      </c>
      <c r="CH635" s="836">
        <f t="shared" si="518"/>
        <v>0</v>
      </c>
      <c r="CI635" s="837" t="str">
        <f t="shared" si="519"/>
        <v>УСПЕШНО</v>
      </c>
      <c r="CJ635" s="838" t="str">
        <f t="shared" ca="1" si="520"/>
        <v>-</v>
      </c>
      <c r="CK635" s="831"/>
      <c r="CL635" s="832"/>
      <c r="CM635" s="833" t="str">
        <f t="shared" si="521"/>
        <v>-</v>
      </c>
      <c r="CN635" s="834" t="str">
        <f t="shared" si="522"/>
        <v>-</v>
      </c>
      <c r="CO635" s="830" t="str">
        <f t="shared" ca="1" si="523"/>
        <v>ТРЕБУЕТСЯ ВАКЦИНАЦИЯ</v>
      </c>
      <c r="CP635" s="839"/>
      <c r="CQ635" s="832"/>
      <c r="CR635" s="833" t="str">
        <f t="shared" si="524"/>
        <v>-</v>
      </c>
      <c r="CS635" s="833" t="str">
        <f t="shared" si="525"/>
        <v>-</v>
      </c>
      <c r="CT635" s="834" t="str">
        <f t="shared" si="526"/>
        <v>-</v>
      </c>
      <c r="CU635" s="835" t="str">
        <f t="shared" si="527"/>
        <v>-</v>
      </c>
      <c r="CV635" s="839"/>
      <c r="CW635" s="832"/>
      <c r="CX635" s="833" t="str">
        <f t="shared" si="528"/>
        <v>-</v>
      </c>
      <c r="CY635" s="840" t="str">
        <f t="shared" si="529"/>
        <v>-</v>
      </c>
      <c r="CZ635" s="833" t="str">
        <f t="shared" si="530"/>
        <v>-</v>
      </c>
      <c r="DA635" s="838" t="str">
        <f t="shared" ca="1" si="531"/>
        <v>-</v>
      </c>
      <c r="DB635" s="841"/>
      <c r="DC635" s="832"/>
    </row>
    <row r="636" spans="1:107" ht="15.95" customHeight="1" x14ac:dyDescent="0.25">
      <c r="A636" s="790">
        <v>638</v>
      </c>
      <c r="B636" s="791">
        <f t="shared" ca="1" si="480"/>
        <v>43134</v>
      </c>
      <c r="C636" s="29" t="s">
        <v>2554</v>
      </c>
      <c r="D636" s="59" t="s">
        <v>2586</v>
      </c>
      <c r="E636" s="794" t="s">
        <v>1563</v>
      </c>
      <c r="F636" s="795" t="s">
        <v>1665</v>
      </c>
      <c r="G636" s="845"/>
      <c r="H636" s="797" t="s">
        <v>603</v>
      </c>
      <c r="I636" s="798">
        <v>42546</v>
      </c>
      <c r="J636" s="799">
        <f t="shared" ca="1" si="481"/>
        <v>1.6109589041095891</v>
      </c>
      <c r="K636" s="799">
        <f t="shared" ca="1" si="482"/>
        <v>19.600000000000001</v>
      </c>
      <c r="L636" s="800">
        <f t="shared" ca="1" si="483"/>
        <v>588</v>
      </c>
      <c r="M636" s="801"/>
      <c r="N636" s="802"/>
      <c r="O636" s="803" t="str">
        <f t="shared" ca="1" si="484"/>
        <v>-</v>
      </c>
      <c r="P636" s="804"/>
      <c r="Q636" s="805" t="s">
        <v>2366</v>
      </c>
      <c r="R636" s="806" t="s">
        <v>2435</v>
      </c>
      <c r="S636" s="807">
        <v>42920</v>
      </c>
      <c r="T636" s="798">
        <v>42962</v>
      </c>
      <c r="U636" s="798" t="str">
        <f t="shared" si="485"/>
        <v>-</v>
      </c>
      <c r="V636" s="804" t="str">
        <f t="shared" ca="1" si="486"/>
        <v>-</v>
      </c>
      <c r="W636" s="808">
        <v>2</v>
      </c>
      <c r="X636" s="794" t="str">
        <f t="shared" si="532"/>
        <v>-</v>
      </c>
      <c r="Y636" s="794">
        <v>1</v>
      </c>
      <c r="Z636" s="809" t="str">
        <f t="shared" ca="1" si="487"/>
        <v>ПОДЛЕЖИТ ПЕРЕПРОВЕРКЕ</v>
      </c>
      <c r="AA636" s="810">
        <f t="shared" ca="1" si="488"/>
        <v>172</v>
      </c>
      <c r="AB636" s="804"/>
      <c r="AC636" s="811">
        <f t="shared" ca="1" si="489"/>
        <v>43034</v>
      </c>
      <c r="AD636" s="798"/>
      <c r="AE636" s="794" t="str">
        <f t="shared" ca="1" si="490"/>
        <v>-</v>
      </c>
      <c r="AF636" s="798" t="str">
        <f t="shared" si="491"/>
        <v>-</v>
      </c>
      <c r="AG636" s="812" t="str">
        <f t="shared" si="492"/>
        <v>---------</v>
      </c>
      <c r="AH636" s="807">
        <v>43032</v>
      </c>
      <c r="AI636" s="807" t="str">
        <f t="shared" si="493"/>
        <v>-</v>
      </c>
      <c r="AJ636" s="807" t="str">
        <f t="shared" si="494"/>
        <v>-</v>
      </c>
      <c r="AK636" s="813"/>
      <c r="AL636" s="807">
        <f t="shared" si="495"/>
        <v>43221</v>
      </c>
      <c r="AM636" s="807">
        <f t="shared" si="496"/>
        <v>43242</v>
      </c>
      <c r="AN636" s="814">
        <f t="shared" ca="1" si="497"/>
        <v>-108</v>
      </c>
      <c r="AO636" s="815">
        <v>1</v>
      </c>
      <c r="AP636" s="816" t="str">
        <f t="shared" ca="1" si="498"/>
        <v>-</v>
      </c>
      <c r="AQ636" s="817"/>
      <c r="AR636" s="794" t="str">
        <f t="shared" si="499"/>
        <v>НЕТЕЛЬ</v>
      </c>
      <c r="AS636" s="818"/>
      <c r="AT636" s="794" t="str">
        <f t="shared" si="500"/>
        <v>-</v>
      </c>
      <c r="AU636" s="819"/>
      <c r="AV636" s="820"/>
      <c r="AW636" s="821"/>
      <c r="AX636" s="821"/>
      <c r="AY636" s="969" t="str">
        <f t="shared" si="501"/>
        <v>-</v>
      </c>
      <c r="AZ636" s="966" t="str">
        <f t="shared" si="502"/>
        <v>-</v>
      </c>
      <c r="BA636" s="971" t="str">
        <f t="shared" si="503"/>
        <v>-</v>
      </c>
      <c r="BB636" s="975"/>
      <c r="BC636" s="821"/>
      <c r="BD636" s="821"/>
      <c r="BE636" s="963" t="str">
        <f t="shared" si="504"/>
        <v>-</v>
      </c>
      <c r="BF636" s="984"/>
      <c r="BG636" s="988"/>
      <c r="BH636" s="982"/>
      <c r="BI636" s="991"/>
      <c r="BJ636" s="991"/>
      <c r="BK636" s="993" t="str">
        <f t="shared" si="505"/>
        <v>-</v>
      </c>
      <c r="BL636" s="820">
        <v>42977</v>
      </c>
      <c r="BM636" s="821">
        <v>5</v>
      </c>
      <c r="BN636" s="822">
        <f t="shared" ca="1" si="506"/>
        <v>157</v>
      </c>
      <c r="BO636" s="823">
        <f t="shared" si="507"/>
        <v>14.366666666666667</v>
      </c>
      <c r="BP636" s="824"/>
      <c r="BQ636" s="821"/>
      <c r="BR636" s="822" t="str">
        <f t="shared" si="508"/>
        <v>-</v>
      </c>
      <c r="BS636" s="823" t="str">
        <f t="shared" si="509"/>
        <v>-</v>
      </c>
      <c r="BT636" s="825" t="str">
        <f t="shared" ca="1" si="510"/>
        <v>-</v>
      </c>
      <c r="BU636" s="826"/>
      <c r="BV636" s="827"/>
      <c r="BW636" s="828" t="str">
        <f t="shared" si="511"/>
        <v>Ж-Е НЕ ВАКЦ.</v>
      </c>
      <c r="BX636" s="829" t="str">
        <f t="shared" si="512"/>
        <v>-</v>
      </c>
      <c r="BY636" s="830" t="str">
        <f t="shared" ca="1" si="513"/>
        <v>-</v>
      </c>
      <c r="BZ636" s="831">
        <v>42891</v>
      </c>
      <c r="CA636" s="832">
        <v>5</v>
      </c>
      <c r="CB636" s="833">
        <f t="shared" ca="1" si="514"/>
        <v>243</v>
      </c>
      <c r="CC636" s="834" t="str">
        <f t="shared" ca="1" si="515"/>
        <v>-</v>
      </c>
      <c r="CD636" s="835">
        <f t="shared" si="516"/>
        <v>42912</v>
      </c>
      <c r="CE636" s="831">
        <v>42912</v>
      </c>
      <c r="CF636" s="832">
        <v>5</v>
      </c>
      <c r="CG636" s="833">
        <f t="shared" ca="1" si="517"/>
        <v>222</v>
      </c>
      <c r="CH636" s="836">
        <f t="shared" si="518"/>
        <v>0</v>
      </c>
      <c r="CI636" s="837" t="str">
        <f t="shared" si="519"/>
        <v>УСПЕШНО</v>
      </c>
      <c r="CJ636" s="838" t="str">
        <f t="shared" ca="1" si="520"/>
        <v>-</v>
      </c>
      <c r="CK636" s="831"/>
      <c r="CL636" s="832"/>
      <c r="CM636" s="833" t="str">
        <f t="shared" si="521"/>
        <v>-</v>
      </c>
      <c r="CN636" s="834" t="str">
        <f t="shared" si="522"/>
        <v>-</v>
      </c>
      <c r="CO636" s="830" t="str">
        <f t="shared" ca="1" si="523"/>
        <v>-</v>
      </c>
      <c r="CP636" s="839"/>
      <c r="CQ636" s="832"/>
      <c r="CR636" s="833" t="str">
        <f t="shared" si="524"/>
        <v>-</v>
      </c>
      <c r="CS636" s="833" t="str">
        <f t="shared" si="525"/>
        <v>-</v>
      </c>
      <c r="CT636" s="834" t="str">
        <f t="shared" si="526"/>
        <v>-</v>
      </c>
      <c r="CU636" s="835" t="str">
        <f t="shared" si="527"/>
        <v>-</v>
      </c>
      <c r="CV636" s="839"/>
      <c r="CW636" s="832"/>
      <c r="CX636" s="833" t="str">
        <f t="shared" si="528"/>
        <v>-</v>
      </c>
      <c r="CY636" s="840" t="str">
        <f t="shared" si="529"/>
        <v>-</v>
      </c>
      <c r="CZ636" s="833" t="str">
        <f t="shared" si="530"/>
        <v>-</v>
      </c>
      <c r="DA636" s="838" t="str">
        <f t="shared" ca="1" si="531"/>
        <v>-</v>
      </c>
      <c r="DB636" s="841"/>
      <c r="DC636" s="832"/>
    </row>
    <row r="637" spans="1:107" x14ac:dyDescent="0.25">
      <c r="A637" s="790">
        <v>639</v>
      </c>
      <c r="B637" s="791">
        <f t="shared" ca="1" si="480"/>
        <v>43134</v>
      </c>
      <c r="C637" s="29" t="s">
        <v>2554</v>
      </c>
      <c r="D637" s="59" t="s">
        <v>2586</v>
      </c>
      <c r="E637" s="794" t="s">
        <v>1563</v>
      </c>
      <c r="F637" s="795" t="s">
        <v>1664</v>
      </c>
      <c r="G637" s="845"/>
      <c r="H637" s="797" t="s">
        <v>603</v>
      </c>
      <c r="I637" s="798">
        <v>42547</v>
      </c>
      <c r="J637" s="799">
        <f t="shared" ca="1" si="481"/>
        <v>1.6082191780821917</v>
      </c>
      <c r="K637" s="799">
        <f t="shared" ca="1" si="482"/>
        <v>19.566666666666666</v>
      </c>
      <c r="L637" s="800">
        <f t="shared" ca="1" si="483"/>
        <v>587</v>
      </c>
      <c r="M637" s="801"/>
      <c r="N637" s="802"/>
      <c r="O637" s="803" t="str">
        <f t="shared" ca="1" si="484"/>
        <v>-</v>
      </c>
      <c r="P637" s="804"/>
      <c r="Q637" s="805" t="s">
        <v>2366</v>
      </c>
      <c r="R637" s="806" t="s">
        <v>2967</v>
      </c>
      <c r="S637" s="807">
        <v>42916</v>
      </c>
      <c r="T637" s="798">
        <v>42970</v>
      </c>
      <c r="U637" s="798" t="str">
        <f t="shared" si="485"/>
        <v>-</v>
      </c>
      <c r="V637" s="804" t="str">
        <f t="shared" ca="1" si="486"/>
        <v>-</v>
      </c>
      <c r="W637" s="808">
        <v>2</v>
      </c>
      <c r="X637" s="794" t="str">
        <f t="shared" si="532"/>
        <v>-</v>
      </c>
      <c r="Y637" s="794">
        <v>1</v>
      </c>
      <c r="Z637" s="809" t="str">
        <f t="shared" ca="1" si="487"/>
        <v>ПОДЛЕЖИТ ПЕРЕПРОВЕРКЕ</v>
      </c>
      <c r="AA637" s="810">
        <f t="shared" ca="1" si="488"/>
        <v>164</v>
      </c>
      <c r="AB637" s="804"/>
      <c r="AC637" s="811">
        <f t="shared" ca="1" si="489"/>
        <v>43042</v>
      </c>
      <c r="AD637" s="798"/>
      <c r="AE637" s="794" t="str">
        <f t="shared" ca="1" si="490"/>
        <v>-</v>
      </c>
      <c r="AF637" s="798" t="str">
        <f t="shared" si="491"/>
        <v>-</v>
      </c>
      <c r="AG637" s="812" t="str">
        <f t="shared" si="492"/>
        <v>---------</v>
      </c>
      <c r="AH637" s="807">
        <v>43032</v>
      </c>
      <c r="AI637" s="807" t="str">
        <f t="shared" si="493"/>
        <v>-</v>
      </c>
      <c r="AJ637" s="807" t="str">
        <f t="shared" si="494"/>
        <v>-</v>
      </c>
      <c r="AK637" s="813"/>
      <c r="AL637" s="807">
        <f t="shared" si="495"/>
        <v>43229</v>
      </c>
      <c r="AM637" s="807">
        <f t="shared" si="496"/>
        <v>43250</v>
      </c>
      <c r="AN637" s="814">
        <f t="shared" ca="1" si="497"/>
        <v>-116</v>
      </c>
      <c r="AO637" s="815">
        <v>1</v>
      </c>
      <c r="AP637" s="816" t="str">
        <f t="shared" ca="1" si="498"/>
        <v>-</v>
      </c>
      <c r="AQ637" s="817"/>
      <c r="AR637" s="794" t="str">
        <f t="shared" si="499"/>
        <v>НЕТЕЛЬ</v>
      </c>
      <c r="AS637" s="818"/>
      <c r="AT637" s="794" t="str">
        <f t="shared" si="500"/>
        <v>-</v>
      </c>
      <c r="AU637" s="819"/>
      <c r="AV637" s="820"/>
      <c r="AW637" s="821"/>
      <c r="AX637" s="821"/>
      <c r="AY637" s="969" t="str">
        <f t="shared" si="501"/>
        <v>-</v>
      </c>
      <c r="AZ637" s="966" t="str">
        <f t="shared" si="502"/>
        <v>-</v>
      </c>
      <c r="BA637" s="971" t="str">
        <f t="shared" si="503"/>
        <v>-</v>
      </c>
      <c r="BB637" s="975"/>
      <c r="BC637" s="821"/>
      <c r="BD637" s="821"/>
      <c r="BE637" s="963" t="str">
        <f t="shared" si="504"/>
        <v>-</v>
      </c>
      <c r="BF637" s="984"/>
      <c r="BG637" s="988"/>
      <c r="BH637" s="982"/>
      <c r="BI637" s="991"/>
      <c r="BJ637" s="991"/>
      <c r="BK637" s="993" t="str">
        <f t="shared" si="505"/>
        <v>-</v>
      </c>
      <c r="BL637" s="820">
        <v>42977</v>
      </c>
      <c r="BM637" s="821">
        <v>5</v>
      </c>
      <c r="BN637" s="822">
        <f t="shared" ca="1" si="506"/>
        <v>157</v>
      </c>
      <c r="BO637" s="823">
        <f t="shared" si="507"/>
        <v>14.333333333333334</v>
      </c>
      <c r="BP637" s="824"/>
      <c r="BQ637" s="821"/>
      <c r="BR637" s="822" t="str">
        <f t="shared" si="508"/>
        <v>-</v>
      </c>
      <c r="BS637" s="823" t="str">
        <f t="shared" si="509"/>
        <v>-</v>
      </c>
      <c r="BT637" s="825" t="str">
        <f t="shared" ca="1" si="510"/>
        <v>-</v>
      </c>
      <c r="BU637" s="826"/>
      <c r="BV637" s="827"/>
      <c r="BW637" s="828" t="str">
        <f t="shared" si="511"/>
        <v>Ж-Е НЕ ВАКЦ.</v>
      </c>
      <c r="BX637" s="829" t="str">
        <f t="shared" si="512"/>
        <v>-</v>
      </c>
      <c r="BY637" s="830" t="str">
        <f t="shared" ca="1" si="513"/>
        <v>-</v>
      </c>
      <c r="BZ637" s="831">
        <v>42892</v>
      </c>
      <c r="CA637" s="832">
        <v>5</v>
      </c>
      <c r="CB637" s="833">
        <f t="shared" ca="1" si="514"/>
        <v>242</v>
      </c>
      <c r="CC637" s="834" t="str">
        <f t="shared" ca="1" si="515"/>
        <v>-</v>
      </c>
      <c r="CD637" s="835">
        <f t="shared" si="516"/>
        <v>42913</v>
      </c>
      <c r="CE637" s="831">
        <v>42913</v>
      </c>
      <c r="CF637" s="832">
        <v>5</v>
      </c>
      <c r="CG637" s="833">
        <f t="shared" ca="1" si="517"/>
        <v>221</v>
      </c>
      <c r="CH637" s="836">
        <f t="shared" si="518"/>
        <v>0</v>
      </c>
      <c r="CI637" s="837" t="str">
        <f t="shared" si="519"/>
        <v>УСПЕШНО</v>
      </c>
      <c r="CJ637" s="838" t="str">
        <f t="shared" ca="1" si="520"/>
        <v>-</v>
      </c>
      <c r="CK637" s="831"/>
      <c r="CL637" s="832"/>
      <c r="CM637" s="833" t="str">
        <f t="shared" si="521"/>
        <v>-</v>
      </c>
      <c r="CN637" s="834" t="str">
        <f t="shared" si="522"/>
        <v>-</v>
      </c>
      <c r="CO637" s="830" t="str">
        <f t="shared" ca="1" si="523"/>
        <v>-</v>
      </c>
      <c r="CP637" s="839"/>
      <c r="CQ637" s="832"/>
      <c r="CR637" s="833" t="str">
        <f t="shared" si="524"/>
        <v>-</v>
      </c>
      <c r="CS637" s="833" t="str">
        <f t="shared" si="525"/>
        <v>-</v>
      </c>
      <c r="CT637" s="834" t="str">
        <f t="shared" si="526"/>
        <v>-</v>
      </c>
      <c r="CU637" s="835" t="str">
        <f t="shared" si="527"/>
        <v>-</v>
      </c>
      <c r="CV637" s="839"/>
      <c r="CW637" s="832"/>
      <c r="CX637" s="833" t="str">
        <f t="shared" si="528"/>
        <v>-</v>
      </c>
      <c r="CY637" s="840" t="str">
        <f t="shared" si="529"/>
        <v>-</v>
      </c>
      <c r="CZ637" s="833" t="str">
        <f t="shared" si="530"/>
        <v>-</v>
      </c>
      <c r="DA637" s="838" t="str">
        <f t="shared" ca="1" si="531"/>
        <v>-</v>
      </c>
      <c r="DB637" s="841"/>
      <c r="DC637" s="832"/>
    </row>
    <row r="638" spans="1:107" x14ac:dyDescent="0.25">
      <c r="A638" s="790">
        <v>640</v>
      </c>
      <c r="B638" s="791">
        <f t="shared" ca="1" si="480"/>
        <v>43134</v>
      </c>
      <c r="C638" s="29" t="s">
        <v>2554</v>
      </c>
      <c r="D638" s="59" t="s">
        <v>2586</v>
      </c>
      <c r="E638" s="794" t="s">
        <v>1563</v>
      </c>
      <c r="F638" s="795" t="s">
        <v>1658</v>
      </c>
      <c r="G638" s="845"/>
      <c r="H638" s="797" t="s">
        <v>603</v>
      </c>
      <c r="I638" s="798">
        <v>42547</v>
      </c>
      <c r="J638" s="799">
        <f t="shared" ca="1" si="481"/>
        <v>1.6082191780821917</v>
      </c>
      <c r="K638" s="799">
        <f t="shared" ca="1" si="482"/>
        <v>19.566666666666666</v>
      </c>
      <c r="L638" s="800">
        <f t="shared" ca="1" si="483"/>
        <v>587</v>
      </c>
      <c r="M638" s="801"/>
      <c r="N638" s="802"/>
      <c r="O638" s="803" t="str">
        <f t="shared" ca="1" si="484"/>
        <v>-</v>
      </c>
      <c r="P638" s="804"/>
      <c r="Q638" s="805" t="s">
        <v>1451</v>
      </c>
      <c r="R638" s="806" t="s">
        <v>2967</v>
      </c>
      <c r="S638" s="807">
        <v>42941</v>
      </c>
      <c r="T638" s="798">
        <v>42967</v>
      </c>
      <c r="U638" s="798" t="str">
        <f t="shared" si="485"/>
        <v>-</v>
      </c>
      <c r="V638" s="804" t="str">
        <f t="shared" ca="1" si="486"/>
        <v>-</v>
      </c>
      <c r="W638" s="808">
        <v>2</v>
      </c>
      <c r="X638" s="794" t="str">
        <f t="shared" si="532"/>
        <v>-</v>
      </c>
      <c r="Y638" s="794">
        <v>1</v>
      </c>
      <c r="Z638" s="809" t="str">
        <f t="shared" ca="1" si="487"/>
        <v>ПОДЛЕЖИТ ПЕРЕПРОВЕРКЕ</v>
      </c>
      <c r="AA638" s="810">
        <f t="shared" ca="1" si="488"/>
        <v>167</v>
      </c>
      <c r="AB638" s="804"/>
      <c r="AC638" s="811">
        <f t="shared" ca="1" si="489"/>
        <v>43039</v>
      </c>
      <c r="AD638" s="798"/>
      <c r="AE638" s="794" t="str">
        <f t="shared" ca="1" si="490"/>
        <v>-</v>
      </c>
      <c r="AF638" s="798" t="str">
        <f t="shared" si="491"/>
        <v>-</v>
      </c>
      <c r="AG638" s="812" t="str">
        <f t="shared" si="492"/>
        <v>---------</v>
      </c>
      <c r="AH638" s="807">
        <v>43032</v>
      </c>
      <c r="AI638" s="807" t="str">
        <f t="shared" si="493"/>
        <v>-</v>
      </c>
      <c r="AJ638" s="807" t="str">
        <f t="shared" si="494"/>
        <v>-</v>
      </c>
      <c r="AK638" s="813"/>
      <c r="AL638" s="807">
        <f t="shared" si="495"/>
        <v>43226</v>
      </c>
      <c r="AM638" s="807">
        <f t="shared" si="496"/>
        <v>43247</v>
      </c>
      <c r="AN638" s="814">
        <f t="shared" ca="1" si="497"/>
        <v>-113</v>
      </c>
      <c r="AO638" s="815">
        <v>1</v>
      </c>
      <c r="AP638" s="816" t="str">
        <f t="shared" ca="1" si="498"/>
        <v>-</v>
      </c>
      <c r="AQ638" s="817"/>
      <c r="AR638" s="794" t="str">
        <f t="shared" si="499"/>
        <v>НЕТЕЛЬ</v>
      </c>
      <c r="AS638" s="818"/>
      <c r="AT638" s="794" t="str">
        <f t="shared" si="500"/>
        <v>-</v>
      </c>
      <c r="AU638" s="819"/>
      <c r="AV638" s="820"/>
      <c r="AW638" s="821"/>
      <c r="AX638" s="821"/>
      <c r="AY638" s="969" t="str">
        <f t="shared" si="501"/>
        <v>-</v>
      </c>
      <c r="AZ638" s="966" t="str">
        <f t="shared" si="502"/>
        <v>-</v>
      </c>
      <c r="BA638" s="971" t="str">
        <f t="shared" si="503"/>
        <v>-</v>
      </c>
      <c r="BB638" s="975"/>
      <c r="BC638" s="821"/>
      <c r="BD638" s="821"/>
      <c r="BE638" s="963" t="str">
        <f t="shared" si="504"/>
        <v>-</v>
      </c>
      <c r="BF638" s="984"/>
      <c r="BG638" s="988"/>
      <c r="BH638" s="982"/>
      <c r="BI638" s="991"/>
      <c r="BJ638" s="991"/>
      <c r="BK638" s="993" t="str">
        <f t="shared" si="505"/>
        <v>-</v>
      </c>
      <c r="BL638" s="820">
        <v>42977</v>
      </c>
      <c r="BM638" s="821">
        <v>5</v>
      </c>
      <c r="BN638" s="822">
        <f t="shared" ca="1" si="506"/>
        <v>157</v>
      </c>
      <c r="BO638" s="823">
        <f t="shared" si="507"/>
        <v>14.333333333333334</v>
      </c>
      <c r="BP638" s="824"/>
      <c r="BQ638" s="821"/>
      <c r="BR638" s="822" t="str">
        <f t="shared" si="508"/>
        <v>-</v>
      </c>
      <c r="BS638" s="823" t="str">
        <f t="shared" si="509"/>
        <v>-</v>
      </c>
      <c r="BT638" s="825" t="str">
        <f t="shared" ca="1" si="510"/>
        <v>-</v>
      </c>
      <c r="BU638" s="826"/>
      <c r="BV638" s="827"/>
      <c r="BW638" s="828" t="str">
        <f t="shared" si="511"/>
        <v>Ж-Е НЕ ВАКЦ.</v>
      </c>
      <c r="BX638" s="829" t="str">
        <f t="shared" si="512"/>
        <v>-</v>
      </c>
      <c r="BY638" s="830" t="str">
        <f t="shared" ca="1" si="513"/>
        <v>-</v>
      </c>
      <c r="BZ638" s="831">
        <v>42891</v>
      </c>
      <c r="CA638" s="832">
        <v>5</v>
      </c>
      <c r="CB638" s="833">
        <f t="shared" ca="1" si="514"/>
        <v>243</v>
      </c>
      <c r="CC638" s="834" t="str">
        <f t="shared" ca="1" si="515"/>
        <v>-</v>
      </c>
      <c r="CD638" s="835">
        <f t="shared" si="516"/>
        <v>42912</v>
      </c>
      <c r="CE638" s="831">
        <v>42912</v>
      </c>
      <c r="CF638" s="832">
        <v>5</v>
      </c>
      <c r="CG638" s="833">
        <f t="shared" ca="1" si="517"/>
        <v>222</v>
      </c>
      <c r="CH638" s="836">
        <f t="shared" si="518"/>
        <v>0</v>
      </c>
      <c r="CI638" s="837" t="str">
        <f t="shared" si="519"/>
        <v>УСПЕШНО</v>
      </c>
      <c r="CJ638" s="838" t="str">
        <f t="shared" ca="1" si="520"/>
        <v>-</v>
      </c>
      <c r="CK638" s="831"/>
      <c r="CL638" s="832"/>
      <c r="CM638" s="833" t="str">
        <f t="shared" si="521"/>
        <v>-</v>
      </c>
      <c r="CN638" s="834" t="str">
        <f t="shared" si="522"/>
        <v>-</v>
      </c>
      <c r="CO638" s="830" t="str">
        <f t="shared" ca="1" si="523"/>
        <v>-</v>
      </c>
      <c r="CP638" s="839"/>
      <c r="CQ638" s="832"/>
      <c r="CR638" s="833" t="str">
        <f t="shared" si="524"/>
        <v>-</v>
      </c>
      <c r="CS638" s="833" t="str">
        <f t="shared" si="525"/>
        <v>-</v>
      </c>
      <c r="CT638" s="834" t="str">
        <f t="shared" si="526"/>
        <v>-</v>
      </c>
      <c r="CU638" s="835" t="str">
        <f t="shared" si="527"/>
        <v>-</v>
      </c>
      <c r="CV638" s="839"/>
      <c r="CW638" s="832"/>
      <c r="CX638" s="833" t="str">
        <f t="shared" si="528"/>
        <v>-</v>
      </c>
      <c r="CY638" s="840" t="str">
        <f t="shared" si="529"/>
        <v>-</v>
      </c>
      <c r="CZ638" s="833" t="str">
        <f t="shared" si="530"/>
        <v>-</v>
      </c>
      <c r="DA638" s="838" t="str">
        <f t="shared" ca="1" si="531"/>
        <v>-</v>
      </c>
      <c r="DB638" s="841"/>
      <c r="DC638" s="832"/>
    </row>
    <row r="639" spans="1:107" x14ac:dyDescent="0.25">
      <c r="A639" s="790">
        <v>641</v>
      </c>
      <c r="B639" s="791">
        <f t="shared" ca="1" si="480"/>
        <v>43134</v>
      </c>
      <c r="C639" s="29" t="s">
        <v>2554</v>
      </c>
      <c r="D639" s="59" t="s">
        <v>2586</v>
      </c>
      <c r="E639" s="794" t="s">
        <v>1563</v>
      </c>
      <c r="F639" s="795" t="s">
        <v>1668</v>
      </c>
      <c r="G639" s="845"/>
      <c r="H639" s="797" t="s">
        <v>603</v>
      </c>
      <c r="I639" s="798">
        <v>42547</v>
      </c>
      <c r="J639" s="799">
        <f t="shared" ca="1" si="481"/>
        <v>1.6082191780821917</v>
      </c>
      <c r="K639" s="799">
        <f t="shared" ca="1" si="482"/>
        <v>19.566666666666666</v>
      </c>
      <c r="L639" s="800">
        <f t="shared" ca="1" si="483"/>
        <v>587</v>
      </c>
      <c r="M639" s="801"/>
      <c r="N639" s="802"/>
      <c r="O639" s="803" t="str">
        <f t="shared" ca="1" si="484"/>
        <v>-</v>
      </c>
      <c r="P639" s="804"/>
      <c r="Q639" s="805" t="s">
        <v>2366</v>
      </c>
      <c r="R639" s="806" t="s">
        <v>2909</v>
      </c>
      <c r="S639" s="807">
        <v>42947</v>
      </c>
      <c r="T639" s="798">
        <v>42970</v>
      </c>
      <c r="U639" s="798" t="str">
        <f t="shared" si="485"/>
        <v>-</v>
      </c>
      <c r="V639" s="804" t="str">
        <f t="shared" ca="1" si="486"/>
        <v>-</v>
      </c>
      <c r="W639" s="808">
        <v>2</v>
      </c>
      <c r="X639" s="794" t="str">
        <f t="shared" si="532"/>
        <v>-</v>
      </c>
      <c r="Y639" s="794">
        <v>1</v>
      </c>
      <c r="Z639" s="809" t="str">
        <f t="shared" ca="1" si="487"/>
        <v>ПОДЛЕЖИТ ПЕРЕПРОВЕРКЕ</v>
      </c>
      <c r="AA639" s="810">
        <f t="shared" ca="1" si="488"/>
        <v>164</v>
      </c>
      <c r="AB639" s="804"/>
      <c r="AC639" s="811">
        <f t="shared" ca="1" si="489"/>
        <v>43042</v>
      </c>
      <c r="AD639" s="798"/>
      <c r="AE639" s="794" t="str">
        <f t="shared" ca="1" si="490"/>
        <v>-</v>
      </c>
      <c r="AF639" s="798" t="str">
        <f t="shared" si="491"/>
        <v>-</v>
      </c>
      <c r="AG639" s="812" t="str">
        <f t="shared" si="492"/>
        <v>---------</v>
      </c>
      <c r="AH639" s="807">
        <v>43032</v>
      </c>
      <c r="AI639" s="807" t="str">
        <f t="shared" si="493"/>
        <v>-</v>
      </c>
      <c r="AJ639" s="807" t="str">
        <f t="shared" si="494"/>
        <v>-</v>
      </c>
      <c r="AK639" s="813"/>
      <c r="AL639" s="807">
        <f t="shared" si="495"/>
        <v>43229</v>
      </c>
      <c r="AM639" s="807">
        <f t="shared" si="496"/>
        <v>43250</v>
      </c>
      <c r="AN639" s="814">
        <f t="shared" ca="1" si="497"/>
        <v>-116</v>
      </c>
      <c r="AO639" s="815">
        <v>1</v>
      </c>
      <c r="AP639" s="816" t="str">
        <f t="shared" ca="1" si="498"/>
        <v>-</v>
      </c>
      <c r="AQ639" s="817"/>
      <c r="AR639" s="794" t="str">
        <f t="shared" si="499"/>
        <v>НЕТЕЛЬ</v>
      </c>
      <c r="AS639" s="818"/>
      <c r="AT639" s="794" t="str">
        <f t="shared" si="500"/>
        <v>-</v>
      </c>
      <c r="AU639" s="819"/>
      <c r="AV639" s="820"/>
      <c r="AW639" s="821"/>
      <c r="AX639" s="821"/>
      <c r="AY639" s="969" t="str">
        <f t="shared" si="501"/>
        <v>-</v>
      </c>
      <c r="AZ639" s="966" t="str">
        <f t="shared" si="502"/>
        <v>-</v>
      </c>
      <c r="BA639" s="971" t="str">
        <f t="shared" si="503"/>
        <v>-</v>
      </c>
      <c r="BB639" s="975"/>
      <c r="BC639" s="821"/>
      <c r="BD639" s="821"/>
      <c r="BE639" s="963" t="str">
        <f t="shared" si="504"/>
        <v>-</v>
      </c>
      <c r="BF639" s="984"/>
      <c r="BG639" s="988"/>
      <c r="BH639" s="982"/>
      <c r="BI639" s="991"/>
      <c r="BJ639" s="991"/>
      <c r="BK639" s="993" t="str">
        <f t="shared" si="505"/>
        <v>-</v>
      </c>
      <c r="BL639" s="820">
        <v>42977</v>
      </c>
      <c r="BM639" s="821">
        <v>5</v>
      </c>
      <c r="BN639" s="822">
        <f t="shared" ca="1" si="506"/>
        <v>157</v>
      </c>
      <c r="BO639" s="823">
        <f t="shared" si="507"/>
        <v>14.333333333333334</v>
      </c>
      <c r="BP639" s="824"/>
      <c r="BQ639" s="821"/>
      <c r="BR639" s="822" t="str">
        <f t="shared" si="508"/>
        <v>-</v>
      </c>
      <c r="BS639" s="823" t="str">
        <f t="shared" si="509"/>
        <v>-</v>
      </c>
      <c r="BT639" s="825" t="str">
        <f t="shared" ca="1" si="510"/>
        <v>-</v>
      </c>
      <c r="BU639" s="826"/>
      <c r="BV639" s="827"/>
      <c r="BW639" s="828" t="str">
        <f t="shared" si="511"/>
        <v>Ж-Е НЕ ВАКЦ.</v>
      </c>
      <c r="BX639" s="829" t="str">
        <f t="shared" si="512"/>
        <v>-</v>
      </c>
      <c r="BY639" s="830" t="str">
        <f t="shared" ca="1" si="513"/>
        <v>-</v>
      </c>
      <c r="BZ639" s="831">
        <v>42891</v>
      </c>
      <c r="CA639" s="832">
        <v>5</v>
      </c>
      <c r="CB639" s="833">
        <f t="shared" ca="1" si="514"/>
        <v>243</v>
      </c>
      <c r="CC639" s="834" t="str">
        <f t="shared" ca="1" si="515"/>
        <v>-</v>
      </c>
      <c r="CD639" s="835">
        <f t="shared" si="516"/>
        <v>42912</v>
      </c>
      <c r="CE639" s="831">
        <v>42912</v>
      </c>
      <c r="CF639" s="832">
        <v>5</v>
      </c>
      <c r="CG639" s="833">
        <f t="shared" ca="1" si="517"/>
        <v>222</v>
      </c>
      <c r="CH639" s="836">
        <f t="shared" si="518"/>
        <v>0</v>
      </c>
      <c r="CI639" s="837" t="str">
        <f t="shared" si="519"/>
        <v>УСПЕШНО</v>
      </c>
      <c r="CJ639" s="838" t="str">
        <f t="shared" ca="1" si="520"/>
        <v>-</v>
      </c>
      <c r="CK639" s="831"/>
      <c r="CL639" s="832"/>
      <c r="CM639" s="833" t="str">
        <f t="shared" si="521"/>
        <v>-</v>
      </c>
      <c r="CN639" s="834" t="str">
        <f t="shared" si="522"/>
        <v>-</v>
      </c>
      <c r="CO639" s="830" t="str">
        <f t="shared" ca="1" si="523"/>
        <v>-</v>
      </c>
      <c r="CP639" s="839"/>
      <c r="CQ639" s="832"/>
      <c r="CR639" s="833" t="str">
        <f t="shared" si="524"/>
        <v>-</v>
      </c>
      <c r="CS639" s="833" t="str">
        <f t="shared" si="525"/>
        <v>-</v>
      </c>
      <c r="CT639" s="834" t="str">
        <f t="shared" si="526"/>
        <v>-</v>
      </c>
      <c r="CU639" s="835" t="str">
        <f t="shared" si="527"/>
        <v>-</v>
      </c>
      <c r="CV639" s="839"/>
      <c r="CW639" s="832"/>
      <c r="CX639" s="833" t="str">
        <f t="shared" si="528"/>
        <v>-</v>
      </c>
      <c r="CY639" s="840" t="str">
        <f t="shared" si="529"/>
        <v>-</v>
      </c>
      <c r="CZ639" s="833" t="str">
        <f t="shared" si="530"/>
        <v>-</v>
      </c>
      <c r="DA639" s="838" t="str">
        <f t="shared" ca="1" si="531"/>
        <v>-</v>
      </c>
      <c r="DB639" s="841"/>
      <c r="DC639" s="832"/>
    </row>
    <row r="640" spans="1:107" x14ac:dyDescent="0.25">
      <c r="A640" s="790">
        <v>642</v>
      </c>
      <c r="B640" s="791">
        <f t="shared" ca="1" si="480"/>
        <v>43134</v>
      </c>
      <c r="C640" s="29" t="s">
        <v>2554</v>
      </c>
      <c r="D640" s="59" t="s">
        <v>2586</v>
      </c>
      <c r="E640" s="794" t="s">
        <v>1563</v>
      </c>
      <c r="F640" s="795" t="s">
        <v>1663</v>
      </c>
      <c r="G640" s="845"/>
      <c r="H640" s="797" t="s">
        <v>603</v>
      </c>
      <c r="I640" s="798">
        <v>42549</v>
      </c>
      <c r="J640" s="799">
        <f t="shared" ca="1" si="481"/>
        <v>1.6027397260273972</v>
      </c>
      <c r="K640" s="799">
        <f t="shared" ca="1" si="482"/>
        <v>19.5</v>
      </c>
      <c r="L640" s="800">
        <f t="shared" ca="1" si="483"/>
        <v>585</v>
      </c>
      <c r="M640" s="801"/>
      <c r="N640" s="802"/>
      <c r="O640" s="803" t="str">
        <f t="shared" ca="1" si="484"/>
        <v>-</v>
      </c>
      <c r="P640" s="804"/>
      <c r="Q640" s="805" t="s">
        <v>2366</v>
      </c>
      <c r="R640" s="806" t="s">
        <v>2909</v>
      </c>
      <c r="S640" s="807">
        <v>42944</v>
      </c>
      <c r="T640" s="798">
        <v>42944</v>
      </c>
      <c r="U640" s="798" t="str">
        <f t="shared" si="485"/>
        <v>-</v>
      </c>
      <c r="V640" s="804" t="str">
        <f t="shared" ca="1" si="486"/>
        <v>-</v>
      </c>
      <c r="W640" s="808">
        <v>1</v>
      </c>
      <c r="X640" s="794" t="str">
        <f t="shared" si="532"/>
        <v>-</v>
      </c>
      <c r="Y640" s="794">
        <v>1</v>
      </c>
      <c r="Z640" s="809" t="str">
        <f t="shared" ca="1" si="487"/>
        <v>ПОДЛЕЖИТ ПЕРЕПРОВЕРКЕ</v>
      </c>
      <c r="AA640" s="810">
        <f t="shared" ca="1" si="488"/>
        <v>190</v>
      </c>
      <c r="AB640" s="804"/>
      <c r="AC640" s="811">
        <f t="shared" ca="1" si="489"/>
        <v>43016</v>
      </c>
      <c r="AD640" s="798"/>
      <c r="AE640" s="794" t="str">
        <f t="shared" ca="1" si="490"/>
        <v>-</v>
      </c>
      <c r="AF640" s="798" t="str">
        <f t="shared" si="491"/>
        <v>-</v>
      </c>
      <c r="AG640" s="812" t="str">
        <f t="shared" si="492"/>
        <v>---------</v>
      </c>
      <c r="AH640" s="807">
        <v>43001</v>
      </c>
      <c r="AI640" s="807" t="str">
        <f t="shared" si="493"/>
        <v>-</v>
      </c>
      <c r="AJ640" s="807" t="str">
        <f t="shared" si="494"/>
        <v>-</v>
      </c>
      <c r="AK640" s="813"/>
      <c r="AL640" s="807">
        <f t="shared" si="495"/>
        <v>43203</v>
      </c>
      <c r="AM640" s="807">
        <f t="shared" si="496"/>
        <v>43224</v>
      </c>
      <c r="AN640" s="814">
        <f t="shared" ca="1" si="497"/>
        <v>-90</v>
      </c>
      <c r="AO640" s="815">
        <v>1</v>
      </c>
      <c r="AP640" s="816" t="str">
        <f t="shared" ca="1" si="498"/>
        <v>-</v>
      </c>
      <c r="AQ640" s="817"/>
      <c r="AR640" s="794" t="str">
        <f t="shared" si="499"/>
        <v>НЕТЕЛЬ</v>
      </c>
      <c r="AS640" s="818"/>
      <c r="AT640" s="794" t="str">
        <f t="shared" si="500"/>
        <v>-</v>
      </c>
      <c r="AU640" s="819"/>
      <c r="AV640" s="820"/>
      <c r="AW640" s="821"/>
      <c r="AX640" s="821"/>
      <c r="AY640" s="969" t="str">
        <f t="shared" si="501"/>
        <v>-</v>
      </c>
      <c r="AZ640" s="966" t="str">
        <f t="shared" si="502"/>
        <v>-</v>
      </c>
      <c r="BA640" s="971" t="str">
        <f t="shared" si="503"/>
        <v>-</v>
      </c>
      <c r="BB640" s="975"/>
      <c r="BC640" s="821"/>
      <c r="BD640" s="821"/>
      <c r="BE640" s="963" t="str">
        <f t="shared" si="504"/>
        <v>-</v>
      </c>
      <c r="BF640" s="984"/>
      <c r="BG640" s="988"/>
      <c r="BH640" s="982"/>
      <c r="BI640" s="991"/>
      <c r="BJ640" s="991"/>
      <c r="BK640" s="993" t="str">
        <f t="shared" si="505"/>
        <v>-</v>
      </c>
      <c r="BL640" s="820">
        <v>42977</v>
      </c>
      <c r="BM640" s="821">
        <v>5</v>
      </c>
      <c r="BN640" s="822">
        <f t="shared" ca="1" si="506"/>
        <v>157</v>
      </c>
      <c r="BO640" s="823">
        <f t="shared" si="507"/>
        <v>14.266666666666667</v>
      </c>
      <c r="BP640" s="824"/>
      <c r="BQ640" s="821"/>
      <c r="BR640" s="822" t="str">
        <f t="shared" si="508"/>
        <v>-</v>
      </c>
      <c r="BS640" s="823" t="str">
        <f t="shared" si="509"/>
        <v>-</v>
      </c>
      <c r="BT640" s="825" t="str">
        <f t="shared" ca="1" si="510"/>
        <v>-</v>
      </c>
      <c r="BU640" s="826"/>
      <c r="BV640" s="827"/>
      <c r="BW640" s="828" t="str">
        <f t="shared" si="511"/>
        <v>Ж-Е НЕ ВАКЦ.</v>
      </c>
      <c r="BX640" s="829" t="str">
        <f t="shared" si="512"/>
        <v>-</v>
      </c>
      <c r="BY640" s="830" t="str">
        <f t="shared" ca="1" si="513"/>
        <v>-</v>
      </c>
      <c r="BZ640" s="831">
        <v>42891</v>
      </c>
      <c r="CA640" s="832">
        <v>5</v>
      </c>
      <c r="CB640" s="833">
        <f t="shared" ca="1" si="514"/>
        <v>243</v>
      </c>
      <c r="CC640" s="834" t="str">
        <f t="shared" ca="1" si="515"/>
        <v>-</v>
      </c>
      <c r="CD640" s="835">
        <f t="shared" si="516"/>
        <v>42912</v>
      </c>
      <c r="CE640" s="831">
        <v>42912</v>
      </c>
      <c r="CF640" s="832">
        <v>5</v>
      </c>
      <c r="CG640" s="833">
        <f t="shared" ca="1" si="517"/>
        <v>222</v>
      </c>
      <c r="CH640" s="836">
        <f t="shared" si="518"/>
        <v>0</v>
      </c>
      <c r="CI640" s="837" t="str">
        <f t="shared" si="519"/>
        <v>УСПЕШНО</v>
      </c>
      <c r="CJ640" s="838" t="str">
        <f t="shared" ca="1" si="520"/>
        <v>-</v>
      </c>
      <c r="CK640" s="831"/>
      <c r="CL640" s="832"/>
      <c r="CM640" s="833" t="str">
        <f t="shared" si="521"/>
        <v>-</v>
      </c>
      <c r="CN640" s="834" t="str">
        <f t="shared" si="522"/>
        <v>-</v>
      </c>
      <c r="CO640" s="830" t="str">
        <f t="shared" ca="1" si="523"/>
        <v>-</v>
      </c>
      <c r="CP640" s="839"/>
      <c r="CQ640" s="832"/>
      <c r="CR640" s="833" t="str">
        <f t="shared" si="524"/>
        <v>-</v>
      </c>
      <c r="CS640" s="833" t="str">
        <f t="shared" si="525"/>
        <v>-</v>
      </c>
      <c r="CT640" s="834" t="str">
        <f t="shared" si="526"/>
        <v>-</v>
      </c>
      <c r="CU640" s="835" t="str">
        <f t="shared" si="527"/>
        <v>-</v>
      </c>
      <c r="CV640" s="839"/>
      <c r="CW640" s="832"/>
      <c r="CX640" s="833" t="str">
        <f t="shared" si="528"/>
        <v>-</v>
      </c>
      <c r="CY640" s="840" t="str">
        <f t="shared" si="529"/>
        <v>-</v>
      </c>
      <c r="CZ640" s="833" t="str">
        <f t="shared" si="530"/>
        <v>-</v>
      </c>
      <c r="DA640" s="838" t="str">
        <f t="shared" ca="1" si="531"/>
        <v>-</v>
      </c>
      <c r="DB640" s="841"/>
      <c r="DC640" s="832"/>
    </row>
    <row r="641" spans="1:107" x14ac:dyDescent="0.25">
      <c r="A641" s="790">
        <v>643</v>
      </c>
      <c r="B641" s="791">
        <f t="shared" ca="1" si="480"/>
        <v>43134</v>
      </c>
      <c r="C641" s="29" t="s">
        <v>2554</v>
      </c>
      <c r="D641" s="59" t="s">
        <v>2586</v>
      </c>
      <c r="E641" s="794" t="s">
        <v>1563</v>
      </c>
      <c r="F641" s="795" t="s">
        <v>1637</v>
      </c>
      <c r="G641" s="845"/>
      <c r="H641" s="797" t="s">
        <v>603</v>
      </c>
      <c r="I641" s="798">
        <v>42550</v>
      </c>
      <c r="J641" s="799">
        <f t="shared" ca="1" si="481"/>
        <v>1.6</v>
      </c>
      <c r="K641" s="799">
        <f t="shared" ca="1" si="482"/>
        <v>19.466666666666665</v>
      </c>
      <c r="L641" s="800">
        <f t="shared" ca="1" si="483"/>
        <v>584</v>
      </c>
      <c r="M641" s="801"/>
      <c r="N641" s="802"/>
      <c r="O641" s="803" t="str">
        <f t="shared" ca="1" si="484"/>
        <v>-</v>
      </c>
      <c r="P641" s="804"/>
      <c r="Q641" s="805" t="s">
        <v>2366</v>
      </c>
      <c r="R641" s="806" t="s">
        <v>2909</v>
      </c>
      <c r="S641" s="807">
        <v>42930</v>
      </c>
      <c r="T641" s="798">
        <v>42930</v>
      </c>
      <c r="U641" s="798" t="str">
        <f t="shared" si="485"/>
        <v>-</v>
      </c>
      <c r="V641" s="804" t="str">
        <f t="shared" ca="1" si="486"/>
        <v>-</v>
      </c>
      <c r="W641" s="808">
        <v>1</v>
      </c>
      <c r="X641" s="794" t="str">
        <f t="shared" si="532"/>
        <v>-</v>
      </c>
      <c r="Y641" s="794">
        <v>1</v>
      </c>
      <c r="Z641" s="809" t="str">
        <f t="shared" ca="1" si="487"/>
        <v>ПОДЛЕЖИТ ПЕРЕПРОВЕРКЕ</v>
      </c>
      <c r="AA641" s="810">
        <f t="shared" ca="1" si="488"/>
        <v>204</v>
      </c>
      <c r="AB641" s="804"/>
      <c r="AC641" s="811">
        <f t="shared" ca="1" si="489"/>
        <v>43002</v>
      </c>
      <c r="AD641" s="798"/>
      <c r="AE641" s="794" t="str">
        <f t="shared" ca="1" si="490"/>
        <v>-</v>
      </c>
      <c r="AF641" s="798" t="str">
        <f t="shared" si="491"/>
        <v>-</v>
      </c>
      <c r="AG641" s="812" t="str">
        <f t="shared" si="492"/>
        <v>---------</v>
      </c>
      <c r="AH641" s="807">
        <v>43001</v>
      </c>
      <c r="AI641" s="807" t="str">
        <f t="shared" si="493"/>
        <v>-</v>
      </c>
      <c r="AJ641" s="807" t="str">
        <f t="shared" si="494"/>
        <v>-</v>
      </c>
      <c r="AK641" s="813"/>
      <c r="AL641" s="807">
        <f t="shared" si="495"/>
        <v>43189</v>
      </c>
      <c r="AM641" s="807">
        <f t="shared" si="496"/>
        <v>43210</v>
      </c>
      <c r="AN641" s="814">
        <f t="shared" ca="1" si="497"/>
        <v>-76</v>
      </c>
      <c r="AO641" s="815">
        <v>1</v>
      </c>
      <c r="AP641" s="816" t="str">
        <f t="shared" ca="1" si="498"/>
        <v>-</v>
      </c>
      <c r="AQ641" s="817"/>
      <c r="AR641" s="794" t="str">
        <f t="shared" si="499"/>
        <v>НЕТЕЛЬ</v>
      </c>
      <c r="AS641" s="818"/>
      <c r="AT641" s="794" t="str">
        <f t="shared" si="500"/>
        <v>-</v>
      </c>
      <c r="AU641" s="819"/>
      <c r="AV641" s="820"/>
      <c r="AW641" s="821"/>
      <c r="AX641" s="821"/>
      <c r="AY641" s="969" t="str">
        <f t="shared" si="501"/>
        <v>-</v>
      </c>
      <c r="AZ641" s="966" t="str">
        <f t="shared" si="502"/>
        <v>-</v>
      </c>
      <c r="BA641" s="971" t="str">
        <f t="shared" si="503"/>
        <v>-</v>
      </c>
      <c r="BB641" s="975"/>
      <c r="BC641" s="821"/>
      <c r="BD641" s="821"/>
      <c r="BE641" s="963" t="str">
        <f t="shared" si="504"/>
        <v>-</v>
      </c>
      <c r="BF641" s="984"/>
      <c r="BG641" s="988"/>
      <c r="BH641" s="982"/>
      <c r="BI641" s="991"/>
      <c r="BJ641" s="991"/>
      <c r="BK641" s="993" t="str">
        <f t="shared" si="505"/>
        <v>-</v>
      </c>
      <c r="BL641" s="820">
        <v>42977</v>
      </c>
      <c r="BM641" s="821">
        <v>5</v>
      </c>
      <c r="BN641" s="822">
        <f t="shared" ca="1" si="506"/>
        <v>157</v>
      </c>
      <c r="BO641" s="823">
        <f t="shared" si="507"/>
        <v>14.233333333333333</v>
      </c>
      <c r="BP641" s="824"/>
      <c r="BQ641" s="821"/>
      <c r="BR641" s="822" t="str">
        <f t="shared" si="508"/>
        <v>-</v>
      </c>
      <c r="BS641" s="823" t="str">
        <f t="shared" si="509"/>
        <v>-</v>
      </c>
      <c r="BT641" s="825" t="str">
        <f t="shared" ca="1" si="510"/>
        <v>-</v>
      </c>
      <c r="BU641" s="826"/>
      <c r="BV641" s="827"/>
      <c r="BW641" s="828" t="str">
        <f t="shared" si="511"/>
        <v>Ж-Е НЕ ВАКЦ.</v>
      </c>
      <c r="BX641" s="829" t="str">
        <f t="shared" si="512"/>
        <v>-</v>
      </c>
      <c r="BY641" s="830" t="str">
        <f t="shared" ca="1" si="513"/>
        <v>-</v>
      </c>
      <c r="BZ641" s="831">
        <v>42892</v>
      </c>
      <c r="CA641" s="832">
        <v>5</v>
      </c>
      <c r="CB641" s="833">
        <f t="shared" ca="1" si="514"/>
        <v>242</v>
      </c>
      <c r="CC641" s="834" t="str">
        <f t="shared" ca="1" si="515"/>
        <v>-</v>
      </c>
      <c r="CD641" s="835">
        <f t="shared" si="516"/>
        <v>42913</v>
      </c>
      <c r="CE641" s="831">
        <v>42913</v>
      </c>
      <c r="CF641" s="832">
        <v>5</v>
      </c>
      <c r="CG641" s="833">
        <f t="shared" ca="1" si="517"/>
        <v>221</v>
      </c>
      <c r="CH641" s="836">
        <f t="shared" si="518"/>
        <v>0</v>
      </c>
      <c r="CI641" s="837" t="str">
        <f t="shared" si="519"/>
        <v>УСПЕШНО</v>
      </c>
      <c r="CJ641" s="838" t="str">
        <f t="shared" ca="1" si="520"/>
        <v>-</v>
      </c>
      <c r="CK641" s="831"/>
      <c r="CL641" s="832"/>
      <c r="CM641" s="833" t="str">
        <f t="shared" si="521"/>
        <v>-</v>
      </c>
      <c r="CN641" s="834" t="str">
        <f t="shared" si="522"/>
        <v>-</v>
      </c>
      <c r="CO641" s="830" t="str">
        <f t="shared" ca="1" si="523"/>
        <v>-</v>
      </c>
      <c r="CP641" s="839"/>
      <c r="CQ641" s="832"/>
      <c r="CR641" s="833" t="str">
        <f t="shared" si="524"/>
        <v>-</v>
      </c>
      <c r="CS641" s="833" t="str">
        <f t="shared" si="525"/>
        <v>-</v>
      </c>
      <c r="CT641" s="834" t="str">
        <f t="shared" si="526"/>
        <v>-</v>
      </c>
      <c r="CU641" s="835" t="str">
        <f t="shared" si="527"/>
        <v>-</v>
      </c>
      <c r="CV641" s="839"/>
      <c r="CW641" s="832"/>
      <c r="CX641" s="833" t="str">
        <f t="shared" si="528"/>
        <v>-</v>
      </c>
      <c r="CY641" s="840" t="str">
        <f t="shared" si="529"/>
        <v>-</v>
      </c>
      <c r="CZ641" s="833" t="str">
        <f t="shared" si="530"/>
        <v>-</v>
      </c>
      <c r="DA641" s="838" t="str">
        <f t="shared" ca="1" si="531"/>
        <v>-</v>
      </c>
      <c r="DB641" s="841"/>
      <c r="DC641" s="832"/>
    </row>
    <row r="642" spans="1:107" x14ac:dyDescent="0.25">
      <c r="A642" s="790">
        <v>644</v>
      </c>
      <c r="B642" s="791">
        <f t="shared" ca="1" si="480"/>
        <v>43134</v>
      </c>
      <c r="C642" s="29" t="s">
        <v>2554</v>
      </c>
      <c r="D642" s="59" t="s">
        <v>2586</v>
      </c>
      <c r="E642" s="794" t="s">
        <v>1563</v>
      </c>
      <c r="F642" s="795" t="s">
        <v>1571</v>
      </c>
      <c r="G642" s="845"/>
      <c r="H642" s="797" t="s">
        <v>603</v>
      </c>
      <c r="I642" s="798">
        <v>42558</v>
      </c>
      <c r="J642" s="799">
        <f t="shared" ca="1" si="481"/>
        <v>1.5780821917808219</v>
      </c>
      <c r="K642" s="799">
        <f t="shared" ca="1" si="482"/>
        <v>19.2</v>
      </c>
      <c r="L642" s="800">
        <f t="shared" ca="1" si="483"/>
        <v>576</v>
      </c>
      <c r="M642" s="801"/>
      <c r="N642" s="802"/>
      <c r="O642" s="803" t="str">
        <f t="shared" ca="1" si="484"/>
        <v>-</v>
      </c>
      <c r="P642" s="804"/>
      <c r="Q642" s="805" t="s">
        <v>1451</v>
      </c>
      <c r="R642" s="806" t="s">
        <v>2435</v>
      </c>
      <c r="S642" s="807">
        <v>42927</v>
      </c>
      <c r="T642" s="798">
        <v>42951</v>
      </c>
      <c r="U642" s="798" t="str">
        <f t="shared" si="485"/>
        <v>-</v>
      </c>
      <c r="V642" s="804" t="str">
        <f t="shared" ca="1" si="486"/>
        <v>-</v>
      </c>
      <c r="W642" s="808">
        <v>2</v>
      </c>
      <c r="X642" s="794" t="str">
        <f t="shared" si="532"/>
        <v>-</v>
      </c>
      <c r="Y642" s="794">
        <v>1</v>
      </c>
      <c r="Z642" s="809" t="str">
        <f t="shared" ca="1" si="487"/>
        <v>-----</v>
      </c>
      <c r="AA642" s="810" t="str">
        <f t="shared" ca="1" si="488"/>
        <v>-----</v>
      </c>
      <c r="AB642" s="804">
        <v>1</v>
      </c>
      <c r="AC642" s="811" t="str">
        <f t="shared" ca="1" si="489"/>
        <v>-----</v>
      </c>
      <c r="AD642" s="798">
        <v>43020</v>
      </c>
      <c r="AE642" s="794" t="str">
        <f t="shared" ca="1" si="490"/>
        <v>-</v>
      </c>
      <c r="AF642" s="798" t="str">
        <f t="shared" si="491"/>
        <v>-</v>
      </c>
      <c r="AG642" s="812" t="str">
        <f t="shared" si="492"/>
        <v>---------</v>
      </c>
      <c r="AH642" s="807">
        <v>43020</v>
      </c>
      <c r="AI642" s="807" t="str">
        <f t="shared" si="493"/>
        <v>-</v>
      </c>
      <c r="AJ642" s="807" t="str">
        <f t="shared" si="494"/>
        <v>-</v>
      </c>
      <c r="AK642" s="813"/>
      <c r="AL642" s="807">
        <f t="shared" si="495"/>
        <v>43210</v>
      </c>
      <c r="AM642" s="807">
        <f t="shared" si="496"/>
        <v>43231</v>
      </c>
      <c r="AN642" s="814">
        <f t="shared" ca="1" si="497"/>
        <v>-97</v>
      </c>
      <c r="AO642" s="815">
        <v>1</v>
      </c>
      <c r="AP642" s="816" t="str">
        <f t="shared" ca="1" si="498"/>
        <v>-</v>
      </c>
      <c r="AQ642" s="817"/>
      <c r="AR642" s="794" t="str">
        <f t="shared" si="499"/>
        <v>НЕТЕЛЬ</v>
      </c>
      <c r="AS642" s="818"/>
      <c r="AT642" s="794" t="str">
        <f t="shared" si="500"/>
        <v>-</v>
      </c>
      <c r="AU642" s="819"/>
      <c r="AV642" s="820"/>
      <c r="AW642" s="821"/>
      <c r="AX642" s="821"/>
      <c r="AY642" s="969" t="str">
        <f t="shared" si="501"/>
        <v>-</v>
      </c>
      <c r="AZ642" s="966" t="str">
        <f t="shared" si="502"/>
        <v>-</v>
      </c>
      <c r="BA642" s="971" t="str">
        <f t="shared" si="503"/>
        <v>-</v>
      </c>
      <c r="BB642" s="975"/>
      <c r="BC642" s="821"/>
      <c r="BD642" s="821"/>
      <c r="BE642" s="963" t="str">
        <f t="shared" si="504"/>
        <v>-</v>
      </c>
      <c r="BF642" s="984"/>
      <c r="BG642" s="988"/>
      <c r="BH642" s="982"/>
      <c r="BI642" s="991"/>
      <c r="BJ642" s="991"/>
      <c r="BK642" s="993" t="str">
        <f t="shared" si="505"/>
        <v>-</v>
      </c>
      <c r="BL642" s="820">
        <v>42977</v>
      </c>
      <c r="BM642" s="821">
        <v>5</v>
      </c>
      <c r="BN642" s="822">
        <f t="shared" ca="1" si="506"/>
        <v>157</v>
      </c>
      <c r="BO642" s="823">
        <f t="shared" si="507"/>
        <v>13.966666666666667</v>
      </c>
      <c r="BP642" s="824"/>
      <c r="BQ642" s="821"/>
      <c r="BR642" s="822" t="str">
        <f t="shared" si="508"/>
        <v>-</v>
      </c>
      <c r="BS642" s="823" t="str">
        <f t="shared" si="509"/>
        <v>-</v>
      </c>
      <c r="BT642" s="825" t="str">
        <f t="shared" ca="1" si="510"/>
        <v>-</v>
      </c>
      <c r="BU642" s="826"/>
      <c r="BV642" s="827"/>
      <c r="BW642" s="828" t="str">
        <f t="shared" si="511"/>
        <v>Ж-Е НЕ ВАКЦ.</v>
      </c>
      <c r="BX642" s="829" t="str">
        <f t="shared" si="512"/>
        <v>-</v>
      </c>
      <c r="BY642" s="830" t="str">
        <f t="shared" ca="1" si="513"/>
        <v>-</v>
      </c>
      <c r="BZ642" s="831">
        <v>42892</v>
      </c>
      <c r="CA642" s="832">
        <v>5</v>
      </c>
      <c r="CB642" s="833">
        <f t="shared" ca="1" si="514"/>
        <v>242</v>
      </c>
      <c r="CC642" s="834" t="str">
        <f t="shared" ca="1" si="515"/>
        <v>-</v>
      </c>
      <c r="CD642" s="835">
        <f t="shared" si="516"/>
        <v>42913</v>
      </c>
      <c r="CE642" s="831">
        <v>42913</v>
      </c>
      <c r="CF642" s="832">
        <v>5</v>
      </c>
      <c r="CG642" s="833">
        <f t="shared" ca="1" si="517"/>
        <v>221</v>
      </c>
      <c r="CH642" s="836">
        <f t="shared" si="518"/>
        <v>0</v>
      </c>
      <c r="CI642" s="837" t="str">
        <f t="shared" si="519"/>
        <v>УСПЕШНО</v>
      </c>
      <c r="CJ642" s="838" t="str">
        <f t="shared" ca="1" si="520"/>
        <v>-</v>
      </c>
      <c r="CK642" s="831"/>
      <c r="CL642" s="832"/>
      <c r="CM642" s="833" t="str">
        <f t="shared" si="521"/>
        <v>-</v>
      </c>
      <c r="CN642" s="834" t="str">
        <f t="shared" si="522"/>
        <v>-</v>
      </c>
      <c r="CO642" s="830" t="str">
        <f t="shared" ca="1" si="523"/>
        <v>-</v>
      </c>
      <c r="CP642" s="839"/>
      <c r="CQ642" s="832"/>
      <c r="CR642" s="833" t="str">
        <f t="shared" si="524"/>
        <v>-</v>
      </c>
      <c r="CS642" s="833" t="str">
        <f t="shared" si="525"/>
        <v>-</v>
      </c>
      <c r="CT642" s="834" t="str">
        <f t="shared" si="526"/>
        <v>-</v>
      </c>
      <c r="CU642" s="835" t="str">
        <f t="shared" si="527"/>
        <v>-</v>
      </c>
      <c r="CV642" s="839"/>
      <c r="CW642" s="832"/>
      <c r="CX642" s="833" t="str">
        <f t="shared" si="528"/>
        <v>-</v>
      </c>
      <c r="CY642" s="840" t="str">
        <f t="shared" si="529"/>
        <v>-</v>
      </c>
      <c r="CZ642" s="833" t="str">
        <f t="shared" si="530"/>
        <v>-</v>
      </c>
      <c r="DA642" s="838" t="str">
        <f t="shared" ca="1" si="531"/>
        <v>-</v>
      </c>
      <c r="DB642" s="841"/>
      <c r="DC642" s="832"/>
    </row>
    <row r="643" spans="1:107" x14ac:dyDescent="0.25">
      <c r="A643" s="790">
        <v>645</v>
      </c>
      <c r="B643" s="791">
        <f t="shared" ref="B643:B706" ca="1" si="533">TODAY()</f>
        <v>43134</v>
      </c>
      <c r="C643" s="29" t="s">
        <v>2554</v>
      </c>
      <c r="D643" s="59" t="s">
        <v>2586</v>
      </c>
      <c r="E643" s="794" t="s">
        <v>1563</v>
      </c>
      <c r="F643" s="795" t="s">
        <v>1569</v>
      </c>
      <c r="G643" s="845"/>
      <c r="H643" s="797" t="s">
        <v>603</v>
      </c>
      <c r="I643" s="798">
        <v>42559</v>
      </c>
      <c r="J643" s="799">
        <f t="shared" ref="J643:J706" ca="1" si="534">(B643-I643)/365</f>
        <v>1.5753424657534247</v>
      </c>
      <c r="K643" s="799">
        <f t="shared" ref="K643:K706" ca="1" si="535">(B643-I643)/30</f>
        <v>19.166666666666668</v>
      </c>
      <c r="L643" s="800">
        <f t="shared" ref="L643:L706" ca="1" si="536">B643-I643</f>
        <v>575</v>
      </c>
      <c r="M643" s="801"/>
      <c r="N643" s="802"/>
      <c r="O643" s="803" t="str">
        <f t="shared" ref="O643:O706" ca="1" si="537">IF(AND(B643&gt;0,N643&gt;0),B643-N643,"-")</f>
        <v>-</v>
      </c>
      <c r="P643" s="804"/>
      <c r="Q643" s="805" t="s">
        <v>2366</v>
      </c>
      <c r="R643" s="806" t="s">
        <v>1876</v>
      </c>
      <c r="S643" s="807">
        <v>42931</v>
      </c>
      <c r="T643" s="798">
        <v>42931</v>
      </c>
      <c r="U643" s="798" t="str">
        <f t="shared" ref="U643:U706" si="538">IF(AND(Y643&gt;1,T643&gt;0),T643+18,"-")</f>
        <v>-</v>
      </c>
      <c r="V643" s="804" t="str">
        <f t="shared" ref="V643:V706" ca="1" si="539">IF(AND(U643&gt;0,B643&gt;0,Y643&gt;1),B643-U643,"-")</f>
        <v>-</v>
      </c>
      <c r="W643" s="808">
        <v>1</v>
      </c>
      <c r="X643" s="794" t="str">
        <f t="shared" si="532"/>
        <v>-</v>
      </c>
      <c r="Y643" s="794">
        <v>1</v>
      </c>
      <c r="Z643" s="809" t="str">
        <f t="shared" ref="Z643:Z706" ca="1" si="540">IF(AND(Y643=1,AA643&gt;71,OR(ISBLANK(AB643),AB643=2)),"ПОДЛЕЖИТ ПЕРЕПРОВЕРКЕ","-----")</f>
        <v>ПОДЛЕЖИТ ПЕРЕПРОВЕРКЕ</v>
      </c>
      <c r="AA643" s="810">
        <f t="shared" ref="AA643:AA706" ca="1" si="541">IF(AND(O643&gt;-1,W643&gt;0,Y643=1,AB643=1),"-----",B643-T643)</f>
        <v>203</v>
      </c>
      <c r="AB643" s="804"/>
      <c r="AC643" s="811">
        <f t="shared" ref="AC643:AC706" ca="1" si="542">IF(AND(AB643&lt;1,Z643="ПОДЛЕЖИТ ПЕРЕПРОВЕРКЕ",Y643=1),T643+72,"-----")</f>
        <v>43003</v>
      </c>
      <c r="AD643" s="798"/>
      <c r="AE643" s="794" t="str">
        <f t="shared" ref="AE643:AE706" ca="1" si="543">IF(AND(O643&gt;120,Y643=0,N643&gt;0),"яловая","-")</f>
        <v>-</v>
      </c>
      <c r="AF643" s="798" t="str">
        <f t="shared" ref="AF643:AF706" si="544">IF(AND(T643&gt;0,OR(Y643=3,Y643=2)),T643+35,"-")</f>
        <v>-</v>
      </c>
      <c r="AG643" s="812" t="str">
        <f t="shared" ref="AG643:AG706" si="545">IF(AND(T643&gt;0,W643&gt;0,Q643&gt;0,OR(Y643=3,Y643=2)),B643-AF643,"---------")</f>
        <v>---------</v>
      </c>
      <c r="AH643" s="807">
        <v>43001</v>
      </c>
      <c r="AI643" s="807" t="str">
        <f t="shared" ref="AI643:AI706" si="546">IF(AND($T643&gt;0,$N643&gt;0,$Y643=1),$T643+280-90,"-")</f>
        <v>-</v>
      </c>
      <c r="AJ643" s="807" t="str">
        <f t="shared" ref="AJ643:AJ706" si="547">IF(AND(T643&gt;0,Y643=1,N643&gt;0),T643+280-60,"-")</f>
        <v>-</v>
      </c>
      <c r="AK643" s="813"/>
      <c r="AL643" s="807">
        <f t="shared" ref="AL643:AL706" si="548">IF(AND($T643&gt;0,$Y643=1),$T643+280-21,"-")</f>
        <v>43190</v>
      </c>
      <c r="AM643" s="807">
        <f t="shared" ref="AM643:AM706" si="549">IF(AND(T643&gt;0,Y643=1),T643+280,"-")</f>
        <v>43211</v>
      </c>
      <c r="AN643" s="814">
        <f t="shared" ref="AN643:AN706" ca="1" si="550">IF(AND(B643&gt;0,AM643&gt;0,AH643&gt;0,Y643=1),B643-AM643,"-")</f>
        <v>-77</v>
      </c>
      <c r="AO643" s="815">
        <v>1</v>
      </c>
      <c r="AP643" s="816" t="str">
        <f t="shared" ref="AP643:AP706" ca="1" si="551">IF(AND(AE643="яловая",O643&gt;300),"БРАК","-")</f>
        <v>-</v>
      </c>
      <c r="AQ643" s="817"/>
      <c r="AR643" s="794" t="str">
        <f t="shared" ref="AR643:AR706" si="552">IF(AND(Y643=1,P643=0),"НЕТЕЛЬ","-")</f>
        <v>НЕТЕЛЬ</v>
      </c>
      <c r="AS643" s="818"/>
      <c r="AT643" s="794" t="str">
        <f t="shared" ref="AT643:AT706" si="553">IF(AND(N643&gt;0,T643&gt;0,W643&gt;0,Y643=1,AH643&gt;0,AK643&gt;0),"DRY COW","-")</f>
        <v>-</v>
      </c>
      <c r="AU643" s="819"/>
      <c r="AV643" s="820"/>
      <c r="AW643" s="821"/>
      <c r="AX643" s="821"/>
      <c r="AY643" s="969" t="str">
        <f t="shared" ref="AY643:AY706" si="554">IF(AND(AV643&gt;0,AW643&gt;0,AX643&gt;0),B643-AV643,"-")</f>
        <v>-</v>
      </c>
      <c r="AZ643" s="966" t="str">
        <f t="shared" ref="AZ643:AZ706" si="555">IF(AND(AV643&gt;0,AW643&gt;0,AX643&gt;0,AY643&gt;10,BB643=0,BC643=0,BD643=0),"РЕВАКЦИНАЦИЯ","-")</f>
        <v>-</v>
      </c>
      <c r="BA643" s="971" t="str">
        <f t="shared" ref="BA643:BA706" si="556">IF(AND(AV643&gt;0,AW643&gt;0,AX643&gt;0),AV643+10,"-")</f>
        <v>-</v>
      </c>
      <c r="BB643" s="975"/>
      <c r="BC643" s="821"/>
      <c r="BD643" s="821"/>
      <c r="BE643" s="963" t="str">
        <f t="shared" ref="BE643:BE706" si="557">IF(AND(BB643&gt;0,BC643&gt;0,BD643&gt;0),B643-BB643,"-")</f>
        <v>-</v>
      </c>
      <c r="BF643" s="984"/>
      <c r="BG643" s="988"/>
      <c r="BH643" s="982"/>
      <c r="BI643" s="991"/>
      <c r="BJ643" s="991"/>
      <c r="BK643" s="993" t="str">
        <f t="shared" ref="BK643:BK706" si="558">IF(AND(BF643&gt;0,BG643&gt;0,BH643&gt;0,BI643&gt;0,BJ643&gt;0),B643-BF643,"-")</f>
        <v>-</v>
      </c>
      <c r="BL643" s="820">
        <v>42977</v>
      </c>
      <c r="BM643" s="821">
        <v>5</v>
      </c>
      <c r="BN643" s="822">
        <f t="shared" ref="BN643:BN706" ca="1" si="559">IF(AND(BL643&gt;0,BM643&gt;0),B643-BL643,"-")</f>
        <v>157</v>
      </c>
      <c r="BO643" s="823">
        <f t="shared" ref="BO643:BO706" si="560">IF(AND(BL643&gt;0,BM643&gt;0),(BL643-I643)/30,"-")</f>
        <v>13.933333333333334</v>
      </c>
      <c r="BP643" s="824"/>
      <c r="BQ643" s="821"/>
      <c r="BR643" s="822" t="str">
        <f t="shared" ref="BR643:BR706" si="561">IF(AND(BP643&gt;0,BQ643&gt;0),B643-BP643,"-")</f>
        <v>-</v>
      </c>
      <c r="BS643" s="823" t="str">
        <f t="shared" ref="BS643:BS706" si="562">IF(AND(BP643&gt;0,BQ643&gt;0),(BP643-M643)/30,"-")</f>
        <v>-</v>
      </c>
      <c r="BT643" s="825" t="str">
        <f t="shared" ref="BT643:BT706" ca="1" si="563">IF(AND(OR(E643="тёлочка",E643="бычок"),L643&gt;0,BV643&lt;2,L643&lt;60),"ПОДЛЕЖИТ ВАКЦИНАЦИИ","-")</f>
        <v>-</v>
      </c>
      <c r="BU643" s="826"/>
      <c r="BV643" s="827"/>
      <c r="BW643" s="828" t="str">
        <f t="shared" ref="BW643:BW706" si="564">IF(AND(BU643&gt;0,BV643=2),BU643-I643,"Ж-Е НЕ ВАКЦ.")</f>
        <v>Ж-Е НЕ ВАКЦ.</v>
      </c>
      <c r="BX643" s="829" t="str">
        <f t="shared" ref="BX643:BX706" si="565">IF(AND(BU643&gt;0,BV643=2),B643-BU643,"-")</f>
        <v>-</v>
      </c>
      <c r="BY643" s="830" t="str">
        <f t="shared" ref="BY643:BY706" ca="1" si="566">IF(AND(L643&gt;42,CA643&lt;5),"ПОДЛЕЖИТ ВАКЦИНАЦИИ","-")</f>
        <v>-</v>
      </c>
      <c r="BZ643" s="831">
        <v>42891</v>
      </c>
      <c r="CA643" s="832">
        <v>5</v>
      </c>
      <c r="CB643" s="833">
        <f t="shared" ref="CB643:CB706" ca="1" si="567">IF(AND(BZ643&gt;0,CA643=5),B643-BZ643,"-")</f>
        <v>243</v>
      </c>
      <c r="CC643" s="834" t="str">
        <f t="shared" ref="CC643:CC706" ca="1" si="568">IF(AND(CA643=5,CB643&gt;20,CF643&lt;5),"ТРЕБУЕТСЯ БУСТЕРНАЯ ДОЗА","-")</f>
        <v>-</v>
      </c>
      <c r="CD643" s="835">
        <f t="shared" ref="CD643:CD706" si="569">IF(AND(BZ643&gt;0,CA643=5),BZ643+21,"-")</f>
        <v>42912</v>
      </c>
      <c r="CE643" s="831">
        <v>42912</v>
      </c>
      <c r="CF643" s="832">
        <v>5</v>
      </c>
      <c r="CG643" s="833">
        <f t="shared" ref="CG643:CG706" ca="1" si="570">IF(AND(CE643&gt;0,CF643=5),B643-CE643,"-")</f>
        <v>222</v>
      </c>
      <c r="CH643" s="836">
        <f t="shared" ref="CH643:CH706" si="571">IF(AND(CD643&gt;0,CE643&gt;0,CF643=5),CD643-CE643,"-")</f>
        <v>0</v>
      </c>
      <c r="CI643" s="837" t="str">
        <f t="shared" ref="CI643:CI706" si="572">IF(AND(CF643=5,CH643=0),"УСПЕШНО","-")</f>
        <v>УСПЕШНО</v>
      </c>
      <c r="CJ643" s="838" t="str">
        <f t="shared" ref="CJ643:CJ706" ca="1" si="573">IF(AND(BZ643&gt;0,CA643=5,CE643&gt;0,CF643=5,CG643&gt;240,CL643&lt;5),"НЕОБХОДИМА РЕВАКЦИНАЦИЯ","-")</f>
        <v>-</v>
      </c>
      <c r="CK643" s="831"/>
      <c r="CL643" s="832"/>
      <c r="CM643" s="833" t="str">
        <f t="shared" ref="CM643:CM706" si="574">IF(AND(CK643&gt;0,CL643=5),N643-CK643,"-")</f>
        <v>-</v>
      </c>
      <c r="CN643" s="834" t="str">
        <f t="shared" ref="CN643:CN706" si="575">IF(AND(CK643&gt;0,CL643=5,CM643&gt;240),"НЕОБХОДИМА РЕВАКЦИНАЦИЯ","-")</f>
        <v>-</v>
      </c>
      <c r="CO643" s="830" t="str">
        <f t="shared" ref="CO643:CO706" ca="1" si="576">IF(AND(Y643=1,AN643&gt;-70,CQ643&lt;2),"ТРЕБУЕТСЯ ВАКЦИНАЦИЯ","-")</f>
        <v>-</v>
      </c>
      <c r="CP643" s="839"/>
      <c r="CQ643" s="832"/>
      <c r="CR643" s="833" t="str">
        <f t="shared" ref="CR643:CR706" si="577">IF(AND(CP643&gt;0,CQ643=2),CP643-T643,"-")</f>
        <v>-</v>
      </c>
      <c r="CS643" s="833" t="str">
        <f t="shared" ref="CS643:CS706" si="578">IF(AND(CP643&gt;0,CQ643=2),B643-CP643,"-")</f>
        <v>-</v>
      </c>
      <c r="CT643" s="834" t="str">
        <f t="shared" ref="CT643:CT706" si="579">IF(AND(CQ643=2,CS643&gt;20,CW643&lt;2),"ТРЕБУЕТСЯ БУСТЕРНАЯ ДОЗА","-")</f>
        <v>-</v>
      </c>
      <c r="CU643" s="835" t="str">
        <f t="shared" ref="CU643:CU706" si="580">IF(AND(CP643&gt;0,CQ643=2),CP643+21,"-")</f>
        <v>-</v>
      </c>
      <c r="CV643" s="839"/>
      <c r="CW643" s="832"/>
      <c r="CX643" s="833" t="str">
        <f t="shared" ref="CX643:CX706" si="581">IF(AND(CU643&gt;0,CV643&gt;0,CW643=2),CV643-CU643,"-")</f>
        <v>-</v>
      </c>
      <c r="CY643" s="840" t="str">
        <f t="shared" ref="CY643:CY706" si="582">IF(AND(CW643=2,CX643=0),"УСПЕШНО","-")</f>
        <v>-</v>
      </c>
      <c r="CZ643" s="833" t="str">
        <f t="shared" ref="CZ643:CZ706" si="583">IF(AND(CV643&gt;0,CW643=2),CV643-T643,"-")</f>
        <v>-</v>
      </c>
      <c r="DA643" s="838" t="str">
        <f t="shared" ref="DA643:DA706" ca="1" si="584">IF(AND(CP643&gt;0,CQ643=2,CV643&gt;0,CW643=2,Y643=1,AN643&gt;-50,DC643&lt;2),"ТРЕБУЕТСЯ РЕВАКЦИНАЦИЯ","-")</f>
        <v>-</v>
      </c>
      <c r="DB643" s="841"/>
      <c r="DC643" s="832"/>
    </row>
    <row r="644" spans="1:107" x14ac:dyDescent="0.25">
      <c r="A644" s="790">
        <v>646</v>
      </c>
      <c r="B644" s="791">
        <f t="shared" ca="1" si="533"/>
        <v>43134</v>
      </c>
      <c r="C644" s="29" t="s">
        <v>2554</v>
      </c>
      <c r="D644" s="59" t="s">
        <v>2586</v>
      </c>
      <c r="E644" s="794" t="s">
        <v>1563</v>
      </c>
      <c r="F644" s="795" t="s">
        <v>1568</v>
      </c>
      <c r="G644" s="845"/>
      <c r="H644" s="797" t="s">
        <v>603</v>
      </c>
      <c r="I644" s="798">
        <v>42559</v>
      </c>
      <c r="J644" s="799">
        <f t="shared" ca="1" si="534"/>
        <v>1.5753424657534247</v>
      </c>
      <c r="K644" s="799">
        <f t="shared" ca="1" si="535"/>
        <v>19.166666666666668</v>
      </c>
      <c r="L644" s="800">
        <f t="shared" ca="1" si="536"/>
        <v>575</v>
      </c>
      <c r="M644" s="801"/>
      <c r="N644" s="802"/>
      <c r="O644" s="803" t="str">
        <f t="shared" ca="1" si="537"/>
        <v>-</v>
      </c>
      <c r="P644" s="804"/>
      <c r="Q644" s="805" t="s">
        <v>2366</v>
      </c>
      <c r="R644" s="806" t="s">
        <v>1876</v>
      </c>
      <c r="S644" s="807">
        <v>42935</v>
      </c>
      <c r="T644" s="798">
        <v>42935</v>
      </c>
      <c r="U644" s="798" t="str">
        <f t="shared" si="538"/>
        <v>-</v>
      </c>
      <c r="V644" s="804" t="str">
        <f t="shared" ca="1" si="539"/>
        <v>-</v>
      </c>
      <c r="W644" s="808">
        <v>1</v>
      </c>
      <c r="X644" s="794" t="str">
        <f t="shared" si="532"/>
        <v>-</v>
      </c>
      <c r="Y644" s="794">
        <v>1</v>
      </c>
      <c r="Z644" s="809" t="str">
        <f t="shared" ca="1" si="540"/>
        <v>ПОДЛЕЖИТ ПЕРЕПРОВЕРКЕ</v>
      </c>
      <c r="AA644" s="810">
        <f t="shared" ca="1" si="541"/>
        <v>199</v>
      </c>
      <c r="AB644" s="804"/>
      <c r="AC644" s="811">
        <f t="shared" ca="1" si="542"/>
        <v>43007</v>
      </c>
      <c r="AD644" s="798"/>
      <c r="AE644" s="794" t="str">
        <f t="shared" ca="1" si="543"/>
        <v>-</v>
      </c>
      <c r="AF644" s="798" t="str">
        <f t="shared" si="544"/>
        <v>-</v>
      </c>
      <c r="AG644" s="812" t="str">
        <f t="shared" si="545"/>
        <v>---------</v>
      </c>
      <c r="AH644" s="807">
        <v>43001</v>
      </c>
      <c r="AI644" s="807" t="str">
        <f t="shared" si="546"/>
        <v>-</v>
      </c>
      <c r="AJ644" s="807" t="str">
        <f t="shared" si="547"/>
        <v>-</v>
      </c>
      <c r="AK644" s="813"/>
      <c r="AL644" s="807">
        <f t="shared" si="548"/>
        <v>43194</v>
      </c>
      <c r="AM644" s="807">
        <f t="shared" si="549"/>
        <v>43215</v>
      </c>
      <c r="AN644" s="814">
        <f t="shared" ca="1" si="550"/>
        <v>-81</v>
      </c>
      <c r="AO644" s="815">
        <v>1</v>
      </c>
      <c r="AP644" s="816" t="str">
        <f t="shared" ca="1" si="551"/>
        <v>-</v>
      </c>
      <c r="AQ644" s="817"/>
      <c r="AR644" s="794" t="str">
        <f t="shared" si="552"/>
        <v>НЕТЕЛЬ</v>
      </c>
      <c r="AS644" s="818"/>
      <c r="AT644" s="794" t="str">
        <f t="shared" si="553"/>
        <v>-</v>
      </c>
      <c r="AU644" s="819"/>
      <c r="AV644" s="820"/>
      <c r="AW644" s="821"/>
      <c r="AX644" s="821"/>
      <c r="AY644" s="969" t="str">
        <f t="shared" si="554"/>
        <v>-</v>
      </c>
      <c r="AZ644" s="966" t="str">
        <f t="shared" si="555"/>
        <v>-</v>
      </c>
      <c r="BA644" s="971" t="str">
        <f t="shared" si="556"/>
        <v>-</v>
      </c>
      <c r="BB644" s="975"/>
      <c r="BC644" s="821"/>
      <c r="BD644" s="821"/>
      <c r="BE644" s="963" t="str">
        <f t="shared" si="557"/>
        <v>-</v>
      </c>
      <c r="BF644" s="984"/>
      <c r="BG644" s="988"/>
      <c r="BH644" s="982"/>
      <c r="BI644" s="991"/>
      <c r="BJ644" s="991"/>
      <c r="BK644" s="993" t="str">
        <f t="shared" si="558"/>
        <v>-</v>
      </c>
      <c r="BL644" s="820">
        <v>42977</v>
      </c>
      <c r="BM644" s="821">
        <v>5</v>
      </c>
      <c r="BN644" s="822">
        <f t="shared" ca="1" si="559"/>
        <v>157</v>
      </c>
      <c r="BO644" s="823">
        <f t="shared" si="560"/>
        <v>13.933333333333334</v>
      </c>
      <c r="BP644" s="824"/>
      <c r="BQ644" s="821"/>
      <c r="BR644" s="822" t="str">
        <f t="shared" si="561"/>
        <v>-</v>
      </c>
      <c r="BS644" s="823" t="str">
        <f t="shared" si="562"/>
        <v>-</v>
      </c>
      <c r="BT644" s="825" t="str">
        <f t="shared" ca="1" si="563"/>
        <v>-</v>
      </c>
      <c r="BU644" s="826"/>
      <c r="BV644" s="827"/>
      <c r="BW644" s="828" t="str">
        <f t="shared" si="564"/>
        <v>Ж-Е НЕ ВАКЦ.</v>
      </c>
      <c r="BX644" s="829" t="str">
        <f t="shared" si="565"/>
        <v>-</v>
      </c>
      <c r="BY644" s="830" t="str">
        <f t="shared" ca="1" si="566"/>
        <v>-</v>
      </c>
      <c r="BZ644" s="831">
        <v>42892</v>
      </c>
      <c r="CA644" s="832">
        <v>5</v>
      </c>
      <c r="CB644" s="833">
        <f t="shared" ca="1" si="567"/>
        <v>242</v>
      </c>
      <c r="CC644" s="834" t="str">
        <f t="shared" ca="1" si="568"/>
        <v>-</v>
      </c>
      <c r="CD644" s="835">
        <f t="shared" si="569"/>
        <v>42913</v>
      </c>
      <c r="CE644" s="831">
        <v>42913</v>
      </c>
      <c r="CF644" s="832">
        <v>5</v>
      </c>
      <c r="CG644" s="833">
        <f t="shared" ca="1" si="570"/>
        <v>221</v>
      </c>
      <c r="CH644" s="836">
        <f t="shared" si="571"/>
        <v>0</v>
      </c>
      <c r="CI644" s="837" t="str">
        <f t="shared" si="572"/>
        <v>УСПЕШНО</v>
      </c>
      <c r="CJ644" s="838" t="str">
        <f t="shared" ca="1" si="573"/>
        <v>-</v>
      </c>
      <c r="CK644" s="831"/>
      <c r="CL644" s="832"/>
      <c r="CM644" s="833" t="str">
        <f t="shared" si="574"/>
        <v>-</v>
      </c>
      <c r="CN644" s="834" t="str">
        <f t="shared" si="575"/>
        <v>-</v>
      </c>
      <c r="CO644" s="830" t="str">
        <f t="shared" ca="1" si="576"/>
        <v>-</v>
      </c>
      <c r="CP644" s="839"/>
      <c r="CQ644" s="832"/>
      <c r="CR644" s="833" t="str">
        <f t="shared" si="577"/>
        <v>-</v>
      </c>
      <c r="CS644" s="833" t="str">
        <f t="shared" si="578"/>
        <v>-</v>
      </c>
      <c r="CT644" s="834" t="str">
        <f t="shared" si="579"/>
        <v>-</v>
      </c>
      <c r="CU644" s="835" t="str">
        <f t="shared" si="580"/>
        <v>-</v>
      </c>
      <c r="CV644" s="839"/>
      <c r="CW644" s="832"/>
      <c r="CX644" s="833" t="str">
        <f t="shared" si="581"/>
        <v>-</v>
      </c>
      <c r="CY644" s="840" t="str">
        <f t="shared" si="582"/>
        <v>-</v>
      </c>
      <c r="CZ644" s="833" t="str">
        <f t="shared" si="583"/>
        <v>-</v>
      </c>
      <c r="DA644" s="838" t="str">
        <f t="shared" ca="1" si="584"/>
        <v>-</v>
      </c>
      <c r="DB644" s="841"/>
      <c r="DC644" s="832"/>
    </row>
    <row r="645" spans="1:107" x14ac:dyDescent="0.25">
      <c r="A645" s="790">
        <v>647</v>
      </c>
      <c r="B645" s="791">
        <f t="shared" ca="1" si="533"/>
        <v>43134</v>
      </c>
      <c r="C645" s="29" t="s">
        <v>2554</v>
      </c>
      <c r="D645" s="59" t="s">
        <v>2586</v>
      </c>
      <c r="E645" s="794" t="s">
        <v>1563</v>
      </c>
      <c r="F645" s="795" t="s">
        <v>1567</v>
      </c>
      <c r="G645" s="845"/>
      <c r="H645" s="797" t="s">
        <v>603</v>
      </c>
      <c r="I645" s="798">
        <v>42559</v>
      </c>
      <c r="J645" s="799">
        <f t="shared" ca="1" si="534"/>
        <v>1.5753424657534247</v>
      </c>
      <c r="K645" s="799">
        <f t="shared" ca="1" si="535"/>
        <v>19.166666666666668</v>
      </c>
      <c r="L645" s="800">
        <f t="shared" ca="1" si="536"/>
        <v>575</v>
      </c>
      <c r="M645" s="801"/>
      <c r="N645" s="802"/>
      <c r="O645" s="803" t="str">
        <f t="shared" ca="1" si="537"/>
        <v>-</v>
      </c>
      <c r="P645" s="804"/>
      <c r="Q645" s="805" t="s">
        <v>2366</v>
      </c>
      <c r="R645" s="806" t="s">
        <v>2967</v>
      </c>
      <c r="S645" s="807">
        <v>42945</v>
      </c>
      <c r="T645" s="798">
        <v>42966</v>
      </c>
      <c r="U645" s="798" t="str">
        <f t="shared" si="538"/>
        <v>-</v>
      </c>
      <c r="V645" s="804" t="str">
        <f t="shared" ca="1" si="539"/>
        <v>-</v>
      </c>
      <c r="W645" s="808">
        <v>2</v>
      </c>
      <c r="X645" s="794" t="str">
        <f t="shared" si="532"/>
        <v>-</v>
      </c>
      <c r="Y645" s="794">
        <v>1</v>
      </c>
      <c r="Z645" s="809" t="str">
        <f t="shared" ca="1" si="540"/>
        <v>ПОДЛЕЖИТ ПЕРЕПРОВЕРКЕ</v>
      </c>
      <c r="AA645" s="810">
        <f t="shared" ca="1" si="541"/>
        <v>168</v>
      </c>
      <c r="AB645" s="804"/>
      <c r="AC645" s="811">
        <f t="shared" ca="1" si="542"/>
        <v>43038</v>
      </c>
      <c r="AD645" s="798"/>
      <c r="AE645" s="794" t="str">
        <f t="shared" ca="1" si="543"/>
        <v>-</v>
      </c>
      <c r="AF645" s="798" t="str">
        <f t="shared" si="544"/>
        <v>-</v>
      </c>
      <c r="AG645" s="812" t="str">
        <f t="shared" si="545"/>
        <v>---------</v>
      </c>
      <c r="AH645" s="807">
        <v>43032</v>
      </c>
      <c r="AI645" s="807" t="str">
        <f t="shared" si="546"/>
        <v>-</v>
      </c>
      <c r="AJ645" s="807" t="str">
        <f t="shared" si="547"/>
        <v>-</v>
      </c>
      <c r="AK645" s="813"/>
      <c r="AL645" s="807">
        <f t="shared" si="548"/>
        <v>43225</v>
      </c>
      <c r="AM645" s="807">
        <f t="shared" si="549"/>
        <v>43246</v>
      </c>
      <c r="AN645" s="814">
        <f t="shared" ca="1" si="550"/>
        <v>-112</v>
      </c>
      <c r="AO645" s="815">
        <v>1</v>
      </c>
      <c r="AP645" s="816" t="str">
        <f t="shared" ca="1" si="551"/>
        <v>-</v>
      </c>
      <c r="AQ645" s="817"/>
      <c r="AR645" s="794" t="str">
        <f t="shared" si="552"/>
        <v>НЕТЕЛЬ</v>
      </c>
      <c r="AS645" s="818"/>
      <c r="AT645" s="794" t="str">
        <f t="shared" si="553"/>
        <v>-</v>
      </c>
      <c r="AU645" s="819"/>
      <c r="AV645" s="820"/>
      <c r="AW645" s="821"/>
      <c r="AX645" s="821"/>
      <c r="AY645" s="969" t="str">
        <f t="shared" si="554"/>
        <v>-</v>
      </c>
      <c r="AZ645" s="966" t="str">
        <f t="shared" si="555"/>
        <v>-</v>
      </c>
      <c r="BA645" s="971" t="str">
        <f t="shared" si="556"/>
        <v>-</v>
      </c>
      <c r="BB645" s="975"/>
      <c r="BC645" s="821"/>
      <c r="BD645" s="821"/>
      <c r="BE645" s="963" t="str">
        <f t="shared" si="557"/>
        <v>-</v>
      </c>
      <c r="BF645" s="984"/>
      <c r="BG645" s="988"/>
      <c r="BH645" s="982"/>
      <c r="BI645" s="991"/>
      <c r="BJ645" s="991"/>
      <c r="BK645" s="993" t="str">
        <f t="shared" si="558"/>
        <v>-</v>
      </c>
      <c r="BL645" s="820">
        <v>42977</v>
      </c>
      <c r="BM645" s="821">
        <v>5</v>
      </c>
      <c r="BN645" s="822">
        <f t="shared" ca="1" si="559"/>
        <v>157</v>
      </c>
      <c r="BO645" s="823">
        <f t="shared" si="560"/>
        <v>13.933333333333334</v>
      </c>
      <c r="BP645" s="824"/>
      <c r="BQ645" s="821"/>
      <c r="BR645" s="822" t="str">
        <f t="shared" si="561"/>
        <v>-</v>
      </c>
      <c r="BS645" s="823" t="str">
        <f t="shared" si="562"/>
        <v>-</v>
      </c>
      <c r="BT645" s="825" t="str">
        <f t="shared" ca="1" si="563"/>
        <v>-</v>
      </c>
      <c r="BU645" s="826"/>
      <c r="BV645" s="827"/>
      <c r="BW645" s="828" t="str">
        <f t="shared" si="564"/>
        <v>Ж-Е НЕ ВАКЦ.</v>
      </c>
      <c r="BX645" s="829" t="str">
        <f t="shared" si="565"/>
        <v>-</v>
      </c>
      <c r="BY645" s="830" t="str">
        <f t="shared" ca="1" si="566"/>
        <v>-</v>
      </c>
      <c r="BZ645" s="831">
        <v>42891</v>
      </c>
      <c r="CA645" s="832">
        <v>5</v>
      </c>
      <c r="CB645" s="833">
        <f t="shared" ca="1" si="567"/>
        <v>243</v>
      </c>
      <c r="CC645" s="834" t="str">
        <f t="shared" ca="1" si="568"/>
        <v>-</v>
      </c>
      <c r="CD645" s="835">
        <f t="shared" si="569"/>
        <v>42912</v>
      </c>
      <c r="CE645" s="831">
        <v>42912</v>
      </c>
      <c r="CF645" s="832">
        <v>5</v>
      </c>
      <c r="CG645" s="833">
        <f t="shared" ca="1" si="570"/>
        <v>222</v>
      </c>
      <c r="CH645" s="836">
        <f t="shared" si="571"/>
        <v>0</v>
      </c>
      <c r="CI645" s="837" t="str">
        <f t="shared" si="572"/>
        <v>УСПЕШНО</v>
      </c>
      <c r="CJ645" s="838" t="str">
        <f t="shared" ca="1" si="573"/>
        <v>-</v>
      </c>
      <c r="CK645" s="831"/>
      <c r="CL645" s="832"/>
      <c r="CM645" s="833" t="str">
        <f t="shared" si="574"/>
        <v>-</v>
      </c>
      <c r="CN645" s="834" t="str">
        <f t="shared" si="575"/>
        <v>-</v>
      </c>
      <c r="CO645" s="830" t="str">
        <f t="shared" ca="1" si="576"/>
        <v>-</v>
      </c>
      <c r="CP645" s="839"/>
      <c r="CQ645" s="832"/>
      <c r="CR645" s="833" t="str">
        <f t="shared" si="577"/>
        <v>-</v>
      </c>
      <c r="CS645" s="833" t="str">
        <f t="shared" si="578"/>
        <v>-</v>
      </c>
      <c r="CT645" s="834" t="str">
        <f t="shared" si="579"/>
        <v>-</v>
      </c>
      <c r="CU645" s="835" t="str">
        <f t="shared" si="580"/>
        <v>-</v>
      </c>
      <c r="CV645" s="839"/>
      <c r="CW645" s="832"/>
      <c r="CX645" s="833" t="str">
        <f t="shared" si="581"/>
        <v>-</v>
      </c>
      <c r="CY645" s="840" t="str">
        <f t="shared" si="582"/>
        <v>-</v>
      </c>
      <c r="CZ645" s="833" t="str">
        <f t="shared" si="583"/>
        <v>-</v>
      </c>
      <c r="DA645" s="838" t="str">
        <f t="shared" ca="1" si="584"/>
        <v>-</v>
      </c>
      <c r="DB645" s="841"/>
      <c r="DC645" s="832"/>
    </row>
    <row r="646" spans="1:107" x14ac:dyDescent="0.25">
      <c r="A646" s="790">
        <v>648</v>
      </c>
      <c r="B646" s="791">
        <f t="shared" ca="1" si="533"/>
        <v>43134</v>
      </c>
      <c r="C646" s="29" t="s">
        <v>2554</v>
      </c>
      <c r="D646" s="59" t="s">
        <v>2586</v>
      </c>
      <c r="E646" s="794" t="s">
        <v>1563</v>
      </c>
      <c r="F646" s="795" t="s">
        <v>1573</v>
      </c>
      <c r="G646" s="845"/>
      <c r="H646" s="797" t="s">
        <v>603</v>
      </c>
      <c r="I646" s="798">
        <v>42560</v>
      </c>
      <c r="J646" s="799">
        <f t="shared" ca="1" si="534"/>
        <v>1.5726027397260274</v>
      </c>
      <c r="K646" s="799">
        <f t="shared" ca="1" si="535"/>
        <v>19.133333333333333</v>
      </c>
      <c r="L646" s="800">
        <f t="shared" ca="1" si="536"/>
        <v>574</v>
      </c>
      <c r="M646" s="801"/>
      <c r="N646" s="802"/>
      <c r="O646" s="803" t="str">
        <f t="shared" ca="1" si="537"/>
        <v>-</v>
      </c>
      <c r="P646" s="804"/>
      <c r="Q646" s="805" t="s">
        <v>1451</v>
      </c>
      <c r="R646" s="806" t="s">
        <v>1876</v>
      </c>
      <c r="S646" s="807">
        <v>42927</v>
      </c>
      <c r="T646" s="798">
        <v>42927</v>
      </c>
      <c r="U646" s="798" t="str">
        <f t="shared" si="538"/>
        <v>-</v>
      </c>
      <c r="V646" s="804" t="str">
        <f t="shared" ca="1" si="539"/>
        <v>-</v>
      </c>
      <c r="W646" s="808">
        <v>1</v>
      </c>
      <c r="X646" s="794" t="str">
        <f t="shared" si="532"/>
        <v>-</v>
      </c>
      <c r="Y646" s="794">
        <v>1</v>
      </c>
      <c r="Z646" s="809" t="str">
        <f t="shared" ca="1" si="540"/>
        <v>ПОДЛЕЖИТ ПЕРЕПРОВЕРКЕ</v>
      </c>
      <c r="AA646" s="810">
        <f t="shared" ca="1" si="541"/>
        <v>207</v>
      </c>
      <c r="AB646" s="804"/>
      <c r="AC646" s="811">
        <f t="shared" ca="1" si="542"/>
        <v>42999</v>
      </c>
      <c r="AD646" s="798"/>
      <c r="AE646" s="794" t="str">
        <f t="shared" ca="1" si="543"/>
        <v>-</v>
      </c>
      <c r="AF646" s="798" t="str">
        <f t="shared" si="544"/>
        <v>-</v>
      </c>
      <c r="AG646" s="812" t="str">
        <f t="shared" si="545"/>
        <v>---------</v>
      </c>
      <c r="AH646" s="807">
        <v>43001</v>
      </c>
      <c r="AI646" s="807" t="str">
        <f t="shared" si="546"/>
        <v>-</v>
      </c>
      <c r="AJ646" s="807" t="str">
        <f t="shared" si="547"/>
        <v>-</v>
      </c>
      <c r="AK646" s="813"/>
      <c r="AL646" s="807">
        <f t="shared" si="548"/>
        <v>43186</v>
      </c>
      <c r="AM646" s="807">
        <f t="shared" si="549"/>
        <v>43207</v>
      </c>
      <c r="AN646" s="814">
        <f t="shared" ca="1" si="550"/>
        <v>-73</v>
      </c>
      <c r="AO646" s="815">
        <v>1</v>
      </c>
      <c r="AP646" s="816" t="str">
        <f t="shared" ca="1" si="551"/>
        <v>-</v>
      </c>
      <c r="AQ646" s="817"/>
      <c r="AR646" s="794" t="str">
        <f t="shared" si="552"/>
        <v>НЕТЕЛЬ</v>
      </c>
      <c r="AS646" s="818"/>
      <c r="AT646" s="794" t="str">
        <f t="shared" si="553"/>
        <v>-</v>
      </c>
      <c r="AU646" s="819"/>
      <c r="AV646" s="820"/>
      <c r="AW646" s="821"/>
      <c r="AX646" s="821"/>
      <c r="AY646" s="969" t="str">
        <f t="shared" si="554"/>
        <v>-</v>
      </c>
      <c r="AZ646" s="966" t="str">
        <f t="shared" si="555"/>
        <v>-</v>
      </c>
      <c r="BA646" s="971" t="str">
        <f t="shared" si="556"/>
        <v>-</v>
      </c>
      <c r="BB646" s="975"/>
      <c r="BC646" s="821"/>
      <c r="BD646" s="821"/>
      <c r="BE646" s="963" t="str">
        <f t="shared" si="557"/>
        <v>-</v>
      </c>
      <c r="BF646" s="984"/>
      <c r="BG646" s="988"/>
      <c r="BH646" s="982"/>
      <c r="BI646" s="991"/>
      <c r="BJ646" s="991"/>
      <c r="BK646" s="993" t="str">
        <f t="shared" si="558"/>
        <v>-</v>
      </c>
      <c r="BL646" s="820">
        <v>42977</v>
      </c>
      <c r="BM646" s="821">
        <v>5</v>
      </c>
      <c r="BN646" s="822">
        <f t="shared" ca="1" si="559"/>
        <v>157</v>
      </c>
      <c r="BO646" s="823">
        <f t="shared" si="560"/>
        <v>13.9</v>
      </c>
      <c r="BP646" s="824"/>
      <c r="BQ646" s="821"/>
      <c r="BR646" s="822" t="str">
        <f t="shared" si="561"/>
        <v>-</v>
      </c>
      <c r="BS646" s="823" t="str">
        <f t="shared" si="562"/>
        <v>-</v>
      </c>
      <c r="BT646" s="825" t="str">
        <f t="shared" ca="1" si="563"/>
        <v>-</v>
      </c>
      <c r="BU646" s="826"/>
      <c r="BV646" s="827"/>
      <c r="BW646" s="828" t="str">
        <f t="shared" si="564"/>
        <v>Ж-Е НЕ ВАКЦ.</v>
      </c>
      <c r="BX646" s="829" t="str">
        <f t="shared" si="565"/>
        <v>-</v>
      </c>
      <c r="BY646" s="830" t="str">
        <f t="shared" ca="1" si="566"/>
        <v>-</v>
      </c>
      <c r="BZ646" s="831">
        <v>42891</v>
      </c>
      <c r="CA646" s="832">
        <v>5</v>
      </c>
      <c r="CB646" s="833">
        <f t="shared" ca="1" si="567"/>
        <v>243</v>
      </c>
      <c r="CC646" s="834" t="str">
        <f t="shared" ca="1" si="568"/>
        <v>-</v>
      </c>
      <c r="CD646" s="835">
        <f t="shared" si="569"/>
        <v>42912</v>
      </c>
      <c r="CE646" s="831">
        <v>42912</v>
      </c>
      <c r="CF646" s="832">
        <v>5</v>
      </c>
      <c r="CG646" s="833">
        <f t="shared" ca="1" si="570"/>
        <v>222</v>
      </c>
      <c r="CH646" s="836">
        <f t="shared" si="571"/>
        <v>0</v>
      </c>
      <c r="CI646" s="837" t="str">
        <f t="shared" si="572"/>
        <v>УСПЕШНО</v>
      </c>
      <c r="CJ646" s="838" t="str">
        <f t="shared" ca="1" si="573"/>
        <v>-</v>
      </c>
      <c r="CK646" s="831"/>
      <c r="CL646" s="832"/>
      <c r="CM646" s="833" t="str">
        <f t="shared" si="574"/>
        <v>-</v>
      </c>
      <c r="CN646" s="834" t="str">
        <f t="shared" si="575"/>
        <v>-</v>
      </c>
      <c r="CO646" s="830" t="str">
        <f t="shared" ca="1" si="576"/>
        <v>-</v>
      </c>
      <c r="CP646" s="839"/>
      <c r="CQ646" s="832"/>
      <c r="CR646" s="833" t="str">
        <f t="shared" si="577"/>
        <v>-</v>
      </c>
      <c r="CS646" s="833" t="str">
        <f t="shared" si="578"/>
        <v>-</v>
      </c>
      <c r="CT646" s="834" t="str">
        <f t="shared" si="579"/>
        <v>-</v>
      </c>
      <c r="CU646" s="835" t="str">
        <f t="shared" si="580"/>
        <v>-</v>
      </c>
      <c r="CV646" s="839"/>
      <c r="CW646" s="832"/>
      <c r="CX646" s="833" t="str">
        <f t="shared" si="581"/>
        <v>-</v>
      </c>
      <c r="CY646" s="840" t="str">
        <f t="shared" si="582"/>
        <v>-</v>
      </c>
      <c r="CZ646" s="833" t="str">
        <f t="shared" si="583"/>
        <v>-</v>
      </c>
      <c r="DA646" s="838" t="str">
        <f t="shared" ca="1" si="584"/>
        <v>-</v>
      </c>
      <c r="DB646" s="841"/>
      <c r="DC646" s="832"/>
    </row>
    <row r="647" spans="1:107" x14ac:dyDescent="0.25">
      <c r="A647" s="790">
        <v>649</v>
      </c>
      <c r="B647" s="791">
        <f t="shared" ca="1" si="533"/>
        <v>43134</v>
      </c>
      <c r="C647" s="29" t="s">
        <v>2554</v>
      </c>
      <c r="D647" s="59" t="s">
        <v>2586</v>
      </c>
      <c r="E647" s="794" t="s">
        <v>1563</v>
      </c>
      <c r="F647" s="795" t="s">
        <v>1574</v>
      </c>
      <c r="G647" s="845"/>
      <c r="H647" s="797" t="s">
        <v>603</v>
      </c>
      <c r="I647" s="798">
        <v>42561</v>
      </c>
      <c r="J647" s="799">
        <f t="shared" ca="1" si="534"/>
        <v>1.5698630136986302</v>
      </c>
      <c r="K647" s="799">
        <f t="shared" ca="1" si="535"/>
        <v>19.100000000000001</v>
      </c>
      <c r="L647" s="800">
        <f t="shared" ca="1" si="536"/>
        <v>573</v>
      </c>
      <c r="M647" s="801"/>
      <c r="N647" s="802"/>
      <c r="O647" s="803" t="str">
        <f t="shared" ca="1" si="537"/>
        <v>-</v>
      </c>
      <c r="P647" s="804"/>
      <c r="Q647" s="805" t="s">
        <v>2366</v>
      </c>
      <c r="R647" s="806" t="s">
        <v>2909</v>
      </c>
      <c r="S647" s="807">
        <v>42928</v>
      </c>
      <c r="T647" s="798">
        <v>42928</v>
      </c>
      <c r="U647" s="798" t="str">
        <f t="shared" si="538"/>
        <v>-</v>
      </c>
      <c r="V647" s="804" t="str">
        <f t="shared" ca="1" si="539"/>
        <v>-</v>
      </c>
      <c r="W647" s="808">
        <v>1</v>
      </c>
      <c r="X647" s="794" t="str">
        <f t="shared" si="532"/>
        <v>-</v>
      </c>
      <c r="Y647" s="794">
        <v>1</v>
      </c>
      <c r="Z647" s="809" t="str">
        <f t="shared" ca="1" si="540"/>
        <v>ПОДЛЕЖИТ ПЕРЕПРОВЕРКЕ</v>
      </c>
      <c r="AA647" s="810">
        <f t="shared" ca="1" si="541"/>
        <v>206</v>
      </c>
      <c r="AB647" s="804"/>
      <c r="AC647" s="811">
        <f t="shared" ca="1" si="542"/>
        <v>43000</v>
      </c>
      <c r="AD647" s="798"/>
      <c r="AE647" s="794" t="str">
        <f t="shared" ca="1" si="543"/>
        <v>-</v>
      </c>
      <c r="AF647" s="798" t="str">
        <f t="shared" si="544"/>
        <v>-</v>
      </c>
      <c r="AG647" s="812" t="str">
        <f t="shared" si="545"/>
        <v>---------</v>
      </c>
      <c r="AH647" s="807">
        <v>43001</v>
      </c>
      <c r="AI647" s="807" t="str">
        <f t="shared" si="546"/>
        <v>-</v>
      </c>
      <c r="AJ647" s="807" t="str">
        <f t="shared" si="547"/>
        <v>-</v>
      </c>
      <c r="AK647" s="813"/>
      <c r="AL647" s="807">
        <f t="shared" si="548"/>
        <v>43187</v>
      </c>
      <c r="AM647" s="807">
        <f t="shared" si="549"/>
        <v>43208</v>
      </c>
      <c r="AN647" s="814">
        <f t="shared" ca="1" si="550"/>
        <v>-74</v>
      </c>
      <c r="AO647" s="815">
        <v>1</v>
      </c>
      <c r="AP647" s="816" t="str">
        <f t="shared" ca="1" si="551"/>
        <v>-</v>
      </c>
      <c r="AQ647" s="817"/>
      <c r="AR647" s="794" t="str">
        <f t="shared" si="552"/>
        <v>НЕТЕЛЬ</v>
      </c>
      <c r="AS647" s="818"/>
      <c r="AT647" s="794" t="str">
        <f t="shared" si="553"/>
        <v>-</v>
      </c>
      <c r="AU647" s="819"/>
      <c r="AV647" s="820"/>
      <c r="AW647" s="821"/>
      <c r="AX647" s="821"/>
      <c r="AY647" s="969" t="str">
        <f t="shared" si="554"/>
        <v>-</v>
      </c>
      <c r="AZ647" s="966" t="str">
        <f t="shared" si="555"/>
        <v>-</v>
      </c>
      <c r="BA647" s="971" t="str">
        <f t="shared" si="556"/>
        <v>-</v>
      </c>
      <c r="BB647" s="975"/>
      <c r="BC647" s="821"/>
      <c r="BD647" s="821"/>
      <c r="BE647" s="963" t="str">
        <f t="shared" si="557"/>
        <v>-</v>
      </c>
      <c r="BF647" s="984"/>
      <c r="BG647" s="988"/>
      <c r="BH647" s="982"/>
      <c r="BI647" s="991"/>
      <c r="BJ647" s="991"/>
      <c r="BK647" s="993" t="str">
        <f t="shared" si="558"/>
        <v>-</v>
      </c>
      <c r="BL647" s="820">
        <v>42977</v>
      </c>
      <c r="BM647" s="821">
        <v>5</v>
      </c>
      <c r="BN647" s="822">
        <f t="shared" ca="1" si="559"/>
        <v>157</v>
      </c>
      <c r="BO647" s="823">
        <f t="shared" si="560"/>
        <v>13.866666666666667</v>
      </c>
      <c r="BP647" s="824"/>
      <c r="BQ647" s="821"/>
      <c r="BR647" s="822" t="str">
        <f t="shared" si="561"/>
        <v>-</v>
      </c>
      <c r="BS647" s="823" t="str">
        <f t="shared" si="562"/>
        <v>-</v>
      </c>
      <c r="BT647" s="825" t="str">
        <f t="shared" ca="1" si="563"/>
        <v>-</v>
      </c>
      <c r="BU647" s="826"/>
      <c r="BV647" s="827"/>
      <c r="BW647" s="828" t="str">
        <f t="shared" si="564"/>
        <v>Ж-Е НЕ ВАКЦ.</v>
      </c>
      <c r="BX647" s="829" t="str">
        <f t="shared" si="565"/>
        <v>-</v>
      </c>
      <c r="BY647" s="830" t="str">
        <f t="shared" ca="1" si="566"/>
        <v>-</v>
      </c>
      <c r="BZ647" s="831">
        <v>42892</v>
      </c>
      <c r="CA647" s="832">
        <v>5</v>
      </c>
      <c r="CB647" s="833">
        <f t="shared" ca="1" si="567"/>
        <v>242</v>
      </c>
      <c r="CC647" s="834" t="str">
        <f t="shared" ca="1" si="568"/>
        <v>-</v>
      </c>
      <c r="CD647" s="835">
        <f t="shared" si="569"/>
        <v>42913</v>
      </c>
      <c r="CE647" s="831">
        <v>42913</v>
      </c>
      <c r="CF647" s="832">
        <v>5</v>
      </c>
      <c r="CG647" s="833">
        <f t="shared" ca="1" si="570"/>
        <v>221</v>
      </c>
      <c r="CH647" s="836">
        <f t="shared" si="571"/>
        <v>0</v>
      </c>
      <c r="CI647" s="837" t="str">
        <f t="shared" si="572"/>
        <v>УСПЕШНО</v>
      </c>
      <c r="CJ647" s="838" t="str">
        <f t="shared" ca="1" si="573"/>
        <v>-</v>
      </c>
      <c r="CK647" s="831"/>
      <c r="CL647" s="832"/>
      <c r="CM647" s="833" t="str">
        <f t="shared" si="574"/>
        <v>-</v>
      </c>
      <c r="CN647" s="834" t="str">
        <f t="shared" si="575"/>
        <v>-</v>
      </c>
      <c r="CO647" s="830" t="str">
        <f t="shared" ca="1" si="576"/>
        <v>-</v>
      </c>
      <c r="CP647" s="839"/>
      <c r="CQ647" s="832"/>
      <c r="CR647" s="833" t="str">
        <f t="shared" si="577"/>
        <v>-</v>
      </c>
      <c r="CS647" s="833" t="str">
        <f t="shared" si="578"/>
        <v>-</v>
      </c>
      <c r="CT647" s="834" t="str">
        <f t="shared" si="579"/>
        <v>-</v>
      </c>
      <c r="CU647" s="835" t="str">
        <f t="shared" si="580"/>
        <v>-</v>
      </c>
      <c r="CV647" s="839"/>
      <c r="CW647" s="832"/>
      <c r="CX647" s="833" t="str">
        <f t="shared" si="581"/>
        <v>-</v>
      </c>
      <c r="CY647" s="840" t="str">
        <f t="shared" si="582"/>
        <v>-</v>
      </c>
      <c r="CZ647" s="833" t="str">
        <f t="shared" si="583"/>
        <v>-</v>
      </c>
      <c r="DA647" s="838" t="str">
        <f t="shared" ca="1" si="584"/>
        <v>-</v>
      </c>
      <c r="DB647" s="841"/>
      <c r="DC647" s="832"/>
    </row>
    <row r="648" spans="1:107" x14ac:dyDescent="0.25">
      <c r="A648" s="790">
        <v>650</v>
      </c>
      <c r="B648" s="791">
        <f t="shared" ca="1" si="533"/>
        <v>43134</v>
      </c>
      <c r="C648" s="29" t="s">
        <v>2554</v>
      </c>
      <c r="D648" s="59" t="s">
        <v>2586</v>
      </c>
      <c r="E648" s="794" t="s">
        <v>1563</v>
      </c>
      <c r="F648" s="795" t="s">
        <v>1576</v>
      </c>
      <c r="G648" s="845"/>
      <c r="H648" s="797" t="s">
        <v>603</v>
      </c>
      <c r="I648" s="798">
        <v>42562</v>
      </c>
      <c r="J648" s="799">
        <f t="shared" ca="1" si="534"/>
        <v>1.5671232876712329</v>
      </c>
      <c r="K648" s="799">
        <f t="shared" ca="1" si="535"/>
        <v>19.066666666666666</v>
      </c>
      <c r="L648" s="800">
        <f t="shared" ca="1" si="536"/>
        <v>572</v>
      </c>
      <c r="M648" s="801"/>
      <c r="N648" s="802"/>
      <c r="O648" s="803" t="str">
        <f t="shared" ca="1" si="537"/>
        <v>-</v>
      </c>
      <c r="P648" s="804"/>
      <c r="Q648" s="805" t="s">
        <v>1451</v>
      </c>
      <c r="R648" s="806" t="s">
        <v>2435</v>
      </c>
      <c r="S648" s="807">
        <v>42950</v>
      </c>
      <c r="T648" s="798">
        <v>42950</v>
      </c>
      <c r="U648" s="798" t="str">
        <f t="shared" si="538"/>
        <v>-</v>
      </c>
      <c r="V648" s="804" t="str">
        <f t="shared" ca="1" si="539"/>
        <v>-</v>
      </c>
      <c r="W648" s="808">
        <v>1</v>
      </c>
      <c r="X648" s="794" t="str">
        <f t="shared" si="532"/>
        <v>-</v>
      </c>
      <c r="Y648" s="794">
        <v>1</v>
      </c>
      <c r="Z648" s="809" t="str">
        <f t="shared" ca="1" si="540"/>
        <v>-----</v>
      </c>
      <c r="AA648" s="810" t="str">
        <f t="shared" ca="1" si="541"/>
        <v>-----</v>
      </c>
      <c r="AB648" s="804">
        <v>1</v>
      </c>
      <c r="AC648" s="811" t="str">
        <f t="shared" ca="1" si="542"/>
        <v>-----</v>
      </c>
      <c r="AD648" s="798">
        <v>43020</v>
      </c>
      <c r="AE648" s="794" t="str">
        <f t="shared" ca="1" si="543"/>
        <v>-</v>
      </c>
      <c r="AF648" s="798" t="str">
        <f t="shared" si="544"/>
        <v>-</v>
      </c>
      <c r="AG648" s="812" t="str">
        <f t="shared" si="545"/>
        <v>---------</v>
      </c>
      <c r="AH648" s="807">
        <v>43020</v>
      </c>
      <c r="AI648" s="807" t="str">
        <f t="shared" si="546"/>
        <v>-</v>
      </c>
      <c r="AJ648" s="807" t="str">
        <f t="shared" si="547"/>
        <v>-</v>
      </c>
      <c r="AK648" s="813"/>
      <c r="AL648" s="807">
        <f t="shared" si="548"/>
        <v>43209</v>
      </c>
      <c r="AM648" s="807">
        <f t="shared" si="549"/>
        <v>43230</v>
      </c>
      <c r="AN648" s="814">
        <f t="shared" ca="1" si="550"/>
        <v>-96</v>
      </c>
      <c r="AO648" s="815">
        <v>1</v>
      </c>
      <c r="AP648" s="816" t="str">
        <f t="shared" ca="1" si="551"/>
        <v>-</v>
      </c>
      <c r="AQ648" s="817"/>
      <c r="AR648" s="794" t="str">
        <f t="shared" si="552"/>
        <v>НЕТЕЛЬ</v>
      </c>
      <c r="AS648" s="818"/>
      <c r="AT648" s="794" t="str">
        <f t="shared" si="553"/>
        <v>-</v>
      </c>
      <c r="AU648" s="819"/>
      <c r="AV648" s="820"/>
      <c r="AW648" s="821"/>
      <c r="AX648" s="821"/>
      <c r="AY648" s="969" t="str">
        <f t="shared" si="554"/>
        <v>-</v>
      </c>
      <c r="AZ648" s="966" t="str">
        <f t="shared" si="555"/>
        <v>-</v>
      </c>
      <c r="BA648" s="971" t="str">
        <f t="shared" si="556"/>
        <v>-</v>
      </c>
      <c r="BB648" s="975"/>
      <c r="BC648" s="821"/>
      <c r="BD648" s="821"/>
      <c r="BE648" s="963" t="str">
        <f t="shared" si="557"/>
        <v>-</v>
      </c>
      <c r="BF648" s="984"/>
      <c r="BG648" s="988"/>
      <c r="BH648" s="982"/>
      <c r="BI648" s="991"/>
      <c r="BJ648" s="991"/>
      <c r="BK648" s="993" t="str">
        <f t="shared" si="558"/>
        <v>-</v>
      </c>
      <c r="BL648" s="820">
        <v>42977</v>
      </c>
      <c r="BM648" s="821">
        <v>5</v>
      </c>
      <c r="BN648" s="822">
        <f t="shared" ca="1" si="559"/>
        <v>157</v>
      </c>
      <c r="BO648" s="823">
        <f t="shared" si="560"/>
        <v>13.833333333333334</v>
      </c>
      <c r="BP648" s="824"/>
      <c r="BQ648" s="821"/>
      <c r="BR648" s="822" t="str">
        <f t="shared" si="561"/>
        <v>-</v>
      </c>
      <c r="BS648" s="823" t="str">
        <f t="shared" si="562"/>
        <v>-</v>
      </c>
      <c r="BT648" s="825" t="str">
        <f t="shared" ca="1" si="563"/>
        <v>-</v>
      </c>
      <c r="BU648" s="826"/>
      <c r="BV648" s="827"/>
      <c r="BW648" s="828" t="str">
        <f t="shared" si="564"/>
        <v>Ж-Е НЕ ВАКЦ.</v>
      </c>
      <c r="BX648" s="829" t="str">
        <f t="shared" si="565"/>
        <v>-</v>
      </c>
      <c r="BY648" s="830" t="str">
        <f t="shared" ca="1" si="566"/>
        <v>-</v>
      </c>
      <c r="BZ648" s="831">
        <v>42892</v>
      </c>
      <c r="CA648" s="832">
        <v>5</v>
      </c>
      <c r="CB648" s="833">
        <f t="shared" ca="1" si="567"/>
        <v>242</v>
      </c>
      <c r="CC648" s="834" t="str">
        <f t="shared" ca="1" si="568"/>
        <v>-</v>
      </c>
      <c r="CD648" s="835">
        <f t="shared" si="569"/>
        <v>42913</v>
      </c>
      <c r="CE648" s="831">
        <v>42913</v>
      </c>
      <c r="CF648" s="832">
        <v>5</v>
      </c>
      <c r="CG648" s="833">
        <f t="shared" ca="1" si="570"/>
        <v>221</v>
      </c>
      <c r="CH648" s="836">
        <f t="shared" si="571"/>
        <v>0</v>
      </c>
      <c r="CI648" s="837" t="str">
        <f t="shared" si="572"/>
        <v>УСПЕШНО</v>
      </c>
      <c r="CJ648" s="838" t="str">
        <f t="shared" ca="1" si="573"/>
        <v>-</v>
      </c>
      <c r="CK648" s="831"/>
      <c r="CL648" s="832"/>
      <c r="CM648" s="833" t="str">
        <f t="shared" si="574"/>
        <v>-</v>
      </c>
      <c r="CN648" s="834" t="str">
        <f t="shared" si="575"/>
        <v>-</v>
      </c>
      <c r="CO648" s="830" t="str">
        <f t="shared" ca="1" si="576"/>
        <v>-</v>
      </c>
      <c r="CP648" s="839"/>
      <c r="CQ648" s="832"/>
      <c r="CR648" s="833" t="str">
        <f t="shared" si="577"/>
        <v>-</v>
      </c>
      <c r="CS648" s="833" t="str">
        <f t="shared" si="578"/>
        <v>-</v>
      </c>
      <c r="CT648" s="834" t="str">
        <f t="shared" si="579"/>
        <v>-</v>
      </c>
      <c r="CU648" s="835" t="str">
        <f t="shared" si="580"/>
        <v>-</v>
      </c>
      <c r="CV648" s="839"/>
      <c r="CW648" s="832"/>
      <c r="CX648" s="833" t="str">
        <f t="shared" si="581"/>
        <v>-</v>
      </c>
      <c r="CY648" s="840" t="str">
        <f t="shared" si="582"/>
        <v>-</v>
      </c>
      <c r="CZ648" s="833" t="str">
        <f t="shared" si="583"/>
        <v>-</v>
      </c>
      <c r="DA648" s="838" t="str">
        <f t="shared" ca="1" si="584"/>
        <v>-</v>
      </c>
      <c r="DB648" s="841"/>
      <c r="DC648" s="832"/>
    </row>
    <row r="649" spans="1:107" x14ac:dyDescent="0.25">
      <c r="A649" s="790">
        <v>651</v>
      </c>
      <c r="B649" s="791">
        <f t="shared" ca="1" si="533"/>
        <v>43134</v>
      </c>
      <c r="C649" s="29" t="s">
        <v>2554</v>
      </c>
      <c r="D649" s="59" t="s">
        <v>2586</v>
      </c>
      <c r="E649" s="794" t="s">
        <v>1563</v>
      </c>
      <c r="F649" s="795" t="s">
        <v>1580</v>
      </c>
      <c r="G649" s="845"/>
      <c r="H649" s="797" t="s">
        <v>603</v>
      </c>
      <c r="I649" s="798">
        <v>42564</v>
      </c>
      <c r="J649" s="799">
        <f t="shared" ca="1" si="534"/>
        <v>1.5616438356164384</v>
      </c>
      <c r="K649" s="799">
        <f t="shared" ca="1" si="535"/>
        <v>19</v>
      </c>
      <c r="L649" s="800">
        <f t="shared" ca="1" si="536"/>
        <v>570</v>
      </c>
      <c r="M649" s="801"/>
      <c r="N649" s="802"/>
      <c r="O649" s="803" t="str">
        <f t="shared" ca="1" si="537"/>
        <v>-</v>
      </c>
      <c r="P649" s="804"/>
      <c r="Q649" s="805" t="s">
        <v>1451</v>
      </c>
      <c r="R649" s="806" t="s">
        <v>2909</v>
      </c>
      <c r="S649" s="807">
        <v>42948</v>
      </c>
      <c r="T649" s="798">
        <v>42948</v>
      </c>
      <c r="U649" s="798" t="str">
        <f t="shared" si="538"/>
        <v>-</v>
      </c>
      <c r="V649" s="804" t="str">
        <f t="shared" ca="1" si="539"/>
        <v>-</v>
      </c>
      <c r="W649" s="808">
        <v>1</v>
      </c>
      <c r="X649" s="794" t="str">
        <f t="shared" si="532"/>
        <v>-</v>
      </c>
      <c r="Y649" s="794">
        <v>1</v>
      </c>
      <c r="Z649" s="809" t="str">
        <f t="shared" ca="1" si="540"/>
        <v>-----</v>
      </c>
      <c r="AA649" s="810" t="str">
        <f t="shared" ca="1" si="541"/>
        <v>-----</v>
      </c>
      <c r="AB649" s="804">
        <v>1</v>
      </c>
      <c r="AC649" s="811" t="str">
        <f t="shared" ca="1" si="542"/>
        <v>-----</v>
      </c>
      <c r="AD649" s="798">
        <v>43020</v>
      </c>
      <c r="AE649" s="794" t="str">
        <f t="shared" ca="1" si="543"/>
        <v>-</v>
      </c>
      <c r="AF649" s="798" t="str">
        <f t="shared" si="544"/>
        <v>-</v>
      </c>
      <c r="AG649" s="812" t="str">
        <f t="shared" si="545"/>
        <v>---------</v>
      </c>
      <c r="AH649" s="807">
        <v>43020</v>
      </c>
      <c r="AI649" s="807" t="str">
        <f t="shared" si="546"/>
        <v>-</v>
      </c>
      <c r="AJ649" s="807" t="str">
        <f t="shared" si="547"/>
        <v>-</v>
      </c>
      <c r="AK649" s="813"/>
      <c r="AL649" s="807">
        <f t="shared" si="548"/>
        <v>43207</v>
      </c>
      <c r="AM649" s="807">
        <f t="shared" si="549"/>
        <v>43228</v>
      </c>
      <c r="AN649" s="814">
        <f t="shared" ca="1" si="550"/>
        <v>-94</v>
      </c>
      <c r="AO649" s="815">
        <v>1</v>
      </c>
      <c r="AP649" s="816" t="str">
        <f t="shared" ca="1" si="551"/>
        <v>-</v>
      </c>
      <c r="AQ649" s="817"/>
      <c r="AR649" s="794" t="str">
        <f t="shared" si="552"/>
        <v>НЕТЕЛЬ</v>
      </c>
      <c r="AS649" s="818"/>
      <c r="AT649" s="794" t="str">
        <f t="shared" si="553"/>
        <v>-</v>
      </c>
      <c r="AU649" s="819"/>
      <c r="AV649" s="820"/>
      <c r="AW649" s="821"/>
      <c r="AX649" s="821"/>
      <c r="AY649" s="969" t="str">
        <f t="shared" si="554"/>
        <v>-</v>
      </c>
      <c r="AZ649" s="966" t="str">
        <f t="shared" si="555"/>
        <v>-</v>
      </c>
      <c r="BA649" s="971" t="str">
        <f t="shared" si="556"/>
        <v>-</v>
      </c>
      <c r="BB649" s="975"/>
      <c r="BC649" s="821"/>
      <c r="BD649" s="821"/>
      <c r="BE649" s="963" t="str">
        <f t="shared" si="557"/>
        <v>-</v>
      </c>
      <c r="BF649" s="984"/>
      <c r="BG649" s="988"/>
      <c r="BH649" s="982"/>
      <c r="BI649" s="991"/>
      <c r="BJ649" s="991"/>
      <c r="BK649" s="993" t="str">
        <f t="shared" si="558"/>
        <v>-</v>
      </c>
      <c r="BL649" s="820">
        <v>42977</v>
      </c>
      <c r="BM649" s="821">
        <v>5</v>
      </c>
      <c r="BN649" s="822">
        <f t="shared" ca="1" si="559"/>
        <v>157</v>
      </c>
      <c r="BO649" s="823">
        <f t="shared" si="560"/>
        <v>13.766666666666667</v>
      </c>
      <c r="BP649" s="824"/>
      <c r="BQ649" s="821"/>
      <c r="BR649" s="822" t="str">
        <f t="shared" si="561"/>
        <v>-</v>
      </c>
      <c r="BS649" s="823" t="str">
        <f t="shared" si="562"/>
        <v>-</v>
      </c>
      <c r="BT649" s="825" t="str">
        <f t="shared" ca="1" si="563"/>
        <v>-</v>
      </c>
      <c r="BU649" s="826"/>
      <c r="BV649" s="827"/>
      <c r="BW649" s="828" t="str">
        <f t="shared" si="564"/>
        <v>Ж-Е НЕ ВАКЦ.</v>
      </c>
      <c r="BX649" s="829" t="str">
        <f t="shared" si="565"/>
        <v>-</v>
      </c>
      <c r="BY649" s="830" t="str">
        <f t="shared" ca="1" si="566"/>
        <v>-</v>
      </c>
      <c r="BZ649" s="831">
        <v>42892</v>
      </c>
      <c r="CA649" s="832">
        <v>5</v>
      </c>
      <c r="CB649" s="833">
        <f t="shared" ca="1" si="567"/>
        <v>242</v>
      </c>
      <c r="CC649" s="834" t="str">
        <f t="shared" ca="1" si="568"/>
        <v>-</v>
      </c>
      <c r="CD649" s="835">
        <f t="shared" si="569"/>
        <v>42913</v>
      </c>
      <c r="CE649" s="831">
        <v>42913</v>
      </c>
      <c r="CF649" s="832">
        <v>5</v>
      </c>
      <c r="CG649" s="833">
        <f t="shared" ca="1" si="570"/>
        <v>221</v>
      </c>
      <c r="CH649" s="836">
        <f t="shared" si="571"/>
        <v>0</v>
      </c>
      <c r="CI649" s="837" t="str">
        <f t="shared" si="572"/>
        <v>УСПЕШНО</v>
      </c>
      <c r="CJ649" s="838" t="str">
        <f t="shared" ca="1" si="573"/>
        <v>-</v>
      </c>
      <c r="CK649" s="831"/>
      <c r="CL649" s="832"/>
      <c r="CM649" s="833" t="str">
        <f t="shared" si="574"/>
        <v>-</v>
      </c>
      <c r="CN649" s="834" t="str">
        <f t="shared" si="575"/>
        <v>-</v>
      </c>
      <c r="CO649" s="830" t="str">
        <f t="shared" ca="1" si="576"/>
        <v>-</v>
      </c>
      <c r="CP649" s="839"/>
      <c r="CQ649" s="832"/>
      <c r="CR649" s="833" t="str">
        <f t="shared" si="577"/>
        <v>-</v>
      </c>
      <c r="CS649" s="833" t="str">
        <f t="shared" si="578"/>
        <v>-</v>
      </c>
      <c r="CT649" s="834" t="str">
        <f t="shared" si="579"/>
        <v>-</v>
      </c>
      <c r="CU649" s="835" t="str">
        <f t="shared" si="580"/>
        <v>-</v>
      </c>
      <c r="CV649" s="839"/>
      <c r="CW649" s="832"/>
      <c r="CX649" s="833" t="str">
        <f t="shared" si="581"/>
        <v>-</v>
      </c>
      <c r="CY649" s="840" t="str">
        <f t="shared" si="582"/>
        <v>-</v>
      </c>
      <c r="CZ649" s="833" t="str">
        <f t="shared" si="583"/>
        <v>-</v>
      </c>
      <c r="DA649" s="838" t="str">
        <f t="shared" ca="1" si="584"/>
        <v>-</v>
      </c>
      <c r="DB649" s="841"/>
      <c r="DC649" s="832"/>
    </row>
    <row r="650" spans="1:107" x14ac:dyDescent="0.25">
      <c r="A650" s="790">
        <v>652</v>
      </c>
      <c r="B650" s="791">
        <f t="shared" ca="1" si="533"/>
        <v>43134</v>
      </c>
      <c r="C650" s="29" t="s">
        <v>2554</v>
      </c>
      <c r="D650" s="59" t="s">
        <v>2586</v>
      </c>
      <c r="E650" s="794" t="s">
        <v>1563</v>
      </c>
      <c r="F650" s="795" t="s">
        <v>1584</v>
      </c>
      <c r="G650" s="845"/>
      <c r="H650" s="797" t="s">
        <v>603</v>
      </c>
      <c r="I650" s="798">
        <v>42564</v>
      </c>
      <c r="J650" s="799">
        <f t="shared" ca="1" si="534"/>
        <v>1.5616438356164384</v>
      </c>
      <c r="K650" s="799">
        <f t="shared" ca="1" si="535"/>
        <v>19</v>
      </c>
      <c r="L650" s="800">
        <f t="shared" ca="1" si="536"/>
        <v>570</v>
      </c>
      <c r="M650" s="801"/>
      <c r="N650" s="802"/>
      <c r="O650" s="803" t="str">
        <f t="shared" ca="1" si="537"/>
        <v>-</v>
      </c>
      <c r="P650" s="804"/>
      <c r="Q650" s="805" t="s">
        <v>2366</v>
      </c>
      <c r="R650" s="806" t="s">
        <v>2435</v>
      </c>
      <c r="S650" s="807">
        <v>42930</v>
      </c>
      <c r="T650" s="798">
        <v>42962</v>
      </c>
      <c r="U650" s="798" t="str">
        <f t="shared" si="538"/>
        <v>-</v>
      </c>
      <c r="V650" s="804" t="str">
        <f t="shared" ca="1" si="539"/>
        <v>-</v>
      </c>
      <c r="W650" s="808">
        <v>2</v>
      </c>
      <c r="X650" s="794" t="str">
        <f t="shared" si="532"/>
        <v>-</v>
      </c>
      <c r="Y650" s="794">
        <v>1</v>
      </c>
      <c r="Z650" s="809" t="str">
        <f t="shared" ca="1" si="540"/>
        <v>ПОДЛЕЖИТ ПЕРЕПРОВЕРКЕ</v>
      </c>
      <c r="AA650" s="810">
        <f t="shared" ca="1" si="541"/>
        <v>172</v>
      </c>
      <c r="AB650" s="804"/>
      <c r="AC650" s="811">
        <f t="shared" ca="1" si="542"/>
        <v>43034</v>
      </c>
      <c r="AD650" s="798"/>
      <c r="AE650" s="794" t="str">
        <f t="shared" ca="1" si="543"/>
        <v>-</v>
      </c>
      <c r="AF650" s="798" t="str">
        <f t="shared" si="544"/>
        <v>-</v>
      </c>
      <c r="AG650" s="812" t="str">
        <f t="shared" si="545"/>
        <v>---------</v>
      </c>
      <c r="AH650" s="807">
        <v>43032</v>
      </c>
      <c r="AI650" s="807" t="str">
        <f t="shared" si="546"/>
        <v>-</v>
      </c>
      <c r="AJ650" s="807" t="str">
        <f t="shared" si="547"/>
        <v>-</v>
      </c>
      <c r="AK650" s="813"/>
      <c r="AL650" s="807">
        <f t="shared" si="548"/>
        <v>43221</v>
      </c>
      <c r="AM650" s="807">
        <f t="shared" si="549"/>
        <v>43242</v>
      </c>
      <c r="AN650" s="814">
        <f t="shared" ca="1" si="550"/>
        <v>-108</v>
      </c>
      <c r="AO650" s="815">
        <v>1</v>
      </c>
      <c r="AP650" s="816" t="str">
        <f t="shared" ca="1" si="551"/>
        <v>-</v>
      </c>
      <c r="AQ650" s="817"/>
      <c r="AR650" s="794" t="str">
        <f t="shared" si="552"/>
        <v>НЕТЕЛЬ</v>
      </c>
      <c r="AS650" s="818"/>
      <c r="AT650" s="794" t="str">
        <f t="shared" si="553"/>
        <v>-</v>
      </c>
      <c r="AU650" s="819"/>
      <c r="AV650" s="820"/>
      <c r="AW650" s="821"/>
      <c r="AX650" s="821"/>
      <c r="AY650" s="969" t="str">
        <f t="shared" si="554"/>
        <v>-</v>
      </c>
      <c r="AZ650" s="966" t="str">
        <f t="shared" si="555"/>
        <v>-</v>
      </c>
      <c r="BA650" s="971" t="str">
        <f t="shared" si="556"/>
        <v>-</v>
      </c>
      <c r="BB650" s="975"/>
      <c r="BC650" s="821"/>
      <c r="BD650" s="821"/>
      <c r="BE650" s="963" t="str">
        <f t="shared" si="557"/>
        <v>-</v>
      </c>
      <c r="BF650" s="984"/>
      <c r="BG650" s="988"/>
      <c r="BH650" s="982"/>
      <c r="BI650" s="991"/>
      <c r="BJ650" s="991"/>
      <c r="BK650" s="993" t="str">
        <f t="shared" si="558"/>
        <v>-</v>
      </c>
      <c r="BL650" s="820">
        <v>42977</v>
      </c>
      <c r="BM650" s="821">
        <v>5</v>
      </c>
      <c r="BN650" s="822">
        <f t="shared" ca="1" si="559"/>
        <v>157</v>
      </c>
      <c r="BO650" s="823">
        <f t="shared" si="560"/>
        <v>13.766666666666667</v>
      </c>
      <c r="BP650" s="824"/>
      <c r="BQ650" s="821"/>
      <c r="BR650" s="822" t="str">
        <f t="shared" si="561"/>
        <v>-</v>
      </c>
      <c r="BS650" s="823" t="str">
        <f t="shared" si="562"/>
        <v>-</v>
      </c>
      <c r="BT650" s="825" t="str">
        <f t="shared" ca="1" si="563"/>
        <v>-</v>
      </c>
      <c r="BU650" s="826"/>
      <c r="BV650" s="827"/>
      <c r="BW650" s="828" t="str">
        <f t="shared" si="564"/>
        <v>Ж-Е НЕ ВАКЦ.</v>
      </c>
      <c r="BX650" s="829" t="str">
        <f t="shared" si="565"/>
        <v>-</v>
      </c>
      <c r="BY650" s="830" t="str">
        <f t="shared" ca="1" si="566"/>
        <v>-</v>
      </c>
      <c r="BZ650" s="831">
        <v>42891</v>
      </c>
      <c r="CA650" s="832">
        <v>5</v>
      </c>
      <c r="CB650" s="833">
        <f t="shared" ca="1" si="567"/>
        <v>243</v>
      </c>
      <c r="CC650" s="834" t="str">
        <f t="shared" ca="1" si="568"/>
        <v>-</v>
      </c>
      <c r="CD650" s="835">
        <f t="shared" si="569"/>
        <v>42912</v>
      </c>
      <c r="CE650" s="831">
        <v>42912</v>
      </c>
      <c r="CF650" s="832">
        <v>5</v>
      </c>
      <c r="CG650" s="833">
        <f t="shared" ca="1" si="570"/>
        <v>222</v>
      </c>
      <c r="CH650" s="836">
        <f t="shared" si="571"/>
        <v>0</v>
      </c>
      <c r="CI650" s="837" t="str">
        <f t="shared" si="572"/>
        <v>УСПЕШНО</v>
      </c>
      <c r="CJ650" s="838" t="str">
        <f t="shared" ca="1" si="573"/>
        <v>-</v>
      </c>
      <c r="CK650" s="831"/>
      <c r="CL650" s="832"/>
      <c r="CM650" s="833" t="str">
        <f t="shared" si="574"/>
        <v>-</v>
      </c>
      <c r="CN650" s="834" t="str">
        <f t="shared" si="575"/>
        <v>-</v>
      </c>
      <c r="CO650" s="830" t="str">
        <f t="shared" ca="1" si="576"/>
        <v>-</v>
      </c>
      <c r="CP650" s="839"/>
      <c r="CQ650" s="832"/>
      <c r="CR650" s="833" t="str">
        <f t="shared" si="577"/>
        <v>-</v>
      </c>
      <c r="CS650" s="833" t="str">
        <f t="shared" si="578"/>
        <v>-</v>
      </c>
      <c r="CT650" s="834" t="str">
        <f t="shared" si="579"/>
        <v>-</v>
      </c>
      <c r="CU650" s="835" t="str">
        <f t="shared" si="580"/>
        <v>-</v>
      </c>
      <c r="CV650" s="839"/>
      <c r="CW650" s="832"/>
      <c r="CX650" s="833" t="str">
        <f t="shared" si="581"/>
        <v>-</v>
      </c>
      <c r="CY650" s="840" t="str">
        <f t="shared" si="582"/>
        <v>-</v>
      </c>
      <c r="CZ650" s="833" t="str">
        <f t="shared" si="583"/>
        <v>-</v>
      </c>
      <c r="DA650" s="838" t="str">
        <f t="shared" ca="1" si="584"/>
        <v>-</v>
      </c>
      <c r="DB650" s="841"/>
      <c r="DC650" s="832"/>
    </row>
    <row r="651" spans="1:107" x14ac:dyDescent="0.25">
      <c r="A651" s="790">
        <v>653</v>
      </c>
      <c r="B651" s="791">
        <f t="shared" ca="1" si="533"/>
        <v>43134</v>
      </c>
      <c r="C651" s="29" t="s">
        <v>2554</v>
      </c>
      <c r="D651" s="59" t="s">
        <v>2586</v>
      </c>
      <c r="E651" s="794" t="s">
        <v>1563</v>
      </c>
      <c r="F651" s="795" t="s">
        <v>1590</v>
      </c>
      <c r="G651" s="845"/>
      <c r="H651" s="797" t="s">
        <v>603</v>
      </c>
      <c r="I651" s="798">
        <v>42566</v>
      </c>
      <c r="J651" s="799">
        <f t="shared" ca="1" si="534"/>
        <v>1.5561643835616439</v>
      </c>
      <c r="K651" s="799">
        <f t="shared" ca="1" si="535"/>
        <v>18.933333333333334</v>
      </c>
      <c r="L651" s="800">
        <f t="shared" ca="1" si="536"/>
        <v>568</v>
      </c>
      <c r="M651" s="801"/>
      <c r="N651" s="802"/>
      <c r="O651" s="803" t="str">
        <f t="shared" ca="1" si="537"/>
        <v>-</v>
      </c>
      <c r="P651" s="804"/>
      <c r="Q651" s="805" t="s">
        <v>2366</v>
      </c>
      <c r="R651" s="806" t="s">
        <v>2909</v>
      </c>
      <c r="S651" s="807">
        <v>42928</v>
      </c>
      <c r="T651" s="798">
        <v>42928</v>
      </c>
      <c r="U651" s="798" t="str">
        <f t="shared" si="538"/>
        <v>-</v>
      </c>
      <c r="V651" s="804" t="str">
        <f t="shared" ca="1" si="539"/>
        <v>-</v>
      </c>
      <c r="W651" s="808">
        <v>1</v>
      </c>
      <c r="X651" s="794" t="str">
        <f t="shared" si="532"/>
        <v>-</v>
      </c>
      <c r="Y651" s="794">
        <v>1</v>
      </c>
      <c r="Z651" s="809" t="str">
        <f t="shared" ca="1" si="540"/>
        <v>ПОДЛЕЖИТ ПЕРЕПРОВЕРКЕ</v>
      </c>
      <c r="AA651" s="810">
        <f t="shared" ca="1" si="541"/>
        <v>206</v>
      </c>
      <c r="AB651" s="804"/>
      <c r="AC651" s="811">
        <f t="shared" ca="1" si="542"/>
        <v>43000</v>
      </c>
      <c r="AD651" s="798"/>
      <c r="AE651" s="794" t="str">
        <f t="shared" ca="1" si="543"/>
        <v>-</v>
      </c>
      <c r="AF651" s="798" t="str">
        <f t="shared" si="544"/>
        <v>-</v>
      </c>
      <c r="AG651" s="812" t="str">
        <f t="shared" si="545"/>
        <v>---------</v>
      </c>
      <c r="AH651" s="807">
        <v>43001</v>
      </c>
      <c r="AI651" s="807" t="str">
        <f t="shared" si="546"/>
        <v>-</v>
      </c>
      <c r="AJ651" s="807" t="str">
        <f t="shared" si="547"/>
        <v>-</v>
      </c>
      <c r="AK651" s="813"/>
      <c r="AL651" s="807">
        <f t="shared" si="548"/>
        <v>43187</v>
      </c>
      <c r="AM651" s="807">
        <f t="shared" si="549"/>
        <v>43208</v>
      </c>
      <c r="AN651" s="814">
        <f t="shared" ca="1" si="550"/>
        <v>-74</v>
      </c>
      <c r="AO651" s="815">
        <v>1</v>
      </c>
      <c r="AP651" s="816" t="str">
        <f t="shared" ca="1" si="551"/>
        <v>-</v>
      </c>
      <c r="AQ651" s="817"/>
      <c r="AR651" s="794" t="str">
        <f t="shared" si="552"/>
        <v>НЕТЕЛЬ</v>
      </c>
      <c r="AS651" s="818"/>
      <c r="AT651" s="794" t="str">
        <f t="shared" si="553"/>
        <v>-</v>
      </c>
      <c r="AU651" s="819"/>
      <c r="AV651" s="820"/>
      <c r="AW651" s="821"/>
      <c r="AX651" s="821"/>
      <c r="AY651" s="969" t="str">
        <f t="shared" si="554"/>
        <v>-</v>
      </c>
      <c r="AZ651" s="966" t="str">
        <f t="shared" si="555"/>
        <v>-</v>
      </c>
      <c r="BA651" s="971" t="str">
        <f t="shared" si="556"/>
        <v>-</v>
      </c>
      <c r="BB651" s="975"/>
      <c r="BC651" s="821"/>
      <c r="BD651" s="821"/>
      <c r="BE651" s="963" t="str">
        <f t="shared" si="557"/>
        <v>-</v>
      </c>
      <c r="BF651" s="984"/>
      <c r="BG651" s="988"/>
      <c r="BH651" s="982"/>
      <c r="BI651" s="991"/>
      <c r="BJ651" s="991"/>
      <c r="BK651" s="993" t="str">
        <f t="shared" si="558"/>
        <v>-</v>
      </c>
      <c r="BL651" s="820">
        <v>42977</v>
      </c>
      <c r="BM651" s="821">
        <v>5</v>
      </c>
      <c r="BN651" s="822">
        <f t="shared" ca="1" si="559"/>
        <v>157</v>
      </c>
      <c r="BO651" s="823">
        <f t="shared" si="560"/>
        <v>13.7</v>
      </c>
      <c r="BP651" s="824"/>
      <c r="BQ651" s="821"/>
      <c r="BR651" s="822" t="str">
        <f t="shared" si="561"/>
        <v>-</v>
      </c>
      <c r="BS651" s="823" t="str">
        <f t="shared" si="562"/>
        <v>-</v>
      </c>
      <c r="BT651" s="825" t="str">
        <f t="shared" ca="1" si="563"/>
        <v>-</v>
      </c>
      <c r="BU651" s="826"/>
      <c r="BV651" s="827"/>
      <c r="BW651" s="828" t="str">
        <f t="shared" si="564"/>
        <v>Ж-Е НЕ ВАКЦ.</v>
      </c>
      <c r="BX651" s="829" t="str">
        <f t="shared" si="565"/>
        <v>-</v>
      </c>
      <c r="BY651" s="830" t="str">
        <f t="shared" ca="1" si="566"/>
        <v>-</v>
      </c>
      <c r="BZ651" s="831">
        <v>42892</v>
      </c>
      <c r="CA651" s="832">
        <v>5</v>
      </c>
      <c r="CB651" s="833">
        <f t="shared" ca="1" si="567"/>
        <v>242</v>
      </c>
      <c r="CC651" s="834" t="str">
        <f t="shared" ca="1" si="568"/>
        <v>-</v>
      </c>
      <c r="CD651" s="835">
        <f t="shared" si="569"/>
        <v>42913</v>
      </c>
      <c r="CE651" s="831">
        <v>42913</v>
      </c>
      <c r="CF651" s="832">
        <v>5</v>
      </c>
      <c r="CG651" s="833">
        <f t="shared" ca="1" si="570"/>
        <v>221</v>
      </c>
      <c r="CH651" s="836">
        <f t="shared" si="571"/>
        <v>0</v>
      </c>
      <c r="CI651" s="837" t="str">
        <f t="shared" si="572"/>
        <v>УСПЕШНО</v>
      </c>
      <c r="CJ651" s="838" t="str">
        <f t="shared" ca="1" si="573"/>
        <v>-</v>
      </c>
      <c r="CK651" s="831"/>
      <c r="CL651" s="832"/>
      <c r="CM651" s="833" t="str">
        <f t="shared" si="574"/>
        <v>-</v>
      </c>
      <c r="CN651" s="834" t="str">
        <f t="shared" si="575"/>
        <v>-</v>
      </c>
      <c r="CO651" s="830" t="str">
        <f t="shared" ca="1" si="576"/>
        <v>-</v>
      </c>
      <c r="CP651" s="839"/>
      <c r="CQ651" s="832"/>
      <c r="CR651" s="833" t="str">
        <f t="shared" si="577"/>
        <v>-</v>
      </c>
      <c r="CS651" s="833" t="str">
        <f t="shared" si="578"/>
        <v>-</v>
      </c>
      <c r="CT651" s="834" t="str">
        <f t="shared" si="579"/>
        <v>-</v>
      </c>
      <c r="CU651" s="835" t="str">
        <f t="shared" si="580"/>
        <v>-</v>
      </c>
      <c r="CV651" s="839"/>
      <c r="CW651" s="832"/>
      <c r="CX651" s="833" t="str">
        <f t="shared" si="581"/>
        <v>-</v>
      </c>
      <c r="CY651" s="840" t="str">
        <f t="shared" si="582"/>
        <v>-</v>
      </c>
      <c r="CZ651" s="833" t="str">
        <f t="shared" si="583"/>
        <v>-</v>
      </c>
      <c r="DA651" s="838" t="str">
        <f t="shared" ca="1" si="584"/>
        <v>-</v>
      </c>
      <c r="DB651" s="841"/>
      <c r="DC651" s="832"/>
    </row>
    <row r="652" spans="1:107" x14ac:dyDescent="0.25">
      <c r="A652" s="790">
        <v>654</v>
      </c>
      <c r="B652" s="791">
        <f t="shared" ca="1" si="533"/>
        <v>43134</v>
      </c>
      <c r="C652" s="29" t="s">
        <v>2554</v>
      </c>
      <c r="D652" s="59" t="s">
        <v>2586</v>
      </c>
      <c r="E652" s="794" t="s">
        <v>1563</v>
      </c>
      <c r="F652" s="795" t="s">
        <v>1600</v>
      </c>
      <c r="G652" s="845"/>
      <c r="H652" s="797" t="s">
        <v>603</v>
      </c>
      <c r="I652" s="798">
        <v>42570</v>
      </c>
      <c r="J652" s="799">
        <f t="shared" ca="1" si="534"/>
        <v>1.5452054794520549</v>
      </c>
      <c r="K652" s="799">
        <f t="shared" ca="1" si="535"/>
        <v>18.8</v>
      </c>
      <c r="L652" s="800">
        <f t="shared" ca="1" si="536"/>
        <v>564</v>
      </c>
      <c r="M652" s="801"/>
      <c r="N652" s="802"/>
      <c r="O652" s="803" t="str">
        <f t="shared" ca="1" si="537"/>
        <v>-</v>
      </c>
      <c r="P652" s="804"/>
      <c r="Q652" s="805" t="s">
        <v>2366</v>
      </c>
      <c r="R652" s="806" t="s">
        <v>2909</v>
      </c>
      <c r="S652" s="807">
        <v>42939</v>
      </c>
      <c r="T652" s="798">
        <v>42939</v>
      </c>
      <c r="U652" s="798" t="str">
        <f t="shared" si="538"/>
        <v>-</v>
      </c>
      <c r="V652" s="804" t="str">
        <f t="shared" ca="1" si="539"/>
        <v>-</v>
      </c>
      <c r="W652" s="808">
        <v>1</v>
      </c>
      <c r="X652" s="794" t="str">
        <f t="shared" si="532"/>
        <v>-</v>
      </c>
      <c r="Y652" s="794">
        <v>1</v>
      </c>
      <c r="Z652" s="809" t="str">
        <f t="shared" ca="1" si="540"/>
        <v>ПОДЛЕЖИТ ПЕРЕПРОВЕРКЕ</v>
      </c>
      <c r="AA652" s="810">
        <f t="shared" ca="1" si="541"/>
        <v>195</v>
      </c>
      <c r="AB652" s="804"/>
      <c r="AC652" s="811">
        <f t="shared" ca="1" si="542"/>
        <v>43011</v>
      </c>
      <c r="AD652" s="798"/>
      <c r="AE652" s="794" t="str">
        <f t="shared" ca="1" si="543"/>
        <v>-</v>
      </c>
      <c r="AF652" s="798" t="str">
        <f t="shared" si="544"/>
        <v>-</v>
      </c>
      <c r="AG652" s="812" t="str">
        <f t="shared" si="545"/>
        <v>---------</v>
      </c>
      <c r="AH652" s="807">
        <v>43001</v>
      </c>
      <c r="AI652" s="807" t="str">
        <f t="shared" si="546"/>
        <v>-</v>
      </c>
      <c r="AJ652" s="807" t="str">
        <f t="shared" si="547"/>
        <v>-</v>
      </c>
      <c r="AK652" s="813"/>
      <c r="AL652" s="807">
        <f t="shared" si="548"/>
        <v>43198</v>
      </c>
      <c r="AM652" s="807">
        <f t="shared" si="549"/>
        <v>43219</v>
      </c>
      <c r="AN652" s="814">
        <f t="shared" ca="1" si="550"/>
        <v>-85</v>
      </c>
      <c r="AO652" s="815">
        <v>1</v>
      </c>
      <c r="AP652" s="816" t="str">
        <f t="shared" ca="1" si="551"/>
        <v>-</v>
      </c>
      <c r="AQ652" s="817"/>
      <c r="AR652" s="794" t="str">
        <f t="shared" si="552"/>
        <v>НЕТЕЛЬ</v>
      </c>
      <c r="AS652" s="818"/>
      <c r="AT652" s="794" t="str">
        <f t="shared" si="553"/>
        <v>-</v>
      </c>
      <c r="AU652" s="819"/>
      <c r="AV652" s="820"/>
      <c r="AW652" s="821"/>
      <c r="AX652" s="821"/>
      <c r="AY652" s="969" t="str">
        <f t="shared" si="554"/>
        <v>-</v>
      </c>
      <c r="AZ652" s="966" t="str">
        <f t="shared" si="555"/>
        <v>-</v>
      </c>
      <c r="BA652" s="971" t="str">
        <f t="shared" si="556"/>
        <v>-</v>
      </c>
      <c r="BB652" s="975"/>
      <c r="BC652" s="821"/>
      <c r="BD652" s="821"/>
      <c r="BE652" s="963" t="str">
        <f t="shared" si="557"/>
        <v>-</v>
      </c>
      <c r="BF652" s="984"/>
      <c r="BG652" s="988"/>
      <c r="BH652" s="982"/>
      <c r="BI652" s="991"/>
      <c r="BJ652" s="991"/>
      <c r="BK652" s="993" t="str">
        <f t="shared" si="558"/>
        <v>-</v>
      </c>
      <c r="BL652" s="820">
        <v>42977</v>
      </c>
      <c r="BM652" s="821">
        <v>5</v>
      </c>
      <c r="BN652" s="822">
        <f t="shared" ca="1" si="559"/>
        <v>157</v>
      </c>
      <c r="BO652" s="823">
        <f t="shared" si="560"/>
        <v>13.566666666666666</v>
      </c>
      <c r="BP652" s="824"/>
      <c r="BQ652" s="821"/>
      <c r="BR652" s="822" t="str">
        <f t="shared" si="561"/>
        <v>-</v>
      </c>
      <c r="BS652" s="823" t="str">
        <f t="shared" si="562"/>
        <v>-</v>
      </c>
      <c r="BT652" s="825" t="str">
        <f t="shared" ca="1" si="563"/>
        <v>-</v>
      </c>
      <c r="BU652" s="826"/>
      <c r="BV652" s="827"/>
      <c r="BW652" s="828" t="str">
        <f t="shared" si="564"/>
        <v>Ж-Е НЕ ВАКЦ.</v>
      </c>
      <c r="BX652" s="829" t="str">
        <f t="shared" si="565"/>
        <v>-</v>
      </c>
      <c r="BY652" s="830" t="str">
        <f t="shared" ca="1" si="566"/>
        <v>-</v>
      </c>
      <c r="BZ652" s="831">
        <v>42891</v>
      </c>
      <c r="CA652" s="832">
        <v>5</v>
      </c>
      <c r="CB652" s="833">
        <f t="shared" ca="1" si="567"/>
        <v>243</v>
      </c>
      <c r="CC652" s="834" t="str">
        <f t="shared" ca="1" si="568"/>
        <v>-</v>
      </c>
      <c r="CD652" s="835">
        <f t="shared" si="569"/>
        <v>42912</v>
      </c>
      <c r="CE652" s="831">
        <v>42912</v>
      </c>
      <c r="CF652" s="832">
        <v>5</v>
      </c>
      <c r="CG652" s="833">
        <f t="shared" ca="1" si="570"/>
        <v>222</v>
      </c>
      <c r="CH652" s="836">
        <f t="shared" si="571"/>
        <v>0</v>
      </c>
      <c r="CI652" s="837" t="str">
        <f t="shared" si="572"/>
        <v>УСПЕШНО</v>
      </c>
      <c r="CJ652" s="838" t="str">
        <f t="shared" ca="1" si="573"/>
        <v>-</v>
      </c>
      <c r="CK652" s="831"/>
      <c r="CL652" s="832"/>
      <c r="CM652" s="833" t="str">
        <f t="shared" si="574"/>
        <v>-</v>
      </c>
      <c r="CN652" s="834" t="str">
        <f t="shared" si="575"/>
        <v>-</v>
      </c>
      <c r="CO652" s="830" t="str">
        <f t="shared" ca="1" si="576"/>
        <v>-</v>
      </c>
      <c r="CP652" s="839"/>
      <c r="CQ652" s="832"/>
      <c r="CR652" s="833" t="str">
        <f t="shared" si="577"/>
        <v>-</v>
      </c>
      <c r="CS652" s="833" t="str">
        <f t="shared" si="578"/>
        <v>-</v>
      </c>
      <c r="CT652" s="834" t="str">
        <f t="shared" si="579"/>
        <v>-</v>
      </c>
      <c r="CU652" s="835" t="str">
        <f t="shared" si="580"/>
        <v>-</v>
      </c>
      <c r="CV652" s="839"/>
      <c r="CW652" s="832"/>
      <c r="CX652" s="833" t="str">
        <f t="shared" si="581"/>
        <v>-</v>
      </c>
      <c r="CY652" s="840" t="str">
        <f t="shared" si="582"/>
        <v>-</v>
      </c>
      <c r="CZ652" s="833" t="str">
        <f t="shared" si="583"/>
        <v>-</v>
      </c>
      <c r="DA652" s="838" t="str">
        <f t="shared" ca="1" si="584"/>
        <v>-</v>
      </c>
      <c r="DB652" s="841"/>
      <c r="DC652" s="832"/>
    </row>
    <row r="653" spans="1:107" x14ac:dyDescent="0.25">
      <c r="A653" s="790">
        <v>655</v>
      </c>
      <c r="B653" s="791">
        <f t="shared" ca="1" si="533"/>
        <v>43134</v>
      </c>
      <c r="C653" s="29" t="s">
        <v>2554</v>
      </c>
      <c r="D653" s="59" t="s">
        <v>2586</v>
      </c>
      <c r="E653" s="794" t="s">
        <v>1563</v>
      </c>
      <c r="F653" s="795" t="s">
        <v>1601</v>
      </c>
      <c r="G653" s="845"/>
      <c r="H653" s="797" t="s">
        <v>603</v>
      </c>
      <c r="I653" s="798">
        <v>42570</v>
      </c>
      <c r="J653" s="799">
        <f t="shared" ca="1" si="534"/>
        <v>1.5452054794520549</v>
      </c>
      <c r="K653" s="799">
        <f t="shared" ca="1" si="535"/>
        <v>18.8</v>
      </c>
      <c r="L653" s="800">
        <f t="shared" ca="1" si="536"/>
        <v>564</v>
      </c>
      <c r="M653" s="801"/>
      <c r="N653" s="802"/>
      <c r="O653" s="803" t="str">
        <f t="shared" ca="1" si="537"/>
        <v>-</v>
      </c>
      <c r="P653" s="804"/>
      <c r="Q653" s="805" t="s">
        <v>2366</v>
      </c>
      <c r="R653" s="806" t="s">
        <v>2909</v>
      </c>
      <c r="S653" s="807">
        <v>42945</v>
      </c>
      <c r="T653" s="798">
        <v>42945</v>
      </c>
      <c r="U653" s="798" t="str">
        <f t="shared" si="538"/>
        <v>-</v>
      </c>
      <c r="V653" s="804" t="str">
        <f t="shared" ca="1" si="539"/>
        <v>-</v>
      </c>
      <c r="W653" s="808">
        <v>1</v>
      </c>
      <c r="X653" s="794" t="str">
        <f t="shared" si="532"/>
        <v>-</v>
      </c>
      <c r="Y653" s="794">
        <v>1</v>
      </c>
      <c r="Z653" s="809" t="str">
        <f t="shared" ca="1" si="540"/>
        <v>-----</v>
      </c>
      <c r="AA653" s="810" t="str">
        <f t="shared" ca="1" si="541"/>
        <v>-----</v>
      </c>
      <c r="AB653" s="804">
        <v>1</v>
      </c>
      <c r="AC653" s="811" t="str">
        <f t="shared" ca="1" si="542"/>
        <v>-----</v>
      </c>
      <c r="AD653" s="798">
        <v>43020</v>
      </c>
      <c r="AE653" s="794" t="str">
        <f t="shared" ca="1" si="543"/>
        <v>-</v>
      </c>
      <c r="AF653" s="798" t="str">
        <f t="shared" si="544"/>
        <v>-</v>
      </c>
      <c r="AG653" s="812" t="str">
        <f t="shared" si="545"/>
        <v>---------</v>
      </c>
      <c r="AH653" s="807">
        <v>43020</v>
      </c>
      <c r="AI653" s="807" t="str">
        <f t="shared" si="546"/>
        <v>-</v>
      </c>
      <c r="AJ653" s="807" t="str">
        <f t="shared" si="547"/>
        <v>-</v>
      </c>
      <c r="AK653" s="813"/>
      <c r="AL653" s="807">
        <f t="shared" si="548"/>
        <v>43204</v>
      </c>
      <c r="AM653" s="807">
        <f t="shared" si="549"/>
        <v>43225</v>
      </c>
      <c r="AN653" s="814">
        <f t="shared" ca="1" si="550"/>
        <v>-91</v>
      </c>
      <c r="AO653" s="815">
        <v>1</v>
      </c>
      <c r="AP653" s="816" t="str">
        <f t="shared" ca="1" si="551"/>
        <v>-</v>
      </c>
      <c r="AQ653" s="817"/>
      <c r="AR653" s="794" t="str">
        <f t="shared" si="552"/>
        <v>НЕТЕЛЬ</v>
      </c>
      <c r="AS653" s="818"/>
      <c r="AT653" s="794" t="str">
        <f t="shared" si="553"/>
        <v>-</v>
      </c>
      <c r="AU653" s="819"/>
      <c r="AV653" s="820"/>
      <c r="AW653" s="821"/>
      <c r="AX653" s="821"/>
      <c r="AY653" s="969" t="str">
        <f t="shared" si="554"/>
        <v>-</v>
      </c>
      <c r="AZ653" s="966" t="str">
        <f t="shared" si="555"/>
        <v>-</v>
      </c>
      <c r="BA653" s="971" t="str">
        <f t="shared" si="556"/>
        <v>-</v>
      </c>
      <c r="BB653" s="975"/>
      <c r="BC653" s="821"/>
      <c r="BD653" s="821"/>
      <c r="BE653" s="963" t="str">
        <f t="shared" si="557"/>
        <v>-</v>
      </c>
      <c r="BF653" s="984"/>
      <c r="BG653" s="988"/>
      <c r="BH653" s="982"/>
      <c r="BI653" s="991"/>
      <c r="BJ653" s="991"/>
      <c r="BK653" s="993" t="str">
        <f t="shared" si="558"/>
        <v>-</v>
      </c>
      <c r="BL653" s="820">
        <v>42977</v>
      </c>
      <c r="BM653" s="821">
        <v>5</v>
      </c>
      <c r="BN653" s="822">
        <f t="shared" ca="1" si="559"/>
        <v>157</v>
      </c>
      <c r="BO653" s="823">
        <f t="shared" si="560"/>
        <v>13.566666666666666</v>
      </c>
      <c r="BP653" s="824"/>
      <c r="BQ653" s="821"/>
      <c r="BR653" s="822" t="str">
        <f t="shared" si="561"/>
        <v>-</v>
      </c>
      <c r="BS653" s="823" t="str">
        <f t="shared" si="562"/>
        <v>-</v>
      </c>
      <c r="BT653" s="825" t="str">
        <f t="shared" ca="1" si="563"/>
        <v>-</v>
      </c>
      <c r="BU653" s="826"/>
      <c r="BV653" s="827"/>
      <c r="BW653" s="828" t="str">
        <f t="shared" si="564"/>
        <v>Ж-Е НЕ ВАКЦ.</v>
      </c>
      <c r="BX653" s="829" t="str">
        <f t="shared" si="565"/>
        <v>-</v>
      </c>
      <c r="BY653" s="830" t="str">
        <f t="shared" ca="1" si="566"/>
        <v>-</v>
      </c>
      <c r="BZ653" s="831">
        <v>42891</v>
      </c>
      <c r="CA653" s="832">
        <v>5</v>
      </c>
      <c r="CB653" s="833">
        <f t="shared" ca="1" si="567"/>
        <v>243</v>
      </c>
      <c r="CC653" s="834" t="str">
        <f t="shared" ca="1" si="568"/>
        <v>-</v>
      </c>
      <c r="CD653" s="835">
        <f t="shared" si="569"/>
        <v>42912</v>
      </c>
      <c r="CE653" s="831">
        <v>42912</v>
      </c>
      <c r="CF653" s="832">
        <v>5</v>
      </c>
      <c r="CG653" s="833">
        <f t="shared" ca="1" si="570"/>
        <v>222</v>
      </c>
      <c r="CH653" s="836">
        <f t="shared" si="571"/>
        <v>0</v>
      </c>
      <c r="CI653" s="837" t="str">
        <f t="shared" si="572"/>
        <v>УСПЕШНО</v>
      </c>
      <c r="CJ653" s="838" t="str">
        <f t="shared" ca="1" si="573"/>
        <v>-</v>
      </c>
      <c r="CK653" s="831"/>
      <c r="CL653" s="832"/>
      <c r="CM653" s="833" t="str">
        <f t="shared" si="574"/>
        <v>-</v>
      </c>
      <c r="CN653" s="834" t="str">
        <f t="shared" si="575"/>
        <v>-</v>
      </c>
      <c r="CO653" s="830" t="str">
        <f t="shared" ca="1" si="576"/>
        <v>-</v>
      </c>
      <c r="CP653" s="839"/>
      <c r="CQ653" s="832"/>
      <c r="CR653" s="833" t="str">
        <f t="shared" si="577"/>
        <v>-</v>
      </c>
      <c r="CS653" s="833" t="str">
        <f t="shared" si="578"/>
        <v>-</v>
      </c>
      <c r="CT653" s="834" t="str">
        <f t="shared" si="579"/>
        <v>-</v>
      </c>
      <c r="CU653" s="835" t="str">
        <f t="shared" si="580"/>
        <v>-</v>
      </c>
      <c r="CV653" s="839"/>
      <c r="CW653" s="832"/>
      <c r="CX653" s="833" t="str">
        <f t="shared" si="581"/>
        <v>-</v>
      </c>
      <c r="CY653" s="840" t="str">
        <f t="shared" si="582"/>
        <v>-</v>
      </c>
      <c r="CZ653" s="833" t="str">
        <f t="shared" si="583"/>
        <v>-</v>
      </c>
      <c r="DA653" s="838" t="str">
        <f t="shared" ca="1" si="584"/>
        <v>-</v>
      </c>
      <c r="DB653" s="841"/>
      <c r="DC653" s="832"/>
    </row>
    <row r="654" spans="1:107" x14ac:dyDescent="0.25">
      <c r="A654" s="790">
        <v>656</v>
      </c>
      <c r="B654" s="791">
        <f t="shared" ca="1" si="533"/>
        <v>43134</v>
      </c>
      <c r="C654" s="29" t="s">
        <v>2554</v>
      </c>
      <c r="D654" s="59" t="s">
        <v>2586</v>
      </c>
      <c r="E654" s="794" t="s">
        <v>1563</v>
      </c>
      <c r="F654" s="795" t="s">
        <v>1604</v>
      </c>
      <c r="G654" s="845"/>
      <c r="H654" s="797" t="s">
        <v>603</v>
      </c>
      <c r="I654" s="798">
        <v>42571</v>
      </c>
      <c r="J654" s="799">
        <f t="shared" ca="1" si="534"/>
        <v>1.5424657534246575</v>
      </c>
      <c r="K654" s="799">
        <f t="shared" ca="1" si="535"/>
        <v>18.766666666666666</v>
      </c>
      <c r="L654" s="800">
        <f t="shared" ca="1" si="536"/>
        <v>563</v>
      </c>
      <c r="M654" s="801"/>
      <c r="N654" s="802"/>
      <c r="O654" s="803" t="str">
        <f t="shared" ca="1" si="537"/>
        <v>-</v>
      </c>
      <c r="P654" s="804"/>
      <c r="Q654" s="805" t="s">
        <v>2366</v>
      </c>
      <c r="R654" s="806" t="s">
        <v>2909</v>
      </c>
      <c r="S654" s="807">
        <v>42946</v>
      </c>
      <c r="T654" s="798">
        <v>42946</v>
      </c>
      <c r="U654" s="798" t="str">
        <f t="shared" si="538"/>
        <v>-</v>
      </c>
      <c r="V654" s="804" t="str">
        <f t="shared" ca="1" si="539"/>
        <v>-</v>
      </c>
      <c r="W654" s="808">
        <v>1</v>
      </c>
      <c r="X654" s="794" t="str">
        <f t="shared" si="532"/>
        <v>-</v>
      </c>
      <c r="Y654" s="794">
        <v>1</v>
      </c>
      <c r="Z654" s="809" t="str">
        <f t="shared" ca="1" si="540"/>
        <v>-----</v>
      </c>
      <c r="AA654" s="810" t="str">
        <f t="shared" ca="1" si="541"/>
        <v>-----</v>
      </c>
      <c r="AB654" s="804">
        <v>1</v>
      </c>
      <c r="AC654" s="811" t="str">
        <f t="shared" ca="1" si="542"/>
        <v>-----</v>
      </c>
      <c r="AD654" s="798">
        <v>43020</v>
      </c>
      <c r="AE654" s="794" t="str">
        <f t="shared" ca="1" si="543"/>
        <v>-</v>
      </c>
      <c r="AF654" s="798" t="str">
        <f t="shared" si="544"/>
        <v>-</v>
      </c>
      <c r="AG654" s="812" t="str">
        <f t="shared" si="545"/>
        <v>---------</v>
      </c>
      <c r="AH654" s="807">
        <v>43020</v>
      </c>
      <c r="AI654" s="807" t="str">
        <f t="shared" si="546"/>
        <v>-</v>
      </c>
      <c r="AJ654" s="807" t="str">
        <f t="shared" si="547"/>
        <v>-</v>
      </c>
      <c r="AK654" s="813"/>
      <c r="AL654" s="807">
        <f t="shared" si="548"/>
        <v>43205</v>
      </c>
      <c r="AM654" s="807">
        <f t="shared" si="549"/>
        <v>43226</v>
      </c>
      <c r="AN654" s="814">
        <f t="shared" ca="1" si="550"/>
        <v>-92</v>
      </c>
      <c r="AO654" s="815">
        <v>1</v>
      </c>
      <c r="AP654" s="816" t="str">
        <f t="shared" ca="1" si="551"/>
        <v>-</v>
      </c>
      <c r="AQ654" s="817"/>
      <c r="AR654" s="794" t="str">
        <f t="shared" si="552"/>
        <v>НЕТЕЛЬ</v>
      </c>
      <c r="AS654" s="818"/>
      <c r="AT654" s="794" t="str">
        <f t="shared" si="553"/>
        <v>-</v>
      </c>
      <c r="AU654" s="819"/>
      <c r="AV654" s="820"/>
      <c r="AW654" s="821"/>
      <c r="AX654" s="821"/>
      <c r="AY654" s="969" t="str">
        <f t="shared" si="554"/>
        <v>-</v>
      </c>
      <c r="AZ654" s="966" t="str">
        <f t="shared" si="555"/>
        <v>-</v>
      </c>
      <c r="BA654" s="971" t="str">
        <f t="shared" si="556"/>
        <v>-</v>
      </c>
      <c r="BB654" s="975"/>
      <c r="BC654" s="821"/>
      <c r="BD654" s="821"/>
      <c r="BE654" s="963" t="str">
        <f t="shared" si="557"/>
        <v>-</v>
      </c>
      <c r="BF654" s="984"/>
      <c r="BG654" s="988"/>
      <c r="BH654" s="982"/>
      <c r="BI654" s="991"/>
      <c r="BJ654" s="991"/>
      <c r="BK654" s="993" t="str">
        <f t="shared" si="558"/>
        <v>-</v>
      </c>
      <c r="BL654" s="820">
        <v>42977</v>
      </c>
      <c r="BM654" s="821">
        <v>5</v>
      </c>
      <c r="BN654" s="822">
        <f t="shared" ca="1" si="559"/>
        <v>157</v>
      </c>
      <c r="BO654" s="823">
        <f t="shared" si="560"/>
        <v>13.533333333333333</v>
      </c>
      <c r="BP654" s="824"/>
      <c r="BQ654" s="821"/>
      <c r="BR654" s="822" t="str">
        <f t="shared" si="561"/>
        <v>-</v>
      </c>
      <c r="BS654" s="823" t="str">
        <f t="shared" si="562"/>
        <v>-</v>
      </c>
      <c r="BT654" s="825" t="str">
        <f t="shared" ca="1" si="563"/>
        <v>-</v>
      </c>
      <c r="BU654" s="826"/>
      <c r="BV654" s="827"/>
      <c r="BW654" s="828" t="str">
        <f t="shared" si="564"/>
        <v>Ж-Е НЕ ВАКЦ.</v>
      </c>
      <c r="BX654" s="829" t="str">
        <f t="shared" si="565"/>
        <v>-</v>
      </c>
      <c r="BY654" s="830" t="str">
        <f t="shared" ca="1" si="566"/>
        <v>-</v>
      </c>
      <c r="BZ654" s="831">
        <v>42892</v>
      </c>
      <c r="CA654" s="832">
        <v>5</v>
      </c>
      <c r="CB654" s="833">
        <f t="shared" ca="1" si="567"/>
        <v>242</v>
      </c>
      <c r="CC654" s="834" t="str">
        <f t="shared" ca="1" si="568"/>
        <v>-</v>
      </c>
      <c r="CD654" s="835">
        <f t="shared" si="569"/>
        <v>42913</v>
      </c>
      <c r="CE654" s="831">
        <v>42913</v>
      </c>
      <c r="CF654" s="832">
        <v>5</v>
      </c>
      <c r="CG654" s="833">
        <f t="shared" ca="1" si="570"/>
        <v>221</v>
      </c>
      <c r="CH654" s="836">
        <f t="shared" si="571"/>
        <v>0</v>
      </c>
      <c r="CI654" s="837" t="str">
        <f t="shared" si="572"/>
        <v>УСПЕШНО</v>
      </c>
      <c r="CJ654" s="838" t="str">
        <f t="shared" ca="1" si="573"/>
        <v>-</v>
      </c>
      <c r="CK654" s="831"/>
      <c r="CL654" s="832"/>
      <c r="CM654" s="833" t="str">
        <f t="shared" si="574"/>
        <v>-</v>
      </c>
      <c r="CN654" s="834" t="str">
        <f t="shared" si="575"/>
        <v>-</v>
      </c>
      <c r="CO654" s="830" t="str">
        <f t="shared" ca="1" si="576"/>
        <v>-</v>
      </c>
      <c r="CP654" s="839"/>
      <c r="CQ654" s="832"/>
      <c r="CR654" s="833" t="str">
        <f t="shared" si="577"/>
        <v>-</v>
      </c>
      <c r="CS654" s="833" t="str">
        <f t="shared" si="578"/>
        <v>-</v>
      </c>
      <c r="CT654" s="834" t="str">
        <f t="shared" si="579"/>
        <v>-</v>
      </c>
      <c r="CU654" s="835" t="str">
        <f t="shared" si="580"/>
        <v>-</v>
      </c>
      <c r="CV654" s="839"/>
      <c r="CW654" s="832"/>
      <c r="CX654" s="833" t="str">
        <f t="shared" si="581"/>
        <v>-</v>
      </c>
      <c r="CY654" s="840" t="str">
        <f t="shared" si="582"/>
        <v>-</v>
      </c>
      <c r="CZ654" s="833" t="str">
        <f t="shared" si="583"/>
        <v>-</v>
      </c>
      <c r="DA654" s="838" t="str">
        <f t="shared" ca="1" si="584"/>
        <v>-</v>
      </c>
      <c r="DB654" s="841"/>
      <c r="DC654" s="832"/>
    </row>
    <row r="655" spans="1:107" x14ac:dyDescent="0.25">
      <c r="A655" s="790">
        <v>657</v>
      </c>
      <c r="B655" s="791">
        <f t="shared" ca="1" si="533"/>
        <v>43134</v>
      </c>
      <c r="C655" s="29" t="s">
        <v>2554</v>
      </c>
      <c r="D655" s="59" t="s">
        <v>2586</v>
      </c>
      <c r="E655" s="794" t="s">
        <v>1563</v>
      </c>
      <c r="F655" s="795" t="s">
        <v>1615</v>
      </c>
      <c r="G655" s="845"/>
      <c r="H655" s="797" t="s">
        <v>603</v>
      </c>
      <c r="I655" s="798">
        <v>42573</v>
      </c>
      <c r="J655" s="799">
        <f t="shared" ca="1" si="534"/>
        <v>1.536986301369863</v>
      </c>
      <c r="K655" s="799">
        <f t="shared" ca="1" si="535"/>
        <v>18.7</v>
      </c>
      <c r="L655" s="800">
        <f t="shared" ca="1" si="536"/>
        <v>561</v>
      </c>
      <c r="M655" s="801"/>
      <c r="N655" s="802"/>
      <c r="O655" s="803" t="str">
        <f t="shared" ca="1" si="537"/>
        <v>-</v>
      </c>
      <c r="P655" s="804"/>
      <c r="Q655" s="805" t="s">
        <v>2366</v>
      </c>
      <c r="R655" s="806" t="s">
        <v>2967</v>
      </c>
      <c r="S655" s="807">
        <v>42978</v>
      </c>
      <c r="T655" s="798">
        <v>42978</v>
      </c>
      <c r="U655" s="798" t="str">
        <f t="shared" si="538"/>
        <v>-</v>
      </c>
      <c r="V655" s="804" t="str">
        <f t="shared" ca="1" si="539"/>
        <v>-</v>
      </c>
      <c r="W655" s="808">
        <v>1</v>
      </c>
      <c r="X655" s="794" t="str">
        <f t="shared" si="532"/>
        <v>-</v>
      </c>
      <c r="Y655" s="794">
        <v>1</v>
      </c>
      <c r="Z655" s="809" t="str">
        <f t="shared" ca="1" si="540"/>
        <v>ПОДЛЕЖИТ ПЕРЕПРОВЕРКЕ</v>
      </c>
      <c r="AA655" s="810">
        <f t="shared" ca="1" si="541"/>
        <v>156</v>
      </c>
      <c r="AB655" s="804"/>
      <c r="AC655" s="811">
        <f t="shared" ca="1" si="542"/>
        <v>43050</v>
      </c>
      <c r="AD655" s="798"/>
      <c r="AE655" s="794" t="str">
        <f t="shared" ca="1" si="543"/>
        <v>-</v>
      </c>
      <c r="AF655" s="798" t="str">
        <f t="shared" si="544"/>
        <v>-</v>
      </c>
      <c r="AG655" s="812" t="str">
        <f t="shared" si="545"/>
        <v>---------</v>
      </c>
      <c r="AH655" s="807">
        <v>43032</v>
      </c>
      <c r="AI655" s="807" t="str">
        <f t="shared" si="546"/>
        <v>-</v>
      </c>
      <c r="AJ655" s="807" t="str">
        <f t="shared" si="547"/>
        <v>-</v>
      </c>
      <c r="AK655" s="813"/>
      <c r="AL655" s="807">
        <f t="shared" si="548"/>
        <v>43237</v>
      </c>
      <c r="AM655" s="807">
        <f t="shared" si="549"/>
        <v>43258</v>
      </c>
      <c r="AN655" s="814">
        <f t="shared" ca="1" si="550"/>
        <v>-124</v>
      </c>
      <c r="AO655" s="815">
        <v>1</v>
      </c>
      <c r="AP655" s="816" t="str">
        <f t="shared" ca="1" si="551"/>
        <v>-</v>
      </c>
      <c r="AQ655" s="817"/>
      <c r="AR655" s="794" t="str">
        <f t="shared" si="552"/>
        <v>НЕТЕЛЬ</v>
      </c>
      <c r="AS655" s="818"/>
      <c r="AT655" s="794" t="str">
        <f t="shared" si="553"/>
        <v>-</v>
      </c>
      <c r="AU655" s="819"/>
      <c r="AV655" s="820"/>
      <c r="AW655" s="821"/>
      <c r="AX655" s="821"/>
      <c r="AY655" s="969" t="str">
        <f t="shared" si="554"/>
        <v>-</v>
      </c>
      <c r="AZ655" s="966" t="str">
        <f t="shared" si="555"/>
        <v>-</v>
      </c>
      <c r="BA655" s="971" t="str">
        <f t="shared" si="556"/>
        <v>-</v>
      </c>
      <c r="BB655" s="975"/>
      <c r="BC655" s="821"/>
      <c r="BD655" s="821"/>
      <c r="BE655" s="963" t="str">
        <f t="shared" si="557"/>
        <v>-</v>
      </c>
      <c r="BF655" s="984"/>
      <c r="BG655" s="988"/>
      <c r="BH655" s="982"/>
      <c r="BI655" s="991"/>
      <c r="BJ655" s="991"/>
      <c r="BK655" s="993" t="str">
        <f t="shared" si="558"/>
        <v>-</v>
      </c>
      <c r="BL655" s="820">
        <v>42977</v>
      </c>
      <c r="BM655" s="821">
        <v>5</v>
      </c>
      <c r="BN655" s="822">
        <f t="shared" ca="1" si="559"/>
        <v>157</v>
      </c>
      <c r="BO655" s="823">
        <f t="shared" si="560"/>
        <v>13.466666666666667</v>
      </c>
      <c r="BP655" s="824"/>
      <c r="BQ655" s="821"/>
      <c r="BR655" s="822" t="str">
        <f t="shared" si="561"/>
        <v>-</v>
      </c>
      <c r="BS655" s="823" t="str">
        <f t="shared" si="562"/>
        <v>-</v>
      </c>
      <c r="BT655" s="825" t="str">
        <f t="shared" ca="1" si="563"/>
        <v>-</v>
      </c>
      <c r="BU655" s="826"/>
      <c r="BV655" s="827"/>
      <c r="BW655" s="828" t="str">
        <f t="shared" si="564"/>
        <v>Ж-Е НЕ ВАКЦ.</v>
      </c>
      <c r="BX655" s="829" t="str">
        <f t="shared" si="565"/>
        <v>-</v>
      </c>
      <c r="BY655" s="830" t="str">
        <f t="shared" ca="1" si="566"/>
        <v>-</v>
      </c>
      <c r="BZ655" s="831">
        <v>42891</v>
      </c>
      <c r="CA655" s="832">
        <v>5</v>
      </c>
      <c r="CB655" s="833">
        <f t="shared" ca="1" si="567"/>
        <v>243</v>
      </c>
      <c r="CC655" s="834" t="str">
        <f t="shared" ca="1" si="568"/>
        <v>-</v>
      </c>
      <c r="CD655" s="835">
        <f t="shared" si="569"/>
        <v>42912</v>
      </c>
      <c r="CE655" s="831">
        <v>42912</v>
      </c>
      <c r="CF655" s="832">
        <v>5</v>
      </c>
      <c r="CG655" s="833">
        <f t="shared" ca="1" si="570"/>
        <v>222</v>
      </c>
      <c r="CH655" s="836">
        <f t="shared" si="571"/>
        <v>0</v>
      </c>
      <c r="CI655" s="837" t="str">
        <f t="shared" si="572"/>
        <v>УСПЕШНО</v>
      </c>
      <c r="CJ655" s="838" t="str">
        <f t="shared" ca="1" si="573"/>
        <v>-</v>
      </c>
      <c r="CK655" s="831"/>
      <c r="CL655" s="832"/>
      <c r="CM655" s="833" t="str">
        <f t="shared" si="574"/>
        <v>-</v>
      </c>
      <c r="CN655" s="834" t="str">
        <f t="shared" si="575"/>
        <v>-</v>
      </c>
      <c r="CO655" s="830" t="str">
        <f t="shared" ca="1" si="576"/>
        <v>-</v>
      </c>
      <c r="CP655" s="839"/>
      <c r="CQ655" s="832"/>
      <c r="CR655" s="833" t="str">
        <f t="shared" si="577"/>
        <v>-</v>
      </c>
      <c r="CS655" s="833" t="str">
        <f t="shared" si="578"/>
        <v>-</v>
      </c>
      <c r="CT655" s="834" t="str">
        <f t="shared" si="579"/>
        <v>-</v>
      </c>
      <c r="CU655" s="835" t="str">
        <f t="shared" si="580"/>
        <v>-</v>
      </c>
      <c r="CV655" s="839"/>
      <c r="CW655" s="832"/>
      <c r="CX655" s="833" t="str">
        <f t="shared" si="581"/>
        <v>-</v>
      </c>
      <c r="CY655" s="840" t="str">
        <f t="shared" si="582"/>
        <v>-</v>
      </c>
      <c r="CZ655" s="833" t="str">
        <f t="shared" si="583"/>
        <v>-</v>
      </c>
      <c r="DA655" s="838" t="str">
        <f t="shared" ca="1" si="584"/>
        <v>-</v>
      </c>
      <c r="DB655" s="841"/>
      <c r="DC655" s="832"/>
    </row>
    <row r="656" spans="1:107" x14ac:dyDescent="0.25">
      <c r="A656" s="790">
        <v>658</v>
      </c>
      <c r="B656" s="791">
        <f t="shared" ca="1" si="533"/>
        <v>43134</v>
      </c>
      <c r="C656" s="29" t="s">
        <v>2554</v>
      </c>
      <c r="D656" s="59" t="s">
        <v>2586</v>
      </c>
      <c r="E656" s="794" t="s">
        <v>1563</v>
      </c>
      <c r="F656" s="795" t="s">
        <v>1617</v>
      </c>
      <c r="G656" s="845"/>
      <c r="H656" s="797" t="s">
        <v>603</v>
      </c>
      <c r="I656" s="798">
        <v>42573</v>
      </c>
      <c r="J656" s="799">
        <f t="shared" ca="1" si="534"/>
        <v>1.536986301369863</v>
      </c>
      <c r="K656" s="799">
        <f t="shared" ca="1" si="535"/>
        <v>18.7</v>
      </c>
      <c r="L656" s="800">
        <f t="shared" ca="1" si="536"/>
        <v>561</v>
      </c>
      <c r="M656" s="801"/>
      <c r="N656" s="802"/>
      <c r="O656" s="803" t="str">
        <f t="shared" ca="1" si="537"/>
        <v>-</v>
      </c>
      <c r="P656" s="804"/>
      <c r="Q656" s="805" t="s">
        <v>2366</v>
      </c>
      <c r="R656" s="806" t="s">
        <v>2967</v>
      </c>
      <c r="S656" s="807">
        <v>42939</v>
      </c>
      <c r="T656" s="798">
        <v>42939</v>
      </c>
      <c r="U656" s="798" t="str">
        <f t="shared" si="538"/>
        <v>-</v>
      </c>
      <c r="V656" s="804" t="str">
        <f t="shared" ca="1" si="539"/>
        <v>-</v>
      </c>
      <c r="W656" s="808">
        <v>1</v>
      </c>
      <c r="X656" s="794" t="str">
        <f t="shared" si="532"/>
        <v>-</v>
      </c>
      <c r="Y656" s="794">
        <v>1</v>
      </c>
      <c r="Z656" s="809" t="str">
        <f t="shared" ca="1" si="540"/>
        <v>ПОДЛЕЖИТ ПЕРЕПРОВЕРКЕ</v>
      </c>
      <c r="AA656" s="810">
        <f t="shared" ca="1" si="541"/>
        <v>195</v>
      </c>
      <c r="AB656" s="804"/>
      <c r="AC656" s="811">
        <f t="shared" ca="1" si="542"/>
        <v>43011</v>
      </c>
      <c r="AD656" s="798"/>
      <c r="AE656" s="794" t="str">
        <f t="shared" ca="1" si="543"/>
        <v>-</v>
      </c>
      <c r="AF656" s="798" t="str">
        <f t="shared" si="544"/>
        <v>-</v>
      </c>
      <c r="AG656" s="812" t="str">
        <f t="shared" si="545"/>
        <v>---------</v>
      </c>
      <c r="AH656" s="807">
        <v>43001</v>
      </c>
      <c r="AI656" s="807" t="str">
        <f t="shared" si="546"/>
        <v>-</v>
      </c>
      <c r="AJ656" s="807" t="str">
        <f t="shared" si="547"/>
        <v>-</v>
      </c>
      <c r="AK656" s="813"/>
      <c r="AL656" s="807">
        <f t="shared" si="548"/>
        <v>43198</v>
      </c>
      <c r="AM656" s="807">
        <f t="shared" si="549"/>
        <v>43219</v>
      </c>
      <c r="AN656" s="814">
        <f t="shared" ca="1" si="550"/>
        <v>-85</v>
      </c>
      <c r="AO656" s="815">
        <v>1</v>
      </c>
      <c r="AP656" s="816" t="str">
        <f t="shared" ca="1" si="551"/>
        <v>-</v>
      </c>
      <c r="AQ656" s="817"/>
      <c r="AR656" s="794" t="str">
        <f t="shared" si="552"/>
        <v>НЕТЕЛЬ</v>
      </c>
      <c r="AS656" s="818"/>
      <c r="AT656" s="794" t="str">
        <f t="shared" si="553"/>
        <v>-</v>
      </c>
      <c r="AU656" s="819"/>
      <c r="AV656" s="820"/>
      <c r="AW656" s="821"/>
      <c r="AX656" s="821"/>
      <c r="AY656" s="969" t="str">
        <f t="shared" si="554"/>
        <v>-</v>
      </c>
      <c r="AZ656" s="966" t="str">
        <f t="shared" si="555"/>
        <v>-</v>
      </c>
      <c r="BA656" s="971" t="str">
        <f t="shared" si="556"/>
        <v>-</v>
      </c>
      <c r="BB656" s="975"/>
      <c r="BC656" s="821"/>
      <c r="BD656" s="821"/>
      <c r="BE656" s="963" t="str">
        <f t="shared" si="557"/>
        <v>-</v>
      </c>
      <c r="BF656" s="984"/>
      <c r="BG656" s="988"/>
      <c r="BH656" s="982"/>
      <c r="BI656" s="991"/>
      <c r="BJ656" s="991"/>
      <c r="BK656" s="993" t="str">
        <f t="shared" si="558"/>
        <v>-</v>
      </c>
      <c r="BL656" s="820">
        <v>42977</v>
      </c>
      <c r="BM656" s="821">
        <v>5</v>
      </c>
      <c r="BN656" s="822">
        <f t="shared" ca="1" si="559"/>
        <v>157</v>
      </c>
      <c r="BO656" s="823">
        <f t="shared" si="560"/>
        <v>13.466666666666667</v>
      </c>
      <c r="BP656" s="824"/>
      <c r="BQ656" s="821"/>
      <c r="BR656" s="822" t="str">
        <f t="shared" si="561"/>
        <v>-</v>
      </c>
      <c r="BS656" s="823" t="str">
        <f t="shared" si="562"/>
        <v>-</v>
      </c>
      <c r="BT656" s="825" t="str">
        <f t="shared" ca="1" si="563"/>
        <v>-</v>
      </c>
      <c r="BU656" s="826"/>
      <c r="BV656" s="827"/>
      <c r="BW656" s="828" t="str">
        <f t="shared" si="564"/>
        <v>Ж-Е НЕ ВАКЦ.</v>
      </c>
      <c r="BX656" s="829" t="str">
        <f t="shared" si="565"/>
        <v>-</v>
      </c>
      <c r="BY656" s="830" t="str">
        <f t="shared" ca="1" si="566"/>
        <v>-</v>
      </c>
      <c r="BZ656" s="831">
        <v>42891</v>
      </c>
      <c r="CA656" s="832">
        <v>5</v>
      </c>
      <c r="CB656" s="833">
        <f t="shared" ca="1" si="567"/>
        <v>243</v>
      </c>
      <c r="CC656" s="834" t="str">
        <f t="shared" ca="1" si="568"/>
        <v>-</v>
      </c>
      <c r="CD656" s="835">
        <f t="shared" si="569"/>
        <v>42912</v>
      </c>
      <c r="CE656" s="831">
        <v>42912</v>
      </c>
      <c r="CF656" s="832">
        <v>5</v>
      </c>
      <c r="CG656" s="833">
        <f t="shared" ca="1" si="570"/>
        <v>222</v>
      </c>
      <c r="CH656" s="836">
        <f t="shared" si="571"/>
        <v>0</v>
      </c>
      <c r="CI656" s="837" t="str">
        <f t="shared" si="572"/>
        <v>УСПЕШНО</v>
      </c>
      <c r="CJ656" s="838" t="str">
        <f t="shared" ca="1" si="573"/>
        <v>-</v>
      </c>
      <c r="CK656" s="831"/>
      <c r="CL656" s="832"/>
      <c r="CM656" s="833" t="str">
        <f t="shared" si="574"/>
        <v>-</v>
      </c>
      <c r="CN656" s="834" t="str">
        <f t="shared" si="575"/>
        <v>-</v>
      </c>
      <c r="CO656" s="830" t="str">
        <f t="shared" ca="1" si="576"/>
        <v>-</v>
      </c>
      <c r="CP656" s="839"/>
      <c r="CQ656" s="832"/>
      <c r="CR656" s="833" t="str">
        <f t="shared" si="577"/>
        <v>-</v>
      </c>
      <c r="CS656" s="833" t="str">
        <f t="shared" si="578"/>
        <v>-</v>
      </c>
      <c r="CT656" s="834" t="str">
        <f t="shared" si="579"/>
        <v>-</v>
      </c>
      <c r="CU656" s="835" t="str">
        <f t="shared" si="580"/>
        <v>-</v>
      </c>
      <c r="CV656" s="839"/>
      <c r="CW656" s="832"/>
      <c r="CX656" s="833" t="str">
        <f t="shared" si="581"/>
        <v>-</v>
      </c>
      <c r="CY656" s="840" t="str">
        <f t="shared" si="582"/>
        <v>-</v>
      </c>
      <c r="CZ656" s="833" t="str">
        <f t="shared" si="583"/>
        <v>-</v>
      </c>
      <c r="DA656" s="838" t="str">
        <f t="shared" ca="1" si="584"/>
        <v>-</v>
      </c>
      <c r="DB656" s="841"/>
      <c r="DC656" s="832"/>
    </row>
    <row r="657" spans="1:107" s="842" customFormat="1" ht="15.95" customHeight="1" x14ac:dyDescent="0.25">
      <c r="A657" s="790">
        <v>659</v>
      </c>
      <c r="B657" s="791">
        <f t="shared" ca="1" si="533"/>
        <v>43134</v>
      </c>
      <c r="C657" s="29" t="s">
        <v>2554</v>
      </c>
      <c r="D657" s="59" t="s">
        <v>2586</v>
      </c>
      <c r="E657" s="794" t="s">
        <v>1563</v>
      </c>
      <c r="F657" s="795" t="s">
        <v>1619</v>
      </c>
      <c r="G657" s="845"/>
      <c r="H657" s="797" t="s">
        <v>603</v>
      </c>
      <c r="I657" s="798">
        <v>42574</v>
      </c>
      <c r="J657" s="799">
        <f t="shared" ca="1" si="534"/>
        <v>1.5342465753424657</v>
      </c>
      <c r="K657" s="799">
        <f t="shared" ca="1" si="535"/>
        <v>18.666666666666668</v>
      </c>
      <c r="L657" s="800">
        <f t="shared" ca="1" si="536"/>
        <v>560</v>
      </c>
      <c r="M657" s="801"/>
      <c r="N657" s="802"/>
      <c r="O657" s="803" t="str">
        <f t="shared" ca="1" si="537"/>
        <v>-</v>
      </c>
      <c r="P657" s="804"/>
      <c r="Q657" s="805" t="s">
        <v>1451</v>
      </c>
      <c r="R657" s="806" t="s">
        <v>2967</v>
      </c>
      <c r="S657" s="807">
        <v>42975</v>
      </c>
      <c r="T657" s="798">
        <v>42975</v>
      </c>
      <c r="U657" s="798" t="str">
        <f t="shared" si="538"/>
        <v>-</v>
      </c>
      <c r="V657" s="804" t="str">
        <f t="shared" ca="1" si="539"/>
        <v>-</v>
      </c>
      <c r="W657" s="808">
        <v>1</v>
      </c>
      <c r="X657" s="794" t="str">
        <f t="shared" si="532"/>
        <v>-</v>
      </c>
      <c r="Y657" s="794">
        <v>1</v>
      </c>
      <c r="Z657" s="809" t="str">
        <f t="shared" ca="1" si="540"/>
        <v>ПОДЛЕЖИТ ПЕРЕПРОВЕРКЕ</v>
      </c>
      <c r="AA657" s="810">
        <f t="shared" ca="1" si="541"/>
        <v>159</v>
      </c>
      <c r="AB657" s="804"/>
      <c r="AC657" s="811">
        <f t="shared" ca="1" si="542"/>
        <v>43047</v>
      </c>
      <c r="AD657" s="798"/>
      <c r="AE657" s="794" t="str">
        <f t="shared" ca="1" si="543"/>
        <v>-</v>
      </c>
      <c r="AF657" s="798" t="str">
        <f t="shared" si="544"/>
        <v>-</v>
      </c>
      <c r="AG657" s="812" t="str">
        <f t="shared" si="545"/>
        <v>---------</v>
      </c>
      <c r="AH657" s="807">
        <v>43032</v>
      </c>
      <c r="AI657" s="807" t="str">
        <f t="shared" si="546"/>
        <v>-</v>
      </c>
      <c r="AJ657" s="807" t="str">
        <f t="shared" si="547"/>
        <v>-</v>
      </c>
      <c r="AK657" s="813"/>
      <c r="AL657" s="807">
        <f t="shared" si="548"/>
        <v>43234</v>
      </c>
      <c r="AM657" s="807">
        <f t="shared" si="549"/>
        <v>43255</v>
      </c>
      <c r="AN657" s="814">
        <f t="shared" ca="1" si="550"/>
        <v>-121</v>
      </c>
      <c r="AO657" s="815">
        <v>1</v>
      </c>
      <c r="AP657" s="816" t="str">
        <f t="shared" ca="1" si="551"/>
        <v>-</v>
      </c>
      <c r="AQ657" s="817"/>
      <c r="AR657" s="794" t="str">
        <f t="shared" si="552"/>
        <v>НЕТЕЛЬ</v>
      </c>
      <c r="AS657" s="818"/>
      <c r="AT657" s="794" t="str">
        <f t="shared" si="553"/>
        <v>-</v>
      </c>
      <c r="AU657" s="819"/>
      <c r="AV657" s="820"/>
      <c r="AW657" s="821"/>
      <c r="AX657" s="821"/>
      <c r="AY657" s="969" t="str">
        <f t="shared" si="554"/>
        <v>-</v>
      </c>
      <c r="AZ657" s="966" t="str">
        <f t="shared" si="555"/>
        <v>-</v>
      </c>
      <c r="BA657" s="971" t="str">
        <f t="shared" si="556"/>
        <v>-</v>
      </c>
      <c r="BB657" s="975"/>
      <c r="BC657" s="821"/>
      <c r="BD657" s="821"/>
      <c r="BE657" s="963" t="str">
        <f t="shared" si="557"/>
        <v>-</v>
      </c>
      <c r="BF657" s="984"/>
      <c r="BG657" s="988"/>
      <c r="BH657" s="982"/>
      <c r="BI657" s="991"/>
      <c r="BJ657" s="991"/>
      <c r="BK657" s="993" t="str">
        <f t="shared" si="558"/>
        <v>-</v>
      </c>
      <c r="BL657" s="820">
        <v>42977</v>
      </c>
      <c r="BM657" s="821">
        <v>5</v>
      </c>
      <c r="BN657" s="822">
        <f t="shared" ca="1" si="559"/>
        <v>157</v>
      </c>
      <c r="BO657" s="823">
        <f t="shared" si="560"/>
        <v>13.433333333333334</v>
      </c>
      <c r="BP657" s="824"/>
      <c r="BQ657" s="821"/>
      <c r="BR657" s="822" t="str">
        <f t="shared" si="561"/>
        <v>-</v>
      </c>
      <c r="BS657" s="823" t="str">
        <f t="shared" si="562"/>
        <v>-</v>
      </c>
      <c r="BT657" s="825" t="str">
        <f t="shared" ca="1" si="563"/>
        <v>-</v>
      </c>
      <c r="BU657" s="826"/>
      <c r="BV657" s="827"/>
      <c r="BW657" s="828" t="str">
        <f t="shared" si="564"/>
        <v>Ж-Е НЕ ВАКЦ.</v>
      </c>
      <c r="BX657" s="829" t="str">
        <f t="shared" si="565"/>
        <v>-</v>
      </c>
      <c r="BY657" s="830" t="str">
        <f t="shared" ca="1" si="566"/>
        <v>-</v>
      </c>
      <c r="BZ657" s="831">
        <v>42891</v>
      </c>
      <c r="CA657" s="832">
        <v>5</v>
      </c>
      <c r="CB657" s="833">
        <f t="shared" ca="1" si="567"/>
        <v>243</v>
      </c>
      <c r="CC657" s="834" t="str">
        <f t="shared" ca="1" si="568"/>
        <v>-</v>
      </c>
      <c r="CD657" s="835">
        <f t="shared" si="569"/>
        <v>42912</v>
      </c>
      <c r="CE657" s="831">
        <v>42912</v>
      </c>
      <c r="CF657" s="832">
        <v>5</v>
      </c>
      <c r="CG657" s="833">
        <f t="shared" ca="1" si="570"/>
        <v>222</v>
      </c>
      <c r="CH657" s="836">
        <f t="shared" si="571"/>
        <v>0</v>
      </c>
      <c r="CI657" s="837" t="str">
        <f t="shared" si="572"/>
        <v>УСПЕШНО</v>
      </c>
      <c r="CJ657" s="838" t="str">
        <f t="shared" ca="1" si="573"/>
        <v>-</v>
      </c>
      <c r="CK657" s="831"/>
      <c r="CL657" s="832"/>
      <c r="CM657" s="833" t="str">
        <f t="shared" si="574"/>
        <v>-</v>
      </c>
      <c r="CN657" s="834" t="str">
        <f t="shared" si="575"/>
        <v>-</v>
      </c>
      <c r="CO657" s="830" t="str">
        <f t="shared" ca="1" si="576"/>
        <v>-</v>
      </c>
      <c r="CP657" s="839"/>
      <c r="CQ657" s="832"/>
      <c r="CR657" s="833" t="str">
        <f t="shared" si="577"/>
        <v>-</v>
      </c>
      <c r="CS657" s="833" t="str">
        <f t="shared" si="578"/>
        <v>-</v>
      </c>
      <c r="CT657" s="834" t="str">
        <f t="shared" si="579"/>
        <v>-</v>
      </c>
      <c r="CU657" s="835" t="str">
        <f t="shared" si="580"/>
        <v>-</v>
      </c>
      <c r="CV657" s="839"/>
      <c r="CW657" s="832"/>
      <c r="CX657" s="833" t="str">
        <f t="shared" si="581"/>
        <v>-</v>
      </c>
      <c r="CY657" s="840" t="str">
        <f t="shared" si="582"/>
        <v>-</v>
      </c>
      <c r="CZ657" s="833" t="str">
        <f t="shared" si="583"/>
        <v>-</v>
      </c>
      <c r="DA657" s="838" t="str">
        <f t="shared" ca="1" si="584"/>
        <v>-</v>
      </c>
      <c r="DB657" s="841"/>
      <c r="DC657" s="832"/>
    </row>
    <row r="658" spans="1:107" s="842" customFormat="1" ht="15.95" customHeight="1" x14ac:dyDescent="0.25">
      <c r="A658" s="790">
        <v>660</v>
      </c>
      <c r="B658" s="791">
        <f t="shared" ca="1" si="533"/>
        <v>43134</v>
      </c>
      <c r="C658" s="29" t="s">
        <v>2554</v>
      </c>
      <c r="D658" s="59" t="s">
        <v>2586</v>
      </c>
      <c r="E658" s="794" t="s">
        <v>1563</v>
      </c>
      <c r="F658" s="795" t="s">
        <v>1626</v>
      </c>
      <c r="G658" s="845"/>
      <c r="H658" s="797" t="s">
        <v>603</v>
      </c>
      <c r="I658" s="798">
        <v>42576</v>
      </c>
      <c r="J658" s="799">
        <f t="shared" ca="1" si="534"/>
        <v>1.5287671232876712</v>
      </c>
      <c r="K658" s="799">
        <f t="shared" ca="1" si="535"/>
        <v>18.600000000000001</v>
      </c>
      <c r="L658" s="800">
        <f t="shared" ca="1" si="536"/>
        <v>558</v>
      </c>
      <c r="M658" s="801"/>
      <c r="N658" s="802"/>
      <c r="O658" s="803" t="str">
        <f t="shared" ca="1" si="537"/>
        <v>-</v>
      </c>
      <c r="P658" s="804"/>
      <c r="Q658" s="805" t="s">
        <v>2366</v>
      </c>
      <c r="R658" s="806" t="s">
        <v>2967</v>
      </c>
      <c r="S658" s="807">
        <v>42972</v>
      </c>
      <c r="T658" s="798">
        <v>42972</v>
      </c>
      <c r="U658" s="798" t="str">
        <f t="shared" si="538"/>
        <v>-</v>
      </c>
      <c r="V658" s="804" t="str">
        <f t="shared" ca="1" si="539"/>
        <v>-</v>
      </c>
      <c r="W658" s="808">
        <v>1</v>
      </c>
      <c r="X658" s="794" t="str">
        <f t="shared" si="532"/>
        <v>-</v>
      </c>
      <c r="Y658" s="794">
        <v>1</v>
      </c>
      <c r="Z658" s="809" t="str">
        <f t="shared" ca="1" si="540"/>
        <v>ПОДЛЕЖИТ ПЕРЕПРОВЕРКЕ</v>
      </c>
      <c r="AA658" s="810">
        <f t="shared" ca="1" si="541"/>
        <v>162</v>
      </c>
      <c r="AB658" s="804"/>
      <c r="AC658" s="811">
        <f t="shared" ca="1" si="542"/>
        <v>43044</v>
      </c>
      <c r="AD658" s="798"/>
      <c r="AE658" s="794" t="str">
        <f t="shared" ca="1" si="543"/>
        <v>-</v>
      </c>
      <c r="AF658" s="798" t="str">
        <f t="shared" si="544"/>
        <v>-</v>
      </c>
      <c r="AG658" s="812" t="str">
        <f t="shared" si="545"/>
        <v>---------</v>
      </c>
      <c r="AH658" s="807">
        <v>43032</v>
      </c>
      <c r="AI658" s="807" t="str">
        <f t="shared" si="546"/>
        <v>-</v>
      </c>
      <c r="AJ658" s="807" t="str">
        <f t="shared" si="547"/>
        <v>-</v>
      </c>
      <c r="AK658" s="813"/>
      <c r="AL658" s="807">
        <f t="shared" si="548"/>
        <v>43231</v>
      </c>
      <c r="AM658" s="807">
        <f t="shared" si="549"/>
        <v>43252</v>
      </c>
      <c r="AN658" s="814">
        <f t="shared" ca="1" si="550"/>
        <v>-118</v>
      </c>
      <c r="AO658" s="815">
        <v>1</v>
      </c>
      <c r="AP658" s="816" t="str">
        <f t="shared" ca="1" si="551"/>
        <v>-</v>
      </c>
      <c r="AQ658" s="817"/>
      <c r="AR658" s="794" t="str">
        <f t="shared" si="552"/>
        <v>НЕТЕЛЬ</v>
      </c>
      <c r="AS658" s="818"/>
      <c r="AT658" s="794" t="str">
        <f t="shared" si="553"/>
        <v>-</v>
      </c>
      <c r="AU658" s="819"/>
      <c r="AV658" s="820"/>
      <c r="AW658" s="821"/>
      <c r="AX658" s="821"/>
      <c r="AY658" s="969" t="str">
        <f t="shared" si="554"/>
        <v>-</v>
      </c>
      <c r="AZ658" s="966" t="str">
        <f t="shared" si="555"/>
        <v>-</v>
      </c>
      <c r="BA658" s="971" t="str">
        <f t="shared" si="556"/>
        <v>-</v>
      </c>
      <c r="BB658" s="975"/>
      <c r="BC658" s="821"/>
      <c r="BD658" s="821"/>
      <c r="BE658" s="963" t="str">
        <f t="shared" si="557"/>
        <v>-</v>
      </c>
      <c r="BF658" s="984"/>
      <c r="BG658" s="988"/>
      <c r="BH658" s="982"/>
      <c r="BI658" s="991"/>
      <c r="BJ658" s="991"/>
      <c r="BK658" s="993" t="str">
        <f t="shared" si="558"/>
        <v>-</v>
      </c>
      <c r="BL658" s="820">
        <v>42977</v>
      </c>
      <c r="BM658" s="821">
        <v>5</v>
      </c>
      <c r="BN658" s="822">
        <f t="shared" ca="1" si="559"/>
        <v>157</v>
      </c>
      <c r="BO658" s="823">
        <f t="shared" si="560"/>
        <v>13.366666666666667</v>
      </c>
      <c r="BP658" s="824"/>
      <c r="BQ658" s="821"/>
      <c r="BR658" s="822" t="str">
        <f t="shared" si="561"/>
        <v>-</v>
      </c>
      <c r="BS658" s="823" t="str">
        <f t="shared" si="562"/>
        <v>-</v>
      </c>
      <c r="BT658" s="825" t="str">
        <f t="shared" ca="1" si="563"/>
        <v>-</v>
      </c>
      <c r="BU658" s="826"/>
      <c r="BV658" s="827"/>
      <c r="BW658" s="828" t="str">
        <f t="shared" si="564"/>
        <v>Ж-Е НЕ ВАКЦ.</v>
      </c>
      <c r="BX658" s="829" t="str">
        <f t="shared" si="565"/>
        <v>-</v>
      </c>
      <c r="BY658" s="830" t="str">
        <f t="shared" ca="1" si="566"/>
        <v>-</v>
      </c>
      <c r="BZ658" s="831">
        <v>42892</v>
      </c>
      <c r="CA658" s="832">
        <v>5</v>
      </c>
      <c r="CB658" s="833">
        <f t="shared" ca="1" si="567"/>
        <v>242</v>
      </c>
      <c r="CC658" s="834" t="str">
        <f t="shared" ca="1" si="568"/>
        <v>-</v>
      </c>
      <c r="CD658" s="835">
        <f t="shared" si="569"/>
        <v>42913</v>
      </c>
      <c r="CE658" s="831">
        <v>42913</v>
      </c>
      <c r="CF658" s="832">
        <v>5</v>
      </c>
      <c r="CG658" s="833">
        <f t="shared" ca="1" si="570"/>
        <v>221</v>
      </c>
      <c r="CH658" s="836">
        <f t="shared" si="571"/>
        <v>0</v>
      </c>
      <c r="CI658" s="837" t="str">
        <f t="shared" si="572"/>
        <v>УСПЕШНО</v>
      </c>
      <c r="CJ658" s="838" t="str">
        <f t="shared" ca="1" si="573"/>
        <v>-</v>
      </c>
      <c r="CK658" s="831"/>
      <c r="CL658" s="832"/>
      <c r="CM658" s="833" t="str">
        <f t="shared" si="574"/>
        <v>-</v>
      </c>
      <c r="CN658" s="834" t="str">
        <f t="shared" si="575"/>
        <v>-</v>
      </c>
      <c r="CO658" s="830" t="str">
        <f t="shared" ca="1" si="576"/>
        <v>-</v>
      </c>
      <c r="CP658" s="839"/>
      <c r="CQ658" s="832"/>
      <c r="CR658" s="833" t="str">
        <f t="shared" si="577"/>
        <v>-</v>
      </c>
      <c r="CS658" s="833" t="str">
        <f t="shared" si="578"/>
        <v>-</v>
      </c>
      <c r="CT658" s="834" t="str">
        <f t="shared" si="579"/>
        <v>-</v>
      </c>
      <c r="CU658" s="835" t="str">
        <f t="shared" si="580"/>
        <v>-</v>
      </c>
      <c r="CV658" s="839"/>
      <c r="CW658" s="832"/>
      <c r="CX658" s="833" t="str">
        <f t="shared" si="581"/>
        <v>-</v>
      </c>
      <c r="CY658" s="840" t="str">
        <f t="shared" si="582"/>
        <v>-</v>
      </c>
      <c r="CZ658" s="833" t="str">
        <f t="shared" si="583"/>
        <v>-</v>
      </c>
      <c r="DA658" s="838" t="str">
        <f t="shared" ca="1" si="584"/>
        <v>-</v>
      </c>
      <c r="DB658" s="841"/>
      <c r="DC658" s="832"/>
    </row>
    <row r="659" spans="1:107" s="842" customFormat="1" ht="15.95" customHeight="1" x14ac:dyDescent="0.25">
      <c r="A659" s="790">
        <v>661</v>
      </c>
      <c r="B659" s="791">
        <f t="shared" ca="1" si="533"/>
        <v>43134</v>
      </c>
      <c r="C659" s="29" t="s">
        <v>2554</v>
      </c>
      <c r="D659" s="59" t="s">
        <v>2586</v>
      </c>
      <c r="E659" s="794" t="s">
        <v>1563</v>
      </c>
      <c r="F659" s="795" t="s">
        <v>1632</v>
      </c>
      <c r="G659" s="845"/>
      <c r="H659" s="797" t="s">
        <v>603</v>
      </c>
      <c r="I659" s="798">
        <v>42580</v>
      </c>
      <c r="J659" s="799">
        <f t="shared" ca="1" si="534"/>
        <v>1.5178082191780822</v>
      </c>
      <c r="K659" s="799">
        <f t="shared" ca="1" si="535"/>
        <v>18.466666666666665</v>
      </c>
      <c r="L659" s="800">
        <f t="shared" ca="1" si="536"/>
        <v>554</v>
      </c>
      <c r="M659" s="801"/>
      <c r="N659" s="802"/>
      <c r="O659" s="803" t="str">
        <f t="shared" ca="1" si="537"/>
        <v>-</v>
      </c>
      <c r="P659" s="804"/>
      <c r="Q659" s="805" t="s">
        <v>2366</v>
      </c>
      <c r="R659" s="806" t="s">
        <v>2909</v>
      </c>
      <c r="S659" s="807">
        <v>42947</v>
      </c>
      <c r="T659" s="798">
        <v>42947</v>
      </c>
      <c r="U659" s="798" t="str">
        <f t="shared" si="538"/>
        <v>-</v>
      </c>
      <c r="V659" s="804" t="str">
        <f t="shared" ca="1" si="539"/>
        <v>-</v>
      </c>
      <c r="W659" s="808">
        <v>1</v>
      </c>
      <c r="X659" s="794" t="str">
        <f t="shared" si="532"/>
        <v>-</v>
      </c>
      <c r="Y659" s="794">
        <v>1</v>
      </c>
      <c r="Z659" s="809" t="str">
        <f t="shared" ca="1" si="540"/>
        <v>-----</v>
      </c>
      <c r="AA659" s="810" t="str">
        <f t="shared" ca="1" si="541"/>
        <v>-----</v>
      </c>
      <c r="AB659" s="804">
        <v>1</v>
      </c>
      <c r="AC659" s="811" t="str">
        <f t="shared" ca="1" si="542"/>
        <v>-----</v>
      </c>
      <c r="AD659" s="798">
        <v>43020</v>
      </c>
      <c r="AE659" s="794" t="str">
        <f t="shared" ca="1" si="543"/>
        <v>-</v>
      </c>
      <c r="AF659" s="798" t="str">
        <f t="shared" si="544"/>
        <v>-</v>
      </c>
      <c r="AG659" s="812" t="str">
        <f t="shared" si="545"/>
        <v>---------</v>
      </c>
      <c r="AH659" s="807">
        <v>43020</v>
      </c>
      <c r="AI659" s="807" t="str">
        <f t="shared" si="546"/>
        <v>-</v>
      </c>
      <c r="AJ659" s="807" t="str">
        <f t="shared" si="547"/>
        <v>-</v>
      </c>
      <c r="AK659" s="813"/>
      <c r="AL659" s="807">
        <f t="shared" si="548"/>
        <v>43206</v>
      </c>
      <c r="AM659" s="807">
        <f t="shared" si="549"/>
        <v>43227</v>
      </c>
      <c r="AN659" s="814">
        <f t="shared" ca="1" si="550"/>
        <v>-93</v>
      </c>
      <c r="AO659" s="815">
        <v>1</v>
      </c>
      <c r="AP659" s="816" t="str">
        <f t="shared" ca="1" si="551"/>
        <v>-</v>
      </c>
      <c r="AQ659" s="817"/>
      <c r="AR659" s="794" t="str">
        <f t="shared" si="552"/>
        <v>НЕТЕЛЬ</v>
      </c>
      <c r="AS659" s="818"/>
      <c r="AT659" s="794" t="str">
        <f t="shared" si="553"/>
        <v>-</v>
      </c>
      <c r="AU659" s="819"/>
      <c r="AV659" s="820"/>
      <c r="AW659" s="821"/>
      <c r="AX659" s="821"/>
      <c r="AY659" s="969" t="str">
        <f t="shared" si="554"/>
        <v>-</v>
      </c>
      <c r="AZ659" s="966" t="str">
        <f t="shared" si="555"/>
        <v>-</v>
      </c>
      <c r="BA659" s="971" t="str">
        <f t="shared" si="556"/>
        <v>-</v>
      </c>
      <c r="BB659" s="975"/>
      <c r="BC659" s="821"/>
      <c r="BD659" s="821"/>
      <c r="BE659" s="963" t="str">
        <f t="shared" si="557"/>
        <v>-</v>
      </c>
      <c r="BF659" s="984"/>
      <c r="BG659" s="988"/>
      <c r="BH659" s="982"/>
      <c r="BI659" s="991"/>
      <c r="BJ659" s="991"/>
      <c r="BK659" s="993" t="str">
        <f t="shared" si="558"/>
        <v>-</v>
      </c>
      <c r="BL659" s="820">
        <v>42977</v>
      </c>
      <c r="BM659" s="821">
        <v>5</v>
      </c>
      <c r="BN659" s="822">
        <f t="shared" ca="1" si="559"/>
        <v>157</v>
      </c>
      <c r="BO659" s="823">
        <f t="shared" si="560"/>
        <v>13.233333333333333</v>
      </c>
      <c r="BP659" s="824"/>
      <c r="BQ659" s="821"/>
      <c r="BR659" s="822" t="str">
        <f t="shared" si="561"/>
        <v>-</v>
      </c>
      <c r="BS659" s="823" t="str">
        <f t="shared" si="562"/>
        <v>-</v>
      </c>
      <c r="BT659" s="825" t="str">
        <f t="shared" ca="1" si="563"/>
        <v>-</v>
      </c>
      <c r="BU659" s="826"/>
      <c r="BV659" s="827"/>
      <c r="BW659" s="828" t="str">
        <f t="shared" si="564"/>
        <v>Ж-Е НЕ ВАКЦ.</v>
      </c>
      <c r="BX659" s="829" t="str">
        <f t="shared" si="565"/>
        <v>-</v>
      </c>
      <c r="BY659" s="830" t="str">
        <f t="shared" ca="1" si="566"/>
        <v>-</v>
      </c>
      <c r="BZ659" s="831">
        <v>42892</v>
      </c>
      <c r="CA659" s="832">
        <v>5</v>
      </c>
      <c r="CB659" s="833">
        <f t="shared" ca="1" si="567"/>
        <v>242</v>
      </c>
      <c r="CC659" s="834" t="str">
        <f t="shared" ca="1" si="568"/>
        <v>-</v>
      </c>
      <c r="CD659" s="835">
        <f t="shared" si="569"/>
        <v>42913</v>
      </c>
      <c r="CE659" s="831">
        <v>42913</v>
      </c>
      <c r="CF659" s="832">
        <v>5</v>
      </c>
      <c r="CG659" s="833">
        <f t="shared" ca="1" si="570"/>
        <v>221</v>
      </c>
      <c r="CH659" s="836">
        <f t="shared" si="571"/>
        <v>0</v>
      </c>
      <c r="CI659" s="837" t="str">
        <f t="shared" si="572"/>
        <v>УСПЕШНО</v>
      </c>
      <c r="CJ659" s="838" t="str">
        <f t="shared" ca="1" si="573"/>
        <v>-</v>
      </c>
      <c r="CK659" s="831"/>
      <c r="CL659" s="832"/>
      <c r="CM659" s="833" t="str">
        <f t="shared" si="574"/>
        <v>-</v>
      </c>
      <c r="CN659" s="834" t="str">
        <f t="shared" si="575"/>
        <v>-</v>
      </c>
      <c r="CO659" s="830" t="str">
        <f t="shared" ca="1" si="576"/>
        <v>-</v>
      </c>
      <c r="CP659" s="839"/>
      <c r="CQ659" s="832"/>
      <c r="CR659" s="833" t="str">
        <f t="shared" si="577"/>
        <v>-</v>
      </c>
      <c r="CS659" s="833" t="str">
        <f t="shared" si="578"/>
        <v>-</v>
      </c>
      <c r="CT659" s="834" t="str">
        <f t="shared" si="579"/>
        <v>-</v>
      </c>
      <c r="CU659" s="835" t="str">
        <f t="shared" si="580"/>
        <v>-</v>
      </c>
      <c r="CV659" s="839"/>
      <c r="CW659" s="832"/>
      <c r="CX659" s="833" t="str">
        <f t="shared" si="581"/>
        <v>-</v>
      </c>
      <c r="CY659" s="840" t="str">
        <f t="shared" si="582"/>
        <v>-</v>
      </c>
      <c r="CZ659" s="833" t="str">
        <f t="shared" si="583"/>
        <v>-</v>
      </c>
      <c r="DA659" s="838" t="str">
        <f t="shared" ca="1" si="584"/>
        <v>-</v>
      </c>
      <c r="DB659" s="841"/>
      <c r="DC659" s="832"/>
    </row>
    <row r="660" spans="1:107" s="842" customFormat="1" ht="15.95" customHeight="1" x14ac:dyDescent="0.25">
      <c r="A660" s="790">
        <v>662</v>
      </c>
      <c r="B660" s="791">
        <f t="shared" ca="1" si="533"/>
        <v>43134</v>
      </c>
      <c r="C660" s="29" t="s">
        <v>2554</v>
      </c>
      <c r="D660" s="59" t="s">
        <v>2586</v>
      </c>
      <c r="E660" s="794" t="s">
        <v>1563</v>
      </c>
      <c r="F660" s="795" t="s">
        <v>1702</v>
      </c>
      <c r="G660" s="845"/>
      <c r="H660" s="797" t="s">
        <v>603</v>
      </c>
      <c r="I660" s="798">
        <v>42581</v>
      </c>
      <c r="J660" s="799">
        <f t="shared" ca="1" si="534"/>
        <v>1.515068493150685</v>
      </c>
      <c r="K660" s="799">
        <f t="shared" ca="1" si="535"/>
        <v>18.433333333333334</v>
      </c>
      <c r="L660" s="800">
        <f t="shared" ca="1" si="536"/>
        <v>553</v>
      </c>
      <c r="M660" s="801"/>
      <c r="N660" s="802"/>
      <c r="O660" s="803" t="str">
        <f t="shared" ca="1" si="537"/>
        <v>-</v>
      </c>
      <c r="P660" s="804"/>
      <c r="Q660" s="805" t="s">
        <v>2366</v>
      </c>
      <c r="R660" s="806" t="s">
        <v>2435</v>
      </c>
      <c r="S660" s="807">
        <v>42962</v>
      </c>
      <c r="T660" s="798">
        <v>42962</v>
      </c>
      <c r="U660" s="798" t="str">
        <f t="shared" si="538"/>
        <v>-</v>
      </c>
      <c r="V660" s="804" t="str">
        <f t="shared" ca="1" si="539"/>
        <v>-</v>
      </c>
      <c r="W660" s="808">
        <v>1</v>
      </c>
      <c r="X660" s="794" t="str">
        <f t="shared" si="532"/>
        <v>-</v>
      </c>
      <c r="Y660" s="794">
        <v>1</v>
      </c>
      <c r="Z660" s="809" t="str">
        <f t="shared" ca="1" si="540"/>
        <v>ПОДЛЕЖИТ ПЕРЕПРОВЕРКЕ</v>
      </c>
      <c r="AA660" s="810">
        <f t="shared" ca="1" si="541"/>
        <v>172</v>
      </c>
      <c r="AB660" s="804"/>
      <c r="AC660" s="811">
        <f t="shared" ca="1" si="542"/>
        <v>43034</v>
      </c>
      <c r="AD660" s="798"/>
      <c r="AE660" s="794" t="str">
        <f t="shared" ca="1" si="543"/>
        <v>-</v>
      </c>
      <c r="AF660" s="798" t="str">
        <f t="shared" si="544"/>
        <v>-</v>
      </c>
      <c r="AG660" s="812" t="str">
        <f t="shared" si="545"/>
        <v>---------</v>
      </c>
      <c r="AH660" s="807">
        <v>43032</v>
      </c>
      <c r="AI660" s="807" t="str">
        <f t="shared" si="546"/>
        <v>-</v>
      </c>
      <c r="AJ660" s="807" t="str">
        <f t="shared" si="547"/>
        <v>-</v>
      </c>
      <c r="AK660" s="813"/>
      <c r="AL660" s="807">
        <f t="shared" si="548"/>
        <v>43221</v>
      </c>
      <c r="AM660" s="807">
        <f t="shared" si="549"/>
        <v>43242</v>
      </c>
      <c r="AN660" s="814">
        <f t="shared" ca="1" si="550"/>
        <v>-108</v>
      </c>
      <c r="AO660" s="815">
        <v>1</v>
      </c>
      <c r="AP660" s="816" t="str">
        <f t="shared" ca="1" si="551"/>
        <v>-</v>
      </c>
      <c r="AQ660" s="817"/>
      <c r="AR660" s="794" t="str">
        <f t="shared" si="552"/>
        <v>НЕТЕЛЬ</v>
      </c>
      <c r="AS660" s="818"/>
      <c r="AT660" s="794" t="str">
        <f t="shared" si="553"/>
        <v>-</v>
      </c>
      <c r="AU660" s="819"/>
      <c r="AV660" s="820"/>
      <c r="AW660" s="821"/>
      <c r="AX660" s="821"/>
      <c r="AY660" s="969" t="str">
        <f t="shared" si="554"/>
        <v>-</v>
      </c>
      <c r="AZ660" s="966" t="str">
        <f t="shared" si="555"/>
        <v>-</v>
      </c>
      <c r="BA660" s="971" t="str">
        <f t="shared" si="556"/>
        <v>-</v>
      </c>
      <c r="BB660" s="975"/>
      <c r="BC660" s="821"/>
      <c r="BD660" s="821"/>
      <c r="BE660" s="963" t="str">
        <f t="shared" si="557"/>
        <v>-</v>
      </c>
      <c r="BF660" s="984"/>
      <c r="BG660" s="988"/>
      <c r="BH660" s="982"/>
      <c r="BI660" s="991"/>
      <c r="BJ660" s="991"/>
      <c r="BK660" s="993" t="str">
        <f t="shared" si="558"/>
        <v>-</v>
      </c>
      <c r="BL660" s="820">
        <v>42977</v>
      </c>
      <c r="BM660" s="821">
        <v>5</v>
      </c>
      <c r="BN660" s="822">
        <f t="shared" ca="1" si="559"/>
        <v>157</v>
      </c>
      <c r="BO660" s="823">
        <f t="shared" si="560"/>
        <v>13.2</v>
      </c>
      <c r="BP660" s="824"/>
      <c r="BQ660" s="821"/>
      <c r="BR660" s="822" t="str">
        <f t="shared" si="561"/>
        <v>-</v>
      </c>
      <c r="BS660" s="823" t="str">
        <f t="shared" si="562"/>
        <v>-</v>
      </c>
      <c r="BT660" s="825" t="str">
        <f t="shared" ca="1" si="563"/>
        <v>-</v>
      </c>
      <c r="BU660" s="826"/>
      <c r="BV660" s="827"/>
      <c r="BW660" s="828" t="str">
        <f t="shared" si="564"/>
        <v>Ж-Е НЕ ВАКЦ.</v>
      </c>
      <c r="BX660" s="829" t="str">
        <f t="shared" si="565"/>
        <v>-</v>
      </c>
      <c r="BY660" s="830" t="str">
        <f t="shared" ca="1" si="566"/>
        <v>-</v>
      </c>
      <c r="BZ660" s="831">
        <v>42892</v>
      </c>
      <c r="CA660" s="832">
        <v>5</v>
      </c>
      <c r="CB660" s="833">
        <f t="shared" ca="1" si="567"/>
        <v>242</v>
      </c>
      <c r="CC660" s="834" t="str">
        <f t="shared" ca="1" si="568"/>
        <v>-</v>
      </c>
      <c r="CD660" s="835">
        <f t="shared" si="569"/>
        <v>42913</v>
      </c>
      <c r="CE660" s="831">
        <v>42913</v>
      </c>
      <c r="CF660" s="832">
        <v>5</v>
      </c>
      <c r="CG660" s="833">
        <f t="shared" ca="1" si="570"/>
        <v>221</v>
      </c>
      <c r="CH660" s="836">
        <f t="shared" si="571"/>
        <v>0</v>
      </c>
      <c r="CI660" s="837" t="str">
        <f t="shared" si="572"/>
        <v>УСПЕШНО</v>
      </c>
      <c r="CJ660" s="838" t="str">
        <f t="shared" ca="1" si="573"/>
        <v>-</v>
      </c>
      <c r="CK660" s="831"/>
      <c r="CL660" s="832"/>
      <c r="CM660" s="833" t="str">
        <f t="shared" si="574"/>
        <v>-</v>
      </c>
      <c r="CN660" s="834" t="str">
        <f t="shared" si="575"/>
        <v>-</v>
      </c>
      <c r="CO660" s="830" t="str">
        <f t="shared" ca="1" si="576"/>
        <v>-</v>
      </c>
      <c r="CP660" s="839"/>
      <c r="CQ660" s="832"/>
      <c r="CR660" s="833" t="str">
        <f t="shared" si="577"/>
        <v>-</v>
      </c>
      <c r="CS660" s="833" t="str">
        <f t="shared" si="578"/>
        <v>-</v>
      </c>
      <c r="CT660" s="834" t="str">
        <f t="shared" si="579"/>
        <v>-</v>
      </c>
      <c r="CU660" s="835" t="str">
        <f t="shared" si="580"/>
        <v>-</v>
      </c>
      <c r="CV660" s="839"/>
      <c r="CW660" s="832"/>
      <c r="CX660" s="833" t="str">
        <f t="shared" si="581"/>
        <v>-</v>
      </c>
      <c r="CY660" s="840" t="str">
        <f t="shared" si="582"/>
        <v>-</v>
      </c>
      <c r="CZ660" s="833" t="str">
        <f t="shared" si="583"/>
        <v>-</v>
      </c>
      <c r="DA660" s="838" t="str">
        <f t="shared" ca="1" si="584"/>
        <v>-</v>
      </c>
      <c r="DB660" s="841"/>
      <c r="DC660" s="832"/>
    </row>
    <row r="661" spans="1:107" s="842" customFormat="1" ht="15.95" customHeight="1" x14ac:dyDescent="0.25">
      <c r="A661" s="790">
        <v>663</v>
      </c>
      <c r="B661" s="791">
        <f t="shared" ca="1" si="533"/>
        <v>43134</v>
      </c>
      <c r="C661" s="29" t="s">
        <v>2554</v>
      </c>
      <c r="D661" s="59" t="s">
        <v>2586</v>
      </c>
      <c r="E661" s="794" t="s">
        <v>1563</v>
      </c>
      <c r="F661" s="795" t="s">
        <v>1707</v>
      </c>
      <c r="G661" s="845"/>
      <c r="H661" s="797" t="s">
        <v>603</v>
      </c>
      <c r="I661" s="798">
        <v>42584</v>
      </c>
      <c r="J661" s="799">
        <f t="shared" ca="1" si="534"/>
        <v>1.5068493150684932</v>
      </c>
      <c r="K661" s="799">
        <f t="shared" ca="1" si="535"/>
        <v>18.333333333333332</v>
      </c>
      <c r="L661" s="800">
        <f t="shared" ca="1" si="536"/>
        <v>550</v>
      </c>
      <c r="M661" s="801"/>
      <c r="N661" s="802"/>
      <c r="O661" s="803" t="str">
        <f t="shared" ca="1" si="537"/>
        <v>-</v>
      </c>
      <c r="P661" s="804"/>
      <c r="Q661" s="805" t="s">
        <v>2366</v>
      </c>
      <c r="R661" s="806" t="s">
        <v>2967</v>
      </c>
      <c r="S661" s="807">
        <v>42969</v>
      </c>
      <c r="T661" s="798">
        <v>42969</v>
      </c>
      <c r="U661" s="798" t="str">
        <f t="shared" si="538"/>
        <v>-</v>
      </c>
      <c r="V661" s="804" t="str">
        <f t="shared" ca="1" si="539"/>
        <v>-</v>
      </c>
      <c r="W661" s="808">
        <v>1</v>
      </c>
      <c r="X661" s="794" t="str">
        <f t="shared" si="532"/>
        <v>-</v>
      </c>
      <c r="Y661" s="794">
        <v>1</v>
      </c>
      <c r="Z661" s="809" t="str">
        <f t="shared" ca="1" si="540"/>
        <v>ПОДЛЕЖИТ ПЕРЕПРОВЕРКЕ</v>
      </c>
      <c r="AA661" s="810">
        <f t="shared" ca="1" si="541"/>
        <v>165</v>
      </c>
      <c r="AB661" s="804"/>
      <c r="AC661" s="811">
        <f t="shared" ca="1" si="542"/>
        <v>43041</v>
      </c>
      <c r="AD661" s="798"/>
      <c r="AE661" s="794" t="str">
        <f t="shared" ca="1" si="543"/>
        <v>-</v>
      </c>
      <c r="AF661" s="798" t="str">
        <f t="shared" si="544"/>
        <v>-</v>
      </c>
      <c r="AG661" s="812" t="str">
        <f t="shared" si="545"/>
        <v>---------</v>
      </c>
      <c r="AH661" s="807">
        <v>43032</v>
      </c>
      <c r="AI661" s="807" t="str">
        <f t="shared" si="546"/>
        <v>-</v>
      </c>
      <c r="AJ661" s="807" t="str">
        <f t="shared" si="547"/>
        <v>-</v>
      </c>
      <c r="AK661" s="813"/>
      <c r="AL661" s="807">
        <f t="shared" si="548"/>
        <v>43228</v>
      </c>
      <c r="AM661" s="807">
        <f t="shared" si="549"/>
        <v>43249</v>
      </c>
      <c r="AN661" s="814">
        <f t="shared" ca="1" si="550"/>
        <v>-115</v>
      </c>
      <c r="AO661" s="815">
        <v>1</v>
      </c>
      <c r="AP661" s="816" t="str">
        <f t="shared" ca="1" si="551"/>
        <v>-</v>
      </c>
      <c r="AQ661" s="817"/>
      <c r="AR661" s="794" t="str">
        <f t="shared" si="552"/>
        <v>НЕТЕЛЬ</v>
      </c>
      <c r="AS661" s="818"/>
      <c r="AT661" s="794" t="str">
        <f t="shared" si="553"/>
        <v>-</v>
      </c>
      <c r="AU661" s="819"/>
      <c r="AV661" s="820"/>
      <c r="AW661" s="821"/>
      <c r="AX661" s="821"/>
      <c r="AY661" s="969" t="str">
        <f t="shared" si="554"/>
        <v>-</v>
      </c>
      <c r="AZ661" s="966" t="str">
        <f t="shared" si="555"/>
        <v>-</v>
      </c>
      <c r="BA661" s="971" t="str">
        <f t="shared" si="556"/>
        <v>-</v>
      </c>
      <c r="BB661" s="975"/>
      <c r="BC661" s="821"/>
      <c r="BD661" s="821"/>
      <c r="BE661" s="963" t="str">
        <f t="shared" si="557"/>
        <v>-</v>
      </c>
      <c r="BF661" s="984"/>
      <c r="BG661" s="988"/>
      <c r="BH661" s="982"/>
      <c r="BI661" s="991"/>
      <c r="BJ661" s="991"/>
      <c r="BK661" s="993" t="str">
        <f t="shared" si="558"/>
        <v>-</v>
      </c>
      <c r="BL661" s="820">
        <v>42977</v>
      </c>
      <c r="BM661" s="821">
        <v>5</v>
      </c>
      <c r="BN661" s="822">
        <f t="shared" ca="1" si="559"/>
        <v>157</v>
      </c>
      <c r="BO661" s="823">
        <f t="shared" si="560"/>
        <v>13.1</v>
      </c>
      <c r="BP661" s="824"/>
      <c r="BQ661" s="821"/>
      <c r="BR661" s="822" t="str">
        <f t="shared" si="561"/>
        <v>-</v>
      </c>
      <c r="BS661" s="823" t="str">
        <f t="shared" si="562"/>
        <v>-</v>
      </c>
      <c r="BT661" s="825" t="str">
        <f t="shared" ca="1" si="563"/>
        <v>-</v>
      </c>
      <c r="BU661" s="826"/>
      <c r="BV661" s="827"/>
      <c r="BW661" s="828" t="str">
        <f t="shared" si="564"/>
        <v>Ж-Е НЕ ВАКЦ.</v>
      </c>
      <c r="BX661" s="829" t="str">
        <f t="shared" si="565"/>
        <v>-</v>
      </c>
      <c r="BY661" s="830" t="str">
        <f t="shared" ca="1" si="566"/>
        <v>-</v>
      </c>
      <c r="BZ661" s="831">
        <v>42892</v>
      </c>
      <c r="CA661" s="832">
        <v>5</v>
      </c>
      <c r="CB661" s="833">
        <f t="shared" ca="1" si="567"/>
        <v>242</v>
      </c>
      <c r="CC661" s="834" t="str">
        <f t="shared" ca="1" si="568"/>
        <v>-</v>
      </c>
      <c r="CD661" s="835">
        <f t="shared" si="569"/>
        <v>42913</v>
      </c>
      <c r="CE661" s="831">
        <v>42913</v>
      </c>
      <c r="CF661" s="832">
        <v>5</v>
      </c>
      <c r="CG661" s="833">
        <f t="shared" ca="1" si="570"/>
        <v>221</v>
      </c>
      <c r="CH661" s="836">
        <f t="shared" si="571"/>
        <v>0</v>
      </c>
      <c r="CI661" s="837" t="str">
        <f t="shared" si="572"/>
        <v>УСПЕШНО</v>
      </c>
      <c r="CJ661" s="838" t="str">
        <f t="shared" ca="1" si="573"/>
        <v>-</v>
      </c>
      <c r="CK661" s="831"/>
      <c r="CL661" s="832"/>
      <c r="CM661" s="833" t="str">
        <f t="shared" si="574"/>
        <v>-</v>
      </c>
      <c r="CN661" s="834" t="str">
        <f t="shared" si="575"/>
        <v>-</v>
      </c>
      <c r="CO661" s="830" t="str">
        <f t="shared" ca="1" si="576"/>
        <v>-</v>
      </c>
      <c r="CP661" s="839"/>
      <c r="CQ661" s="832"/>
      <c r="CR661" s="833" t="str">
        <f t="shared" si="577"/>
        <v>-</v>
      </c>
      <c r="CS661" s="833" t="str">
        <f t="shared" si="578"/>
        <v>-</v>
      </c>
      <c r="CT661" s="834" t="str">
        <f t="shared" si="579"/>
        <v>-</v>
      </c>
      <c r="CU661" s="835" t="str">
        <f t="shared" si="580"/>
        <v>-</v>
      </c>
      <c r="CV661" s="839"/>
      <c r="CW661" s="832"/>
      <c r="CX661" s="833" t="str">
        <f t="shared" si="581"/>
        <v>-</v>
      </c>
      <c r="CY661" s="840" t="str">
        <f t="shared" si="582"/>
        <v>-</v>
      </c>
      <c r="CZ661" s="833" t="str">
        <f t="shared" si="583"/>
        <v>-</v>
      </c>
      <c r="DA661" s="838" t="str">
        <f t="shared" ca="1" si="584"/>
        <v>-</v>
      </c>
      <c r="DB661" s="841"/>
      <c r="DC661" s="832"/>
    </row>
    <row r="662" spans="1:107" s="842" customFormat="1" ht="15.95" customHeight="1" x14ac:dyDescent="0.25">
      <c r="A662" s="790">
        <v>664</v>
      </c>
      <c r="B662" s="791">
        <f t="shared" ca="1" si="533"/>
        <v>43134</v>
      </c>
      <c r="C662" s="29" t="s">
        <v>2554</v>
      </c>
      <c r="D662" s="59" t="s">
        <v>2586</v>
      </c>
      <c r="E662" s="794" t="s">
        <v>1563</v>
      </c>
      <c r="F662" s="795" t="s">
        <v>1709</v>
      </c>
      <c r="G662" s="845"/>
      <c r="H662" s="797" t="s">
        <v>603</v>
      </c>
      <c r="I662" s="798">
        <v>42585</v>
      </c>
      <c r="J662" s="799">
        <f t="shared" ca="1" si="534"/>
        <v>1.5041095890410958</v>
      </c>
      <c r="K662" s="799">
        <f t="shared" ca="1" si="535"/>
        <v>18.3</v>
      </c>
      <c r="L662" s="800">
        <f t="shared" ca="1" si="536"/>
        <v>549</v>
      </c>
      <c r="M662" s="801"/>
      <c r="N662" s="802"/>
      <c r="O662" s="803" t="str">
        <f t="shared" ca="1" si="537"/>
        <v>-</v>
      </c>
      <c r="P662" s="804"/>
      <c r="Q662" s="805" t="s">
        <v>2366</v>
      </c>
      <c r="R662" s="806" t="s">
        <v>2967</v>
      </c>
      <c r="S662" s="807">
        <v>42969</v>
      </c>
      <c r="T662" s="798">
        <v>42969</v>
      </c>
      <c r="U662" s="798" t="str">
        <f t="shared" si="538"/>
        <v>-</v>
      </c>
      <c r="V662" s="804" t="str">
        <f t="shared" ca="1" si="539"/>
        <v>-</v>
      </c>
      <c r="W662" s="808">
        <v>1</v>
      </c>
      <c r="X662" s="794" t="str">
        <f t="shared" si="532"/>
        <v>-</v>
      </c>
      <c r="Y662" s="794">
        <v>1</v>
      </c>
      <c r="Z662" s="809" t="str">
        <f t="shared" ca="1" si="540"/>
        <v>ПОДЛЕЖИТ ПЕРЕПРОВЕРКЕ</v>
      </c>
      <c r="AA662" s="810">
        <f t="shared" ca="1" si="541"/>
        <v>165</v>
      </c>
      <c r="AB662" s="804"/>
      <c r="AC662" s="811">
        <f t="shared" ca="1" si="542"/>
        <v>43041</v>
      </c>
      <c r="AD662" s="798"/>
      <c r="AE662" s="794" t="str">
        <f t="shared" ca="1" si="543"/>
        <v>-</v>
      </c>
      <c r="AF662" s="798" t="str">
        <f t="shared" si="544"/>
        <v>-</v>
      </c>
      <c r="AG662" s="812" t="str">
        <f t="shared" si="545"/>
        <v>---------</v>
      </c>
      <c r="AH662" s="807">
        <v>43032</v>
      </c>
      <c r="AI662" s="807" t="str">
        <f t="shared" si="546"/>
        <v>-</v>
      </c>
      <c r="AJ662" s="807" t="str">
        <f t="shared" si="547"/>
        <v>-</v>
      </c>
      <c r="AK662" s="813"/>
      <c r="AL662" s="807">
        <f t="shared" si="548"/>
        <v>43228</v>
      </c>
      <c r="AM662" s="807">
        <f t="shared" si="549"/>
        <v>43249</v>
      </c>
      <c r="AN662" s="814">
        <f t="shared" ca="1" si="550"/>
        <v>-115</v>
      </c>
      <c r="AO662" s="815">
        <v>1</v>
      </c>
      <c r="AP662" s="816" t="str">
        <f t="shared" ca="1" si="551"/>
        <v>-</v>
      </c>
      <c r="AQ662" s="817"/>
      <c r="AR662" s="794" t="str">
        <f t="shared" si="552"/>
        <v>НЕТЕЛЬ</v>
      </c>
      <c r="AS662" s="818"/>
      <c r="AT662" s="794" t="str">
        <f t="shared" si="553"/>
        <v>-</v>
      </c>
      <c r="AU662" s="819"/>
      <c r="AV662" s="820"/>
      <c r="AW662" s="821"/>
      <c r="AX662" s="821"/>
      <c r="AY662" s="969" t="str">
        <f t="shared" si="554"/>
        <v>-</v>
      </c>
      <c r="AZ662" s="966" t="str">
        <f t="shared" si="555"/>
        <v>-</v>
      </c>
      <c r="BA662" s="971" t="str">
        <f t="shared" si="556"/>
        <v>-</v>
      </c>
      <c r="BB662" s="975"/>
      <c r="BC662" s="821"/>
      <c r="BD662" s="821"/>
      <c r="BE662" s="963" t="str">
        <f t="shared" si="557"/>
        <v>-</v>
      </c>
      <c r="BF662" s="984"/>
      <c r="BG662" s="988"/>
      <c r="BH662" s="982"/>
      <c r="BI662" s="991"/>
      <c r="BJ662" s="991"/>
      <c r="BK662" s="993" t="str">
        <f t="shared" si="558"/>
        <v>-</v>
      </c>
      <c r="BL662" s="820">
        <v>42977</v>
      </c>
      <c r="BM662" s="821">
        <v>5</v>
      </c>
      <c r="BN662" s="822">
        <f t="shared" ca="1" si="559"/>
        <v>157</v>
      </c>
      <c r="BO662" s="823">
        <f t="shared" si="560"/>
        <v>13.066666666666666</v>
      </c>
      <c r="BP662" s="824"/>
      <c r="BQ662" s="821"/>
      <c r="BR662" s="822" t="str">
        <f t="shared" si="561"/>
        <v>-</v>
      </c>
      <c r="BS662" s="823" t="str">
        <f t="shared" si="562"/>
        <v>-</v>
      </c>
      <c r="BT662" s="825" t="str">
        <f t="shared" ca="1" si="563"/>
        <v>-</v>
      </c>
      <c r="BU662" s="826"/>
      <c r="BV662" s="827"/>
      <c r="BW662" s="828" t="str">
        <f t="shared" si="564"/>
        <v>Ж-Е НЕ ВАКЦ.</v>
      </c>
      <c r="BX662" s="829" t="str">
        <f t="shared" si="565"/>
        <v>-</v>
      </c>
      <c r="BY662" s="830" t="str">
        <f t="shared" ca="1" si="566"/>
        <v>-</v>
      </c>
      <c r="BZ662" s="831">
        <v>42891</v>
      </c>
      <c r="CA662" s="832">
        <v>5</v>
      </c>
      <c r="CB662" s="833">
        <f t="shared" ca="1" si="567"/>
        <v>243</v>
      </c>
      <c r="CC662" s="834" t="str">
        <f t="shared" ca="1" si="568"/>
        <v>-</v>
      </c>
      <c r="CD662" s="835">
        <f t="shared" si="569"/>
        <v>42912</v>
      </c>
      <c r="CE662" s="831">
        <v>42912</v>
      </c>
      <c r="CF662" s="832">
        <v>5</v>
      </c>
      <c r="CG662" s="833">
        <f t="shared" ca="1" si="570"/>
        <v>222</v>
      </c>
      <c r="CH662" s="836">
        <f t="shared" si="571"/>
        <v>0</v>
      </c>
      <c r="CI662" s="837" t="str">
        <f t="shared" si="572"/>
        <v>УСПЕШНО</v>
      </c>
      <c r="CJ662" s="838" t="str">
        <f t="shared" ca="1" si="573"/>
        <v>-</v>
      </c>
      <c r="CK662" s="831"/>
      <c r="CL662" s="832"/>
      <c r="CM662" s="833" t="str">
        <f t="shared" si="574"/>
        <v>-</v>
      </c>
      <c r="CN662" s="834" t="str">
        <f t="shared" si="575"/>
        <v>-</v>
      </c>
      <c r="CO662" s="830" t="str">
        <f t="shared" ca="1" si="576"/>
        <v>-</v>
      </c>
      <c r="CP662" s="839"/>
      <c r="CQ662" s="832"/>
      <c r="CR662" s="833" t="str">
        <f t="shared" si="577"/>
        <v>-</v>
      </c>
      <c r="CS662" s="833" t="str">
        <f t="shared" si="578"/>
        <v>-</v>
      </c>
      <c r="CT662" s="834" t="str">
        <f t="shared" si="579"/>
        <v>-</v>
      </c>
      <c r="CU662" s="835" t="str">
        <f t="shared" si="580"/>
        <v>-</v>
      </c>
      <c r="CV662" s="839"/>
      <c r="CW662" s="832"/>
      <c r="CX662" s="833" t="str">
        <f t="shared" si="581"/>
        <v>-</v>
      </c>
      <c r="CY662" s="840" t="str">
        <f t="shared" si="582"/>
        <v>-</v>
      </c>
      <c r="CZ662" s="833" t="str">
        <f t="shared" si="583"/>
        <v>-</v>
      </c>
      <c r="DA662" s="838" t="str">
        <f t="shared" ca="1" si="584"/>
        <v>-</v>
      </c>
      <c r="DB662" s="841"/>
      <c r="DC662" s="832"/>
    </row>
    <row r="663" spans="1:107" s="842" customFormat="1" ht="15.95" customHeight="1" x14ac:dyDescent="0.25">
      <c r="A663" s="790">
        <v>665</v>
      </c>
      <c r="B663" s="791">
        <f t="shared" ca="1" si="533"/>
        <v>43134</v>
      </c>
      <c r="C663" s="29" t="s">
        <v>2554</v>
      </c>
      <c r="D663" s="59" t="s">
        <v>2586</v>
      </c>
      <c r="E663" s="794" t="s">
        <v>1563</v>
      </c>
      <c r="F663" s="795" t="s">
        <v>1712</v>
      </c>
      <c r="G663" s="845"/>
      <c r="H663" s="797" t="s">
        <v>603</v>
      </c>
      <c r="I663" s="798">
        <v>42586</v>
      </c>
      <c r="J663" s="799">
        <f t="shared" ca="1" si="534"/>
        <v>1.5013698630136987</v>
      </c>
      <c r="K663" s="799">
        <f t="shared" ca="1" si="535"/>
        <v>18.266666666666666</v>
      </c>
      <c r="L663" s="800">
        <f t="shared" ca="1" si="536"/>
        <v>548</v>
      </c>
      <c r="M663" s="801"/>
      <c r="N663" s="802"/>
      <c r="O663" s="803" t="str">
        <f t="shared" ca="1" si="537"/>
        <v>-</v>
      </c>
      <c r="P663" s="804"/>
      <c r="Q663" s="805" t="s">
        <v>1451</v>
      </c>
      <c r="R663" s="806" t="s">
        <v>2435</v>
      </c>
      <c r="S663" s="807">
        <v>42963</v>
      </c>
      <c r="T663" s="798">
        <v>42963</v>
      </c>
      <c r="U663" s="798" t="str">
        <f t="shared" si="538"/>
        <v>-</v>
      </c>
      <c r="V663" s="804" t="str">
        <f t="shared" ca="1" si="539"/>
        <v>-</v>
      </c>
      <c r="W663" s="808">
        <v>1</v>
      </c>
      <c r="X663" s="794" t="str">
        <f t="shared" si="532"/>
        <v>-</v>
      </c>
      <c r="Y663" s="794">
        <v>1</v>
      </c>
      <c r="Z663" s="809" t="str">
        <f t="shared" ca="1" si="540"/>
        <v>ПОДЛЕЖИТ ПЕРЕПРОВЕРКЕ</v>
      </c>
      <c r="AA663" s="810">
        <f t="shared" ca="1" si="541"/>
        <v>171</v>
      </c>
      <c r="AB663" s="804"/>
      <c r="AC663" s="811">
        <f t="shared" ca="1" si="542"/>
        <v>43035</v>
      </c>
      <c r="AD663" s="798"/>
      <c r="AE663" s="794" t="str">
        <f t="shared" ca="1" si="543"/>
        <v>-</v>
      </c>
      <c r="AF663" s="798" t="str">
        <f t="shared" si="544"/>
        <v>-</v>
      </c>
      <c r="AG663" s="812" t="str">
        <f t="shared" si="545"/>
        <v>---------</v>
      </c>
      <c r="AH663" s="807">
        <v>43032</v>
      </c>
      <c r="AI663" s="807" t="str">
        <f t="shared" si="546"/>
        <v>-</v>
      </c>
      <c r="AJ663" s="807" t="str">
        <f t="shared" si="547"/>
        <v>-</v>
      </c>
      <c r="AK663" s="813"/>
      <c r="AL663" s="807">
        <f t="shared" si="548"/>
        <v>43222</v>
      </c>
      <c r="AM663" s="807">
        <f t="shared" si="549"/>
        <v>43243</v>
      </c>
      <c r="AN663" s="814">
        <f t="shared" ca="1" si="550"/>
        <v>-109</v>
      </c>
      <c r="AO663" s="815">
        <v>1</v>
      </c>
      <c r="AP663" s="816" t="str">
        <f t="shared" ca="1" si="551"/>
        <v>-</v>
      </c>
      <c r="AQ663" s="817"/>
      <c r="AR663" s="794" t="str">
        <f t="shared" si="552"/>
        <v>НЕТЕЛЬ</v>
      </c>
      <c r="AS663" s="818"/>
      <c r="AT663" s="794" t="str">
        <f t="shared" si="553"/>
        <v>-</v>
      </c>
      <c r="AU663" s="819"/>
      <c r="AV663" s="820"/>
      <c r="AW663" s="821"/>
      <c r="AX663" s="821"/>
      <c r="AY663" s="969" t="str">
        <f t="shared" si="554"/>
        <v>-</v>
      </c>
      <c r="AZ663" s="966" t="str">
        <f t="shared" si="555"/>
        <v>-</v>
      </c>
      <c r="BA663" s="971" t="str">
        <f t="shared" si="556"/>
        <v>-</v>
      </c>
      <c r="BB663" s="975"/>
      <c r="BC663" s="821"/>
      <c r="BD663" s="821"/>
      <c r="BE663" s="963" t="str">
        <f t="shared" si="557"/>
        <v>-</v>
      </c>
      <c r="BF663" s="984"/>
      <c r="BG663" s="988"/>
      <c r="BH663" s="982"/>
      <c r="BI663" s="991"/>
      <c r="BJ663" s="991"/>
      <c r="BK663" s="993" t="str">
        <f t="shared" si="558"/>
        <v>-</v>
      </c>
      <c r="BL663" s="820">
        <v>42977</v>
      </c>
      <c r="BM663" s="821">
        <v>5</v>
      </c>
      <c r="BN663" s="822">
        <f t="shared" ca="1" si="559"/>
        <v>157</v>
      </c>
      <c r="BO663" s="823">
        <f t="shared" si="560"/>
        <v>13.033333333333333</v>
      </c>
      <c r="BP663" s="824"/>
      <c r="BQ663" s="821"/>
      <c r="BR663" s="822" t="str">
        <f t="shared" si="561"/>
        <v>-</v>
      </c>
      <c r="BS663" s="823" t="str">
        <f t="shared" si="562"/>
        <v>-</v>
      </c>
      <c r="BT663" s="825" t="str">
        <f t="shared" ca="1" si="563"/>
        <v>-</v>
      </c>
      <c r="BU663" s="826"/>
      <c r="BV663" s="827"/>
      <c r="BW663" s="828" t="str">
        <f t="shared" si="564"/>
        <v>Ж-Е НЕ ВАКЦ.</v>
      </c>
      <c r="BX663" s="829" t="str">
        <f t="shared" si="565"/>
        <v>-</v>
      </c>
      <c r="BY663" s="830" t="str">
        <f t="shared" ca="1" si="566"/>
        <v>-</v>
      </c>
      <c r="BZ663" s="831">
        <v>42892</v>
      </c>
      <c r="CA663" s="832">
        <v>5</v>
      </c>
      <c r="CB663" s="833">
        <f t="shared" ca="1" si="567"/>
        <v>242</v>
      </c>
      <c r="CC663" s="834" t="str">
        <f t="shared" ca="1" si="568"/>
        <v>-</v>
      </c>
      <c r="CD663" s="835">
        <f t="shared" si="569"/>
        <v>42913</v>
      </c>
      <c r="CE663" s="831">
        <v>42913</v>
      </c>
      <c r="CF663" s="832">
        <v>5</v>
      </c>
      <c r="CG663" s="833">
        <f t="shared" ca="1" si="570"/>
        <v>221</v>
      </c>
      <c r="CH663" s="836">
        <f t="shared" si="571"/>
        <v>0</v>
      </c>
      <c r="CI663" s="837" t="str">
        <f t="shared" si="572"/>
        <v>УСПЕШНО</v>
      </c>
      <c r="CJ663" s="838" t="str">
        <f t="shared" ca="1" si="573"/>
        <v>-</v>
      </c>
      <c r="CK663" s="831"/>
      <c r="CL663" s="832"/>
      <c r="CM663" s="833" t="str">
        <f t="shared" si="574"/>
        <v>-</v>
      </c>
      <c r="CN663" s="834" t="str">
        <f t="shared" si="575"/>
        <v>-</v>
      </c>
      <c r="CO663" s="830" t="str">
        <f t="shared" ca="1" si="576"/>
        <v>-</v>
      </c>
      <c r="CP663" s="839"/>
      <c r="CQ663" s="832"/>
      <c r="CR663" s="833" t="str">
        <f t="shared" si="577"/>
        <v>-</v>
      </c>
      <c r="CS663" s="833" t="str">
        <f t="shared" si="578"/>
        <v>-</v>
      </c>
      <c r="CT663" s="834" t="str">
        <f t="shared" si="579"/>
        <v>-</v>
      </c>
      <c r="CU663" s="835" t="str">
        <f t="shared" si="580"/>
        <v>-</v>
      </c>
      <c r="CV663" s="839"/>
      <c r="CW663" s="832"/>
      <c r="CX663" s="833" t="str">
        <f t="shared" si="581"/>
        <v>-</v>
      </c>
      <c r="CY663" s="840" t="str">
        <f t="shared" si="582"/>
        <v>-</v>
      </c>
      <c r="CZ663" s="833" t="str">
        <f t="shared" si="583"/>
        <v>-</v>
      </c>
      <c r="DA663" s="838" t="str">
        <f t="shared" ca="1" si="584"/>
        <v>-</v>
      </c>
      <c r="DB663" s="841"/>
      <c r="DC663" s="832"/>
    </row>
    <row r="664" spans="1:107" s="842" customFormat="1" ht="15.95" customHeight="1" x14ac:dyDescent="0.25">
      <c r="A664" s="790">
        <v>666</v>
      </c>
      <c r="B664" s="791">
        <f t="shared" ca="1" si="533"/>
        <v>43134</v>
      </c>
      <c r="C664" s="29" t="s">
        <v>2554</v>
      </c>
      <c r="D664" s="59" t="s">
        <v>2586</v>
      </c>
      <c r="E664" s="794" t="s">
        <v>1563</v>
      </c>
      <c r="F664" s="795" t="s">
        <v>1819</v>
      </c>
      <c r="G664" s="845"/>
      <c r="H664" s="797" t="s">
        <v>603</v>
      </c>
      <c r="I664" s="798">
        <v>42590</v>
      </c>
      <c r="J664" s="799">
        <f t="shared" ca="1" si="534"/>
        <v>1.4904109589041097</v>
      </c>
      <c r="K664" s="799">
        <f t="shared" ca="1" si="535"/>
        <v>18.133333333333333</v>
      </c>
      <c r="L664" s="800">
        <f t="shared" ca="1" si="536"/>
        <v>544</v>
      </c>
      <c r="M664" s="801"/>
      <c r="N664" s="802"/>
      <c r="O664" s="803" t="str">
        <f t="shared" ca="1" si="537"/>
        <v>-</v>
      </c>
      <c r="P664" s="804"/>
      <c r="Q664" s="805" t="s">
        <v>2366</v>
      </c>
      <c r="R664" s="806" t="s">
        <v>2435</v>
      </c>
      <c r="S664" s="807">
        <v>42958</v>
      </c>
      <c r="T664" s="798">
        <v>42958</v>
      </c>
      <c r="U664" s="798" t="str">
        <f t="shared" si="538"/>
        <v>-</v>
      </c>
      <c r="V664" s="804" t="str">
        <f t="shared" ca="1" si="539"/>
        <v>-</v>
      </c>
      <c r="W664" s="808">
        <v>1</v>
      </c>
      <c r="X664" s="794" t="str">
        <f t="shared" si="532"/>
        <v>-</v>
      </c>
      <c r="Y664" s="794">
        <v>1</v>
      </c>
      <c r="Z664" s="809" t="str">
        <f t="shared" ca="1" si="540"/>
        <v>-----</v>
      </c>
      <c r="AA664" s="810" t="str">
        <f t="shared" ca="1" si="541"/>
        <v>-----</v>
      </c>
      <c r="AB664" s="804">
        <v>1</v>
      </c>
      <c r="AC664" s="811" t="str">
        <f t="shared" ca="1" si="542"/>
        <v>-----</v>
      </c>
      <c r="AD664" s="798">
        <v>43020</v>
      </c>
      <c r="AE664" s="794" t="str">
        <f t="shared" ca="1" si="543"/>
        <v>-</v>
      </c>
      <c r="AF664" s="798" t="str">
        <f t="shared" si="544"/>
        <v>-</v>
      </c>
      <c r="AG664" s="812" t="str">
        <f t="shared" si="545"/>
        <v>---------</v>
      </c>
      <c r="AH664" s="807">
        <v>43020</v>
      </c>
      <c r="AI664" s="807" t="str">
        <f t="shared" si="546"/>
        <v>-</v>
      </c>
      <c r="AJ664" s="807" t="str">
        <f t="shared" si="547"/>
        <v>-</v>
      </c>
      <c r="AK664" s="813"/>
      <c r="AL664" s="807">
        <f t="shared" si="548"/>
        <v>43217</v>
      </c>
      <c r="AM664" s="807">
        <f t="shared" si="549"/>
        <v>43238</v>
      </c>
      <c r="AN664" s="814">
        <f t="shared" ca="1" si="550"/>
        <v>-104</v>
      </c>
      <c r="AO664" s="815">
        <v>1</v>
      </c>
      <c r="AP664" s="816" t="str">
        <f t="shared" ca="1" si="551"/>
        <v>-</v>
      </c>
      <c r="AQ664" s="817"/>
      <c r="AR664" s="794" t="str">
        <f t="shared" si="552"/>
        <v>НЕТЕЛЬ</v>
      </c>
      <c r="AS664" s="818"/>
      <c r="AT664" s="794" t="str">
        <f t="shared" si="553"/>
        <v>-</v>
      </c>
      <c r="AU664" s="819"/>
      <c r="AV664" s="820"/>
      <c r="AW664" s="821"/>
      <c r="AX664" s="821"/>
      <c r="AY664" s="969" t="str">
        <f t="shared" si="554"/>
        <v>-</v>
      </c>
      <c r="AZ664" s="966" t="str">
        <f t="shared" si="555"/>
        <v>-</v>
      </c>
      <c r="BA664" s="971" t="str">
        <f t="shared" si="556"/>
        <v>-</v>
      </c>
      <c r="BB664" s="975"/>
      <c r="BC664" s="821"/>
      <c r="BD664" s="821"/>
      <c r="BE664" s="963" t="str">
        <f t="shared" si="557"/>
        <v>-</v>
      </c>
      <c r="BF664" s="984"/>
      <c r="BG664" s="988"/>
      <c r="BH664" s="982"/>
      <c r="BI664" s="991"/>
      <c r="BJ664" s="991"/>
      <c r="BK664" s="993" t="str">
        <f t="shared" si="558"/>
        <v>-</v>
      </c>
      <c r="BL664" s="820">
        <v>42977</v>
      </c>
      <c r="BM664" s="821">
        <v>5</v>
      </c>
      <c r="BN664" s="822">
        <f t="shared" ca="1" si="559"/>
        <v>157</v>
      </c>
      <c r="BO664" s="823">
        <f t="shared" si="560"/>
        <v>12.9</v>
      </c>
      <c r="BP664" s="824"/>
      <c r="BQ664" s="821"/>
      <c r="BR664" s="822" t="str">
        <f t="shared" si="561"/>
        <v>-</v>
      </c>
      <c r="BS664" s="823" t="str">
        <f t="shared" si="562"/>
        <v>-</v>
      </c>
      <c r="BT664" s="825" t="str">
        <f t="shared" ca="1" si="563"/>
        <v>-</v>
      </c>
      <c r="BU664" s="826"/>
      <c r="BV664" s="827"/>
      <c r="BW664" s="828" t="str">
        <f t="shared" si="564"/>
        <v>Ж-Е НЕ ВАКЦ.</v>
      </c>
      <c r="BX664" s="829" t="str">
        <f t="shared" si="565"/>
        <v>-</v>
      </c>
      <c r="BY664" s="830" t="str">
        <f t="shared" ca="1" si="566"/>
        <v>-</v>
      </c>
      <c r="BZ664" s="831">
        <v>42891</v>
      </c>
      <c r="CA664" s="832">
        <v>5</v>
      </c>
      <c r="CB664" s="833">
        <f t="shared" ca="1" si="567"/>
        <v>243</v>
      </c>
      <c r="CC664" s="834" t="str">
        <f t="shared" ca="1" si="568"/>
        <v>-</v>
      </c>
      <c r="CD664" s="835">
        <f t="shared" si="569"/>
        <v>42912</v>
      </c>
      <c r="CE664" s="831">
        <v>42912</v>
      </c>
      <c r="CF664" s="832">
        <v>5</v>
      </c>
      <c r="CG664" s="833">
        <f t="shared" ca="1" si="570"/>
        <v>222</v>
      </c>
      <c r="CH664" s="836">
        <f t="shared" si="571"/>
        <v>0</v>
      </c>
      <c r="CI664" s="837" t="str">
        <f t="shared" si="572"/>
        <v>УСПЕШНО</v>
      </c>
      <c r="CJ664" s="838" t="str">
        <f t="shared" ca="1" si="573"/>
        <v>-</v>
      </c>
      <c r="CK664" s="831"/>
      <c r="CL664" s="832"/>
      <c r="CM664" s="833" t="str">
        <f t="shared" si="574"/>
        <v>-</v>
      </c>
      <c r="CN664" s="834" t="str">
        <f t="shared" si="575"/>
        <v>-</v>
      </c>
      <c r="CO664" s="830" t="str">
        <f t="shared" ca="1" si="576"/>
        <v>-</v>
      </c>
      <c r="CP664" s="839"/>
      <c r="CQ664" s="832"/>
      <c r="CR664" s="833" t="str">
        <f t="shared" si="577"/>
        <v>-</v>
      </c>
      <c r="CS664" s="833" t="str">
        <f t="shared" si="578"/>
        <v>-</v>
      </c>
      <c r="CT664" s="834" t="str">
        <f t="shared" si="579"/>
        <v>-</v>
      </c>
      <c r="CU664" s="835" t="str">
        <f t="shared" si="580"/>
        <v>-</v>
      </c>
      <c r="CV664" s="839"/>
      <c r="CW664" s="832"/>
      <c r="CX664" s="833" t="str">
        <f t="shared" si="581"/>
        <v>-</v>
      </c>
      <c r="CY664" s="840" t="str">
        <f t="shared" si="582"/>
        <v>-</v>
      </c>
      <c r="CZ664" s="833" t="str">
        <f t="shared" si="583"/>
        <v>-</v>
      </c>
      <c r="DA664" s="838" t="str">
        <f t="shared" ca="1" si="584"/>
        <v>-</v>
      </c>
      <c r="DB664" s="841"/>
      <c r="DC664" s="832"/>
    </row>
    <row r="665" spans="1:107" s="842" customFormat="1" ht="15.95" customHeight="1" x14ac:dyDescent="0.25">
      <c r="A665" s="790">
        <v>667</v>
      </c>
      <c r="B665" s="791">
        <f t="shared" ca="1" si="533"/>
        <v>43134</v>
      </c>
      <c r="C665" s="29" t="s">
        <v>2554</v>
      </c>
      <c r="D665" s="59" t="s">
        <v>2586</v>
      </c>
      <c r="E665" s="794" t="s">
        <v>1563</v>
      </c>
      <c r="F665" s="795" t="s">
        <v>1828</v>
      </c>
      <c r="G665" s="845"/>
      <c r="H665" s="797" t="s">
        <v>603</v>
      </c>
      <c r="I665" s="798">
        <v>42592</v>
      </c>
      <c r="J665" s="799">
        <f t="shared" ca="1" si="534"/>
        <v>1.484931506849315</v>
      </c>
      <c r="K665" s="799">
        <f t="shared" ca="1" si="535"/>
        <v>18.066666666666666</v>
      </c>
      <c r="L665" s="800">
        <f t="shared" ca="1" si="536"/>
        <v>542</v>
      </c>
      <c r="M665" s="801"/>
      <c r="N665" s="802"/>
      <c r="O665" s="803" t="str">
        <f t="shared" ca="1" si="537"/>
        <v>-</v>
      </c>
      <c r="P665" s="804"/>
      <c r="Q665" s="805" t="s">
        <v>1451</v>
      </c>
      <c r="R665" s="806" t="s">
        <v>2967</v>
      </c>
      <c r="S665" s="807">
        <v>42959</v>
      </c>
      <c r="T665" s="798">
        <v>42959</v>
      </c>
      <c r="U665" s="798" t="str">
        <f t="shared" si="538"/>
        <v>-</v>
      </c>
      <c r="V665" s="804" t="str">
        <f t="shared" ca="1" si="539"/>
        <v>-</v>
      </c>
      <c r="W665" s="808">
        <v>1</v>
      </c>
      <c r="X665" s="794" t="str">
        <f t="shared" si="532"/>
        <v>-</v>
      </c>
      <c r="Y665" s="794">
        <v>1</v>
      </c>
      <c r="Z665" s="809" t="str">
        <f t="shared" ca="1" si="540"/>
        <v>-----</v>
      </c>
      <c r="AA665" s="810" t="str">
        <f t="shared" ca="1" si="541"/>
        <v>-----</v>
      </c>
      <c r="AB665" s="804">
        <v>1</v>
      </c>
      <c r="AC665" s="811" t="str">
        <f t="shared" ca="1" si="542"/>
        <v>-----</v>
      </c>
      <c r="AD665" s="798">
        <v>43020</v>
      </c>
      <c r="AE665" s="794" t="str">
        <f t="shared" ca="1" si="543"/>
        <v>-</v>
      </c>
      <c r="AF665" s="798" t="str">
        <f t="shared" si="544"/>
        <v>-</v>
      </c>
      <c r="AG665" s="812" t="str">
        <f t="shared" si="545"/>
        <v>---------</v>
      </c>
      <c r="AH665" s="807">
        <v>43020</v>
      </c>
      <c r="AI665" s="807" t="str">
        <f t="shared" si="546"/>
        <v>-</v>
      </c>
      <c r="AJ665" s="807" t="str">
        <f t="shared" si="547"/>
        <v>-</v>
      </c>
      <c r="AK665" s="813"/>
      <c r="AL665" s="807">
        <f t="shared" si="548"/>
        <v>43218</v>
      </c>
      <c r="AM665" s="807">
        <f t="shared" si="549"/>
        <v>43239</v>
      </c>
      <c r="AN665" s="814">
        <f t="shared" ca="1" si="550"/>
        <v>-105</v>
      </c>
      <c r="AO665" s="815">
        <v>1</v>
      </c>
      <c r="AP665" s="816" t="str">
        <f t="shared" ca="1" si="551"/>
        <v>-</v>
      </c>
      <c r="AQ665" s="817"/>
      <c r="AR665" s="794" t="str">
        <f t="shared" si="552"/>
        <v>НЕТЕЛЬ</v>
      </c>
      <c r="AS665" s="818"/>
      <c r="AT665" s="794" t="str">
        <f t="shared" si="553"/>
        <v>-</v>
      </c>
      <c r="AU665" s="819"/>
      <c r="AV665" s="820"/>
      <c r="AW665" s="821"/>
      <c r="AX665" s="821"/>
      <c r="AY665" s="969" t="str">
        <f t="shared" si="554"/>
        <v>-</v>
      </c>
      <c r="AZ665" s="966" t="str">
        <f t="shared" si="555"/>
        <v>-</v>
      </c>
      <c r="BA665" s="971" t="str">
        <f t="shared" si="556"/>
        <v>-</v>
      </c>
      <c r="BB665" s="975"/>
      <c r="BC665" s="821"/>
      <c r="BD665" s="821"/>
      <c r="BE665" s="963" t="str">
        <f t="shared" si="557"/>
        <v>-</v>
      </c>
      <c r="BF665" s="984"/>
      <c r="BG665" s="988"/>
      <c r="BH665" s="982"/>
      <c r="BI665" s="991"/>
      <c r="BJ665" s="991"/>
      <c r="BK665" s="993" t="str">
        <f t="shared" si="558"/>
        <v>-</v>
      </c>
      <c r="BL665" s="820">
        <v>42977</v>
      </c>
      <c r="BM665" s="821">
        <v>5</v>
      </c>
      <c r="BN665" s="822">
        <f t="shared" ca="1" si="559"/>
        <v>157</v>
      </c>
      <c r="BO665" s="823">
        <f t="shared" si="560"/>
        <v>12.833333333333334</v>
      </c>
      <c r="BP665" s="824"/>
      <c r="BQ665" s="821"/>
      <c r="BR665" s="822" t="str">
        <f t="shared" si="561"/>
        <v>-</v>
      </c>
      <c r="BS665" s="823" t="str">
        <f t="shared" si="562"/>
        <v>-</v>
      </c>
      <c r="BT665" s="825" t="str">
        <f t="shared" ca="1" si="563"/>
        <v>-</v>
      </c>
      <c r="BU665" s="826"/>
      <c r="BV665" s="827"/>
      <c r="BW665" s="828" t="str">
        <f t="shared" si="564"/>
        <v>Ж-Е НЕ ВАКЦ.</v>
      </c>
      <c r="BX665" s="829" t="str">
        <f t="shared" si="565"/>
        <v>-</v>
      </c>
      <c r="BY665" s="830" t="str">
        <f t="shared" ca="1" si="566"/>
        <v>-</v>
      </c>
      <c r="BZ665" s="831">
        <v>42892</v>
      </c>
      <c r="CA665" s="832">
        <v>5</v>
      </c>
      <c r="CB665" s="833">
        <f t="shared" ca="1" si="567"/>
        <v>242</v>
      </c>
      <c r="CC665" s="834" t="str">
        <f t="shared" ca="1" si="568"/>
        <v>-</v>
      </c>
      <c r="CD665" s="835">
        <f t="shared" si="569"/>
        <v>42913</v>
      </c>
      <c r="CE665" s="831">
        <v>42913</v>
      </c>
      <c r="CF665" s="832">
        <v>5</v>
      </c>
      <c r="CG665" s="833">
        <f t="shared" ca="1" si="570"/>
        <v>221</v>
      </c>
      <c r="CH665" s="836">
        <f t="shared" si="571"/>
        <v>0</v>
      </c>
      <c r="CI665" s="837" t="str">
        <f t="shared" si="572"/>
        <v>УСПЕШНО</v>
      </c>
      <c r="CJ665" s="838" t="str">
        <f t="shared" ca="1" si="573"/>
        <v>-</v>
      </c>
      <c r="CK665" s="831"/>
      <c r="CL665" s="832"/>
      <c r="CM665" s="833" t="str">
        <f t="shared" si="574"/>
        <v>-</v>
      </c>
      <c r="CN665" s="834" t="str">
        <f t="shared" si="575"/>
        <v>-</v>
      </c>
      <c r="CO665" s="830" t="str">
        <f t="shared" ca="1" si="576"/>
        <v>-</v>
      </c>
      <c r="CP665" s="839"/>
      <c r="CQ665" s="832"/>
      <c r="CR665" s="833" t="str">
        <f t="shared" si="577"/>
        <v>-</v>
      </c>
      <c r="CS665" s="833" t="str">
        <f t="shared" si="578"/>
        <v>-</v>
      </c>
      <c r="CT665" s="834" t="str">
        <f t="shared" si="579"/>
        <v>-</v>
      </c>
      <c r="CU665" s="835" t="str">
        <f t="shared" si="580"/>
        <v>-</v>
      </c>
      <c r="CV665" s="839"/>
      <c r="CW665" s="832"/>
      <c r="CX665" s="833" t="str">
        <f t="shared" si="581"/>
        <v>-</v>
      </c>
      <c r="CY665" s="840" t="str">
        <f t="shared" si="582"/>
        <v>-</v>
      </c>
      <c r="CZ665" s="833" t="str">
        <f t="shared" si="583"/>
        <v>-</v>
      </c>
      <c r="DA665" s="838" t="str">
        <f t="shared" ca="1" si="584"/>
        <v>-</v>
      </c>
      <c r="DB665" s="841"/>
      <c r="DC665" s="832"/>
    </row>
    <row r="666" spans="1:107" s="842" customFormat="1" ht="15.95" customHeight="1" x14ac:dyDescent="0.25">
      <c r="A666" s="790">
        <v>668</v>
      </c>
      <c r="B666" s="791">
        <f t="shared" ca="1" si="533"/>
        <v>43134</v>
      </c>
      <c r="C666" s="29" t="s">
        <v>2554</v>
      </c>
      <c r="D666" s="59" t="s">
        <v>2586</v>
      </c>
      <c r="E666" s="794" t="s">
        <v>1563</v>
      </c>
      <c r="F666" s="795" t="s">
        <v>1831</v>
      </c>
      <c r="G666" s="845"/>
      <c r="H666" s="797" t="s">
        <v>603</v>
      </c>
      <c r="I666" s="798">
        <v>42595</v>
      </c>
      <c r="J666" s="799">
        <f t="shared" ca="1" si="534"/>
        <v>1.4767123287671233</v>
      </c>
      <c r="K666" s="799">
        <f t="shared" ca="1" si="535"/>
        <v>17.966666666666665</v>
      </c>
      <c r="L666" s="800">
        <f t="shared" ca="1" si="536"/>
        <v>539</v>
      </c>
      <c r="M666" s="801"/>
      <c r="N666" s="802"/>
      <c r="O666" s="803" t="str">
        <f t="shared" ca="1" si="537"/>
        <v>-</v>
      </c>
      <c r="P666" s="804"/>
      <c r="Q666" s="805" t="s">
        <v>1451</v>
      </c>
      <c r="R666" s="806" t="s">
        <v>2435</v>
      </c>
      <c r="S666" s="807">
        <v>42965</v>
      </c>
      <c r="T666" s="798">
        <v>42965</v>
      </c>
      <c r="U666" s="798" t="str">
        <f t="shared" si="538"/>
        <v>-</v>
      </c>
      <c r="V666" s="804" t="str">
        <f t="shared" ca="1" si="539"/>
        <v>-</v>
      </c>
      <c r="W666" s="808">
        <v>1</v>
      </c>
      <c r="X666" s="794" t="str">
        <f t="shared" si="532"/>
        <v>-</v>
      </c>
      <c r="Y666" s="794">
        <v>1</v>
      </c>
      <c r="Z666" s="809" t="str">
        <f t="shared" ca="1" si="540"/>
        <v>ПОДЛЕЖИТ ПЕРЕПРОВЕРКЕ</v>
      </c>
      <c r="AA666" s="810">
        <f t="shared" ca="1" si="541"/>
        <v>169</v>
      </c>
      <c r="AB666" s="804"/>
      <c r="AC666" s="811">
        <f t="shared" ca="1" si="542"/>
        <v>43037</v>
      </c>
      <c r="AD666" s="798"/>
      <c r="AE666" s="794" t="str">
        <f t="shared" ca="1" si="543"/>
        <v>-</v>
      </c>
      <c r="AF666" s="798" t="str">
        <f t="shared" si="544"/>
        <v>-</v>
      </c>
      <c r="AG666" s="812" t="str">
        <f t="shared" si="545"/>
        <v>---------</v>
      </c>
      <c r="AH666" s="807">
        <v>43032</v>
      </c>
      <c r="AI666" s="807" t="str">
        <f t="shared" si="546"/>
        <v>-</v>
      </c>
      <c r="AJ666" s="807" t="str">
        <f t="shared" si="547"/>
        <v>-</v>
      </c>
      <c r="AK666" s="813"/>
      <c r="AL666" s="807">
        <f t="shared" si="548"/>
        <v>43224</v>
      </c>
      <c r="AM666" s="807">
        <f t="shared" si="549"/>
        <v>43245</v>
      </c>
      <c r="AN666" s="814">
        <f t="shared" ca="1" si="550"/>
        <v>-111</v>
      </c>
      <c r="AO666" s="815">
        <v>1</v>
      </c>
      <c r="AP666" s="816" t="str">
        <f t="shared" ca="1" si="551"/>
        <v>-</v>
      </c>
      <c r="AQ666" s="817"/>
      <c r="AR666" s="794" t="str">
        <f t="shared" si="552"/>
        <v>НЕТЕЛЬ</v>
      </c>
      <c r="AS666" s="818"/>
      <c r="AT666" s="794" t="str">
        <f t="shared" si="553"/>
        <v>-</v>
      </c>
      <c r="AU666" s="819"/>
      <c r="AV666" s="820"/>
      <c r="AW666" s="821"/>
      <c r="AX666" s="821"/>
      <c r="AY666" s="969" t="str">
        <f t="shared" si="554"/>
        <v>-</v>
      </c>
      <c r="AZ666" s="966" t="str">
        <f t="shared" si="555"/>
        <v>-</v>
      </c>
      <c r="BA666" s="971" t="str">
        <f t="shared" si="556"/>
        <v>-</v>
      </c>
      <c r="BB666" s="975"/>
      <c r="BC666" s="821"/>
      <c r="BD666" s="821"/>
      <c r="BE666" s="963" t="str">
        <f t="shared" si="557"/>
        <v>-</v>
      </c>
      <c r="BF666" s="984"/>
      <c r="BG666" s="988"/>
      <c r="BH666" s="982"/>
      <c r="BI666" s="991"/>
      <c r="BJ666" s="991"/>
      <c r="BK666" s="993" t="str">
        <f t="shared" si="558"/>
        <v>-</v>
      </c>
      <c r="BL666" s="820">
        <v>42977</v>
      </c>
      <c r="BM666" s="821">
        <v>5</v>
      </c>
      <c r="BN666" s="822">
        <f t="shared" ca="1" si="559"/>
        <v>157</v>
      </c>
      <c r="BO666" s="823">
        <f t="shared" si="560"/>
        <v>12.733333333333333</v>
      </c>
      <c r="BP666" s="824"/>
      <c r="BQ666" s="821"/>
      <c r="BR666" s="822" t="str">
        <f t="shared" si="561"/>
        <v>-</v>
      </c>
      <c r="BS666" s="823" t="str">
        <f t="shared" si="562"/>
        <v>-</v>
      </c>
      <c r="BT666" s="825" t="str">
        <f t="shared" ca="1" si="563"/>
        <v>-</v>
      </c>
      <c r="BU666" s="826"/>
      <c r="BV666" s="827"/>
      <c r="BW666" s="828" t="str">
        <f t="shared" si="564"/>
        <v>Ж-Е НЕ ВАКЦ.</v>
      </c>
      <c r="BX666" s="829" t="str">
        <f t="shared" si="565"/>
        <v>-</v>
      </c>
      <c r="BY666" s="830" t="str">
        <f t="shared" ca="1" si="566"/>
        <v>-</v>
      </c>
      <c r="BZ666" s="831">
        <v>42892</v>
      </c>
      <c r="CA666" s="832">
        <v>5</v>
      </c>
      <c r="CB666" s="833">
        <f t="shared" ca="1" si="567"/>
        <v>242</v>
      </c>
      <c r="CC666" s="834" t="str">
        <f t="shared" ca="1" si="568"/>
        <v>-</v>
      </c>
      <c r="CD666" s="835">
        <f t="shared" si="569"/>
        <v>42913</v>
      </c>
      <c r="CE666" s="831">
        <v>42913</v>
      </c>
      <c r="CF666" s="832">
        <v>5</v>
      </c>
      <c r="CG666" s="833">
        <f t="shared" ca="1" si="570"/>
        <v>221</v>
      </c>
      <c r="CH666" s="836">
        <f t="shared" si="571"/>
        <v>0</v>
      </c>
      <c r="CI666" s="837" t="str">
        <f t="shared" si="572"/>
        <v>УСПЕШНО</v>
      </c>
      <c r="CJ666" s="838" t="str">
        <f t="shared" ca="1" si="573"/>
        <v>-</v>
      </c>
      <c r="CK666" s="831"/>
      <c r="CL666" s="832"/>
      <c r="CM666" s="833" t="str">
        <f t="shared" si="574"/>
        <v>-</v>
      </c>
      <c r="CN666" s="834" t="str">
        <f t="shared" si="575"/>
        <v>-</v>
      </c>
      <c r="CO666" s="830" t="str">
        <f t="shared" ca="1" si="576"/>
        <v>-</v>
      </c>
      <c r="CP666" s="839"/>
      <c r="CQ666" s="832"/>
      <c r="CR666" s="833" t="str">
        <f t="shared" si="577"/>
        <v>-</v>
      </c>
      <c r="CS666" s="833" t="str">
        <f t="shared" si="578"/>
        <v>-</v>
      </c>
      <c r="CT666" s="834" t="str">
        <f t="shared" si="579"/>
        <v>-</v>
      </c>
      <c r="CU666" s="835" t="str">
        <f t="shared" si="580"/>
        <v>-</v>
      </c>
      <c r="CV666" s="839"/>
      <c r="CW666" s="832"/>
      <c r="CX666" s="833" t="str">
        <f t="shared" si="581"/>
        <v>-</v>
      </c>
      <c r="CY666" s="840" t="str">
        <f t="shared" si="582"/>
        <v>-</v>
      </c>
      <c r="CZ666" s="833" t="str">
        <f t="shared" si="583"/>
        <v>-</v>
      </c>
      <c r="DA666" s="838" t="str">
        <f t="shared" ca="1" si="584"/>
        <v>-</v>
      </c>
      <c r="DB666" s="841"/>
      <c r="DC666" s="832"/>
    </row>
    <row r="667" spans="1:107" s="842" customFormat="1" ht="15.95" customHeight="1" x14ac:dyDescent="0.25">
      <c r="A667" s="790">
        <v>669</v>
      </c>
      <c r="B667" s="791">
        <f t="shared" ca="1" si="533"/>
        <v>43134</v>
      </c>
      <c r="C667" s="29" t="s">
        <v>2554</v>
      </c>
      <c r="D667" s="59" t="s">
        <v>2586</v>
      </c>
      <c r="E667" s="794" t="s">
        <v>1563</v>
      </c>
      <c r="F667" s="795" t="s">
        <v>1834</v>
      </c>
      <c r="G667" s="845"/>
      <c r="H667" s="797" t="s">
        <v>603</v>
      </c>
      <c r="I667" s="798">
        <v>42598</v>
      </c>
      <c r="J667" s="799">
        <f t="shared" ca="1" si="534"/>
        <v>1.4684931506849315</v>
      </c>
      <c r="K667" s="799">
        <f t="shared" ca="1" si="535"/>
        <v>17.866666666666667</v>
      </c>
      <c r="L667" s="800">
        <f t="shared" ca="1" si="536"/>
        <v>536</v>
      </c>
      <c r="M667" s="801"/>
      <c r="N667" s="802"/>
      <c r="O667" s="803" t="str">
        <f t="shared" ca="1" si="537"/>
        <v>-</v>
      </c>
      <c r="P667" s="804"/>
      <c r="Q667" s="805" t="s">
        <v>1451</v>
      </c>
      <c r="R667" s="806" t="s">
        <v>2967</v>
      </c>
      <c r="S667" s="807">
        <v>42965</v>
      </c>
      <c r="T667" s="798">
        <v>42965</v>
      </c>
      <c r="U667" s="798" t="str">
        <f t="shared" si="538"/>
        <v>-</v>
      </c>
      <c r="V667" s="804" t="str">
        <f t="shared" ca="1" si="539"/>
        <v>-</v>
      </c>
      <c r="W667" s="808">
        <v>1</v>
      </c>
      <c r="X667" s="794" t="str">
        <f t="shared" si="532"/>
        <v>-</v>
      </c>
      <c r="Y667" s="794">
        <v>1</v>
      </c>
      <c r="Z667" s="809" t="str">
        <f t="shared" ca="1" si="540"/>
        <v>ПОДЛЕЖИТ ПЕРЕПРОВЕРКЕ</v>
      </c>
      <c r="AA667" s="810">
        <f t="shared" ca="1" si="541"/>
        <v>169</v>
      </c>
      <c r="AB667" s="804"/>
      <c r="AC667" s="811">
        <f t="shared" ca="1" si="542"/>
        <v>43037</v>
      </c>
      <c r="AD667" s="798"/>
      <c r="AE667" s="794" t="str">
        <f t="shared" ca="1" si="543"/>
        <v>-</v>
      </c>
      <c r="AF667" s="798" t="str">
        <f t="shared" si="544"/>
        <v>-</v>
      </c>
      <c r="AG667" s="812" t="str">
        <f t="shared" si="545"/>
        <v>---------</v>
      </c>
      <c r="AH667" s="807">
        <v>43032</v>
      </c>
      <c r="AI667" s="807" t="str">
        <f t="shared" si="546"/>
        <v>-</v>
      </c>
      <c r="AJ667" s="807" t="str">
        <f t="shared" si="547"/>
        <v>-</v>
      </c>
      <c r="AK667" s="813"/>
      <c r="AL667" s="807">
        <f t="shared" si="548"/>
        <v>43224</v>
      </c>
      <c r="AM667" s="807">
        <f t="shared" si="549"/>
        <v>43245</v>
      </c>
      <c r="AN667" s="814">
        <f t="shared" ca="1" si="550"/>
        <v>-111</v>
      </c>
      <c r="AO667" s="815">
        <v>1</v>
      </c>
      <c r="AP667" s="816" t="str">
        <f t="shared" ca="1" si="551"/>
        <v>-</v>
      </c>
      <c r="AQ667" s="817"/>
      <c r="AR667" s="794" t="str">
        <f t="shared" si="552"/>
        <v>НЕТЕЛЬ</v>
      </c>
      <c r="AS667" s="818"/>
      <c r="AT667" s="794" t="str">
        <f t="shared" si="553"/>
        <v>-</v>
      </c>
      <c r="AU667" s="819"/>
      <c r="AV667" s="820"/>
      <c r="AW667" s="821"/>
      <c r="AX667" s="821"/>
      <c r="AY667" s="969" t="str">
        <f t="shared" si="554"/>
        <v>-</v>
      </c>
      <c r="AZ667" s="966" t="str">
        <f t="shared" si="555"/>
        <v>-</v>
      </c>
      <c r="BA667" s="971" t="str">
        <f t="shared" si="556"/>
        <v>-</v>
      </c>
      <c r="BB667" s="975"/>
      <c r="BC667" s="821"/>
      <c r="BD667" s="821"/>
      <c r="BE667" s="963" t="str">
        <f t="shared" si="557"/>
        <v>-</v>
      </c>
      <c r="BF667" s="984"/>
      <c r="BG667" s="988"/>
      <c r="BH667" s="982"/>
      <c r="BI667" s="991"/>
      <c r="BJ667" s="991"/>
      <c r="BK667" s="993" t="str">
        <f t="shared" si="558"/>
        <v>-</v>
      </c>
      <c r="BL667" s="820">
        <v>42977</v>
      </c>
      <c r="BM667" s="821">
        <v>5</v>
      </c>
      <c r="BN667" s="822">
        <f t="shared" ca="1" si="559"/>
        <v>157</v>
      </c>
      <c r="BO667" s="823">
        <f t="shared" si="560"/>
        <v>12.633333333333333</v>
      </c>
      <c r="BP667" s="824"/>
      <c r="BQ667" s="821"/>
      <c r="BR667" s="822" t="str">
        <f t="shared" si="561"/>
        <v>-</v>
      </c>
      <c r="BS667" s="823" t="str">
        <f t="shared" si="562"/>
        <v>-</v>
      </c>
      <c r="BT667" s="825" t="str">
        <f t="shared" ca="1" si="563"/>
        <v>-</v>
      </c>
      <c r="BU667" s="826"/>
      <c r="BV667" s="827"/>
      <c r="BW667" s="828" t="str">
        <f t="shared" si="564"/>
        <v>Ж-Е НЕ ВАКЦ.</v>
      </c>
      <c r="BX667" s="829" t="str">
        <f t="shared" si="565"/>
        <v>-</v>
      </c>
      <c r="BY667" s="830" t="str">
        <f t="shared" ca="1" si="566"/>
        <v>-</v>
      </c>
      <c r="BZ667" s="831">
        <v>42892</v>
      </c>
      <c r="CA667" s="832">
        <v>5</v>
      </c>
      <c r="CB667" s="833">
        <f t="shared" ca="1" si="567"/>
        <v>242</v>
      </c>
      <c r="CC667" s="834" t="str">
        <f t="shared" ca="1" si="568"/>
        <v>-</v>
      </c>
      <c r="CD667" s="835">
        <f t="shared" si="569"/>
        <v>42913</v>
      </c>
      <c r="CE667" s="831">
        <v>42913</v>
      </c>
      <c r="CF667" s="832">
        <v>5</v>
      </c>
      <c r="CG667" s="833">
        <f t="shared" ca="1" si="570"/>
        <v>221</v>
      </c>
      <c r="CH667" s="836">
        <f t="shared" si="571"/>
        <v>0</v>
      </c>
      <c r="CI667" s="837" t="str">
        <f t="shared" si="572"/>
        <v>УСПЕШНО</v>
      </c>
      <c r="CJ667" s="838" t="str">
        <f t="shared" ca="1" si="573"/>
        <v>-</v>
      </c>
      <c r="CK667" s="831"/>
      <c r="CL667" s="832"/>
      <c r="CM667" s="833" t="str">
        <f t="shared" si="574"/>
        <v>-</v>
      </c>
      <c r="CN667" s="834" t="str">
        <f t="shared" si="575"/>
        <v>-</v>
      </c>
      <c r="CO667" s="830" t="str">
        <f t="shared" ca="1" si="576"/>
        <v>-</v>
      </c>
      <c r="CP667" s="839"/>
      <c r="CQ667" s="832"/>
      <c r="CR667" s="833" t="str">
        <f t="shared" si="577"/>
        <v>-</v>
      </c>
      <c r="CS667" s="833" t="str">
        <f t="shared" si="578"/>
        <v>-</v>
      </c>
      <c r="CT667" s="834" t="str">
        <f t="shared" si="579"/>
        <v>-</v>
      </c>
      <c r="CU667" s="835" t="str">
        <f t="shared" si="580"/>
        <v>-</v>
      </c>
      <c r="CV667" s="839"/>
      <c r="CW667" s="832"/>
      <c r="CX667" s="833" t="str">
        <f t="shared" si="581"/>
        <v>-</v>
      </c>
      <c r="CY667" s="840" t="str">
        <f t="shared" si="582"/>
        <v>-</v>
      </c>
      <c r="CZ667" s="833" t="str">
        <f t="shared" si="583"/>
        <v>-</v>
      </c>
      <c r="DA667" s="838" t="str">
        <f t="shared" ca="1" si="584"/>
        <v>-</v>
      </c>
      <c r="DB667" s="841"/>
      <c r="DC667" s="832"/>
    </row>
    <row r="668" spans="1:107" s="842" customFormat="1" ht="15.95" customHeight="1" x14ac:dyDescent="0.25">
      <c r="A668" s="790">
        <v>670</v>
      </c>
      <c r="B668" s="791">
        <f t="shared" ca="1" si="533"/>
        <v>43134</v>
      </c>
      <c r="C668" s="29" t="s">
        <v>2554</v>
      </c>
      <c r="D668" s="59" t="s">
        <v>2586</v>
      </c>
      <c r="E668" s="794" t="s">
        <v>1563</v>
      </c>
      <c r="F668" s="795" t="s">
        <v>1836</v>
      </c>
      <c r="G668" s="845"/>
      <c r="H668" s="797" t="s">
        <v>603</v>
      </c>
      <c r="I668" s="798">
        <v>42598</v>
      </c>
      <c r="J668" s="799">
        <f t="shared" ca="1" si="534"/>
        <v>1.4684931506849315</v>
      </c>
      <c r="K668" s="799">
        <f t="shared" ca="1" si="535"/>
        <v>17.866666666666667</v>
      </c>
      <c r="L668" s="800">
        <f t="shared" ca="1" si="536"/>
        <v>536</v>
      </c>
      <c r="M668" s="801"/>
      <c r="N668" s="802"/>
      <c r="O668" s="803" t="str">
        <f t="shared" ca="1" si="537"/>
        <v>-</v>
      </c>
      <c r="P668" s="804"/>
      <c r="Q668" s="805" t="s">
        <v>1451</v>
      </c>
      <c r="R668" s="806" t="s">
        <v>2435</v>
      </c>
      <c r="S668" s="807">
        <v>42965</v>
      </c>
      <c r="T668" s="798">
        <v>42965</v>
      </c>
      <c r="U668" s="798" t="str">
        <f t="shared" si="538"/>
        <v>-</v>
      </c>
      <c r="V668" s="804" t="str">
        <f t="shared" ca="1" si="539"/>
        <v>-</v>
      </c>
      <c r="W668" s="808">
        <v>1</v>
      </c>
      <c r="X668" s="794" t="str">
        <f t="shared" si="532"/>
        <v>-</v>
      </c>
      <c r="Y668" s="794">
        <v>1</v>
      </c>
      <c r="Z668" s="809" t="str">
        <f t="shared" ca="1" si="540"/>
        <v>ПОДЛЕЖИТ ПЕРЕПРОВЕРКЕ</v>
      </c>
      <c r="AA668" s="810">
        <f t="shared" ca="1" si="541"/>
        <v>169</v>
      </c>
      <c r="AB668" s="804"/>
      <c r="AC668" s="811">
        <f t="shared" ca="1" si="542"/>
        <v>43037</v>
      </c>
      <c r="AD668" s="798"/>
      <c r="AE668" s="794" t="str">
        <f t="shared" ca="1" si="543"/>
        <v>-</v>
      </c>
      <c r="AF668" s="798" t="str">
        <f t="shared" si="544"/>
        <v>-</v>
      </c>
      <c r="AG668" s="812" t="str">
        <f t="shared" si="545"/>
        <v>---------</v>
      </c>
      <c r="AH668" s="807">
        <v>43032</v>
      </c>
      <c r="AI668" s="807" t="str">
        <f t="shared" si="546"/>
        <v>-</v>
      </c>
      <c r="AJ668" s="807" t="str">
        <f t="shared" si="547"/>
        <v>-</v>
      </c>
      <c r="AK668" s="813"/>
      <c r="AL668" s="807">
        <f t="shared" si="548"/>
        <v>43224</v>
      </c>
      <c r="AM668" s="807">
        <f t="shared" si="549"/>
        <v>43245</v>
      </c>
      <c r="AN668" s="814">
        <f t="shared" ca="1" si="550"/>
        <v>-111</v>
      </c>
      <c r="AO668" s="815">
        <v>1</v>
      </c>
      <c r="AP668" s="816" t="str">
        <f t="shared" ca="1" si="551"/>
        <v>-</v>
      </c>
      <c r="AQ668" s="817"/>
      <c r="AR668" s="794" t="str">
        <f t="shared" si="552"/>
        <v>НЕТЕЛЬ</v>
      </c>
      <c r="AS668" s="818"/>
      <c r="AT668" s="794" t="str">
        <f t="shared" si="553"/>
        <v>-</v>
      </c>
      <c r="AU668" s="819"/>
      <c r="AV668" s="820"/>
      <c r="AW668" s="821"/>
      <c r="AX668" s="821"/>
      <c r="AY668" s="969" t="str">
        <f t="shared" si="554"/>
        <v>-</v>
      </c>
      <c r="AZ668" s="966" t="str">
        <f t="shared" si="555"/>
        <v>-</v>
      </c>
      <c r="BA668" s="971" t="str">
        <f t="shared" si="556"/>
        <v>-</v>
      </c>
      <c r="BB668" s="975"/>
      <c r="BC668" s="821"/>
      <c r="BD668" s="821"/>
      <c r="BE668" s="963" t="str">
        <f t="shared" si="557"/>
        <v>-</v>
      </c>
      <c r="BF668" s="984"/>
      <c r="BG668" s="988"/>
      <c r="BH668" s="982"/>
      <c r="BI668" s="991"/>
      <c r="BJ668" s="991"/>
      <c r="BK668" s="993" t="str">
        <f t="shared" si="558"/>
        <v>-</v>
      </c>
      <c r="BL668" s="820">
        <v>42977</v>
      </c>
      <c r="BM668" s="821">
        <v>5</v>
      </c>
      <c r="BN668" s="822">
        <f t="shared" ca="1" si="559"/>
        <v>157</v>
      </c>
      <c r="BO668" s="823">
        <f t="shared" si="560"/>
        <v>12.633333333333333</v>
      </c>
      <c r="BP668" s="824"/>
      <c r="BQ668" s="821"/>
      <c r="BR668" s="822" t="str">
        <f t="shared" si="561"/>
        <v>-</v>
      </c>
      <c r="BS668" s="823" t="str">
        <f t="shared" si="562"/>
        <v>-</v>
      </c>
      <c r="BT668" s="825" t="str">
        <f t="shared" ca="1" si="563"/>
        <v>-</v>
      </c>
      <c r="BU668" s="826"/>
      <c r="BV668" s="827"/>
      <c r="BW668" s="828" t="str">
        <f t="shared" si="564"/>
        <v>Ж-Е НЕ ВАКЦ.</v>
      </c>
      <c r="BX668" s="829" t="str">
        <f t="shared" si="565"/>
        <v>-</v>
      </c>
      <c r="BY668" s="830" t="str">
        <f t="shared" ca="1" si="566"/>
        <v>-</v>
      </c>
      <c r="BZ668" s="831">
        <v>42892</v>
      </c>
      <c r="CA668" s="832">
        <v>5</v>
      </c>
      <c r="CB668" s="833">
        <f t="shared" ca="1" si="567"/>
        <v>242</v>
      </c>
      <c r="CC668" s="834" t="str">
        <f t="shared" ca="1" si="568"/>
        <v>-</v>
      </c>
      <c r="CD668" s="835">
        <f t="shared" si="569"/>
        <v>42913</v>
      </c>
      <c r="CE668" s="831">
        <v>42913</v>
      </c>
      <c r="CF668" s="832">
        <v>5</v>
      </c>
      <c r="CG668" s="833">
        <f t="shared" ca="1" si="570"/>
        <v>221</v>
      </c>
      <c r="CH668" s="836">
        <f t="shared" si="571"/>
        <v>0</v>
      </c>
      <c r="CI668" s="837" t="str">
        <f t="shared" si="572"/>
        <v>УСПЕШНО</v>
      </c>
      <c r="CJ668" s="838" t="str">
        <f t="shared" ca="1" si="573"/>
        <v>-</v>
      </c>
      <c r="CK668" s="831"/>
      <c r="CL668" s="832"/>
      <c r="CM668" s="833" t="str">
        <f t="shared" si="574"/>
        <v>-</v>
      </c>
      <c r="CN668" s="834" t="str">
        <f t="shared" si="575"/>
        <v>-</v>
      </c>
      <c r="CO668" s="830" t="str">
        <f t="shared" ca="1" si="576"/>
        <v>-</v>
      </c>
      <c r="CP668" s="839"/>
      <c r="CQ668" s="832"/>
      <c r="CR668" s="833" t="str">
        <f t="shared" si="577"/>
        <v>-</v>
      </c>
      <c r="CS668" s="833" t="str">
        <f t="shared" si="578"/>
        <v>-</v>
      </c>
      <c r="CT668" s="834" t="str">
        <f t="shared" si="579"/>
        <v>-</v>
      </c>
      <c r="CU668" s="835" t="str">
        <f t="shared" si="580"/>
        <v>-</v>
      </c>
      <c r="CV668" s="839"/>
      <c r="CW668" s="832"/>
      <c r="CX668" s="833" t="str">
        <f t="shared" si="581"/>
        <v>-</v>
      </c>
      <c r="CY668" s="840" t="str">
        <f t="shared" si="582"/>
        <v>-</v>
      </c>
      <c r="CZ668" s="833" t="str">
        <f t="shared" si="583"/>
        <v>-</v>
      </c>
      <c r="DA668" s="838" t="str">
        <f t="shared" ca="1" si="584"/>
        <v>-</v>
      </c>
      <c r="DB668" s="841"/>
      <c r="DC668" s="832"/>
    </row>
    <row r="669" spans="1:107" s="842" customFormat="1" ht="15.95" customHeight="1" x14ac:dyDescent="0.25">
      <c r="A669" s="790">
        <v>671</v>
      </c>
      <c r="B669" s="791">
        <f t="shared" ca="1" si="533"/>
        <v>43134</v>
      </c>
      <c r="C669" s="29" t="s">
        <v>2554</v>
      </c>
      <c r="D669" s="59" t="s">
        <v>2586</v>
      </c>
      <c r="E669" s="794" t="s">
        <v>1563</v>
      </c>
      <c r="F669" s="795" t="s">
        <v>1878</v>
      </c>
      <c r="G669" s="845"/>
      <c r="H669" s="797" t="s">
        <v>603</v>
      </c>
      <c r="I669" s="798">
        <v>42623</v>
      </c>
      <c r="J669" s="799">
        <f t="shared" ca="1" si="534"/>
        <v>1.4</v>
      </c>
      <c r="K669" s="799">
        <f t="shared" ca="1" si="535"/>
        <v>17.033333333333335</v>
      </c>
      <c r="L669" s="800">
        <f t="shared" ca="1" si="536"/>
        <v>511</v>
      </c>
      <c r="M669" s="801"/>
      <c r="N669" s="802"/>
      <c r="O669" s="803" t="str">
        <f t="shared" ca="1" si="537"/>
        <v>-</v>
      </c>
      <c r="P669" s="804"/>
      <c r="Q669" s="68" t="s">
        <v>1451</v>
      </c>
      <c r="R669" s="118" t="s">
        <v>2967</v>
      </c>
      <c r="S669" s="807">
        <v>42999</v>
      </c>
      <c r="T669" s="798">
        <v>42999</v>
      </c>
      <c r="U669" s="798" t="str">
        <f t="shared" si="538"/>
        <v>-</v>
      </c>
      <c r="V669" s="804" t="str">
        <f t="shared" ca="1" si="539"/>
        <v>-</v>
      </c>
      <c r="W669" s="808">
        <v>1</v>
      </c>
      <c r="X669" s="794" t="str">
        <f t="shared" si="532"/>
        <v>-</v>
      </c>
      <c r="Y669" s="794">
        <v>1</v>
      </c>
      <c r="Z669" s="809" t="str">
        <f t="shared" ca="1" si="540"/>
        <v>ПОДЛЕЖИТ ПЕРЕПРОВЕРКЕ</v>
      </c>
      <c r="AA669" s="810">
        <f t="shared" ca="1" si="541"/>
        <v>135</v>
      </c>
      <c r="AB669" s="804"/>
      <c r="AC669" s="811">
        <f t="shared" ca="1" si="542"/>
        <v>43071</v>
      </c>
      <c r="AD669" s="798">
        <v>43032</v>
      </c>
      <c r="AE669" s="794" t="str">
        <f t="shared" ca="1" si="543"/>
        <v>-</v>
      </c>
      <c r="AF669" s="798" t="str">
        <f t="shared" si="544"/>
        <v>-</v>
      </c>
      <c r="AG669" s="812" t="str">
        <f t="shared" si="545"/>
        <v>---------</v>
      </c>
      <c r="AH669" s="807"/>
      <c r="AI669" s="807" t="str">
        <f t="shared" si="546"/>
        <v>-</v>
      </c>
      <c r="AJ669" s="807" t="str">
        <f t="shared" si="547"/>
        <v>-</v>
      </c>
      <c r="AK669" s="813"/>
      <c r="AL669" s="807">
        <f t="shared" si="548"/>
        <v>43258</v>
      </c>
      <c r="AM669" s="807">
        <f t="shared" si="549"/>
        <v>43279</v>
      </c>
      <c r="AN669" s="814" t="str">
        <f t="shared" ca="1" si="550"/>
        <v>-</v>
      </c>
      <c r="AO669" s="815">
        <v>1</v>
      </c>
      <c r="AP669" s="816" t="str">
        <f t="shared" ca="1" si="551"/>
        <v>-</v>
      </c>
      <c r="AQ669" s="817"/>
      <c r="AR669" s="794" t="str">
        <f t="shared" si="552"/>
        <v>НЕТЕЛЬ</v>
      </c>
      <c r="AS669" s="818"/>
      <c r="AT669" s="794" t="str">
        <f t="shared" si="553"/>
        <v>-</v>
      </c>
      <c r="AU669" s="819"/>
      <c r="AV669" s="820"/>
      <c r="AW669" s="821"/>
      <c r="AX669" s="821"/>
      <c r="AY669" s="969" t="str">
        <f t="shared" si="554"/>
        <v>-</v>
      </c>
      <c r="AZ669" s="966" t="str">
        <f t="shared" si="555"/>
        <v>-</v>
      </c>
      <c r="BA669" s="971" t="str">
        <f t="shared" si="556"/>
        <v>-</v>
      </c>
      <c r="BB669" s="975"/>
      <c r="BC669" s="821"/>
      <c r="BD669" s="821"/>
      <c r="BE669" s="963" t="str">
        <f t="shared" si="557"/>
        <v>-</v>
      </c>
      <c r="BF669" s="984"/>
      <c r="BG669" s="988"/>
      <c r="BH669" s="982"/>
      <c r="BI669" s="991"/>
      <c r="BJ669" s="991"/>
      <c r="BK669" s="993" t="str">
        <f t="shared" si="558"/>
        <v>-</v>
      </c>
      <c r="BL669" s="820">
        <v>42977</v>
      </c>
      <c r="BM669" s="821">
        <v>5</v>
      </c>
      <c r="BN669" s="822">
        <f t="shared" ca="1" si="559"/>
        <v>157</v>
      </c>
      <c r="BO669" s="823">
        <f t="shared" si="560"/>
        <v>11.8</v>
      </c>
      <c r="BP669" s="824"/>
      <c r="BQ669" s="821"/>
      <c r="BR669" s="822" t="str">
        <f t="shared" si="561"/>
        <v>-</v>
      </c>
      <c r="BS669" s="823" t="str">
        <f t="shared" si="562"/>
        <v>-</v>
      </c>
      <c r="BT669" s="825" t="str">
        <f t="shared" ca="1" si="563"/>
        <v>-</v>
      </c>
      <c r="BU669" s="826"/>
      <c r="BV669" s="827"/>
      <c r="BW669" s="828" t="str">
        <f t="shared" si="564"/>
        <v>Ж-Е НЕ ВАКЦ.</v>
      </c>
      <c r="BX669" s="829" t="str">
        <f t="shared" si="565"/>
        <v>-</v>
      </c>
      <c r="BY669" s="830" t="str">
        <f t="shared" ca="1" si="566"/>
        <v>-</v>
      </c>
      <c r="BZ669" s="831">
        <v>42892</v>
      </c>
      <c r="CA669" s="832">
        <v>5</v>
      </c>
      <c r="CB669" s="833">
        <f t="shared" ca="1" si="567"/>
        <v>242</v>
      </c>
      <c r="CC669" s="834" t="str">
        <f t="shared" ca="1" si="568"/>
        <v>-</v>
      </c>
      <c r="CD669" s="835">
        <f t="shared" si="569"/>
        <v>42913</v>
      </c>
      <c r="CE669" s="831">
        <v>42913</v>
      </c>
      <c r="CF669" s="832">
        <v>5</v>
      </c>
      <c r="CG669" s="833">
        <f t="shared" ca="1" si="570"/>
        <v>221</v>
      </c>
      <c r="CH669" s="836">
        <f t="shared" si="571"/>
        <v>0</v>
      </c>
      <c r="CI669" s="837" t="str">
        <f t="shared" si="572"/>
        <v>УСПЕШНО</v>
      </c>
      <c r="CJ669" s="838" t="str">
        <f t="shared" ca="1" si="573"/>
        <v>-</v>
      </c>
      <c r="CK669" s="831"/>
      <c r="CL669" s="832"/>
      <c r="CM669" s="833" t="str">
        <f t="shared" si="574"/>
        <v>-</v>
      </c>
      <c r="CN669" s="834" t="str">
        <f t="shared" si="575"/>
        <v>-</v>
      </c>
      <c r="CO669" s="830" t="str">
        <f t="shared" ca="1" si="576"/>
        <v>ТРЕБУЕТСЯ ВАКЦИНАЦИЯ</v>
      </c>
      <c r="CP669" s="839"/>
      <c r="CQ669" s="832"/>
      <c r="CR669" s="833" t="str">
        <f t="shared" si="577"/>
        <v>-</v>
      </c>
      <c r="CS669" s="833" t="str">
        <f t="shared" si="578"/>
        <v>-</v>
      </c>
      <c r="CT669" s="834" t="str">
        <f t="shared" si="579"/>
        <v>-</v>
      </c>
      <c r="CU669" s="835" t="str">
        <f t="shared" si="580"/>
        <v>-</v>
      </c>
      <c r="CV669" s="839"/>
      <c r="CW669" s="832"/>
      <c r="CX669" s="833" t="str">
        <f t="shared" si="581"/>
        <v>-</v>
      </c>
      <c r="CY669" s="840" t="str">
        <f t="shared" si="582"/>
        <v>-</v>
      </c>
      <c r="CZ669" s="833" t="str">
        <f t="shared" si="583"/>
        <v>-</v>
      </c>
      <c r="DA669" s="838" t="str">
        <f t="shared" ca="1" si="584"/>
        <v>-</v>
      </c>
      <c r="DB669" s="841"/>
      <c r="DC669" s="832"/>
    </row>
    <row r="670" spans="1:107" s="842" customFormat="1" ht="15.95" customHeight="1" x14ac:dyDescent="0.25">
      <c r="A670" s="790">
        <v>672</v>
      </c>
      <c r="B670" s="791">
        <f t="shared" ca="1" si="533"/>
        <v>43134</v>
      </c>
      <c r="C670" s="792" t="s">
        <v>2556</v>
      </c>
      <c r="D670" s="793" t="s">
        <v>2586</v>
      </c>
      <c r="E670" s="794" t="s">
        <v>688</v>
      </c>
      <c r="F670" s="795" t="s">
        <v>689</v>
      </c>
      <c r="G670" s="796">
        <f>SUMIFS(МОЛОКО!L8:L6958,МОЛОКО!F8:F6958,"344",МОЛОКО!L8:L6958,"&gt;0")</f>
        <v>0</v>
      </c>
      <c r="H670" s="797" t="s">
        <v>603</v>
      </c>
      <c r="I670" s="798">
        <v>39661</v>
      </c>
      <c r="J670" s="799">
        <f t="shared" ca="1" si="534"/>
        <v>9.5150684931506841</v>
      </c>
      <c r="K670" s="799">
        <f t="shared" ca="1" si="535"/>
        <v>115.76666666666667</v>
      </c>
      <c r="L670" s="800">
        <f t="shared" ca="1" si="536"/>
        <v>3473</v>
      </c>
      <c r="M670" s="801">
        <v>40561</v>
      </c>
      <c r="N670" s="802">
        <v>42679</v>
      </c>
      <c r="O670" s="803">
        <f t="shared" ca="1" si="537"/>
        <v>455</v>
      </c>
      <c r="P670" s="804">
        <v>6</v>
      </c>
      <c r="Q670" s="805" t="s">
        <v>1451</v>
      </c>
      <c r="R670" s="806" t="s">
        <v>2294</v>
      </c>
      <c r="S670" s="807">
        <v>42741</v>
      </c>
      <c r="T670" s="798">
        <v>42822</v>
      </c>
      <c r="U670" s="798" t="str">
        <f t="shared" si="538"/>
        <v>-</v>
      </c>
      <c r="V670" s="804" t="str">
        <f t="shared" ca="1" si="539"/>
        <v>-</v>
      </c>
      <c r="W670" s="808">
        <v>3</v>
      </c>
      <c r="X670" s="794">
        <f t="shared" si="532"/>
        <v>143</v>
      </c>
      <c r="Y670" s="794">
        <v>1</v>
      </c>
      <c r="Z670" s="809" t="str">
        <f t="shared" ca="1" si="540"/>
        <v>-----</v>
      </c>
      <c r="AA670" s="810" t="str">
        <f t="shared" ca="1" si="541"/>
        <v>-----</v>
      </c>
      <c r="AB670" s="804">
        <v>1</v>
      </c>
      <c r="AC670" s="811" t="str">
        <f t="shared" ca="1" si="542"/>
        <v>-----</v>
      </c>
      <c r="AD670" s="798">
        <v>43010</v>
      </c>
      <c r="AE670" s="794" t="str">
        <f t="shared" ca="1" si="543"/>
        <v>-</v>
      </c>
      <c r="AF670" s="798" t="str">
        <f t="shared" si="544"/>
        <v>-</v>
      </c>
      <c r="AG670" s="812" t="str">
        <f t="shared" si="545"/>
        <v>---------</v>
      </c>
      <c r="AH670" s="807">
        <v>42863</v>
      </c>
      <c r="AI670" s="807">
        <f t="shared" si="546"/>
        <v>43012</v>
      </c>
      <c r="AJ670" s="807">
        <f t="shared" si="547"/>
        <v>43042</v>
      </c>
      <c r="AK670" s="813">
        <v>43010</v>
      </c>
      <c r="AL670" s="807">
        <f t="shared" si="548"/>
        <v>43081</v>
      </c>
      <c r="AM670" s="807">
        <f t="shared" si="549"/>
        <v>43102</v>
      </c>
      <c r="AN670" s="814">
        <f t="shared" ca="1" si="550"/>
        <v>32</v>
      </c>
      <c r="AO670" s="815">
        <v>1</v>
      </c>
      <c r="AP670" s="816" t="str">
        <f t="shared" ca="1" si="551"/>
        <v>-</v>
      </c>
      <c r="AQ670" s="817"/>
      <c r="AR670" s="794" t="str">
        <f t="shared" si="552"/>
        <v>-</v>
      </c>
      <c r="AS670" s="818"/>
      <c r="AT670" s="794" t="str">
        <f t="shared" si="553"/>
        <v>DRY COW</v>
      </c>
      <c r="AU670" s="819"/>
      <c r="AV670" s="820"/>
      <c r="AW670" s="821"/>
      <c r="AX670" s="821"/>
      <c r="AY670" s="969" t="str">
        <f t="shared" si="554"/>
        <v>-</v>
      </c>
      <c r="AZ670" s="966" t="str">
        <f t="shared" si="555"/>
        <v>-</v>
      </c>
      <c r="BA670" s="971" t="str">
        <f t="shared" si="556"/>
        <v>-</v>
      </c>
      <c r="BB670" s="975"/>
      <c r="BC670" s="821"/>
      <c r="BD670" s="821"/>
      <c r="BE670" s="963" t="str">
        <f t="shared" si="557"/>
        <v>-</v>
      </c>
      <c r="BF670" s="984"/>
      <c r="BG670" s="988"/>
      <c r="BH670" s="982"/>
      <c r="BI670" s="991"/>
      <c r="BJ670" s="991"/>
      <c r="BK670" s="993" t="str">
        <f t="shared" si="558"/>
        <v>-</v>
      </c>
      <c r="BL670" s="820">
        <v>42981</v>
      </c>
      <c r="BM670" s="821">
        <v>5</v>
      </c>
      <c r="BN670" s="822">
        <f t="shared" ca="1" si="559"/>
        <v>153</v>
      </c>
      <c r="BO670" s="823">
        <f t="shared" si="560"/>
        <v>110.66666666666667</v>
      </c>
      <c r="BP670" s="824"/>
      <c r="BQ670" s="821"/>
      <c r="BR670" s="822" t="str">
        <f t="shared" si="561"/>
        <v>-</v>
      </c>
      <c r="BS670" s="823" t="str">
        <f t="shared" si="562"/>
        <v>-</v>
      </c>
      <c r="BT670" s="825" t="str">
        <f t="shared" ca="1" si="563"/>
        <v>-</v>
      </c>
      <c r="BU670" s="826"/>
      <c r="BV670" s="827"/>
      <c r="BW670" s="828" t="str">
        <f t="shared" si="564"/>
        <v>Ж-Е НЕ ВАКЦ.</v>
      </c>
      <c r="BX670" s="829" t="str">
        <f t="shared" si="565"/>
        <v>-</v>
      </c>
      <c r="BY670" s="830" t="str">
        <f t="shared" ca="1" si="566"/>
        <v>-</v>
      </c>
      <c r="BZ670" s="831">
        <v>42887</v>
      </c>
      <c r="CA670" s="832">
        <v>5</v>
      </c>
      <c r="CB670" s="833">
        <f t="shared" ca="1" si="567"/>
        <v>247</v>
      </c>
      <c r="CC670" s="834" t="str">
        <f t="shared" ca="1" si="568"/>
        <v>-</v>
      </c>
      <c r="CD670" s="835">
        <f t="shared" si="569"/>
        <v>42908</v>
      </c>
      <c r="CE670" s="831">
        <v>42908</v>
      </c>
      <c r="CF670" s="832">
        <v>5</v>
      </c>
      <c r="CG670" s="833">
        <f t="shared" ca="1" si="570"/>
        <v>226</v>
      </c>
      <c r="CH670" s="836">
        <f t="shared" si="571"/>
        <v>0</v>
      </c>
      <c r="CI670" s="837" t="str">
        <f t="shared" si="572"/>
        <v>УСПЕШНО</v>
      </c>
      <c r="CJ670" s="838" t="str">
        <f t="shared" ca="1" si="573"/>
        <v>-</v>
      </c>
      <c r="CK670" s="831"/>
      <c r="CL670" s="832"/>
      <c r="CM670" s="833" t="str">
        <f t="shared" si="574"/>
        <v>-</v>
      </c>
      <c r="CN670" s="834" t="str">
        <f t="shared" si="575"/>
        <v>-</v>
      </c>
      <c r="CO670" s="830" t="str">
        <f t="shared" ca="1" si="576"/>
        <v>-</v>
      </c>
      <c r="CP670" s="307">
        <v>43052</v>
      </c>
      <c r="CQ670" s="832">
        <v>2</v>
      </c>
      <c r="CR670" s="833">
        <f t="shared" si="577"/>
        <v>230</v>
      </c>
      <c r="CS670" s="833">
        <f t="shared" ca="1" si="578"/>
        <v>82</v>
      </c>
      <c r="CT670" s="834" t="str">
        <f t="shared" ca="1" si="579"/>
        <v>ТРЕБУЕТСЯ БУСТЕРНАЯ ДОЗА</v>
      </c>
      <c r="CU670" s="835">
        <f t="shared" si="580"/>
        <v>43073</v>
      </c>
      <c r="CV670" s="839"/>
      <c r="CW670" s="832"/>
      <c r="CX670" s="833" t="str">
        <f t="shared" si="581"/>
        <v>-</v>
      </c>
      <c r="CY670" s="840" t="str">
        <f t="shared" si="582"/>
        <v>-</v>
      </c>
      <c r="CZ670" s="833" t="str">
        <f t="shared" si="583"/>
        <v>-</v>
      </c>
      <c r="DA670" s="838" t="str">
        <f t="shared" ca="1" si="584"/>
        <v>-</v>
      </c>
      <c r="DB670" s="841"/>
      <c r="DC670" s="832"/>
    </row>
    <row r="671" spans="1:107" ht="15.75" customHeight="1" x14ac:dyDescent="0.25">
      <c r="A671" s="790">
        <v>673</v>
      </c>
      <c r="B671" s="791">
        <f t="shared" ca="1" si="533"/>
        <v>43134</v>
      </c>
      <c r="C671" s="792" t="s">
        <v>2556</v>
      </c>
      <c r="D671" s="793" t="s">
        <v>2586</v>
      </c>
      <c r="E671" s="794" t="s">
        <v>314</v>
      </c>
      <c r="F671" s="854" t="s">
        <v>373</v>
      </c>
      <c r="G671" s="796">
        <f>SUMIFS(МОЛОКО!L8:L6958,МОЛОКО!F8:F6958,"666",МОЛОКО!L8:L6958,"&gt;0")</f>
        <v>0</v>
      </c>
      <c r="H671" s="797" t="s">
        <v>603</v>
      </c>
      <c r="I671" s="798">
        <v>39932</v>
      </c>
      <c r="J671" s="799">
        <f t="shared" ca="1" si="534"/>
        <v>8.7726027397260271</v>
      </c>
      <c r="K671" s="799">
        <f t="shared" ca="1" si="535"/>
        <v>106.73333333333333</v>
      </c>
      <c r="L671" s="800">
        <f t="shared" ca="1" si="536"/>
        <v>3202</v>
      </c>
      <c r="M671" s="801">
        <v>40835</v>
      </c>
      <c r="N671" s="802">
        <v>42676</v>
      </c>
      <c r="O671" s="803">
        <f t="shared" ca="1" si="537"/>
        <v>458</v>
      </c>
      <c r="P671" s="804">
        <v>5</v>
      </c>
      <c r="Q671" s="805" t="s">
        <v>1451</v>
      </c>
      <c r="R671" s="806" t="s">
        <v>2294</v>
      </c>
      <c r="S671" s="807">
        <v>42741</v>
      </c>
      <c r="T671" s="798">
        <v>42808</v>
      </c>
      <c r="U671" s="798" t="str">
        <f t="shared" si="538"/>
        <v>-</v>
      </c>
      <c r="V671" s="804" t="str">
        <f t="shared" ca="1" si="539"/>
        <v>-</v>
      </c>
      <c r="W671" s="808">
        <v>3</v>
      </c>
      <c r="X671" s="794">
        <f t="shared" si="532"/>
        <v>132</v>
      </c>
      <c r="Y671" s="794">
        <v>1</v>
      </c>
      <c r="Z671" s="809" t="str">
        <f t="shared" ca="1" si="540"/>
        <v>-----</v>
      </c>
      <c r="AA671" s="810" t="str">
        <f t="shared" ca="1" si="541"/>
        <v>-----</v>
      </c>
      <c r="AB671" s="804">
        <v>1</v>
      </c>
      <c r="AC671" s="811" t="str">
        <f t="shared" ca="1" si="542"/>
        <v>-----</v>
      </c>
      <c r="AD671" s="798">
        <v>43024</v>
      </c>
      <c r="AE671" s="794" t="str">
        <f t="shared" ca="1" si="543"/>
        <v>-</v>
      </c>
      <c r="AF671" s="798" t="str">
        <f t="shared" si="544"/>
        <v>-</v>
      </c>
      <c r="AG671" s="812" t="str">
        <f t="shared" si="545"/>
        <v>---------</v>
      </c>
      <c r="AH671" s="807">
        <v>42843</v>
      </c>
      <c r="AI671" s="807">
        <f t="shared" si="546"/>
        <v>42998</v>
      </c>
      <c r="AJ671" s="807">
        <f t="shared" si="547"/>
        <v>43028</v>
      </c>
      <c r="AK671" s="813">
        <v>43022</v>
      </c>
      <c r="AL671" s="807">
        <f t="shared" si="548"/>
        <v>43067</v>
      </c>
      <c r="AM671" s="807">
        <f t="shared" si="549"/>
        <v>43088</v>
      </c>
      <c r="AN671" s="814">
        <f t="shared" ca="1" si="550"/>
        <v>46</v>
      </c>
      <c r="AO671" s="815">
        <v>1</v>
      </c>
      <c r="AP671" s="816" t="str">
        <f t="shared" ca="1" si="551"/>
        <v>-</v>
      </c>
      <c r="AQ671" s="817"/>
      <c r="AR671" s="794" t="str">
        <f t="shared" si="552"/>
        <v>-</v>
      </c>
      <c r="AS671" s="818"/>
      <c r="AT671" s="794" t="str">
        <f t="shared" si="553"/>
        <v>DRY COW</v>
      </c>
      <c r="AU671" s="819">
        <v>1</v>
      </c>
      <c r="AV671" s="820"/>
      <c r="AW671" s="821"/>
      <c r="AX671" s="821"/>
      <c r="AY671" s="969" t="str">
        <f t="shared" si="554"/>
        <v>-</v>
      </c>
      <c r="AZ671" s="966" t="str">
        <f t="shared" si="555"/>
        <v>-</v>
      </c>
      <c r="BA671" s="971" t="str">
        <f t="shared" si="556"/>
        <v>-</v>
      </c>
      <c r="BB671" s="975"/>
      <c r="BC671" s="821"/>
      <c r="BD671" s="821"/>
      <c r="BE671" s="963" t="str">
        <f t="shared" si="557"/>
        <v>-</v>
      </c>
      <c r="BF671" s="984"/>
      <c r="BG671" s="988"/>
      <c r="BH671" s="982"/>
      <c r="BI671" s="991"/>
      <c r="BJ671" s="991"/>
      <c r="BK671" s="993" t="str">
        <f t="shared" si="558"/>
        <v>-</v>
      </c>
      <c r="BL671" s="820">
        <v>42981</v>
      </c>
      <c r="BM671" s="821">
        <v>5</v>
      </c>
      <c r="BN671" s="822">
        <f t="shared" ca="1" si="559"/>
        <v>153</v>
      </c>
      <c r="BO671" s="823">
        <f t="shared" si="560"/>
        <v>101.63333333333334</v>
      </c>
      <c r="BP671" s="824"/>
      <c r="BQ671" s="821"/>
      <c r="BR671" s="822" t="str">
        <f t="shared" si="561"/>
        <v>-</v>
      </c>
      <c r="BS671" s="823" t="str">
        <f t="shared" si="562"/>
        <v>-</v>
      </c>
      <c r="BT671" s="825" t="str">
        <f t="shared" ca="1" si="563"/>
        <v>-</v>
      </c>
      <c r="BU671" s="826"/>
      <c r="BV671" s="827"/>
      <c r="BW671" s="828" t="str">
        <f t="shared" si="564"/>
        <v>Ж-Е НЕ ВАКЦ.</v>
      </c>
      <c r="BX671" s="829" t="str">
        <f t="shared" si="565"/>
        <v>-</v>
      </c>
      <c r="BY671" s="830" t="str">
        <f t="shared" ca="1" si="566"/>
        <v>-</v>
      </c>
      <c r="BZ671" s="831">
        <v>42887</v>
      </c>
      <c r="CA671" s="832">
        <v>5</v>
      </c>
      <c r="CB671" s="833">
        <f t="shared" ca="1" si="567"/>
        <v>247</v>
      </c>
      <c r="CC671" s="834" t="str">
        <f t="shared" ca="1" si="568"/>
        <v>-</v>
      </c>
      <c r="CD671" s="835">
        <f t="shared" si="569"/>
        <v>42908</v>
      </c>
      <c r="CE671" s="831">
        <v>42908</v>
      </c>
      <c r="CF671" s="832">
        <v>5</v>
      </c>
      <c r="CG671" s="833">
        <f t="shared" ca="1" si="570"/>
        <v>226</v>
      </c>
      <c r="CH671" s="836">
        <f t="shared" si="571"/>
        <v>0</v>
      </c>
      <c r="CI671" s="837" t="str">
        <f t="shared" si="572"/>
        <v>УСПЕШНО</v>
      </c>
      <c r="CJ671" s="838" t="str">
        <f t="shared" ca="1" si="573"/>
        <v>-</v>
      </c>
      <c r="CK671" s="831"/>
      <c r="CL671" s="832"/>
      <c r="CM671" s="833" t="str">
        <f t="shared" si="574"/>
        <v>-</v>
      </c>
      <c r="CN671" s="834" t="str">
        <f t="shared" si="575"/>
        <v>-</v>
      </c>
      <c r="CO671" s="830" t="str">
        <f t="shared" ca="1" si="576"/>
        <v>-</v>
      </c>
      <c r="CP671" s="831">
        <v>43024</v>
      </c>
      <c r="CQ671" s="832">
        <v>2</v>
      </c>
      <c r="CR671" s="833">
        <f t="shared" si="577"/>
        <v>216</v>
      </c>
      <c r="CS671" s="833">
        <f t="shared" ca="1" si="578"/>
        <v>110</v>
      </c>
      <c r="CT671" s="834" t="str">
        <f t="shared" ca="1" si="579"/>
        <v>-</v>
      </c>
      <c r="CU671" s="835">
        <f t="shared" si="580"/>
        <v>43045</v>
      </c>
      <c r="CV671" s="831">
        <v>43045</v>
      </c>
      <c r="CW671" s="832">
        <v>2</v>
      </c>
      <c r="CX671" s="833">
        <f t="shared" si="581"/>
        <v>0</v>
      </c>
      <c r="CY671" s="840" t="str">
        <f t="shared" si="582"/>
        <v>УСПЕШНО</v>
      </c>
      <c r="CZ671" s="833">
        <f t="shared" si="583"/>
        <v>237</v>
      </c>
      <c r="DA671" s="838" t="str">
        <f t="shared" ca="1" si="584"/>
        <v>ТРЕБУЕТСЯ РЕВАКЦИНАЦИЯ</v>
      </c>
      <c r="DB671" s="841"/>
      <c r="DC671" s="832"/>
    </row>
    <row r="672" spans="1:107" x14ac:dyDescent="0.25">
      <c r="A672" s="790">
        <v>674</v>
      </c>
      <c r="B672" s="791">
        <f t="shared" ca="1" si="533"/>
        <v>43134</v>
      </c>
      <c r="C672" s="29" t="s">
        <v>2556</v>
      </c>
      <c r="D672" s="59" t="s">
        <v>2586</v>
      </c>
      <c r="E672" s="794" t="s">
        <v>118</v>
      </c>
      <c r="F672" s="854" t="s">
        <v>509</v>
      </c>
      <c r="G672" s="796">
        <f>SUMIFS(МОЛОКО!L8:L6958,МОЛОКО!F8:F6958,"934",МОЛОКО!L8:L6958,"&gt;0")</f>
        <v>15.899999999999999</v>
      </c>
      <c r="H672" s="797" t="s">
        <v>603</v>
      </c>
      <c r="I672" s="798">
        <v>40264</v>
      </c>
      <c r="J672" s="799">
        <f t="shared" ca="1" si="534"/>
        <v>7.8630136986301373</v>
      </c>
      <c r="K672" s="799">
        <f t="shared" ca="1" si="535"/>
        <v>95.666666666666671</v>
      </c>
      <c r="L672" s="800">
        <f t="shared" ca="1" si="536"/>
        <v>2870</v>
      </c>
      <c r="M672" s="801">
        <v>41184</v>
      </c>
      <c r="N672" s="802">
        <v>42727</v>
      </c>
      <c r="O672" s="803">
        <f t="shared" ca="1" si="537"/>
        <v>407</v>
      </c>
      <c r="P672" s="804">
        <v>5</v>
      </c>
      <c r="Q672" s="805" t="s">
        <v>1451</v>
      </c>
      <c r="R672" s="806" t="s">
        <v>2664</v>
      </c>
      <c r="S672" s="807">
        <v>42789</v>
      </c>
      <c r="T672" s="798">
        <v>42834</v>
      </c>
      <c r="U672" s="798" t="str">
        <f t="shared" si="538"/>
        <v>-</v>
      </c>
      <c r="V672" s="804" t="str">
        <f t="shared" ca="1" si="539"/>
        <v>-</v>
      </c>
      <c r="W672" s="808">
        <v>2</v>
      </c>
      <c r="X672" s="794">
        <f t="shared" si="532"/>
        <v>107</v>
      </c>
      <c r="Y672" s="794">
        <v>1</v>
      </c>
      <c r="Z672" s="809" t="str">
        <f t="shared" ca="1" si="540"/>
        <v>-----</v>
      </c>
      <c r="AA672" s="810" t="str">
        <f t="shared" ca="1" si="541"/>
        <v>-----</v>
      </c>
      <c r="AB672" s="804">
        <v>1</v>
      </c>
      <c r="AC672" s="811" t="str">
        <f t="shared" ca="1" si="542"/>
        <v>-----</v>
      </c>
      <c r="AD672" s="798">
        <v>42932</v>
      </c>
      <c r="AE672" s="794" t="str">
        <f t="shared" ca="1" si="543"/>
        <v>-</v>
      </c>
      <c r="AF672" s="798" t="str">
        <f t="shared" si="544"/>
        <v>-</v>
      </c>
      <c r="AG672" s="812" t="str">
        <f t="shared" si="545"/>
        <v>---------</v>
      </c>
      <c r="AH672" s="807">
        <v>42867</v>
      </c>
      <c r="AI672" s="807">
        <f t="shared" si="546"/>
        <v>43024</v>
      </c>
      <c r="AJ672" s="807">
        <f t="shared" si="547"/>
        <v>43054</v>
      </c>
      <c r="AK672" s="813">
        <v>43052</v>
      </c>
      <c r="AL672" s="807">
        <f t="shared" si="548"/>
        <v>43093</v>
      </c>
      <c r="AM672" s="807">
        <f t="shared" si="549"/>
        <v>43114</v>
      </c>
      <c r="AN672" s="814">
        <f t="shared" ca="1" si="550"/>
        <v>20</v>
      </c>
      <c r="AO672" s="815">
        <v>1</v>
      </c>
      <c r="AP672" s="816" t="str">
        <f t="shared" ca="1" si="551"/>
        <v>-</v>
      </c>
      <c r="AQ672" s="817"/>
      <c r="AR672" s="794" t="str">
        <f t="shared" si="552"/>
        <v>-</v>
      </c>
      <c r="AS672" s="818"/>
      <c r="AT672" s="794" t="str">
        <f t="shared" si="553"/>
        <v>DRY COW</v>
      </c>
      <c r="AU672" s="819">
        <v>1</v>
      </c>
      <c r="AV672" s="820"/>
      <c r="AW672" s="821"/>
      <c r="AX672" s="821"/>
      <c r="AY672" s="969" t="str">
        <f t="shared" si="554"/>
        <v>-</v>
      </c>
      <c r="AZ672" s="966" t="str">
        <f t="shared" si="555"/>
        <v>-</v>
      </c>
      <c r="BA672" s="971" t="str">
        <f t="shared" si="556"/>
        <v>-</v>
      </c>
      <c r="BB672" s="975"/>
      <c r="BC672" s="821"/>
      <c r="BD672" s="821"/>
      <c r="BE672" s="963" t="str">
        <f t="shared" si="557"/>
        <v>-</v>
      </c>
      <c r="BF672" s="984"/>
      <c r="BG672" s="988"/>
      <c r="BH672" s="982"/>
      <c r="BI672" s="991"/>
      <c r="BJ672" s="991"/>
      <c r="BK672" s="993" t="str">
        <f t="shared" si="558"/>
        <v>-</v>
      </c>
      <c r="BL672" s="820">
        <v>42981</v>
      </c>
      <c r="BM672" s="821">
        <v>5</v>
      </c>
      <c r="BN672" s="822">
        <f t="shared" ca="1" si="559"/>
        <v>153</v>
      </c>
      <c r="BO672" s="823">
        <f t="shared" si="560"/>
        <v>90.566666666666663</v>
      </c>
      <c r="BP672" s="824"/>
      <c r="BQ672" s="821"/>
      <c r="BR672" s="822" t="str">
        <f t="shared" si="561"/>
        <v>-</v>
      </c>
      <c r="BS672" s="823" t="str">
        <f t="shared" si="562"/>
        <v>-</v>
      </c>
      <c r="BT672" s="825" t="str">
        <f t="shared" ca="1" si="563"/>
        <v>-</v>
      </c>
      <c r="BU672" s="826"/>
      <c r="BV672" s="827"/>
      <c r="BW672" s="828" t="str">
        <f t="shared" si="564"/>
        <v>Ж-Е НЕ ВАКЦ.</v>
      </c>
      <c r="BX672" s="829" t="str">
        <f t="shared" si="565"/>
        <v>-</v>
      </c>
      <c r="BY672" s="830" t="str">
        <f t="shared" ca="1" si="566"/>
        <v>-</v>
      </c>
      <c r="BZ672" s="831">
        <v>42887</v>
      </c>
      <c r="CA672" s="832">
        <v>5</v>
      </c>
      <c r="CB672" s="833">
        <f t="shared" ca="1" si="567"/>
        <v>247</v>
      </c>
      <c r="CC672" s="834" t="str">
        <f t="shared" ca="1" si="568"/>
        <v>-</v>
      </c>
      <c r="CD672" s="835">
        <f t="shared" si="569"/>
        <v>42908</v>
      </c>
      <c r="CE672" s="831">
        <v>42908</v>
      </c>
      <c r="CF672" s="832">
        <v>5</v>
      </c>
      <c r="CG672" s="833">
        <f t="shared" ca="1" si="570"/>
        <v>226</v>
      </c>
      <c r="CH672" s="836">
        <f t="shared" si="571"/>
        <v>0</v>
      </c>
      <c r="CI672" s="837" t="str">
        <f t="shared" si="572"/>
        <v>УСПЕШНО</v>
      </c>
      <c r="CJ672" s="838" t="str">
        <f t="shared" ca="1" si="573"/>
        <v>-</v>
      </c>
      <c r="CK672" s="831"/>
      <c r="CL672" s="832"/>
      <c r="CM672" s="833" t="str">
        <f t="shared" si="574"/>
        <v>-</v>
      </c>
      <c r="CN672" s="834" t="str">
        <f t="shared" si="575"/>
        <v>-</v>
      </c>
      <c r="CO672" s="830" t="str">
        <f t="shared" ca="1" si="576"/>
        <v>-</v>
      </c>
      <c r="CP672" s="831">
        <v>43052</v>
      </c>
      <c r="CQ672" s="832">
        <v>2</v>
      </c>
      <c r="CR672" s="833">
        <f t="shared" si="577"/>
        <v>218</v>
      </c>
      <c r="CS672" s="833">
        <f t="shared" ca="1" si="578"/>
        <v>82</v>
      </c>
      <c r="CT672" s="834" t="str">
        <f t="shared" ca="1" si="579"/>
        <v>ТРЕБУЕТСЯ БУСТЕРНАЯ ДОЗА</v>
      </c>
      <c r="CU672" s="835">
        <f t="shared" si="580"/>
        <v>43073</v>
      </c>
      <c r="CV672" s="839"/>
      <c r="CW672" s="832"/>
      <c r="CX672" s="833" t="str">
        <f t="shared" si="581"/>
        <v>-</v>
      </c>
      <c r="CY672" s="840" t="str">
        <f t="shared" si="582"/>
        <v>-</v>
      </c>
      <c r="CZ672" s="833" t="str">
        <f t="shared" si="583"/>
        <v>-</v>
      </c>
      <c r="DA672" s="838" t="str">
        <f t="shared" ca="1" si="584"/>
        <v>-</v>
      </c>
      <c r="DB672" s="841"/>
      <c r="DC672" s="832"/>
    </row>
    <row r="673" spans="1:107" x14ac:dyDescent="0.25">
      <c r="A673" s="790">
        <v>675</v>
      </c>
      <c r="B673" s="791">
        <f t="shared" ca="1" si="533"/>
        <v>43134</v>
      </c>
      <c r="C673" s="29" t="s">
        <v>2556</v>
      </c>
      <c r="D673" s="59" t="s">
        <v>2586</v>
      </c>
      <c r="E673" s="794" t="s">
        <v>354</v>
      </c>
      <c r="F673" s="795" t="s">
        <v>355</v>
      </c>
      <c r="G673" s="796">
        <f>SUMIFS(МОЛОКО!L8:L6958,МОЛОКО!F8:F6958,"1037",МОЛОКО!L8:L6958,"&gt;0")</f>
        <v>4</v>
      </c>
      <c r="H673" s="797" t="s">
        <v>603</v>
      </c>
      <c r="I673" s="798">
        <v>40384</v>
      </c>
      <c r="J673" s="799">
        <f t="shared" ca="1" si="534"/>
        <v>7.5342465753424657</v>
      </c>
      <c r="K673" s="799">
        <f t="shared" ca="1" si="535"/>
        <v>91.666666666666671</v>
      </c>
      <c r="L673" s="800">
        <f t="shared" ca="1" si="536"/>
        <v>2750</v>
      </c>
      <c r="M673" s="801">
        <v>41282</v>
      </c>
      <c r="N673" s="802">
        <v>42708</v>
      </c>
      <c r="O673" s="803">
        <f t="shared" ca="1" si="537"/>
        <v>426</v>
      </c>
      <c r="P673" s="804">
        <v>5</v>
      </c>
      <c r="Q673" s="805" t="s">
        <v>1451</v>
      </c>
      <c r="R673" s="806" t="s">
        <v>1810</v>
      </c>
      <c r="S673" s="807">
        <v>42764</v>
      </c>
      <c r="T673" s="798">
        <v>42911</v>
      </c>
      <c r="U673" s="798" t="str">
        <f t="shared" si="538"/>
        <v>-</v>
      </c>
      <c r="V673" s="804" t="str">
        <f t="shared" ca="1" si="539"/>
        <v>-</v>
      </c>
      <c r="W673" s="808">
        <v>5</v>
      </c>
      <c r="X673" s="794">
        <f t="shared" si="532"/>
        <v>203</v>
      </c>
      <c r="Y673" s="794">
        <v>1</v>
      </c>
      <c r="Z673" s="809" t="str">
        <f t="shared" ca="1" si="540"/>
        <v>-----</v>
      </c>
      <c r="AA673" s="810" t="str">
        <f t="shared" ca="1" si="541"/>
        <v>-----</v>
      </c>
      <c r="AB673" s="804">
        <v>1</v>
      </c>
      <c r="AC673" s="811" t="str">
        <f t="shared" ca="1" si="542"/>
        <v>-----</v>
      </c>
      <c r="AD673" s="798">
        <v>43043</v>
      </c>
      <c r="AE673" s="794" t="str">
        <f t="shared" ca="1" si="543"/>
        <v>-</v>
      </c>
      <c r="AF673" s="798" t="str">
        <f t="shared" si="544"/>
        <v>-</v>
      </c>
      <c r="AG673" s="812" t="str">
        <f t="shared" si="545"/>
        <v>---------</v>
      </c>
      <c r="AH673" s="807">
        <v>42940</v>
      </c>
      <c r="AI673" s="807">
        <f t="shared" si="546"/>
        <v>43101</v>
      </c>
      <c r="AJ673" s="807">
        <f t="shared" si="547"/>
        <v>43131</v>
      </c>
      <c r="AK673" s="813">
        <v>43045</v>
      </c>
      <c r="AL673" s="807">
        <f t="shared" si="548"/>
        <v>43170</v>
      </c>
      <c r="AM673" s="807">
        <f t="shared" si="549"/>
        <v>43191</v>
      </c>
      <c r="AN673" s="814">
        <f t="shared" ca="1" si="550"/>
        <v>-57</v>
      </c>
      <c r="AO673" s="815">
        <v>1</v>
      </c>
      <c r="AP673" s="816" t="str">
        <f t="shared" ca="1" si="551"/>
        <v>-</v>
      </c>
      <c r="AQ673" s="817"/>
      <c r="AR673" s="794" t="str">
        <f t="shared" si="552"/>
        <v>-</v>
      </c>
      <c r="AS673" s="818"/>
      <c r="AT673" s="794" t="str">
        <f t="shared" si="553"/>
        <v>DRY COW</v>
      </c>
      <c r="AU673" s="819"/>
      <c r="AV673" s="820"/>
      <c r="AW673" s="821"/>
      <c r="AX673" s="821"/>
      <c r="AY673" s="969" t="str">
        <f t="shared" si="554"/>
        <v>-</v>
      </c>
      <c r="AZ673" s="966" t="str">
        <f t="shared" si="555"/>
        <v>-</v>
      </c>
      <c r="BA673" s="971" t="str">
        <f t="shared" si="556"/>
        <v>-</v>
      </c>
      <c r="BB673" s="975"/>
      <c r="BC673" s="821"/>
      <c r="BD673" s="821"/>
      <c r="BE673" s="963" t="str">
        <f t="shared" si="557"/>
        <v>-</v>
      </c>
      <c r="BF673" s="984"/>
      <c r="BG673" s="988"/>
      <c r="BH673" s="982"/>
      <c r="BI673" s="991"/>
      <c r="BJ673" s="991"/>
      <c r="BK673" s="993" t="str">
        <f t="shared" si="558"/>
        <v>-</v>
      </c>
      <c r="BL673" s="820">
        <v>42981</v>
      </c>
      <c r="BM673" s="821">
        <v>5</v>
      </c>
      <c r="BN673" s="822">
        <f t="shared" ca="1" si="559"/>
        <v>153</v>
      </c>
      <c r="BO673" s="823">
        <f t="shared" si="560"/>
        <v>86.566666666666663</v>
      </c>
      <c r="BP673" s="824"/>
      <c r="BQ673" s="821"/>
      <c r="BR673" s="822" t="str">
        <f t="shared" si="561"/>
        <v>-</v>
      </c>
      <c r="BS673" s="823" t="str">
        <f t="shared" si="562"/>
        <v>-</v>
      </c>
      <c r="BT673" s="825" t="str">
        <f t="shared" ca="1" si="563"/>
        <v>-</v>
      </c>
      <c r="BU673" s="826"/>
      <c r="BV673" s="827"/>
      <c r="BW673" s="828" t="str">
        <f t="shared" si="564"/>
        <v>Ж-Е НЕ ВАКЦ.</v>
      </c>
      <c r="BX673" s="829" t="str">
        <f t="shared" si="565"/>
        <v>-</v>
      </c>
      <c r="BY673" s="830" t="str">
        <f t="shared" ca="1" si="566"/>
        <v>-</v>
      </c>
      <c r="BZ673" s="831">
        <v>42887</v>
      </c>
      <c r="CA673" s="832">
        <v>5</v>
      </c>
      <c r="CB673" s="833">
        <f t="shared" ca="1" si="567"/>
        <v>247</v>
      </c>
      <c r="CC673" s="834" t="str">
        <f t="shared" ca="1" si="568"/>
        <v>-</v>
      </c>
      <c r="CD673" s="835">
        <f t="shared" si="569"/>
        <v>42908</v>
      </c>
      <c r="CE673" s="831">
        <v>42908</v>
      </c>
      <c r="CF673" s="832">
        <v>5</v>
      </c>
      <c r="CG673" s="833">
        <f t="shared" ca="1" si="570"/>
        <v>226</v>
      </c>
      <c r="CH673" s="836">
        <f t="shared" si="571"/>
        <v>0</v>
      </c>
      <c r="CI673" s="837" t="str">
        <f t="shared" si="572"/>
        <v>УСПЕШНО</v>
      </c>
      <c r="CJ673" s="838" t="str">
        <f t="shared" ca="1" si="573"/>
        <v>-</v>
      </c>
      <c r="CK673" s="831"/>
      <c r="CL673" s="832"/>
      <c r="CM673" s="833" t="str">
        <f t="shared" si="574"/>
        <v>-</v>
      </c>
      <c r="CN673" s="834" t="str">
        <f t="shared" si="575"/>
        <v>-</v>
      </c>
      <c r="CO673" s="830" t="str">
        <f t="shared" ca="1" si="576"/>
        <v>ТРЕБУЕТСЯ ВАКЦИНАЦИЯ</v>
      </c>
      <c r="CP673" s="839"/>
      <c r="CQ673" s="832"/>
      <c r="CR673" s="833" t="str">
        <f t="shared" si="577"/>
        <v>-</v>
      </c>
      <c r="CS673" s="833" t="str">
        <f t="shared" si="578"/>
        <v>-</v>
      </c>
      <c r="CT673" s="834" t="str">
        <f t="shared" si="579"/>
        <v>-</v>
      </c>
      <c r="CU673" s="835" t="str">
        <f t="shared" si="580"/>
        <v>-</v>
      </c>
      <c r="CV673" s="839"/>
      <c r="CW673" s="832"/>
      <c r="CX673" s="833" t="str">
        <f t="shared" si="581"/>
        <v>-</v>
      </c>
      <c r="CY673" s="840" t="str">
        <f t="shared" si="582"/>
        <v>-</v>
      </c>
      <c r="CZ673" s="833" t="str">
        <f t="shared" si="583"/>
        <v>-</v>
      </c>
      <c r="DA673" s="838" t="str">
        <f t="shared" ca="1" si="584"/>
        <v>-</v>
      </c>
      <c r="DB673" s="841"/>
      <c r="DC673" s="832"/>
    </row>
    <row r="674" spans="1:107" x14ac:dyDescent="0.25">
      <c r="A674" s="790">
        <v>676</v>
      </c>
      <c r="B674" s="791">
        <f t="shared" ca="1" si="533"/>
        <v>43134</v>
      </c>
      <c r="C674" s="29" t="s">
        <v>2556</v>
      </c>
      <c r="D674" s="59" t="s">
        <v>2586</v>
      </c>
      <c r="E674" s="794" t="s">
        <v>142</v>
      </c>
      <c r="F674" s="795" t="s">
        <v>143</v>
      </c>
      <c r="G674" s="796">
        <f>SUMIFS(МОЛОКО!L8:L6958,МОЛОКО!F8:F6958,"1060",МОЛОКО!L8:L6958,"&gt;0")</f>
        <v>5.6</v>
      </c>
      <c r="H674" s="797" t="s">
        <v>603</v>
      </c>
      <c r="I674" s="798">
        <v>40418</v>
      </c>
      <c r="J674" s="799">
        <f t="shared" ca="1" si="534"/>
        <v>7.441095890410959</v>
      </c>
      <c r="K674" s="799">
        <f t="shared" ca="1" si="535"/>
        <v>90.533333333333331</v>
      </c>
      <c r="L674" s="800">
        <f t="shared" ca="1" si="536"/>
        <v>2716</v>
      </c>
      <c r="M674" s="801">
        <v>41245</v>
      </c>
      <c r="N674" s="802">
        <v>42782</v>
      </c>
      <c r="O674" s="803">
        <f t="shared" ca="1" si="537"/>
        <v>352</v>
      </c>
      <c r="P674" s="804">
        <v>5</v>
      </c>
      <c r="Q674" s="805" t="s">
        <v>1451</v>
      </c>
      <c r="R674" s="806" t="s">
        <v>2664</v>
      </c>
      <c r="S674" s="807">
        <v>42845</v>
      </c>
      <c r="T674" s="798">
        <v>42845</v>
      </c>
      <c r="U674" s="798" t="str">
        <f t="shared" si="538"/>
        <v>-</v>
      </c>
      <c r="V674" s="804" t="str">
        <f t="shared" ca="1" si="539"/>
        <v>-</v>
      </c>
      <c r="W674" s="808">
        <v>1</v>
      </c>
      <c r="X674" s="794">
        <f t="shared" si="532"/>
        <v>63</v>
      </c>
      <c r="Y674" s="794">
        <v>1</v>
      </c>
      <c r="Z674" s="809" t="str">
        <f t="shared" ca="1" si="540"/>
        <v>-----</v>
      </c>
      <c r="AA674" s="810" t="str">
        <f t="shared" ca="1" si="541"/>
        <v>-----</v>
      </c>
      <c r="AB674" s="804">
        <v>1</v>
      </c>
      <c r="AC674" s="811" t="str">
        <f t="shared" ca="1" si="542"/>
        <v>-----</v>
      </c>
      <c r="AD674" s="798">
        <v>42930</v>
      </c>
      <c r="AE674" s="794" t="str">
        <f t="shared" ca="1" si="543"/>
        <v>-</v>
      </c>
      <c r="AF674" s="798" t="str">
        <f t="shared" si="544"/>
        <v>-</v>
      </c>
      <c r="AG674" s="812" t="str">
        <f t="shared" si="545"/>
        <v>---------</v>
      </c>
      <c r="AH674" s="807">
        <v>42889</v>
      </c>
      <c r="AI674" s="807">
        <f t="shared" si="546"/>
        <v>43035</v>
      </c>
      <c r="AJ674" s="807">
        <f t="shared" si="547"/>
        <v>43065</v>
      </c>
      <c r="AK674" s="813">
        <v>43045</v>
      </c>
      <c r="AL674" s="807">
        <f t="shared" si="548"/>
        <v>43104</v>
      </c>
      <c r="AM674" s="807">
        <f t="shared" si="549"/>
        <v>43125</v>
      </c>
      <c r="AN674" s="814">
        <f t="shared" ca="1" si="550"/>
        <v>9</v>
      </c>
      <c r="AO674" s="815">
        <v>1</v>
      </c>
      <c r="AP674" s="816" t="str">
        <f t="shared" ca="1" si="551"/>
        <v>-</v>
      </c>
      <c r="AQ674" s="817"/>
      <c r="AR674" s="794" t="str">
        <f t="shared" si="552"/>
        <v>-</v>
      </c>
      <c r="AS674" s="818"/>
      <c r="AT674" s="794" t="str">
        <f t="shared" si="553"/>
        <v>DRY COW</v>
      </c>
      <c r="AU674" s="819"/>
      <c r="AV674" s="820"/>
      <c r="AW674" s="821"/>
      <c r="AX674" s="821"/>
      <c r="AY674" s="969" t="str">
        <f t="shared" si="554"/>
        <v>-</v>
      </c>
      <c r="AZ674" s="966" t="str">
        <f t="shared" si="555"/>
        <v>-</v>
      </c>
      <c r="BA674" s="971" t="str">
        <f t="shared" si="556"/>
        <v>-</v>
      </c>
      <c r="BB674" s="975"/>
      <c r="BC674" s="821"/>
      <c r="BD674" s="821"/>
      <c r="BE674" s="963" t="str">
        <f t="shared" si="557"/>
        <v>-</v>
      </c>
      <c r="BF674" s="984"/>
      <c r="BG674" s="988"/>
      <c r="BH674" s="982"/>
      <c r="BI674" s="991"/>
      <c r="BJ674" s="991"/>
      <c r="BK674" s="993" t="str">
        <f t="shared" si="558"/>
        <v>-</v>
      </c>
      <c r="BL674" s="820">
        <v>42981</v>
      </c>
      <c r="BM674" s="821">
        <v>5</v>
      </c>
      <c r="BN674" s="822">
        <f t="shared" ca="1" si="559"/>
        <v>153</v>
      </c>
      <c r="BO674" s="823">
        <f t="shared" si="560"/>
        <v>85.433333333333337</v>
      </c>
      <c r="BP674" s="824"/>
      <c r="BQ674" s="821"/>
      <c r="BR674" s="822" t="str">
        <f t="shared" si="561"/>
        <v>-</v>
      </c>
      <c r="BS674" s="823" t="str">
        <f t="shared" si="562"/>
        <v>-</v>
      </c>
      <c r="BT674" s="825" t="str">
        <f t="shared" ca="1" si="563"/>
        <v>-</v>
      </c>
      <c r="BU674" s="826"/>
      <c r="BV674" s="827"/>
      <c r="BW674" s="828" t="str">
        <f t="shared" si="564"/>
        <v>Ж-Е НЕ ВАКЦ.</v>
      </c>
      <c r="BX674" s="829" t="str">
        <f t="shared" si="565"/>
        <v>-</v>
      </c>
      <c r="BY674" s="830" t="str">
        <f t="shared" ca="1" si="566"/>
        <v>-</v>
      </c>
      <c r="BZ674" s="831">
        <v>42887</v>
      </c>
      <c r="CA674" s="832">
        <v>5</v>
      </c>
      <c r="CB674" s="833">
        <f t="shared" ca="1" si="567"/>
        <v>247</v>
      </c>
      <c r="CC674" s="834" t="str">
        <f t="shared" ca="1" si="568"/>
        <v>-</v>
      </c>
      <c r="CD674" s="835">
        <f t="shared" si="569"/>
        <v>42908</v>
      </c>
      <c r="CE674" s="831">
        <v>42908</v>
      </c>
      <c r="CF674" s="832">
        <v>5</v>
      </c>
      <c r="CG674" s="833">
        <f t="shared" ca="1" si="570"/>
        <v>226</v>
      </c>
      <c r="CH674" s="836">
        <f t="shared" si="571"/>
        <v>0</v>
      </c>
      <c r="CI674" s="837" t="str">
        <f t="shared" si="572"/>
        <v>УСПЕШНО</v>
      </c>
      <c r="CJ674" s="838" t="str">
        <f t="shared" ca="1" si="573"/>
        <v>-</v>
      </c>
      <c r="CK674" s="831"/>
      <c r="CL674" s="832"/>
      <c r="CM674" s="833" t="str">
        <f t="shared" si="574"/>
        <v>-</v>
      </c>
      <c r="CN674" s="834" t="str">
        <f t="shared" si="575"/>
        <v>-</v>
      </c>
      <c r="CO674" s="830" t="str">
        <f t="shared" ca="1" si="576"/>
        <v>ТРЕБУЕТСЯ ВАКЦИНАЦИЯ</v>
      </c>
      <c r="CP674" s="839"/>
      <c r="CQ674" s="832"/>
      <c r="CR674" s="833" t="str">
        <f t="shared" si="577"/>
        <v>-</v>
      </c>
      <c r="CS674" s="833" t="str">
        <f t="shared" si="578"/>
        <v>-</v>
      </c>
      <c r="CT674" s="834" t="str">
        <f t="shared" si="579"/>
        <v>-</v>
      </c>
      <c r="CU674" s="835" t="str">
        <f t="shared" si="580"/>
        <v>-</v>
      </c>
      <c r="CV674" s="839"/>
      <c r="CW674" s="832"/>
      <c r="CX674" s="833" t="str">
        <f t="shared" si="581"/>
        <v>-</v>
      </c>
      <c r="CY674" s="840" t="str">
        <f t="shared" si="582"/>
        <v>-</v>
      </c>
      <c r="CZ674" s="833" t="str">
        <f t="shared" si="583"/>
        <v>-</v>
      </c>
      <c r="DA674" s="838" t="str">
        <f t="shared" ca="1" si="584"/>
        <v>-</v>
      </c>
      <c r="DB674" s="841"/>
      <c r="DC674" s="832"/>
    </row>
    <row r="675" spans="1:107" x14ac:dyDescent="0.25">
      <c r="A675" s="790">
        <v>677</v>
      </c>
      <c r="B675" s="791">
        <f t="shared" ca="1" si="533"/>
        <v>43134</v>
      </c>
      <c r="C675" s="29" t="s">
        <v>2556</v>
      </c>
      <c r="D675" s="59" t="s">
        <v>2586</v>
      </c>
      <c r="E675" s="794" t="s">
        <v>693</v>
      </c>
      <c r="F675" s="854" t="s">
        <v>694</v>
      </c>
      <c r="G675" s="796">
        <f>SUMIFS(МОЛОКО!L8:L6958,МОЛОКО!F8:F6958,"1345",МОЛОКО!L8:L6958,"&gt;0")</f>
        <v>13</v>
      </c>
      <c r="H675" s="797" t="s">
        <v>603</v>
      </c>
      <c r="I675" s="798">
        <v>40750</v>
      </c>
      <c r="J675" s="799">
        <f t="shared" ca="1" si="534"/>
        <v>6.5315068493150683</v>
      </c>
      <c r="K675" s="799">
        <f t="shared" ca="1" si="535"/>
        <v>79.466666666666669</v>
      </c>
      <c r="L675" s="800">
        <f t="shared" ca="1" si="536"/>
        <v>2384</v>
      </c>
      <c r="M675" s="801">
        <v>41695</v>
      </c>
      <c r="N675" s="802">
        <v>42757</v>
      </c>
      <c r="O675" s="803">
        <f t="shared" ca="1" si="537"/>
        <v>377</v>
      </c>
      <c r="P675" s="804">
        <v>4</v>
      </c>
      <c r="Q675" s="805" t="s">
        <v>2366</v>
      </c>
      <c r="R675" s="806" t="s">
        <v>2294</v>
      </c>
      <c r="S675" s="807">
        <v>42821</v>
      </c>
      <c r="T675" s="798">
        <v>42913</v>
      </c>
      <c r="U675" s="798" t="str">
        <f t="shared" si="538"/>
        <v>-</v>
      </c>
      <c r="V675" s="804" t="str">
        <f t="shared" ca="1" si="539"/>
        <v>-</v>
      </c>
      <c r="W675" s="808">
        <v>4</v>
      </c>
      <c r="X675" s="794">
        <f t="shared" si="532"/>
        <v>156</v>
      </c>
      <c r="Y675" s="794">
        <v>1</v>
      </c>
      <c r="Z675" s="809" t="str">
        <f t="shared" ca="1" si="540"/>
        <v>-----</v>
      </c>
      <c r="AA675" s="810" t="str">
        <f t="shared" ca="1" si="541"/>
        <v>-----</v>
      </c>
      <c r="AB675" s="804">
        <v>1</v>
      </c>
      <c r="AC675" s="811" t="str">
        <f t="shared" ca="1" si="542"/>
        <v>-----</v>
      </c>
      <c r="AD675" s="798">
        <v>43043</v>
      </c>
      <c r="AE675" s="794" t="str">
        <f t="shared" ca="1" si="543"/>
        <v>-</v>
      </c>
      <c r="AF675" s="798" t="str">
        <f t="shared" si="544"/>
        <v>-</v>
      </c>
      <c r="AG675" s="812" t="str">
        <f t="shared" si="545"/>
        <v>---------</v>
      </c>
      <c r="AH675" s="807">
        <v>42947</v>
      </c>
      <c r="AI675" s="807">
        <f t="shared" si="546"/>
        <v>43103</v>
      </c>
      <c r="AJ675" s="807">
        <f t="shared" si="547"/>
        <v>43133</v>
      </c>
      <c r="AK675" s="813">
        <v>43053</v>
      </c>
      <c r="AL675" s="807">
        <f t="shared" si="548"/>
        <v>43172</v>
      </c>
      <c r="AM675" s="807">
        <f t="shared" si="549"/>
        <v>43193</v>
      </c>
      <c r="AN675" s="814">
        <f t="shared" ca="1" si="550"/>
        <v>-59</v>
      </c>
      <c r="AO675" s="815">
        <v>1</v>
      </c>
      <c r="AP675" s="816" t="str">
        <f t="shared" ca="1" si="551"/>
        <v>-</v>
      </c>
      <c r="AQ675" s="817"/>
      <c r="AR675" s="794" t="str">
        <f t="shared" si="552"/>
        <v>-</v>
      </c>
      <c r="AS675" s="818"/>
      <c r="AT675" s="794" t="str">
        <f t="shared" si="553"/>
        <v>DRY COW</v>
      </c>
      <c r="AU675" s="819">
        <v>1</v>
      </c>
      <c r="AV675" s="820"/>
      <c r="AW675" s="821"/>
      <c r="AX675" s="821"/>
      <c r="AY675" s="969" t="str">
        <f t="shared" si="554"/>
        <v>-</v>
      </c>
      <c r="AZ675" s="966" t="str">
        <f t="shared" si="555"/>
        <v>-</v>
      </c>
      <c r="BA675" s="971" t="str">
        <f t="shared" si="556"/>
        <v>-</v>
      </c>
      <c r="BB675" s="975"/>
      <c r="BC675" s="821"/>
      <c r="BD675" s="821"/>
      <c r="BE675" s="963" t="str">
        <f t="shared" si="557"/>
        <v>-</v>
      </c>
      <c r="BF675" s="984"/>
      <c r="BG675" s="988"/>
      <c r="BH675" s="982"/>
      <c r="BI675" s="991"/>
      <c r="BJ675" s="991"/>
      <c r="BK675" s="993" t="str">
        <f t="shared" si="558"/>
        <v>-</v>
      </c>
      <c r="BL675" s="820">
        <v>42981</v>
      </c>
      <c r="BM675" s="821">
        <v>5</v>
      </c>
      <c r="BN675" s="822">
        <f t="shared" ca="1" si="559"/>
        <v>153</v>
      </c>
      <c r="BO675" s="823">
        <f t="shared" si="560"/>
        <v>74.36666666666666</v>
      </c>
      <c r="BP675" s="824"/>
      <c r="BQ675" s="821"/>
      <c r="BR675" s="822" t="str">
        <f t="shared" si="561"/>
        <v>-</v>
      </c>
      <c r="BS675" s="823" t="str">
        <f t="shared" si="562"/>
        <v>-</v>
      </c>
      <c r="BT675" s="825" t="str">
        <f t="shared" ca="1" si="563"/>
        <v>-</v>
      </c>
      <c r="BU675" s="826"/>
      <c r="BV675" s="827"/>
      <c r="BW675" s="828" t="str">
        <f t="shared" si="564"/>
        <v>Ж-Е НЕ ВАКЦ.</v>
      </c>
      <c r="BX675" s="829" t="str">
        <f t="shared" si="565"/>
        <v>-</v>
      </c>
      <c r="BY675" s="830" t="str">
        <f t="shared" ca="1" si="566"/>
        <v>-</v>
      </c>
      <c r="BZ675" s="831">
        <v>42887</v>
      </c>
      <c r="CA675" s="832">
        <v>5</v>
      </c>
      <c r="CB675" s="833">
        <f t="shared" ca="1" si="567"/>
        <v>247</v>
      </c>
      <c r="CC675" s="834" t="str">
        <f t="shared" ca="1" si="568"/>
        <v>-</v>
      </c>
      <c r="CD675" s="835">
        <f t="shared" si="569"/>
        <v>42908</v>
      </c>
      <c r="CE675" s="831">
        <v>42908</v>
      </c>
      <c r="CF675" s="832">
        <v>5</v>
      </c>
      <c r="CG675" s="833">
        <f t="shared" ca="1" si="570"/>
        <v>226</v>
      </c>
      <c r="CH675" s="836">
        <f t="shared" si="571"/>
        <v>0</v>
      </c>
      <c r="CI675" s="837" t="str">
        <f t="shared" si="572"/>
        <v>УСПЕШНО</v>
      </c>
      <c r="CJ675" s="838" t="str">
        <f t="shared" ca="1" si="573"/>
        <v>-</v>
      </c>
      <c r="CK675" s="831"/>
      <c r="CL675" s="832"/>
      <c r="CM675" s="833" t="str">
        <f t="shared" si="574"/>
        <v>-</v>
      </c>
      <c r="CN675" s="834" t="str">
        <f t="shared" si="575"/>
        <v>-</v>
      </c>
      <c r="CO675" s="830" t="str">
        <f t="shared" ca="1" si="576"/>
        <v>ТРЕБУЕТСЯ ВАКЦИНАЦИЯ</v>
      </c>
      <c r="CP675" s="839"/>
      <c r="CQ675" s="832"/>
      <c r="CR675" s="833" t="str">
        <f t="shared" si="577"/>
        <v>-</v>
      </c>
      <c r="CS675" s="833" t="str">
        <f t="shared" si="578"/>
        <v>-</v>
      </c>
      <c r="CT675" s="834" t="str">
        <f t="shared" si="579"/>
        <v>-</v>
      </c>
      <c r="CU675" s="835" t="str">
        <f t="shared" si="580"/>
        <v>-</v>
      </c>
      <c r="CV675" s="839"/>
      <c r="CW675" s="832"/>
      <c r="CX675" s="833" t="str">
        <f t="shared" si="581"/>
        <v>-</v>
      </c>
      <c r="CY675" s="840" t="str">
        <f t="shared" si="582"/>
        <v>-</v>
      </c>
      <c r="CZ675" s="833" t="str">
        <f t="shared" si="583"/>
        <v>-</v>
      </c>
      <c r="DA675" s="838" t="str">
        <f t="shared" ca="1" si="584"/>
        <v>-</v>
      </c>
      <c r="DB675" s="841"/>
      <c r="DC675" s="832"/>
    </row>
    <row r="676" spans="1:107" x14ac:dyDescent="0.25">
      <c r="A676" s="790">
        <v>678</v>
      </c>
      <c r="B676" s="791">
        <f t="shared" ca="1" si="533"/>
        <v>43134</v>
      </c>
      <c r="C676" s="29" t="s">
        <v>2556</v>
      </c>
      <c r="D676" s="59" t="s">
        <v>2586</v>
      </c>
      <c r="E676" s="794" t="s">
        <v>515</v>
      </c>
      <c r="F676" s="795" t="s">
        <v>516</v>
      </c>
      <c r="G676" s="796">
        <f>SUMIFS(МОЛОКО!L8:L6958,МОЛОКО!F8:F6958,"1407",МОЛОКО!L8:L6958,"&gt;0")</f>
        <v>2</v>
      </c>
      <c r="H676" s="797" t="s">
        <v>603</v>
      </c>
      <c r="I676" s="798">
        <v>40854</v>
      </c>
      <c r="J676" s="799">
        <f t="shared" ca="1" si="534"/>
        <v>6.2465753424657535</v>
      </c>
      <c r="K676" s="799">
        <f t="shared" ca="1" si="535"/>
        <v>76</v>
      </c>
      <c r="L676" s="800">
        <f t="shared" ca="1" si="536"/>
        <v>2280</v>
      </c>
      <c r="M676" s="801">
        <v>41782</v>
      </c>
      <c r="N676" s="802">
        <v>42737</v>
      </c>
      <c r="O676" s="803">
        <f t="shared" ca="1" si="537"/>
        <v>397</v>
      </c>
      <c r="P676" s="804">
        <v>2</v>
      </c>
      <c r="Q676" s="805" t="s">
        <v>1451</v>
      </c>
      <c r="R676" s="806" t="s">
        <v>2664</v>
      </c>
      <c r="S676" s="807">
        <v>42796</v>
      </c>
      <c r="T676" s="798">
        <v>42842</v>
      </c>
      <c r="U676" s="798" t="str">
        <f t="shared" si="538"/>
        <v>-</v>
      </c>
      <c r="V676" s="804" t="str">
        <f t="shared" ca="1" si="539"/>
        <v>-</v>
      </c>
      <c r="W676" s="808">
        <v>2</v>
      </c>
      <c r="X676" s="794">
        <f t="shared" si="532"/>
        <v>105</v>
      </c>
      <c r="Y676" s="794">
        <v>1</v>
      </c>
      <c r="Z676" s="809" t="str">
        <f t="shared" ca="1" si="540"/>
        <v>-----</v>
      </c>
      <c r="AA676" s="810" t="str">
        <f t="shared" ca="1" si="541"/>
        <v>-----</v>
      </c>
      <c r="AB676" s="804">
        <v>1</v>
      </c>
      <c r="AC676" s="811" t="str">
        <f t="shared" ca="1" si="542"/>
        <v>-----</v>
      </c>
      <c r="AD676" s="798">
        <v>42935</v>
      </c>
      <c r="AE676" s="794" t="str">
        <f t="shared" ca="1" si="543"/>
        <v>-</v>
      </c>
      <c r="AF676" s="798" t="str">
        <f t="shared" si="544"/>
        <v>-</v>
      </c>
      <c r="AG676" s="812" t="str">
        <f t="shared" si="545"/>
        <v>---------</v>
      </c>
      <c r="AH676" s="807">
        <v>42904</v>
      </c>
      <c r="AI676" s="807">
        <f t="shared" si="546"/>
        <v>43032</v>
      </c>
      <c r="AJ676" s="807">
        <f t="shared" si="547"/>
        <v>43062</v>
      </c>
      <c r="AK676" s="813">
        <v>43045</v>
      </c>
      <c r="AL676" s="807">
        <f t="shared" si="548"/>
        <v>43101</v>
      </c>
      <c r="AM676" s="807">
        <f t="shared" si="549"/>
        <v>43122</v>
      </c>
      <c r="AN676" s="814">
        <f t="shared" ca="1" si="550"/>
        <v>12</v>
      </c>
      <c r="AO676" s="815">
        <v>1</v>
      </c>
      <c r="AP676" s="816" t="str">
        <f t="shared" ca="1" si="551"/>
        <v>-</v>
      </c>
      <c r="AQ676" s="817"/>
      <c r="AR676" s="794" t="str">
        <f t="shared" si="552"/>
        <v>-</v>
      </c>
      <c r="AS676" s="818"/>
      <c r="AT676" s="794" t="str">
        <f t="shared" si="553"/>
        <v>DRY COW</v>
      </c>
      <c r="AU676" s="819"/>
      <c r="AV676" s="820"/>
      <c r="AW676" s="821"/>
      <c r="AX676" s="821"/>
      <c r="AY676" s="969" t="str">
        <f t="shared" si="554"/>
        <v>-</v>
      </c>
      <c r="AZ676" s="966" t="str">
        <f t="shared" si="555"/>
        <v>-</v>
      </c>
      <c r="BA676" s="971" t="str">
        <f t="shared" si="556"/>
        <v>-</v>
      </c>
      <c r="BB676" s="975"/>
      <c r="BC676" s="821"/>
      <c r="BD676" s="821"/>
      <c r="BE676" s="963" t="str">
        <f t="shared" si="557"/>
        <v>-</v>
      </c>
      <c r="BF676" s="984"/>
      <c r="BG676" s="988"/>
      <c r="BH676" s="982"/>
      <c r="BI676" s="991"/>
      <c r="BJ676" s="991"/>
      <c r="BK676" s="993" t="str">
        <f t="shared" si="558"/>
        <v>-</v>
      </c>
      <c r="BL676" s="820">
        <v>42981</v>
      </c>
      <c r="BM676" s="821">
        <v>5</v>
      </c>
      <c r="BN676" s="822">
        <f t="shared" ca="1" si="559"/>
        <v>153</v>
      </c>
      <c r="BO676" s="823">
        <f t="shared" si="560"/>
        <v>70.900000000000006</v>
      </c>
      <c r="BP676" s="824"/>
      <c r="BQ676" s="821"/>
      <c r="BR676" s="822" t="str">
        <f t="shared" si="561"/>
        <v>-</v>
      </c>
      <c r="BS676" s="823" t="str">
        <f t="shared" si="562"/>
        <v>-</v>
      </c>
      <c r="BT676" s="825" t="str">
        <f t="shared" ca="1" si="563"/>
        <v>-</v>
      </c>
      <c r="BU676" s="826"/>
      <c r="BV676" s="827"/>
      <c r="BW676" s="828" t="str">
        <f t="shared" si="564"/>
        <v>Ж-Е НЕ ВАКЦ.</v>
      </c>
      <c r="BX676" s="829" t="str">
        <f t="shared" si="565"/>
        <v>-</v>
      </c>
      <c r="BY676" s="830" t="str">
        <f t="shared" ca="1" si="566"/>
        <v>-</v>
      </c>
      <c r="BZ676" s="831">
        <v>42887</v>
      </c>
      <c r="CA676" s="832">
        <v>5</v>
      </c>
      <c r="CB676" s="833">
        <f t="shared" ca="1" si="567"/>
        <v>247</v>
      </c>
      <c r="CC676" s="834" t="str">
        <f t="shared" ca="1" si="568"/>
        <v>-</v>
      </c>
      <c r="CD676" s="835">
        <f t="shared" si="569"/>
        <v>42908</v>
      </c>
      <c r="CE676" s="831">
        <v>42908</v>
      </c>
      <c r="CF676" s="832">
        <v>5</v>
      </c>
      <c r="CG676" s="833">
        <f t="shared" ca="1" si="570"/>
        <v>226</v>
      </c>
      <c r="CH676" s="836">
        <f t="shared" si="571"/>
        <v>0</v>
      </c>
      <c r="CI676" s="837" t="str">
        <f t="shared" si="572"/>
        <v>УСПЕШНО</v>
      </c>
      <c r="CJ676" s="838" t="str">
        <f t="shared" ca="1" si="573"/>
        <v>-</v>
      </c>
      <c r="CK676" s="831"/>
      <c r="CL676" s="832"/>
      <c r="CM676" s="833" t="str">
        <f t="shared" si="574"/>
        <v>-</v>
      </c>
      <c r="CN676" s="834" t="str">
        <f t="shared" si="575"/>
        <v>-</v>
      </c>
      <c r="CO676" s="830" t="str">
        <f t="shared" ca="1" si="576"/>
        <v>ТРЕБУЕТСЯ ВАКЦИНАЦИЯ</v>
      </c>
      <c r="CP676" s="839"/>
      <c r="CQ676" s="832"/>
      <c r="CR676" s="833" t="str">
        <f t="shared" si="577"/>
        <v>-</v>
      </c>
      <c r="CS676" s="833" t="str">
        <f t="shared" si="578"/>
        <v>-</v>
      </c>
      <c r="CT676" s="834" t="str">
        <f t="shared" si="579"/>
        <v>-</v>
      </c>
      <c r="CU676" s="835" t="str">
        <f t="shared" si="580"/>
        <v>-</v>
      </c>
      <c r="CV676" s="839"/>
      <c r="CW676" s="832"/>
      <c r="CX676" s="833" t="str">
        <f t="shared" si="581"/>
        <v>-</v>
      </c>
      <c r="CY676" s="840" t="str">
        <f t="shared" si="582"/>
        <v>-</v>
      </c>
      <c r="CZ676" s="833" t="str">
        <f t="shared" si="583"/>
        <v>-</v>
      </c>
      <c r="DA676" s="838" t="str">
        <f t="shared" ca="1" si="584"/>
        <v>-</v>
      </c>
      <c r="DB676" s="841"/>
      <c r="DC676" s="832"/>
    </row>
    <row r="677" spans="1:107" x14ac:dyDescent="0.25">
      <c r="A677" s="790">
        <v>679</v>
      </c>
      <c r="B677" s="791">
        <f t="shared" ca="1" si="533"/>
        <v>43134</v>
      </c>
      <c r="C677" s="792" t="s">
        <v>2556</v>
      </c>
      <c r="D677" s="793" t="s">
        <v>2586</v>
      </c>
      <c r="E677" s="794" t="s">
        <v>258</v>
      </c>
      <c r="F677" s="854" t="s">
        <v>259</v>
      </c>
      <c r="G677" s="796">
        <f>SUMIFS(МОЛОКО!L8:L6958,МОЛОКО!F8:F6958,"1569",МОЛОКО!L8:L6958,"&gt;0")</f>
        <v>0</v>
      </c>
      <c r="H677" s="797" t="s">
        <v>603</v>
      </c>
      <c r="I677" s="798">
        <v>41048</v>
      </c>
      <c r="J677" s="799">
        <f t="shared" ca="1" si="534"/>
        <v>5.7150684931506852</v>
      </c>
      <c r="K677" s="799">
        <f t="shared" ca="1" si="535"/>
        <v>69.533333333333331</v>
      </c>
      <c r="L677" s="800">
        <f t="shared" ca="1" si="536"/>
        <v>2086</v>
      </c>
      <c r="M677" s="801">
        <v>41988</v>
      </c>
      <c r="N677" s="802">
        <v>42715</v>
      </c>
      <c r="O677" s="803">
        <f t="shared" ca="1" si="537"/>
        <v>419</v>
      </c>
      <c r="P677" s="804">
        <v>3</v>
      </c>
      <c r="Q677" s="805" t="s">
        <v>1451</v>
      </c>
      <c r="R677" s="806" t="s">
        <v>1815</v>
      </c>
      <c r="S677" s="807">
        <v>42764</v>
      </c>
      <c r="T677" s="798">
        <v>42808</v>
      </c>
      <c r="U677" s="798" t="str">
        <f t="shared" si="538"/>
        <v>-</v>
      </c>
      <c r="V677" s="804" t="str">
        <f t="shared" ca="1" si="539"/>
        <v>-</v>
      </c>
      <c r="W677" s="808">
        <v>2</v>
      </c>
      <c r="X677" s="794">
        <f t="shared" si="532"/>
        <v>93</v>
      </c>
      <c r="Y677" s="794">
        <v>1</v>
      </c>
      <c r="Z677" s="809" t="str">
        <f t="shared" ca="1" si="540"/>
        <v>-----</v>
      </c>
      <c r="AA677" s="810" t="str">
        <f t="shared" ca="1" si="541"/>
        <v>-----</v>
      </c>
      <c r="AB677" s="804">
        <v>1</v>
      </c>
      <c r="AC677" s="811" t="str">
        <f t="shared" ca="1" si="542"/>
        <v>-----</v>
      </c>
      <c r="AD677" s="798">
        <v>43024</v>
      </c>
      <c r="AE677" s="794" t="str">
        <f t="shared" ca="1" si="543"/>
        <v>-</v>
      </c>
      <c r="AF677" s="798" t="str">
        <f t="shared" si="544"/>
        <v>-</v>
      </c>
      <c r="AG677" s="812" t="str">
        <f t="shared" si="545"/>
        <v>---------</v>
      </c>
      <c r="AH677" s="807">
        <v>42843</v>
      </c>
      <c r="AI677" s="807">
        <f t="shared" si="546"/>
        <v>42998</v>
      </c>
      <c r="AJ677" s="807">
        <f t="shared" si="547"/>
        <v>43028</v>
      </c>
      <c r="AK677" s="813">
        <v>43022</v>
      </c>
      <c r="AL677" s="807">
        <f t="shared" si="548"/>
        <v>43067</v>
      </c>
      <c r="AM677" s="807">
        <f t="shared" si="549"/>
        <v>43088</v>
      </c>
      <c r="AN677" s="814">
        <f t="shared" ca="1" si="550"/>
        <v>46</v>
      </c>
      <c r="AO677" s="815">
        <v>1</v>
      </c>
      <c r="AP677" s="816" t="str">
        <f t="shared" ca="1" si="551"/>
        <v>-</v>
      </c>
      <c r="AQ677" s="817"/>
      <c r="AR677" s="794" t="str">
        <f t="shared" si="552"/>
        <v>-</v>
      </c>
      <c r="AS677" s="818"/>
      <c r="AT677" s="794" t="str">
        <f t="shared" si="553"/>
        <v>DRY COW</v>
      </c>
      <c r="AU677" s="819">
        <v>1</v>
      </c>
      <c r="AV677" s="820"/>
      <c r="AW677" s="821"/>
      <c r="AX677" s="821"/>
      <c r="AY677" s="969" t="str">
        <f t="shared" si="554"/>
        <v>-</v>
      </c>
      <c r="AZ677" s="966" t="str">
        <f t="shared" si="555"/>
        <v>-</v>
      </c>
      <c r="BA677" s="971" t="str">
        <f t="shared" si="556"/>
        <v>-</v>
      </c>
      <c r="BB677" s="975"/>
      <c r="BC677" s="821"/>
      <c r="BD677" s="821"/>
      <c r="BE677" s="963" t="str">
        <f t="shared" si="557"/>
        <v>-</v>
      </c>
      <c r="BF677" s="984"/>
      <c r="BG677" s="988"/>
      <c r="BH677" s="982"/>
      <c r="BI677" s="991"/>
      <c r="BJ677" s="991"/>
      <c r="BK677" s="993" t="str">
        <f t="shared" si="558"/>
        <v>-</v>
      </c>
      <c r="BL677" s="820">
        <v>42981</v>
      </c>
      <c r="BM677" s="821">
        <v>5</v>
      </c>
      <c r="BN677" s="822">
        <f t="shared" ca="1" si="559"/>
        <v>153</v>
      </c>
      <c r="BO677" s="823">
        <f t="shared" si="560"/>
        <v>64.433333333333337</v>
      </c>
      <c r="BP677" s="824"/>
      <c r="BQ677" s="821"/>
      <c r="BR677" s="822" t="str">
        <f t="shared" si="561"/>
        <v>-</v>
      </c>
      <c r="BS677" s="823" t="str">
        <f t="shared" si="562"/>
        <v>-</v>
      </c>
      <c r="BT677" s="825" t="str">
        <f t="shared" ca="1" si="563"/>
        <v>-</v>
      </c>
      <c r="BU677" s="826"/>
      <c r="BV677" s="827"/>
      <c r="BW677" s="828" t="str">
        <f t="shared" si="564"/>
        <v>Ж-Е НЕ ВАКЦ.</v>
      </c>
      <c r="BX677" s="829" t="str">
        <f t="shared" si="565"/>
        <v>-</v>
      </c>
      <c r="BY677" s="830" t="str">
        <f t="shared" ca="1" si="566"/>
        <v>-</v>
      </c>
      <c r="BZ677" s="831">
        <v>42887</v>
      </c>
      <c r="CA677" s="832">
        <v>5</v>
      </c>
      <c r="CB677" s="833">
        <f t="shared" ca="1" si="567"/>
        <v>247</v>
      </c>
      <c r="CC677" s="834" t="str">
        <f t="shared" ca="1" si="568"/>
        <v>-</v>
      </c>
      <c r="CD677" s="835">
        <f t="shared" si="569"/>
        <v>42908</v>
      </c>
      <c r="CE677" s="831">
        <v>42908</v>
      </c>
      <c r="CF677" s="832">
        <v>5</v>
      </c>
      <c r="CG677" s="833">
        <f t="shared" ca="1" si="570"/>
        <v>226</v>
      </c>
      <c r="CH677" s="836">
        <f t="shared" si="571"/>
        <v>0</v>
      </c>
      <c r="CI677" s="837" t="str">
        <f t="shared" si="572"/>
        <v>УСПЕШНО</v>
      </c>
      <c r="CJ677" s="838" t="str">
        <f t="shared" ca="1" si="573"/>
        <v>-</v>
      </c>
      <c r="CK677" s="831"/>
      <c r="CL677" s="832"/>
      <c r="CM677" s="833" t="str">
        <f t="shared" si="574"/>
        <v>-</v>
      </c>
      <c r="CN677" s="834" t="str">
        <f t="shared" si="575"/>
        <v>-</v>
      </c>
      <c r="CO677" s="830" t="str">
        <f t="shared" ca="1" si="576"/>
        <v>-</v>
      </c>
      <c r="CP677" s="831">
        <v>43024</v>
      </c>
      <c r="CQ677" s="832">
        <v>2</v>
      </c>
      <c r="CR677" s="833">
        <f t="shared" si="577"/>
        <v>216</v>
      </c>
      <c r="CS677" s="833">
        <f t="shared" ca="1" si="578"/>
        <v>110</v>
      </c>
      <c r="CT677" s="834" t="str">
        <f t="shared" ca="1" si="579"/>
        <v>-</v>
      </c>
      <c r="CU677" s="835">
        <f t="shared" si="580"/>
        <v>43045</v>
      </c>
      <c r="CV677" s="831">
        <v>43045</v>
      </c>
      <c r="CW677" s="832">
        <v>2</v>
      </c>
      <c r="CX677" s="833">
        <f t="shared" si="581"/>
        <v>0</v>
      </c>
      <c r="CY677" s="840" t="str">
        <f t="shared" si="582"/>
        <v>УСПЕШНО</v>
      </c>
      <c r="CZ677" s="833">
        <f t="shared" si="583"/>
        <v>237</v>
      </c>
      <c r="DA677" s="838" t="str">
        <f t="shared" ca="1" si="584"/>
        <v>ТРЕБУЕТСЯ РЕВАКЦИНАЦИЯ</v>
      </c>
      <c r="DB677" s="841"/>
      <c r="DC677" s="832"/>
    </row>
    <row r="678" spans="1:107" x14ac:dyDescent="0.25">
      <c r="A678" s="790">
        <v>680</v>
      </c>
      <c r="B678" s="791">
        <f t="shared" ca="1" si="533"/>
        <v>43134</v>
      </c>
      <c r="C678" s="792" t="s">
        <v>2556</v>
      </c>
      <c r="D678" s="793" t="s">
        <v>2586</v>
      </c>
      <c r="E678" s="794" t="s">
        <v>735</v>
      </c>
      <c r="F678" s="854" t="s">
        <v>835</v>
      </c>
      <c r="G678" s="796">
        <f>SUMIFS(МОЛОКО!L8:L6958,МОЛОКО!F8:F6958,"1610",МОЛОКО!L8:L6958,"&gt;0")</f>
        <v>0</v>
      </c>
      <c r="H678" s="797" t="s">
        <v>603</v>
      </c>
      <c r="I678" s="798">
        <v>41083</v>
      </c>
      <c r="J678" s="799">
        <f t="shared" ca="1" si="534"/>
        <v>5.6191780821917812</v>
      </c>
      <c r="K678" s="799">
        <f t="shared" ca="1" si="535"/>
        <v>68.36666666666666</v>
      </c>
      <c r="L678" s="800">
        <f t="shared" ca="1" si="536"/>
        <v>2051</v>
      </c>
      <c r="M678" s="801">
        <v>41784</v>
      </c>
      <c r="N678" s="802">
        <v>42564</v>
      </c>
      <c r="O678" s="803">
        <f t="shared" ca="1" si="537"/>
        <v>570</v>
      </c>
      <c r="P678" s="804">
        <v>3</v>
      </c>
      <c r="Q678" s="805" t="s">
        <v>1451</v>
      </c>
      <c r="R678" s="806" t="s">
        <v>2294</v>
      </c>
      <c r="S678" s="807">
        <v>42627</v>
      </c>
      <c r="T678" s="798">
        <v>42808</v>
      </c>
      <c r="U678" s="798" t="str">
        <f t="shared" si="538"/>
        <v>-</v>
      </c>
      <c r="V678" s="804" t="str">
        <f t="shared" ca="1" si="539"/>
        <v>-</v>
      </c>
      <c r="W678" s="808">
        <v>5</v>
      </c>
      <c r="X678" s="794">
        <f t="shared" si="532"/>
        <v>244</v>
      </c>
      <c r="Y678" s="794">
        <v>1</v>
      </c>
      <c r="Z678" s="809" t="str">
        <f t="shared" ca="1" si="540"/>
        <v>-----</v>
      </c>
      <c r="AA678" s="810" t="str">
        <f t="shared" ca="1" si="541"/>
        <v>-----</v>
      </c>
      <c r="AB678" s="804">
        <v>1</v>
      </c>
      <c r="AC678" s="811" t="str">
        <f t="shared" ca="1" si="542"/>
        <v>-----</v>
      </c>
      <c r="AD678" s="798">
        <v>43010</v>
      </c>
      <c r="AE678" s="794" t="str">
        <f t="shared" ca="1" si="543"/>
        <v>-</v>
      </c>
      <c r="AF678" s="798" t="str">
        <f t="shared" si="544"/>
        <v>-</v>
      </c>
      <c r="AG678" s="812" t="str">
        <f t="shared" si="545"/>
        <v>---------</v>
      </c>
      <c r="AH678" s="807">
        <v>42843</v>
      </c>
      <c r="AI678" s="807">
        <f t="shared" si="546"/>
        <v>42998</v>
      </c>
      <c r="AJ678" s="807">
        <f t="shared" si="547"/>
        <v>43028</v>
      </c>
      <c r="AK678" s="813">
        <v>43010</v>
      </c>
      <c r="AL678" s="807">
        <f t="shared" si="548"/>
        <v>43067</v>
      </c>
      <c r="AM678" s="807">
        <f t="shared" si="549"/>
        <v>43088</v>
      </c>
      <c r="AN678" s="814">
        <f t="shared" ca="1" si="550"/>
        <v>46</v>
      </c>
      <c r="AO678" s="815">
        <v>1</v>
      </c>
      <c r="AP678" s="816" t="str">
        <f t="shared" ca="1" si="551"/>
        <v>-</v>
      </c>
      <c r="AQ678" s="817"/>
      <c r="AR678" s="794" t="str">
        <f t="shared" si="552"/>
        <v>-</v>
      </c>
      <c r="AS678" s="818"/>
      <c r="AT678" s="794" t="str">
        <f t="shared" si="553"/>
        <v>DRY COW</v>
      </c>
      <c r="AU678" s="819">
        <v>1</v>
      </c>
      <c r="AV678" s="820"/>
      <c r="AW678" s="821"/>
      <c r="AX678" s="821"/>
      <c r="AY678" s="969" t="str">
        <f t="shared" si="554"/>
        <v>-</v>
      </c>
      <c r="AZ678" s="966" t="str">
        <f t="shared" si="555"/>
        <v>-</v>
      </c>
      <c r="BA678" s="971" t="str">
        <f t="shared" si="556"/>
        <v>-</v>
      </c>
      <c r="BB678" s="975"/>
      <c r="BC678" s="821"/>
      <c r="BD678" s="821"/>
      <c r="BE678" s="963" t="str">
        <f t="shared" si="557"/>
        <v>-</v>
      </c>
      <c r="BF678" s="984"/>
      <c r="BG678" s="988"/>
      <c r="BH678" s="982"/>
      <c r="BI678" s="991"/>
      <c r="BJ678" s="991"/>
      <c r="BK678" s="993" t="str">
        <f t="shared" si="558"/>
        <v>-</v>
      </c>
      <c r="BL678" s="820">
        <v>42981</v>
      </c>
      <c r="BM678" s="821">
        <v>5</v>
      </c>
      <c r="BN678" s="822">
        <f t="shared" ca="1" si="559"/>
        <v>153</v>
      </c>
      <c r="BO678" s="823">
        <f t="shared" si="560"/>
        <v>63.266666666666666</v>
      </c>
      <c r="BP678" s="824"/>
      <c r="BQ678" s="821"/>
      <c r="BR678" s="822" t="str">
        <f t="shared" si="561"/>
        <v>-</v>
      </c>
      <c r="BS678" s="823" t="str">
        <f t="shared" si="562"/>
        <v>-</v>
      </c>
      <c r="BT678" s="825" t="str">
        <f t="shared" ca="1" si="563"/>
        <v>-</v>
      </c>
      <c r="BU678" s="826"/>
      <c r="BV678" s="827"/>
      <c r="BW678" s="828" t="str">
        <f t="shared" si="564"/>
        <v>Ж-Е НЕ ВАКЦ.</v>
      </c>
      <c r="BX678" s="829" t="str">
        <f t="shared" si="565"/>
        <v>-</v>
      </c>
      <c r="BY678" s="830" t="str">
        <f t="shared" ca="1" si="566"/>
        <v>-</v>
      </c>
      <c r="BZ678" s="831">
        <v>42887</v>
      </c>
      <c r="CA678" s="832">
        <v>5</v>
      </c>
      <c r="CB678" s="833">
        <f t="shared" ca="1" si="567"/>
        <v>247</v>
      </c>
      <c r="CC678" s="834" t="str">
        <f t="shared" ca="1" si="568"/>
        <v>-</v>
      </c>
      <c r="CD678" s="835">
        <f t="shared" si="569"/>
        <v>42908</v>
      </c>
      <c r="CE678" s="831">
        <v>42908</v>
      </c>
      <c r="CF678" s="832">
        <v>5</v>
      </c>
      <c r="CG678" s="833">
        <f t="shared" ca="1" si="570"/>
        <v>226</v>
      </c>
      <c r="CH678" s="836">
        <f t="shared" si="571"/>
        <v>0</v>
      </c>
      <c r="CI678" s="837" t="str">
        <f t="shared" si="572"/>
        <v>УСПЕШНО</v>
      </c>
      <c r="CJ678" s="838" t="str">
        <f t="shared" ca="1" si="573"/>
        <v>-</v>
      </c>
      <c r="CK678" s="831"/>
      <c r="CL678" s="832"/>
      <c r="CM678" s="833" t="str">
        <f t="shared" si="574"/>
        <v>-</v>
      </c>
      <c r="CN678" s="834" t="str">
        <f t="shared" si="575"/>
        <v>-</v>
      </c>
      <c r="CO678" s="830" t="str">
        <f t="shared" ca="1" si="576"/>
        <v>-</v>
      </c>
      <c r="CP678" s="831">
        <v>43024</v>
      </c>
      <c r="CQ678" s="832">
        <v>2</v>
      </c>
      <c r="CR678" s="833">
        <f t="shared" si="577"/>
        <v>216</v>
      </c>
      <c r="CS678" s="833">
        <f t="shared" ca="1" si="578"/>
        <v>110</v>
      </c>
      <c r="CT678" s="834" t="str">
        <f t="shared" ca="1" si="579"/>
        <v>-</v>
      </c>
      <c r="CU678" s="835">
        <f t="shared" si="580"/>
        <v>43045</v>
      </c>
      <c r="CV678" s="831">
        <v>43045</v>
      </c>
      <c r="CW678" s="832">
        <v>2</v>
      </c>
      <c r="CX678" s="833">
        <f t="shared" si="581"/>
        <v>0</v>
      </c>
      <c r="CY678" s="840" t="str">
        <f t="shared" si="582"/>
        <v>УСПЕШНО</v>
      </c>
      <c r="CZ678" s="833">
        <f t="shared" si="583"/>
        <v>237</v>
      </c>
      <c r="DA678" s="838" t="str">
        <f t="shared" ca="1" si="584"/>
        <v>ТРЕБУЕТСЯ РЕВАКЦИНАЦИЯ</v>
      </c>
      <c r="DB678" s="841"/>
      <c r="DC678" s="832"/>
    </row>
    <row r="679" spans="1:107" x14ac:dyDescent="0.25">
      <c r="A679" s="790">
        <v>681</v>
      </c>
      <c r="B679" s="791">
        <f t="shared" ca="1" si="533"/>
        <v>43134</v>
      </c>
      <c r="C679" s="792" t="s">
        <v>2556</v>
      </c>
      <c r="D679" s="856" t="s">
        <v>2586</v>
      </c>
      <c r="E679" s="794" t="s">
        <v>629</v>
      </c>
      <c r="F679" s="795" t="s">
        <v>630</v>
      </c>
      <c r="G679" s="796">
        <f>SUMIFS(МОЛОКО!L8:L6958,МОЛОКО!F8:F6958,"1655",МОЛОКО!L8:L6958,"&gt;0")</f>
        <v>0</v>
      </c>
      <c r="H679" s="797" t="s">
        <v>603</v>
      </c>
      <c r="I679" s="798">
        <v>41132</v>
      </c>
      <c r="J679" s="799">
        <f t="shared" ca="1" si="534"/>
        <v>5.484931506849315</v>
      </c>
      <c r="K679" s="799">
        <f t="shared" ca="1" si="535"/>
        <v>66.733333333333334</v>
      </c>
      <c r="L679" s="800">
        <f t="shared" ca="1" si="536"/>
        <v>2002</v>
      </c>
      <c r="M679" s="801">
        <v>41935</v>
      </c>
      <c r="N679" s="802">
        <v>42712</v>
      </c>
      <c r="O679" s="803">
        <f t="shared" ca="1" si="537"/>
        <v>422</v>
      </c>
      <c r="P679" s="804">
        <v>3</v>
      </c>
      <c r="Q679" s="805" t="s">
        <v>1451</v>
      </c>
      <c r="R679" s="806" t="s">
        <v>1815</v>
      </c>
      <c r="S679" s="807">
        <v>42764</v>
      </c>
      <c r="T679" s="798">
        <v>42808</v>
      </c>
      <c r="U679" s="798" t="str">
        <f t="shared" si="538"/>
        <v>-</v>
      </c>
      <c r="V679" s="804" t="str">
        <f t="shared" ca="1" si="539"/>
        <v>-</v>
      </c>
      <c r="W679" s="808">
        <v>2</v>
      </c>
      <c r="X679" s="794">
        <f t="shared" si="532"/>
        <v>96</v>
      </c>
      <c r="Y679" s="794">
        <v>1</v>
      </c>
      <c r="Z679" s="809" t="str">
        <f t="shared" ca="1" si="540"/>
        <v>-----</v>
      </c>
      <c r="AA679" s="810" t="str">
        <f t="shared" ca="1" si="541"/>
        <v>-----</v>
      </c>
      <c r="AB679" s="804">
        <v>1</v>
      </c>
      <c r="AC679" s="811" t="str">
        <f t="shared" ca="1" si="542"/>
        <v>-----</v>
      </c>
      <c r="AD679" s="798">
        <v>42912</v>
      </c>
      <c r="AE679" s="794" t="str">
        <f t="shared" ca="1" si="543"/>
        <v>-</v>
      </c>
      <c r="AF679" s="798" t="str">
        <f t="shared" si="544"/>
        <v>-</v>
      </c>
      <c r="AG679" s="812" t="str">
        <f t="shared" si="545"/>
        <v>---------</v>
      </c>
      <c r="AH679" s="807">
        <v>42843</v>
      </c>
      <c r="AI679" s="807">
        <f t="shared" si="546"/>
        <v>42998</v>
      </c>
      <c r="AJ679" s="807">
        <f t="shared" si="547"/>
        <v>43028</v>
      </c>
      <c r="AK679" s="813">
        <v>42991</v>
      </c>
      <c r="AL679" s="807">
        <f t="shared" si="548"/>
        <v>43067</v>
      </c>
      <c r="AM679" s="807">
        <f t="shared" si="549"/>
        <v>43088</v>
      </c>
      <c r="AN679" s="814">
        <f t="shared" ca="1" si="550"/>
        <v>46</v>
      </c>
      <c r="AO679" s="815">
        <v>1</v>
      </c>
      <c r="AP679" s="816" t="str">
        <f t="shared" ca="1" si="551"/>
        <v>-</v>
      </c>
      <c r="AQ679" s="817"/>
      <c r="AR679" s="794" t="str">
        <f t="shared" si="552"/>
        <v>-</v>
      </c>
      <c r="AS679" s="818"/>
      <c r="AT679" s="794" t="str">
        <f t="shared" si="553"/>
        <v>DRY COW</v>
      </c>
      <c r="AU679" s="819"/>
      <c r="AV679" s="820"/>
      <c r="AW679" s="821"/>
      <c r="AX679" s="821"/>
      <c r="AY679" s="969" t="str">
        <f t="shared" si="554"/>
        <v>-</v>
      </c>
      <c r="AZ679" s="966" t="str">
        <f t="shared" si="555"/>
        <v>-</v>
      </c>
      <c r="BA679" s="971" t="str">
        <f t="shared" si="556"/>
        <v>-</v>
      </c>
      <c r="BB679" s="975"/>
      <c r="BC679" s="821"/>
      <c r="BD679" s="821"/>
      <c r="BE679" s="963" t="str">
        <f t="shared" si="557"/>
        <v>-</v>
      </c>
      <c r="BF679" s="984"/>
      <c r="BG679" s="988"/>
      <c r="BH679" s="982"/>
      <c r="BI679" s="991"/>
      <c r="BJ679" s="991"/>
      <c r="BK679" s="993" t="str">
        <f t="shared" si="558"/>
        <v>-</v>
      </c>
      <c r="BL679" s="820">
        <v>42981</v>
      </c>
      <c r="BM679" s="821">
        <v>5</v>
      </c>
      <c r="BN679" s="822">
        <f t="shared" ca="1" si="559"/>
        <v>153</v>
      </c>
      <c r="BO679" s="823">
        <f t="shared" si="560"/>
        <v>61.633333333333333</v>
      </c>
      <c r="BP679" s="824"/>
      <c r="BQ679" s="821"/>
      <c r="BR679" s="822" t="str">
        <f t="shared" si="561"/>
        <v>-</v>
      </c>
      <c r="BS679" s="823" t="str">
        <f t="shared" si="562"/>
        <v>-</v>
      </c>
      <c r="BT679" s="825" t="str">
        <f t="shared" ca="1" si="563"/>
        <v>-</v>
      </c>
      <c r="BU679" s="826"/>
      <c r="BV679" s="827"/>
      <c r="BW679" s="828" t="str">
        <f t="shared" si="564"/>
        <v>Ж-Е НЕ ВАКЦ.</v>
      </c>
      <c r="BX679" s="829" t="str">
        <f t="shared" si="565"/>
        <v>-</v>
      </c>
      <c r="BY679" s="830" t="str">
        <f t="shared" ca="1" si="566"/>
        <v>-</v>
      </c>
      <c r="BZ679" s="831">
        <v>42887</v>
      </c>
      <c r="CA679" s="832">
        <v>5</v>
      </c>
      <c r="CB679" s="833">
        <f t="shared" ca="1" si="567"/>
        <v>247</v>
      </c>
      <c r="CC679" s="834" t="str">
        <f t="shared" ca="1" si="568"/>
        <v>-</v>
      </c>
      <c r="CD679" s="835">
        <f t="shared" si="569"/>
        <v>42908</v>
      </c>
      <c r="CE679" s="831">
        <v>42908</v>
      </c>
      <c r="CF679" s="832">
        <v>5</v>
      </c>
      <c r="CG679" s="833">
        <f t="shared" ca="1" si="570"/>
        <v>226</v>
      </c>
      <c r="CH679" s="836">
        <f t="shared" si="571"/>
        <v>0</v>
      </c>
      <c r="CI679" s="837" t="str">
        <f t="shared" si="572"/>
        <v>УСПЕШНО</v>
      </c>
      <c r="CJ679" s="838" t="str">
        <f t="shared" ca="1" si="573"/>
        <v>-</v>
      </c>
      <c r="CK679" s="831"/>
      <c r="CL679" s="832"/>
      <c r="CM679" s="833" t="str">
        <f t="shared" si="574"/>
        <v>-</v>
      </c>
      <c r="CN679" s="834" t="str">
        <f t="shared" si="575"/>
        <v>-</v>
      </c>
      <c r="CO679" s="830" t="str">
        <f t="shared" ca="1" si="576"/>
        <v>-</v>
      </c>
      <c r="CP679" s="831">
        <v>43024</v>
      </c>
      <c r="CQ679" s="832">
        <v>2</v>
      </c>
      <c r="CR679" s="833">
        <f t="shared" si="577"/>
        <v>216</v>
      </c>
      <c r="CS679" s="833">
        <f t="shared" ca="1" si="578"/>
        <v>110</v>
      </c>
      <c r="CT679" s="834" t="str">
        <f t="shared" ca="1" si="579"/>
        <v>-</v>
      </c>
      <c r="CU679" s="835">
        <f t="shared" si="580"/>
        <v>43045</v>
      </c>
      <c r="CV679" s="831">
        <v>43045</v>
      </c>
      <c r="CW679" s="832">
        <v>2</v>
      </c>
      <c r="CX679" s="833">
        <f t="shared" si="581"/>
        <v>0</v>
      </c>
      <c r="CY679" s="840" t="str">
        <f t="shared" si="582"/>
        <v>УСПЕШНО</v>
      </c>
      <c r="CZ679" s="833">
        <f t="shared" si="583"/>
        <v>237</v>
      </c>
      <c r="DA679" s="838" t="str">
        <f t="shared" ca="1" si="584"/>
        <v>ТРЕБУЕТСЯ РЕВАКЦИНАЦИЯ</v>
      </c>
      <c r="DB679" s="841"/>
      <c r="DC679" s="832"/>
    </row>
    <row r="680" spans="1:107" s="842" customFormat="1" ht="15.95" customHeight="1" x14ac:dyDescent="0.25">
      <c r="A680" s="790">
        <v>682</v>
      </c>
      <c r="B680" s="791">
        <f t="shared" ca="1" si="533"/>
        <v>43134</v>
      </c>
      <c r="C680" s="29" t="s">
        <v>2556</v>
      </c>
      <c r="D680" s="59" t="s">
        <v>2586</v>
      </c>
      <c r="E680" s="794" t="s">
        <v>851</v>
      </c>
      <c r="F680" s="795" t="s">
        <v>852</v>
      </c>
      <c r="G680" s="796">
        <f>SUMIFS(МОЛОКО!L8:L6958,МОЛОКО!F8:F6958,"1673",МОЛОКО!L8:L6958,"&gt;0")</f>
        <v>0.4</v>
      </c>
      <c r="H680" s="797" t="s">
        <v>603</v>
      </c>
      <c r="I680" s="798">
        <v>41155</v>
      </c>
      <c r="J680" s="799">
        <f t="shared" ca="1" si="534"/>
        <v>5.4219178082191783</v>
      </c>
      <c r="K680" s="799">
        <f t="shared" ca="1" si="535"/>
        <v>65.966666666666669</v>
      </c>
      <c r="L680" s="800">
        <f t="shared" ca="1" si="536"/>
        <v>1979</v>
      </c>
      <c r="M680" s="801">
        <v>41809</v>
      </c>
      <c r="N680" s="802">
        <v>42760</v>
      </c>
      <c r="O680" s="803">
        <f t="shared" ca="1" si="537"/>
        <v>374</v>
      </c>
      <c r="P680" s="804">
        <v>3</v>
      </c>
      <c r="Q680" s="805" t="s">
        <v>1451</v>
      </c>
      <c r="R680" s="806" t="s">
        <v>1815</v>
      </c>
      <c r="S680" s="807">
        <v>42824</v>
      </c>
      <c r="T680" s="798">
        <v>42824</v>
      </c>
      <c r="U680" s="798" t="str">
        <f t="shared" si="538"/>
        <v>-</v>
      </c>
      <c r="V680" s="804" t="str">
        <f t="shared" ca="1" si="539"/>
        <v>-</v>
      </c>
      <c r="W680" s="808">
        <v>1</v>
      </c>
      <c r="X680" s="794">
        <f t="shared" si="532"/>
        <v>64</v>
      </c>
      <c r="Y680" s="794">
        <v>1</v>
      </c>
      <c r="Z680" s="809" t="str">
        <f t="shared" ca="1" si="540"/>
        <v>-----</v>
      </c>
      <c r="AA680" s="810" t="str">
        <f t="shared" ca="1" si="541"/>
        <v>-----</v>
      </c>
      <c r="AB680" s="804">
        <v>1</v>
      </c>
      <c r="AC680" s="811" t="str">
        <f t="shared" ca="1" si="542"/>
        <v>-----</v>
      </c>
      <c r="AD680" s="798">
        <v>42912</v>
      </c>
      <c r="AE680" s="794" t="str">
        <f t="shared" ca="1" si="543"/>
        <v>-</v>
      </c>
      <c r="AF680" s="798" t="str">
        <f t="shared" si="544"/>
        <v>-</v>
      </c>
      <c r="AG680" s="812" t="str">
        <f t="shared" si="545"/>
        <v>---------</v>
      </c>
      <c r="AH680" s="807">
        <v>42858</v>
      </c>
      <c r="AI680" s="807">
        <f t="shared" si="546"/>
        <v>43014</v>
      </c>
      <c r="AJ680" s="807">
        <f t="shared" si="547"/>
        <v>43044</v>
      </c>
      <c r="AK680" s="813">
        <v>43038</v>
      </c>
      <c r="AL680" s="807">
        <f t="shared" si="548"/>
        <v>43083</v>
      </c>
      <c r="AM680" s="807">
        <f t="shared" si="549"/>
        <v>43104</v>
      </c>
      <c r="AN680" s="814">
        <f t="shared" ca="1" si="550"/>
        <v>30</v>
      </c>
      <c r="AO680" s="815">
        <v>1</v>
      </c>
      <c r="AP680" s="816" t="str">
        <f t="shared" ca="1" si="551"/>
        <v>-</v>
      </c>
      <c r="AQ680" s="817"/>
      <c r="AR680" s="794" t="str">
        <f t="shared" si="552"/>
        <v>-</v>
      </c>
      <c r="AS680" s="818"/>
      <c r="AT680" s="794" t="str">
        <f t="shared" si="553"/>
        <v>DRY COW</v>
      </c>
      <c r="AU680" s="819"/>
      <c r="AV680" s="820"/>
      <c r="AW680" s="821"/>
      <c r="AX680" s="821"/>
      <c r="AY680" s="969" t="str">
        <f t="shared" si="554"/>
        <v>-</v>
      </c>
      <c r="AZ680" s="966" t="str">
        <f t="shared" si="555"/>
        <v>-</v>
      </c>
      <c r="BA680" s="971" t="str">
        <f t="shared" si="556"/>
        <v>-</v>
      </c>
      <c r="BB680" s="975"/>
      <c r="BC680" s="821"/>
      <c r="BD680" s="821"/>
      <c r="BE680" s="963" t="str">
        <f t="shared" si="557"/>
        <v>-</v>
      </c>
      <c r="BF680" s="984"/>
      <c r="BG680" s="988"/>
      <c r="BH680" s="982"/>
      <c r="BI680" s="991"/>
      <c r="BJ680" s="991"/>
      <c r="BK680" s="993" t="str">
        <f t="shared" si="558"/>
        <v>-</v>
      </c>
      <c r="BL680" s="820">
        <v>42981</v>
      </c>
      <c r="BM680" s="821">
        <v>5</v>
      </c>
      <c r="BN680" s="822">
        <f t="shared" ca="1" si="559"/>
        <v>153</v>
      </c>
      <c r="BO680" s="823">
        <f t="shared" si="560"/>
        <v>60.866666666666667</v>
      </c>
      <c r="BP680" s="824"/>
      <c r="BQ680" s="821"/>
      <c r="BR680" s="822" t="str">
        <f t="shared" si="561"/>
        <v>-</v>
      </c>
      <c r="BS680" s="823" t="str">
        <f t="shared" si="562"/>
        <v>-</v>
      </c>
      <c r="BT680" s="825" t="str">
        <f t="shared" ca="1" si="563"/>
        <v>-</v>
      </c>
      <c r="BU680" s="826"/>
      <c r="BV680" s="827"/>
      <c r="BW680" s="828" t="str">
        <f t="shared" si="564"/>
        <v>Ж-Е НЕ ВАКЦ.</v>
      </c>
      <c r="BX680" s="829" t="str">
        <f t="shared" si="565"/>
        <v>-</v>
      </c>
      <c r="BY680" s="830" t="str">
        <f t="shared" ca="1" si="566"/>
        <v>-</v>
      </c>
      <c r="BZ680" s="831">
        <v>42887</v>
      </c>
      <c r="CA680" s="832">
        <v>5</v>
      </c>
      <c r="CB680" s="833">
        <f t="shared" ca="1" si="567"/>
        <v>247</v>
      </c>
      <c r="CC680" s="834" t="str">
        <f t="shared" ca="1" si="568"/>
        <v>-</v>
      </c>
      <c r="CD680" s="835">
        <f t="shared" si="569"/>
        <v>42908</v>
      </c>
      <c r="CE680" s="831">
        <v>42908</v>
      </c>
      <c r="CF680" s="832">
        <v>5</v>
      </c>
      <c r="CG680" s="833">
        <f t="shared" ca="1" si="570"/>
        <v>226</v>
      </c>
      <c r="CH680" s="836">
        <f t="shared" si="571"/>
        <v>0</v>
      </c>
      <c r="CI680" s="837" t="str">
        <f t="shared" si="572"/>
        <v>УСПЕШНО</v>
      </c>
      <c r="CJ680" s="838" t="str">
        <f t="shared" ca="1" si="573"/>
        <v>-</v>
      </c>
      <c r="CK680" s="831"/>
      <c r="CL680" s="832"/>
      <c r="CM680" s="833" t="str">
        <f t="shared" si="574"/>
        <v>-</v>
      </c>
      <c r="CN680" s="834" t="str">
        <f t="shared" si="575"/>
        <v>-</v>
      </c>
      <c r="CO680" s="830" t="str">
        <f t="shared" ca="1" si="576"/>
        <v>-</v>
      </c>
      <c r="CP680" s="831">
        <v>43052</v>
      </c>
      <c r="CQ680" s="832">
        <v>2</v>
      </c>
      <c r="CR680" s="833">
        <f t="shared" si="577"/>
        <v>228</v>
      </c>
      <c r="CS680" s="833">
        <f t="shared" ca="1" si="578"/>
        <v>82</v>
      </c>
      <c r="CT680" s="834" t="str">
        <f t="shared" ca="1" si="579"/>
        <v>ТРЕБУЕТСЯ БУСТЕРНАЯ ДОЗА</v>
      </c>
      <c r="CU680" s="835">
        <f t="shared" si="580"/>
        <v>43073</v>
      </c>
      <c r="CV680" s="839"/>
      <c r="CW680" s="832"/>
      <c r="CX680" s="833" t="str">
        <f t="shared" si="581"/>
        <v>-</v>
      </c>
      <c r="CY680" s="840" t="str">
        <f t="shared" si="582"/>
        <v>-</v>
      </c>
      <c r="CZ680" s="833" t="str">
        <f t="shared" si="583"/>
        <v>-</v>
      </c>
      <c r="DA680" s="838" t="str">
        <f t="shared" ca="1" si="584"/>
        <v>-</v>
      </c>
      <c r="DB680" s="841"/>
      <c r="DC680" s="832"/>
    </row>
    <row r="681" spans="1:107" s="842" customFormat="1" ht="15.95" customHeight="1" x14ac:dyDescent="0.25">
      <c r="A681" s="790">
        <v>683</v>
      </c>
      <c r="B681" s="791">
        <f t="shared" ca="1" si="533"/>
        <v>43134</v>
      </c>
      <c r="C681" s="29" t="s">
        <v>2556</v>
      </c>
      <c r="D681" s="59" t="s">
        <v>2586</v>
      </c>
      <c r="E681" s="794" t="s">
        <v>252</v>
      </c>
      <c r="F681" s="854" t="s">
        <v>253</v>
      </c>
      <c r="G681" s="796">
        <f>SUMIFS(МОЛОКО!L8:L6958,МОЛОКО!F8:F6958,"1745",МОЛОКО!L8:L6958,"&gt;0")</f>
        <v>1</v>
      </c>
      <c r="H681" s="797" t="s">
        <v>603</v>
      </c>
      <c r="I681" s="798">
        <v>41254</v>
      </c>
      <c r="J681" s="799">
        <f t="shared" ca="1" si="534"/>
        <v>5.1506849315068495</v>
      </c>
      <c r="K681" s="799">
        <f t="shared" ca="1" si="535"/>
        <v>62.666666666666664</v>
      </c>
      <c r="L681" s="800">
        <f t="shared" ca="1" si="536"/>
        <v>1880</v>
      </c>
      <c r="M681" s="801">
        <v>41980</v>
      </c>
      <c r="N681" s="802">
        <v>42685</v>
      </c>
      <c r="O681" s="803">
        <f t="shared" ca="1" si="537"/>
        <v>449</v>
      </c>
      <c r="P681" s="804">
        <v>3</v>
      </c>
      <c r="Q681" s="805" t="s">
        <v>1451</v>
      </c>
      <c r="R681" s="806" t="s">
        <v>1875</v>
      </c>
      <c r="S681" s="807">
        <v>42747</v>
      </c>
      <c r="T681" s="798">
        <v>42838</v>
      </c>
      <c r="U681" s="798" t="str">
        <f t="shared" si="538"/>
        <v>-</v>
      </c>
      <c r="V681" s="804" t="str">
        <f t="shared" ca="1" si="539"/>
        <v>-</v>
      </c>
      <c r="W681" s="808">
        <v>3</v>
      </c>
      <c r="X681" s="794">
        <f t="shared" si="532"/>
        <v>153</v>
      </c>
      <c r="Y681" s="794">
        <v>1</v>
      </c>
      <c r="Z681" s="809" t="str">
        <f t="shared" ca="1" si="540"/>
        <v>-----</v>
      </c>
      <c r="AA681" s="810" t="str">
        <f t="shared" ca="1" si="541"/>
        <v>-----</v>
      </c>
      <c r="AB681" s="804">
        <v>1</v>
      </c>
      <c r="AC681" s="811" t="str">
        <f t="shared" ca="1" si="542"/>
        <v>-----</v>
      </c>
      <c r="AD681" s="798">
        <v>42932</v>
      </c>
      <c r="AE681" s="794" t="str">
        <f t="shared" ca="1" si="543"/>
        <v>-</v>
      </c>
      <c r="AF681" s="798" t="str">
        <f t="shared" si="544"/>
        <v>-</v>
      </c>
      <c r="AG681" s="812" t="str">
        <f t="shared" si="545"/>
        <v>---------</v>
      </c>
      <c r="AH681" s="807">
        <v>42875</v>
      </c>
      <c r="AI681" s="807">
        <f t="shared" si="546"/>
        <v>43028</v>
      </c>
      <c r="AJ681" s="807">
        <f t="shared" si="547"/>
        <v>43058</v>
      </c>
      <c r="AK681" s="813">
        <v>43045</v>
      </c>
      <c r="AL681" s="807">
        <f t="shared" si="548"/>
        <v>43097</v>
      </c>
      <c r="AM681" s="807">
        <f t="shared" si="549"/>
        <v>43118</v>
      </c>
      <c r="AN681" s="814">
        <f t="shared" ca="1" si="550"/>
        <v>16</v>
      </c>
      <c r="AO681" s="815">
        <v>1</v>
      </c>
      <c r="AP681" s="816" t="str">
        <f t="shared" ca="1" si="551"/>
        <v>-</v>
      </c>
      <c r="AQ681" s="817"/>
      <c r="AR681" s="794" t="str">
        <f t="shared" si="552"/>
        <v>-</v>
      </c>
      <c r="AS681" s="818"/>
      <c r="AT681" s="794" t="str">
        <f t="shared" si="553"/>
        <v>DRY COW</v>
      </c>
      <c r="AU681" s="819">
        <v>1</v>
      </c>
      <c r="AV681" s="820"/>
      <c r="AW681" s="821"/>
      <c r="AX681" s="821"/>
      <c r="AY681" s="969" t="str">
        <f t="shared" si="554"/>
        <v>-</v>
      </c>
      <c r="AZ681" s="966" t="str">
        <f t="shared" si="555"/>
        <v>-</v>
      </c>
      <c r="BA681" s="971" t="str">
        <f t="shared" si="556"/>
        <v>-</v>
      </c>
      <c r="BB681" s="975"/>
      <c r="BC681" s="821"/>
      <c r="BD681" s="821"/>
      <c r="BE681" s="963" t="str">
        <f t="shared" si="557"/>
        <v>-</v>
      </c>
      <c r="BF681" s="984"/>
      <c r="BG681" s="988"/>
      <c r="BH681" s="982"/>
      <c r="BI681" s="991"/>
      <c r="BJ681" s="991"/>
      <c r="BK681" s="993" t="str">
        <f t="shared" si="558"/>
        <v>-</v>
      </c>
      <c r="BL681" s="820">
        <v>42981</v>
      </c>
      <c r="BM681" s="821">
        <v>5</v>
      </c>
      <c r="BN681" s="822">
        <f t="shared" ca="1" si="559"/>
        <v>153</v>
      </c>
      <c r="BO681" s="823">
        <f t="shared" si="560"/>
        <v>57.56666666666667</v>
      </c>
      <c r="BP681" s="824"/>
      <c r="BQ681" s="821"/>
      <c r="BR681" s="822" t="str">
        <f t="shared" si="561"/>
        <v>-</v>
      </c>
      <c r="BS681" s="823" t="str">
        <f t="shared" si="562"/>
        <v>-</v>
      </c>
      <c r="BT681" s="825" t="str">
        <f t="shared" ca="1" si="563"/>
        <v>-</v>
      </c>
      <c r="BU681" s="826"/>
      <c r="BV681" s="827"/>
      <c r="BW681" s="828" t="str">
        <f t="shared" si="564"/>
        <v>Ж-Е НЕ ВАКЦ.</v>
      </c>
      <c r="BX681" s="829" t="str">
        <f t="shared" si="565"/>
        <v>-</v>
      </c>
      <c r="BY681" s="830" t="str">
        <f t="shared" ca="1" si="566"/>
        <v>-</v>
      </c>
      <c r="BZ681" s="831">
        <v>42887</v>
      </c>
      <c r="CA681" s="832">
        <v>5</v>
      </c>
      <c r="CB681" s="833">
        <f t="shared" ca="1" si="567"/>
        <v>247</v>
      </c>
      <c r="CC681" s="834" t="str">
        <f t="shared" ca="1" si="568"/>
        <v>-</v>
      </c>
      <c r="CD681" s="835">
        <f t="shared" si="569"/>
        <v>42908</v>
      </c>
      <c r="CE681" s="831">
        <v>42908</v>
      </c>
      <c r="CF681" s="832">
        <v>5</v>
      </c>
      <c r="CG681" s="833">
        <f t="shared" ca="1" si="570"/>
        <v>226</v>
      </c>
      <c r="CH681" s="836">
        <f t="shared" si="571"/>
        <v>0</v>
      </c>
      <c r="CI681" s="837" t="str">
        <f t="shared" si="572"/>
        <v>УСПЕШНО</v>
      </c>
      <c r="CJ681" s="838" t="str">
        <f t="shared" ca="1" si="573"/>
        <v>-</v>
      </c>
      <c r="CK681" s="831"/>
      <c r="CL681" s="832"/>
      <c r="CM681" s="833" t="str">
        <f t="shared" si="574"/>
        <v>-</v>
      </c>
      <c r="CN681" s="834" t="str">
        <f t="shared" si="575"/>
        <v>-</v>
      </c>
      <c r="CO681" s="830" t="str">
        <f t="shared" ca="1" si="576"/>
        <v>-</v>
      </c>
      <c r="CP681" s="831">
        <v>43053</v>
      </c>
      <c r="CQ681" s="832">
        <v>2</v>
      </c>
      <c r="CR681" s="833">
        <f t="shared" si="577"/>
        <v>215</v>
      </c>
      <c r="CS681" s="833">
        <f t="shared" ca="1" si="578"/>
        <v>81</v>
      </c>
      <c r="CT681" s="834" t="str">
        <f t="shared" ca="1" si="579"/>
        <v>ТРЕБУЕТСЯ БУСТЕРНАЯ ДОЗА</v>
      </c>
      <c r="CU681" s="835">
        <f t="shared" si="580"/>
        <v>43074</v>
      </c>
      <c r="CV681" s="839"/>
      <c r="CW681" s="832"/>
      <c r="CX681" s="833" t="str">
        <f t="shared" si="581"/>
        <v>-</v>
      </c>
      <c r="CY681" s="840" t="str">
        <f t="shared" si="582"/>
        <v>-</v>
      </c>
      <c r="CZ681" s="833" t="str">
        <f t="shared" si="583"/>
        <v>-</v>
      </c>
      <c r="DA681" s="838" t="str">
        <f t="shared" ca="1" si="584"/>
        <v>-</v>
      </c>
      <c r="DB681" s="841"/>
      <c r="DC681" s="832"/>
    </row>
    <row r="682" spans="1:107" s="842" customFormat="1" ht="15.95" customHeight="1" x14ac:dyDescent="0.25">
      <c r="A682" s="790">
        <v>684</v>
      </c>
      <c r="B682" s="791">
        <f t="shared" ca="1" si="533"/>
        <v>43134</v>
      </c>
      <c r="C682" s="29" t="s">
        <v>2556</v>
      </c>
      <c r="D682" s="59" t="s">
        <v>2586</v>
      </c>
      <c r="E682" s="794" t="s">
        <v>484</v>
      </c>
      <c r="F682" s="795" t="s">
        <v>485</v>
      </c>
      <c r="G682" s="796">
        <f>SUMIFS(МОЛОКО!L8:L6958,МОЛОКО!F8:F6958,"1814",МОЛОКО!L8:L6958,"&gt;0")</f>
        <v>0</v>
      </c>
      <c r="H682" s="797" t="s">
        <v>603</v>
      </c>
      <c r="I682" s="798">
        <v>41348</v>
      </c>
      <c r="J682" s="799">
        <f t="shared" ca="1" si="534"/>
        <v>4.8931506849315065</v>
      </c>
      <c r="K682" s="799">
        <f t="shared" ca="1" si="535"/>
        <v>59.533333333333331</v>
      </c>
      <c r="L682" s="800">
        <f t="shared" ca="1" si="536"/>
        <v>1786</v>
      </c>
      <c r="M682" s="801">
        <v>42143</v>
      </c>
      <c r="N682" s="802">
        <v>42552</v>
      </c>
      <c r="O682" s="803">
        <f t="shared" ca="1" si="537"/>
        <v>582</v>
      </c>
      <c r="P682" s="804">
        <v>2</v>
      </c>
      <c r="Q682" s="805" t="s">
        <v>2309</v>
      </c>
      <c r="R682" s="806" t="s">
        <v>1875</v>
      </c>
      <c r="S682" s="807">
        <v>42612</v>
      </c>
      <c r="T682" s="798">
        <v>42810</v>
      </c>
      <c r="U682" s="798" t="str">
        <f t="shared" si="538"/>
        <v>-</v>
      </c>
      <c r="V682" s="804" t="str">
        <f t="shared" ca="1" si="539"/>
        <v>-</v>
      </c>
      <c r="W682" s="808">
        <v>3</v>
      </c>
      <c r="X682" s="794">
        <f t="shared" si="532"/>
        <v>258</v>
      </c>
      <c r="Y682" s="794">
        <v>1</v>
      </c>
      <c r="Z682" s="809" t="str">
        <f t="shared" ca="1" si="540"/>
        <v>-----</v>
      </c>
      <c r="AA682" s="810" t="str">
        <f t="shared" ca="1" si="541"/>
        <v>-----</v>
      </c>
      <c r="AB682" s="804">
        <v>1</v>
      </c>
      <c r="AC682" s="811" t="str">
        <f t="shared" ca="1" si="542"/>
        <v>-----</v>
      </c>
      <c r="AD682" s="798">
        <v>43030</v>
      </c>
      <c r="AE682" s="794" t="str">
        <f t="shared" ca="1" si="543"/>
        <v>-</v>
      </c>
      <c r="AF682" s="798" t="str">
        <f t="shared" si="544"/>
        <v>-</v>
      </c>
      <c r="AG682" s="812" t="str">
        <f t="shared" si="545"/>
        <v>---------</v>
      </c>
      <c r="AH682" s="807">
        <v>43030</v>
      </c>
      <c r="AI682" s="807">
        <f t="shared" si="546"/>
        <v>43000</v>
      </c>
      <c r="AJ682" s="807">
        <f t="shared" si="547"/>
        <v>43030</v>
      </c>
      <c r="AK682" s="813">
        <v>43031</v>
      </c>
      <c r="AL682" s="807">
        <f t="shared" si="548"/>
        <v>43069</v>
      </c>
      <c r="AM682" s="807">
        <f t="shared" si="549"/>
        <v>43090</v>
      </c>
      <c r="AN682" s="814">
        <f t="shared" ca="1" si="550"/>
        <v>44</v>
      </c>
      <c r="AO682" s="815">
        <v>1</v>
      </c>
      <c r="AP682" s="816" t="str">
        <f t="shared" ca="1" si="551"/>
        <v>-</v>
      </c>
      <c r="AQ682" s="817"/>
      <c r="AR682" s="794" t="str">
        <f t="shared" si="552"/>
        <v>-</v>
      </c>
      <c r="AS682" s="818"/>
      <c r="AT682" s="794" t="str">
        <f t="shared" si="553"/>
        <v>DRY COW</v>
      </c>
      <c r="AU682" s="819"/>
      <c r="AV682" s="820"/>
      <c r="AW682" s="821"/>
      <c r="AX682" s="821"/>
      <c r="AY682" s="969" t="str">
        <f t="shared" si="554"/>
        <v>-</v>
      </c>
      <c r="AZ682" s="966" t="str">
        <f t="shared" si="555"/>
        <v>-</v>
      </c>
      <c r="BA682" s="971" t="str">
        <f t="shared" si="556"/>
        <v>-</v>
      </c>
      <c r="BB682" s="975"/>
      <c r="BC682" s="821"/>
      <c r="BD682" s="821"/>
      <c r="BE682" s="963" t="str">
        <f t="shared" si="557"/>
        <v>-</v>
      </c>
      <c r="BF682" s="984"/>
      <c r="BG682" s="988"/>
      <c r="BH682" s="982"/>
      <c r="BI682" s="991"/>
      <c r="BJ682" s="991"/>
      <c r="BK682" s="993" t="str">
        <f t="shared" si="558"/>
        <v>-</v>
      </c>
      <c r="BL682" s="820">
        <v>42981</v>
      </c>
      <c r="BM682" s="821">
        <v>5</v>
      </c>
      <c r="BN682" s="822">
        <f t="shared" ca="1" si="559"/>
        <v>153</v>
      </c>
      <c r="BO682" s="823">
        <f t="shared" si="560"/>
        <v>54.43333333333333</v>
      </c>
      <c r="BP682" s="824"/>
      <c r="BQ682" s="821"/>
      <c r="BR682" s="822" t="str">
        <f t="shared" si="561"/>
        <v>-</v>
      </c>
      <c r="BS682" s="823" t="str">
        <f t="shared" si="562"/>
        <v>-</v>
      </c>
      <c r="BT682" s="825" t="str">
        <f t="shared" ca="1" si="563"/>
        <v>-</v>
      </c>
      <c r="BU682" s="826"/>
      <c r="BV682" s="827"/>
      <c r="BW682" s="828" t="str">
        <f t="shared" si="564"/>
        <v>Ж-Е НЕ ВАКЦ.</v>
      </c>
      <c r="BX682" s="829" t="str">
        <f t="shared" si="565"/>
        <v>-</v>
      </c>
      <c r="BY682" s="830" t="str">
        <f t="shared" ca="1" si="566"/>
        <v>-</v>
      </c>
      <c r="BZ682" s="831">
        <v>42887</v>
      </c>
      <c r="CA682" s="832">
        <v>5</v>
      </c>
      <c r="CB682" s="833">
        <f t="shared" ca="1" si="567"/>
        <v>247</v>
      </c>
      <c r="CC682" s="834" t="str">
        <f t="shared" ca="1" si="568"/>
        <v>-</v>
      </c>
      <c r="CD682" s="835">
        <f t="shared" si="569"/>
        <v>42908</v>
      </c>
      <c r="CE682" s="831">
        <v>42908</v>
      </c>
      <c r="CF682" s="832">
        <v>5</v>
      </c>
      <c r="CG682" s="833">
        <f t="shared" ca="1" si="570"/>
        <v>226</v>
      </c>
      <c r="CH682" s="836">
        <f t="shared" si="571"/>
        <v>0</v>
      </c>
      <c r="CI682" s="837" t="str">
        <f t="shared" si="572"/>
        <v>УСПЕШНО</v>
      </c>
      <c r="CJ682" s="838" t="str">
        <f t="shared" ca="1" si="573"/>
        <v>-</v>
      </c>
      <c r="CK682" s="831"/>
      <c r="CL682" s="832"/>
      <c r="CM682" s="833" t="str">
        <f t="shared" si="574"/>
        <v>-</v>
      </c>
      <c r="CN682" s="834" t="str">
        <f t="shared" si="575"/>
        <v>-</v>
      </c>
      <c r="CO682" s="830" t="str">
        <f t="shared" ca="1" si="576"/>
        <v>-</v>
      </c>
      <c r="CP682" s="831">
        <v>43024</v>
      </c>
      <c r="CQ682" s="832">
        <v>2</v>
      </c>
      <c r="CR682" s="833">
        <f t="shared" si="577"/>
        <v>214</v>
      </c>
      <c r="CS682" s="833">
        <f t="shared" ca="1" si="578"/>
        <v>110</v>
      </c>
      <c r="CT682" s="834" t="str">
        <f t="shared" ca="1" si="579"/>
        <v>-</v>
      </c>
      <c r="CU682" s="835">
        <f t="shared" si="580"/>
        <v>43045</v>
      </c>
      <c r="CV682" s="831">
        <v>43045</v>
      </c>
      <c r="CW682" s="832">
        <v>2</v>
      </c>
      <c r="CX682" s="833">
        <f t="shared" si="581"/>
        <v>0</v>
      </c>
      <c r="CY682" s="840" t="str">
        <f t="shared" si="582"/>
        <v>УСПЕШНО</v>
      </c>
      <c r="CZ682" s="833">
        <f t="shared" si="583"/>
        <v>235</v>
      </c>
      <c r="DA682" s="838" t="str">
        <f t="shared" ca="1" si="584"/>
        <v>ТРЕБУЕТСЯ РЕВАКЦИНАЦИЯ</v>
      </c>
      <c r="DB682" s="841"/>
      <c r="DC682" s="832"/>
    </row>
    <row r="683" spans="1:107" s="842" customFormat="1" ht="15.95" customHeight="1" x14ac:dyDescent="0.25">
      <c r="A683" s="790">
        <v>685</v>
      </c>
      <c r="B683" s="791">
        <f t="shared" ca="1" si="533"/>
        <v>43134</v>
      </c>
      <c r="C683" s="29" t="s">
        <v>2556</v>
      </c>
      <c r="D683" s="59" t="s">
        <v>2586</v>
      </c>
      <c r="E683" s="794" t="s">
        <v>271</v>
      </c>
      <c r="F683" s="795" t="s">
        <v>490</v>
      </c>
      <c r="G683" s="796">
        <f>SUMIFS(МОЛОКО!L8:L6958,МОЛОКО!F8:F6958,"1853",МОЛОКО!L8:L6958,"&gt;0")</f>
        <v>3</v>
      </c>
      <c r="H683" s="797" t="s">
        <v>603</v>
      </c>
      <c r="I683" s="798">
        <v>41397</v>
      </c>
      <c r="J683" s="799">
        <f t="shared" ca="1" si="534"/>
        <v>4.7589041095890412</v>
      </c>
      <c r="K683" s="799">
        <f t="shared" ca="1" si="535"/>
        <v>57.9</v>
      </c>
      <c r="L683" s="800">
        <f t="shared" ca="1" si="536"/>
        <v>1737</v>
      </c>
      <c r="M683" s="801">
        <v>42345</v>
      </c>
      <c r="N683" s="802">
        <v>42737</v>
      </c>
      <c r="O683" s="803">
        <f t="shared" ca="1" si="537"/>
        <v>397</v>
      </c>
      <c r="P683" s="804">
        <v>2</v>
      </c>
      <c r="Q683" s="805" t="s">
        <v>2366</v>
      </c>
      <c r="R683" s="806" t="s">
        <v>1875</v>
      </c>
      <c r="S683" s="807">
        <v>42796</v>
      </c>
      <c r="T683" s="798">
        <v>42901</v>
      </c>
      <c r="U683" s="798" t="str">
        <f t="shared" si="538"/>
        <v>-</v>
      </c>
      <c r="V683" s="804" t="str">
        <f t="shared" ca="1" si="539"/>
        <v>-</v>
      </c>
      <c r="W683" s="808">
        <v>4</v>
      </c>
      <c r="X683" s="794">
        <f t="shared" si="532"/>
        <v>164</v>
      </c>
      <c r="Y683" s="794">
        <v>1</v>
      </c>
      <c r="Z683" s="809" t="str">
        <f t="shared" ca="1" si="540"/>
        <v>-----</v>
      </c>
      <c r="AA683" s="810" t="str">
        <f t="shared" ca="1" si="541"/>
        <v>-----</v>
      </c>
      <c r="AB683" s="804">
        <v>1</v>
      </c>
      <c r="AC683" s="811" t="str">
        <f t="shared" ca="1" si="542"/>
        <v>-----</v>
      </c>
      <c r="AD683" s="798">
        <v>43044</v>
      </c>
      <c r="AE683" s="794" t="str">
        <f t="shared" ca="1" si="543"/>
        <v>-</v>
      </c>
      <c r="AF683" s="798" t="str">
        <f t="shared" si="544"/>
        <v>-</v>
      </c>
      <c r="AG683" s="812" t="str">
        <f t="shared" si="545"/>
        <v>---------</v>
      </c>
      <c r="AH683" s="807">
        <v>42971</v>
      </c>
      <c r="AI683" s="807">
        <f t="shared" si="546"/>
        <v>43091</v>
      </c>
      <c r="AJ683" s="807">
        <f t="shared" si="547"/>
        <v>43121</v>
      </c>
      <c r="AK683" s="813">
        <v>43045</v>
      </c>
      <c r="AL683" s="807">
        <f t="shared" si="548"/>
        <v>43160</v>
      </c>
      <c r="AM683" s="807">
        <f t="shared" si="549"/>
        <v>43181</v>
      </c>
      <c r="AN683" s="814">
        <f t="shared" ca="1" si="550"/>
        <v>-47</v>
      </c>
      <c r="AO683" s="815">
        <v>1</v>
      </c>
      <c r="AP683" s="816" t="str">
        <f t="shared" ca="1" si="551"/>
        <v>-</v>
      </c>
      <c r="AQ683" s="817"/>
      <c r="AR683" s="794" t="str">
        <f t="shared" si="552"/>
        <v>-</v>
      </c>
      <c r="AS683" s="818"/>
      <c r="AT683" s="794" t="str">
        <f t="shared" si="553"/>
        <v>DRY COW</v>
      </c>
      <c r="AU683" s="819"/>
      <c r="AV683" s="820"/>
      <c r="AW683" s="821"/>
      <c r="AX683" s="821"/>
      <c r="AY683" s="969" t="str">
        <f t="shared" si="554"/>
        <v>-</v>
      </c>
      <c r="AZ683" s="966" t="str">
        <f t="shared" si="555"/>
        <v>-</v>
      </c>
      <c r="BA683" s="971" t="str">
        <f t="shared" si="556"/>
        <v>-</v>
      </c>
      <c r="BB683" s="975"/>
      <c r="BC683" s="821"/>
      <c r="BD683" s="821"/>
      <c r="BE683" s="963" t="str">
        <f t="shared" si="557"/>
        <v>-</v>
      </c>
      <c r="BF683" s="984"/>
      <c r="BG683" s="988"/>
      <c r="BH683" s="982"/>
      <c r="BI683" s="991"/>
      <c r="BJ683" s="991"/>
      <c r="BK683" s="993" t="str">
        <f t="shared" si="558"/>
        <v>-</v>
      </c>
      <c r="BL683" s="820">
        <v>42981</v>
      </c>
      <c r="BM683" s="821">
        <v>5</v>
      </c>
      <c r="BN683" s="822">
        <f t="shared" ca="1" si="559"/>
        <v>153</v>
      </c>
      <c r="BO683" s="823">
        <f t="shared" si="560"/>
        <v>52.8</v>
      </c>
      <c r="BP683" s="824"/>
      <c r="BQ683" s="821"/>
      <c r="BR683" s="822" t="str">
        <f t="shared" si="561"/>
        <v>-</v>
      </c>
      <c r="BS683" s="823" t="str">
        <f t="shared" si="562"/>
        <v>-</v>
      </c>
      <c r="BT683" s="825" t="str">
        <f t="shared" ca="1" si="563"/>
        <v>-</v>
      </c>
      <c r="BU683" s="826"/>
      <c r="BV683" s="827"/>
      <c r="BW683" s="828" t="str">
        <f t="shared" si="564"/>
        <v>Ж-Е НЕ ВАКЦ.</v>
      </c>
      <c r="BX683" s="829" t="str">
        <f t="shared" si="565"/>
        <v>-</v>
      </c>
      <c r="BY683" s="830" t="str">
        <f t="shared" ca="1" si="566"/>
        <v>-</v>
      </c>
      <c r="BZ683" s="831">
        <v>42887</v>
      </c>
      <c r="CA683" s="832">
        <v>5</v>
      </c>
      <c r="CB683" s="833">
        <f t="shared" ca="1" si="567"/>
        <v>247</v>
      </c>
      <c r="CC683" s="834" t="str">
        <f t="shared" ca="1" si="568"/>
        <v>-</v>
      </c>
      <c r="CD683" s="835">
        <f t="shared" si="569"/>
        <v>42908</v>
      </c>
      <c r="CE683" s="831">
        <v>42908</v>
      </c>
      <c r="CF683" s="832">
        <v>5</v>
      </c>
      <c r="CG683" s="833">
        <f t="shared" ca="1" si="570"/>
        <v>226</v>
      </c>
      <c r="CH683" s="836">
        <f t="shared" si="571"/>
        <v>0</v>
      </c>
      <c r="CI683" s="837" t="str">
        <f t="shared" si="572"/>
        <v>УСПЕШНО</v>
      </c>
      <c r="CJ683" s="838" t="str">
        <f t="shared" ca="1" si="573"/>
        <v>-</v>
      </c>
      <c r="CK683" s="831"/>
      <c r="CL683" s="832"/>
      <c r="CM683" s="833" t="str">
        <f t="shared" si="574"/>
        <v>-</v>
      </c>
      <c r="CN683" s="834" t="str">
        <f t="shared" si="575"/>
        <v>-</v>
      </c>
      <c r="CO683" s="830" t="str">
        <f t="shared" ca="1" si="576"/>
        <v>ТРЕБУЕТСЯ ВАКЦИНАЦИЯ</v>
      </c>
      <c r="CP683" s="839"/>
      <c r="CQ683" s="832"/>
      <c r="CR683" s="833" t="str">
        <f t="shared" si="577"/>
        <v>-</v>
      </c>
      <c r="CS683" s="833" t="str">
        <f t="shared" si="578"/>
        <v>-</v>
      </c>
      <c r="CT683" s="834" t="str">
        <f t="shared" si="579"/>
        <v>-</v>
      </c>
      <c r="CU683" s="835" t="str">
        <f t="shared" si="580"/>
        <v>-</v>
      </c>
      <c r="CV683" s="839"/>
      <c r="CW683" s="832"/>
      <c r="CX683" s="833" t="str">
        <f t="shared" si="581"/>
        <v>-</v>
      </c>
      <c r="CY683" s="840" t="str">
        <f t="shared" si="582"/>
        <v>-</v>
      </c>
      <c r="CZ683" s="833" t="str">
        <f t="shared" si="583"/>
        <v>-</v>
      </c>
      <c r="DA683" s="838" t="str">
        <f t="shared" ca="1" si="584"/>
        <v>-</v>
      </c>
      <c r="DB683" s="841"/>
      <c r="DC683" s="832"/>
    </row>
    <row r="684" spans="1:107" s="842" customFormat="1" ht="15.95" customHeight="1" x14ac:dyDescent="0.25">
      <c r="A684" s="790">
        <v>686</v>
      </c>
      <c r="B684" s="791">
        <f t="shared" ca="1" si="533"/>
        <v>43134</v>
      </c>
      <c r="C684" s="792" t="s">
        <v>2556</v>
      </c>
      <c r="D684" s="793" t="s">
        <v>2586</v>
      </c>
      <c r="E684" s="794" t="s">
        <v>417</v>
      </c>
      <c r="F684" s="795" t="s">
        <v>418</v>
      </c>
      <c r="G684" s="796">
        <f>SUMIFS(МОЛОКО!L8:L6958,МОЛОКО!F8:F6958,"1924",МОЛОКО!L8:L6958,"&gt;0")</f>
        <v>0</v>
      </c>
      <c r="H684" s="797" t="s">
        <v>603</v>
      </c>
      <c r="I684" s="798">
        <v>41488</v>
      </c>
      <c r="J684" s="799">
        <f t="shared" ca="1" si="534"/>
        <v>4.5095890410958903</v>
      </c>
      <c r="K684" s="799">
        <f t="shared" ca="1" si="535"/>
        <v>54.866666666666667</v>
      </c>
      <c r="L684" s="800">
        <f t="shared" ca="1" si="536"/>
        <v>1646</v>
      </c>
      <c r="M684" s="801">
        <v>42274</v>
      </c>
      <c r="N684" s="802">
        <v>42745</v>
      </c>
      <c r="O684" s="803">
        <f t="shared" ca="1" si="537"/>
        <v>389</v>
      </c>
      <c r="P684" s="804">
        <v>2</v>
      </c>
      <c r="Q684" s="805" t="s">
        <v>1451</v>
      </c>
      <c r="R684" s="806" t="s">
        <v>2269</v>
      </c>
      <c r="S684" s="807">
        <v>42803</v>
      </c>
      <c r="T684" s="798">
        <v>42803</v>
      </c>
      <c r="U684" s="798" t="str">
        <f t="shared" si="538"/>
        <v>-</v>
      </c>
      <c r="V684" s="804" t="str">
        <f t="shared" ca="1" si="539"/>
        <v>-</v>
      </c>
      <c r="W684" s="808">
        <v>1</v>
      </c>
      <c r="X684" s="794">
        <f t="shared" si="532"/>
        <v>58</v>
      </c>
      <c r="Y684" s="794">
        <v>1</v>
      </c>
      <c r="Z684" s="809" t="str">
        <f t="shared" ca="1" si="540"/>
        <v>-----</v>
      </c>
      <c r="AA684" s="810" t="str">
        <f t="shared" ca="1" si="541"/>
        <v>-----</v>
      </c>
      <c r="AB684" s="804">
        <v>1</v>
      </c>
      <c r="AC684" s="811" t="str">
        <f t="shared" ca="1" si="542"/>
        <v>-----</v>
      </c>
      <c r="AD684" s="798">
        <v>42912</v>
      </c>
      <c r="AE684" s="794" t="str">
        <f t="shared" ca="1" si="543"/>
        <v>-</v>
      </c>
      <c r="AF684" s="798" t="str">
        <f t="shared" si="544"/>
        <v>-</v>
      </c>
      <c r="AG684" s="812" t="str">
        <f t="shared" si="545"/>
        <v>---------</v>
      </c>
      <c r="AH684" s="807">
        <v>42838</v>
      </c>
      <c r="AI684" s="807">
        <f t="shared" si="546"/>
        <v>42993</v>
      </c>
      <c r="AJ684" s="807">
        <f t="shared" si="547"/>
        <v>43023</v>
      </c>
      <c r="AK684" s="813">
        <v>43016</v>
      </c>
      <c r="AL684" s="807">
        <f t="shared" si="548"/>
        <v>43062</v>
      </c>
      <c r="AM684" s="807">
        <f t="shared" si="549"/>
        <v>43083</v>
      </c>
      <c r="AN684" s="814">
        <f t="shared" ca="1" si="550"/>
        <v>51</v>
      </c>
      <c r="AO684" s="815">
        <v>1</v>
      </c>
      <c r="AP684" s="816" t="str">
        <f t="shared" ca="1" si="551"/>
        <v>-</v>
      </c>
      <c r="AQ684" s="817"/>
      <c r="AR684" s="794" t="str">
        <f t="shared" si="552"/>
        <v>-</v>
      </c>
      <c r="AS684" s="818"/>
      <c r="AT684" s="794" t="str">
        <f t="shared" si="553"/>
        <v>DRY COW</v>
      </c>
      <c r="AU684" s="819"/>
      <c r="AV684" s="820"/>
      <c r="AW684" s="821"/>
      <c r="AX684" s="821"/>
      <c r="AY684" s="969" t="str">
        <f t="shared" si="554"/>
        <v>-</v>
      </c>
      <c r="AZ684" s="966" t="str">
        <f t="shared" si="555"/>
        <v>-</v>
      </c>
      <c r="BA684" s="971" t="str">
        <f t="shared" si="556"/>
        <v>-</v>
      </c>
      <c r="BB684" s="975"/>
      <c r="BC684" s="821"/>
      <c r="BD684" s="821"/>
      <c r="BE684" s="963" t="str">
        <f t="shared" si="557"/>
        <v>-</v>
      </c>
      <c r="BF684" s="984"/>
      <c r="BG684" s="988"/>
      <c r="BH684" s="982"/>
      <c r="BI684" s="991"/>
      <c r="BJ684" s="991"/>
      <c r="BK684" s="993" t="str">
        <f t="shared" si="558"/>
        <v>-</v>
      </c>
      <c r="BL684" s="820">
        <v>42981</v>
      </c>
      <c r="BM684" s="821">
        <v>5</v>
      </c>
      <c r="BN684" s="822">
        <f t="shared" ca="1" si="559"/>
        <v>153</v>
      </c>
      <c r="BO684" s="823">
        <f t="shared" si="560"/>
        <v>49.766666666666666</v>
      </c>
      <c r="BP684" s="824"/>
      <c r="BQ684" s="821"/>
      <c r="BR684" s="822" t="str">
        <f t="shared" si="561"/>
        <v>-</v>
      </c>
      <c r="BS684" s="823" t="str">
        <f t="shared" si="562"/>
        <v>-</v>
      </c>
      <c r="BT684" s="825" t="str">
        <f t="shared" ca="1" si="563"/>
        <v>-</v>
      </c>
      <c r="BU684" s="826"/>
      <c r="BV684" s="827"/>
      <c r="BW684" s="828" t="str">
        <f t="shared" si="564"/>
        <v>Ж-Е НЕ ВАКЦ.</v>
      </c>
      <c r="BX684" s="829" t="str">
        <f t="shared" si="565"/>
        <v>-</v>
      </c>
      <c r="BY684" s="830" t="str">
        <f t="shared" ca="1" si="566"/>
        <v>-</v>
      </c>
      <c r="BZ684" s="831">
        <v>42887</v>
      </c>
      <c r="CA684" s="832">
        <v>5</v>
      </c>
      <c r="CB684" s="833">
        <f t="shared" ca="1" si="567"/>
        <v>247</v>
      </c>
      <c r="CC684" s="834" t="str">
        <f t="shared" ca="1" si="568"/>
        <v>-</v>
      </c>
      <c r="CD684" s="835">
        <f t="shared" si="569"/>
        <v>42908</v>
      </c>
      <c r="CE684" s="831">
        <v>42908</v>
      </c>
      <c r="CF684" s="832">
        <v>5</v>
      </c>
      <c r="CG684" s="833">
        <f t="shared" ca="1" si="570"/>
        <v>226</v>
      </c>
      <c r="CH684" s="836">
        <f t="shared" si="571"/>
        <v>0</v>
      </c>
      <c r="CI684" s="837" t="str">
        <f t="shared" si="572"/>
        <v>УСПЕШНО</v>
      </c>
      <c r="CJ684" s="838" t="str">
        <f t="shared" ca="1" si="573"/>
        <v>-</v>
      </c>
      <c r="CK684" s="831"/>
      <c r="CL684" s="832"/>
      <c r="CM684" s="833" t="str">
        <f t="shared" si="574"/>
        <v>-</v>
      </c>
      <c r="CN684" s="834" t="str">
        <f t="shared" si="575"/>
        <v>-</v>
      </c>
      <c r="CO684" s="830" t="str">
        <f t="shared" ca="1" si="576"/>
        <v>-</v>
      </c>
      <c r="CP684" s="831">
        <v>43017</v>
      </c>
      <c r="CQ684" s="832">
        <v>2</v>
      </c>
      <c r="CR684" s="833">
        <f t="shared" si="577"/>
        <v>214</v>
      </c>
      <c r="CS684" s="833">
        <f t="shared" ca="1" si="578"/>
        <v>117</v>
      </c>
      <c r="CT684" s="834" t="str">
        <f t="shared" ca="1" si="579"/>
        <v>-</v>
      </c>
      <c r="CU684" s="835">
        <f t="shared" si="580"/>
        <v>43038</v>
      </c>
      <c r="CV684" s="831">
        <v>43038</v>
      </c>
      <c r="CW684" s="832">
        <v>2</v>
      </c>
      <c r="CX684" s="833">
        <f t="shared" si="581"/>
        <v>0</v>
      </c>
      <c r="CY684" s="840" t="str">
        <f t="shared" si="582"/>
        <v>УСПЕШНО</v>
      </c>
      <c r="CZ684" s="833">
        <f t="shared" si="583"/>
        <v>235</v>
      </c>
      <c r="DA684" s="838" t="str">
        <f t="shared" ca="1" si="584"/>
        <v>ТРЕБУЕТСЯ РЕВАКЦИНАЦИЯ</v>
      </c>
      <c r="DB684" s="841"/>
      <c r="DC684" s="832"/>
    </row>
    <row r="685" spans="1:107" s="842" customFormat="1" ht="15.95" customHeight="1" x14ac:dyDescent="0.25">
      <c r="A685" s="790">
        <v>687</v>
      </c>
      <c r="B685" s="791">
        <f t="shared" ca="1" si="533"/>
        <v>43134</v>
      </c>
      <c r="C685" s="29" t="s">
        <v>2556</v>
      </c>
      <c r="D685" s="59" t="s">
        <v>2586</v>
      </c>
      <c r="E685" s="794" t="s">
        <v>706</v>
      </c>
      <c r="F685" s="854" t="s">
        <v>707</v>
      </c>
      <c r="G685" s="796">
        <f>SUMIFS(МОЛОКО!L8:L6958,МОЛОКО!F8:F6958,"1951",МОЛОКО!L8:L6958,"&gt;0")</f>
        <v>3</v>
      </c>
      <c r="H685" s="797" t="s">
        <v>603</v>
      </c>
      <c r="I685" s="798">
        <v>41523</v>
      </c>
      <c r="J685" s="799">
        <f t="shared" ca="1" si="534"/>
        <v>4.4136986301369863</v>
      </c>
      <c r="K685" s="799">
        <f t="shared" ca="1" si="535"/>
        <v>53.7</v>
      </c>
      <c r="L685" s="800">
        <f t="shared" ca="1" si="536"/>
        <v>1611</v>
      </c>
      <c r="M685" s="801">
        <v>42337</v>
      </c>
      <c r="N685" s="802">
        <v>42675</v>
      </c>
      <c r="O685" s="803">
        <f t="shared" ca="1" si="537"/>
        <v>459</v>
      </c>
      <c r="P685" s="804">
        <v>2</v>
      </c>
      <c r="Q685" s="805" t="s">
        <v>1451</v>
      </c>
      <c r="R685" s="806" t="s">
        <v>2670</v>
      </c>
      <c r="S685" s="807">
        <v>42741</v>
      </c>
      <c r="T685" s="798">
        <v>42852</v>
      </c>
      <c r="U685" s="798" t="str">
        <f t="shared" si="538"/>
        <v>-</v>
      </c>
      <c r="V685" s="804" t="str">
        <f t="shared" ca="1" si="539"/>
        <v>-</v>
      </c>
      <c r="W685" s="808">
        <v>4</v>
      </c>
      <c r="X685" s="794">
        <f t="shared" si="532"/>
        <v>177</v>
      </c>
      <c r="Y685" s="794">
        <v>1</v>
      </c>
      <c r="Z685" s="809" t="str">
        <f t="shared" ca="1" si="540"/>
        <v>-----</v>
      </c>
      <c r="AA685" s="810" t="str">
        <f t="shared" ca="1" si="541"/>
        <v>-----</v>
      </c>
      <c r="AB685" s="804">
        <v>1</v>
      </c>
      <c r="AC685" s="811" t="str">
        <f t="shared" ca="1" si="542"/>
        <v>-----</v>
      </c>
      <c r="AD685" s="798">
        <v>42932</v>
      </c>
      <c r="AE685" s="794" t="str">
        <f t="shared" ca="1" si="543"/>
        <v>-</v>
      </c>
      <c r="AF685" s="798" t="str">
        <f t="shared" si="544"/>
        <v>-</v>
      </c>
      <c r="AG685" s="812" t="str">
        <f t="shared" si="545"/>
        <v>---------</v>
      </c>
      <c r="AH685" s="807">
        <v>42898</v>
      </c>
      <c r="AI685" s="807">
        <f t="shared" si="546"/>
        <v>43042</v>
      </c>
      <c r="AJ685" s="807">
        <f t="shared" si="547"/>
        <v>43072</v>
      </c>
      <c r="AK685" s="813">
        <v>43045</v>
      </c>
      <c r="AL685" s="807">
        <f t="shared" si="548"/>
        <v>43111</v>
      </c>
      <c r="AM685" s="807">
        <f t="shared" si="549"/>
        <v>43132</v>
      </c>
      <c r="AN685" s="814">
        <f t="shared" ca="1" si="550"/>
        <v>2</v>
      </c>
      <c r="AO685" s="815">
        <v>1</v>
      </c>
      <c r="AP685" s="816" t="str">
        <f t="shared" ca="1" si="551"/>
        <v>-</v>
      </c>
      <c r="AQ685" s="817"/>
      <c r="AR685" s="794" t="str">
        <f t="shared" si="552"/>
        <v>-</v>
      </c>
      <c r="AS685" s="818"/>
      <c r="AT685" s="794" t="str">
        <f t="shared" si="553"/>
        <v>DRY COW</v>
      </c>
      <c r="AU685" s="819">
        <v>1</v>
      </c>
      <c r="AV685" s="820"/>
      <c r="AW685" s="821"/>
      <c r="AX685" s="821"/>
      <c r="AY685" s="969" t="str">
        <f t="shared" si="554"/>
        <v>-</v>
      </c>
      <c r="AZ685" s="966" t="str">
        <f t="shared" si="555"/>
        <v>-</v>
      </c>
      <c r="BA685" s="971" t="str">
        <f t="shared" si="556"/>
        <v>-</v>
      </c>
      <c r="BB685" s="975"/>
      <c r="BC685" s="821"/>
      <c r="BD685" s="821"/>
      <c r="BE685" s="963" t="str">
        <f t="shared" si="557"/>
        <v>-</v>
      </c>
      <c r="BF685" s="984"/>
      <c r="BG685" s="988"/>
      <c r="BH685" s="982"/>
      <c r="BI685" s="991"/>
      <c r="BJ685" s="991"/>
      <c r="BK685" s="993" t="str">
        <f t="shared" si="558"/>
        <v>-</v>
      </c>
      <c r="BL685" s="820">
        <v>42981</v>
      </c>
      <c r="BM685" s="821">
        <v>5</v>
      </c>
      <c r="BN685" s="822">
        <f t="shared" ca="1" si="559"/>
        <v>153</v>
      </c>
      <c r="BO685" s="823">
        <f t="shared" si="560"/>
        <v>48.6</v>
      </c>
      <c r="BP685" s="824">
        <v>43001</v>
      </c>
      <c r="BQ685" s="821">
        <v>2</v>
      </c>
      <c r="BR685" s="822">
        <f t="shared" ca="1" si="561"/>
        <v>133</v>
      </c>
      <c r="BS685" s="823">
        <f t="shared" si="562"/>
        <v>22.133333333333333</v>
      </c>
      <c r="BT685" s="825" t="str">
        <f t="shared" ca="1" si="563"/>
        <v>-</v>
      </c>
      <c r="BU685" s="826"/>
      <c r="BV685" s="827"/>
      <c r="BW685" s="828" t="str">
        <f t="shared" si="564"/>
        <v>Ж-Е НЕ ВАКЦ.</v>
      </c>
      <c r="BX685" s="829" t="str">
        <f t="shared" si="565"/>
        <v>-</v>
      </c>
      <c r="BY685" s="830" t="str">
        <f t="shared" ca="1" si="566"/>
        <v>-</v>
      </c>
      <c r="BZ685" s="831">
        <v>42887</v>
      </c>
      <c r="CA685" s="832">
        <v>5</v>
      </c>
      <c r="CB685" s="833">
        <f t="shared" ca="1" si="567"/>
        <v>247</v>
      </c>
      <c r="CC685" s="834" t="str">
        <f t="shared" ca="1" si="568"/>
        <v>-</v>
      </c>
      <c r="CD685" s="835">
        <f t="shared" si="569"/>
        <v>42908</v>
      </c>
      <c r="CE685" s="831">
        <v>42908</v>
      </c>
      <c r="CF685" s="832">
        <v>5</v>
      </c>
      <c r="CG685" s="833">
        <f t="shared" ca="1" si="570"/>
        <v>226</v>
      </c>
      <c r="CH685" s="836">
        <f t="shared" si="571"/>
        <v>0</v>
      </c>
      <c r="CI685" s="837" t="str">
        <f t="shared" si="572"/>
        <v>УСПЕШНО</v>
      </c>
      <c r="CJ685" s="838" t="str">
        <f t="shared" ca="1" si="573"/>
        <v>-</v>
      </c>
      <c r="CK685" s="831"/>
      <c r="CL685" s="832"/>
      <c r="CM685" s="833" t="str">
        <f t="shared" si="574"/>
        <v>-</v>
      </c>
      <c r="CN685" s="834" t="str">
        <f t="shared" si="575"/>
        <v>-</v>
      </c>
      <c r="CO685" s="830" t="str">
        <f t="shared" ca="1" si="576"/>
        <v>ТРЕБУЕТСЯ ВАКЦИНАЦИЯ</v>
      </c>
      <c r="CP685" s="839"/>
      <c r="CQ685" s="832"/>
      <c r="CR685" s="833" t="str">
        <f t="shared" si="577"/>
        <v>-</v>
      </c>
      <c r="CS685" s="833" t="str">
        <f t="shared" si="578"/>
        <v>-</v>
      </c>
      <c r="CT685" s="834" t="str">
        <f t="shared" si="579"/>
        <v>-</v>
      </c>
      <c r="CU685" s="835" t="str">
        <f t="shared" si="580"/>
        <v>-</v>
      </c>
      <c r="CV685" s="839"/>
      <c r="CW685" s="832"/>
      <c r="CX685" s="833" t="str">
        <f t="shared" si="581"/>
        <v>-</v>
      </c>
      <c r="CY685" s="840" t="str">
        <f t="shared" si="582"/>
        <v>-</v>
      </c>
      <c r="CZ685" s="833" t="str">
        <f t="shared" si="583"/>
        <v>-</v>
      </c>
      <c r="DA685" s="838" t="str">
        <f t="shared" ca="1" si="584"/>
        <v>-</v>
      </c>
      <c r="DB685" s="841"/>
      <c r="DC685" s="832"/>
    </row>
    <row r="686" spans="1:107" x14ac:dyDescent="0.25">
      <c r="A686" s="790">
        <v>688</v>
      </c>
      <c r="B686" s="791">
        <f t="shared" ca="1" si="533"/>
        <v>43134</v>
      </c>
      <c r="C686" s="792" t="s">
        <v>2556</v>
      </c>
      <c r="D686" s="856" t="s">
        <v>2586</v>
      </c>
      <c r="E686" s="794" t="s">
        <v>429</v>
      </c>
      <c r="F686" s="795" t="s">
        <v>430</v>
      </c>
      <c r="G686" s="796">
        <f>SUMIFS(МОЛОКО!L8:L6958,МОЛОКО!F8:F6958,"1986",МОЛОКО!L8:L6958,"&gt;0")</f>
        <v>0</v>
      </c>
      <c r="H686" s="797" t="s">
        <v>603</v>
      </c>
      <c r="I686" s="798">
        <v>41562</v>
      </c>
      <c r="J686" s="799">
        <f t="shared" ca="1" si="534"/>
        <v>4.3068493150684928</v>
      </c>
      <c r="K686" s="799">
        <f t="shared" ca="1" si="535"/>
        <v>52.4</v>
      </c>
      <c r="L686" s="800">
        <f t="shared" ca="1" si="536"/>
        <v>1572</v>
      </c>
      <c r="M686" s="801">
        <v>42346</v>
      </c>
      <c r="N686" s="802">
        <v>42741</v>
      </c>
      <c r="O686" s="803">
        <f t="shared" ca="1" si="537"/>
        <v>393</v>
      </c>
      <c r="P686" s="804">
        <v>2</v>
      </c>
      <c r="Q686" s="805" t="s">
        <v>1451</v>
      </c>
      <c r="R686" s="806" t="s">
        <v>2269</v>
      </c>
      <c r="S686" s="807">
        <v>42803</v>
      </c>
      <c r="T686" s="798">
        <v>42803</v>
      </c>
      <c r="U686" s="798" t="str">
        <f t="shared" si="538"/>
        <v>-</v>
      </c>
      <c r="V686" s="804" t="str">
        <f t="shared" ca="1" si="539"/>
        <v>-</v>
      </c>
      <c r="W686" s="808">
        <v>1</v>
      </c>
      <c r="X686" s="794">
        <f t="shared" si="532"/>
        <v>62</v>
      </c>
      <c r="Y686" s="794">
        <v>1</v>
      </c>
      <c r="Z686" s="809" t="str">
        <f t="shared" ca="1" si="540"/>
        <v>-----</v>
      </c>
      <c r="AA686" s="810" t="str">
        <f t="shared" ca="1" si="541"/>
        <v>-----</v>
      </c>
      <c r="AB686" s="804">
        <v>1</v>
      </c>
      <c r="AC686" s="811" t="str">
        <f t="shared" ca="1" si="542"/>
        <v>-----</v>
      </c>
      <c r="AD686" s="798">
        <v>43010</v>
      </c>
      <c r="AE686" s="794" t="str">
        <f t="shared" ca="1" si="543"/>
        <v>-</v>
      </c>
      <c r="AF686" s="798" t="str">
        <f t="shared" si="544"/>
        <v>-</v>
      </c>
      <c r="AG686" s="812" t="str">
        <f t="shared" si="545"/>
        <v>---------</v>
      </c>
      <c r="AH686" s="807">
        <v>42838</v>
      </c>
      <c r="AI686" s="807">
        <f t="shared" si="546"/>
        <v>42993</v>
      </c>
      <c r="AJ686" s="807">
        <f t="shared" si="547"/>
        <v>43023</v>
      </c>
      <c r="AK686" s="813">
        <v>43010</v>
      </c>
      <c r="AL686" s="807">
        <f t="shared" si="548"/>
        <v>43062</v>
      </c>
      <c r="AM686" s="807">
        <f t="shared" si="549"/>
        <v>43083</v>
      </c>
      <c r="AN686" s="814">
        <f t="shared" ca="1" si="550"/>
        <v>51</v>
      </c>
      <c r="AO686" s="815">
        <v>1</v>
      </c>
      <c r="AP686" s="816" t="str">
        <f t="shared" ca="1" si="551"/>
        <v>-</v>
      </c>
      <c r="AQ686" s="817"/>
      <c r="AR686" s="794" t="str">
        <f t="shared" si="552"/>
        <v>-</v>
      </c>
      <c r="AS686" s="818"/>
      <c r="AT686" s="794" t="str">
        <f t="shared" si="553"/>
        <v>DRY COW</v>
      </c>
      <c r="AU686" s="819"/>
      <c r="AV686" s="820"/>
      <c r="AW686" s="821"/>
      <c r="AX686" s="821"/>
      <c r="AY686" s="969" t="str">
        <f t="shared" si="554"/>
        <v>-</v>
      </c>
      <c r="AZ686" s="966" t="str">
        <f t="shared" si="555"/>
        <v>-</v>
      </c>
      <c r="BA686" s="971" t="str">
        <f t="shared" si="556"/>
        <v>-</v>
      </c>
      <c r="BB686" s="975"/>
      <c r="BC686" s="821"/>
      <c r="BD686" s="821"/>
      <c r="BE686" s="963" t="str">
        <f t="shared" si="557"/>
        <v>-</v>
      </c>
      <c r="BF686" s="984"/>
      <c r="BG686" s="988"/>
      <c r="BH686" s="982"/>
      <c r="BI686" s="991"/>
      <c r="BJ686" s="991"/>
      <c r="BK686" s="993" t="str">
        <f t="shared" si="558"/>
        <v>-</v>
      </c>
      <c r="BL686" s="820">
        <v>42981</v>
      </c>
      <c r="BM686" s="821">
        <v>5</v>
      </c>
      <c r="BN686" s="822">
        <f t="shared" ca="1" si="559"/>
        <v>153</v>
      </c>
      <c r="BO686" s="823">
        <f t="shared" si="560"/>
        <v>47.3</v>
      </c>
      <c r="BP686" s="824">
        <v>43001</v>
      </c>
      <c r="BQ686" s="821">
        <v>2</v>
      </c>
      <c r="BR686" s="822">
        <f t="shared" ca="1" si="561"/>
        <v>133</v>
      </c>
      <c r="BS686" s="823">
        <f t="shared" si="562"/>
        <v>21.833333333333332</v>
      </c>
      <c r="BT686" s="825" t="str">
        <f t="shared" ca="1" si="563"/>
        <v>-</v>
      </c>
      <c r="BU686" s="826"/>
      <c r="BV686" s="827"/>
      <c r="BW686" s="828" t="str">
        <f t="shared" si="564"/>
        <v>Ж-Е НЕ ВАКЦ.</v>
      </c>
      <c r="BX686" s="829" t="str">
        <f t="shared" si="565"/>
        <v>-</v>
      </c>
      <c r="BY686" s="830" t="str">
        <f t="shared" ca="1" si="566"/>
        <v>-</v>
      </c>
      <c r="BZ686" s="831">
        <v>42887</v>
      </c>
      <c r="CA686" s="832">
        <v>5</v>
      </c>
      <c r="CB686" s="833">
        <f t="shared" ca="1" si="567"/>
        <v>247</v>
      </c>
      <c r="CC686" s="834" t="str">
        <f t="shared" ca="1" si="568"/>
        <v>-</v>
      </c>
      <c r="CD686" s="835">
        <f t="shared" si="569"/>
        <v>42908</v>
      </c>
      <c r="CE686" s="831">
        <v>42908</v>
      </c>
      <c r="CF686" s="832">
        <v>5</v>
      </c>
      <c r="CG686" s="833">
        <f t="shared" ca="1" si="570"/>
        <v>226</v>
      </c>
      <c r="CH686" s="836">
        <f t="shared" si="571"/>
        <v>0</v>
      </c>
      <c r="CI686" s="837" t="str">
        <f t="shared" si="572"/>
        <v>УСПЕШНО</v>
      </c>
      <c r="CJ686" s="838" t="str">
        <f t="shared" ca="1" si="573"/>
        <v>-</v>
      </c>
      <c r="CK686" s="831"/>
      <c r="CL686" s="832"/>
      <c r="CM686" s="833" t="str">
        <f t="shared" si="574"/>
        <v>-</v>
      </c>
      <c r="CN686" s="834" t="str">
        <f t="shared" si="575"/>
        <v>-</v>
      </c>
      <c r="CO686" s="830" t="str">
        <f t="shared" ca="1" si="576"/>
        <v>-</v>
      </c>
      <c r="CP686" s="831">
        <v>43017</v>
      </c>
      <c r="CQ686" s="832">
        <v>2</v>
      </c>
      <c r="CR686" s="833">
        <f t="shared" si="577"/>
        <v>214</v>
      </c>
      <c r="CS686" s="833">
        <f t="shared" ca="1" si="578"/>
        <v>117</v>
      </c>
      <c r="CT686" s="834" t="str">
        <f t="shared" ca="1" si="579"/>
        <v>-</v>
      </c>
      <c r="CU686" s="835">
        <f t="shared" si="580"/>
        <v>43038</v>
      </c>
      <c r="CV686" s="831">
        <v>43038</v>
      </c>
      <c r="CW686" s="832">
        <v>2</v>
      </c>
      <c r="CX686" s="833">
        <f t="shared" si="581"/>
        <v>0</v>
      </c>
      <c r="CY686" s="840" t="str">
        <f t="shared" si="582"/>
        <v>УСПЕШНО</v>
      </c>
      <c r="CZ686" s="833">
        <f t="shared" si="583"/>
        <v>235</v>
      </c>
      <c r="DA686" s="838" t="str">
        <f t="shared" ca="1" si="584"/>
        <v>ТРЕБУЕТСЯ РЕВАКЦИНАЦИЯ</v>
      </c>
      <c r="DB686" s="841"/>
      <c r="DC686" s="832"/>
    </row>
    <row r="687" spans="1:107" x14ac:dyDescent="0.25">
      <c r="A687" s="790">
        <v>689</v>
      </c>
      <c r="B687" s="791">
        <f t="shared" ca="1" si="533"/>
        <v>43134</v>
      </c>
      <c r="C687" s="29" t="s">
        <v>2556</v>
      </c>
      <c r="D687" s="59" t="s">
        <v>2586</v>
      </c>
      <c r="E687" s="794" t="s">
        <v>235</v>
      </c>
      <c r="F687" s="795" t="s">
        <v>643</v>
      </c>
      <c r="G687" s="796">
        <f>SUMIFS(МОЛОКО!L8:L6958,МОЛОКО!F8:F6958,"2063",МОЛОКО!L8:L6958,"&gt;0")</f>
        <v>14.4</v>
      </c>
      <c r="H687" s="797" t="s">
        <v>603</v>
      </c>
      <c r="I687" s="798">
        <v>41618</v>
      </c>
      <c r="J687" s="799">
        <f t="shared" ca="1" si="534"/>
        <v>4.1534246575342468</v>
      </c>
      <c r="K687" s="799">
        <f t="shared" ca="1" si="535"/>
        <v>50.533333333333331</v>
      </c>
      <c r="L687" s="800">
        <f t="shared" ca="1" si="536"/>
        <v>1516</v>
      </c>
      <c r="M687" s="801">
        <v>42380</v>
      </c>
      <c r="N687" s="802">
        <v>42774</v>
      </c>
      <c r="O687" s="803">
        <f t="shared" ca="1" si="537"/>
        <v>360</v>
      </c>
      <c r="P687" s="804">
        <v>2</v>
      </c>
      <c r="Q687" s="805" t="s">
        <v>1451</v>
      </c>
      <c r="R687" s="806" t="s">
        <v>2664</v>
      </c>
      <c r="S687" s="807">
        <v>42831</v>
      </c>
      <c r="T687" s="798">
        <v>42831</v>
      </c>
      <c r="U687" s="798" t="str">
        <f t="shared" si="538"/>
        <v>-</v>
      </c>
      <c r="V687" s="804" t="str">
        <f t="shared" ca="1" si="539"/>
        <v>-</v>
      </c>
      <c r="W687" s="808">
        <v>1</v>
      </c>
      <c r="X687" s="794">
        <f t="shared" si="532"/>
        <v>57</v>
      </c>
      <c r="Y687" s="794">
        <v>1</v>
      </c>
      <c r="Z687" s="809" t="str">
        <f t="shared" ca="1" si="540"/>
        <v>-----</v>
      </c>
      <c r="AA687" s="810" t="str">
        <f t="shared" ca="1" si="541"/>
        <v>-----</v>
      </c>
      <c r="AB687" s="804">
        <v>1</v>
      </c>
      <c r="AC687" s="811" t="str">
        <f t="shared" ca="1" si="542"/>
        <v>-----</v>
      </c>
      <c r="AD687" s="798">
        <v>42912</v>
      </c>
      <c r="AE687" s="794" t="str">
        <f t="shared" ca="1" si="543"/>
        <v>-</v>
      </c>
      <c r="AF687" s="798" t="str">
        <f t="shared" si="544"/>
        <v>-</v>
      </c>
      <c r="AG687" s="812" t="str">
        <f t="shared" si="545"/>
        <v>---------</v>
      </c>
      <c r="AH687" s="807">
        <v>42865</v>
      </c>
      <c r="AI687" s="807">
        <f t="shared" si="546"/>
        <v>43021</v>
      </c>
      <c r="AJ687" s="807">
        <f t="shared" si="547"/>
        <v>43051</v>
      </c>
      <c r="AK687" s="813">
        <v>43046</v>
      </c>
      <c r="AL687" s="807">
        <f t="shared" si="548"/>
        <v>43090</v>
      </c>
      <c r="AM687" s="807">
        <f t="shared" si="549"/>
        <v>43111</v>
      </c>
      <c r="AN687" s="814">
        <f t="shared" ca="1" si="550"/>
        <v>23</v>
      </c>
      <c r="AO687" s="815">
        <v>1</v>
      </c>
      <c r="AP687" s="816" t="str">
        <f t="shared" ca="1" si="551"/>
        <v>-</v>
      </c>
      <c r="AQ687" s="817"/>
      <c r="AR687" s="794" t="str">
        <f t="shared" si="552"/>
        <v>-</v>
      </c>
      <c r="AS687" s="818"/>
      <c r="AT687" s="794" t="str">
        <f t="shared" si="553"/>
        <v>DRY COW</v>
      </c>
      <c r="AU687" s="819"/>
      <c r="AV687" s="820"/>
      <c r="AW687" s="821"/>
      <c r="AX687" s="821"/>
      <c r="AY687" s="969" t="str">
        <f t="shared" si="554"/>
        <v>-</v>
      </c>
      <c r="AZ687" s="966" t="str">
        <f t="shared" si="555"/>
        <v>-</v>
      </c>
      <c r="BA687" s="971" t="str">
        <f t="shared" si="556"/>
        <v>-</v>
      </c>
      <c r="BB687" s="975"/>
      <c r="BC687" s="821"/>
      <c r="BD687" s="821"/>
      <c r="BE687" s="963" t="str">
        <f t="shared" si="557"/>
        <v>-</v>
      </c>
      <c r="BF687" s="984"/>
      <c r="BG687" s="988"/>
      <c r="BH687" s="982"/>
      <c r="BI687" s="991"/>
      <c r="BJ687" s="991"/>
      <c r="BK687" s="993" t="str">
        <f t="shared" si="558"/>
        <v>-</v>
      </c>
      <c r="BL687" s="820">
        <v>42980</v>
      </c>
      <c r="BM687" s="821">
        <v>5</v>
      </c>
      <c r="BN687" s="822">
        <f t="shared" ca="1" si="559"/>
        <v>154</v>
      </c>
      <c r="BO687" s="823">
        <f t="shared" si="560"/>
        <v>45.4</v>
      </c>
      <c r="BP687" s="824">
        <v>43001</v>
      </c>
      <c r="BQ687" s="821">
        <v>2</v>
      </c>
      <c r="BR687" s="822">
        <f t="shared" ca="1" si="561"/>
        <v>133</v>
      </c>
      <c r="BS687" s="823">
        <f t="shared" si="562"/>
        <v>20.7</v>
      </c>
      <c r="BT687" s="825" t="str">
        <f t="shared" ca="1" si="563"/>
        <v>-</v>
      </c>
      <c r="BU687" s="826"/>
      <c r="BV687" s="827"/>
      <c r="BW687" s="828" t="str">
        <f t="shared" si="564"/>
        <v>Ж-Е НЕ ВАКЦ.</v>
      </c>
      <c r="BX687" s="829" t="str">
        <f t="shared" si="565"/>
        <v>-</v>
      </c>
      <c r="BY687" s="830" t="str">
        <f t="shared" ca="1" si="566"/>
        <v>-</v>
      </c>
      <c r="BZ687" s="831">
        <v>42887</v>
      </c>
      <c r="CA687" s="832">
        <v>5</v>
      </c>
      <c r="CB687" s="833">
        <f t="shared" ca="1" si="567"/>
        <v>247</v>
      </c>
      <c r="CC687" s="834" t="str">
        <f t="shared" ca="1" si="568"/>
        <v>-</v>
      </c>
      <c r="CD687" s="835">
        <f t="shared" si="569"/>
        <v>42908</v>
      </c>
      <c r="CE687" s="831">
        <v>42908</v>
      </c>
      <c r="CF687" s="832">
        <v>5</v>
      </c>
      <c r="CG687" s="833">
        <f t="shared" ca="1" si="570"/>
        <v>226</v>
      </c>
      <c r="CH687" s="836">
        <f t="shared" si="571"/>
        <v>0</v>
      </c>
      <c r="CI687" s="837" t="str">
        <f t="shared" si="572"/>
        <v>УСПЕШНО</v>
      </c>
      <c r="CJ687" s="838" t="str">
        <f t="shared" ca="1" si="573"/>
        <v>-</v>
      </c>
      <c r="CK687" s="831"/>
      <c r="CL687" s="832"/>
      <c r="CM687" s="833" t="str">
        <f t="shared" si="574"/>
        <v>-</v>
      </c>
      <c r="CN687" s="834" t="str">
        <f t="shared" si="575"/>
        <v>-</v>
      </c>
      <c r="CO687" s="830" t="str">
        <f t="shared" ca="1" si="576"/>
        <v>-</v>
      </c>
      <c r="CP687" s="831">
        <v>43052</v>
      </c>
      <c r="CQ687" s="832">
        <v>2</v>
      </c>
      <c r="CR687" s="833">
        <f t="shared" si="577"/>
        <v>221</v>
      </c>
      <c r="CS687" s="833">
        <f t="shared" ca="1" si="578"/>
        <v>82</v>
      </c>
      <c r="CT687" s="834" t="str">
        <f t="shared" ca="1" si="579"/>
        <v>ТРЕБУЕТСЯ БУСТЕРНАЯ ДОЗА</v>
      </c>
      <c r="CU687" s="835">
        <f t="shared" si="580"/>
        <v>43073</v>
      </c>
      <c r="CV687" s="839"/>
      <c r="CW687" s="832"/>
      <c r="CX687" s="833" t="str">
        <f t="shared" si="581"/>
        <v>-</v>
      </c>
      <c r="CY687" s="840" t="str">
        <f t="shared" si="582"/>
        <v>-</v>
      </c>
      <c r="CZ687" s="833" t="str">
        <f t="shared" si="583"/>
        <v>-</v>
      </c>
      <c r="DA687" s="838" t="str">
        <f t="shared" ca="1" si="584"/>
        <v>-</v>
      </c>
      <c r="DB687" s="841"/>
      <c r="DC687" s="832"/>
    </row>
    <row r="688" spans="1:107" x14ac:dyDescent="0.25">
      <c r="A688" s="790">
        <v>690</v>
      </c>
      <c r="B688" s="791">
        <f t="shared" ca="1" si="533"/>
        <v>43134</v>
      </c>
      <c r="C688" s="792" t="s">
        <v>2556</v>
      </c>
      <c r="D688" s="793" t="s">
        <v>2586</v>
      </c>
      <c r="E688" s="794" t="s">
        <v>1370</v>
      </c>
      <c r="F688" s="795" t="s">
        <v>1256</v>
      </c>
      <c r="G688" s="796">
        <f>SUMIFS(МОЛОКО!L8:L6958,МОЛОКО!F8:F6958,"2092",МОЛОКО!L8:L6958,"&gt;0")</f>
        <v>0</v>
      </c>
      <c r="H688" s="797" t="s">
        <v>603</v>
      </c>
      <c r="I688" s="798">
        <v>41644</v>
      </c>
      <c r="J688" s="799">
        <f t="shared" ca="1" si="534"/>
        <v>4.0821917808219181</v>
      </c>
      <c r="K688" s="799">
        <f t="shared" ca="1" si="535"/>
        <v>49.666666666666664</v>
      </c>
      <c r="L688" s="800">
        <f t="shared" ca="1" si="536"/>
        <v>1490</v>
      </c>
      <c r="M688" s="801">
        <v>42462</v>
      </c>
      <c r="N688" s="802">
        <v>42462</v>
      </c>
      <c r="O688" s="803">
        <f t="shared" ca="1" si="537"/>
        <v>672</v>
      </c>
      <c r="P688" s="804">
        <v>1</v>
      </c>
      <c r="Q688" s="805" t="s">
        <v>2366</v>
      </c>
      <c r="R688" s="806" t="s">
        <v>1875</v>
      </c>
      <c r="S688" s="807">
        <v>42510</v>
      </c>
      <c r="T688" s="798">
        <v>42806</v>
      </c>
      <c r="U688" s="798" t="str">
        <f t="shared" si="538"/>
        <v>-</v>
      </c>
      <c r="V688" s="804" t="str">
        <f t="shared" ca="1" si="539"/>
        <v>-</v>
      </c>
      <c r="W688" s="808">
        <v>6</v>
      </c>
      <c r="X688" s="794">
        <f t="shared" si="532"/>
        <v>344</v>
      </c>
      <c r="Y688" s="794">
        <v>1</v>
      </c>
      <c r="Z688" s="809" t="str">
        <f t="shared" ca="1" si="540"/>
        <v>ПОДЛЕЖИТ ПЕРЕПРОВЕРКЕ</v>
      </c>
      <c r="AA688" s="810">
        <f t="shared" ca="1" si="541"/>
        <v>328</v>
      </c>
      <c r="AB688" s="804"/>
      <c r="AC688" s="811">
        <f t="shared" ca="1" si="542"/>
        <v>42878</v>
      </c>
      <c r="AD688" s="798"/>
      <c r="AE688" s="794" t="str">
        <f t="shared" ca="1" si="543"/>
        <v>-</v>
      </c>
      <c r="AF688" s="798" t="str">
        <f t="shared" si="544"/>
        <v>-</v>
      </c>
      <c r="AG688" s="812" t="str">
        <f t="shared" si="545"/>
        <v>---------</v>
      </c>
      <c r="AH688" s="807">
        <v>42849</v>
      </c>
      <c r="AI688" s="807">
        <f t="shared" si="546"/>
        <v>42996</v>
      </c>
      <c r="AJ688" s="807">
        <f t="shared" si="547"/>
        <v>43026</v>
      </c>
      <c r="AK688" s="813">
        <v>42867</v>
      </c>
      <c r="AL688" s="807">
        <f t="shared" si="548"/>
        <v>43065</v>
      </c>
      <c r="AM688" s="807">
        <f t="shared" si="549"/>
        <v>43086</v>
      </c>
      <c r="AN688" s="814">
        <f t="shared" ca="1" si="550"/>
        <v>48</v>
      </c>
      <c r="AO688" s="815">
        <v>1</v>
      </c>
      <c r="AP688" s="816" t="str">
        <f t="shared" ca="1" si="551"/>
        <v>-</v>
      </c>
      <c r="AQ688" s="817"/>
      <c r="AR688" s="794" t="str">
        <f t="shared" si="552"/>
        <v>-</v>
      </c>
      <c r="AS688" s="818"/>
      <c r="AT688" s="794" t="str">
        <f t="shared" si="553"/>
        <v>DRY COW</v>
      </c>
      <c r="AU688" s="819"/>
      <c r="AV688" s="820"/>
      <c r="AW688" s="821"/>
      <c r="AX688" s="821"/>
      <c r="AY688" s="969" t="str">
        <f t="shared" si="554"/>
        <v>-</v>
      </c>
      <c r="AZ688" s="966" t="str">
        <f t="shared" si="555"/>
        <v>-</v>
      </c>
      <c r="BA688" s="971" t="str">
        <f t="shared" si="556"/>
        <v>-</v>
      </c>
      <c r="BB688" s="975"/>
      <c r="BC688" s="821"/>
      <c r="BD688" s="821"/>
      <c r="BE688" s="963" t="str">
        <f t="shared" si="557"/>
        <v>-</v>
      </c>
      <c r="BF688" s="984"/>
      <c r="BG688" s="988"/>
      <c r="BH688" s="982"/>
      <c r="BI688" s="991"/>
      <c r="BJ688" s="991"/>
      <c r="BK688" s="993" t="str">
        <f t="shared" si="558"/>
        <v>-</v>
      </c>
      <c r="BL688" s="820">
        <v>42978</v>
      </c>
      <c r="BM688" s="821">
        <v>5</v>
      </c>
      <c r="BN688" s="822">
        <f t="shared" ca="1" si="559"/>
        <v>156</v>
      </c>
      <c r="BO688" s="823">
        <f t="shared" si="560"/>
        <v>44.466666666666669</v>
      </c>
      <c r="BP688" s="824">
        <v>43001</v>
      </c>
      <c r="BQ688" s="821">
        <v>2</v>
      </c>
      <c r="BR688" s="822">
        <f t="shared" ca="1" si="561"/>
        <v>133</v>
      </c>
      <c r="BS688" s="823">
        <f t="shared" si="562"/>
        <v>17.966666666666665</v>
      </c>
      <c r="BT688" s="825" t="str">
        <f t="shared" ca="1" si="563"/>
        <v>-</v>
      </c>
      <c r="BU688" s="826"/>
      <c r="BV688" s="827"/>
      <c r="BW688" s="828" t="str">
        <f t="shared" si="564"/>
        <v>Ж-Е НЕ ВАКЦ.</v>
      </c>
      <c r="BX688" s="829" t="str">
        <f t="shared" si="565"/>
        <v>-</v>
      </c>
      <c r="BY688" s="830" t="str">
        <f t="shared" ca="1" si="566"/>
        <v>-</v>
      </c>
      <c r="BZ688" s="831">
        <v>42964</v>
      </c>
      <c r="CA688" s="832">
        <v>5</v>
      </c>
      <c r="CB688" s="833">
        <f t="shared" ca="1" si="567"/>
        <v>170</v>
      </c>
      <c r="CC688" s="834" t="str">
        <f t="shared" ca="1" si="568"/>
        <v>-</v>
      </c>
      <c r="CD688" s="835">
        <f t="shared" si="569"/>
        <v>42985</v>
      </c>
      <c r="CE688" s="831">
        <v>42985</v>
      </c>
      <c r="CF688" s="832">
        <v>5</v>
      </c>
      <c r="CG688" s="833">
        <f t="shared" ca="1" si="570"/>
        <v>149</v>
      </c>
      <c r="CH688" s="836">
        <f t="shared" si="571"/>
        <v>0</v>
      </c>
      <c r="CI688" s="837" t="str">
        <f t="shared" si="572"/>
        <v>УСПЕШНО</v>
      </c>
      <c r="CJ688" s="838" t="str">
        <f t="shared" ca="1" si="573"/>
        <v>-</v>
      </c>
      <c r="CK688" s="831"/>
      <c r="CL688" s="832"/>
      <c r="CM688" s="833" t="str">
        <f t="shared" si="574"/>
        <v>-</v>
      </c>
      <c r="CN688" s="834" t="str">
        <f t="shared" si="575"/>
        <v>-</v>
      </c>
      <c r="CO688" s="830" t="str">
        <f t="shared" ca="1" si="576"/>
        <v>-</v>
      </c>
      <c r="CP688" s="831">
        <v>43017</v>
      </c>
      <c r="CQ688" s="832">
        <v>2</v>
      </c>
      <c r="CR688" s="833">
        <f t="shared" si="577"/>
        <v>211</v>
      </c>
      <c r="CS688" s="833">
        <f t="shared" ca="1" si="578"/>
        <v>117</v>
      </c>
      <c r="CT688" s="834" t="str">
        <f t="shared" ca="1" si="579"/>
        <v>-</v>
      </c>
      <c r="CU688" s="835">
        <f t="shared" si="580"/>
        <v>43038</v>
      </c>
      <c r="CV688" s="831">
        <v>43038</v>
      </c>
      <c r="CW688" s="832">
        <v>2</v>
      </c>
      <c r="CX688" s="833">
        <f t="shared" si="581"/>
        <v>0</v>
      </c>
      <c r="CY688" s="840" t="str">
        <f t="shared" si="582"/>
        <v>УСПЕШНО</v>
      </c>
      <c r="CZ688" s="833">
        <f t="shared" si="583"/>
        <v>232</v>
      </c>
      <c r="DA688" s="838" t="str">
        <f t="shared" ca="1" si="584"/>
        <v>ТРЕБУЕТСЯ РЕВАКЦИНАЦИЯ</v>
      </c>
      <c r="DB688" s="841"/>
      <c r="DC688" s="832"/>
    </row>
    <row r="689" spans="1:107" x14ac:dyDescent="0.25">
      <c r="A689" s="790">
        <v>691</v>
      </c>
      <c r="B689" s="791">
        <f t="shared" ca="1" si="533"/>
        <v>43134</v>
      </c>
      <c r="C689" s="29" t="s">
        <v>2556</v>
      </c>
      <c r="D689" s="59" t="s">
        <v>2586</v>
      </c>
      <c r="E689" s="794" t="s">
        <v>560</v>
      </c>
      <c r="F689" s="795" t="s">
        <v>561</v>
      </c>
      <c r="G689" s="796">
        <f>SUMIFS(МОЛОКО!L8:L6958,МОЛОКО!F8:F6958,"2125",МОЛОКО!L8:L6958,"&gt;0")</f>
        <v>14.6</v>
      </c>
      <c r="H689" s="797" t="s">
        <v>603</v>
      </c>
      <c r="I689" s="798">
        <v>41673</v>
      </c>
      <c r="J689" s="799">
        <f t="shared" ca="1" si="534"/>
        <v>4.0027397260273974</v>
      </c>
      <c r="K689" s="799">
        <f t="shared" ca="1" si="535"/>
        <v>48.7</v>
      </c>
      <c r="L689" s="800">
        <f t="shared" ca="1" si="536"/>
        <v>1461</v>
      </c>
      <c r="M689" s="801">
        <v>42345</v>
      </c>
      <c r="N689" s="802">
        <v>42682</v>
      </c>
      <c r="O689" s="803">
        <f t="shared" ca="1" si="537"/>
        <v>452</v>
      </c>
      <c r="P689" s="804">
        <v>2</v>
      </c>
      <c r="Q689" s="805" t="s">
        <v>2309</v>
      </c>
      <c r="R689" s="806" t="s">
        <v>1875</v>
      </c>
      <c r="S689" s="807">
        <v>42747</v>
      </c>
      <c r="T689" s="798">
        <v>42838</v>
      </c>
      <c r="U689" s="798" t="str">
        <f t="shared" si="538"/>
        <v>-</v>
      </c>
      <c r="V689" s="804" t="str">
        <f t="shared" ca="1" si="539"/>
        <v>-</v>
      </c>
      <c r="W689" s="808">
        <v>3</v>
      </c>
      <c r="X689" s="794">
        <f t="shared" si="532"/>
        <v>156</v>
      </c>
      <c r="Y689" s="794">
        <v>1</v>
      </c>
      <c r="Z689" s="809" t="str">
        <f t="shared" ca="1" si="540"/>
        <v>-----</v>
      </c>
      <c r="AA689" s="810" t="str">
        <f t="shared" ca="1" si="541"/>
        <v>-----</v>
      </c>
      <c r="AB689" s="804">
        <v>1</v>
      </c>
      <c r="AC689" s="811" t="str">
        <f t="shared" ca="1" si="542"/>
        <v>-----</v>
      </c>
      <c r="AD689" s="798">
        <v>42930</v>
      </c>
      <c r="AE689" s="794" t="str">
        <f t="shared" ca="1" si="543"/>
        <v>-</v>
      </c>
      <c r="AF689" s="798" t="str">
        <f t="shared" si="544"/>
        <v>-</v>
      </c>
      <c r="AG689" s="812" t="str">
        <f t="shared" si="545"/>
        <v>---------</v>
      </c>
      <c r="AH689" s="807">
        <v>42873</v>
      </c>
      <c r="AI689" s="807">
        <f t="shared" si="546"/>
        <v>43028</v>
      </c>
      <c r="AJ689" s="807">
        <f t="shared" si="547"/>
        <v>43058</v>
      </c>
      <c r="AK689" s="813">
        <v>43052</v>
      </c>
      <c r="AL689" s="807">
        <f t="shared" si="548"/>
        <v>43097</v>
      </c>
      <c r="AM689" s="807">
        <f t="shared" si="549"/>
        <v>43118</v>
      </c>
      <c r="AN689" s="814">
        <f t="shared" ca="1" si="550"/>
        <v>16</v>
      </c>
      <c r="AO689" s="815">
        <v>1</v>
      </c>
      <c r="AP689" s="816" t="str">
        <f t="shared" ca="1" si="551"/>
        <v>-</v>
      </c>
      <c r="AQ689" s="817"/>
      <c r="AR689" s="794" t="str">
        <f t="shared" si="552"/>
        <v>-</v>
      </c>
      <c r="AS689" s="818"/>
      <c r="AT689" s="794" t="str">
        <f t="shared" si="553"/>
        <v>DRY COW</v>
      </c>
      <c r="AU689" s="819"/>
      <c r="AV689" s="820"/>
      <c r="AW689" s="821"/>
      <c r="AX689" s="821"/>
      <c r="AY689" s="969" t="str">
        <f t="shared" si="554"/>
        <v>-</v>
      </c>
      <c r="AZ689" s="966" t="str">
        <f t="shared" si="555"/>
        <v>-</v>
      </c>
      <c r="BA689" s="971" t="str">
        <f t="shared" si="556"/>
        <v>-</v>
      </c>
      <c r="BB689" s="975"/>
      <c r="BC689" s="821"/>
      <c r="BD689" s="821"/>
      <c r="BE689" s="963" t="str">
        <f t="shared" si="557"/>
        <v>-</v>
      </c>
      <c r="BF689" s="984"/>
      <c r="BG689" s="988"/>
      <c r="BH689" s="982"/>
      <c r="BI689" s="991"/>
      <c r="BJ689" s="991"/>
      <c r="BK689" s="993" t="str">
        <f t="shared" si="558"/>
        <v>-</v>
      </c>
      <c r="BL689" s="820">
        <v>42981</v>
      </c>
      <c r="BM689" s="821">
        <v>5</v>
      </c>
      <c r="BN689" s="822">
        <f t="shared" ca="1" si="559"/>
        <v>153</v>
      </c>
      <c r="BO689" s="823">
        <f t="shared" si="560"/>
        <v>43.6</v>
      </c>
      <c r="BP689" s="824">
        <v>43001</v>
      </c>
      <c r="BQ689" s="821">
        <v>2</v>
      </c>
      <c r="BR689" s="822">
        <f t="shared" ca="1" si="561"/>
        <v>133</v>
      </c>
      <c r="BS689" s="823">
        <f t="shared" si="562"/>
        <v>21.866666666666667</v>
      </c>
      <c r="BT689" s="825" t="str">
        <f t="shared" ca="1" si="563"/>
        <v>-</v>
      </c>
      <c r="BU689" s="826"/>
      <c r="BV689" s="827"/>
      <c r="BW689" s="828" t="str">
        <f t="shared" si="564"/>
        <v>Ж-Е НЕ ВАКЦ.</v>
      </c>
      <c r="BX689" s="829" t="str">
        <f t="shared" si="565"/>
        <v>-</v>
      </c>
      <c r="BY689" s="830" t="str">
        <f t="shared" ca="1" si="566"/>
        <v>-</v>
      </c>
      <c r="BZ689" s="831">
        <v>42887</v>
      </c>
      <c r="CA689" s="832">
        <v>5</v>
      </c>
      <c r="CB689" s="833">
        <f t="shared" ca="1" si="567"/>
        <v>247</v>
      </c>
      <c r="CC689" s="834" t="str">
        <f t="shared" ca="1" si="568"/>
        <v>-</v>
      </c>
      <c r="CD689" s="835">
        <f t="shared" si="569"/>
        <v>42908</v>
      </c>
      <c r="CE689" s="831">
        <v>42908</v>
      </c>
      <c r="CF689" s="832">
        <v>5</v>
      </c>
      <c r="CG689" s="833">
        <f t="shared" ca="1" si="570"/>
        <v>226</v>
      </c>
      <c r="CH689" s="836">
        <f t="shared" si="571"/>
        <v>0</v>
      </c>
      <c r="CI689" s="837" t="str">
        <f t="shared" si="572"/>
        <v>УСПЕШНО</v>
      </c>
      <c r="CJ689" s="838" t="str">
        <f t="shared" ca="1" si="573"/>
        <v>-</v>
      </c>
      <c r="CK689" s="831"/>
      <c r="CL689" s="832"/>
      <c r="CM689" s="833" t="str">
        <f t="shared" si="574"/>
        <v>-</v>
      </c>
      <c r="CN689" s="834" t="str">
        <f t="shared" si="575"/>
        <v>-</v>
      </c>
      <c r="CO689" s="830" t="str">
        <f t="shared" ca="1" si="576"/>
        <v>-</v>
      </c>
      <c r="CP689" s="831">
        <v>43053</v>
      </c>
      <c r="CQ689" s="832">
        <v>2</v>
      </c>
      <c r="CR689" s="833">
        <f t="shared" si="577"/>
        <v>215</v>
      </c>
      <c r="CS689" s="833">
        <f t="shared" ca="1" si="578"/>
        <v>81</v>
      </c>
      <c r="CT689" s="834" t="str">
        <f t="shared" ca="1" si="579"/>
        <v>ТРЕБУЕТСЯ БУСТЕРНАЯ ДОЗА</v>
      </c>
      <c r="CU689" s="835">
        <f t="shared" si="580"/>
        <v>43074</v>
      </c>
      <c r="CV689" s="839"/>
      <c r="CW689" s="832"/>
      <c r="CX689" s="833" t="str">
        <f t="shared" si="581"/>
        <v>-</v>
      </c>
      <c r="CY689" s="840" t="str">
        <f t="shared" si="582"/>
        <v>-</v>
      </c>
      <c r="CZ689" s="833" t="str">
        <f t="shared" si="583"/>
        <v>-</v>
      </c>
      <c r="DA689" s="838" t="str">
        <f t="shared" ca="1" si="584"/>
        <v>-</v>
      </c>
      <c r="DB689" s="841"/>
      <c r="DC689" s="832"/>
    </row>
    <row r="690" spans="1:107" x14ac:dyDescent="0.25">
      <c r="A690" s="790">
        <v>692</v>
      </c>
      <c r="B690" s="791">
        <f t="shared" ca="1" si="533"/>
        <v>43134</v>
      </c>
      <c r="C690" s="792" t="s">
        <v>2556</v>
      </c>
      <c r="D690" s="793" t="s">
        <v>2586</v>
      </c>
      <c r="E690" s="794" t="s">
        <v>1339</v>
      </c>
      <c r="F690" s="795" t="s">
        <v>1223</v>
      </c>
      <c r="G690" s="796">
        <f>SUMIFS(МОЛОКО!L8:L6958,МОЛОКО!F8:F6958,"2349",МОЛОКО!L8:L6958,"&gt;0")</f>
        <v>0</v>
      </c>
      <c r="H690" s="797" t="s">
        <v>603</v>
      </c>
      <c r="I690" s="798">
        <v>41890</v>
      </c>
      <c r="J690" s="799">
        <f t="shared" ca="1" si="534"/>
        <v>3.408219178082192</v>
      </c>
      <c r="K690" s="799">
        <f t="shared" ca="1" si="535"/>
        <v>41.466666666666669</v>
      </c>
      <c r="L690" s="800">
        <f t="shared" ca="1" si="536"/>
        <v>1244</v>
      </c>
      <c r="M690" s="801">
        <v>42619</v>
      </c>
      <c r="N690" s="802">
        <v>42619</v>
      </c>
      <c r="O690" s="803">
        <f t="shared" ca="1" si="537"/>
        <v>515</v>
      </c>
      <c r="P690" s="804">
        <v>1</v>
      </c>
      <c r="Q690" s="805" t="s">
        <v>1482</v>
      </c>
      <c r="R690" s="806" t="s">
        <v>1874</v>
      </c>
      <c r="S690" s="807">
        <v>42678</v>
      </c>
      <c r="T690" s="798">
        <v>42804</v>
      </c>
      <c r="U690" s="798" t="str">
        <f t="shared" si="538"/>
        <v>-</v>
      </c>
      <c r="V690" s="804" t="str">
        <f t="shared" ca="1" si="539"/>
        <v>-</v>
      </c>
      <c r="W690" s="808">
        <v>4</v>
      </c>
      <c r="X690" s="794">
        <f t="shared" si="532"/>
        <v>185</v>
      </c>
      <c r="Y690" s="794">
        <v>1</v>
      </c>
      <c r="Z690" s="809" t="str">
        <f t="shared" ca="1" si="540"/>
        <v>-----</v>
      </c>
      <c r="AA690" s="810" t="str">
        <f t="shared" ca="1" si="541"/>
        <v>-----</v>
      </c>
      <c r="AB690" s="804">
        <v>1</v>
      </c>
      <c r="AC690" s="811" t="str">
        <f t="shared" ca="1" si="542"/>
        <v>-----</v>
      </c>
      <c r="AD690" s="798">
        <v>43024</v>
      </c>
      <c r="AE690" s="794" t="str">
        <f t="shared" ca="1" si="543"/>
        <v>-</v>
      </c>
      <c r="AF690" s="798" t="str">
        <f t="shared" si="544"/>
        <v>-</v>
      </c>
      <c r="AG690" s="812" t="str">
        <f t="shared" si="545"/>
        <v>---------</v>
      </c>
      <c r="AH690" s="807">
        <v>42839</v>
      </c>
      <c r="AI690" s="807">
        <f t="shared" si="546"/>
        <v>42994</v>
      </c>
      <c r="AJ690" s="807">
        <f t="shared" si="547"/>
        <v>43024</v>
      </c>
      <c r="AK690" s="813">
        <v>43022</v>
      </c>
      <c r="AL690" s="807">
        <f t="shared" si="548"/>
        <v>43063</v>
      </c>
      <c r="AM690" s="807">
        <f t="shared" si="549"/>
        <v>43084</v>
      </c>
      <c r="AN690" s="814">
        <f t="shared" ca="1" si="550"/>
        <v>50</v>
      </c>
      <c r="AO690" s="815">
        <v>1</v>
      </c>
      <c r="AP690" s="816" t="str">
        <f t="shared" ca="1" si="551"/>
        <v>-</v>
      </c>
      <c r="AQ690" s="817"/>
      <c r="AR690" s="794" t="str">
        <f t="shared" si="552"/>
        <v>-</v>
      </c>
      <c r="AS690" s="818"/>
      <c r="AT690" s="794" t="str">
        <f t="shared" si="553"/>
        <v>DRY COW</v>
      </c>
      <c r="AU690" s="819"/>
      <c r="AV690" s="820"/>
      <c r="AW690" s="821"/>
      <c r="AX690" s="821"/>
      <c r="AY690" s="969" t="str">
        <f t="shared" si="554"/>
        <v>-</v>
      </c>
      <c r="AZ690" s="966" t="str">
        <f t="shared" si="555"/>
        <v>-</v>
      </c>
      <c r="BA690" s="971" t="str">
        <f t="shared" si="556"/>
        <v>-</v>
      </c>
      <c r="BB690" s="975"/>
      <c r="BC690" s="821"/>
      <c r="BD690" s="821"/>
      <c r="BE690" s="963" t="str">
        <f t="shared" si="557"/>
        <v>-</v>
      </c>
      <c r="BF690" s="984"/>
      <c r="BG690" s="988"/>
      <c r="BH690" s="982"/>
      <c r="BI690" s="991"/>
      <c r="BJ690" s="991"/>
      <c r="BK690" s="993" t="str">
        <f t="shared" si="558"/>
        <v>-</v>
      </c>
      <c r="BL690" s="820">
        <v>42981</v>
      </c>
      <c r="BM690" s="821">
        <v>5</v>
      </c>
      <c r="BN690" s="822">
        <f t="shared" ca="1" si="559"/>
        <v>153</v>
      </c>
      <c r="BO690" s="823">
        <f t="shared" si="560"/>
        <v>36.366666666666667</v>
      </c>
      <c r="BP690" s="824">
        <v>43001</v>
      </c>
      <c r="BQ690" s="821">
        <v>2</v>
      </c>
      <c r="BR690" s="822">
        <f t="shared" ca="1" si="561"/>
        <v>133</v>
      </c>
      <c r="BS690" s="823">
        <f t="shared" si="562"/>
        <v>12.733333333333333</v>
      </c>
      <c r="BT690" s="825" t="str">
        <f t="shared" ca="1" si="563"/>
        <v>-</v>
      </c>
      <c r="BU690" s="826"/>
      <c r="BV690" s="827"/>
      <c r="BW690" s="828" t="str">
        <f t="shared" si="564"/>
        <v>Ж-Е НЕ ВАКЦ.</v>
      </c>
      <c r="BX690" s="829" t="str">
        <f t="shared" si="565"/>
        <v>-</v>
      </c>
      <c r="BY690" s="830" t="str">
        <f t="shared" ca="1" si="566"/>
        <v>-</v>
      </c>
      <c r="BZ690" s="831">
        <v>42887</v>
      </c>
      <c r="CA690" s="832">
        <v>5</v>
      </c>
      <c r="CB690" s="833">
        <f t="shared" ca="1" si="567"/>
        <v>247</v>
      </c>
      <c r="CC690" s="834" t="str">
        <f t="shared" ca="1" si="568"/>
        <v>-</v>
      </c>
      <c r="CD690" s="835">
        <f t="shared" si="569"/>
        <v>42908</v>
      </c>
      <c r="CE690" s="831">
        <v>42908</v>
      </c>
      <c r="CF690" s="832">
        <v>5</v>
      </c>
      <c r="CG690" s="833">
        <f t="shared" ca="1" si="570"/>
        <v>226</v>
      </c>
      <c r="CH690" s="836">
        <f t="shared" si="571"/>
        <v>0</v>
      </c>
      <c r="CI690" s="837" t="str">
        <f t="shared" si="572"/>
        <v>УСПЕШНО</v>
      </c>
      <c r="CJ690" s="838" t="str">
        <f t="shared" ca="1" si="573"/>
        <v>-</v>
      </c>
      <c r="CK690" s="831"/>
      <c r="CL690" s="832"/>
      <c r="CM690" s="833" t="str">
        <f t="shared" si="574"/>
        <v>-</v>
      </c>
      <c r="CN690" s="834" t="str">
        <f t="shared" si="575"/>
        <v>-</v>
      </c>
      <c r="CO690" s="830" t="str">
        <f t="shared" ca="1" si="576"/>
        <v>-</v>
      </c>
      <c r="CP690" s="831">
        <v>43017</v>
      </c>
      <c r="CQ690" s="832">
        <v>2</v>
      </c>
      <c r="CR690" s="833">
        <f t="shared" si="577"/>
        <v>213</v>
      </c>
      <c r="CS690" s="833">
        <f t="shared" ca="1" si="578"/>
        <v>117</v>
      </c>
      <c r="CT690" s="834" t="str">
        <f t="shared" ca="1" si="579"/>
        <v>-</v>
      </c>
      <c r="CU690" s="835">
        <f t="shared" si="580"/>
        <v>43038</v>
      </c>
      <c r="CV690" s="831">
        <v>43038</v>
      </c>
      <c r="CW690" s="832">
        <v>2</v>
      </c>
      <c r="CX690" s="833">
        <f t="shared" si="581"/>
        <v>0</v>
      </c>
      <c r="CY690" s="840" t="str">
        <f t="shared" si="582"/>
        <v>УСПЕШНО</v>
      </c>
      <c r="CZ690" s="833">
        <f t="shared" si="583"/>
        <v>234</v>
      </c>
      <c r="DA690" s="838" t="str">
        <f t="shared" ca="1" si="584"/>
        <v>ТРЕБУЕТСЯ РЕВАКЦИНАЦИЯ</v>
      </c>
      <c r="DB690" s="841"/>
      <c r="DC690" s="832"/>
    </row>
    <row r="691" spans="1:107" x14ac:dyDescent="0.25">
      <c r="A691" s="790">
        <v>693</v>
      </c>
      <c r="B691" s="791">
        <f t="shared" ca="1" si="533"/>
        <v>43134</v>
      </c>
      <c r="C691" s="29" t="s">
        <v>2556</v>
      </c>
      <c r="D691" s="59" t="s">
        <v>2586</v>
      </c>
      <c r="E691" s="794" t="s">
        <v>425</v>
      </c>
      <c r="F691" s="854" t="s">
        <v>959</v>
      </c>
      <c r="G691" s="796">
        <f>SUMIFS(МОЛОКО!L8:L6958,МОЛОКО!F8:F6958,"2388",МОЛОКО!L8:L6958,"&gt;0")</f>
        <v>18.600000000000001</v>
      </c>
      <c r="H691" s="797" t="s">
        <v>603</v>
      </c>
      <c r="I691" s="798">
        <v>41937</v>
      </c>
      <c r="J691" s="799">
        <f t="shared" ca="1" si="534"/>
        <v>3.2794520547945205</v>
      </c>
      <c r="K691" s="799">
        <f t="shared" ca="1" si="535"/>
        <v>39.9</v>
      </c>
      <c r="L691" s="800">
        <f t="shared" ca="1" si="536"/>
        <v>1197</v>
      </c>
      <c r="M691" s="801">
        <v>42689</v>
      </c>
      <c r="N691" s="802">
        <v>42689</v>
      </c>
      <c r="O691" s="803">
        <f t="shared" ca="1" si="537"/>
        <v>445</v>
      </c>
      <c r="P691" s="804">
        <v>1</v>
      </c>
      <c r="Q691" s="805" t="s">
        <v>1451</v>
      </c>
      <c r="R691" s="806" t="s">
        <v>2670</v>
      </c>
      <c r="S691" s="807">
        <v>42744</v>
      </c>
      <c r="T691" s="798">
        <v>42836</v>
      </c>
      <c r="U691" s="798" t="str">
        <f t="shared" si="538"/>
        <v>-</v>
      </c>
      <c r="V691" s="804" t="str">
        <f t="shared" ca="1" si="539"/>
        <v>-</v>
      </c>
      <c r="W691" s="808">
        <v>3</v>
      </c>
      <c r="X691" s="794">
        <f t="shared" si="532"/>
        <v>147</v>
      </c>
      <c r="Y691" s="794">
        <v>1</v>
      </c>
      <c r="Z691" s="809" t="str">
        <f t="shared" ca="1" si="540"/>
        <v>-----</v>
      </c>
      <c r="AA691" s="810" t="str">
        <f t="shared" ca="1" si="541"/>
        <v>-----</v>
      </c>
      <c r="AB691" s="804">
        <v>1</v>
      </c>
      <c r="AC691" s="811" t="str">
        <f t="shared" ca="1" si="542"/>
        <v>-----</v>
      </c>
      <c r="AD691" s="798">
        <v>42932</v>
      </c>
      <c r="AE691" s="794" t="str">
        <f t="shared" ca="1" si="543"/>
        <v>-</v>
      </c>
      <c r="AF691" s="798" t="str">
        <f t="shared" si="544"/>
        <v>-</v>
      </c>
      <c r="AG691" s="812" t="str">
        <f t="shared" si="545"/>
        <v>---------</v>
      </c>
      <c r="AH691" s="807">
        <v>42871</v>
      </c>
      <c r="AI691" s="807">
        <f t="shared" si="546"/>
        <v>43026</v>
      </c>
      <c r="AJ691" s="807">
        <f t="shared" si="547"/>
        <v>43056</v>
      </c>
      <c r="AK691" s="813">
        <v>43052</v>
      </c>
      <c r="AL691" s="807">
        <f t="shared" si="548"/>
        <v>43095</v>
      </c>
      <c r="AM691" s="807">
        <f t="shared" si="549"/>
        <v>43116</v>
      </c>
      <c r="AN691" s="814">
        <f t="shared" ca="1" si="550"/>
        <v>18</v>
      </c>
      <c r="AO691" s="815">
        <v>1</v>
      </c>
      <c r="AP691" s="816" t="str">
        <f t="shared" ca="1" si="551"/>
        <v>-</v>
      </c>
      <c r="AQ691" s="817"/>
      <c r="AR691" s="794" t="str">
        <f t="shared" si="552"/>
        <v>-</v>
      </c>
      <c r="AS691" s="818"/>
      <c r="AT691" s="794" t="str">
        <f t="shared" si="553"/>
        <v>DRY COW</v>
      </c>
      <c r="AU691" s="819">
        <v>1</v>
      </c>
      <c r="AV691" s="820"/>
      <c r="AW691" s="821"/>
      <c r="AX691" s="821"/>
      <c r="AY691" s="969" t="str">
        <f t="shared" si="554"/>
        <v>-</v>
      </c>
      <c r="AZ691" s="966" t="str">
        <f t="shared" si="555"/>
        <v>-</v>
      </c>
      <c r="BA691" s="971" t="str">
        <f t="shared" si="556"/>
        <v>-</v>
      </c>
      <c r="BB691" s="975"/>
      <c r="BC691" s="821"/>
      <c r="BD691" s="821"/>
      <c r="BE691" s="963" t="str">
        <f t="shared" si="557"/>
        <v>-</v>
      </c>
      <c r="BF691" s="984"/>
      <c r="BG691" s="988"/>
      <c r="BH691" s="982"/>
      <c r="BI691" s="991"/>
      <c r="BJ691" s="991"/>
      <c r="BK691" s="993" t="str">
        <f t="shared" si="558"/>
        <v>-</v>
      </c>
      <c r="BL691" s="820">
        <v>42981</v>
      </c>
      <c r="BM691" s="821">
        <v>5</v>
      </c>
      <c r="BN691" s="822">
        <f t="shared" ca="1" si="559"/>
        <v>153</v>
      </c>
      <c r="BO691" s="823">
        <f t="shared" si="560"/>
        <v>34.799999999999997</v>
      </c>
      <c r="BP691" s="824">
        <v>43001</v>
      </c>
      <c r="BQ691" s="821">
        <v>2</v>
      </c>
      <c r="BR691" s="822">
        <f t="shared" ca="1" si="561"/>
        <v>133</v>
      </c>
      <c r="BS691" s="823">
        <f t="shared" si="562"/>
        <v>10.4</v>
      </c>
      <c r="BT691" s="825" t="str">
        <f t="shared" ca="1" si="563"/>
        <v>-</v>
      </c>
      <c r="BU691" s="826"/>
      <c r="BV691" s="827"/>
      <c r="BW691" s="828" t="str">
        <f t="shared" si="564"/>
        <v>Ж-Е НЕ ВАКЦ.</v>
      </c>
      <c r="BX691" s="829" t="str">
        <f t="shared" si="565"/>
        <v>-</v>
      </c>
      <c r="BY691" s="830" t="str">
        <f t="shared" ca="1" si="566"/>
        <v>-</v>
      </c>
      <c r="BZ691" s="831">
        <v>42887</v>
      </c>
      <c r="CA691" s="832">
        <v>5</v>
      </c>
      <c r="CB691" s="833">
        <f t="shared" ca="1" si="567"/>
        <v>247</v>
      </c>
      <c r="CC691" s="834" t="str">
        <f t="shared" ca="1" si="568"/>
        <v>-</v>
      </c>
      <c r="CD691" s="835">
        <f t="shared" si="569"/>
        <v>42908</v>
      </c>
      <c r="CE691" s="831">
        <v>42908</v>
      </c>
      <c r="CF691" s="832">
        <v>5</v>
      </c>
      <c r="CG691" s="833">
        <f t="shared" ca="1" si="570"/>
        <v>226</v>
      </c>
      <c r="CH691" s="836">
        <f t="shared" si="571"/>
        <v>0</v>
      </c>
      <c r="CI691" s="837" t="str">
        <f t="shared" si="572"/>
        <v>УСПЕШНО</v>
      </c>
      <c r="CJ691" s="838" t="str">
        <f t="shared" ca="1" si="573"/>
        <v>-</v>
      </c>
      <c r="CK691" s="831"/>
      <c r="CL691" s="832"/>
      <c r="CM691" s="833" t="str">
        <f t="shared" si="574"/>
        <v>-</v>
      </c>
      <c r="CN691" s="834" t="str">
        <f t="shared" si="575"/>
        <v>-</v>
      </c>
      <c r="CO691" s="830" t="str">
        <f t="shared" ca="1" si="576"/>
        <v>-</v>
      </c>
      <c r="CP691" s="831">
        <v>43052</v>
      </c>
      <c r="CQ691" s="832">
        <v>2</v>
      </c>
      <c r="CR691" s="833">
        <f t="shared" si="577"/>
        <v>216</v>
      </c>
      <c r="CS691" s="833">
        <f t="shared" ca="1" si="578"/>
        <v>82</v>
      </c>
      <c r="CT691" s="834" t="str">
        <f t="shared" ca="1" si="579"/>
        <v>ТРЕБУЕТСЯ БУСТЕРНАЯ ДОЗА</v>
      </c>
      <c r="CU691" s="835">
        <f t="shared" si="580"/>
        <v>43073</v>
      </c>
      <c r="CV691" s="839"/>
      <c r="CW691" s="832"/>
      <c r="CX691" s="833" t="str">
        <f t="shared" si="581"/>
        <v>-</v>
      </c>
      <c r="CY691" s="840" t="str">
        <f t="shared" si="582"/>
        <v>-</v>
      </c>
      <c r="CZ691" s="833" t="str">
        <f t="shared" si="583"/>
        <v>-</v>
      </c>
      <c r="DA691" s="838" t="str">
        <f t="shared" ca="1" si="584"/>
        <v>-</v>
      </c>
      <c r="DB691" s="841"/>
      <c r="DC691" s="832"/>
    </row>
    <row r="692" spans="1:107" x14ac:dyDescent="0.25">
      <c r="A692" s="790">
        <v>694</v>
      </c>
      <c r="B692" s="791">
        <f t="shared" ca="1" si="533"/>
        <v>43134</v>
      </c>
      <c r="C692" s="29" t="s">
        <v>2556</v>
      </c>
      <c r="D692" s="59" t="s">
        <v>2586</v>
      </c>
      <c r="E692" s="794" t="s">
        <v>1051</v>
      </c>
      <c r="F692" s="795" t="s">
        <v>957</v>
      </c>
      <c r="G692" s="796">
        <f>SUMIFS(МОЛОКО!L8:L6958,МОЛОКО!F8:F6958,"2395",МОЛОКО!L8:L6958,"&gt;0")</f>
        <v>0</v>
      </c>
      <c r="H692" s="863" t="s">
        <v>603</v>
      </c>
      <c r="I692" s="798">
        <v>41948</v>
      </c>
      <c r="J692" s="799">
        <f t="shared" ca="1" si="534"/>
        <v>3.2493150684931509</v>
      </c>
      <c r="K692" s="799">
        <f t="shared" ca="1" si="535"/>
        <v>39.533333333333331</v>
      </c>
      <c r="L692" s="800">
        <f t="shared" ca="1" si="536"/>
        <v>1186</v>
      </c>
      <c r="M692" s="801">
        <v>42653</v>
      </c>
      <c r="N692" s="802">
        <v>42653</v>
      </c>
      <c r="O692" s="803">
        <f t="shared" ca="1" si="537"/>
        <v>481</v>
      </c>
      <c r="P692" s="804">
        <v>1</v>
      </c>
      <c r="Q692" s="805" t="s">
        <v>1451</v>
      </c>
      <c r="R692" s="806" t="s">
        <v>1875</v>
      </c>
      <c r="S692" s="807">
        <v>42712</v>
      </c>
      <c r="T692" s="798">
        <v>42812</v>
      </c>
      <c r="U692" s="798" t="str">
        <f t="shared" si="538"/>
        <v>-</v>
      </c>
      <c r="V692" s="804" t="str">
        <f t="shared" ca="1" si="539"/>
        <v>-</v>
      </c>
      <c r="W692" s="808">
        <v>4</v>
      </c>
      <c r="X692" s="794">
        <f t="shared" si="532"/>
        <v>159</v>
      </c>
      <c r="Y692" s="794">
        <v>1</v>
      </c>
      <c r="Z692" s="809" t="str">
        <f t="shared" ca="1" si="540"/>
        <v>-----</v>
      </c>
      <c r="AA692" s="810" t="str">
        <f t="shared" ca="1" si="541"/>
        <v>-----</v>
      </c>
      <c r="AB692" s="804">
        <v>1</v>
      </c>
      <c r="AC692" s="811" t="str">
        <f t="shared" ca="1" si="542"/>
        <v>-----</v>
      </c>
      <c r="AD692" s="798">
        <v>43030</v>
      </c>
      <c r="AE692" s="794" t="str">
        <f t="shared" ca="1" si="543"/>
        <v>-</v>
      </c>
      <c r="AF692" s="798" t="str">
        <f t="shared" si="544"/>
        <v>-</v>
      </c>
      <c r="AG692" s="812" t="str">
        <f t="shared" si="545"/>
        <v>---------</v>
      </c>
      <c r="AH692" s="807">
        <v>43030</v>
      </c>
      <c r="AI692" s="807">
        <f t="shared" si="546"/>
        <v>43002</v>
      </c>
      <c r="AJ692" s="807">
        <f t="shared" si="547"/>
        <v>43032</v>
      </c>
      <c r="AK692" s="813">
        <v>43031</v>
      </c>
      <c r="AL692" s="807">
        <f t="shared" si="548"/>
        <v>43071</v>
      </c>
      <c r="AM692" s="807">
        <f t="shared" si="549"/>
        <v>43092</v>
      </c>
      <c r="AN692" s="814">
        <f t="shared" ca="1" si="550"/>
        <v>42</v>
      </c>
      <c r="AO692" s="815">
        <v>1</v>
      </c>
      <c r="AP692" s="816" t="str">
        <f t="shared" ca="1" si="551"/>
        <v>-</v>
      </c>
      <c r="AQ692" s="817"/>
      <c r="AR692" s="794" t="str">
        <f t="shared" si="552"/>
        <v>-</v>
      </c>
      <c r="AS692" s="818"/>
      <c r="AT692" s="794" t="str">
        <f t="shared" si="553"/>
        <v>DRY COW</v>
      </c>
      <c r="AU692" s="819"/>
      <c r="AV692" s="820"/>
      <c r="AW692" s="821"/>
      <c r="AX692" s="821"/>
      <c r="AY692" s="969" t="str">
        <f t="shared" si="554"/>
        <v>-</v>
      </c>
      <c r="AZ692" s="966" t="str">
        <f t="shared" si="555"/>
        <v>-</v>
      </c>
      <c r="BA692" s="971" t="str">
        <f t="shared" si="556"/>
        <v>-</v>
      </c>
      <c r="BB692" s="975"/>
      <c r="BC692" s="821"/>
      <c r="BD692" s="821"/>
      <c r="BE692" s="963" t="str">
        <f t="shared" si="557"/>
        <v>-</v>
      </c>
      <c r="BF692" s="984"/>
      <c r="BG692" s="988"/>
      <c r="BH692" s="982"/>
      <c r="BI692" s="991"/>
      <c r="BJ692" s="991"/>
      <c r="BK692" s="993" t="str">
        <f t="shared" si="558"/>
        <v>-</v>
      </c>
      <c r="BL692" s="820">
        <v>42981</v>
      </c>
      <c r="BM692" s="821">
        <v>5</v>
      </c>
      <c r="BN692" s="822">
        <f t="shared" ca="1" si="559"/>
        <v>153</v>
      </c>
      <c r="BO692" s="823">
        <f t="shared" si="560"/>
        <v>34.43333333333333</v>
      </c>
      <c r="BP692" s="824">
        <v>43001</v>
      </c>
      <c r="BQ692" s="821">
        <v>2</v>
      </c>
      <c r="BR692" s="822">
        <f t="shared" ca="1" si="561"/>
        <v>133</v>
      </c>
      <c r="BS692" s="823">
        <f t="shared" si="562"/>
        <v>11.6</v>
      </c>
      <c r="BT692" s="825" t="str">
        <f t="shared" ca="1" si="563"/>
        <v>-</v>
      </c>
      <c r="BU692" s="826"/>
      <c r="BV692" s="827"/>
      <c r="BW692" s="828" t="str">
        <f t="shared" si="564"/>
        <v>Ж-Е НЕ ВАКЦ.</v>
      </c>
      <c r="BX692" s="829" t="str">
        <f t="shared" si="565"/>
        <v>-</v>
      </c>
      <c r="BY692" s="830" t="str">
        <f t="shared" ca="1" si="566"/>
        <v>-</v>
      </c>
      <c r="BZ692" s="831">
        <v>42887</v>
      </c>
      <c r="CA692" s="832">
        <v>5</v>
      </c>
      <c r="CB692" s="833">
        <f t="shared" ca="1" si="567"/>
        <v>247</v>
      </c>
      <c r="CC692" s="834" t="str">
        <f t="shared" ca="1" si="568"/>
        <v>-</v>
      </c>
      <c r="CD692" s="835">
        <f t="shared" si="569"/>
        <v>42908</v>
      </c>
      <c r="CE692" s="831">
        <v>42908</v>
      </c>
      <c r="CF692" s="832">
        <v>5</v>
      </c>
      <c r="CG692" s="833">
        <f t="shared" ca="1" si="570"/>
        <v>226</v>
      </c>
      <c r="CH692" s="836">
        <f t="shared" si="571"/>
        <v>0</v>
      </c>
      <c r="CI692" s="837" t="str">
        <f t="shared" si="572"/>
        <v>УСПЕШНО</v>
      </c>
      <c r="CJ692" s="838" t="str">
        <f t="shared" ca="1" si="573"/>
        <v>-</v>
      </c>
      <c r="CK692" s="831"/>
      <c r="CL692" s="832"/>
      <c r="CM692" s="833" t="str">
        <f t="shared" si="574"/>
        <v>-</v>
      </c>
      <c r="CN692" s="834" t="str">
        <f t="shared" si="575"/>
        <v>-</v>
      </c>
      <c r="CO692" s="830" t="str">
        <f t="shared" ca="1" si="576"/>
        <v>-</v>
      </c>
      <c r="CP692" s="831">
        <v>43031</v>
      </c>
      <c r="CQ692" s="832">
        <v>2</v>
      </c>
      <c r="CR692" s="833">
        <f t="shared" si="577"/>
        <v>219</v>
      </c>
      <c r="CS692" s="833">
        <f t="shared" ca="1" si="578"/>
        <v>103</v>
      </c>
      <c r="CT692" s="834" t="str">
        <f t="shared" ca="1" si="579"/>
        <v>-</v>
      </c>
      <c r="CU692" s="835">
        <f t="shared" si="580"/>
        <v>43052</v>
      </c>
      <c r="CV692" s="831">
        <v>43052</v>
      </c>
      <c r="CW692" s="832">
        <v>2</v>
      </c>
      <c r="CX692" s="833">
        <f t="shared" si="581"/>
        <v>0</v>
      </c>
      <c r="CY692" s="840" t="str">
        <f t="shared" si="582"/>
        <v>УСПЕШНО</v>
      </c>
      <c r="CZ692" s="833">
        <f t="shared" si="583"/>
        <v>240</v>
      </c>
      <c r="DA692" s="838" t="str">
        <f t="shared" ca="1" si="584"/>
        <v>ТРЕБУЕТСЯ РЕВАКЦИНАЦИЯ</v>
      </c>
      <c r="DB692" s="841"/>
      <c r="DC692" s="832"/>
    </row>
    <row r="693" spans="1:107" x14ac:dyDescent="0.25">
      <c r="A693" s="790">
        <v>695</v>
      </c>
      <c r="B693" s="791">
        <f t="shared" ca="1" si="533"/>
        <v>43134</v>
      </c>
      <c r="C693" s="29" t="s">
        <v>2556</v>
      </c>
      <c r="D693" s="59" t="s">
        <v>2586</v>
      </c>
      <c r="E693" s="794" t="s">
        <v>1084</v>
      </c>
      <c r="F693" s="854" t="s">
        <v>971</v>
      </c>
      <c r="G693" s="796">
        <f>SUMIFS(МОЛОКО!L8:L6958,МОЛОКО!F8:F6958,"2417",МОЛОКО!L8:L6958,"&gt;0")</f>
        <v>6</v>
      </c>
      <c r="H693" s="797" t="s">
        <v>603</v>
      </c>
      <c r="I693" s="798">
        <v>41969</v>
      </c>
      <c r="J693" s="799">
        <f t="shared" ca="1" si="534"/>
        <v>3.1917808219178081</v>
      </c>
      <c r="K693" s="799">
        <f t="shared" ca="1" si="535"/>
        <v>38.833333333333336</v>
      </c>
      <c r="L693" s="800">
        <f t="shared" ca="1" si="536"/>
        <v>1165</v>
      </c>
      <c r="M693" s="801">
        <v>42631</v>
      </c>
      <c r="N693" s="802">
        <v>42631</v>
      </c>
      <c r="O693" s="803">
        <f t="shared" ca="1" si="537"/>
        <v>503</v>
      </c>
      <c r="P693" s="804">
        <v>1</v>
      </c>
      <c r="Q693" s="805" t="s">
        <v>2366</v>
      </c>
      <c r="R693" s="806" t="s">
        <v>1875</v>
      </c>
      <c r="S693" s="807">
        <v>42696</v>
      </c>
      <c r="T693" s="798">
        <v>42858</v>
      </c>
      <c r="U693" s="798" t="str">
        <f t="shared" si="538"/>
        <v>-</v>
      </c>
      <c r="V693" s="804" t="str">
        <f t="shared" ca="1" si="539"/>
        <v>-</v>
      </c>
      <c r="W693" s="808">
        <v>5</v>
      </c>
      <c r="X693" s="794">
        <f t="shared" si="532"/>
        <v>227</v>
      </c>
      <c r="Y693" s="794">
        <v>1</v>
      </c>
      <c r="Z693" s="809" t="str">
        <f t="shared" ca="1" si="540"/>
        <v>-----</v>
      </c>
      <c r="AA693" s="810" t="str">
        <f t="shared" ca="1" si="541"/>
        <v>-----</v>
      </c>
      <c r="AB693" s="804">
        <v>1</v>
      </c>
      <c r="AC693" s="811" t="str">
        <f t="shared" ca="1" si="542"/>
        <v>-----</v>
      </c>
      <c r="AD693" s="798">
        <v>42932</v>
      </c>
      <c r="AE693" s="794" t="str">
        <f t="shared" ca="1" si="543"/>
        <v>-</v>
      </c>
      <c r="AF693" s="798" t="str">
        <f t="shared" si="544"/>
        <v>-</v>
      </c>
      <c r="AG693" s="812" t="str">
        <f t="shared" si="545"/>
        <v>---------</v>
      </c>
      <c r="AH693" s="807">
        <v>42892</v>
      </c>
      <c r="AI693" s="807">
        <f t="shared" si="546"/>
        <v>43048</v>
      </c>
      <c r="AJ693" s="807">
        <f t="shared" si="547"/>
        <v>43078</v>
      </c>
      <c r="AK693" s="813">
        <v>43045</v>
      </c>
      <c r="AL693" s="807">
        <f t="shared" si="548"/>
        <v>43117</v>
      </c>
      <c r="AM693" s="807">
        <f t="shared" si="549"/>
        <v>43138</v>
      </c>
      <c r="AN693" s="814">
        <f t="shared" ca="1" si="550"/>
        <v>-4</v>
      </c>
      <c r="AO693" s="815">
        <v>1</v>
      </c>
      <c r="AP693" s="816" t="str">
        <f t="shared" ca="1" si="551"/>
        <v>-</v>
      </c>
      <c r="AQ693" s="817"/>
      <c r="AR693" s="794" t="str">
        <f t="shared" si="552"/>
        <v>-</v>
      </c>
      <c r="AS693" s="818"/>
      <c r="AT693" s="794" t="str">
        <f t="shared" si="553"/>
        <v>DRY COW</v>
      </c>
      <c r="AU693" s="819">
        <v>1</v>
      </c>
      <c r="AV693" s="820"/>
      <c r="AW693" s="821"/>
      <c r="AX693" s="821"/>
      <c r="AY693" s="969" t="str">
        <f t="shared" si="554"/>
        <v>-</v>
      </c>
      <c r="AZ693" s="966" t="str">
        <f t="shared" si="555"/>
        <v>-</v>
      </c>
      <c r="BA693" s="971" t="str">
        <f t="shared" si="556"/>
        <v>-</v>
      </c>
      <c r="BB693" s="975"/>
      <c r="BC693" s="821"/>
      <c r="BD693" s="821"/>
      <c r="BE693" s="963" t="str">
        <f t="shared" si="557"/>
        <v>-</v>
      </c>
      <c r="BF693" s="984"/>
      <c r="BG693" s="988"/>
      <c r="BH693" s="982"/>
      <c r="BI693" s="991"/>
      <c r="BJ693" s="991"/>
      <c r="BK693" s="993" t="str">
        <f t="shared" si="558"/>
        <v>-</v>
      </c>
      <c r="BL693" s="820">
        <v>42981</v>
      </c>
      <c r="BM693" s="821">
        <v>5</v>
      </c>
      <c r="BN693" s="822">
        <f t="shared" ca="1" si="559"/>
        <v>153</v>
      </c>
      <c r="BO693" s="823">
        <f t="shared" si="560"/>
        <v>33.733333333333334</v>
      </c>
      <c r="BP693" s="824">
        <v>43001</v>
      </c>
      <c r="BQ693" s="821">
        <v>2</v>
      </c>
      <c r="BR693" s="822">
        <f t="shared" ca="1" si="561"/>
        <v>133</v>
      </c>
      <c r="BS693" s="823">
        <f t="shared" si="562"/>
        <v>12.333333333333334</v>
      </c>
      <c r="BT693" s="825" t="str">
        <f t="shared" ca="1" si="563"/>
        <v>-</v>
      </c>
      <c r="BU693" s="826"/>
      <c r="BV693" s="827"/>
      <c r="BW693" s="828" t="str">
        <f t="shared" si="564"/>
        <v>Ж-Е НЕ ВАКЦ.</v>
      </c>
      <c r="BX693" s="829" t="str">
        <f t="shared" si="565"/>
        <v>-</v>
      </c>
      <c r="BY693" s="830" t="str">
        <f t="shared" ca="1" si="566"/>
        <v>-</v>
      </c>
      <c r="BZ693" s="831">
        <v>42887</v>
      </c>
      <c r="CA693" s="832">
        <v>5</v>
      </c>
      <c r="CB693" s="833">
        <f t="shared" ca="1" si="567"/>
        <v>247</v>
      </c>
      <c r="CC693" s="834" t="str">
        <f t="shared" ca="1" si="568"/>
        <v>-</v>
      </c>
      <c r="CD693" s="835">
        <f t="shared" si="569"/>
        <v>42908</v>
      </c>
      <c r="CE693" s="831">
        <v>42908</v>
      </c>
      <c r="CF693" s="832">
        <v>5</v>
      </c>
      <c r="CG693" s="833">
        <f t="shared" ca="1" si="570"/>
        <v>226</v>
      </c>
      <c r="CH693" s="836">
        <f t="shared" si="571"/>
        <v>0</v>
      </c>
      <c r="CI693" s="837" t="str">
        <f t="shared" si="572"/>
        <v>УСПЕШНО</v>
      </c>
      <c r="CJ693" s="838" t="str">
        <f t="shared" ca="1" si="573"/>
        <v>-</v>
      </c>
      <c r="CK693" s="831"/>
      <c r="CL693" s="832"/>
      <c r="CM693" s="833" t="str">
        <f t="shared" si="574"/>
        <v>-</v>
      </c>
      <c r="CN693" s="834" t="str">
        <f t="shared" si="575"/>
        <v>-</v>
      </c>
      <c r="CO693" s="830" t="str">
        <f t="shared" ca="1" si="576"/>
        <v>ТРЕБУЕТСЯ ВАКЦИНАЦИЯ</v>
      </c>
      <c r="CP693" s="839"/>
      <c r="CQ693" s="832"/>
      <c r="CR693" s="833" t="str">
        <f t="shared" si="577"/>
        <v>-</v>
      </c>
      <c r="CS693" s="833" t="str">
        <f t="shared" si="578"/>
        <v>-</v>
      </c>
      <c r="CT693" s="834" t="str">
        <f t="shared" si="579"/>
        <v>-</v>
      </c>
      <c r="CU693" s="835" t="str">
        <f t="shared" si="580"/>
        <v>-</v>
      </c>
      <c r="CV693" s="839"/>
      <c r="CW693" s="832"/>
      <c r="CX693" s="833" t="str">
        <f t="shared" si="581"/>
        <v>-</v>
      </c>
      <c r="CY693" s="840" t="str">
        <f t="shared" si="582"/>
        <v>-</v>
      </c>
      <c r="CZ693" s="833" t="str">
        <f t="shared" si="583"/>
        <v>-</v>
      </c>
      <c r="DA693" s="838" t="str">
        <f t="shared" ca="1" si="584"/>
        <v>-</v>
      </c>
      <c r="DB693" s="841"/>
      <c r="DC693" s="832"/>
    </row>
    <row r="694" spans="1:107" s="842" customFormat="1" ht="15.95" customHeight="1" x14ac:dyDescent="0.25">
      <c r="A694" s="790">
        <v>696</v>
      </c>
      <c r="B694" s="791">
        <f t="shared" ca="1" si="533"/>
        <v>43134</v>
      </c>
      <c r="C694" s="29" t="s">
        <v>2556</v>
      </c>
      <c r="D694" s="59" t="s">
        <v>2586</v>
      </c>
      <c r="E694" s="794" t="s">
        <v>1093</v>
      </c>
      <c r="F694" s="795" t="s">
        <v>1005</v>
      </c>
      <c r="G694" s="796">
        <f>SUMIFS(МОЛОКО!L8:L6958,МОЛОКО!F8:F6958,"2418",МОЛОКО!L8:L6958,"&gt;0")</f>
        <v>8.4</v>
      </c>
      <c r="H694" s="797" t="s">
        <v>603</v>
      </c>
      <c r="I694" s="798">
        <v>41969</v>
      </c>
      <c r="J694" s="799">
        <f t="shared" ca="1" si="534"/>
        <v>3.1917808219178081</v>
      </c>
      <c r="K694" s="799">
        <f t="shared" ca="1" si="535"/>
        <v>38.833333333333336</v>
      </c>
      <c r="L694" s="800">
        <f t="shared" ca="1" si="536"/>
        <v>1165</v>
      </c>
      <c r="M694" s="801">
        <v>42763</v>
      </c>
      <c r="N694" s="802">
        <v>42763</v>
      </c>
      <c r="O694" s="803">
        <f t="shared" ca="1" si="537"/>
        <v>371</v>
      </c>
      <c r="P694" s="804">
        <v>1</v>
      </c>
      <c r="Q694" s="805" t="s">
        <v>1451</v>
      </c>
      <c r="R694" s="806" t="s">
        <v>1815</v>
      </c>
      <c r="S694" s="807">
        <v>42824</v>
      </c>
      <c r="T694" s="798">
        <v>42824</v>
      </c>
      <c r="U694" s="798" t="str">
        <f t="shared" si="538"/>
        <v>-</v>
      </c>
      <c r="V694" s="804" t="str">
        <f t="shared" ca="1" si="539"/>
        <v>-</v>
      </c>
      <c r="W694" s="808">
        <v>1</v>
      </c>
      <c r="X694" s="794">
        <f t="shared" ref="X694:X757" si="585">IF(AND(N694&gt;0,T694&gt;0),T694-N694,"-")</f>
        <v>61</v>
      </c>
      <c r="Y694" s="794">
        <v>1</v>
      </c>
      <c r="Z694" s="809" t="str">
        <f t="shared" ca="1" si="540"/>
        <v>-----</v>
      </c>
      <c r="AA694" s="810" t="str">
        <f t="shared" ca="1" si="541"/>
        <v>-----</v>
      </c>
      <c r="AB694" s="804">
        <v>1</v>
      </c>
      <c r="AC694" s="811" t="str">
        <f t="shared" ca="1" si="542"/>
        <v>-----</v>
      </c>
      <c r="AD694" s="798">
        <v>42912</v>
      </c>
      <c r="AE694" s="794" t="str">
        <f t="shared" ca="1" si="543"/>
        <v>-</v>
      </c>
      <c r="AF694" s="798" t="str">
        <f t="shared" si="544"/>
        <v>-</v>
      </c>
      <c r="AG694" s="812" t="str">
        <f t="shared" si="545"/>
        <v>---------</v>
      </c>
      <c r="AH694" s="807">
        <v>42858</v>
      </c>
      <c r="AI694" s="807">
        <f t="shared" si="546"/>
        <v>43014</v>
      </c>
      <c r="AJ694" s="807">
        <f t="shared" si="547"/>
        <v>43044</v>
      </c>
      <c r="AK694" s="813">
        <v>43038</v>
      </c>
      <c r="AL694" s="807">
        <f t="shared" si="548"/>
        <v>43083</v>
      </c>
      <c r="AM694" s="807">
        <f t="shared" si="549"/>
        <v>43104</v>
      </c>
      <c r="AN694" s="814">
        <f t="shared" ca="1" si="550"/>
        <v>30</v>
      </c>
      <c r="AO694" s="815">
        <v>1</v>
      </c>
      <c r="AP694" s="816" t="str">
        <f t="shared" ca="1" si="551"/>
        <v>-</v>
      </c>
      <c r="AQ694" s="817"/>
      <c r="AR694" s="794" t="str">
        <f t="shared" si="552"/>
        <v>-</v>
      </c>
      <c r="AS694" s="818"/>
      <c r="AT694" s="794" t="str">
        <f t="shared" si="553"/>
        <v>DRY COW</v>
      </c>
      <c r="AU694" s="819"/>
      <c r="AV694" s="820"/>
      <c r="AW694" s="821"/>
      <c r="AX694" s="821"/>
      <c r="AY694" s="969" t="str">
        <f t="shared" si="554"/>
        <v>-</v>
      </c>
      <c r="AZ694" s="966" t="str">
        <f t="shared" si="555"/>
        <v>-</v>
      </c>
      <c r="BA694" s="971" t="str">
        <f t="shared" si="556"/>
        <v>-</v>
      </c>
      <c r="BB694" s="975"/>
      <c r="BC694" s="821"/>
      <c r="BD694" s="821"/>
      <c r="BE694" s="963" t="str">
        <f t="shared" si="557"/>
        <v>-</v>
      </c>
      <c r="BF694" s="984"/>
      <c r="BG694" s="988"/>
      <c r="BH694" s="982"/>
      <c r="BI694" s="991"/>
      <c r="BJ694" s="991"/>
      <c r="BK694" s="993" t="str">
        <f t="shared" si="558"/>
        <v>-</v>
      </c>
      <c r="BL694" s="820">
        <v>42981</v>
      </c>
      <c r="BM694" s="821">
        <v>5</v>
      </c>
      <c r="BN694" s="822">
        <f t="shared" ca="1" si="559"/>
        <v>153</v>
      </c>
      <c r="BO694" s="823">
        <f t="shared" si="560"/>
        <v>33.733333333333334</v>
      </c>
      <c r="BP694" s="824">
        <v>43001</v>
      </c>
      <c r="BQ694" s="821">
        <v>2</v>
      </c>
      <c r="BR694" s="822">
        <f t="shared" ca="1" si="561"/>
        <v>133</v>
      </c>
      <c r="BS694" s="823">
        <f t="shared" si="562"/>
        <v>7.9333333333333336</v>
      </c>
      <c r="BT694" s="825" t="str">
        <f t="shared" ca="1" si="563"/>
        <v>-</v>
      </c>
      <c r="BU694" s="826"/>
      <c r="BV694" s="827"/>
      <c r="BW694" s="828" t="str">
        <f t="shared" si="564"/>
        <v>Ж-Е НЕ ВАКЦ.</v>
      </c>
      <c r="BX694" s="829" t="str">
        <f t="shared" si="565"/>
        <v>-</v>
      </c>
      <c r="BY694" s="830" t="str">
        <f t="shared" ca="1" si="566"/>
        <v>-</v>
      </c>
      <c r="BZ694" s="831">
        <v>42887</v>
      </c>
      <c r="CA694" s="832">
        <v>5</v>
      </c>
      <c r="CB694" s="833">
        <f t="shared" ca="1" si="567"/>
        <v>247</v>
      </c>
      <c r="CC694" s="834" t="str">
        <f t="shared" ca="1" si="568"/>
        <v>-</v>
      </c>
      <c r="CD694" s="835">
        <f t="shared" si="569"/>
        <v>42908</v>
      </c>
      <c r="CE694" s="831">
        <v>42908</v>
      </c>
      <c r="CF694" s="832">
        <v>5</v>
      </c>
      <c r="CG694" s="833">
        <f t="shared" ca="1" si="570"/>
        <v>226</v>
      </c>
      <c r="CH694" s="836">
        <f t="shared" si="571"/>
        <v>0</v>
      </c>
      <c r="CI694" s="837" t="str">
        <f t="shared" si="572"/>
        <v>УСПЕШНО</v>
      </c>
      <c r="CJ694" s="838" t="str">
        <f t="shared" ca="1" si="573"/>
        <v>-</v>
      </c>
      <c r="CK694" s="831"/>
      <c r="CL694" s="832"/>
      <c r="CM694" s="833" t="str">
        <f t="shared" si="574"/>
        <v>-</v>
      </c>
      <c r="CN694" s="834" t="str">
        <f t="shared" si="575"/>
        <v>-</v>
      </c>
      <c r="CO694" s="830" t="str">
        <f t="shared" ca="1" si="576"/>
        <v>-</v>
      </c>
      <c r="CP694" s="831">
        <v>43052</v>
      </c>
      <c r="CQ694" s="832">
        <v>2</v>
      </c>
      <c r="CR694" s="833">
        <f t="shared" si="577"/>
        <v>228</v>
      </c>
      <c r="CS694" s="833">
        <f t="shared" ca="1" si="578"/>
        <v>82</v>
      </c>
      <c r="CT694" s="834" t="str">
        <f t="shared" ca="1" si="579"/>
        <v>ТРЕБУЕТСЯ БУСТЕРНАЯ ДОЗА</v>
      </c>
      <c r="CU694" s="835">
        <f t="shared" si="580"/>
        <v>43073</v>
      </c>
      <c r="CV694" s="839"/>
      <c r="CW694" s="832"/>
      <c r="CX694" s="833" t="str">
        <f t="shared" si="581"/>
        <v>-</v>
      </c>
      <c r="CY694" s="840" t="str">
        <f t="shared" si="582"/>
        <v>-</v>
      </c>
      <c r="CZ694" s="833" t="str">
        <f t="shared" si="583"/>
        <v>-</v>
      </c>
      <c r="DA694" s="838" t="str">
        <f t="shared" ca="1" si="584"/>
        <v>-</v>
      </c>
      <c r="DB694" s="841"/>
      <c r="DC694" s="832"/>
    </row>
    <row r="695" spans="1:107" s="842" customFormat="1" ht="15.95" customHeight="1" x14ac:dyDescent="0.25">
      <c r="A695" s="790">
        <v>697</v>
      </c>
      <c r="B695" s="791">
        <f t="shared" ca="1" si="533"/>
        <v>43134</v>
      </c>
      <c r="C695" s="792" t="s">
        <v>2556</v>
      </c>
      <c r="D695" s="793" t="s">
        <v>2586</v>
      </c>
      <c r="E695" s="794" t="s">
        <v>331</v>
      </c>
      <c r="F695" s="854" t="s">
        <v>999</v>
      </c>
      <c r="G695" s="796">
        <f>SUMIFS(МОЛОКО!L8:L6958,МОЛОКО!F8:F6958,"2419",МОЛОКО!L8:L6958,"&gt;0")</f>
        <v>0</v>
      </c>
      <c r="H695" s="797" t="s">
        <v>603</v>
      </c>
      <c r="I695" s="798">
        <v>41969</v>
      </c>
      <c r="J695" s="799">
        <f t="shared" ca="1" si="534"/>
        <v>3.1917808219178081</v>
      </c>
      <c r="K695" s="799">
        <f t="shared" ca="1" si="535"/>
        <v>38.833333333333336</v>
      </c>
      <c r="L695" s="800">
        <f t="shared" ca="1" si="536"/>
        <v>1165</v>
      </c>
      <c r="M695" s="801">
        <v>42747</v>
      </c>
      <c r="N695" s="802">
        <v>42747</v>
      </c>
      <c r="O695" s="803">
        <f t="shared" ca="1" si="537"/>
        <v>387</v>
      </c>
      <c r="P695" s="804">
        <v>1</v>
      </c>
      <c r="Q695" s="805" t="s">
        <v>1451</v>
      </c>
      <c r="R695" s="806" t="s">
        <v>2269</v>
      </c>
      <c r="S695" s="807">
        <v>42803</v>
      </c>
      <c r="T695" s="798">
        <v>42803</v>
      </c>
      <c r="U695" s="798" t="str">
        <f t="shared" si="538"/>
        <v>-</v>
      </c>
      <c r="V695" s="804" t="str">
        <f t="shared" ca="1" si="539"/>
        <v>-</v>
      </c>
      <c r="W695" s="808">
        <v>1</v>
      </c>
      <c r="X695" s="794">
        <f t="shared" si="585"/>
        <v>56</v>
      </c>
      <c r="Y695" s="794">
        <v>1</v>
      </c>
      <c r="Z695" s="809" t="str">
        <f t="shared" ca="1" si="540"/>
        <v>ПОДЛЕЖИТ ПЕРЕПРОВЕРКЕ</v>
      </c>
      <c r="AA695" s="810">
        <f t="shared" ca="1" si="541"/>
        <v>331</v>
      </c>
      <c r="AB695" s="804"/>
      <c r="AC695" s="811">
        <f t="shared" ca="1" si="542"/>
        <v>42875</v>
      </c>
      <c r="AD695" s="798"/>
      <c r="AE695" s="794" t="str">
        <f t="shared" ca="1" si="543"/>
        <v>-</v>
      </c>
      <c r="AF695" s="798" t="str">
        <f t="shared" si="544"/>
        <v>-</v>
      </c>
      <c r="AG695" s="812" t="str">
        <f t="shared" si="545"/>
        <v>---------</v>
      </c>
      <c r="AH695" s="807">
        <v>42838</v>
      </c>
      <c r="AI695" s="807">
        <f t="shared" si="546"/>
        <v>42993</v>
      </c>
      <c r="AJ695" s="807">
        <f t="shared" si="547"/>
        <v>43023</v>
      </c>
      <c r="AK695" s="813">
        <v>43016</v>
      </c>
      <c r="AL695" s="807">
        <f t="shared" si="548"/>
        <v>43062</v>
      </c>
      <c r="AM695" s="807">
        <f t="shared" si="549"/>
        <v>43083</v>
      </c>
      <c r="AN695" s="814">
        <f t="shared" ca="1" si="550"/>
        <v>51</v>
      </c>
      <c r="AO695" s="815">
        <v>1</v>
      </c>
      <c r="AP695" s="816" t="str">
        <f t="shared" ca="1" si="551"/>
        <v>-</v>
      </c>
      <c r="AQ695" s="817"/>
      <c r="AR695" s="794" t="str">
        <f t="shared" si="552"/>
        <v>-</v>
      </c>
      <c r="AS695" s="818"/>
      <c r="AT695" s="794" t="str">
        <f t="shared" si="553"/>
        <v>DRY COW</v>
      </c>
      <c r="AU695" s="819">
        <v>1</v>
      </c>
      <c r="AV695" s="820"/>
      <c r="AW695" s="821"/>
      <c r="AX695" s="821"/>
      <c r="AY695" s="969" t="str">
        <f t="shared" si="554"/>
        <v>-</v>
      </c>
      <c r="AZ695" s="966" t="str">
        <f t="shared" si="555"/>
        <v>-</v>
      </c>
      <c r="BA695" s="971" t="str">
        <f t="shared" si="556"/>
        <v>-</v>
      </c>
      <c r="BB695" s="975"/>
      <c r="BC695" s="821"/>
      <c r="BD695" s="821"/>
      <c r="BE695" s="963" t="str">
        <f t="shared" si="557"/>
        <v>-</v>
      </c>
      <c r="BF695" s="984"/>
      <c r="BG695" s="988"/>
      <c r="BH695" s="982"/>
      <c r="BI695" s="991"/>
      <c r="BJ695" s="991"/>
      <c r="BK695" s="993" t="str">
        <f t="shared" si="558"/>
        <v>-</v>
      </c>
      <c r="BL695" s="820">
        <v>42981</v>
      </c>
      <c r="BM695" s="821">
        <v>5</v>
      </c>
      <c r="BN695" s="822">
        <f t="shared" ca="1" si="559"/>
        <v>153</v>
      </c>
      <c r="BO695" s="823">
        <f t="shared" si="560"/>
        <v>33.733333333333334</v>
      </c>
      <c r="BP695" s="824">
        <v>43001</v>
      </c>
      <c r="BQ695" s="821">
        <v>2</v>
      </c>
      <c r="BR695" s="822">
        <f t="shared" ca="1" si="561"/>
        <v>133</v>
      </c>
      <c r="BS695" s="823">
        <f t="shared" si="562"/>
        <v>8.4666666666666668</v>
      </c>
      <c r="BT695" s="825" t="str">
        <f t="shared" ca="1" si="563"/>
        <v>-</v>
      </c>
      <c r="BU695" s="826"/>
      <c r="BV695" s="827"/>
      <c r="BW695" s="828" t="str">
        <f t="shared" si="564"/>
        <v>Ж-Е НЕ ВАКЦ.</v>
      </c>
      <c r="BX695" s="829" t="str">
        <f t="shared" si="565"/>
        <v>-</v>
      </c>
      <c r="BY695" s="830" t="str">
        <f t="shared" ca="1" si="566"/>
        <v>-</v>
      </c>
      <c r="BZ695" s="831">
        <v>42887</v>
      </c>
      <c r="CA695" s="832">
        <v>5</v>
      </c>
      <c r="CB695" s="833">
        <f t="shared" ca="1" si="567"/>
        <v>247</v>
      </c>
      <c r="CC695" s="834" t="str">
        <f t="shared" ca="1" si="568"/>
        <v>-</v>
      </c>
      <c r="CD695" s="835">
        <f t="shared" si="569"/>
        <v>42908</v>
      </c>
      <c r="CE695" s="831">
        <v>42908</v>
      </c>
      <c r="CF695" s="832">
        <v>5</v>
      </c>
      <c r="CG695" s="833">
        <f t="shared" ca="1" si="570"/>
        <v>226</v>
      </c>
      <c r="CH695" s="836">
        <f t="shared" si="571"/>
        <v>0</v>
      </c>
      <c r="CI695" s="837" t="str">
        <f t="shared" si="572"/>
        <v>УСПЕШНО</v>
      </c>
      <c r="CJ695" s="838" t="str">
        <f t="shared" ca="1" si="573"/>
        <v>-</v>
      </c>
      <c r="CK695" s="831"/>
      <c r="CL695" s="832"/>
      <c r="CM695" s="833" t="str">
        <f t="shared" si="574"/>
        <v>-</v>
      </c>
      <c r="CN695" s="834" t="str">
        <f t="shared" si="575"/>
        <v>-</v>
      </c>
      <c r="CO695" s="830" t="str">
        <f t="shared" ca="1" si="576"/>
        <v>-</v>
      </c>
      <c r="CP695" s="831">
        <v>43017</v>
      </c>
      <c r="CQ695" s="832">
        <v>2</v>
      </c>
      <c r="CR695" s="833">
        <f t="shared" si="577"/>
        <v>214</v>
      </c>
      <c r="CS695" s="833">
        <f t="shared" ca="1" si="578"/>
        <v>117</v>
      </c>
      <c r="CT695" s="834" t="str">
        <f t="shared" ca="1" si="579"/>
        <v>-</v>
      </c>
      <c r="CU695" s="835">
        <f t="shared" si="580"/>
        <v>43038</v>
      </c>
      <c r="CV695" s="831">
        <v>43038</v>
      </c>
      <c r="CW695" s="832">
        <v>2</v>
      </c>
      <c r="CX695" s="833">
        <f t="shared" si="581"/>
        <v>0</v>
      </c>
      <c r="CY695" s="840" t="str">
        <f t="shared" si="582"/>
        <v>УСПЕШНО</v>
      </c>
      <c r="CZ695" s="833">
        <f t="shared" si="583"/>
        <v>235</v>
      </c>
      <c r="DA695" s="838" t="str">
        <f t="shared" ca="1" si="584"/>
        <v>ТРЕБУЕТСЯ РЕВАКЦИНАЦИЯ</v>
      </c>
      <c r="DB695" s="841"/>
      <c r="DC695" s="832"/>
    </row>
    <row r="696" spans="1:107" s="842" customFormat="1" ht="15.95" customHeight="1" x14ac:dyDescent="0.25">
      <c r="A696" s="790">
        <v>698</v>
      </c>
      <c r="B696" s="791">
        <f t="shared" ca="1" si="533"/>
        <v>43134</v>
      </c>
      <c r="C696" s="29" t="s">
        <v>2556</v>
      </c>
      <c r="D696" s="59" t="s">
        <v>2586</v>
      </c>
      <c r="E696" s="794" t="s">
        <v>1076</v>
      </c>
      <c r="F696" s="795" t="s">
        <v>982</v>
      </c>
      <c r="G696" s="796">
        <f>SUMIFS(МОЛОКО!L8:L6958,МОЛОКО!F8:F6958,"2422",МОЛОКО!L8:L6958,"&gt;0")</f>
        <v>6</v>
      </c>
      <c r="H696" s="797" t="s">
        <v>603</v>
      </c>
      <c r="I696" s="798">
        <v>41972</v>
      </c>
      <c r="J696" s="799">
        <f t="shared" ca="1" si="534"/>
        <v>3.1835616438356165</v>
      </c>
      <c r="K696" s="799">
        <f t="shared" ca="1" si="535"/>
        <v>38.733333333333334</v>
      </c>
      <c r="L696" s="800">
        <f t="shared" ca="1" si="536"/>
        <v>1162</v>
      </c>
      <c r="M696" s="801">
        <v>42699</v>
      </c>
      <c r="N696" s="802">
        <v>42699</v>
      </c>
      <c r="O696" s="803">
        <f t="shared" ca="1" si="537"/>
        <v>435</v>
      </c>
      <c r="P696" s="804">
        <v>1</v>
      </c>
      <c r="Q696" s="805" t="s">
        <v>2309</v>
      </c>
      <c r="R696" s="806" t="s">
        <v>2588</v>
      </c>
      <c r="S696" s="807">
        <v>42776</v>
      </c>
      <c r="T696" s="798">
        <v>42823</v>
      </c>
      <c r="U696" s="798" t="str">
        <f t="shared" si="538"/>
        <v>-</v>
      </c>
      <c r="V696" s="804" t="str">
        <f t="shared" ca="1" si="539"/>
        <v>-</v>
      </c>
      <c r="W696" s="808">
        <v>2</v>
      </c>
      <c r="X696" s="794">
        <f t="shared" si="585"/>
        <v>124</v>
      </c>
      <c r="Y696" s="794">
        <v>1</v>
      </c>
      <c r="Z696" s="809" t="str">
        <f t="shared" ca="1" si="540"/>
        <v>-----</v>
      </c>
      <c r="AA696" s="810" t="str">
        <f t="shared" ca="1" si="541"/>
        <v>-----</v>
      </c>
      <c r="AB696" s="804">
        <v>1</v>
      </c>
      <c r="AC696" s="811" t="str">
        <f t="shared" ca="1" si="542"/>
        <v>-----</v>
      </c>
      <c r="AD696" s="798">
        <v>42930</v>
      </c>
      <c r="AE696" s="794" t="str">
        <f t="shared" ca="1" si="543"/>
        <v>-</v>
      </c>
      <c r="AF696" s="798" t="str">
        <f t="shared" si="544"/>
        <v>-</v>
      </c>
      <c r="AG696" s="812" t="str">
        <f t="shared" si="545"/>
        <v>---------</v>
      </c>
      <c r="AH696" s="807">
        <v>42858</v>
      </c>
      <c r="AI696" s="807">
        <f t="shared" si="546"/>
        <v>43013</v>
      </c>
      <c r="AJ696" s="807">
        <f t="shared" si="547"/>
        <v>43043</v>
      </c>
      <c r="AK696" s="813">
        <v>43038</v>
      </c>
      <c r="AL696" s="807">
        <f t="shared" si="548"/>
        <v>43082</v>
      </c>
      <c r="AM696" s="807">
        <f t="shared" si="549"/>
        <v>43103</v>
      </c>
      <c r="AN696" s="814">
        <f t="shared" ca="1" si="550"/>
        <v>31</v>
      </c>
      <c r="AO696" s="815">
        <v>1</v>
      </c>
      <c r="AP696" s="816" t="str">
        <f t="shared" ca="1" si="551"/>
        <v>-</v>
      </c>
      <c r="AQ696" s="817"/>
      <c r="AR696" s="794" t="str">
        <f t="shared" si="552"/>
        <v>-</v>
      </c>
      <c r="AS696" s="818"/>
      <c r="AT696" s="794" t="str">
        <f t="shared" si="553"/>
        <v>DRY COW</v>
      </c>
      <c r="AU696" s="819"/>
      <c r="AV696" s="820"/>
      <c r="AW696" s="821"/>
      <c r="AX696" s="821"/>
      <c r="AY696" s="969" t="str">
        <f t="shared" si="554"/>
        <v>-</v>
      </c>
      <c r="AZ696" s="966" t="str">
        <f t="shared" si="555"/>
        <v>-</v>
      </c>
      <c r="BA696" s="971" t="str">
        <f t="shared" si="556"/>
        <v>-</v>
      </c>
      <c r="BB696" s="975"/>
      <c r="BC696" s="821"/>
      <c r="BD696" s="821"/>
      <c r="BE696" s="963" t="str">
        <f t="shared" si="557"/>
        <v>-</v>
      </c>
      <c r="BF696" s="984"/>
      <c r="BG696" s="988"/>
      <c r="BH696" s="982"/>
      <c r="BI696" s="991"/>
      <c r="BJ696" s="991"/>
      <c r="BK696" s="993" t="str">
        <f t="shared" si="558"/>
        <v>-</v>
      </c>
      <c r="BL696" s="820">
        <v>42981</v>
      </c>
      <c r="BM696" s="821">
        <v>5</v>
      </c>
      <c r="BN696" s="822">
        <f t="shared" ca="1" si="559"/>
        <v>153</v>
      </c>
      <c r="BO696" s="823">
        <f t="shared" si="560"/>
        <v>33.633333333333333</v>
      </c>
      <c r="BP696" s="824">
        <v>43001</v>
      </c>
      <c r="BQ696" s="821">
        <v>2</v>
      </c>
      <c r="BR696" s="822">
        <f t="shared" ca="1" si="561"/>
        <v>133</v>
      </c>
      <c r="BS696" s="823">
        <f t="shared" si="562"/>
        <v>10.066666666666666</v>
      </c>
      <c r="BT696" s="825" t="str">
        <f t="shared" ca="1" si="563"/>
        <v>-</v>
      </c>
      <c r="BU696" s="826"/>
      <c r="BV696" s="827"/>
      <c r="BW696" s="828" t="str">
        <f t="shared" si="564"/>
        <v>Ж-Е НЕ ВАКЦ.</v>
      </c>
      <c r="BX696" s="829" t="str">
        <f t="shared" si="565"/>
        <v>-</v>
      </c>
      <c r="BY696" s="830" t="str">
        <f t="shared" ca="1" si="566"/>
        <v>-</v>
      </c>
      <c r="BZ696" s="831">
        <v>42887</v>
      </c>
      <c r="CA696" s="832">
        <v>5</v>
      </c>
      <c r="CB696" s="833">
        <f t="shared" ca="1" si="567"/>
        <v>247</v>
      </c>
      <c r="CC696" s="834" t="str">
        <f t="shared" ca="1" si="568"/>
        <v>-</v>
      </c>
      <c r="CD696" s="835">
        <f t="shared" si="569"/>
        <v>42908</v>
      </c>
      <c r="CE696" s="831">
        <v>42908</v>
      </c>
      <c r="CF696" s="832">
        <v>5</v>
      </c>
      <c r="CG696" s="833">
        <f t="shared" ca="1" si="570"/>
        <v>226</v>
      </c>
      <c r="CH696" s="836">
        <f t="shared" si="571"/>
        <v>0</v>
      </c>
      <c r="CI696" s="837" t="str">
        <f t="shared" si="572"/>
        <v>УСПЕШНО</v>
      </c>
      <c r="CJ696" s="838" t="str">
        <f t="shared" ca="1" si="573"/>
        <v>-</v>
      </c>
      <c r="CK696" s="831"/>
      <c r="CL696" s="832"/>
      <c r="CM696" s="833" t="str">
        <f t="shared" si="574"/>
        <v>-</v>
      </c>
      <c r="CN696" s="834" t="str">
        <f t="shared" si="575"/>
        <v>-</v>
      </c>
      <c r="CO696" s="830" t="str">
        <f t="shared" ca="1" si="576"/>
        <v>-</v>
      </c>
      <c r="CP696" s="831">
        <v>43052</v>
      </c>
      <c r="CQ696" s="832">
        <v>2</v>
      </c>
      <c r="CR696" s="833">
        <f t="shared" si="577"/>
        <v>229</v>
      </c>
      <c r="CS696" s="833">
        <f t="shared" ca="1" si="578"/>
        <v>82</v>
      </c>
      <c r="CT696" s="834" t="str">
        <f t="shared" ca="1" si="579"/>
        <v>ТРЕБУЕТСЯ БУСТЕРНАЯ ДОЗА</v>
      </c>
      <c r="CU696" s="835">
        <f t="shared" si="580"/>
        <v>43073</v>
      </c>
      <c r="CV696" s="839"/>
      <c r="CW696" s="832"/>
      <c r="CX696" s="833" t="str">
        <f t="shared" si="581"/>
        <v>-</v>
      </c>
      <c r="CY696" s="840" t="str">
        <f t="shared" si="582"/>
        <v>-</v>
      </c>
      <c r="CZ696" s="833" t="str">
        <f t="shared" si="583"/>
        <v>-</v>
      </c>
      <c r="DA696" s="838" t="str">
        <f t="shared" ca="1" si="584"/>
        <v>-</v>
      </c>
      <c r="DB696" s="841"/>
      <c r="DC696" s="832"/>
    </row>
    <row r="697" spans="1:107" s="842" customFormat="1" ht="15.95" customHeight="1" x14ac:dyDescent="0.25">
      <c r="A697" s="790">
        <v>699</v>
      </c>
      <c r="B697" s="791">
        <f t="shared" ca="1" si="533"/>
        <v>43134</v>
      </c>
      <c r="C697" s="29" t="s">
        <v>2556</v>
      </c>
      <c r="D697" s="59" t="s">
        <v>2586</v>
      </c>
      <c r="E697" s="794" t="s">
        <v>1062</v>
      </c>
      <c r="F697" s="854" t="s">
        <v>981</v>
      </c>
      <c r="G697" s="796">
        <f>SUMIFS(МОЛОКО!L8:L6958,МОЛОКО!F8:F6958,"2458",МОЛОКО!L8:L6958,"&gt;0")</f>
        <v>7</v>
      </c>
      <c r="H697" s="797" t="s">
        <v>603</v>
      </c>
      <c r="I697" s="798">
        <v>41996</v>
      </c>
      <c r="J697" s="799">
        <f t="shared" ca="1" si="534"/>
        <v>3.117808219178082</v>
      </c>
      <c r="K697" s="799">
        <f t="shared" ca="1" si="535"/>
        <v>37.93333333333333</v>
      </c>
      <c r="L697" s="800">
        <f t="shared" ca="1" si="536"/>
        <v>1138</v>
      </c>
      <c r="M697" s="801">
        <v>42661</v>
      </c>
      <c r="N697" s="802">
        <v>42661</v>
      </c>
      <c r="O697" s="803">
        <f t="shared" ca="1" si="537"/>
        <v>473</v>
      </c>
      <c r="P697" s="804">
        <v>2</v>
      </c>
      <c r="Q697" s="805" t="s">
        <v>2309</v>
      </c>
      <c r="R697" s="806" t="s">
        <v>1809</v>
      </c>
      <c r="S697" s="807">
        <v>42729</v>
      </c>
      <c r="T697" s="798">
        <v>42821</v>
      </c>
      <c r="U697" s="798" t="str">
        <f t="shared" si="538"/>
        <v>-</v>
      </c>
      <c r="V697" s="804" t="str">
        <f t="shared" ca="1" si="539"/>
        <v>-</v>
      </c>
      <c r="W697" s="808">
        <v>3</v>
      </c>
      <c r="X697" s="794">
        <f t="shared" si="585"/>
        <v>160</v>
      </c>
      <c r="Y697" s="794">
        <v>1</v>
      </c>
      <c r="Z697" s="809" t="str">
        <f t="shared" ca="1" si="540"/>
        <v>-----</v>
      </c>
      <c r="AA697" s="810" t="str">
        <f t="shared" ca="1" si="541"/>
        <v>-----</v>
      </c>
      <c r="AB697" s="804">
        <v>1</v>
      </c>
      <c r="AC697" s="811" t="str">
        <f t="shared" ca="1" si="542"/>
        <v>-----</v>
      </c>
      <c r="AD697" s="798">
        <v>42932</v>
      </c>
      <c r="AE697" s="794" t="str">
        <f t="shared" ca="1" si="543"/>
        <v>-</v>
      </c>
      <c r="AF697" s="798" t="str">
        <f t="shared" si="544"/>
        <v>-</v>
      </c>
      <c r="AG697" s="812" t="str">
        <f t="shared" si="545"/>
        <v>---------</v>
      </c>
      <c r="AH697" s="807">
        <v>42856</v>
      </c>
      <c r="AI697" s="807">
        <f t="shared" si="546"/>
        <v>43011</v>
      </c>
      <c r="AJ697" s="807">
        <f t="shared" si="547"/>
        <v>43041</v>
      </c>
      <c r="AK697" s="813">
        <v>43038</v>
      </c>
      <c r="AL697" s="807">
        <f t="shared" si="548"/>
        <v>43080</v>
      </c>
      <c r="AM697" s="807">
        <f t="shared" si="549"/>
        <v>43101</v>
      </c>
      <c r="AN697" s="814">
        <f t="shared" ca="1" si="550"/>
        <v>33</v>
      </c>
      <c r="AO697" s="815">
        <v>1</v>
      </c>
      <c r="AP697" s="816" t="str">
        <f t="shared" ca="1" si="551"/>
        <v>-</v>
      </c>
      <c r="AQ697" s="817"/>
      <c r="AR697" s="794" t="str">
        <f t="shared" si="552"/>
        <v>-</v>
      </c>
      <c r="AS697" s="818"/>
      <c r="AT697" s="794" t="str">
        <f t="shared" si="553"/>
        <v>DRY COW</v>
      </c>
      <c r="AU697" s="819">
        <v>1</v>
      </c>
      <c r="AV697" s="820"/>
      <c r="AW697" s="821"/>
      <c r="AX697" s="821"/>
      <c r="AY697" s="969" t="str">
        <f t="shared" si="554"/>
        <v>-</v>
      </c>
      <c r="AZ697" s="966" t="str">
        <f t="shared" si="555"/>
        <v>-</v>
      </c>
      <c r="BA697" s="971" t="str">
        <f t="shared" si="556"/>
        <v>-</v>
      </c>
      <c r="BB697" s="975"/>
      <c r="BC697" s="821"/>
      <c r="BD697" s="821"/>
      <c r="BE697" s="963" t="str">
        <f t="shared" si="557"/>
        <v>-</v>
      </c>
      <c r="BF697" s="984"/>
      <c r="BG697" s="988"/>
      <c r="BH697" s="982"/>
      <c r="BI697" s="991"/>
      <c r="BJ697" s="991"/>
      <c r="BK697" s="993" t="str">
        <f t="shared" si="558"/>
        <v>-</v>
      </c>
      <c r="BL697" s="820">
        <v>42981</v>
      </c>
      <c r="BM697" s="821">
        <v>5</v>
      </c>
      <c r="BN697" s="822">
        <f t="shared" ca="1" si="559"/>
        <v>153</v>
      </c>
      <c r="BO697" s="823">
        <f t="shared" si="560"/>
        <v>32.833333333333336</v>
      </c>
      <c r="BP697" s="824">
        <v>43001</v>
      </c>
      <c r="BQ697" s="821">
        <v>2</v>
      </c>
      <c r="BR697" s="822">
        <f t="shared" ca="1" si="561"/>
        <v>133</v>
      </c>
      <c r="BS697" s="823">
        <f t="shared" si="562"/>
        <v>11.333333333333334</v>
      </c>
      <c r="BT697" s="825" t="str">
        <f t="shared" ca="1" si="563"/>
        <v>-</v>
      </c>
      <c r="BU697" s="826"/>
      <c r="BV697" s="827"/>
      <c r="BW697" s="828" t="str">
        <f t="shared" si="564"/>
        <v>Ж-Е НЕ ВАКЦ.</v>
      </c>
      <c r="BX697" s="829" t="str">
        <f t="shared" si="565"/>
        <v>-</v>
      </c>
      <c r="BY697" s="830" t="str">
        <f t="shared" ca="1" si="566"/>
        <v>-</v>
      </c>
      <c r="BZ697" s="831">
        <v>42887</v>
      </c>
      <c r="CA697" s="832">
        <v>5</v>
      </c>
      <c r="CB697" s="833">
        <f t="shared" ca="1" si="567"/>
        <v>247</v>
      </c>
      <c r="CC697" s="834" t="str">
        <f t="shared" ca="1" si="568"/>
        <v>-</v>
      </c>
      <c r="CD697" s="835">
        <f t="shared" si="569"/>
        <v>42908</v>
      </c>
      <c r="CE697" s="831">
        <v>42908</v>
      </c>
      <c r="CF697" s="832">
        <v>5</v>
      </c>
      <c r="CG697" s="833">
        <f t="shared" ca="1" si="570"/>
        <v>226</v>
      </c>
      <c r="CH697" s="836">
        <f t="shared" si="571"/>
        <v>0</v>
      </c>
      <c r="CI697" s="837" t="str">
        <f t="shared" si="572"/>
        <v>УСПЕШНО</v>
      </c>
      <c r="CJ697" s="838" t="str">
        <f t="shared" ca="1" si="573"/>
        <v>-</v>
      </c>
      <c r="CK697" s="831"/>
      <c r="CL697" s="832"/>
      <c r="CM697" s="833" t="str">
        <f t="shared" si="574"/>
        <v>-</v>
      </c>
      <c r="CN697" s="834" t="str">
        <f t="shared" si="575"/>
        <v>-</v>
      </c>
      <c r="CO697" s="830" t="str">
        <f t="shared" ca="1" si="576"/>
        <v>-</v>
      </c>
      <c r="CP697" s="831">
        <v>43052</v>
      </c>
      <c r="CQ697" s="832">
        <v>2</v>
      </c>
      <c r="CR697" s="833">
        <f t="shared" si="577"/>
        <v>231</v>
      </c>
      <c r="CS697" s="833">
        <f t="shared" ca="1" si="578"/>
        <v>82</v>
      </c>
      <c r="CT697" s="834" t="str">
        <f t="shared" ca="1" si="579"/>
        <v>ТРЕБУЕТСЯ БУСТЕРНАЯ ДОЗА</v>
      </c>
      <c r="CU697" s="835">
        <f t="shared" si="580"/>
        <v>43073</v>
      </c>
      <c r="CV697" s="839"/>
      <c r="CW697" s="832"/>
      <c r="CX697" s="833" t="str">
        <f t="shared" si="581"/>
        <v>-</v>
      </c>
      <c r="CY697" s="840" t="str">
        <f t="shared" si="582"/>
        <v>-</v>
      </c>
      <c r="CZ697" s="833" t="str">
        <f t="shared" si="583"/>
        <v>-</v>
      </c>
      <c r="DA697" s="838" t="str">
        <f t="shared" ca="1" si="584"/>
        <v>-</v>
      </c>
      <c r="DB697" s="841"/>
      <c r="DC697" s="832"/>
    </row>
    <row r="698" spans="1:107" s="842" customFormat="1" ht="15.95" customHeight="1" x14ac:dyDescent="0.25">
      <c r="A698" s="790">
        <v>700</v>
      </c>
      <c r="B698" s="791">
        <f t="shared" ca="1" si="533"/>
        <v>43134</v>
      </c>
      <c r="C698" s="29" t="s">
        <v>2556</v>
      </c>
      <c r="D698" s="59" t="s">
        <v>2586</v>
      </c>
      <c r="E698" s="794" t="s">
        <v>1073</v>
      </c>
      <c r="F698" s="795" t="s">
        <v>994</v>
      </c>
      <c r="G698" s="796">
        <f>SUMIFS(МОЛОКО!L8:L6958,МОЛОКО!F8:F6958,"2462",МОЛОКО!L8:L6958,"&gt;0")</f>
        <v>8</v>
      </c>
      <c r="H698" s="797" t="s">
        <v>603</v>
      </c>
      <c r="I698" s="798">
        <v>41999</v>
      </c>
      <c r="J698" s="799">
        <f t="shared" ca="1" si="534"/>
        <v>3.1095890410958904</v>
      </c>
      <c r="K698" s="799">
        <f t="shared" ca="1" si="535"/>
        <v>37.833333333333336</v>
      </c>
      <c r="L698" s="800">
        <f t="shared" ca="1" si="536"/>
        <v>1135</v>
      </c>
      <c r="M698" s="801">
        <v>42690</v>
      </c>
      <c r="N698" s="802">
        <v>42690</v>
      </c>
      <c r="O698" s="803">
        <f t="shared" ca="1" si="537"/>
        <v>444</v>
      </c>
      <c r="P698" s="804">
        <v>1</v>
      </c>
      <c r="Q698" s="805" t="s">
        <v>1451</v>
      </c>
      <c r="R698" s="806" t="s">
        <v>2294</v>
      </c>
      <c r="S698" s="807">
        <v>42744</v>
      </c>
      <c r="T698" s="798">
        <v>42818</v>
      </c>
      <c r="U698" s="798" t="str">
        <f t="shared" si="538"/>
        <v>-</v>
      </c>
      <c r="V698" s="804" t="str">
        <f t="shared" ca="1" si="539"/>
        <v>-</v>
      </c>
      <c r="W698" s="808">
        <v>3</v>
      </c>
      <c r="X698" s="794">
        <f t="shared" si="585"/>
        <v>128</v>
      </c>
      <c r="Y698" s="794">
        <v>1</v>
      </c>
      <c r="Z698" s="809" t="str">
        <f t="shared" ca="1" si="540"/>
        <v>-----</v>
      </c>
      <c r="AA698" s="810" t="str">
        <f t="shared" ca="1" si="541"/>
        <v>-----</v>
      </c>
      <c r="AB698" s="804">
        <v>1</v>
      </c>
      <c r="AC698" s="811" t="str">
        <f t="shared" ca="1" si="542"/>
        <v>-----</v>
      </c>
      <c r="AD698" s="798">
        <v>42930</v>
      </c>
      <c r="AE698" s="794" t="str">
        <f t="shared" ca="1" si="543"/>
        <v>-</v>
      </c>
      <c r="AF698" s="798" t="str">
        <f t="shared" si="544"/>
        <v>-</v>
      </c>
      <c r="AG698" s="812" t="str">
        <f t="shared" si="545"/>
        <v>---------</v>
      </c>
      <c r="AH698" s="807">
        <v>42853</v>
      </c>
      <c r="AI698" s="807">
        <f t="shared" si="546"/>
        <v>43008</v>
      </c>
      <c r="AJ698" s="807">
        <f t="shared" si="547"/>
        <v>43038</v>
      </c>
      <c r="AK698" s="813">
        <v>43038</v>
      </c>
      <c r="AL698" s="807">
        <f t="shared" si="548"/>
        <v>43077</v>
      </c>
      <c r="AM698" s="807">
        <f t="shared" si="549"/>
        <v>43098</v>
      </c>
      <c r="AN698" s="814">
        <f t="shared" ca="1" si="550"/>
        <v>36</v>
      </c>
      <c r="AO698" s="815">
        <v>1</v>
      </c>
      <c r="AP698" s="816" t="str">
        <f t="shared" ca="1" si="551"/>
        <v>-</v>
      </c>
      <c r="AQ698" s="817"/>
      <c r="AR698" s="794" t="str">
        <f t="shared" si="552"/>
        <v>-</v>
      </c>
      <c r="AS698" s="818"/>
      <c r="AT698" s="794" t="str">
        <f t="shared" si="553"/>
        <v>DRY COW</v>
      </c>
      <c r="AU698" s="819"/>
      <c r="AV698" s="820"/>
      <c r="AW698" s="821"/>
      <c r="AX698" s="821"/>
      <c r="AY698" s="969" t="str">
        <f t="shared" si="554"/>
        <v>-</v>
      </c>
      <c r="AZ698" s="966" t="str">
        <f t="shared" si="555"/>
        <v>-</v>
      </c>
      <c r="BA698" s="971" t="str">
        <f t="shared" si="556"/>
        <v>-</v>
      </c>
      <c r="BB698" s="975"/>
      <c r="BC698" s="821"/>
      <c r="BD698" s="821"/>
      <c r="BE698" s="963" t="str">
        <f t="shared" si="557"/>
        <v>-</v>
      </c>
      <c r="BF698" s="984"/>
      <c r="BG698" s="988"/>
      <c r="BH698" s="982"/>
      <c r="BI698" s="991"/>
      <c r="BJ698" s="991"/>
      <c r="BK698" s="993" t="str">
        <f t="shared" si="558"/>
        <v>-</v>
      </c>
      <c r="BL698" s="820">
        <v>42981</v>
      </c>
      <c r="BM698" s="821">
        <v>5</v>
      </c>
      <c r="BN698" s="822">
        <f t="shared" ca="1" si="559"/>
        <v>153</v>
      </c>
      <c r="BO698" s="823">
        <f t="shared" si="560"/>
        <v>32.733333333333334</v>
      </c>
      <c r="BP698" s="824">
        <v>43001</v>
      </c>
      <c r="BQ698" s="821">
        <v>2</v>
      </c>
      <c r="BR698" s="822">
        <f t="shared" ca="1" si="561"/>
        <v>133</v>
      </c>
      <c r="BS698" s="823">
        <f t="shared" si="562"/>
        <v>10.366666666666667</v>
      </c>
      <c r="BT698" s="825" t="str">
        <f t="shared" ca="1" si="563"/>
        <v>-</v>
      </c>
      <c r="BU698" s="826"/>
      <c r="BV698" s="827"/>
      <c r="BW698" s="828" t="str">
        <f t="shared" si="564"/>
        <v>Ж-Е НЕ ВАКЦ.</v>
      </c>
      <c r="BX698" s="829" t="str">
        <f t="shared" si="565"/>
        <v>-</v>
      </c>
      <c r="BY698" s="830" t="str">
        <f t="shared" ca="1" si="566"/>
        <v>-</v>
      </c>
      <c r="BZ698" s="831">
        <v>42887</v>
      </c>
      <c r="CA698" s="832">
        <v>5</v>
      </c>
      <c r="CB698" s="833">
        <f t="shared" ca="1" si="567"/>
        <v>247</v>
      </c>
      <c r="CC698" s="834" t="str">
        <f t="shared" ca="1" si="568"/>
        <v>-</v>
      </c>
      <c r="CD698" s="835">
        <f t="shared" si="569"/>
        <v>42908</v>
      </c>
      <c r="CE698" s="831">
        <v>42908</v>
      </c>
      <c r="CF698" s="832">
        <v>5</v>
      </c>
      <c r="CG698" s="833">
        <f t="shared" ca="1" si="570"/>
        <v>226</v>
      </c>
      <c r="CH698" s="836">
        <f t="shared" si="571"/>
        <v>0</v>
      </c>
      <c r="CI698" s="837" t="str">
        <f t="shared" si="572"/>
        <v>УСПЕШНО</v>
      </c>
      <c r="CJ698" s="838" t="str">
        <f t="shared" ca="1" si="573"/>
        <v>-</v>
      </c>
      <c r="CK698" s="831"/>
      <c r="CL698" s="832"/>
      <c r="CM698" s="833" t="str">
        <f t="shared" si="574"/>
        <v>-</v>
      </c>
      <c r="CN698" s="834" t="str">
        <f t="shared" si="575"/>
        <v>-</v>
      </c>
      <c r="CO698" s="830" t="str">
        <f t="shared" ca="1" si="576"/>
        <v>-</v>
      </c>
      <c r="CP698" s="831">
        <v>43052</v>
      </c>
      <c r="CQ698" s="832">
        <v>2</v>
      </c>
      <c r="CR698" s="833">
        <f t="shared" si="577"/>
        <v>234</v>
      </c>
      <c r="CS698" s="833">
        <f t="shared" ca="1" si="578"/>
        <v>82</v>
      </c>
      <c r="CT698" s="834" t="str">
        <f t="shared" ca="1" si="579"/>
        <v>ТРЕБУЕТСЯ БУСТЕРНАЯ ДОЗА</v>
      </c>
      <c r="CU698" s="835">
        <f t="shared" si="580"/>
        <v>43073</v>
      </c>
      <c r="CV698" s="839"/>
      <c r="CW698" s="832"/>
      <c r="CX698" s="833" t="str">
        <f t="shared" si="581"/>
        <v>-</v>
      </c>
      <c r="CY698" s="840" t="str">
        <f t="shared" si="582"/>
        <v>-</v>
      </c>
      <c r="CZ698" s="833" t="str">
        <f t="shared" si="583"/>
        <v>-</v>
      </c>
      <c r="DA698" s="838" t="str">
        <f t="shared" ca="1" si="584"/>
        <v>-</v>
      </c>
      <c r="DB698" s="841"/>
      <c r="DC698" s="832"/>
    </row>
    <row r="699" spans="1:107" s="842" customFormat="1" ht="15.95" customHeight="1" x14ac:dyDescent="0.25">
      <c r="A699" s="790">
        <v>701</v>
      </c>
      <c r="B699" s="791">
        <f t="shared" ca="1" si="533"/>
        <v>43134</v>
      </c>
      <c r="C699" s="29" t="s">
        <v>2556</v>
      </c>
      <c r="D699" s="59" t="s">
        <v>2586</v>
      </c>
      <c r="E699" s="794" t="s">
        <v>1081</v>
      </c>
      <c r="F699" s="795" t="s">
        <v>618</v>
      </c>
      <c r="G699" s="796">
        <f>SUMIFS(МОЛОКО!L8:L6958,МОЛОКО!F8:F6958,"2495",МОЛОКО!L8:L6958,"&gt;0")</f>
        <v>14.899999999999999</v>
      </c>
      <c r="H699" s="863" t="s">
        <v>603</v>
      </c>
      <c r="I699" s="798">
        <v>42020</v>
      </c>
      <c r="J699" s="799">
        <f t="shared" ca="1" si="534"/>
        <v>3.0520547945205481</v>
      </c>
      <c r="K699" s="799">
        <f t="shared" ca="1" si="535"/>
        <v>37.133333333333333</v>
      </c>
      <c r="L699" s="800">
        <f t="shared" ca="1" si="536"/>
        <v>1114</v>
      </c>
      <c r="M699" s="801">
        <v>42727</v>
      </c>
      <c r="N699" s="802">
        <v>42727</v>
      </c>
      <c r="O699" s="803">
        <f t="shared" ca="1" si="537"/>
        <v>407</v>
      </c>
      <c r="P699" s="804">
        <v>1</v>
      </c>
      <c r="Q699" s="805" t="s">
        <v>1451</v>
      </c>
      <c r="R699" s="806" t="s">
        <v>2664</v>
      </c>
      <c r="S699" s="807">
        <v>42789</v>
      </c>
      <c r="T699" s="798">
        <v>42834</v>
      </c>
      <c r="U699" s="798" t="str">
        <f t="shared" si="538"/>
        <v>-</v>
      </c>
      <c r="V699" s="804" t="str">
        <f t="shared" ca="1" si="539"/>
        <v>-</v>
      </c>
      <c r="W699" s="808">
        <v>2</v>
      </c>
      <c r="X699" s="794">
        <f t="shared" si="585"/>
        <v>107</v>
      </c>
      <c r="Y699" s="794">
        <v>1</v>
      </c>
      <c r="Z699" s="809" t="str">
        <f t="shared" ca="1" si="540"/>
        <v>-----</v>
      </c>
      <c r="AA699" s="810" t="str">
        <f t="shared" ca="1" si="541"/>
        <v>-----</v>
      </c>
      <c r="AB699" s="804">
        <v>1</v>
      </c>
      <c r="AC699" s="811" t="str">
        <f t="shared" ca="1" si="542"/>
        <v>-----</v>
      </c>
      <c r="AD699" s="798">
        <v>42930</v>
      </c>
      <c r="AE699" s="794" t="str">
        <f t="shared" ca="1" si="543"/>
        <v>-</v>
      </c>
      <c r="AF699" s="798" t="str">
        <f t="shared" si="544"/>
        <v>-</v>
      </c>
      <c r="AG699" s="812" t="str">
        <f t="shared" si="545"/>
        <v>---------</v>
      </c>
      <c r="AH699" s="807">
        <v>42867</v>
      </c>
      <c r="AI699" s="807">
        <f t="shared" si="546"/>
        <v>43024</v>
      </c>
      <c r="AJ699" s="807">
        <f t="shared" si="547"/>
        <v>43054</v>
      </c>
      <c r="AK699" s="813">
        <v>43052</v>
      </c>
      <c r="AL699" s="807">
        <f t="shared" si="548"/>
        <v>43093</v>
      </c>
      <c r="AM699" s="807">
        <f t="shared" si="549"/>
        <v>43114</v>
      </c>
      <c r="AN699" s="814">
        <f t="shared" ca="1" si="550"/>
        <v>20</v>
      </c>
      <c r="AO699" s="815">
        <v>1</v>
      </c>
      <c r="AP699" s="816" t="str">
        <f t="shared" ca="1" si="551"/>
        <v>-</v>
      </c>
      <c r="AQ699" s="817"/>
      <c r="AR699" s="794" t="str">
        <f t="shared" si="552"/>
        <v>-</v>
      </c>
      <c r="AS699" s="818"/>
      <c r="AT699" s="794" t="str">
        <f t="shared" si="553"/>
        <v>DRY COW</v>
      </c>
      <c r="AU699" s="819"/>
      <c r="AV699" s="820"/>
      <c r="AW699" s="821"/>
      <c r="AX699" s="821"/>
      <c r="AY699" s="969" t="str">
        <f t="shared" si="554"/>
        <v>-</v>
      </c>
      <c r="AZ699" s="966" t="str">
        <f t="shared" si="555"/>
        <v>-</v>
      </c>
      <c r="BA699" s="971" t="str">
        <f t="shared" si="556"/>
        <v>-</v>
      </c>
      <c r="BB699" s="975"/>
      <c r="BC699" s="821"/>
      <c r="BD699" s="821"/>
      <c r="BE699" s="963" t="str">
        <f t="shared" si="557"/>
        <v>-</v>
      </c>
      <c r="BF699" s="984"/>
      <c r="BG699" s="988"/>
      <c r="BH699" s="982"/>
      <c r="BI699" s="991"/>
      <c r="BJ699" s="991"/>
      <c r="BK699" s="993" t="str">
        <f t="shared" si="558"/>
        <v>-</v>
      </c>
      <c r="BL699" s="820">
        <v>42981</v>
      </c>
      <c r="BM699" s="821">
        <v>5</v>
      </c>
      <c r="BN699" s="822">
        <f t="shared" ca="1" si="559"/>
        <v>153</v>
      </c>
      <c r="BO699" s="823">
        <f t="shared" si="560"/>
        <v>32.033333333333331</v>
      </c>
      <c r="BP699" s="824">
        <v>43001</v>
      </c>
      <c r="BQ699" s="821">
        <v>2</v>
      </c>
      <c r="BR699" s="822">
        <f t="shared" ca="1" si="561"/>
        <v>133</v>
      </c>
      <c r="BS699" s="823">
        <f t="shared" si="562"/>
        <v>9.1333333333333329</v>
      </c>
      <c r="BT699" s="825" t="str">
        <f t="shared" ca="1" si="563"/>
        <v>-</v>
      </c>
      <c r="BU699" s="826"/>
      <c r="BV699" s="827"/>
      <c r="BW699" s="828" t="str">
        <f t="shared" si="564"/>
        <v>Ж-Е НЕ ВАКЦ.</v>
      </c>
      <c r="BX699" s="829" t="str">
        <f t="shared" si="565"/>
        <v>-</v>
      </c>
      <c r="BY699" s="830" t="str">
        <f t="shared" ca="1" si="566"/>
        <v>-</v>
      </c>
      <c r="BZ699" s="831">
        <v>42887</v>
      </c>
      <c r="CA699" s="832">
        <v>5</v>
      </c>
      <c r="CB699" s="833">
        <f t="shared" ca="1" si="567"/>
        <v>247</v>
      </c>
      <c r="CC699" s="834" t="str">
        <f t="shared" ca="1" si="568"/>
        <v>-</v>
      </c>
      <c r="CD699" s="835">
        <f t="shared" si="569"/>
        <v>42908</v>
      </c>
      <c r="CE699" s="831">
        <v>42908</v>
      </c>
      <c r="CF699" s="832">
        <v>5</v>
      </c>
      <c r="CG699" s="833">
        <f t="shared" ca="1" si="570"/>
        <v>226</v>
      </c>
      <c r="CH699" s="836">
        <f t="shared" si="571"/>
        <v>0</v>
      </c>
      <c r="CI699" s="837" t="str">
        <f t="shared" si="572"/>
        <v>УСПЕШНО</v>
      </c>
      <c r="CJ699" s="838" t="str">
        <f t="shared" ca="1" si="573"/>
        <v>-</v>
      </c>
      <c r="CK699" s="831"/>
      <c r="CL699" s="832"/>
      <c r="CM699" s="833" t="str">
        <f t="shared" si="574"/>
        <v>-</v>
      </c>
      <c r="CN699" s="834" t="str">
        <f t="shared" si="575"/>
        <v>-</v>
      </c>
      <c r="CO699" s="830" t="str">
        <f t="shared" ca="1" si="576"/>
        <v>-</v>
      </c>
      <c r="CP699" s="831">
        <v>43052</v>
      </c>
      <c r="CQ699" s="832">
        <v>2</v>
      </c>
      <c r="CR699" s="833">
        <f t="shared" si="577"/>
        <v>218</v>
      </c>
      <c r="CS699" s="833">
        <f t="shared" ca="1" si="578"/>
        <v>82</v>
      </c>
      <c r="CT699" s="834" t="str">
        <f t="shared" ca="1" si="579"/>
        <v>ТРЕБУЕТСЯ БУСТЕРНАЯ ДОЗА</v>
      </c>
      <c r="CU699" s="835">
        <f t="shared" si="580"/>
        <v>43073</v>
      </c>
      <c r="CV699" s="839"/>
      <c r="CW699" s="832"/>
      <c r="CX699" s="833" t="str">
        <f t="shared" si="581"/>
        <v>-</v>
      </c>
      <c r="CY699" s="840" t="str">
        <f t="shared" si="582"/>
        <v>-</v>
      </c>
      <c r="CZ699" s="833" t="str">
        <f t="shared" si="583"/>
        <v>-</v>
      </c>
      <c r="DA699" s="838" t="str">
        <f t="shared" ca="1" si="584"/>
        <v>-</v>
      </c>
      <c r="DB699" s="841"/>
      <c r="DC699" s="832"/>
    </row>
    <row r="700" spans="1:107" s="842" customFormat="1" ht="15.95" customHeight="1" x14ac:dyDescent="0.25">
      <c r="A700" s="790">
        <v>702</v>
      </c>
      <c r="B700" s="791">
        <f t="shared" ca="1" si="533"/>
        <v>43134</v>
      </c>
      <c r="C700" s="29" t="s">
        <v>2556</v>
      </c>
      <c r="D700" s="59" t="s">
        <v>2586</v>
      </c>
      <c r="E700" s="794" t="s">
        <v>1119</v>
      </c>
      <c r="F700" s="854" t="s">
        <v>1035</v>
      </c>
      <c r="G700" s="796">
        <f>SUMIFS(МОЛОКО!L8:L6958,МОЛОКО!F8:F6958,"2521",МОЛОКО!L8:L6958,"&gt;0")</f>
        <v>0</v>
      </c>
      <c r="H700" s="797" t="s">
        <v>603</v>
      </c>
      <c r="I700" s="798">
        <v>42038</v>
      </c>
      <c r="J700" s="799">
        <f t="shared" ca="1" si="534"/>
        <v>3.0027397260273974</v>
      </c>
      <c r="K700" s="799">
        <f t="shared" ca="1" si="535"/>
        <v>36.533333333333331</v>
      </c>
      <c r="L700" s="800">
        <f t="shared" ca="1" si="536"/>
        <v>1096</v>
      </c>
      <c r="M700" s="801">
        <v>42754</v>
      </c>
      <c r="N700" s="802">
        <v>42754</v>
      </c>
      <c r="O700" s="803">
        <f t="shared" ca="1" si="537"/>
        <v>380</v>
      </c>
      <c r="P700" s="804">
        <v>1</v>
      </c>
      <c r="Q700" s="805" t="s">
        <v>1451</v>
      </c>
      <c r="R700" s="806" t="s">
        <v>2335</v>
      </c>
      <c r="S700" s="807">
        <v>42817</v>
      </c>
      <c r="T700" s="798">
        <v>42817</v>
      </c>
      <c r="U700" s="798" t="str">
        <f t="shared" si="538"/>
        <v>-</v>
      </c>
      <c r="V700" s="804" t="str">
        <f t="shared" ca="1" si="539"/>
        <v>-</v>
      </c>
      <c r="W700" s="808">
        <v>1</v>
      </c>
      <c r="X700" s="794">
        <f t="shared" si="585"/>
        <v>63</v>
      </c>
      <c r="Y700" s="794">
        <v>1</v>
      </c>
      <c r="Z700" s="809" t="str">
        <f t="shared" ca="1" si="540"/>
        <v>-----</v>
      </c>
      <c r="AA700" s="810" t="str">
        <f t="shared" ca="1" si="541"/>
        <v>-----</v>
      </c>
      <c r="AB700" s="804">
        <v>1</v>
      </c>
      <c r="AC700" s="811" t="str">
        <f t="shared" ca="1" si="542"/>
        <v>-----</v>
      </c>
      <c r="AD700" s="798">
        <v>42932</v>
      </c>
      <c r="AE700" s="794" t="str">
        <f t="shared" ca="1" si="543"/>
        <v>-</v>
      </c>
      <c r="AF700" s="798" t="str">
        <f t="shared" si="544"/>
        <v>-</v>
      </c>
      <c r="AG700" s="812" t="str">
        <f t="shared" si="545"/>
        <v>---------</v>
      </c>
      <c r="AH700" s="807">
        <v>43030</v>
      </c>
      <c r="AI700" s="807">
        <f t="shared" si="546"/>
        <v>43007</v>
      </c>
      <c r="AJ700" s="807">
        <f t="shared" si="547"/>
        <v>43037</v>
      </c>
      <c r="AK700" s="813">
        <v>43031</v>
      </c>
      <c r="AL700" s="807">
        <f t="shared" si="548"/>
        <v>43076</v>
      </c>
      <c r="AM700" s="807">
        <f t="shared" si="549"/>
        <v>43097</v>
      </c>
      <c r="AN700" s="814">
        <f t="shared" ca="1" si="550"/>
        <v>37</v>
      </c>
      <c r="AO700" s="815">
        <v>1</v>
      </c>
      <c r="AP700" s="816" t="str">
        <f t="shared" ca="1" si="551"/>
        <v>-</v>
      </c>
      <c r="AQ700" s="817"/>
      <c r="AR700" s="794" t="str">
        <f t="shared" si="552"/>
        <v>-</v>
      </c>
      <c r="AS700" s="818"/>
      <c r="AT700" s="794" t="str">
        <f t="shared" si="553"/>
        <v>DRY COW</v>
      </c>
      <c r="AU700" s="819">
        <v>1</v>
      </c>
      <c r="AV700" s="820"/>
      <c r="AW700" s="821"/>
      <c r="AX700" s="821"/>
      <c r="AY700" s="969" t="str">
        <f t="shared" si="554"/>
        <v>-</v>
      </c>
      <c r="AZ700" s="966" t="str">
        <f t="shared" si="555"/>
        <v>-</v>
      </c>
      <c r="BA700" s="971" t="str">
        <f t="shared" si="556"/>
        <v>-</v>
      </c>
      <c r="BB700" s="975"/>
      <c r="BC700" s="821"/>
      <c r="BD700" s="821"/>
      <c r="BE700" s="963" t="str">
        <f t="shared" si="557"/>
        <v>-</v>
      </c>
      <c r="BF700" s="984"/>
      <c r="BG700" s="988"/>
      <c r="BH700" s="982"/>
      <c r="BI700" s="991"/>
      <c r="BJ700" s="991"/>
      <c r="BK700" s="993" t="str">
        <f t="shared" si="558"/>
        <v>-</v>
      </c>
      <c r="BL700" s="820">
        <v>42981</v>
      </c>
      <c r="BM700" s="821">
        <v>5</v>
      </c>
      <c r="BN700" s="822">
        <f t="shared" ca="1" si="559"/>
        <v>153</v>
      </c>
      <c r="BO700" s="823">
        <f t="shared" si="560"/>
        <v>31.433333333333334</v>
      </c>
      <c r="BP700" s="824">
        <v>43001</v>
      </c>
      <c r="BQ700" s="821">
        <v>2</v>
      </c>
      <c r="BR700" s="822">
        <f t="shared" ca="1" si="561"/>
        <v>133</v>
      </c>
      <c r="BS700" s="823">
        <f t="shared" si="562"/>
        <v>8.2333333333333325</v>
      </c>
      <c r="BT700" s="825" t="str">
        <f t="shared" ca="1" si="563"/>
        <v>-</v>
      </c>
      <c r="BU700" s="826"/>
      <c r="BV700" s="827"/>
      <c r="BW700" s="828" t="str">
        <f t="shared" si="564"/>
        <v>Ж-Е НЕ ВАКЦ.</v>
      </c>
      <c r="BX700" s="829" t="str">
        <f t="shared" si="565"/>
        <v>-</v>
      </c>
      <c r="BY700" s="830" t="str">
        <f t="shared" ca="1" si="566"/>
        <v>-</v>
      </c>
      <c r="BZ700" s="831">
        <v>42887</v>
      </c>
      <c r="CA700" s="832">
        <v>5</v>
      </c>
      <c r="CB700" s="833">
        <f t="shared" ca="1" si="567"/>
        <v>247</v>
      </c>
      <c r="CC700" s="834" t="str">
        <f t="shared" ca="1" si="568"/>
        <v>-</v>
      </c>
      <c r="CD700" s="835">
        <f t="shared" si="569"/>
        <v>42908</v>
      </c>
      <c r="CE700" s="831">
        <v>42908</v>
      </c>
      <c r="CF700" s="832">
        <v>5</v>
      </c>
      <c r="CG700" s="833">
        <f t="shared" ca="1" si="570"/>
        <v>226</v>
      </c>
      <c r="CH700" s="836">
        <f t="shared" si="571"/>
        <v>0</v>
      </c>
      <c r="CI700" s="837" t="str">
        <f t="shared" si="572"/>
        <v>УСПЕШНО</v>
      </c>
      <c r="CJ700" s="838" t="str">
        <f t="shared" ca="1" si="573"/>
        <v>-</v>
      </c>
      <c r="CK700" s="831"/>
      <c r="CL700" s="832"/>
      <c r="CM700" s="833" t="str">
        <f t="shared" si="574"/>
        <v>-</v>
      </c>
      <c r="CN700" s="834" t="str">
        <f t="shared" si="575"/>
        <v>-</v>
      </c>
      <c r="CO700" s="830" t="str">
        <f t="shared" ca="1" si="576"/>
        <v>-</v>
      </c>
      <c r="CP700" s="831">
        <v>43031</v>
      </c>
      <c r="CQ700" s="832">
        <v>2</v>
      </c>
      <c r="CR700" s="833">
        <f t="shared" si="577"/>
        <v>214</v>
      </c>
      <c r="CS700" s="833">
        <f t="shared" ca="1" si="578"/>
        <v>103</v>
      </c>
      <c r="CT700" s="834" t="str">
        <f t="shared" ca="1" si="579"/>
        <v>-</v>
      </c>
      <c r="CU700" s="835">
        <f t="shared" si="580"/>
        <v>43052</v>
      </c>
      <c r="CV700" s="831">
        <v>43052</v>
      </c>
      <c r="CW700" s="832">
        <v>2</v>
      </c>
      <c r="CX700" s="833">
        <f t="shared" si="581"/>
        <v>0</v>
      </c>
      <c r="CY700" s="840" t="str">
        <f t="shared" si="582"/>
        <v>УСПЕШНО</v>
      </c>
      <c r="CZ700" s="833">
        <f t="shared" si="583"/>
        <v>235</v>
      </c>
      <c r="DA700" s="838" t="str">
        <f t="shared" ca="1" si="584"/>
        <v>ТРЕБУЕТСЯ РЕВАКЦИНАЦИЯ</v>
      </c>
      <c r="DB700" s="841"/>
      <c r="DC700" s="832"/>
    </row>
    <row r="701" spans="1:107" s="842" customFormat="1" ht="15.95" customHeight="1" x14ac:dyDescent="0.25">
      <c r="A701" s="790">
        <v>703</v>
      </c>
      <c r="B701" s="791">
        <f t="shared" ca="1" si="533"/>
        <v>43134</v>
      </c>
      <c r="C701" s="29" t="s">
        <v>2556</v>
      </c>
      <c r="D701" s="59" t="s">
        <v>2586</v>
      </c>
      <c r="E701" s="794" t="s">
        <v>1098</v>
      </c>
      <c r="F701" s="795" t="s">
        <v>1006</v>
      </c>
      <c r="G701" s="796">
        <f>SUMIFS(МОЛОКО!L8:L6958,МОЛОКО!F8:F6958,"2537",МОЛОКО!L8:L6958,"&gt;0")</f>
        <v>0</v>
      </c>
      <c r="H701" s="797" t="s">
        <v>603</v>
      </c>
      <c r="I701" s="798">
        <v>42050</v>
      </c>
      <c r="J701" s="799">
        <f t="shared" ca="1" si="534"/>
        <v>2.9698630136986299</v>
      </c>
      <c r="K701" s="799">
        <f t="shared" ca="1" si="535"/>
        <v>36.133333333333333</v>
      </c>
      <c r="L701" s="800">
        <f t="shared" ca="1" si="536"/>
        <v>1084</v>
      </c>
      <c r="M701" s="801">
        <v>42683</v>
      </c>
      <c r="N701" s="802">
        <v>42683</v>
      </c>
      <c r="O701" s="803">
        <f t="shared" ca="1" si="537"/>
        <v>451</v>
      </c>
      <c r="P701" s="804">
        <v>1</v>
      </c>
      <c r="Q701" s="805" t="s">
        <v>1451</v>
      </c>
      <c r="R701" s="806" t="s">
        <v>2294</v>
      </c>
      <c r="S701" s="807">
        <v>42747</v>
      </c>
      <c r="T701" s="798">
        <v>42812</v>
      </c>
      <c r="U701" s="798" t="str">
        <f t="shared" si="538"/>
        <v>-</v>
      </c>
      <c r="V701" s="804" t="str">
        <f t="shared" ca="1" si="539"/>
        <v>-</v>
      </c>
      <c r="W701" s="808">
        <v>3</v>
      </c>
      <c r="X701" s="794">
        <f t="shared" si="585"/>
        <v>129</v>
      </c>
      <c r="Y701" s="794">
        <v>1</v>
      </c>
      <c r="Z701" s="809" t="str">
        <f t="shared" ca="1" si="540"/>
        <v>-----</v>
      </c>
      <c r="AA701" s="810" t="str">
        <f t="shared" ca="1" si="541"/>
        <v>-----</v>
      </c>
      <c r="AB701" s="804">
        <v>1</v>
      </c>
      <c r="AC701" s="811" t="str">
        <f t="shared" ca="1" si="542"/>
        <v>-----</v>
      </c>
      <c r="AD701" s="798">
        <v>43030</v>
      </c>
      <c r="AE701" s="794" t="str">
        <f t="shared" ca="1" si="543"/>
        <v>-</v>
      </c>
      <c r="AF701" s="798" t="str">
        <f t="shared" si="544"/>
        <v>-</v>
      </c>
      <c r="AG701" s="812" t="str">
        <f t="shared" si="545"/>
        <v>---------</v>
      </c>
      <c r="AH701" s="807">
        <v>43030</v>
      </c>
      <c r="AI701" s="807">
        <f t="shared" si="546"/>
        <v>43002</v>
      </c>
      <c r="AJ701" s="807">
        <f t="shared" si="547"/>
        <v>43032</v>
      </c>
      <c r="AK701" s="813">
        <v>43031</v>
      </c>
      <c r="AL701" s="807">
        <f t="shared" si="548"/>
        <v>43071</v>
      </c>
      <c r="AM701" s="807">
        <f t="shared" si="549"/>
        <v>43092</v>
      </c>
      <c r="AN701" s="814">
        <f t="shared" ca="1" si="550"/>
        <v>42</v>
      </c>
      <c r="AO701" s="815">
        <v>1</v>
      </c>
      <c r="AP701" s="816" t="str">
        <f t="shared" ca="1" si="551"/>
        <v>-</v>
      </c>
      <c r="AQ701" s="817"/>
      <c r="AR701" s="794" t="str">
        <f t="shared" si="552"/>
        <v>-</v>
      </c>
      <c r="AS701" s="818"/>
      <c r="AT701" s="794" t="str">
        <f t="shared" si="553"/>
        <v>DRY COW</v>
      </c>
      <c r="AU701" s="819"/>
      <c r="AV701" s="820"/>
      <c r="AW701" s="821"/>
      <c r="AX701" s="821"/>
      <c r="AY701" s="969" t="str">
        <f t="shared" si="554"/>
        <v>-</v>
      </c>
      <c r="AZ701" s="966" t="str">
        <f t="shared" si="555"/>
        <v>-</v>
      </c>
      <c r="BA701" s="971" t="str">
        <f t="shared" si="556"/>
        <v>-</v>
      </c>
      <c r="BB701" s="975"/>
      <c r="BC701" s="821"/>
      <c r="BD701" s="821"/>
      <c r="BE701" s="963" t="str">
        <f t="shared" si="557"/>
        <v>-</v>
      </c>
      <c r="BF701" s="984"/>
      <c r="BG701" s="988"/>
      <c r="BH701" s="982"/>
      <c r="BI701" s="991"/>
      <c r="BJ701" s="991"/>
      <c r="BK701" s="993" t="str">
        <f t="shared" si="558"/>
        <v>-</v>
      </c>
      <c r="BL701" s="820">
        <v>42981</v>
      </c>
      <c r="BM701" s="821">
        <v>5</v>
      </c>
      <c r="BN701" s="822">
        <f t="shared" ca="1" si="559"/>
        <v>153</v>
      </c>
      <c r="BO701" s="823">
        <f t="shared" si="560"/>
        <v>31.033333333333335</v>
      </c>
      <c r="BP701" s="824">
        <v>43001</v>
      </c>
      <c r="BQ701" s="821">
        <v>2</v>
      </c>
      <c r="BR701" s="822">
        <f t="shared" ca="1" si="561"/>
        <v>133</v>
      </c>
      <c r="BS701" s="823">
        <f t="shared" si="562"/>
        <v>10.6</v>
      </c>
      <c r="BT701" s="825" t="str">
        <f t="shared" ca="1" si="563"/>
        <v>-</v>
      </c>
      <c r="BU701" s="826"/>
      <c r="BV701" s="827"/>
      <c r="BW701" s="828" t="str">
        <f t="shared" si="564"/>
        <v>Ж-Е НЕ ВАКЦ.</v>
      </c>
      <c r="BX701" s="829" t="str">
        <f t="shared" si="565"/>
        <v>-</v>
      </c>
      <c r="BY701" s="830" t="str">
        <f t="shared" ca="1" si="566"/>
        <v>-</v>
      </c>
      <c r="BZ701" s="831">
        <v>42887</v>
      </c>
      <c r="CA701" s="832">
        <v>5</v>
      </c>
      <c r="CB701" s="833">
        <f t="shared" ca="1" si="567"/>
        <v>247</v>
      </c>
      <c r="CC701" s="834" t="str">
        <f t="shared" ca="1" si="568"/>
        <v>-</v>
      </c>
      <c r="CD701" s="835">
        <f t="shared" si="569"/>
        <v>42908</v>
      </c>
      <c r="CE701" s="831">
        <v>42908</v>
      </c>
      <c r="CF701" s="832">
        <v>5</v>
      </c>
      <c r="CG701" s="833">
        <f t="shared" ca="1" si="570"/>
        <v>226</v>
      </c>
      <c r="CH701" s="836">
        <f t="shared" si="571"/>
        <v>0</v>
      </c>
      <c r="CI701" s="837" t="str">
        <f t="shared" si="572"/>
        <v>УСПЕШНО</v>
      </c>
      <c r="CJ701" s="838" t="str">
        <f t="shared" ca="1" si="573"/>
        <v>-</v>
      </c>
      <c r="CK701" s="831"/>
      <c r="CL701" s="832"/>
      <c r="CM701" s="833" t="str">
        <f t="shared" si="574"/>
        <v>-</v>
      </c>
      <c r="CN701" s="834" t="str">
        <f t="shared" si="575"/>
        <v>-</v>
      </c>
      <c r="CO701" s="830" t="str">
        <f t="shared" ca="1" si="576"/>
        <v>-</v>
      </c>
      <c r="CP701" s="831">
        <v>43031</v>
      </c>
      <c r="CQ701" s="832">
        <v>2</v>
      </c>
      <c r="CR701" s="833">
        <f t="shared" si="577"/>
        <v>219</v>
      </c>
      <c r="CS701" s="833">
        <f t="shared" ca="1" si="578"/>
        <v>103</v>
      </c>
      <c r="CT701" s="834" t="str">
        <f t="shared" ca="1" si="579"/>
        <v>-</v>
      </c>
      <c r="CU701" s="835">
        <f t="shared" si="580"/>
        <v>43052</v>
      </c>
      <c r="CV701" s="831">
        <v>43052</v>
      </c>
      <c r="CW701" s="832">
        <v>2</v>
      </c>
      <c r="CX701" s="833">
        <f t="shared" si="581"/>
        <v>0</v>
      </c>
      <c r="CY701" s="840" t="str">
        <f t="shared" si="582"/>
        <v>УСПЕШНО</v>
      </c>
      <c r="CZ701" s="833">
        <f t="shared" si="583"/>
        <v>240</v>
      </c>
      <c r="DA701" s="838" t="str">
        <f t="shared" ca="1" si="584"/>
        <v>ТРЕБУЕТСЯ РЕВАКЦИНАЦИЯ</v>
      </c>
      <c r="DB701" s="841"/>
      <c r="DC701" s="832"/>
    </row>
    <row r="702" spans="1:107" s="842" customFormat="1" ht="15.95" customHeight="1" x14ac:dyDescent="0.25">
      <c r="A702" s="790">
        <v>704</v>
      </c>
      <c r="B702" s="791">
        <f t="shared" ca="1" si="533"/>
        <v>43134</v>
      </c>
      <c r="C702" s="792" t="s">
        <v>2556</v>
      </c>
      <c r="D702" s="793" t="s">
        <v>2586</v>
      </c>
      <c r="E702" s="794" t="s">
        <v>1117</v>
      </c>
      <c r="F702" s="795" t="s">
        <v>1030</v>
      </c>
      <c r="G702" s="796">
        <f>SUMIFS(МОЛОКО!L8:L6958,МОЛОКО!F8:F6958,"2553",МОЛОКО!L8:L6958,"&gt;0")</f>
        <v>0</v>
      </c>
      <c r="H702" s="797" t="s">
        <v>603</v>
      </c>
      <c r="I702" s="798">
        <v>42070</v>
      </c>
      <c r="J702" s="799">
        <f t="shared" ca="1" si="534"/>
        <v>2.9150684931506849</v>
      </c>
      <c r="K702" s="799">
        <f t="shared" ca="1" si="535"/>
        <v>35.466666666666669</v>
      </c>
      <c r="L702" s="800">
        <f t="shared" ca="1" si="536"/>
        <v>1064</v>
      </c>
      <c r="M702" s="801">
        <v>42742</v>
      </c>
      <c r="N702" s="802">
        <v>42742</v>
      </c>
      <c r="O702" s="803">
        <f t="shared" ca="1" si="537"/>
        <v>392</v>
      </c>
      <c r="P702" s="804">
        <v>1</v>
      </c>
      <c r="Q702" s="805" t="s">
        <v>1451</v>
      </c>
      <c r="R702" s="806" t="s">
        <v>2269</v>
      </c>
      <c r="S702" s="807">
        <v>42803</v>
      </c>
      <c r="T702" s="798">
        <v>42803</v>
      </c>
      <c r="U702" s="798" t="str">
        <f t="shared" si="538"/>
        <v>-</v>
      </c>
      <c r="V702" s="804" t="str">
        <f t="shared" ca="1" si="539"/>
        <v>-</v>
      </c>
      <c r="W702" s="808">
        <v>1</v>
      </c>
      <c r="X702" s="794">
        <f t="shared" si="585"/>
        <v>61</v>
      </c>
      <c r="Y702" s="794">
        <v>1</v>
      </c>
      <c r="Z702" s="809" t="str">
        <f t="shared" ca="1" si="540"/>
        <v>-----</v>
      </c>
      <c r="AA702" s="810" t="str">
        <f t="shared" ca="1" si="541"/>
        <v>-----</v>
      </c>
      <c r="AB702" s="804">
        <v>1</v>
      </c>
      <c r="AC702" s="811" t="str">
        <f t="shared" ca="1" si="542"/>
        <v>-----</v>
      </c>
      <c r="AD702" s="798">
        <v>42912</v>
      </c>
      <c r="AE702" s="794" t="str">
        <f t="shared" ca="1" si="543"/>
        <v>-</v>
      </c>
      <c r="AF702" s="798" t="str">
        <f t="shared" si="544"/>
        <v>-</v>
      </c>
      <c r="AG702" s="812" t="str">
        <f t="shared" si="545"/>
        <v>---------</v>
      </c>
      <c r="AH702" s="807">
        <v>42838</v>
      </c>
      <c r="AI702" s="807">
        <f t="shared" si="546"/>
        <v>42993</v>
      </c>
      <c r="AJ702" s="807">
        <f t="shared" si="547"/>
        <v>43023</v>
      </c>
      <c r="AK702" s="813">
        <v>43016</v>
      </c>
      <c r="AL702" s="807">
        <f t="shared" si="548"/>
        <v>43062</v>
      </c>
      <c r="AM702" s="807">
        <f t="shared" si="549"/>
        <v>43083</v>
      </c>
      <c r="AN702" s="814">
        <f t="shared" ca="1" si="550"/>
        <v>51</v>
      </c>
      <c r="AO702" s="815">
        <v>1</v>
      </c>
      <c r="AP702" s="816" t="str">
        <f t="shared" ca="1" si="551"/>
        <v>-</v>
      </c>
      <c r="AQ702" s="817"/>
      <c r="AR702" s="794" t="str">
        <f t="shared" si="552"/>
        <v>-</v>
      </c>
      <c r="AS702" s="818"/>
      <c r="AT702" s="794" t="str">
        <f t="shared" si="553"/>
        <v>DRY COW</v>
      </c>
      <c r="AU702" s="819"/>
      <c r="AV702" s="820"/>
      <c r="AW702" s="821"/>
      <c r="AX702" s="821"/>
      <c r="AY702" s="969" t="str">
        <f t="shared" si="554"/>
        <v>-</v>
      </c>
      <c r="AZ702" s="966" t="str">
        <f t="shared" si="555"/>
        <v>-</v>
      </c>
      <c r="BA702" s="971" t="str">
        <f t="shared" si="556"/>
        <v>-</v>
      </c>
      <c r="BB702" s="975"/>
      <c r="BC702" s="821"/>
      <c r="BD702" s="821"/>
      <c r="BE702" s="963" t="str">
        <f t="shared" si="557"/>
        <v>-</v>
      </c>
      <c r="BF702" s="984"/>
      <c r="BG702" s="988"/>
      <c r="BH702" s="982"/>
      <c r="BI702" s="991"/>
      <c r="BJ702" s="991"/>
      <c r="BK702" s="993" t="str">
        <f t="shared" si="558"/>
        <v>-</v>
      </c>
      <c r="BL702" s="820">
        <v>42981</v>
      </c>
      <c r="BM702" s="821">
        <v>5</v>
      </c>
      <c r="BN702" s="822">
        <f t="shared" ca="1" si="559"/>
        <v>153</v>
      </c>
      <c r="BO702" s="823">
        <f t="shared" si="560"/>
        <v>30.366666666666667</v>
      </c>
      <c r="BP702" s="824">
        <v>43001</v>
      </c>
      <c r="BQ702" s="821">
        <v>2</v>
      </c>
      <c r="BR702" s="822">
        <f t="shared" ca="1" si="561"/>
        <v>133</v>
      </c>
      <c r="BS702" s="823">
        <f t="shared" si="562"/>
        <v>8.6333333333333329</v>
      </c>
      <c r="BT702" s="825" t="str">
        <f t="shared" ca="1" si="563"/>
        <v>-</v>
      </c>
      <c r="BU702" s="826"/>
      <c r="BV702" s="827"/>
      <c r="BW702" s="828" t="str">
        <f t="shared" si="564"/>
        <v>Ж-Е НЕ ВАКЦ.</v>
      </c>
      <c r="BX702" s="829" t="str">
        <f t="shared" si="565"/>
        <v>-</v>
      </c>
      <c r="BY702" s="830" t="str">
        <f t="shared" ca="1" si="566"/>
        <v>-</v>
      </c>
      <c r="BZ702" s="831">
        <v>42887</v>
      </c>
      <c r="CA702" s="832">
        <v>5</v>
      </c>
      <c r="CB702" s="833">
        <f t="shared" ca="1" si="567"/>
        <v>247</v>
      </c>
      <c r="CC702" s="834" t="str">
        <f t="shared" ca="1" si="568"/>
        <v>-</v>
      </c>
      <c r="CD702" s="835">
        <f t="shared" si="569"/>
        <v>42908</v>
      </c>
      <c r="CE702" s="831">
        <v>42908</v>
      </c>
      <c r="CF702" s="832">
        <v>5</v>
      </c>
      <c r="CG702" s="833">
        <f t="shared" ca="1" si="570"/>
        <v>226</v>
      </c>
      <c r="CH702" s="836">
        <f t="shared" si="571"/>
        <v>0</v>
      </c>
      <c r="CI702" s="837" t="str">
        <f t="shared" si="572"/>
        <v>УСПЕШНО</v>
      </c>
      <c r="CJ702" s="838" t="str">
        <f t="shared" ca="1" si="573"/>
        <v>-</v>
      </c>
      <c r="CK702" s="831"/>
      <c r="CL702" s="832"/>
      <c r="CM702" s="833" t="str">
        <f t="shared" si="574"/>
        <v>-</v>
      </c>
      <c r="CN702" s="834" t="str">
        <f t="shared" si="575"/>
        <v>-</v>
      </c>
      <c r="CO702" s="830" t="str">
        <f t="shared" ca="1" si="576"/>
        <v>-</v>
      </c>
      <c r="CP702" s="831">
        <v>43017</v>
      </c>
      <c r="CQ702" s="832">
        <v>2</v>
      </c>
      <c r="CR702" s="833">
        <f t="shared" si="577"/>
        <v>214</v>
      </c>
      <c r="CS702" s="833">
        <f t="shared" ca="1" si="578"/>
        <v>117</v>
      </c>
      <c r="CT702" s="834" t="str">
        <f t="shared" ca="1" si="579"/>
        <v>-</v>
      </c>
      <c r="CU702" s="835">
        <f t="shared" si="580"/>
        <v>43038</v>
      </c>
      <c r="CV702" s="831">
        <v>43038</v>
      </c>
      <c r="CW702" s="832">
        <v>2</v>
      </c>
      <c r="CX702" s="833">
        <f t="shared" si="581"/>
        <v>0</v>
      </c>
      <c r="CY702" s="840" t="str">
        <f t="shared" si="582"/>
        <v>УСПЕШНО</v>
      </c>
      <c r="CZ702" s="833">
        <f t="shared" si="583"/>
        <v>235</v>
      </c>
      <c r="DA702" s="838" t="str">
        <f t="shared" ca="1" si="584"/>
        <v>ТРЕБУЕТСЯ РЕВАКЦИНАЦИЯ</v>
      </c>
      <c r="DB702" s="841"/>
      <c r="DC702" s="832"/>
    </row>
    <row r="703" spans="1:107" s="842" customFormat="1" ht="15.95" customHeight="1" x14ac:dyDescent="0.25">
      <c r="A703" s="790">
        <v>705</v>
      </c>
      <c r="B703" s="791">
        <f t="shared" ca="1" si="533"/>
        <v>43134</v>
      </c>
      <c r="C703" s="29" t="s">
        <v>2556</v>
      </c>
      <c r="D703" s="59" t="s">
        <v>2586</v>
      </c>
      <c r="E703" s="794" t="s">
        <v>1107</v>
      </c>
      <c r="F703" s="795" t="s">
        <v>1022</v>
      </c>
      <c r="G703" s="796">
        <f>SUMIFS(МОЛОКО!L8:L6958,МОЛОКО!F8:F6958,"2557",МОЛОКО!L8:L6958,"&gt;0")</f>
        <v>0</v>
      </c>
      <c r="H703" s="797" t="s">
        <v>603</v>
      </c>
      <c r="I703" s="798">
        <v>42074</v>
      </c>
      <c r="J703" s="799">
        <f t="shared" ca="1" si="534"/>
        <v>2.904109589041096</v>
      </c>
      <c r="K703" s="799">
        <f t="shared" ca="1" si="535"/>
        <v>35.333333333333336</v>
      </c>
      <c r="L703" s="800">
        <f t="shared" ca="1" si="536"/>
        <v>1060</v>
      </c>
      <c r="M703" s="801">
        <v>42742</v>
      </c>
      <c r="N703" s="802">
        <v>42742</v>
      </c>
      <c r="O703" s="803">
        <f t="shared" ca="1" si="537"/>
        <v>392</v>
      </c>
      <c r="P703" s="804">
        <v>1</v>
      </c>
      <c r="Q703" s="805" t="s">
        <v>1451</v>
      </c>
      <c r="R703" s="806" t="s">
        <v>2335</v>
      </c>
      <c r="S703" s="807">
        <v>42815</v>
      </c>
      <c r="T703" s="798">
        <v>42815</v>
      </c>
      <c r="U703" s="798" t="str">
        <f t="shared" si="538"/>
        <v>-</v>
      </c>
      <c r="V703" s="804" t="str">
        <f t="shared" ca="1" si="539"/>
        <v>-</v>
      </c>
      <c r="W703" s="808">
        <v>1</v>
      </c>
      <c r="X703" s="794">
        <f t="shared" si="585"/>
        <v>73</v>
      </c>
      <c r="Y703" s="794">
        <v>1</v>
      </c>
      <c r="Z703" s="809" t="str">
        <f t="shared" ca="1" si="540"/>
        <v>-----</v>
      </c>
      <c r="AA703" s="810" t="str">
        <f t="shared" ca="1" si="541"/>
        <v>-----</v>
      </c>
      <c r="AB703" s="804">
        <v>1</v>
      </c>
      <c r="AC703" s="811" t="str">
        <f t="shared" ca="1" si="542"/>
        <v>-----</v>
      </c>
      <c r="AD703" s="798">
        <v>42930</v>
      </c>
      <c r="AE703" s="794" t="str">
        <f t="shared" ca="1" si="543"/>
        <v>-</v>
      </c>
      <c r="AF703" s="798" t="str">
        <f t="shared" si="544"/>
        <v>-</v>
      </c>
      <c r="AG703" s="812" t="str">
        <f t="shared" si="545"/>
        <v>---------</v>
      </c>
      <c r="AH703" s="807">
        <v>43030</v>
      </c>
      <c r="AI703" s="807">
        <f t="shared" si="546"/>
        <v>43005</v>
      </c>
      <c r="AJ703" s="807">
        <f t="shared" si="547"/>
        <v>43035</v>
      </c>
      <c r="AK703" s="813">
        <v>43031</v>
      </c>
      <c r="AL703" s="807">
        <f t="shared" si="548"/>
        <v>43074</v>
      </c>
      <c r="AM703" s="807">
        <f t="shared" si="549"/>
        <v>43095</v>
      </c>
      <c r="AN703" s="814">
        <f t="shared" ca="1" si="550"/>
        <v>39</v>
      </c>
      <c r="AO703" s="815">
        <v>1</v>
      </c>
      <c r="AP703" s="816" t="str">
        <f t="shared" ca="1" si="551"/>
        <v>-</v>
      </c>
      <c r="AQ703" s="817"/>
      <c r="AR703" s="794" t="str">
        <f t="shared" si="552"/>
        <v>-</v>
      </c>
      <c r="AS703" s="818"/>
      <c r="AT703" s="794" t="str">
        <f t="shared" si="553"/>
        <v>DRY COW</v>
      </c>
      <c r="AU703" s="819"/>
      <c r="AV703" s="820"/>
      <c r="AW703" s="821"/>
      <c r="AX703" s="821"/>
      <c r="AY703" s="969" t="str">
        <f t="shared" si="554"/>
        <v>-</v>
      </c>
      <c r="AZ703" s="966" t="str">
        <f t="shared" si="555"/>
        <v>-</v>
      </c>
      <c r="BA703" s="971" t="str">
        <f t="shared" si="556"/>
        <v>-</v>
      </c>
      <c r="BB703" s="975"/>
      <c r="BC703" s="821"/>
      <c r="BD703" s="821"/>
      <c r="BE703" s="963" t="str">
        <f t="shared" si="557"/>
        <v>-</v>
      </c>
      <c r="BF703" s="984"/>
      <c r="BG703" s="988"/>
      <c r="BH703" s="982"/>
      <c r="BI703" s="991"/>
      <c r="BJ703" s="991"/>
      <c r="BK703" s="993" t="str">
        <f t="shared" si="558"/>
        <v>-</v>
      </c>
      <c r="BL703" s="820">
        <v>42981</v>
      </c>
      <c r="BM703" s="821">
        <v>5</v>
      </c>
      <c r="BN703" s="822">
        <f t="shared" ca="1" si="559"/>
        <v>153</v>
      </c>
      <c r="BO703" s="823">
        <f t="shared" si="560"/>
        <v>30.233333333333334</v>
      </c>
      <c r="BP703" s="824">
        <v>43001</v>
      </c>
      <c r="BQ703" s="821">
        <v>2</v>
      </c>
      <c r="BR703" s="822">
        <f t="shared" ca="1" si="561"/>
        <v>133</v>
      </c>
      <c r="BS703" s="823">
        <f t="shared" si="562"/>
        <v>8.6333333333333329</v>
      </c>
      <c r="BT703" s="825" t="str">
        <f t="shared" ca="1" si="563"/>
        <v>-</v>
      </c>
      <c r="BU703" s="826"/>
      <c r="BV703" s="827"/>
      <c r="BW703" s="828" t="str">
        <f t="shared" si="564"/>
        <v>Ж-Е НЕ ВАКЦ.</v>
      </c>
      <c r="BX703" s="829" t="str">
        <f t="shared" si="565"/>
        <v>-</v>
      </c>
      <c r="BY703" s="830" t="str">
        <f t="shared" ca="1" si="566"/>
        <v>-</v>
      </c>
      <c r="BZ703" s="831">
        <v>42887</v>
      </c>
      <c r="CA703" s="832">
        <v>5</v>
      </c>
      <c r="CB703" s="833">
        <f t="shared" ca="1" si="567"/>
        <v>247</v>
      </c>
      <c r="CC703" s="834" t="str">
        <f t="shared" ca="1" si="568"/>
        <v>-</v>
      </c>
      <c r="CD703" s="835">
        <f t="shared" si="569"/>
        <v>42908</v>
      </c>
      <c r="CE703" s="831">
        <v>42908</v>
      </c>
      <c r="CF703" s="832">
        <v>5</v>
      </c>
      <c r="CG703" s="833">
        <f t="shared" ca="1" si="570"/>
        <v>226</v>
      </c>
      <c r="CH703" s="836">
        <f t="shared" si="571"/>
        <v>0</v>
      </c>
      <c r="CI703" s="837" t="str">
        <f t="shared" si="572"/>
        <v>УСПЕШНО</v>
      </c>
      <c r="CJ703" s="838" t="str">
        <f t="shared" ca="1" si="573"/>
        <v>-</v>
      </c>
      <c r="CK703" s="831"/>
      <c r="CL703" s="832"/>
      <c r="CM703" s="833" t="str">
        <f t="shared" si="574"/>
        <v>-</v>
      </c>
      <c r="CN703" s="834" t="str">
        <f t="shared" si="575"/>
        <v>-</v>
      </c>
      <c r="CO703" s="830" t="str">
        <f t="shared" ca="1" si="576"/>
        <v>-</v>
      </c>
      <c r="CP703" s="831">
        <v>43031</v>
      </c>
      <c r="CQ703" s="832">
        <v>2</v>
      </c>
      <c r="CR703" s="833">
        <f t="shared" si="577"/>
        <v>216</v>
      </c>
      <c r="CS703" s="833">
        <f t="shared" ca="1" si="578"/>
        <v>103</v>
      </c>
      <c r="CT703" s="834" t="str">
        <f t="shared" ca="1" si="579"/>
        <v>-</v>
      </c>
      <c r="CU703" s="835">
        <f t="shared" si="580"/>
        <v>43052</v>
      </c>
      <c r="CV703" s="831">
        <v>43052</v>
      </c>
      <c r="CW703" s="832">
        <v>2</v>
      </c>
      <c r="CX703" s="833">
        <f t="shared" si="581"/>
        <v>0</v>
      </c>
      <c r="CY703" s="840" t="str">
        <f t="shared" si="582"/>
        <v>УСПЕШНО</v>
      </c>
      <c r="CZ703" s="833">
        <f t="shared" si="583"/>
        <v>237</v>
      </c>
      <c r="DA703" s="838" t="str">
        <f t="shared" ca="1" si="584"/>
        <v>ТРЕБУЕТСЯ РЕВАКЦИНАЦИЯ</v>
      </c>
      <c r="DB703" s="841"/>
      <c r="DC703" s="832"/>
    </row>
    <row r="704" spans="1:107" s="842" customFormat="1" ht="15.95" customHeight="1" x14ac:dyDescent="0.25">
      <c r="A704" s="790">
        <v>706</v>
      </c>
      <c r="B704" s="791">
        <f t="shared" ca="1" si="533"/>
        <v>43134</v>
      </c>
      <c r="C704" s="29" t="s">
        <v>2556</v>
      </c>
      <c r="D704" s="59" t="s">
        <v>2586</v>
      </c>
      <c r="E704" s="794" t="s">
        <v>1109</v>
      </c>
      <c r="F704" s="795" t="s">
        <v>1020</v>
      </c>
      <c r="G704" s="796">
        <f>SUMIFS(МОЛОКО!L8:L6958,МОЛОКО!F8:F6958,"2561",МОЛОКО!L8:L6958,"&gt;0")</f>
        <v>3</v>
      </c>
      <c r="H704" s="797" t="s">
        <v>603</v>
      </c>
      <c r="I704" s="798">
        <v>42079</v>
      </c>
      <c r="J704" s="799">
        <f t="shared" ca="1" si="534"/>
        <v>2.8904109589041096</v>
      </c>
      <c r="K704" s="799">
        <f t="shared" ca="1" si="535"/>
        <v>35.166666666666664</v>
      </c>
      <c r="L704" s="800">
        <f t="shared" ca="1" si="536"/>
        <v>1055</v>
      </c>
      <c r="M704" s="801">
        <v>42711</v>
      </c>
      <c r="N704" s="802">
        <v>42711</v>
      </c>
      <c r="O704" s="803">
        <f t="shared" ca="1" si="537"/>
        <v>423</v>
      </c>
      <c r="P704" s="804">
        <v>1</v>
      </c>
      <c r="Q704" s="805" t="s">
        <v>1451</v>
      </c>
      <c r="R704" s="806" t="s">
        <v>2335</v>
      </c>
      <c r="S704" s="807">
        <v>42768</v>
      </c>
      <c r="T704" s="798">
        <v>42818</v>
      </c>
      <c r="U704" s="798" t="str">
        <f t="shared" si="538"/>
        <v>-</v>
      </c>
      <c r="V704" s="804" t="str">
        <f t="shared" ca="1" si="539"/>
        <v>-</v>
      </c>
      <c r="W704" s="808">
        <v>2</v>
      </c>
      <c r="X704" s="794">
        <f t="shared" si="585"/>
        <v>107</v>
      </c>
      <c r="Y704" s="794">
        <v>1</v>
      </c>
      <c r="Z704" s="809" t="str">
        <f t="shared" ca="1" si="540"/>
        <v>-----</v>
      </c>
      <c r="AA704" s="810" t="str">
        <f t="shared" ca="1" si="541"/>
        <v>-----</v>
      </c>
      <c r="AB704" s="804">
        <v>1</v>
      </c>
      <c r="AC704" s="811" t="str">
        <f t="shared" ca="1" si="542"/>
        <v>-----</v>
      </c>
      <c r="AD704" s="798">
        <v>42912</v>
      </c>
      <c r="AE704" s="794" t="str">
        <f t="shared" ca="1" si="543"/>
        <v>-</v>
      </c>
      <c r="AF704" s="798" t="str">
        <f t="shared" si="544"/>
        <v>-</v>
      </c>
      <c r="AG704" s="812" t="str">
        <f t="shared" si="545"/>
        <v>---------</v>
      </c>
      <c r="AH704" s="807">
        <v>42853</v>
      </c>
      <c r="AI704" s="807">
        <f t="shared" si="546"/>
        <v>43008</v>
      </c>
      <c r="AJ704" s="807">
        <f t="shared" si="547"/>
        <v>43038</v>
      </c>
      <c r="AK704" s="813">
        <v>43038</v>
      </c>
      <c r="AL704" s="807">
        <f t="shared" si="548"/>
        <v>43077</v>
      </c>
      <c r="AM704" s="807">
        <f t="shared" si="549"/>
        <v>43098</v>
      </c>
      <c r="AN704" s="814">
        <f t="shared" ca="1" si="550"/>
        <v>36</v>
      </c>
      <c r="AO704" s="815">
        <v>1</v>
      </c>
      <c r="AP704" s="816" t="str">
        <f t="shared" ca="1" si="551"/>
        <v>-</v>
      </c>
      <c r="AQ704" s="817"/>
      <c r="AR704" s="794" t="str">
        <f t="shared" si="552"/>
        <v>-</v>
      </c>
      <c r="AS704" s="818"/>
      <c r="AT704" s="794" t="str">
        <f t="shared" si="553"/>
        <v>DRY COW</v>
      </c>
      <c r="AU704" s="819"/>
      <c r="AV704" s="820"/>
      <c r="AW704" s="821"/>
      <c r="AX704" s="821"/>
      <c r="AY704" s="969" t="str">
        <f t="shared" si="554"/>
        <v>-</v>
      </c>
      <c r="AZ704" s="966" t="str">
        <f t="shared" si="555"/>
        <v>-</v>
      </c>
      <c r="BA704" s="971" t="str">
        <f t="shared" si="556"/>
        <v>-</v>
      </c>
      <c r="BB704" s="975"/>
      <c r="BC704" s="821"/>
      <c r="BD704" s="821"/>
      <c r="BE704" s="963" t="str">
        <f t="shared" si="557"/>
        <v>-</v>
      </c>
      <c r="BF704" s="984"/>
      <c r="BG704" s="988"/>
      <c r="BH704" s="982"/>
      <c r="BI704" s="991"/>
      <c r="BJ704" s="991"/>
      <c r="BK704" s="993" t="str">
        <f t="shared" si="558"/>
        <v>-</v>
      </c>
      <c r="BL704" s="820">
        <v>42981</v>
      </c>
      <c r="BM704" s="821">
        <v>5</v>
      </c>
      <c r="BN704" s="822">
        <f t="shared" ca="1" si="559"/>
        <v>153</v>
      </c>
      <c r="BO704" s="823">
        <f t="shared" si="560"/>
        <v>30.066666666666666</v>
      </c>
      <c r="BP704" s="824">
        <v>43001</v>
      </c>
      <c r="BQ704" s="821">
        <v>2</v>
      </c>
      <c r="BR704" s="822">
        <f t="shared" ca="1" si="561"/>
        <v>133</v>
      </c>
      <c r="BS704" s="823">
        <f t="shared" si="562"/>
        <v>9.6666666666666661</v>
      </c>
      <c r="BT704" s="825" t="str">
        <f t="shared" ca="1" si="563"/>
        <v>-</v>
      </c>
      <c r="BU704" s="826"/>
      <c r="BV704" s="827"/>
      <c r="BW704" s="828" t="str">
        <f t="shared" si="564"/>
        <v>Ж-Е НЕ ВАКЦ.</v>
      </c>
      <c r="BX704" s="829" t="str">
        <f t="shared" si="565"/>
        <v>-</v>
      </c>
      <c r="BY704" s="830" t="str">
        <f t="shared" ca="1" si="566"/>
        <v>-</v>
      </c>
      <c r="BZ704" s="831">
        <v>42887</v>
      </c>
      <c r="CA704" s="832">
        <v>5</v>
      </c>
      <c r="CB704" s="833">
        <f t="shared" ca="1" si="567"/>
        <v>247</v>
      </c>
      <c r="CC704" s="834" t="str">
        <f t="shared" ca="1" si="568"/>
        <v>-</v>
      </c>
      <c r="CD704" s="835">
        <f t="shared" si="569"/>
        <v>42908</v>
      </c>
      <c r="CE704" s="831">
        <v>42908</v>
      </c>
      <c r="CF704" s="832">
        <v>5</v>
      </c>
      <c r="CG704" s="833">
        <f t="shared" ca="1" si="570"/>
        <v>226</v>
      </c>
      <c r="CH704" s="836">
        <f t="shared" si="571"/>
        <v>0</v>
      </c>
      <c r="CI704" s="837" t="str">
        <f t="shared" si="572"/>
        <v>УСПЕШНО</v>
      </c>
      <c r="CJ704" s="838" t="str">
        <f t="shared" ca="1" si="573"/>
        <v>-</v>
      </c>
      <c r="CK704" s="831"/>
      <c r="CL704" s="832"/>
      <c r="CM704" s="833" t="str">
        <f t="shared" si="574"/>
        <v>-</v>
      </c>
      <c r="CN704" s="834" t="str">
        <f t="shared" si="575"/>
        <v>-</v>
      </c>
      <c r="CO704" s="830" t="str">
        <f t="shared" ca="1" si="576"/>
        <v>-</v>
      </c>
      <c r="CP704" s="831">
        <v>43052</v>
      </c>
      <c r="CQ704" s="832">
        <v>2</v>
      </c>
      <c r="CR704" s="833">
        <f t="shared" si="577"/>
        <v>234</v>
      </c>
      <c r="CS704" s="833">
        <f t="shared" ca="1" si="578"/>
        <v>82</v>
      </c>
      <c r="CT704" s="834" t="str">
        <f t="shared" ca="1" si="579"/>
        <v>ТРЕБУЕТСЯ БУСТЕРНАЯ ДОЗА</v>
      </c>
      <c r="CU704" s="835">
        <f t="shared" si="580"/>
        <v>43073</v>
      </c>
      <c r="CV704" s="839"/>
      <c r="CW704" s="832"/>
      <c r="CX704" s="833" t="str">
        <f t="shared" si="581"/>
        <v>-</v>
      </c>
      <c r="CY704" s="840" t="str">
        <f t="shared" si="582"/>
        <v>-</v>
      </c>
      <c r="CZ704" s="833" t="str">
        <f t="shared" si="583"/>
        <v>-</v>
      </c>
      <c r="DA704" s="838" t="str">
        <f t="shared" ca="1" si="584"/>
        <v>-</v>
      </c>
      <c r="DB704" s="841"/>
      <c r="DC704" s="832"/>
    </row>
    <row r="705" spans="1:107" s="842" customFormat="1" ht="15" customHeight="1" x14ac:dyDescent="0.25">
      <c r="A705" s="790">
        <v>707</v>
      </c>
      <c r="B705" s="791">
        <f t="shared" ca="1" si="533"/>
        <v>43134</v>
      </c>
      <c r="C705" s="29" t="s">
        <v>2556</v>
      </c>
      <c r="D705" s="59" t="s">
        <v>2586</v>
      </c>
      <c r="E705" s="794" t="s">
        <v>1093</v>
      </c>
      <c r="F705" s="795" t="s">
        <v>1031</v>
      </c>
      <c r="G705" s="796">
        <f>SUMIFS(МОЛОКО!L8:L6958,МОЛОКО!F8:F6958,"2574",МОЛОКО!L8:L6958,"&gt;0")</f>
        <v>0</v>
      </c>
      <c r="H705" s="797" t="s">
        <v>603</v>
      </c>
      <c r="I705" s="798">
        <v>42090</v>
      </c>
      <c r="J705" s="799">
        <f t="shared" ca="1" si="534"/>
        <v>2.8602739726027395</v>
      </c>
      <c r="K705" s="799">
        <f t="shared" ca="1" si="535"/>
        <v>34.799999999999997</v>
      </c>
      <c r="L705" s="800">
        <f t="shared" ca="1" si="536"/>
        <v>1044</v>
      </c>
      <c r="M705" s="801">
        <v>42753</v>
      </c>
      <c r="N705" s="802">
        <v>42753</v>
      </c>
      <c r="O705" s="803">
        <f t="shared" ca="1" si="537"/>
        <v>381</v>
      </c>
      <c r="P705" s="804">
        <v>1</v>
      </c>
      <c r="Q705" s="805" t="s">
        <v>1451</v>
      </c>
      <c r="R705" s="806" t="s">
        <v>2335</v>
      </c>
      <c r="S705" s="807">
        <v>42817</v>
      </c>
      <c r="T705" s="798">
        <v>42817</v>
      </c>
      <c r="U705" s="798" t="str">
        <f t="shared" si="538"/>
        <v>-</v>
      </c>
      <c r="V705" s="804" t="str">
        <f t="shared" ca="1" si="539"/>
        <v>-</v>
      </c>
      <c r="W705" s="808">
        <v>1</v>
      </c>
      <c r="X705" s="794">
        <f t="shared" si="585"/>
        <v>64</v>
      </c>
      <c r="Y705" s="794">
        <v>1</v>
      </c>
      <c r="Z705" s="809" t="str">
        <f t="shared" ca="1" si="540"/>
        <v>-----</v>
      </c>
      <c r="AA705" s="810" t="str">
        <f t="shared" ca="1" si="541"/>
        <v>-----</v>
      </c>
      <c r="AB705" s="804">
        <v>1</v>
      </c>
      <c r="AC705" s="811" t="str">
        <f t="shared" ca="1" si="542"/>
        <v>-----</v>
      </c>
      <c r="AD705" s="798">
        <v>42912</v>
      </c>
      <c r="AE705" s="794" t="str">
        <f t="shared" ca="1" si="543"/>
        <v>-</v>
      </c>
      <c r="AF705" s="798" t="str">
        <f t="shared" si="544"/>
        <v>-</v>
      </c>
      <c r="AG705" s="812" t="str">
        <f t="shared" si="545"/>
        <v>---------</v>
      </c>
      <c r="AH705" s="807">
        <v>43030</v>
      </c>
      <c r="AI705" s="807">
        <f t="shared" si="546"/>
        <v>43007</v>
      </c>
      <c r="AJ705" s="807">
        <f t="shared" si="547"/>
        <v>43037</v>
      </c>
      <c r="AK705" s="813">
        <v>43031</v>
      </c>
      <c r="AL705" s="807">
        <f t="shared" si="548"/>
        <v>43076</v>
      </c>
      <c r="AM705" s="807">
        <f t="shared" si="549"/>
        <v>43097</v>
      </c>
      <c r="AN705" s="814">
        <f t="shared" ca="1" si="550"/>
        <v>37</v>
      </c>
      <c r="AO705" s="815">
        <v>1</v>
      </c>
      <c r="AP705" s="816" t="str">
        <f t="shared" ca="1" si="551"/>
        <v>-</v>
      </c>
      <c r="AQ705" s="817"/>
      <c r="AR705" s="794" t="str">
        <f t="shared" si="552"/>
        <v>-</v>
      </c>
      <c r="AS705" s="818"/>
      <c r="AT705" s="794" t="str">
        <f t="shared" si="553"/>
        <v>DRY COW</v>
      </c>
      <c r="AU705" s="819"/>
      <c r="AV705" s="820"/>
      <c r="AW705" s="821"/>
      <c r="AX705" s="821"/>
      <c r="AY705" s="969" t="str">
        <f t="shared" si="554"/>
        <v>-</v>
      </c>
      <c r="AZ705" s="966" t="str">
        <f t="shared" si="555"/>
        <v>-</v>
      </c>
      <c r="BA705" s="971" t="str">
        <f t="shared" si="556"/>
        <v>-</v>
      </c>
      <c r="BB705" s="975"/>
      <c r="BC705" s="821"/>
      <c r="BD705" s="821"/>
      <c r="BE705" s="963" t="str">
        <f t="shared" si="557"/>
        <v>-</v>
      </c>
      <c r="BF705" s="984"/>
      <c r="BG705" s="988"/>
      <c r="BH705" s="982"/>
      <c r="BI705" s="991"/>
      <c r="BJ705" s="991"/>
      <c r="BK705" s="993" t="str">
        <f t="shared" si="558"/>
        <v>-</v>
      </c>
      <c r="BL705" s="820">
        <v>42981</v>
      </c>
      <c r="BM705" s="821">
        <v>5</v>
      </c>
      <c r="BN705" s="822">
        <f t="shared" ca="1" si="559"/>
        <v>153</v>
      </c>
      <c r="BO705" s="823">
        <f t="shared" si="560"/>
        <v>29.7</v>
      </c>
      <c r="BP705" s="824">
        <v>43001</v>
      </c>
      <c r="BQ705" s="821">
        <v>2</v>
      </c>
      <c r="BR705" s="822">
        <f t="shared" ca="1" si="561"/>
        <v>133</v>
      </c>
      <c r="BS705" s="823">
        <f t="shared" si="562"/>
        <v>8.2666666666666675</v>
      </c>
      <c r="BT705" s="825" t="str">
        <f t="shared" ca="1" si="563"/>
        <v>-</v>
      </c>
      <c r="BU705" s="826"/>
      <c r="BV705" s="827"/>
      <c r="BW705" s="828" t="str">
        <f t="shared" si="564"/>
        <v>Ж-Е НЕ ВАКЦ.</v>
      </c>
      <c r="BX705" s="829" t="str">
        <f t="shared" si="565"/>
        <v>-</v>
      </c>
      <c r="BY705" s="830" t="str">
        <f t="shared" ca="1" si="566"/>
        <v>-</v>
      </c>
      <c r="BZ705" s="831">
        <v>42887</v>
      </c>
      <c r="CA705" s="832">
        <v>5</v>
      </c>
      <c r="CB705" s="833">
        <f t="shared" ca="1" si="567"/>
        <v>247</v>
      </c>
      <c r="CC705" s="834" t="str">
        <f t="shared" ca="1" si="568"/>
        <v>-</v>
      </c>
      <c r="CD705" s="835">
        <f t="shared" si="569"/>
        <v>42908</v>
      </c>
      <c r="CE705" s="831">
        <v>42908</v>
      </c>
      <c r="CF705" s="832">
        <v>5</v>
      </c>
      <c r="CG705" s="833">
        <f t="shared" ca="1" si="570"/>
        <v>226</v>
      </c>
      <c r="CH705" s="836">
        <f t="shared" si="571"/>
        <v>0</v>
      </c>
      <c r="CI705" s="837" t="str">
        <f t="shared" si="572"/>
        <v>УСПЕШНО</v>
      </c>
      <c r="CJ705" s="838" t="str">
        <f t="shared" ca="1" si="573"/>
        <v>-</v>
      </c>
      <c r="CK705" s="831"/>
      <c r="CL705" s="832"/>
      <c r="CM705" s="833" t="str">
        <f t="shared" si="574"/>
        <v>-</v>
      </c>
      <c r="CN705" s="834" t="str">
        <f t="shared" si="575"/>
        <v>-</v>
      </c>
      <c r="CO705" s="830" t="str">
        <f t="shared" ca="1" si="576"/>
        <v>-</v>
      </c>
      <c r="CP705" s="831">
        <v>43031</v>
      </c>
      <c r="CQ705" s="832">
        <v>2</v>
      </c>
      <c r="CR705" s="833">
        <f t="shared" si="577"/>
        <v>214</v>
      </c>
      <c r="CS705" s="833">
        <f t="shared" ca="1" si="578"/>
        <v>103</v>
      </c>
      <c r="CT705" s="834" t="str">
        <f t="shared" ca="1" si="579"/>
        <v>-</v>
      </c>
      <c r="CU705" s="835">
        <f t="shared" si="580"/>
        <v>43052</v>
      </c>
      <c r="CV705" s="831">
        <v>43052</v>
      </c>
      <c r="CW705" s="832">
        <v>2</v>
      </c>
      <c r="CX705" s="833">
        <f t="shared" si="581"/>
        <v>0</v>
      </c>
      <c r="CY705" s="840" t="str">
        <f t="shared" si="582"/>
        <v>УСПЕШНО</v>
      </c>
      <c r="CZ705" s="833">
        <f t="shared" si="583"/>
        <v>235</v>
      </c>
      <c r="DA705" s="838" t="str">
        <f t="shared" ca="1" si="584"/>
        <v>ТРЕБУЕТСЯ РЕВАКЦИНАЦИЯ</v>
      </c>
      <c r="DB705" s="841"/>
      <c r="DC705" s="832"/>
    </row>
    <row r="706" spans="1:107" s="842" customFormat="1" ht="15.95" customHeight="1" x14ac:dyDescent="0.25">
      <c r="A706" s="790">
        <v>708</v>
      </c>
      <c r="B706" s="791">
        <f t="shared" ca="1" si="533"/>
        <v>43134</v>
      </c>
      <c r="C706" s="29" t="s">
        <v>2556</v>
      </c>
      <c r="D706" s="59" t="s">
        <v>2586</v>
      </c>
      <c r="E706" s="794" t="s">
        <v>1111</v>
      </c>
      <c r="F706" s="795" t="s">
        <v>1018</v>
      </c>
      <c r="G706" s="796">
        <f>SUMIFS(МОЛОКО!L8:L6958,МОЛОКО!F8:F6958,"2575",МОЛОКО!L8:L6958,"&gt;0")</f>
        <v>7</v>
      </c>
      <c r="H706" s="797" t="s">
        <v>603</v>
      </c>
      <c r="I706" s="798">
        <v>42090</v>
      </c>
      <c r="J706" s="799">
        <f t="shared" ca="1" si="534"/>
        <v>2.8602739726027395</v>
      </c>
      <c r="K706" s="799">
        <f t="shared" ca="1" si="535"/>
        <v>34.799999999999997</v>
      </c>
      <c r="L706" s="800">
        <f t="shared" ca="1" si="536"/>
        <v>1044</v>
      </c>
      <c r="M706" s="801">
        <v>42721</v>
      </c>
      <c r="N706" s="802">
        <v>42721</v>
      </c>
      <c r="O706" s="803">
        <f t="shared" ca="1" si="537"/>
        <v>413</v>
      </c>
      <c r="P706" s="804">
        <v>1</v>
      </c>
      <c r="Q706" s="805" t="s">
        <v>1451</v>
      </c>
      <c r="R706" s="806" t="s">
        <v>1810</v>
      </c>
      <c r="S706" s="807">
        <v>42782</v>
      </c>
      <c r="T706" s="798">
        <v>42909</v>
      </c>
      <c r="U706" s="798" t="str">
        <f t="shared" si="538"/>
        <v>-</v>
      </c>
      <c r="V706" s="804" t="str">
        <f t="shared" ca="1" si="539"/>
        <v>-</v>
      </c>
      <c r="W706" s="808">
        <v>2</v>
      </c>
      <c r="X706" s="794">
        <f t="shared" si="585"/>
        <v>188</v>
      </c>
      <c r="Y706" s="794">
        <v>1</v>
      </c>
      <c r="Z706" s="809" t="str">
        <f t="shared" ca="1" si="540"/>
        <v>-----</v>
      </c>
      <c r="AA706" s="810" t="str">
        <f t="shared" ca="1" si="541"/>
        <v>-----</v>
      </c>
      <c r="AB706" s="804">
        <v>1</v>
      </c>
      <c r="AC706" s="811" t="str">
        <f t="shared" ca="1" si="542"/>
        <v>-----</v>
      </c>
      <c r="AD706" s="798">
        <v>43044</v>
      </c>
      <c r="AE706" s="794" t="str">
        <f t="shared" ca="1" si="543"/>
        <v>-</v>
      </c>
      <c r="AF706" s="798" t="str">
        <f t="shared" si="544"/>
        <v>-</v>
      </c>
      <c r="AG706" s="812" t="str">
        <f t="shared" si="545"/>
        <v>---------</v>
      </c>
      <c r="AH706" s="807">
        <v>42940</v>
      </c>
      <c r="AI706" s="807">
        <f t="shared" si="546"/>
        <v>43099</v>
      </c>
      <c r="AJ706" s="807">
        <f t="shared" si="547"/>
        <v>43129</v>
      </c>
      <c r="AK706" s="813">
        <v>43045</v>
      </c>
      <c r="AL706" s="807">
        <f t="shared" si="548"/>
        <v>43168</v>
      </c>
      <c r="AM706" s="807">
        <f t="shared" si="549"/>
        <v>43189</v>
      </c>
      <c r="AN706" s="814">
        <f t="shared" ca="1" si="550"/>
        <v>-55</v>
      </c>
      <c r="AO706" s="815">
        <v>1</v>
      </c>
      <c r="AP706" s="816" t="str">
        <f t="shared" ca="1" si="551"/>
        <v>-</v>
      </c>
      <c r="AQ706" s="817"/>
      <c r="AR706" s="794" t="str">
        <f t="shared" si="552"/>
        <v>-</v>
      </c>
      <c r="AS706" s="818">
        <v>42875</v>
      </c>
      <c r="AT706" s="794" t="str">
        <f t="shared" si="553"/>
        <v>DRY COW</v>
      </c>
      <c r="AU706" s="819"/>
      <c r="AV706" s="820"/>
      <c r="AW706" s="821"/>
      <c r="AX706" s="821"/>
      <c r="AY706" s="969" t="str">
        <f t="shared" si="554"/>
        <v>-</v>
      </c>
      <c r="AZ706" s="966" t="str">
        <f t="shared" si="555"/>
        <v>-</v>
      </c>
      <c r="BA706" s="971" t="str">
        <f t="shared" si="556"/>
        <v>-</v>
      </c>
      <c r="BB706" s="975"/>
      <c r="BC706" s="821"/>
      <c r="BD706" s="821"/>
      <c r="BE706" s="963" t="str">
        <f t="shared" si="557"/>
        <v>-</v>
      </c>
      <c r="BF706" s="984"/>
      <c r="BG706" s="988"/>
      <c r="BH706" s="982"/>
      <c r="BI706" s="991"/>
      <c r="BJ706" s="991"/>
      <c r="BK706" s="993" t="str">
        <f t="shared" si="558"/>
        <v>-</v>
      </c>
      <c r="BL706" s="820">
        <v>42981</v>
      </c>
      <c r="BM706" s="821">
        <v>5</v>
      </c>
      <c r="BN706" s="822">
        <f t="shared" ca="1" si="559"/>
        <v>153</v>
      </c>
      <c r="BO706" s="823">
        <f t="shared" si="560"/>
        <v>29.7</v>
      </c>
      <c r="BP706" s="824">
        <v>43001</v>
      </c>
      <c r="BQ706" s="821">
        <v>2</v>
      </c>
      <c r="BR706" s="822">
        <f t="shared" ca="1" si="561"/>
        <v>133</v>
      </c>
      <c r="BS706" s="823">
        <f t="shared" si="562"/>
        <v>9.3333333333333339</v>
      </c>
      <c r="BT706" s="825" t="str">
        <f t="shared" ca="1" si="563"/>
        <v>-</v>
      </c>
      <c r="BU706" s="826"/>
      <c r="BV706" s="827"/>
      <c r="BW706" s="828" t="str">
        <f t="shared" si="564"/>
        <v>Ж-Е НЕ ВАКЦ.</v>
      </c>
      <c r="BX706" s="829" t="str">
        <f t="shared" si="565"/>
        <v>-</v>
      </c>
      <c r="BY706" s="830" t="str">
        <f t="shared" ca="1" si="566"/>
        <v>-</v>
      </c>
      <c r="BZ706" s="831">
        <v>42887</v>
      </c>
      <c r="CA706" s="832">
        <v>5</v>
      </c>
      <c r="CB706" s="833">
        <f t="shared" ca="1" si="567"/>
        <v>247</v>
      </c>
      <c r="CC706" s="834" t="str">
        <f t="shared" ca="1" si="568"/>
        <v>-</v>
      </c>
      <c r="CD706" s="835">
        <f t="shared" si="569"/>
        <v>42908</v>
      </c>
      <c r="CE706" s="831">
        <v>42908</v>
      </c>
      <c r="CF706" s="832">
        <v>5</v>
      </c>
      <c r="CG706" s="833">
        <f t="shared" ca="1" si="570"/>
        <v>226</v>
      </c>
      <c r="CH706" s="836">
        <f t="shared" si="571"/>
        <v>0</v>
      </c>
      <c r="CI706" s="837" t="str">
        <f t="shared" si="572"/>
        <v>УСПЕШНО</v>
      </c>
      <c r="CJ706" s="838" t="str">
        <f t="shared" ca="1" si="573"/>
        <v>-</v>
      </c>
      <c r="CK706" s="831"/>
      <c r="CL706" s="832"/>
      <c r="CM706" s="833" t="str">
        <f t="shared" si="574"/>
        <v>-</v>
      </c>
      <c r="CN706" s="834" t="str">
        <f t="shared" si="575"/>
        <v>-</v>
      </c>
      <c r="CO706" s="830" t="str">
        <f t="shared" ca="1" si="576"/>
        <v>ТРЕБУЕТСЯ ВАКЦИНАЦИЯ</v>
      </c>
      <c r="CP706" s="839"/>
      <c r="CQ706" s="832"/>
      <c r="CR706" s="833" t="str">
        <f t="shared" si="577"/>
        <v>-</v>
      </c>
      <c r="CS706" s="833" t="str">
        <f t="shared" si="578"/>
        <v>-</v>
      </c>
      <c r="CT706" s="834" t="str">
        <f t="shared" si="579"/>
        <v>-</v>
      </c>
      <c r="CU706" s="835" t="str">
        <f t="shared" si="580"/>
        <v>-</v>
      </c>
      <c r="CV706" s="839"/>
      <c r="CW706" s="832"/>
      <c r="CX706" s="833" t="str">
        <f t="shared" si="581"/>
        <v>-</v>
      </c>
      <c r="CY706" s="840" t="str">
        <f t="shared" si="582"/>
        <v>-</v>
      </c>
      <c r="CZ706" s="833" t="str">
        <f t="shared" si="583"/>
        <v>-</v>
      </c>
      <c r="DA706" s="838" t="str">
        <f t="shared" ca="1" si="584"/>
        <v>-</v>
      </c>
      <c r="DB706" s="841"/>
      <c r="DC706" s="832"/>
    </row>
    <row r="707" spans="1:107" s="842" customFormat="1" ht="15.95" customHeight="1" x14ac:dyDescent="0.25">
      <c r="A707" s="790">
        <v>709</v>
      </c>
      <c r="B707" s="791">
        <f t="shared" ref="B707:B770" ca="1" si="586">TODAY()</f>
        <v>43134</v>
      </c>
      <c r="C707" s="29" t="s">
        <v>2556</v>
      </c>
      <c r="D707" s="59" t="s">
        <v>2586</v>
      </c>
      <c r="E707" s="794" t="s">
        <v>654</v>
      </c>
      <c r="F707" s="854" t="s">
        <v>655</v>
      </c>
      <c r="G707" s="796">
        <f>SUMIFS(МОЛОКО!L8:L6958,МОЛОКО!F8:F6958,"5114",МОЛОКО!L8:L6958,"&gt;0")</f>
        <v>0</v>
      </c>
      <c r="H707" s="797" t="s">
        <v>723</v>
      </c>
      <c r="I707" s="798">
        <v>38428</v>
      </c>
      <c r="J707" s="799">
        <f t="shared" ref="J707:J770" ca="1" si="587">(B707-I707)/365</f>
        <v>12.893150684931507</v>
      </c>
      <c r="K707" s="799">
        <f t="shared" ref="K707:K770" ca="1" si="588">(B707-I707)/30</f>
        <v>156.86666666666667</v>
      </c>
      <c r="L707" s="800">
        <f t="shared" ref="L707:L770" ca="1" si="589">B707-I707</f>
        <v>4706</v>
      </c>
      <c r="M707" s="801">
        <v>39474</v>
      </c>
      <c r="N707" s="802">
        <v>42748</v>
      </c>
      <c r="O707" s="803">
        <f t="shared" ref="O707:O770" ca="1" si="590">IF(AND(B707&gt;0,N707&gt;0),B707-N707,"-")</f>
        <v>386</v>
      </c>
      <c r="P707" s="804">
        <v>9</v>
      </c>
      <c r="Q707" s="805" t="s">
        <v>1451</v>
      </c>
      <c r="R707" s="806" t="s">
        <v>1815</v>
      </c>
      <c r="S707" s="807">
        <v>42810</v>
      </c>
      <c r="T707" s="798">
        <v>42810</v>
      </c>
      <c r="U707" s="798" t="str">
        <f t="shared" ref="U707:U770" si="591">IF(AND(Y707&gt;1,T707&gt;0),T707+18,"-")</f>
        <v>-</v>
      </c>
      <c r="V707" s="804" t="str">
        <f t="shared" ref="V707:V770" ca="1" si="592">IF(AND(U707&gt;0,B707&gt;0,Y707&gt;1),B707-U707,"-")</f>
        <v>-</v>
      </c>
      <c r="W707" s="808">
        <v>1</v>
      </c>
      <c r="X707" s="794">
        <f t="shared" si="585"/>
        <v>62</v>
      </c>
      <c r="Y707" s="794">
        <v>1</v>
      </c>
      <c r="Z707" s="809" t="str">
        <f t="shared" ref="Z707:Z770" ca="1" si="593">IF(AND(Y707=1,AA707&gt;71,OR(ISBLANK(AB707),AB707=2)),"ПОДЛЕЖИТ ПЕРЕПРОВЕРКЕ","-----")</f>
        <v>-----</v>
      </c>
      <c r="AA707" s="810" t="str">
        <f t="shared" ref="AA707:AA770" ca="1" si="594">IF(AND(O707&gt;-1,W707&gt;0,Y707=1,AB707=1),"-----",B707-T707)</f>
        <v>-----</v>
      </c>
      <c r="AB707" s="804">
        <v>1</v>
      </c>
      <c r="AC707" s="811" t="str">
        <f t="shared" ref="AC707:AC770" ca="1" si="595">IF(AND(AB707&lt;1,Z707="ПОДЛЕЖИТ ПЕРЕПРОВЕРКЕ",Y707=1),T707+72,"-----")</f>
        <v>-----</v>
      </c>
      <c r="AD707" s="798">
        <v>43030</v>
      </c>
      <c r="AE707" s="794" t="str">
        <f t="shared" ref="AE707:AE770" ca="1" si="596">IF(AND(O707&gt;120,Y707=0,N707&gt;0),"яловая","-")</f>
        <v>-</v>
      </c>
      <c r="AF707" s="798" t="str">
        <f t="shared" ref="AF707:AF770" si="597">IF(AND(T707&gt;0,OR(Y707=3,Y707=2)),T707+35,"-")</f>
        <v>-</v>
      </c>
      <c r="AG707" s="812" t="str">
        <f t="shared" ref="AG707:AG770" si="598">IF(AND(T707&gt;0,W707&gt;0,Q707&gt;0,OR(Y707=3,Y707=2)),B707-AF707,"---------")</f>
        <v>---------</v>
      </c>
      <c r="AH707" s="807">
        <v>43030</v>
      </c>
      <c r="AI707" s="807">
        <f t="shared" ref="AI707:AI770" si="599">IF(AND($T707&gt;0,$N707&gt;0,$Y707=1),$T707+280-90,"-")</f>
        <v>43000</v>
      </c>
      <c r="AJ707" s="807">
        <f t="shared" ref="AJ707:AJ770" si="600">IF(AND(T707&gt;0,Y707=1,N707&gt;0),T707+280-60,"-")</f>
        <v>43030</v>
      </c>
      <c r="AK707" s="813">
        <v>43031</v>
      </c>
      <c r="AL707" s="807">
        <f t="shared" ref="AL707:AL770" si="601">IF(AND($T707&gt;0,$Y707=1),$T707+280-21,"-")</f>
        <v>43069</v>
      </c>
      <c r="AM707" s="807">
        <f t="shared" ref="AM707:AM770" si="602">IF(AND(T707&gt;0,Y707=1),T707+280,"-")</f>
        <v>43090</v>
      </c>
      <c r="AN707" s="814">
        <f t="shared" ref="AN707:AN770" ca="1" si="603">IF(AND(B707&gt;0,AM707&gt;0,AH707&gt;0,Y707=1),B707-AM707,"-")</f>
        <v>44</v>
      </c>
      <c r="AO707" s="815">
        <v>1</v>
      </c>
      <c r="AP707" s="816" t="str">
        <f t="shared" ref="AP707:AP770" ca="1" si="604">IF(AND(AE707="яловая",O707&gt;300),"БРАК","-")</f>
        <v>-</v>
      </c>
      <c r="AQ707" s="817"/>
      <c r="AR707" s="794" t="str">
        <f t="shared" ref="AR707:AR770" si="605">IF(AND(Y707=1,P707=0),"НЕТЕЛЬ","-")</f>
        <v>-</v>
      </c>
      <c r="AS707" s="818"/>
      <c r="AT707" s="794" t="str">
        <f t="shared" ref="AT707:AT770" si="606">IF(AND(N707&gt;0,T707&gt;0,W707&gt;0,Y707=1,AH707&gt;0,AK707&gt;0),"DRY COW","-")</f>
        <v>DRY COW</v>
      </c>
      <c r="AU707" s="819">
        <v>1</v>
      </c>
      <c r="AV707" s="820"/>
      <c r="AW707" s="821"/>
      <c r="AX707" s="821"/>
      <c r="AY707" s="969" t="str">
        <f t="shared" ref="AY707:AY770" si="607">IF(AND(AV707&gt;0,AW707&gt;0,AX707&gt;0),B707-AV707,"-")</f>
        <v>-</v>
      </c>
      <c r="AZ707" s="966" t="str">
        <f t="shared" ref="AZ707:AZ770" si="608">IF(AND(AV707&gt;0,AW707&gt;0,AX707&gt;0,AY707&gt;10,BB707=0,BC707=0,BD707=0),"РЕВАКЦИНАЦИЯ","-")</f>
        <v>-</v>
      </c>
      <c r="BA707" s="971" t="str">
        <f t="shared" ref="BA707:BA770" si="609">IF(AND(AV707&gt;0,AW707&gt;0,AX707&gt;0),AV707+10,"-")</f>
        <v>-</v>
      </c>
      <c r="BB707" s="975"/>
      <c r="BC707" s="821"/>
      <c r="BD707" s="821"/>
      <c r="BE707" s="963" t="str">
        <f t="shared" ref="BE707:BE770" si="610">IF(AND(BB707&gt;0,BC707&gt;0,BD707&gt;0),B707-BB707,"-")</f>
        <v>-</v>
      </c>
      <c r="BF707" s="984"/>
      <c r="BG707" s="988"/>
      <c r="BH707" s="982"/>
      <c r="BI707" s="991"/>
      <c r="BJ707" s="991"/>
      <c r="BK707" s="993" t="str">
        <f t="shared" ref="BK707:BK770" si="611">IF(AND(BF707&gt;0,BG707&gt;0,BH707&gt;0,BI707&gt;0,BJ707&gt;0),B707-BF707,"-")</f>
        <v>-</v>
      </c>
      <c r="BL707" s="820">
        <v>42981</v>
      </c>
      <c r="BM707" s="821">
        <v>5</v>
      </c>
      <c r="BN707" s="822">
        <f t="shared" ref="BN707:BN770" ca="1" si="612">IF(AND(BL707&gt;0,BM707&gt;0),B707-BL707,"-")</f>
        <v>153</v>
      </c>
      <c r="BO707" s="823">
        <f t="shared" ref="BO707:BO770" si="613">IF(AND(BL707&gt;0,BM707&gt;0),(BL707-I707)/30,"-")</f>
        <v>151.76666666666668</v>
      </c>
      <c r="BP707" s="824"/>
      <c r="BQ707" s="821"/>
      <c r="BR707" s="822" t="str">
        <f t="shared" ref="BR707:BR770" si="614">IF(AND(BP707&gt;0,BQ707&gt;0),B707-BP707,"-")</f>
        <v>-</v>
      </c>
      <c r="BS707" s="823" t="str">
        <f t="shared" ref="BS707:BS770" si="615">IF(AND(BP707&gt;0,BQ707&gt;0),(BP707-M707)/30,"-")</f>
        <v>-</v>
      </c>
      <c r="BT707" s="825" t="str">
        <f t="shared" ref="BT707:BT770" ca="1" si="616">IF(AND(OR(E707="тёлочка",E707="бычок"),L707&gt;0,BV707&lt;2,L707&lt;60),"ПОДЛЕЖИТ ВАКЦИНАЦИИ","-")</f>
        <v>-</v>
      </c>
      <c r="BU707" s="826"/>
      <c r="BV707" s="827"/>
      <c r="BW707" s="828" t="str">
        <f t="shared" ref="BW707:BW770" si="617">IF(AND(BU707&gt;0,BV707=2),BU707-I707,"Ж-Е НЕ ВАКЦ.")</f>
        <v>Ж-Е НЕ ВАКЦ.</v>
      </c>
      <c r="BX707" s="829" t="str">
        <f t="shared" ref="BX707:BX770" si="618">IF(AND(BU707&gt;0,BV707=2),B707-BU707,"-")</f>
        <v>-</v>
      </c>
      <c r="BY707" s="830" t="str">
        <f t="shared" ref="BY707:BY770" ca="1" si="619">IF(AND(L707&gt;42,CA707&lt;5),"ПОДЛЕЖИТ ВАКЦИНАЦИИ","-")</f>
        <v>-</v>
      </c>
      <c r="BZ707" s="831">
        <v>42887</v>
      </c>
      <c r="CA707" s="832">
        <v>5</v>
      </c>
      <c r="CB707" s="833">
        <f t="shared" ref="CB707:CB770" ca="1" si="620">IF(AND(BZ707&gt;0,CA707=5),B707-BZ707,"-")</f>
        <v>247</v>
      </c>
      <c r="CC707" s="834" t="str">
        <f t="shared" ref="CC707:CC770" ca="1" si="621">IF(AND(CA707=5,CB707&gt;20,CF707&lt;5),"ТРЕБУЕТСЯ БУСТЕРНАЯ ДОЗА","-")</f>
        <v>-</v>
      </c>
      <c r="CD707" s="835">
        <f t="shared" ref="CD707:CD770" si="622">IF(AND(BZ707&gt;0,CA707=5),BZ707+21,"-")</f>
        <v>42908</v>
      </c>
      <c r="CE707" s="831">
        <v>42908</v>
      </c>
      <c r="CF707" s="832">
        <v>5</v>
      </c>
      <c r="CG707" s="833">
        <f t="shared" ref="CG707:CG770" ca="1" si="623">IF(AND(CE707&gt;0,CF707=5),B707-CE707,"-")</f>
        <v>226</v>
      </c>
      <c r="CH707" s="836">
        <f t="shared" ref="CH707:CH770" si="624">IF(AND(CD707&gt;0,CE707&gt;0,CF707=5),CD707-CE707,"-")</f>
        <v>0</v>
      </c>
      <c r="CI707" s="837" t="str">
        <f t="shared" ref="CI707:CI770" si="625">IF(AND(CF707=5,CH707=0),"УСПЕШНО","-")</f>
        <v>УСПЕШНО</v>
      </c>
      <c r="CJ707" s="838" t="str">
        <f t="shared" ref="CJ707:CJ770" ca="1" si="626">IF(AND(BZ707&gt;0,CA707=5,CE707&gt;0,CF707=5,CG707&gt;240,CL707&lt;5),"НЕОБХОДИМА РЕВАКЦИНАЦИЯ","-")</f>
        <v>-</v>
      </c>
      <c r="CK707" s="831"/>
      <c r="CL707" s="832"/>
      <c r="CM707" s="833" t="str">
        <f t="shared" ref="CM707:CM770" si="627">IF(AND(CK707&gt;0,CL707=5),N707-CK707,"-")</f>
        <v>-</v>
      </c>
      <c r="CN707" s="834" t="str">
        <f t="shared" ref="CN707:CN770" si="628">IF(AND(CK707&gt;0,CL707=5,CM707&gt;240),"НЕОБХОДИМА РЕВАКЦИНАЦИЯ","-")</f>
        <v>-</v>
      </c>
      <c r="CO707" s="830" t="str">
        <f t="shared" ref="CO707:CO770" ca="1" si="629">IF(AND(Y707=1,AN707&gt;-70,CQ707&lt;2),"ТРЕБУЕТСЯ ВАКЦИНАЦИЯ","-")</f>
        <v>-</v>
      </c>
      <c r="CP707" s="831">
        <v>43024</v>
      </c>
      <c r="CQ707" s="832">
        <v>2</v>
      </c>
      <c r="CR707" s="833">
        <f t="shared" ref="CR707:CR770" si="630">IF(AND(CP707&gt;0,CQ707=2),CP707-T707,"-")</f>
        <v>214</v>
      </c>
      <c r="CS707" s="833">
        <f t="shared" ref="CS707:CS770" ca="1" si="631">IF(AND(CP707&gt;0,CQ707=2),B707-CP707,"-")</f>
        <v>110</v>
      </c>
      <c r="CT707" s="834" t="str">
        <f t="shared" ref="CT707:CT770" ca="1" si="632">IF(AND(CQ707=2,CS707&gt;20,CW707&lt;2),"ТРЕБУЕТСЯ БУСТЕРНАЯ ДОЗА","-")</f>
        <v>-</v>
      </c>
      <c r="CU707" s="835">
        <f t="shared" ref="CU707:CU770" si="633">IF(AND(CP707&gt;0,CQ707=2),CP707+21,"-")</f>
        <v>43045</v>
      </c>
      <c r="CV707" s="831">
        <v>43045</v>
      </c>
      <c r="CW707" s="832">
        <v>2</v>
      </c>
      <c r="CX707" s="833">
        <f t="shared" ref="CX707:CX770" si="634">IF(AND(CU707&gt;0,CV707&gt;0,CW707=2),CV707-CU707,"-")</f>
        <v>0</v>
      </c>
      <c r="CY707" s="840" t="str">
        <f t="shared" ref="CY707:CY770" si="635">IF(AND(CW707=2,CX707=0),"УСПЕШНО","-")</f>
        <v>УСПЕШНО</v>
      </c>
      <c r="CZ707" s="833">
        <f t="shared" ref="CZ707:CZ770" si="636">IF(AND(CV707&gt;0,CW707=2),CV707-T707,"-")</f>
        <v>235</v>
      </c>
      <c r="DA707" s="838" t="str">
        <f t="shared" ref="DA707:DA770" ca="1" si="637">IF(AND(CP707&gt;0,CQ707=2,CV707&gt;0,CW707=2,Y707=1,AN707&gt;-50,DC707&lt;2),"ТРЕБУЕТСЯ РЕВАКЦИНАЦИЯ","-")</f>
        <v>ТРЕБУЕТСЯ РЕВАКЦИНАЦИЯ</v>
      </c>
      <c r="DB707" s="841"/>
      <c r="DC707" s="832"/>
    </row>
    <row r="708" spans="1:107" x14ac:dyDescent="0.25">
      <c r="A708" s="790">
        <v>710</v>
      </c>
      <c r="B708" s="791">
        <f t="shared" ca="1" si="586"/>
        <v>43134</v>
      </c>
      <c r="C708" s="792" t="s">
        <v>2556</v>
      </c>
      <c r="D708" s="793" t="s">
        <v>2586</v>
      </c>
      <c r="E708" s="794" t="s">
        <v>154</v>
      </c>
      <c r="F708" s="795" t="s">
        <v>155</v>
      </c>
      <c r="G708" s="796">
        <f>SUMIFS(МОЛОКО!L8:L6958,МОЛОКО!F8:F6958,"11043",МОЛОКО!L8:L6958,"&gt;0")</f>
        <v>0</v>
      </c>
      <c r="H708" s="797" t="s">
        <v>87</v>
      </c>
      <c r="I708" s="798">
        <v>40588</v>
      </c>
      <c r="J708" s="799">
        <f t="shared" ca="1" si="587"/>
        <v>6.9753424657534246</v>
      </c>
      <c r="K708" s="799">
        <f t="shared" ca="1" si="588"/>
        <v>84.86666666666666</v>
      </c>
      <c r="L708" s="800">
        <f t="shared" ca="1" si="589"/>
        <v>2546</v>
      </c>
      <c r="M708" s="801">
        <v>41599</v>
      </c>
      <c r="N708" s="802">
        <v>42606</v>
      </c>
      <c r="O708" s="803">
        <f t="shared" ca="1" si="590"/>
        <v>528</v>
      </c>
      <c r="P708" s="804">
        <v>3</v>
      </c>
      <c r="Q708" s="805" t="s">
        <v>1451</v>
      </c>
      <c r="R708" s="806" t="s">
        <v>1875</v>
      </c>
      <c r="S708" s="807">
        <v>42680</v>
      </c>
      <c r="T708" s="798">
        <v>42812</v>
      </c>
      <c r="U708" s="798" t="str">
        <f t="shared" si="591"/>
        <v>-</v>
      </c>
      <c r="V708" s="804" t="str">
        <f t="shared" ca="1" si="592"/>
        <v>-</v>
      </c>
      <c r="W708" s="808">
        <v>4</v>
      </c>
      <c r="X708" s="794">
        <f t="shared" si="585"/>
        <v>206</v>
      </c>
      <c r="Y708" s="794">
        <v>1</v>
      </c>
      <c r="Z708" s="809" t="str">
        <f t="shared" ca="1" si="593"/>
        <v>-----</v>
      </c>
      <c r="AA708" s="810" t="str">
        <f t="shared" ca="1" si="594"/>
        <v>-----</v>
      </c>
      <c r="AB708" s="804">
        <v>1</v>
      </c>
      <c r="AC708" s="811" t="str">
        <f t="shared" ca="1" si="595"/>
        <v>-----</v>
      </c>
      <c r="AD708" s="798">
        <v>43010</v>
      </c>
      <c r="AE708" s="794" t="str">
        <f t="shared" ca="1" si="596"/>
        <v>-</v>
      </c>
      <c r="AF708" s="798" t="str">
        <f t="shared" si="597"/>
        <v>-</v>
      </c>
      <c r="AG708" s="812" t="str">
        <f t="shared" si="598"/>
        <v>---------</v>
      </c>
      <c r="AH708" s="807">
        <v>42853</v>
      </c>
      <c r="AI708" s="807">
        <f t="shared" si="599"/>
        <v>43002</v>
      </c>
      <c r="AJ708" s="807">
        <f t="shared" si="600"/>
        <v>43032</v>
      </c>
      <c r="AK708" s="813">
        <v>43010</v>
      </c>
      <c r="AL708" s="807">
        <f t="shared" si="601"/>
        <v>43071</v>
      </c>
      <c r="AM708" s="807">
        <f t="shared" si="602"/>
        <v>43092</v>
      </c>
      <c r="AN708" s="814">
        <f t="shared" ca="1" si="603"/>
        <v>42</v>
      </c>
      <c r="AO708" s="815">
        <v>1</v>
      </c>
      <c r="AP708" s="816" t="str">
        <f t="shared" ca="1" si="604"/>
        <v>-</v>
      </c>
      <c r="AQ708" s="817"/>
      <c r="AR708" s="794" t="str">
        <f t="shared" si="605"/>
        <v>-</v>
      </c>
      <c r="AS708" s="818"/>
      <c r="AT708" s="794" t="str">
        <f t="shared" si="606"/>
        <v>DRY COW</v>
      </c>
      <c r="AU708" s="819"/>
      <c r="AV708" s="820"/>
      <c r="AW708" s="821"/>
      <c r="AX708" s="821"/>
      <c r="AY708" s="969" t="str">
        <f t="shared" si="607"/>
        <v>-</v>
      </c>
      <c r="AZ708" s="966" t="str">
        <f t="shared" si="608"/>
        <v>-</v>
      </c>
      <c r="BA708" s="971" t="str">
        <f t="shared" si="609"/>
        <v>-</v>
      </c>
      <c r="BB708" s="975"/>
      <c r="BC708" s="821"/>
      <c r="BD708" s="821"/>
      <c r="BE708" s="963" t="str">
        <f t="shared" si="610"/>
        <v>-</v>
      </c>
      <c r="BF708" s="984"/>
      <c r="BG708" s="988"/>
      <c r="BH708" s="982"/>
      <c r="BI708" s="991"/>
      <c r="BJ708" s="991"/>
      <c r="BK708" s="993" t="str">
        <f t="shared" si="611"/>
        <v>-</v>
      </c>
      <c r="BL708" s="820">
        <v>42981</v>
      </c>
      <c r="BM708" s="821">
        <v>5</v>
      </c>
      <c r="BN708" s="822">
        <f t="shared" ca="1" si="612"/>
        <v>153</v>
      </c>
      <c r="BO708" s="823">
        <f t="shared" si="613"/>
        <v>79.766666666666666</v>
      </c>
      <c r="BP708" s="824"/>
      <c r="BQ708" s="821"/>
      <c r="BR708" s="822" t="str">
        <f t="shared" si="614"/>
        <v>-</v>
      </c>
      <c r="BS708" s="823" t="str">
        <f t="shared" si="615"/>
        <v>-</v>
      </c>
      <c r="BT708" s="825" t="str">
        <f t="shared" ca="1" si="616"/>
        <v>-</v>
      </c>
      <c r="BU708" s="826"/>
      <c r="BV708" s="827"/>
      <c r="BW708" s="828" t="str">
        <f t="shared" si="617"/>
        <v>Ж-Е НЕ ВАКЦ.</v>
      </c>
      <c r="BX708" s="829" t="str">
        <f t="shared" si="618"/>
        <v>-</v>
      </c>
      <c r="BY708" s="830" t="str">
        <f t="shared" ca="1" si="619"/>
        <v>-</v>
      </c>
      <c r="BZ708" s="831">
        <v>42887</v>
      </c>
      <c r="CA708" s="832">
        <v>5</v>
      </c>
      <c r="CB708" s="833">
        <f t="shared" ca="1" si="620"/>
        <v>247</v>
      </c>
      <c r="CC708" s="834" t="str">
        <f t="shared" ca="1" si="621"/>
        <v>-</v>
      </c>
      <c r="CD708" s="835">
        <f t="shared" si="622"/>
        <v>42908</v>
      </c>
      <c r="CE708" s="831">
        <v>42908</v>
      </c>
      <c r="CF708" s="832">
        <v>5</v>
      </c>
      <c r="CG708" s="833">
        <f t="shared" ca="1" si="623"/>
        <v>226</v>
      </c>
      <c r="CH708" s="836">
        <f t="shared" si="624"/>
        <v>0</v>
      </c>
      <c r="CI708" s="837" t="str">
        <f t="shared" si="625"/>
        <v>УСПЕШНО</v>
      </c>
      <c r="CJ708" s="838" t="str">
        <f t="shared" ca="1" si="626"/>
        <v>-</v>
      </c>
      <c r="CK708" s="831"/>
      <c r="CL708" s="832"/>
      <c r="CM708" s="833" t="str">
        <f t="shared" si="627"/>
        <v>-</v>
      </c>
      <c r="CN708" s="834" t="str">
        <f t="shared" si="628"/>
        <v>-</v>
      </c>
      <c r="CO708" s="830" t="str">
        <f t="shared" ca="1" si="629"/>
        <v>-</v>
      </c>
      <c r="CP708" s="831">
        <v>43031</v>
      </c>
      <c r="CQ708" s="832">
        <v>2</v>
      </c>
      <c r="CR708" s="833">
        <f t="shared" si="630"/>
        <v>219</v>
      </c>
      <c r="CS708" s="833">
        <f t="shared" ca="1" si="631"/>
        <v>103</v>
      </c>
      <c r="CT708" s="834" t="str">
        <f t="shared" ca="1" si="632"/>
        <v>-</v>
      </c>
      <c r="CU708" s="835">
        <f t="shared" si="633"/>
        <v>43052</v>
      </c>
      <c r="CV708" s="831">
        <v>43052</v>
      </c>
      <c r="CW708" s="832">
        <v>2</v>
      </c>
      <c r="CX708" s="833">
        <f t="shared" si="634"/>
        <v>0</v>
      </c>
      <c r="CY708" s="840" t="str">
        <f t="shared" si="635"/>
        <v>УСПЕШНО</v>
      </c>
      <c r="CZ708" s="833">
        <f t="shared" si="636"/>
        <v>240</v>
      </c>
      <c r="DA708" s="838" t="str">
        <f t="shared" ca="1" si="637"/>
        <v>ТРЕБУЕТСЯ РЕВАКЦИНАЦИЯ</v>
      </c>
      <c r="DB708" s="841"/>
      <c r="DC708" s="832"/>
    </row>
    <row r="709" spans="1:107" s="842" customFormat="1" ht="15.95" customHeight="1" x14ac:dyDescent="0.25">
      <c r="A709" s="790">
        <v>711</v>
      </c>
      <c r="B709" s="791">
        <f t="shared" ca="1" si="586"/>
        <v>43134</v>
      </c>
      <c r="C709" s="29" t="s">
        <v>2556</v>
      </c>
      <c r="D709" s="59" t="s">
        <v>2586</v>
      </c>
      <c r="E709" s="794" t="s">
        <v>130</v>
      </c>
      <c r="F709" s="854" t="s">
        <v>131</v>
      </c>
      <c r="G709" s="796">
        <f>SUMIFS(МОЛОКО!L8:L6958,МОЛОКО!F8:F6958,"11245",МОЛОКО!L8:L6958,"&gt;0")</f>
        <v>3</v>
      </c>
      <c r="H709" s="797" t="s">
        <v>87</v>
      </c>
      <c r="I709" s="798">
        <v>40722</v>
      </c>
      <c r="J709" s="799">
        <f t="shared" ca="1" si="587"/>
        <v>6.6082191780821917</v>
      </c>
      <c r="K709" s="799">
        <f t="shared" ca="1" si="588"/>
        <v>80.400000000000006</v>
      </c>
      <c r="L709" s="800">
        <f t="shared" ca="1" si="589"/>
        <v>2412</v>
      </c>
      <c r="M709" s="801">
        <v>41579</v>
      </c>
      <c r="N709" s="802">
        <v>42727</v>
      </c>
      <c r="O709" s="803">
        <f t="shared" ca="1" si="590"/>
        <v>407</v>
      </c>
      <c r="P709" s="804">
        <v>4</v>
      </c>
      <c r="Q709" s="68" t="s">
        <v>2366</v>
      </c>
      <c r="R709" s="806" t="s">
        <v>2962</v>
      </c>
      <c r="S709" s="807">
        <v>42789</v>
      </c>
      <c r="T709" s="855">
        <v>42940</v>
      </c>
      <c r="U709" s="798" t="str">
        <f t="shared" si="591"/>
        <v>-</v>
      </c>
      <c r="V709" s="804" t="str">
        <f t="shared" ca="1" si="592"/>
        <v>-</v>
      </c>
      <c r="W709" s="808">
        <v>4</v>
      </c>
      <c r="X709" s="794">
        <f t="shared" si="585"/>
        <v>213</v>
      </c>
      <c r="Y709" s="794">
        <v>1</v>
      </c>
      <c r="Z709" s="809" t="str">
        <f t="shared" ca="1" si="593"/>
        <v>-----</v>
      </c>
      <c r="AA709" s="810" t="str">
        <f t="shared" ca="1" si="594"/>
        <v>-----</v>
      </c>
      <c r="AB709" s="804">
        <v>1</v>
      </c>
      <c r="AC709" s="811" t="str">
        <f t="shared" ca="1" si="595"/>
        <v>-----</v>
      </c>
      <c r="AD709" s="798">
        <v>43014</v>
      </c>
      <c r="AE709" s="794" t="str">
        <f t="shared" ca="1" si="596"/>
        <v>-</v>
      </c>
      <c r="AF709" s="798" t="str">
        <f t="shared" si="597"/>
        <v>-</v>
      </c>
      <c r="AG709" s="812" t="str">
        <f t="shared" si="598"/>
        <v>---------</v>
      </c>
      <c r="AH709" s="807">
        <v>42972</v>
      </c>
      <c r="AI709" s="807">
        <f t="shared" si="599"/>
        <v>43130</v>
      </c>
      <c r="AJ709" s="807">
        <f t="shared" si="600"/>
        <v>43160</v>
      </c>
      <c r="AK709" s="813">
        <v>43053</v>
      </c>
      <c r="AL709" s="807">
        <f t="shared" si="601"/>
        <v>43199</v>
      </c>
      <c r="AM709" s="807">
        <f t="shared" si="602"/>
        <v>43220</v>
      </c>
      <c r="AN709" s="814">
        <f t="shared" ca="1" si="603"/>
        <v>-86</v>
      </c>
      <c r="AO709" s="815">
        <v>1</v>
      </c>
      <c r="AP709" s="816" t="str">
        <f t="shared" ca="1" si="604"/>
        <v>-</v>
      </c>
      <c r="AQ709" s="817"/>
      <c r="AR709" s="794" t="str">
        <f t="shared" si="605"/>
        <v>-</v>
      </c>
      <c r="AS709" s="818"/>
      <c r="AT709" s="794" t="str">
        <f t="shared" si="606"/>
        <v>DRY COW</v>
      </c>
      <c r="AU709" s="819">
        <v>1</v>
      </c>
      <c r="AV709" s="820"/>
      <c r="AW709" s="821"/>
      <c r="AX709" s="821"/>
      <c r="AY709" s="969" t="str">
        <f t="shared" si="607"/>
        <v>-</v>
      </c>
      <c r="AZ709" s="966" t="str">
        <f t="shared" si="608"/>
        <v>-</v>
      </c>
      <c r="BA709" s="971" t="str">
        <f t="shared" si="609"/>
        <v>-</v>
      </c>
      <c r="BB709" s="975"/>
      <c r="BC709" s="821"/>
      <c r="BD709" s="821"/>
      <c r="BE709" s="963" t="str">
        <f t="shared" si="610"/>
        <v>-</v>
      </c>
      <c r="BF709" s="984"/>
      <c r="BG709" s="988"/>
      <c r="BH709" s="982"/>
      <c r="BI709" s="991"/>
      <c r="BJ709" s="991"/>
      <c r="BK709" s="993" t="str">
        <f t="shared" si="611"/>
        <v>-</v>
      </c>
      <c r="BL709" s="820">
        <v>42981</v>
      </c>
      <c r="BM709" s="821">
        <v>5</v>
      </c>
      <c r="BN709" s="822">
        <f t="shared" ca="1" si="612"/>
        <v>153</v>
      </c>
      <c r="BO709" s="823">
        <f t="shared" si="613"/>
        <v>75.3</v>
      </c>
      <c r="BP709" s="824"/>
      <c r="BQ709" s="821"/>
      <c r="BR709" s="822" t="str">
        <f t="shared" si="614"/>
        <v>-</v>
      </c>
      <c r="BS709" s="823" t="str">
        <f t="shared" si="615"/>
        <v>-</v>
      </c>
      <c r="BT709" s="825" t="str">
        <f t="shared" ca="1" si="616"/>
        <v>-</v>
      </c>
      <c r="BU709" s="826"/>
      <c r="BV709" s="827"/>
      <c r="BW709" s="828" t="str">
        <f t="shared" si="617"/>
        <v>Ж-Е НЕ ВАКЦ.</v>
      </c>
      <c r="BX709" s="829" t="str">
        <f t="shared" si="618"/>
        <v>-</v>
      </c>
      <c r="BY709" s="830" t="str">
        <f t="shared" ca="1" si="619"/>
        <v>-</v>
      </c>
      <c r="BZ709" s="831">
        <v>42887</v>
      </c>
      <c r="CA709" s="832">
        <v>5</v>
      </c>
      <c r="CB709" s="833">
        <f t="shared" ca="1" si="620"/>
        <v>247</v>
      </c>
      <c r="CC709" s="834" t="str">
        <f t="shared" ca="1" si="621"/>
        <v>-</v>
      </c>
      <c r="CD709" s="835">
        <f t="shared" si="622"/>
        <v>42908</v>
      </c>
      <c r="CE709" s="831">
        <v>42908</v>
      </c>
      <c r="CF709" s="832">
        <v>5</v>
      </c>
      <c r="CG709" s="833">
        <f t="shared" ca="1" si="623"/>
        <v>226</v>
      </c>
      <c r="CH709" s="836">
        <f t="shared" si="624"/>
        <v>0</v>
      </c>
      <c r="CI709" s="837" t="str">
        <f t="shared" si="625"/>
        <v>УСПЕШНО</v>
      </c>
      <c r="CJ709" s="838" t="str">
        <f t="shared" ca="1" si="626"/>
        <v>-</v>
      </c>
      <c r="CK709" s="831"/>
      <c r="CL709" s="832"/>
      <c r="CM709" s="833" t="str">
        <f t="shared" si="627"/>
        <v>-</v>
      </c>
      <c r="CN709" s="834" t="str">
        <f t="shared" si="628"/>
        <v>-</v>
      </c>
      <c r="CO709" s="830" t="str">
        <f t="shared" ca="1" si="629"/>
        <v>-</v>
      </c>
      <c r="CP709" s="839"/>
      <c r="CQ709" s="832"/>
      <c r="CR709" s="833" t="str">
        <f t="shared" si="630"/>
        <v>-</v>
      </c>
      <c r="CS709" s="833" t="str">
        <f t="shared" si="631"/>
        <v>-</v>
      </c>
      <c r="CT709" s="834" t="str">
        <f t="shared" si="632"/>
        <v>-</v>
      </c>
      <c r="CU709" s="835" t="str">
        <f t="shared" si="633"/>
        <v>-</v>
      </c>
      <c r="CV709" s="839"/>
      <c r="CW709" s="832"/>
      <c r="CX709" s="833" t="str">
        <f t="shared" si="634"/>
        <v>-</v>
      </c>
      <c r="CY709" s="840" t="str">
        <f t="shared" si="635"/>
        <v>-</v>
      </c>
      <c r="CZ709" s="833" t="str">
        <f t="shared" si="636"/>
        <v>-</v>
      </c>
      <c r="DA709" s="838" t="str">
        <f t="shared" ca="1" si="637"/>
        <v>-</v>
      </c>
      <c r="DB709" s="841"/>
      <c r="DC709" s="832"/>
    </row>
    <row r="710" spans="1:107" s="842" customFormat="1" ht="15.95" customHeight="1" x14ac:dyDescent="0.25">
      <c r="A710" s="790">
        <v>712</v>
      </c>
      <c r="B710" s="791">
        <f t="shared" ca="1" si="586"/>
        <v>43134</v>
      </c>
      <c r="C710" s="29" t="s">
        <v>2556</v>
      </c>
      <c r="D710" s="59" t="s">
        <v>2586</v>
      </c>
      <c r="E710" s="794" t="s">
        <v>665</v>
      </c>
      <c r="F710" s="795" t="s">
        <v>666</v>
      </c>
      <c r="G710" s="796">
        <f>SUMIFS(МОЛОКО!L8:L6958,МОЛОКО!F8:F6958,"13312",МОЛОКО!L8:L6958,"&gt;0")</f>
        <v>0</v>
      </c>
      <c r="H710" s="797" t="s">
        <v>620</v>
      </c>
      <c r="I710" s="798">
        <v>41614</v>
      </c>
      <c r="J710" s="799">
        <f t="shared" ca="1" si="587"/>
        <v>4.1643835616438354</v>
      </c>
      <c r="K710" s="799">
        <f t="shared" ca="1" si="588"/>
        <v>50.666666666666664</v>
      </c>
      <c r="L710" s="800">
        <f t="shared" ca="1" si="589"/>
        <v>1520</v>
      </c>
      <c r="M710" s="801">
        <v>42410</v>
      </c>
      <c r="N710" s="802">
        <v>42751</v>
      </c>
      <c r="O710" s="803">
        <f t="shared" ca="1" si="590"/>
        <v>383</v>
      </c>
      <c r="P710" s="804">
        <v>2</v>
      </c>
      <c r="Q710" s="805" t="s">
        <v>1451</v>
      </c>
      <c r="R710" s="806" t="s">
        <v>1875</v>
      </c>
      <c r="S710" s="807">
        <v>42810</v>
      </c>
      <c r="T710" s="798">
        <v>42810</v>
      </c>
      <c r="U710" s="798" t="str">
        <f t="shared" si="591"/>
        <v>-</v>
      </c>
      <c r="V710" s="804" t="str">
        <f t="shared" ca="1" si="592"/>
        <v>-</v>
      </c>
      <c r="W710" s="808">
        <v>1</v>
      </c>
      <c r="X710" s="794">
        <f t="shared" si="585"/>
        <v>59</v>
      </c>
      <c r="Y710" s="794">
        <v>1</v>
      </c>
      <c r="Z710" s="809" t="str">
        <f t="shared" ca="1" si="593"/>
        <v>-----</v>
      </c>
      <c r="AA710" s="810" t="str">
        <f t="shared" ca="1" si="594"/>
        <v>-----</v>
      </c>
      <c r="AB710" s="804">
        <v>1</v>
      </c>
      <c r="AC710" s="811" t="str">
        <f t="shared" ca="1" si="595"/>
        <v>-----</v>
      </c>
      <c r="AD710" s="798">
        <v>42912</v>
      </c>
      <c r="AE710" s="794" t="str">
        <f t="shared" ca="1" si="596"/>
        <v>-</v>
      </c>
      <c r="AF710" s="798" t="str">
        <f t="shared" si="597"/>
        <v>-</v>
      </c>
      <c r="AG710" s="812" t="str">
        <f t="shared" si="598"/>
        <v>---------</v>
      </c>
      <c r="AH710" s="807">
        <v>43030</v>
      </c>
      <c r="AI710" s="807">
        <f t="shared" si="599"/>
        <v>43000</v>
      </c>
      <c r="AJ710" s="807">
        <f t="shared" si="600"/>
        <v>43030</v>
      </c>
      <c r="AK710" s="813">
        <v>43031</v>
      </c>
      <c r="AL710" s="807">
        <f t="shared" si="601"/>
        <v>43069</v>
      </c>
      <c r="AM710" s="807">
        <f t="shared" si="602"/>
        <v>43090</v>
      </c>
      <c r="AN710" s="814">
        <f t="shared" ca="1" si="603"/>
        <v>44</v>
      </c>
      <c r="AO710" s="815">
        <v>1</v>
      </c>
      <c r="AP710" s="816" t="str">
        <f t="shared" ca="1" si="604"/>
        <v>-</v>
      </c>
      <c r="AQ710" s="817"/>
      <c r="AR710" s="794" t="str">
        <f t="shared" si="605"/>
        <v>-</v>
      </c>
      <c r="AS710" s="818"/>
      <c r="AT710" s="794" t="str">
        <f t="shared" si="606"/>
        <v>DRY COW</v>
      </c>
      <c r="AU710" s="819"/>
      <c r="AV710" s="820"/>
      <c r="AW710" s="821"/>
      <c r="AX710" s="821"/>
      <c r="AY710" s="969" t="str">
        <f t="shared" si="607"/>
        <v>-</v>
      </c>
      <c r="AZ710" s="966" t="str">
        <f t="shared" si="608"/>
        <v>-</v>
      </c>
      <c r="BA710" s="971" t="str">
        <f t="shared" si="609"/>
        <v>-</v>
      </c>
      <c r="BB710" s="975"/>
      <c r="BC710" s="821"/>
      <c r="BD710" s="821"/>
      <c r="BE710" s="963" t="str">
        <f t="shared" si="610"/>
        <v>-</v>
      </c>
      <c r="BF710" s="984"/>
      <c r="BG710" s="988"/>
      <c r="BH710" s="982"/>
      <c r="BI710" s="991"/>
      <c r="BJ710" s="991"/>
      <c r="BK710" s="993" t="str">
        <f t="shared" si="611"/>
        <v>-</v>
      </c>
      <c r="BL710" s="820">
        <v>42981</v>
      </c>
      <c r="BM710" s="821">
        <v>5</v>
      </c>
      <c r="BN710" s="822">
        <f t="shared" ca="1" si="612"/>
        <v>153</v>
      </c>
      <c r="BO710" s="823">
        <f t="shared" si="613"/>
        <v>45.56666666666667</v>
      </c>
      <c r="BP710" s="824">
        <v>43001</v>
      </c>
      <c r="BQ710" s="821">
        <v>2</v>
      </c>
      <c r="BR710" s="822">
        <f t="shared" ca="1" si="614"/>
        <v>133</v>
      </c>
      <c r="BS710" s="823">
        <f t="shared" si="615"/>
        <v>19.7</v>
      </c>
      <c r="BT710" s="825" t="str">
        <f t="shared" ca="1" si="616"/>
        <v>-</v>
      </c>
      <c r="BU710" s="826"/>
      <c r="BV710" s="827"/>
      <c r="BW710" s="828" t="str">
        <f t="shared" si="617"/>
        <v>Ж-Е НЕ ВАКЦ.</v>
      </c>
      <c r="BX710" s="829" t="str">
        <f t="shared" si="618"/>
        <v>-</v>
      </c>
      <c r="BY710" s="830" t="str">
        <f t="shared" ca="1" si="619"/>
        <v>-</v>
      </c>
      <c r="BZ710" s="831">
        <v>42887</v>
      </c>
      <c r="CA710" s="832">
        <v>5</v>
      </c>
      <c r="CB710" s="833">
        <f t="shared" ca="1" si="620"/>
        <v>247</v>
      </c>
      <c r="CC710" s="834" t="str">
        <f t="shared" ca="1" si="621"/>
        <v>-</v>
      </c>
      <c r="CD710" s="835">
        <f t="shared" si="622"/>
        <v>42908</v>
      </c>
      <c r="CE710" s="831">
        <v>42908</v>
      </c>
      <c r="CF710" s="832">
        <v>5</v>
      </c>
      <c r="CG710" s="833">
        <f t="shared" ca="1" si="623"/>
        <v>226</v>
      </c>
      <c r="CH710" s="836">
        <f t="shared" si="624"/>
        <v>0</v>
      </c>
      <c r="CI710" s="837" t="str">
        <f t="shared" si="625"/>
        <v>УСПЕШНО</v>
      </c>
      <c r="CJ710" s="838" t="str">
        <f t="shared" ca="1" si="626"/>
        <v>-</v>
      </c>
      <c r="CK710" s="831"/>
      <c r="CL710" s="832"/>
      <c r="CM710" s="833" t="str">
        <f t="shared" si="627"/>
        <v>-</v>
      </c>
      <c r="CN710" s="834" t="str">
        <f t="shared" si="628"/>
        <v>-</v>
      </c>
      <c r="CO710" s="830" t="str">
        <f t="shared" ca="1" si="629"/>
        <v>-</v>
      </c>
      <c r="CP710" s="831">
        <v>43024</v>
      </c>
      <c r="CQ710" s="832">
        <v>2</v>
      </c>
      <c r="CR710" s="833">
        <f t="shared" si="630"/>
        <v>214</v>
      </c>
      <c r="CS710" s="833">
        <f t="shared" ca="1" si="631"/>
        <v>110</v>
      </c>
      <c r="CT710" s="834" t="str">
        <f t="shared" ca="1" si="632"/>
        <v>-</v>
      </c>
      <c r="CU710" s="835">
        <f t="shared" si="633"/>
        <v>43045</v>
      </c>
      <c r="CV710" s="831">
        <v>43045</v>
      </c>
      <c r="CW710" s="832">
        <v>2</v>
      </c>
      <c r="CX710" s="833">
        <f t="shared" si="634"/>
        <v>0</v>
      </c>
      <c r="CY710" s="840" t="str">
        <f t="shared" si="635"/>
        <v>УСПЕШНО</v>
      </c>
      <c r="CZ710" s="833">
        <f t="shared" si="636"/>
        <v>235</v>
      </c>
      <c r="DA710" s="838" t="str">
        <f t="shared" ca="1" si="637"/>
        <v>ТРЕБУЕТСЯ РЕВАКЦИНАЦИЯ</v>
      </c>
      <c r="DB710" s="841"/>
      <c r="DC710" s="832"/>
    </row>
    <row r="711" spans="1:107" x14ac:dyDescent="0.25">
      <c r="A711" s="790">
        <v>713</v>
      </c>
      <c r="B711" s="791">
        <f t="shared" ca="1" si="586"/>
        <v>43134</v>
      </c>
      <c r="C711" s="29" t="s">
        <v>2556</v>
      </c>
      <c r="D711" s="59" t="s">
        <v>2586</v>
      </c>
      <c r="E711" s="794" t="s">
        <v>668</v>
      </c>
      <c r="F711" s="795" t="s">
        <v>669</v>
      </c>
      <c r="G711" s="796">
        <f>SUMIFS(МОЛОКО!L8:L6958,МОЛОКО!F8:F6958,"13317",МОЛОКО!L8:L6958,"&gt;0")</f>
        <v>0</v>
      </c>
      <c r="H711" s="797" t="s">
        <v>620</v>
      </c>
      <c r="I711" s="798">
        <v>41597</v>
      </c>
      <c r="J711" s="799">
        <f t="shared" ca="1" si="587"/>
        <v>4.2109589041095887</v>
      </c>
      <c r="K711" s="799">
        <f t="shared" ca="1" si="588"/>
        <v>51.233333333333334</v>
      </c>
      <c r="L711" s="800">
        <f t="shared" ca="1" si="589"/>
        <v>1537</v>
      </c>
      <c r="M711" s="801">
        <v>42407</v>
      </c>
      <c r="N711" s="802">
        <v>42741</v>
      </c>
      <c r="O711" s="803">
        <f t="shared" ca="1" si="590"/>
        <v>393</v>
      </c>
      <c r="P711" s="804">
        <v>2</v>
      </c>
      <c r="Q711" s="805" t="s">
        <v>1451</v>
      </c>
      <c r="R711" s="806" t="s">
        <v>2269</v>
      </c>
      <c r="S711" s="807">
        <v>42810</v>
      </c>
      <c r="T711" s="798">
        <v>42810</v>
      </c>
      <c r="U711" s="798" t="str">
        <f t="shared" si="591"/>
        <v>-</v>
      </c>
      <c r="V711" s="804" t="str">
        <f t="shared" ca="1" si="592"/>
        <v>-</v>
      </c>
      <c r="W711" s="808">
        <v>1</v>
      </c>
      <c r="X711" s="794">
        <f t="shared" si="585"/>
        <v>69</v>
      </c>
      <c r="Y711" s="794">
        <v>1</v>
      </c>
      <c r="Z711" s="809" t="str">
        <f t="shared" ca="1" si="593"/>
        <v>-----</v>
      </c>
      <c r="AA711" s="810" t="str">
        <f t="shared" ca="1" si="594"/>
        <v>-----</v>
      </c>
      <c r="AB711" s="804">
        <v>1</v>
      </c>
      <c r="AC711" s="811" t="str">
        <f t="shared" ca="1" si="595"/>
        <v>-----</v>
      </c>
      <c r="AD711" s="798">
        <v>43030</v>
      </c>
      <c r="AE711" s="794" t="str">
        <f t="shared" ca="1" si="596"/>
        <v>-</v>
      </c>
      <c r="AF711" s="798" t="str">
        <f t="shared" si="597"/>
        <v>-</v>
      </c>
      <c r="AG711" s="812" t="str">
        <f t="shared" si="598"/>
        <v>---------</v>
      </c>
      <c r="AH711" s="807">
        <v>43030</v>
      </c>
      <c r="AI711" s="807">
        <f t="shared" si="599"/>
        <v>43000</v>
      </c>
      <c r="AJ711" s="807">
        <f t="shared" si="600"/>
        <v>43030</v>
      </c>
      <c r="AK711" s="813">
        <v>43031</v>
      </c>
      <c r="AL711" s="807">
        <f t="shared" si="601"/>
        <v>43069</v>
      </c>
      <c r="AM711" s="807">
        <f t="shared" si="602"/>
        <v>43090</v>
      </c>
      <c r="AN711" s="814">
        <f t="shared" ca="1" si="603"/>
        <v>44</v>
      </c>
      <c r="AO711" s="815">
        <v>1</v>
      </c>
      <c r="AP711" s="816" t="str">
        <f t="shared" ca="1" si="604"/>
        <v>-</v>
      </c>
      <c r="AQ711" s="817"/>
      <c r="AR711" s="794" t="str">
        <f t="shared" si="605"/>
        <v>-</v>
      </c>
      <c r="AS711" s="818"/>
      <c r="AT711" s="794" t="str">
        <f t="shared" si="606"/>
        <v>DRY COW</v>
      </c>
      <c r="AU711" s="819"/>
      <c r="AV711" s="820"/>
      <c r="AW711" s="821"/>
      <c r="AX711" s="821"/>
      <c r="AY711" s="969" t="str">
        <f t="shared" si="607"/>
        <v>-</v>
      </c>
      <c r="AZ711" s="966" t="str">
        <f t="shared" si="608"/>
        <v>-</v>
      </c>
      <c r="BA711" s="971" t="str">
        <f t="shared" si="609"/>
        <v>-</v>
      </c>
      <c r="BB711" s="975"/>
      <c r="BC711" s="821"/>
      <c r="BD711" s="821"/>
      <c r="BE711" s="963" t="str">
        <f t="shared" si="610"/>
        <v>-</v>
      </c>
      <c r="BF711" s="984"/>
      <c r="BG711" s="988"/>
      <c r="BH711" s="982"/>
      <c r="BI711" s="991"/>
      <c r="BJ711" s="991"/>
      <c r="BK711" s="993" t="str">
        <f t="shared" si="611"/>
        <v>-</v>
      </c>
      <c r="BL711" s="820">
        <v>42981</v>
      </c>
      <c r="BM711" s="821">
        <v>5</v>
      </c>
      <c r="BN711" s="822">
        <f t="shared" ca="1" si="612"/>
        <v>153</v>
      </c>
      <c r="BO711" s="823">
        <f t="shared" si="613"/>
        <v>46.133333333333333</v>
      </c>
      <c r="BP711" s="824">
        <v>43001</v>
      </c>
      <c r="BQ711" s="821">
        <v>2</v>
      </c>
      <c r="BR711" s="822">
        <f t="shared" ca="1" si="614"/>
        <v>133</v>
      </c>
      <c r="BS711" s="823">
        <f t="shared" si="615"/>
        <v>19.8</v>
      </c>
      <c r="BT711" s="825" t="str">
        <f t="shared" ca="1" si="616"/>
        <v>-</v>
      </c>
      <c r="BU711" s="826"/>
      <c r="BV711" s="827"/>
      <c r="BW711" s="828" t="str">
        <f t="shared" si="617"/>
        <v>Ж-Е НЕ ВАКЦ.</v>
      </c>
      <c r="BX711" s="829" t="str">
        <f t="shared" si="618"/>
        <v>-</v>
      </c>
      <c r="BY711" s="830" t="str">
        <f t="shared" ca="1" si="619"/>
        <v>-</v>
      </c>
      <c r="BZ711" s="831">
        <v>42887</v>
      </c>
      <c r="CA711" s="832">
        <v>5</v>
      </c>
      <c r="CB711" s="833">
        <f t="shared" ca="1" si="620"/>
        <v>247</v>
      </c>
      <c r="CC711" s="834" t="str">
        <f t="shared" ca="1" si="621"/>
        <v>-</v>
      </c>
      <c r="CD711" s="835">
        <f t="shared" si="622"/>
        <v>42908</v>
      </c>
      <c r="CE711" s="831">
        <v>42908</v>
      </c>
      <c r="CF711" s="832">
        <v>5</v>
      </c>
      <c r="CG711" s="833">
        <f t="shared" ca="1" si="623"/>
        <v>226</v>
      </c>
      <c r="CH711" s="836">
        <f t="shared" si="624"/>
        <v>0</v>
      </c>
      <c r="CI711" s="837" t="str">
        <f t="shared" si="625"/>
        <v>УСПЕШНО</v>
      </c>
      <c r="CJ711" s="838" t="str">
        <f t="shared" ca="1" si="626"/>
        <v>-</v>
      </c>
      <c r="CK711" s="831"/>
      <c r="CL711" s="832"/>
      <c r="CM711" s="833" t="str">
        <f t="shared" si="627"/>
        <v>-</v>
      </c>
      <c r="CN711" s="834" t="str">
        <f t="shared" si="628"/>
        <v>-</v>
      </c>
      <c r="CO711" s="830" t="str">
        <f t="shared" ca="1" si="629"/>
        <v>-</v>
      </c>
      <c r="CP711" s="831">
        <v>43024</v>
      </c>
      <c r="CQ711" s="832">
        <v>2</v>
      </c>
      <c r="CR711" s="833">
        <f t="shared" si="630"/>
        <v>214</v>
      </c>
      <c r="CS711" s="833">
        <f t="shared" ca="1" si="631"/>
        <v>110</v>
      </c>
      <c r="CT711" s="834" t="str">
        <f t="shared" ca="1" si="632"/>
        <v>-</v>
      </c>
      <c r="CU711" s="835">
        <f t="shared" si="633"/>
        <v>43045</v>
      </c>
      <c r="CV711" s="831">
        <v>43045</v>
      </c>
      <c r="CW711" s="832">
        <v>2</v>
      </c>
      <c r="CX711" s="833">
        <f t="shared" si="634"/>
        <v>0</v>
      </c>
      <c r="CY711" s="840" t="str">
        <f t="shared" si="635"/>
        <v>УСПЕШНО</v>
      </c>
      <c r="CZ711" s="833">
        <f t="shared" si="636"/>
        <v>235</v>
      </c>
      <c r="DA711" s="838" t="str">
        <f t="shared" ca="1" si="637"/>
        <v>ТРЕБУЕТСЯ РЕВАКЦИНАЦИЯ</v>
      </c>
      <c r="DB711" s="841"/>
      <c r="DC711" s="832"/>
    </row>
    <row r="712" spans="1:107" x14ac:dyDescent="0.25">
      <c r="A712" s="790">
        <v>714</v>
      </c>
      <c r="B712" s="791">
        <f t="shared" ca="1" si="586"/>
        <v>43134</v>
      </c>
      <c r="C712" s="29" t="s">
        <v>2556</v>
      </c>
      <c r="D712" s="59" t="s">
        <v>2586</v>
      </c>
      <c r="E712" s="794" t="s">
        <v>670</v>
      </c>
      <c r="F712" s="854" t="s">
        <v>671</v>
      </c>
      <c r="G712" s="796">
        <f>SUMIFS(МОЛОКО!L8:L6958,МОЛОКО!F8:F6958,"13320",МОЛОКО!L8:L6958,"&gt;0")</f>
        <v>10.4</v>
      </c>
      <c r="H712" s="797" t="s">
        <v>620</v>
      </c>
      <c r="I712" s="798">
        <v>41570</v>
      </c>
      <c r="J712" s="799">
        <f t="shared" ca="1" si="587"/>
        <v>4.2849315068493148</v>
      </c>
      <c r="K712" s="799">
        <f t="shared" ca="1" si="588"/>
        <v>52.133333333333333</v>
      </c>
      <c r="L712" s="800">
        <f t="shared" ca="1" si="589"/>
        <v>1564</v>
      </c>
      <c r="M712" s="801">
        <v>42424</v>
      </c>
      <c r="N712" s="802">
        <v>42424</v>
      </c>
      <c r="O712" s="803">
        <f t="shared" ca="1" si="590"/>
        <v>710</v>
      </c>
      <c r="P712" s="804">
        <v>1</v>
      </c>
      <c r="Q712" s="805" t="s">
        <v>1451</v>
      </c>
      <c r="R712" s="806" t="s">
        <v>2269</v>
      </c>
      <c r="S712" s="807">
        <v>42476</v>
      </c>
      <c r="T712" s="798">
        <v>42828</v>
      </c>
      <c r="U712" s="798" t="str">
        <f t="shared" si="591"/>
        <v>-</v>
      </c>
      <c r="V712" s="804" t="str">
        <f t="shared" ca="1" si="592"/>
        <v>-</v>
      </c>
      <c r="W712" s="808">
        <v>4</v>
      </c>
      <c r="X712" s="794">
        <f t="shared" si="585"/>
        <v>404</v>
      </c>
      <c r="Y712" s="794">
        <v>1</v>
      </c>
      <c r="Z712" s="809" t="str">
        <f t="shared" ca="1" si="593"/>
        <v>-----</v>
      </c>
      <c r="AA712" s="810" t="str">
        <f t="shared" ca="1" si="594"/>
        <v>-----</v>
      </c>
      <c r="AB712" s="804">
        <v>1</v>
      </c>
      <c r="AC712" s="811" t="str">
        <f t="shared" ca="1" si="595"/>
        <v>-----</v>
      </c>
      <c r="AD712" s="798">
        <v>42932</v>
      </c>
      <c r="AE712" s="794" t="str">
        <f t="shared" ca="1" si="596"/>
        <v>-</v>
      </c>
      <c r="AF712" s="798" t="str">
        <f t="shared" si="597"/>
        <v>-</v>
      </c>
      <c r="AG712" s="812" t="str">
        <f t="shared" si="598"/>
        <v>---------</v>
      </c>
      <c r="AH712" s="807">
        <v>42862</v>
      </c>
      <c r="AI712" s="807">
        <f t="shared" si="599"/>
        <v>43018</v>
      </c>
      <c r="AJ712" s="807">
        <f t="shared" si="600"/>
        <v>43048</v>
      </c>
      <c r="AK712" s="813">
        <v>43045</v>
      </c>
      <c r="AL712" s="807">
        <f t="shared" si="601"/>
        <v>43087</v>
      </c>
      <c r="AM712" s="807">
        <f t="shared" si="602"/>
        <v>43108</v>
      </c>
      <c r="AN712" s="814">
        <f t="shared" ca="1" si="603"/>
        <v>26</v>
      </c>
      <c r="AO712" s="815">
        <v>1</v>
      </c>
      <c r="AP712" s="816" t="str">
        <f t="shared" ca="1" si="604"/>
        <v>-</v>
      </c>
      <c r="AQ712" s="817"/>
      <c r="AR712" s="794" t="str">
        <f t="shared" si="605"/>
        <v>-</v>
      </c>
      <c r="AS712" s="818"/>
      <c r="AT712" s="794" t="str">
        <f t="shared" si="606"/>
        <v>DRY COW</v>
      </c>
      <c r="AU712" s="819">
        <v>1</v>
      </c>
      <c r="AV712" s="820"/>
      <c r="AW712" s="821"/>
      <c r="AX712" s="821"/>
      <c r="AY712" s="969" t="str">
        <f t="shared" si="607"/>
        <v>-</v>
      </c>
      <c r="AZ712" s="966" t="str">
        <f t="shared" si="608"/>
        <v>-</v>
      </c>
      <c r="BA712" s="971" t="str">
        <f t="shared" si="609"/>
        <v>-</v>
      </c>
      <c r="BB712" s="975"/>
      <c r="BC712" s="821"/>
      <c r="BD712" s="821"/>
      <c r="BE712" s="963" t="str">
        <f t="shared" si="610"/>
        <v>-</v>
      </c>
      <c r="BF712" s="984"/>
      <c r="BG712" s="988"/>
      <c r="BH712" s="982"/>
      <c r="BI712" s="991"/>
      <c r="BJ712" s="991"/>
      <c r="BK712" s="993" t="str">
        <f t="shared" si="611"/>
        <v>-</v>
      </c>
      <c r="BL712" s="820">
        <v>42981</v>
      </c>
      <c r="BM712" s="821">
        <v>5</v>
      </c>
      <c r="BN712" s="822">
        <f t="shared" ca="1" si="612"/>
        <v>153</v>
      </c>
      <c r="BO712" s="823">
        <f t="shared" si="613"/>
        <v>47.033333333333331</v>
      </c>
      <c r="BP712" s="824">
        <v>43001</v>
      </c>
      <c r="BQ712" s="821">
        <v>2</v>
      </c>
      <c r="BR712" s="822">
        <f t="shared" ca="1" si="614"/>
        <v>133</v>
      </c>
      <c r="BS712" s="823">
        <f t="shared" si="615"/>
        <v>19.233333333333334</v>
      </c>
      <c r="BT712" s="825" t="str">
        <f t="shared" ca="1" si="616"/>
        <v>-</v>
      </c>
      <c r="BU712" s="826"/>
      <c r="BV712" s="827"/>
      <c r="BW712" s="828" t="str">
        <f t="shared" si="617"/>
        <v>Ж-Е НЕ ВАКЦ.</v>
      </c>
      <c r="BX712" s="829" t="str">
        <f t="shared" si="618"/>
        <v>-</v>
      </c>
      <c r="BY712" s="830" t="str">
        <f t="shared" ca="1" si="619"/>
        <v>-</v>
      </c>
      <c r="BZ712" s="831">
        <v>42887</v>
      </c>
      <c r="CA712" s="832">
        <v>5</v>
      </c>
      <c r="CB712" s="833">
        <f t="shared" ca="1" si="620"/>
        <v>247</v>
      </c>
      <c r="CC712" s="834" t="str">
        <f t="shared" ca="1" si="621"/>
        <v>-</v>
      </c>
      <c r="CD712" s="835">
        <f t="shared" si="622"/>
        <v>42908</v>
      </c>
      <c r="CE712" s="831">
        <v>42908</v>
      </c>
      <c r="CF712" s="832">
        <v>5</v>
      </c>
      <c r="CG712" s="833">
        <f t="shared" ca="1" si="623"/>
        <v>226</v>
      </c>
      <c r="CH712" s="836">
        <f t="shared" si="624"/>
        <v>0</v>
      </c>
      <c r="CI712" s="837" t="str">
        <f t="shared" si="625"/>
        <v>УСПЕШНО</v>
      </c>
      <c r="CJ712" s="838" t="str">
        <f t="shared" ca="1" si="626"/>
        <v>-</v>
      </c>
      <c r="CK712" s="831"/>
      <c r="CL712" s="832"/>
      <c r="CM712" s="833" t="str">
        <f t="shared" si="627"/>
        <v>-</v>
      </c>
      <c r="CN712" s="834" t="str">
        <f t="shared" si="628"/>
        <v>-</v>
      </c>
      <c r="CO712" s="830" t="str">
        <f t="shared" ca="1" si="629"/>
        <v>-</v>
      </c>
      <c r="CP712" s="831">
        <v>43052</v>
      </c>
      <c r="CQ712" s="832">
        <v>2</v>
      </c>
      <c r="CR712" s="833">
        <f t="shared" si="630"/>
        <v>224</v>
      </c>
      <c r="CS712" s="833">
        <f t="shared" ca="1" si="631"/>
        <v>82</v>
      </c>
      <c r="CT712" s="834" t="str">
        <f t="shared" ca="1" si="632"/>
        <v>ТРЕБУЕТСЯ БУСТЕРНАЯ ДОЗА</v>
      </c>
      <c r="CU712" s="835">
        <f t="shared" si="633"/>
        <v>43073</v>
      </c>
      <c r="CV712" s="839"/>
      <c r="CW712" s="832"/>
      <c r="CX712" s="833" t="str">
        <f t="shared" si="634"/>
        <v>-</v>
      </c>
      <c r="CY712" s="840" t="str">
        <f t="shared" si="635"/>
        <v>-</v>
      </c>
      <c r="CZ712" s="833" t="str">
        <f t="shared" si="636"/>
        <v>-</v>
      </c>
      <c r="DA712" s="838" t="str">
        <f t="shared" ca="1" si="637"/>
        <v>-</v>
      </c>
      <c r="DB712" s="841"/>
      <c r="DC712" s="832"/>
    </row>
    <row r="713" spans="1:107" x14ac:dyDescent="0.25">
      <c r="A713" s="790">
        <v>715</v>
      </c>
      <c r="B713" s="791">
        <f t="shared" ca="1" si="586"/>
        <v>43134</v>
      </c>
      <c r="C713" s="29" t="s">
        <v>2556</v>
      </c>
      <c r="D713" s="59" t="s">
        <v>2586</v>
      </c>
      <c r="E713" s="794" t="s">
        <v>532</v>
      </c>
      <c r="F713" s="795" t="s">
        <v>533</v>
      </c>
      <c r="G713" s="796">
        <f>SUMIFS(МОЛОКО!L8:L6958,МОЛОКО!F8:F6958,"13345",МОЛОКО!L8:L6958,"&gt;0")</f>
        <v>3</v>
      </c>
      <c r="H713" s="797" t="s">
        <v>620</v>
      </c>
      <c r="I713" s="798">
        <v>41616</v>
      </c>
      <c r="J713" s="799">
        <f t="shared" ca="1" si="587"/>
        <v>4.1589041095890407</v>
      </c>
      <c r="K713" s="799">
        <f t="shared" ca="1" si="588"/>
        <v>50.6</v>
      </c>
      <c r="L713" s="800">
        <f t="shared" ca="1" si="589"/>
        <v>1518</v>
      </c>
      <c r="M713" s="801">
        <v>42417</v>
      </c>
      <c r="N713" s="802">
        <v>42764</v>
      </c>
      <c r="O713" s="803">
        <f t="shared" ca="1" si="590"/>
        <v>370</v>
      </c>
      <c r="P713" s="804">
        <v>2</v>
      </c>
      <c r="Q713" s="805" t="s">
        <v>1451</v>
      </c>
      <c r="R713" s="806" t="s">
        <v>1815</v>
      </c>
      <c r="S713" s="807">
        <v>42824</v>
      </c>
      <c r="T713" s="798">
        <v>42824</v>
      </c>
      <c r="U713" s="798" t="str">
        <f t="shared" si="591"/>
        <v>-</v>
      </c>
      <c r="V713" s="804" t="str">
        <f t="shared" ca="1" si="592"/>
        <v>-</v>
      </c>
      <c r="W713" s="808">
        <v>1</v>
      </c>
      <c r="X713" s="794">
        <f t="shared" si="585"/>
        <v>60</v>
      </c>
      <c r="Y713" s="794">
        <v>1</v>
      </c>
      <c r="Z713" s="809" t="str">
        <f t="shared" ca="1" si="593"/>
        <v>-----</v>
      </c>
      <c r="AA713" s="810" t="str">
        <f t="shared" ca="1" si="594"/>
        <v>-----</v>
      </c>
      <c r="AB713" s="804">
        <v>1</v>
      </c>
      <c r="AC713" s="811" t="str">
        <f t="shared" ca="1" si="595"/>
        <v>-----</v>
      </c>
      <c r="AD713" s="798">
        <v>42912</v>
      </c>
      <c r="AE713" s="794" t="str">
        <f t="shared" ca="1" si="596"/>
        <v>-</v>
      </c>
      <c r="AF713" s="798" t="str">
        <f t="shared" si="597"/>
        <v>-</v>
      </c>
      <c r="AG713" s="812" t="str">
        <f t="shared" si="598"/>
        <v>---------</v>
      </c>
      <c r="AH713" s="807">
        <v>42858</v>
      </c>
      <c r="AI713" s="807">
        <f t="shared" si="599"/>
        <v>43014</v>
      </c>
      <c r="AJ713" s="807">
        <f t="shared" si="600"/>
        <v>43044</v>
      </c>
      <c r="AK713" s="813">
        <v>43038</v>
      </c>
      <c r="AL713" s="807">
        <f t="shared" si="601"/>
        <v>43083</v>
      </c>
      <c r="AM713" s="807">
        <f t="shared" si="602"/>
        <v>43104</v>
      </c>
      <c r="AN713" s="814">
        <f t="shared" ca="1" si="603"/>
        <v>30</v>
      </c>
      <c r="AO713" s="815">
        <v>1</v>
      </c>
      <c r="AP713" s="816" t="str">
        <f t="shared" ca="1" si="604"/>
        <v>-</v>
      </c>
      <c r="AQ713" s="817"/>
      <c r="AR713" s="794" t="str">
        <f t="shared" si="605"/>
        <v>-</v>
      </c>
      <c r="AS713" s="818"/>
      <c r="AT713" s="794" t="str">
        <f t="shared" si="606"/>
        <v>DRY COW</v>
      </c>
      <c r="AU713" s="819"/>
      <c r="AV713" s="820"/>
      <c r="AW713" s="821"/>
      <c r="AX713" s="821"/>
      <c r="AY713" s="969" t="str">
        <f t="shared" si="607"/>
        <v>-</v>
      </c>
      <c r="AZ713" s="966" t="str">
        <f t="shared" si="608"/>
        <v>-</v>
      </c>
      <c r="BA713" s="971" t="str">
        <f t="shared" si="609"/>
        <v>-</v>
      </c>
      <c r="BB713" s="975"/>
      <c r="BC713" s="821"/>
      <c r="BD713" s="821"/>
      <c r="BE713" s="963" t="str">
        <f t="shared" si="610"/>
        <v>-</v>
      </c>
      <c r="BF713" s="984"/>
      <c r="BG713" s="988"/>
      <c r="BH713" s="982"/>
      <c r="BI713" s="991"/>
      <c r="BJ713" s="991"/>
      <c r="BK713" s="993" t="str">
        <f t="shared" si="611"/>
        <v>-</v>
      </c>
      <c r="BL713" s="820">
        <v>42981</v>
      </c>
      <c r="BM713" s="821">
        <v>5</v>
      </c>
      <c r="BN713" s="822">
        <f t="shared" ca="1" si="612"/>
        <v>153</v>
      </c>
      <c r="BO713" s="823">
        <f t="shared" si="613"/>
        <v>45.5</v>
      </c>
      <c r="BP713" s="824">
        <v>43001</v>
      </c>
      <c r="BQ713" s="821">
        <v>2</v>
      </c>
      <c r="BR713" s="822">
        <f t="shared" ca="1" si="614"/>
        <v>133</v>
      </c>
      <c r="BS713" s="823">
        <f t="shared" si="615"/>
        <v>19.466666666666665</v>
      </c>
      <c r="BT713" s="825" t="str">
        <f t="shared" ca="1" si="616"/>
        <v>-</v>
      </c>
      <c r="BU713" s="826"/>
      <c r="BV713" s="827"/>
      <c r="BW713" s="828" t="str">
        <f t="shared" si="617"/>
        <v>Ж-Е НЕ ВАКЦ.</v>
      </c>
      <c r="BX713" s="829" t="str">
        <f t="shared" si="618"/>
        <v>-</v>
      </c>
      <c r="BY713" s="830" t="str">
        <f t="shared" ca="1" si="619"/>
        <v>-</v>
      </c>
      <c r="BZ713" s="831">
        <v>42887</v>
      </c>
      <c r="CA713" s="832">
        <v>5</v>
      </c>
      <c r="CB713" s="833">
        <f t="shared" ca="1" si="620"/>
        <v>247</v>
      </c>
      <c r="CC713" s="834" t="str">
        <f t="shared" ca="1" si="621"/>
        <v>-</v>
      </c>
      <c r="CD713" s="835">
        <f t="shared" si="622"/>
        <v>42908</v>
      </c>
      <c r="CE713" s="831">
        <v>42908</v>
      </c>
      <c r="CF713" s="832">
        <v>5</v>
      </c>
      <c r="CG713" s="833">
        <f t="shared" ca="1" si="623"/>
        <v>226</v>
      </c>
      <c r="CH713" s="836">
        <f t="shared" si="624"/>
        <v>0</v>
      </c>
      <c r="CI713" s="837" t="str">
        <f t="shared" si="625"/>
        <v>УСПЕШНО</v>
      </c>
      <c r="CJ713" s="838" t="str">
        <f t="shared" ca="1" si="626"/>
        <v>-</v>
      </c>
      <c r="CK713" s="831"/>
      <c r="CL713" s="832"/>
      <c r="CM713" s="833" t="str">
        <f t="shared" si="627"/>
        <v>-</v>
      </c>
      <c r="CN713" s="834" t="str">
        <f t="shared" si="628"/>
        <v>-</v>
      </c>
      <c r="CO713" s="830" t="str">
        <f t="shared" ca="1" si="629"/>
        <v>-</v>
      </c>
      <c r="CP713" s="831">
        <v>43052</v>
      </c>
      <c r="CQ713" s="832">
        <v>2</v>
      </c>
      <c r="CR713" s="833">
        <f t="shared" si="630"/>
        <v>228</v>
      </c>
      <c r="CS713" s="833">
        <f t="shared" ca="1" si="631"/>
        <v>82</v>
      </c>
      <c r="CT713" s="834" t="str">
        <f t="shared" ca="1" si="632"/>
        <v>ТРЕБУЕТСЯ БУСТЕРНАЯ ДОЗА</v>
      </c>
      <c r="CU713" s="835">
        <f t="shared" si="633"/>
        <v>43073</v>
      </c>
      <c r="CV713" s="839"/>
      <c r="CW713" s="832"/>
      <c r="CX713" s="833" t="str">
        <f t="shared" si="634"/>
        <v>-</v>
      </c>
      <c r="CY713" s="840" t="str">
        <f t="shared" si="635"/>
        <v>-</v>
      </c>
      <c r="CZ713" s="833" t="str">
        <f t="shared" si="636"/>
        <v>-</v>
      </c>
      <c r="DA713" s="838" t="str">
        <f t="shared" ca="1" si="637"/>
        <v>-</v>
      </c>
      <c r="DB713" s="841"/>
      <c r="DC713" s="832"/>
    </row>
    <row r="714" spans="1:107" x14ac:dyDescent="0.25">
      <c r="A714" s="790">
        <v>716</v>
      </c>
      <c r="B714" s="791">
        <f t="shared" ca="1" si="586"/>
        <v>43134</v>
      </c>
      <c r="C714" s="29" t="s">
        <v>2556</v>
      </c>
      <c r="D714" s="59" t="s">
        <v>2586</v>
      </c>
      <c r="E714" s="794" t="s">
        <v>678</v>
      </c>
      <c r="F714" s="854" t="s">
        <v>679</v>
      </c>
      <c r="G714" s="796">
        <f>SUMIFS(МОЛОКО!L8:L6958,МОЛОКО!F8:F6958,"13358",МОЛОКО!L8:L6958,"&gt;0")</f>
        <v>0</v>
      </c>
      <c r="H714" s="797" t="s">
        <v>620</v>
      </c>
      <c r="I714" s="798">
        <v>41564</v>
      </c>
      <c r="J714" s="799">
        <f t="shared" ca="1" si="587"/>
        <v>4.3013698630136989</v>
      </c>
      <c r="K714" s="799">
        <f t="shared" ca="1" si="588"/>
        <v>52.333333333333336</v>
      </c>
      <c r="L714" s="800">
        <f t="shared" ca="1" si="589"/>
        <v>1570</v>
      </c>
      <c r="M714" s="801">
        <v>42408</v>
      </c>
      <c r="N714" s="802">
        <v>42752</v>
      </c>
      <c r="O714" s="803">
        <f t="shared" ca="1" si="590"/>
        <v>382</v>
      </c>
      <c r="P714" s="804">
        <v>2</v>
      </c>
      <c r="Q714" s="805" t="s">
        <v>1451</v>
      </c>
      <c r="R714" s="806" t="s">
        <v>2335</v>
      </c>
      <c r="S714" s="807">
        <v>42817</v>
      </c>
      <c r="T714" s="798">
        <v>42817</v>
      </c>
      <c r="U714" s="798" t="str">
        <f t="shared" si="591"/>
        <v>-</v>
      </c>
      <c r="V714" s="804" t="str">
        <f t="shared" ca="1" si="592"/>
        <v>-</v>
      </c>
      <c r="W714" s="808">
        <v>1</v>
      </c>
      <c r="X714" s="794">
        <f t="shared" si="585"/>
        <v>65</v>
      </c>
      <c r="Y714" s="794">
        <v>1</v>
      </c>
      <c r="Z714" s="809" t="str">
        <f t="shared" ca="1" si="593"/>
        <v>-----</v>
      </c>
      <c r="AA714" s="810" t="str">
        <f t="shared" ca="1" si="594"/>
        <v>-----</v>
      </c>
      <c r="AB714" s="804">
        <v>1</v>
      </c>
      <c r="AC714" s="811" t="str">
        <f t="shared" ca="1" si="595"/>
        <v>-----</v>
      </c>
      <c r="AD714" s="798">
        <v>42932</v>
      </c>
      <c r="AE714" s="794" t="str">
        <f t="shared" ca="1" si="596"/>
        <v>-</v>
      </c>
      <c r="AF714" s="798" t="str">
        <f t="shared" si="597"/>
        <v>-</v>
      </c>
      <c r="AG714" s="812" t="str">
        <f t="shared" si="598"/>
        <v>---------</v>
      </c>
      <c r="AH714" s="807">
        <v>43030</v>
      </c>
      <c r="AI714" s="807">
        <f t="shared" si="599"/>
        <v>43007</v>
      </c>
      <c r="AJ714" s="807">
        <f t="shared" si="600"/>
        <v>43037</v>
      </c>
      <c r="AK714" s="813">
        <v>43031</v>
      </c>
      <c r="AL714" s="807">
        <f t="shared" si="601"/>
        <v>43076</v>
      </c>
      <c r="AM714" s="807">
        <f t="shared" si="602"/>
        <v>43097</v>
      </c>
      <c r="AN714" s="814">
        <f t="shared" ca="1" si="603"/>
        <v>37</v>
      </c>
      <c r="AO714" s="815">
        <v>1</v>
      </c>
      <c r="AP714" s="816" t="str">
        <f t="shared" ca="1" si="604"/>
        <v>-</v>
      </c>
      <c r="AQ714" s="817"/>
      <c r="AR714" s="794" t="str">
        <f t="shared" si="605"/>
        <v>-</v>
      </c>
      <c r="AS714" s="818"/>
      <c r="AT714" s="794" t="str">
        <f t="shared" si="606"/>
        <v>DRY COW</v>
      </c>
      <c r="AU714" s="819">
        <v>1</v>
      </c>
      <c r="AV714" s="820"/>
      <c r="AW714" s="821"/>
      <c r="AX714" s="821"/>
      <c r="AY714" s="969" t="str">
        <f t="shared" si="607"/>
        <v>-</v>
      </c>
      <c r="AZ714" s="966" t="str">
        <f t="shared" si="608"/>
        <v>-</v>
      </c>
      <c r="BA714" s="971" t="str">
        <f t="shared" si="609"/>
        <v>-</v>
      </c>
      <c r="BB714" s="975"/>
      <c r="BC714" s="821"/>
      <c r="BD714" s="821"/>
      <c r="BE714" s="963" t="str">
        <f t="shared" si="610"/>
        <v>-</v>
      </c>
      <c r="BF714" s="984"/>
      <c r="BG714" s="988"/>
      <c r="BH714" s="982"/>
      <c r="BI714" s="991"/>
      <c r="BJ714" s="991"/>
      <c r="BK714" s="993" t="str">
        <f t="shared" si="611"/>
        <v>-</v>
      </c>
      <c r="BL714" s="820">
        <v>42981</v>
      </c>
      <c r="BM714" s="821">
        <v>5</v>
      </c>
      <c r="BN714" s="822">
        <f t="shared" ca="1" si="612"/>
        <v>153</v>
      </c>
      <c r="BO714" s="823">
        <f t="shared" si="613"/>
        <v>47.233333333333334</v>
      </c>
      <c r="BP714" s="824">
        <v>43001</v>
      </c>
      <c r="BQ714" s="821">
        <v>2</v>
      </c>
      <c r="BR714" s="822">
        <f t="shared" ca="1" si="614"/>
        <v>133</v>
      </c>
      <c r="BS714" s="823">
        <f t="shared" si="615"/>
        <v>19.766666666666666</v>
      </c>
      <c r="BT714" s="825" t="str">
        <f t="shared" ca="1" si="616"/>
        <v>-</v>
      </c>
      <c r="BU714" s="826"/>
      <c r="BV714" s="827"/>
      <c r="BW714" s="828" t="str">
        <f t="shared" si="617"/>
        <v>Ж-Е НЕ ВАКЦ.</v>
      </c>
      <c r="BX714" s="829" t="str">
        <f t="shared" si="618"/>
        <v>-</v>
      </c>
      <c r="BY714" s="830" t="str">
        <f t="shared" ca="1" si="619"/>
        <v>-</v>
      </c>
      <c r="BZ714" s="831">
        <v>42887</v>
      </c>
      <c r="CA714" s="832">
        <v>5</v>
      </c>
      <c r="CB714" s="833">
        <f t="shared" ca="1" si="620"/>
        <v>247</v>
      </c>
      <c r="CC714" s="834" t="str">
        <f t="shared" ca="1" si="621"/>
        <v>-</v>
      </c>
      <c r="CD714" s="835">
        <f t="shared" si="622"/>
        <v>42908</v>
      </c>
      <c r="CE714" s="831">
        <v>42908</v>
      </c>
      <c r="CF714" s="832">
        <v>5</v>
      </c>
      <c r="CG714" s="833">
        <f t="shared" ca="1" si="623"/>
        <v>226</v>
      </c>
      <c r="CH714" s="836">
        <f t="shared" si="624"/>
        <v>0</v>
      </c>
      <c r="CI714" s="837" t="str">
        <f t="shared" si="625"/>
        <v>УСПЕШНО</v>
      </c>
      <c r="CJ714" s="838" t="str">
        <f t="shared" ca="1" si="626"/>
        <v>-</v>
      </c>
      <c r="CK714" s="831"/>
      <c r="CL714" s="832"/>
      <c r="CM714" s="833" t="str">
        <f t="shared" si="627"/>
        <v>-</v>
      </c>
      <c r="CN714" s="834" t="str">
        <f t="shared" si="628"/>
        <v>-</v>
      </c>
      <c r="CO714" s="830" t="str">
        <f t="shared" ca="1" si="629"/>
        <v>-</v>
      </c>
      <c r="CP714" s="831">
        <v>43031</v>
      </c>
      <c r="CQ714" s="832">
        <v>2</v>
      </c>
      <c r="CR714" s="833">
        <f t="shared" si="630"/>
        <v>214</v>
      </c>
      <c r="CS714" s="833">
        <f t="shared" ca="1" si="631"/>
        <v>103</v>
      </c>
      <c r="CT714" s="834" t="str">
        <f t="shared" ca="1" si="632"/>
        <v>-</v>
      </c>
      <c r="CU714" s="835">
        <f t="shared" si="633"/>
        <v>43052</v>
      </c>
      <c r="CV714" s="831">
        <v>43052</v>
      </c>
      <c r="CW714" s="832">
        <v>2</v>
      </c>
      <c r="CX714" s="833">
        <f t="shared" si="634"/>
        <v>0</v>
      </c>
      <c r="CY714" s="840" t="str">
        <f t="shared" si="635"/>
        <v>УСПЕШНО</v>
      </c>
      <c r="CZ714" s="833">
        <f t="shared" si="636"/>
        <v>235</v>
      </c>
      <c r="DA714" s="838" t="str">
        <f t="shared" ca="1" si="637"/>
        <v>ТРЕБУЕТСЯ РЕВАКЦИНАЦИЯ</v>
      </c>
      <c r="DB714" s="841"/>
      <c r="DC714" s="832"/>
    </row>
    <row r="715" spans="1:107" x14ac:dyDescent="0.25">
      <c r="A715" s="790">
        <v>717</v>
      </c>
      <c r="B715" s="791">
        <f t="shared" ca="1" si="586"/>
        <v>43134</v>
      </c>
      <c r="C715" s="29" t="s">
        <v>2556</v>
      </c>
      <c r="D715" s="59" t="s">
        <v>2586</v>
      </c>
      <c r="E715" s="794" t="s">
        <v>549</v>
      </c>
      <c r="F715" s="795" t="s">
        <v>550</v>
      </c>
      <c r="G715" s="796">
        <f>SUMIFS(МОЛОКО!L8:L6958,МОЛОКО!F8:F6958,"13403",МОЛОКО!L8:L6958,"&gt;0")</f>
        <v>9.1999999999999993</v>
      </c>
      <c r="H715" s="797" t="s">
        <v>620</v>
      </c>
      <c r="I715" s="798">
        <v>41586</v>
      </c>
      <c r="J715" s="799">
        <f t="shared" ca="1" si="587"/>
        <v>4.2410958904109588</v>
      </c>
      <c r="K715" s="799">
        <f t="shared" ca="1" si="588"/>
        <v>51.6</v>
      </c>
      <c r="L715" s="800">
        <f t="shared" ca="1" si="589"/>
        <v>1548</v>
      </c>
      <c r="M715" s="801">
        <v>42431</v>
      </c>
      <c r="N715" s="802">
        <v>42765</v>
      </c>
      <c r="O715" s="803">
        <f t="shared" ca="1" si="590"/>
        <v>369</v>
      </c>
      <c r="P715" s="804">
        <v>2</v>
      </c>
      <c r="Q715" s="805" t="s">
        <v>1451</v>
      </c>
      <c r="R715" s="806" t="s">
        <v>2269</v>
      </c>
      <c r="S715" s="807">
        <v>42824</v>
      </c>
      <c r="T715" s="798">
        <v>42824</v>
      </c>
      <c r="U715" s="798" t="str">
        <f t="shared" si="591"/>
        <v>-</v>
      </c>
      <c r="V715" s="804" t="str">
        <f t="shared" ca="1" si="592"/>
        <v>-</v>
      </c>
      <c r="W715" s="808">
        <v>1</v>
      </c>
      <c r="X715" s="794">
        <f t="shared" si="585"/>
        <v>59</v>
      </c>
      <c r="Y715" s="794">
        <v>1</v>
      </c>
      <c r="Z715" s="809" t="str">
        <f t="shared" ca="1" si="593"/>
        <v>-----</v>
      </c>
      <c r="AA715" s="810" t="str">
        <f t="shared" ca="1" si="594"/>
        <v>-----</v>
      </c>
      <c r="AB715" s="804">
        <v>1</v>
      </c>
      <c r="AC715" s="811" t="str">
        <f t="shared" ca="1" si="595"/>
        <v>-----</v>
      </c>
      <c r="AD715" s="798">
        <v>42930</v>
      </c>
      <c r="AE715" s="794" t="str">
        <f t="shared" ca="1" si="596"/>
        <v>-</v>
      </c>
      <c r="AF715" s="798" t="str">
        <f t="shared" si="597"/>
        <v>-</v>
      </c>
      <c r="AG715" s="812" t="str">
        <f t="shared" si="598"/>
        <v>---------</v>
      </c>
      <c r="AH715" s="807">
        <v>42865</v>
      </c>
      <c r="AI715" s="807">
        <f t="shared" si="599"/>
        <v>43014</v>
      </c>
      <c r="AJ715" s="807">
        <f t="shared" si="600"/>
        <v>43044</v>
      </c>
      <c r="AK715" s="813">
        <v>43038</v>
      </c>
      <c r="AL715" s="807">
        <f t="shared" si="601"/>
        <v>43083</v>
      </c>
      <c r="AM715" s="807">
        <f t="shared" si="602"/>
        <v>43104</v>
      </c>
      <c r="AN715" s="814">
        <f t="shared" ca="1" si="603"/>
        <v>30</v>
      </c>
      <c r="AO715" s="815">
        <v>1</v>
      </c>
      <c r="AP715" s="816" t="str">
        <f t="shared" ca="1" si="604"/>
        <v>-</v>
      </c>
      <c r="AQ715" s="817"/>
      <c r="AR715" s="794" t="str">
        <f t="shared" si="605"/>
        <v>-</v>
      </c>
      <c r="AS715" s="818"/>
      <c r="AT715" s="794" t="str">
        <f t="shared" si="606"/>
        <v>DRY COW</v>
      </c>
      <c r="AU715" s="819"/>
      <c r="AV715" s="820"/>
      <c r="AW715" s="821"/>
      <c r="AX715" s="821"/>
      <c r="AY715" s="969" t="str">
        <f t="shared" si="607"/>
        <v>-</v>
      </c>
      <c r="AZ715" s="966" t="str">
        <f t="shared" si="608"/>
        <v>-</v>
      </c>
      <c r="BA715" s="971" t="str">
        <f t="shared" si="609"/>
        <v>-</v>
      </c>
      <c r="BB715" s="975"/>
      <c r="BC715" s="821"/>
      <c r="BD715" s="821"/>
      <c r="BE715" s="963" t="str">
        <f t="shared" si="610"/>
        <v>-</v>
      </c>
      <c r="BF715" s="984"/>
      <c r="BG715" s="988"/>
      <c r="BH715" s="982"/>
      <c r="BI715" s="991"/>
      <c r="BJ715" s="991"/>
      <c r="BK715" s="993" t="str">
        <f t="shared" si="611"/>
        <v>-</v>
      </c>
      <c r="BL715" s="820">
        <v>42981</v>
      </c>
      <c r="BM715" s="821">
        <v>5</v>
      </c>
      <c r="BN715" s="822">
        <f t="shared" ca="1" si="612"/>
        <v>153</v>
      </c>
      <c r="BO715" s="823">
        <f t="shared" si="613"/>
        <v>46.5</v>
      </c>
      <c r="BP715" s="824">
        <v>43001</v>
      </c>
      <c r="BQ715" s="821">
        <v>2</v>
      </c>
      <c r="BR715" s="822">
        <f t="shared" ca="1" si="614"/>
        <v>133</v>
      </c>
      <c r="BS715" s="823">
        <f t="shared" si="615"/>
        <v>19</v>
      </c>
      <c r="BT715" s="825" t="str">
        <f t="shared" ca="1" si="616"/>
        <v>-</v>
      </c>
      <c r="BU715" s="826"/>
      <c r="BV715" s="827"/>
      <c r="BW715" s="828" t="str">
        <f t="shared" si="617"/>
        <v>Ж-Е НЕ ВАКЦ.</v>
      </c>
      <c r="BX715" s="829" t="str">
        <f t="shared" si="618"/>
        <v>-</v>
      </c>
      <c r="BY715" s="830" t="str">
        <f t="shared" ca="1" si="619"/>
        <v>-</v>
      </c>
      <c r="BZ715" s="831">
        <v>42887</v>
      </c>
      <c r="CA715" s="832">
        <v>5</v>
      </c>
      <c r="CB715" s="833">
        <f t="shared" ca="1" si="620"/>
        <v>247</v>
      </c>
      <c r="CC715" s="834" t="str">
        <f t="shared" ca="1" si="621"/>
        <v>-</v>
      </c>
      <c r="CD715" s="835">
        <f t="shared" si="622"/>
        <v>42908</v>
      </c>
      <c r="CE715" s="831">
        <v>42908</v>
      </c>
      <c r="CF715" s="832">
        <v>5</v>
      </c>
      <c r="CG715" s="833">
        <f t="shared" ca="1" si="623"/>
        <v>226</v>
      </c>
      <c r="CH715" s="836">
        <f t="shared" si="624"/>
        <v>0</v>
      </c>
      <c r="CI715" s="837" t="str">
        <f t="shared" si="625"/>
        <v>УСПЕШНО</v>
      </c>
      <c r="CJ715" s="838" t="str">
        <f t="shared" ca="1" si="626"/>
        <v>-</v>
      </c>
      <c r="CK715" s="831"/>
      <c r="CL715" s="832"/>
      <c r="CM715" s="833" t="str">
        <f t="shared" si="627"/>
        <v>-</v>
      </c>
      <c r="CN715" s="834" t="str">
        <f t="shared" si="628"/>
        <v>-</v>
      </c>
      <c r="CO715" s="830" t="str">
        <f t="shared" ca="1" si="629"/>
        <v>-</v>
      </c>
      <c r="CP715" s="831">
        <v>43052</v>
      </c>
      <c r="CQ715" s="832">
        <v>2</v>
      </c>
      <c r="CR715" s="833">
        <f t="shared" si="630"/>
        <v>228</v>
      </c>
      <c r="CS715" s="833">
        <f t="shared" ca="1" si="631"/>
        <v>82</v>
      </c>
      <c r="CT715" s="834" t="str">
        <f t="shared" ca="1" si="632"/>
        <v>ТРЕБУЕТСЯ БУСТЕРНАЯ ДОЗА</v>
      </c>
      <c r="CU715" s="835">
        <f t="shared" si="633"/>
        <v>43073</v>
      </c>
      <c r="CV715" s="839"/>
      <c r="CW715" s="832"/>
      <c r="CX715" s="833" t="str">
        <f t="shared" si="634"/>
        <v>-</v>
      </c>
      <c r="CY715" s="840" t="str">
        <f t="shared" si="635"/>
        <v>-</v>
      </c>
      <c r="CZ715" s="833" t="str">
        <f t="shared" si="636"/>
        <v>-</v>
      </c>
      <c r="DA715" s="838" t="str">
        <f t="shared" ca="1" si="637"/>
        <v>-</v>
      </c>
      <c r="DB715" s="841"/>
      <c r="DC715" s="832"/>
    </row>
    <row r="716" spans="1:107" x14ac:dyDescent="0.25">
      <c r="A716" s="790">
        <v>718</v>
      </c>
      <c r="B716" s="791">
        <f t="shared" ca="1" si="586"/>
        <v>43134</v>
      </c>
      <c r="C716" s="29" t="s">
        <v>2556</v>
      </c>
      <c r="D716" s="59" t="s">
        <v>2586</v>
      </c>
      <c r="E716" s="794" t="s">
        <v>31</v>
      </c>
      <c r="F716" s="795" t="s">
        <v>32</v>
      </c>
      <c r="G716" s="796">
        <f>SUMIFS(МОЛОКО!L8:L6958,МОЛОКО!F8:F6958,"55098",МОЛОКО!L8:L6958,"&gt;0")</f>
        <v>5</v>
      </c>
      <c r="H716" s="797" t="s">
        <v>78</v>
      </c>
      <c r="I716" s="798">
        <v>40365</v>
      </c>
      <c r="J716" s="799">
        <f t="shared" ca="1" si="587"/>
        <v>7.5863013698630137</v>
      </c>
      <c r="K716" s="799">
        <f t="shared" ca="1" si="588"/>
        <v>92.3</v>
      </c>
      <c r="L716" s="800">
        <f t="shared" ca="1" si="589"/>
        <v>2769</v>
      </c>
      <c r="M716" s="801">
        <v>41057</v>
      </c>
      <c r="N716" s="802">
        <v>42519</v>
      </c>
      <c r="O716" s="803">
        <f t="shared" ca="1" si="590"/>
        <v>615</v>
      </c>
      <c r="P716" s="804">
        <v>4</v>
      </c>
      <c r="Q716" s="805" t="s">
        <v>2366</v>
      </c>
      <c r="R716" s="806" t="s">
        <v>1875</v>
      </c>
      <c r="S716" s="807">
        <v>42575</v>
      </c>
      <c r="T716" s="798">
        <v>42901</v>
      </c>
      <c r="U716" s="798" t="str">
        <f t="shared" si="591"/>
        <v>-</v>
      </c>
      <c r="V716" s="804" t="str">
        <f t="shared" ca="1" si="592"/>
        <v>-</v>
      </c>
      <c r="W716" s="808">
        <v>3</v>
      </c>
      <c r="X716" s="794">
        <f t="shared" si="585"/>
        <v>382</v>
      </c>
      <c r="Y716" s="794">
        <v>1</v>
      </c>
      <c r="Z716" s="809" t="str">
        <f t="shared" ca="1" si="593"/>
        <v>-----</v>
      </c>
      <c r="AA716" s="810" t="str">
        <f t="shared" ca="1" si="594"/>
        <v>-----</v>
      </c>
      <c r="AB716" s="804">
        <v>1</v>
      </c>
      <c r="AC716" s="811" t="str">
        <f t="shared" ca="1" si="595"/>
        <v>-----</v>
      </c>
      <c r="AD716" s="798"/>
      <c r="AE716" s="794" t="str">
        <f t="shared" ca="1" si="596"/>
        <v>-</v>
      </c>
      <c r="AF716" s="798" t="str">
        <f t="shared" si="597"/>
        <v>-</v>
      </c>
      <c r="AG716" s="812" t="str">
        <f t="shared" si="598"/>
        <v>---------</v>
      </c>
      <c r="AH716" s="807">
        <v>42971</v>
      </c>
      <c r="AI716" s="807">
        <f t="shared" si="599"/>
        <v>43091</v>
      </c>
      <c r="AJ716" s="807">
        <f t="shared" si="600"/>
        <v>43121</v>
      </c>
      <c r="AK716" s="813">
        <v>43053</v>
      </c>
      <c r="AL716" s="807">
        <f t="shared" si="601"/>
        <v>43160</v>
      </c>
      <c r="AM716" s="807">
        <f t="shared" si="602"/>
        <v>43181</v>
      </c>
      <c r="AN716" s="814">
        <f t="shared" ca="1" si="603"/>
        <v>-47</v>
      </c>
      <c r="AO716" s="815">
        <v>1</v>
      </c>
      <c r="AP716" s="816" t="str">
        <f t="shared" ca="1" si="604"/>
        <v>-</v>
      </c>
      <c r="AQ716" s="817"/>
      <c r="AR716" s="794" t="str">
        <f t="shared" si="605"/>
        <v>-</v>
      </c>
      <c r="AS716" s="818"/>
      <c r="AT716" s="794" t="str">
        <f t="shared" si="606"/>
        <v>DRY COW</v>
      </c>
      <c r="AU716" s="819"/>
      <c r="AV716" s="820"/>
      <c r="AW716" s="821"/>
      <c r="AX716" s="821"/>
      <c r="AY716" s="969" t="str">
        <f t="shared" si="607"/>
        <v>-</v>
      </c>
      <c r="AZ716" s="966" t="str">
        <f t="shared" si="608"/>
        <v>-</v>
      </c>
      <c r="BA716" s="971" t="str">
        <f t="shared" si="609"/>
        <v>-</v>
      </c>
      <c r="BB716" s="975"/>
      <c r="BC716" s="821"/>
      <c r="BD716" s="821"/>
      <c r="BE716" s="963" t="str">
        <f t="shared" si="610"/>
        <v>-</v>
      </c>
      <c r="BF716" s="984"/>
      <c r="BG716" s="988"/>
      <c r="BH716" s="982"/>
      <c r="BI716" s="991"/>
      <c r="BJ716" s="991"/>
      <c r="BK716" s="993" t="str">
        <f t="shared" si="611"/>
        <v>-</v>
      </c>
      <c r="BL716" s="820">
        <v>42981</v>
      </c>
      <c r="BM716" s="821">
        <v>5</v>
      </c>
      <c r="BN716" s="822">
        <f t="shared" ca="1" si="612"/>
        <v>153</v>
      </c>
      <c r="BO716" s="823">
        <f t="shared" si="613"/>
        <v>87.2</v>
      </c>
      <c r="BP716" s="824"/>
      <c r="BQ716" s="821"/>
      <c r="BR716" s="822" t="str">
        <f t="shared" si="614"/>
        <v>-</v>
      </c>
      <c r="BS716" s="823" t="str">
        <f t="shared" si="615"/>
        <v>-</v>
      </c>
      <c r="BT716" s="825" t="str">
        <f t="shared" ca="1" si="616"/>
        <v>-</v>
      </c>
      <c r="BU716" s="826"/>
      <c r="BV716" s="827"/>
      <c r="BW716" s="828" t="str">
        <f t="shared" si="617"/>
        <v>Ж-Е НЕ ВАКЦ.</v>
      </c>
      <c r="BX716" s="829" t="str">
        <f t="shared" si="618"/>
        <v>-</v>
      </c>
      <c r="BY716" s="830" t="str">
        <f t="shared" ca="1" si="619"/>
        <v>-</v>
      </c>
      <c r="BZ716" s="831">
        <v>42887</v>
      </c>
      <c r="CA716" s="832">
        <v>5</v>
      </c>
      <c r="CB716" s="833">
        <f t="shared" ca="1" si="620"/>
        <v>247</v>
      </c>
      <c r="CC716" s="834" t="str">
        <f t="shared" ca="1" si="621"/>
        <v>-</v>
      </c>
      <c r="CD716" s="835">
        <f t="shared" si="622"/>
        <v>42908</v>
      </c>
      <c r="CE716" s="831">
        <v>42908</v>
      </c>
      <c r="CF716" s="832">
        <v>5</v>
      </c>
      <c r="CG716" s="833">
        <f t="shared" ca="1" si="623"/>
        <v>226</v>
      </c>
      <c r="CH716" s="836">
        <f t="shared" si="624"/>
        <v>0</v>
      </c>
      <c r="CI716" s="837" t="str">
        <f t="shared" si="625"/>
        <v>УСПЕШНО</v>
      </c>
      <c r="CJ716" s="838" t="str">
        <f t="shared" ca="1" si="626"/>
        <v>-</v>
      </c>
      <c r="CK716" s="831"/>
      <c r="CL716" s="832"/>
      <c r="CM716" s="833" t="str">
        <f t="shared" si="627"/>
        <v>-</v>
      </c>
      <c r="CN716" s="834" t="str">
        <f t="shared" si="628"/>
        <v>-</v>
      </c>
      <c r="CO716" s="830" t="str">
        <f t="shared" ca="1" si="629"/>
        <v>ТРЕБУЕТСЯ ВАКЦИНАЦИЯ</v>
      </c>
      <c r="CP716" s="839"/>
      <c r="CQ716" s="832"/>
      <c r="CR716" s="833" t="str">
        <f t="shared" si="630"/>
        <v>-</v>
      </c>
      <c r="CS716" s="833" t="str">
        <f t="shared" si="631"/>
        <v>-</v>
      </c>
      <c r="CT716" s="834" t="str">
        <f t="shared" si="632"/>
        <v>-</v>
      </c>
      <c r="CU716" s="835" t="str">
        <f t="shared" si="633"/>
        <v>-</v>
      </c>
      <c r="CV716" s="839"/>
      <c r="CW716" s="832"/>
      <c r="CX716" s="833" t="str">
        <f t="shared" si="634"/>
        <v>-</v>
      </c>
      <c r="CY716" s="840" t="str">
        <f t="shared" si="635"/>
        <v>-</v>
      </c>
      <c r="CZ716" s="833" t="str">
        <f t="shared" si="636"/>
        <v>-</v>
      </c>
      <c r="DA716" s="838" t="str">
        <f t="shared" ca="1" si="637"/>
        <v>-</v>
      </c>
      <c r="DB716" s="841"/>
      <c r="DC716" s="832"/>
    </row>
    <row r="717" spans="1:107" x14ac:dyDescent="0.25">
      <c r="A717" s="790">
        <v>719</v>
      </c>
      <c r="B717" s="791">
        <f t="shared" ca="1" si="586"/>
        <v>43134</v>
      </c>
      <c r="C717" s="792" t="s">
        <v>2556</v>
      </c>
      <c r="D717" s="793" t="s">
        <v>2586</v>
      </c>
      <c r="E717" s="794" t="s">
        <v>465</v>
      </c>
      <c r="F717" s="854" t="s">
        <v>466</v>
      </c>
      <c r="G717" s="796">
        <f>SUMIFS(МОЛОКО!L8:L6958,МОЛОКО!F8:F6958,"277689",МОЛОКО!L8:L6958,"&gt;0")</f>
        <v>0</v>
      </c>
      <c r="H717" s="797" t="s">
        <v>78</v>
      </c>
      <c r="I717" s="798">
        <v>41427</v>
      </c>
      <c r="J717" s="799">
        <f t="shared" ca="1" si="587"/>
        <v>4.6767123287671231</v>
      </c>
      <c r="K717" s="799">
        <f t="shared" ca="1" si="588"/>
        <v>56.9</v>
      </c>
      <c r="L717" s="800">
        <f t="shared" ca="1" si="589"/>
        <v>1707</v>
      </c>
      <c r="M717" s="801">
        <v>42210</v>
      </c>
      <c r="N717" s="802">
        <v>42582</v>
      </c>
      <c r="O717" s="803">
        <f t="shared" ca="1" si="590"/>
        <v>552</v>
      </c>
      <c r="P717" s="804">
        <v>2</v>
      </c>
      <c r="Q717" s="805" t="s">
        <v>2327</v>
      </c>
      <c r="R717" s="806" t="s">
        <v>1874</v>
      </c>
      <c r="S717" s="807">
        <v>42678</v>
      </c>
      <c r="T717" s="798">
        <v>42805</v>
      </c>
      <c r="U717" s="798" t="str">
        <f t="shared" si="591"/>
        <v>-</v>
      </c>
      <c r="V717" s="804" t="str">
        <f t="shared" ca="1" si="592"/>
        <v>-</v>
      </c>
      <c r="W717" s="808">
        <v>5</v>
      </c>
      <c r="X717" s="794">
        <f t="shared" si="585"/>
        <v>223</v>
      </c>
      <c r="Y717" s="794">
        <v>1</v>
      </c>
      <c r="Z717" s="809" t="str">
        <f t="shared" ca="1" si="593"/>
        <v>-----</v>
      </c>
      <c r="AA717" s="810" t="str">
        <f t="shared" ca="1" si="594"/>
        <v>-----</v>
      </c>
      <c r="AB717" s="804">
        <v>1</v>
      </c>
      <c r="AC717" s="811" t="str">
        <f t="shared" ca="1" si="595"/>
        <v>-----</v>
      </c>
      <c r="AD717" s="798">
        <v>43024</v>
      </c>
      <c r="AE717" s="794" t="str">
        <f t="shared" ca="1" si="596"/>
        <v>-</v>
      </c>
      <c r="AF717" s="798" t="str">
        <f t="shared" si="597"/>
        <v>-</v>
      </c>
      <c r="AG717" s="812" t="str">
        <f t="shared" si="598"/>
        <v>---------</v>
      </c>
      <c r="AH717" s="807">
        <v>42849</v>
      </c>
      <c r="AI717" s="807">
        <f t="shared" si="599"/>
        <v>42995</v>
      </c>
      <c r="AJ717" s="807">
        <f t="shared" si="600"/>
        <v>43025</v>
      </c>
      <c r="AK717" s="813">
        <v>43022</v>
      </c>
      <c r="AL717" s="807">
        <f t="shared" si="601"/>
        <v>43064</v>
      </c>
      <c r="AM717" s="807">
        <f t="shared" si="602"/>
        <v>43085</v>
      </c>
      <c r="AN717" s="814">
        <f t="shared" ca="1" si="603"/>
        <v>49</v>
      </c>
      <c r="AO717" s="815">
        <v>1</v>
      </c>
      <c r="AP717" s="816" t="str">
        <f t="shared" ca="1" si="604"/>
        <v>-</v>
      </c>
      <c r="AQ717" s="817"/>
      <c r="AR717" s="794" t="str">
        <f t="shared" si="605"/>
        <v>-</v>
      </c>
      <c r="AS717" s="818"/>
      <c r="AT717" s="794" t="str">
        <f t="shared" si="606"/>
        <v>DRY COW</v>
      </c>
      <c r="AU717" s="819">
        <v>1</v>
      </c>
      <c r="AV717" s="820"/>
      <c r="AW717" s="821"/>
      <c r="AX717" s="821"/>
      <c r="AY717" s="969" t="str">
        <f t="shared" si="607"/>
        <v>-</v>
      </c>
      <c r="AZ717" s="966" t="str">
        <f t="shared" si="608"/>
        <v>-</v>
      </c>
      <c r="BA717" s="971" t="str">
        <f t="shared" si="609"/>
        <v>-</v>
      </c>
      <c r="BB717" s="975"/>
      <c r="BC717" s="821"/>
      <c r="BD717" s="821"/>
      <c r="BE717" s="963" t="str">
        <f t="shared" si="610"/>
        <v>-</v>
      </c>
      <c r="BF717" s="984"/>
      <c r="BG717" s="988"/>
      <c r="BH717" s="982"/>
      <c r="BI717" s="991"/>
      <c r="BJ717" s="991"/>
      <c r="BK717" s="993" t="str">
        <f t="shared" si="611"/>
        <v>-</v>
      </c>
      <c r="BL717" s="820">
        <v>42981</v>
      </c>
      <c r="BM717" s="821">
        <v>5</v>
      </c>
      <c r="BN717" s="822">
        <f t="shared" ca="1" si="612"/>
        <v>153</v>
      </c>
      <c r="BO717" s="823">
        <f t="shared" si="613"/>
        <v>51.8</v>
      </c>
      <c r="BP717" s="824"/>
      <c r="BQ717" s="821"/>
      <c r="BR717" s="822" t="str">
        <f t="shared" si="614"/>
        <v>-</v>
      </c>
      <c r="BS717" s="823" t="str">
        <f t="shared" si="615"/>
        <v>-</v>
      </c>
      <c r="BT717" s="825" t="str">
        <f t="shared" ca="1" si="616"/>
        <v>-</v>
      </c>
      <c r="BU717" s="826"/>
      <c r="BV717" s="827"/>
      <c r="BW717" s="828" t="str">
        <f t="shared" si="617"/>
        <v>Ж-Е НЕ ВАКЦ.</v>
      </c>
      <c r="BX717" s="829" t="str">
        <f t="shared" si="618"/>
        <v>-</v>
      </c>
      <c r="BY717" s="830" t="str">
        <f t="shared" ca="1" si="619"/>
        <v>-</v>
      </c>
      <c r="BZ717" s="831">
        <v>42887</v>
      </c>
      <c r="CA717" s="832">
        <v>5</v>
      </c>
      <c r="CB717" s="833">
        <f t="shared" ca="1" si="620"/>
        <v>247</v>
      </c>
      <c r="CC717" s="834" t="str">
        <f t="shared" ca="1" si="621"/>
        <v>-</v>
      </c>
      <c r="CD717" s="835">
        <f t="shared" si="622"/>
        <v>42908</v>
      </c>
      <c r="CE717" s="831">
        <v>42908</v>
      </c>
      <c r="CF717" s="832">
        <v>5</v>
      </c>
      <c r="CG717" s="833">
        <f t="shared" ca="1" si="623"/>
        <v>226</v>
      </c>
      <c r="CH717" s="836">
        <f t="shared" si="624"/>
        <v>0</v>
      </c>
      <c r="CI717" s="837" t="str">
        <f t="shared" si="625"/>
        <v>УСПЕШНО</v>
      </c>
      <c r="CJ717" s="838" t="str">
        <f t="shared" ca="1" si="626"/>
        <v>-</v>
      </c>
      <c r="CK717" s="831"/>
      <c r="CL717" s="832"/>
      <c r="CM717" s="833" t="str">
        <f t="shared" si="627"/>
        <v>-</v>
      </c>
      <c r="CN717" s="834" t="str">
        <f t="shared" si="628"/>
        <v>-</v>
      </c>
      <c r="CO717" s="830" t="str">
        <f t="shared" ca="1" si="629"/>
        <v>-</v>
      </c>
      <c r="CP717" s="831">
        <v>43017</v>
      </c>
      <c r="CQ717" s="832">
        <v>2</v>
      </c>
      <c r="CR717" s="833">
        <f t="shared" si="630"/>
        <v>212</v>
      </c>
      <c r="CS717" s="833">
        <f t="shared" ca="1" si="631"/>
        <v>117</v>
      </c>
      <c r="CT717" s="834" t="str">
        <f t="shared" ca="1" si="632"/>
        <v>-</v>
      </c>
      <c r="CU717" s="835">
        <f t="shared" si="633"/>
        <v>43038</v>
      </c>
      <c r="CV717" s="831">
        <v>43038</v>
      </c>
      <c r="CW717" s="832">
        <v>2</v>
      </c>
      <c r="CX717" s="833">
        <f t="shared" si="634"/>
        <v>0</v>
      </c>
      <c r="CY717" s="840" t="str">
        <f t="shared" si="635"/>
        <v>УСПЕШНО</v>
      </c>
      <c r="CZ717" s="833">
        <f t="shared" si="636"/>
        <v>233</v>
      </c>
      <c r="DA717" s="838" t="str">
        <f t="shared" ca="1" si="637"/>
        <v>ТРЕБУЕТСЯ РЕВАКЦИНАЦИЯ</v>
      </c>
      <c r="DB717" s="841"/>
      <c r="DC717" s="832"/>
    </row>
    <row r="718" spans="1:107" x14ac:dyDescent="0.25">
      <c r="A718" s="790">
        <v>720</v>
      </c>
      <c r="B718" s="791">
        <f t="shared" ca="1" si="586"/>
        <v>43134</v>
      </c>
      <c r="C718" s="847" t="s">
        <v>3274</v>
      </c>
      <c r="D718" s="59" t="s">
        <v>3324</v>
      </c>
      <c r="E718" s="22" t="s">
        <v>3434</v>
      </c>
      <c r="F718" s="795" t="s">
        <v>3283</v>
      </c>
      <c r="G718" s="796">
        <f>SUMIFS(МОЛОКО!L8:L6958,МОЛОКО!F8:F6958,"04629",МОЛОКО!L8:L6958,"&gt;0")</f>
        <v>0</v>
      </c>
      <c r="H718" s="797" t="s">
        <v>3236</v>
      </c>
      <c r="I718" s="798">
        <v>42341</v>
      </c>
      <c r="J718" s="799">
        <f t="shared" ca="1" si="587"/>
        <v>2.1726027397260275</v>
      </c>
      <c r="K718" s="799">
        <f t="shared" ca="1" si="588"/>
        <v>26.433333333333334</v>
      </c>
      <c r="L718" s="800">
        <f t="shared" ca="1" si="589"/>
        <v>793</v>
      </c>
      <c r="M718" s="801"/>
      <c r="N718" s="802"/>
      <c r="O718" s="803" t="str">
        <f t="shared" ca="1" si="590"/>
        <v>-</v>
      </c>
      <c r="P718" s="804"/>
      <c r="Q718" s="68" t="s">
        <v>3398</v>
      </c>
      <c r="R718" s="118" t="s">
        <v>3387</v>
      </c>
      <c r="S718" s="807">
        <v>42865</v>
      </c>
      <c r="T718" s="798">
        <v>42865</v>
      </c>
      <c r="U718" s="798" t="str">
        <f t="shared" si="591"/>
        <v>-</v>
      </c>
      <c r="V718" s="804" t="str">
        <f t="shared" ca="1" si="592"/>
        <v>-</v>
      </c>
      <c r="W718" s="808">
        <v>1</v>
      </c>
      <c r="X718" s="794" t="str">
        <f t="shared" si="585"/>
        <v>-</v>
      </c>
      <c r="Y718" s="794">
        <v>1</v>
      </c>
      <c r="Z718" s="809" t="str">
        <f t="shared" ca="1" si="593"/>
        <v>-----</v>
      </c>
      <c r="AA718" s="810" t="str">
        <f t="shared" ca="1" si="594"/>
        <v>-----</v>
      </c>
      <c r="AB718" s="804">
        <v>1</v>
      </c>
      <c r="AC718" s="811" t="str">
        <f t="shared" ca="1" si="595"/>
        <v>-----</v>
      </c>
      <c r="AD718" s="798">
        <v>43029</v>
      </c>
      <c r="AE718" s="794" t="str">
        <f t="shared" ca="1" si="596"/>
        <v>-</v>
      </c>
      <c r="AF718" s="798" t="str">
        <f t="shared" si="597"/>
        <v>-</v>
      </c>
      <c r="AG718" s="812" t="str">
        <f t="shared" si="598"/>
        <v>---------</v>
      </c>
      <c r="AH718" s="807">
        <v>43018</v>
      </c>
      <c r="AI718" s="807" t="str">
        <f t="shared" si="599"/>
        <v>-</v>
      </c>
      <c r="AJ718" s="807" t="str">
        <f t="shared" si="600"/>
        <v>-</v>
      </c>
      <c r="AK718" s="813"/>
      <c r="AL718" s="807">
        <f t="shared" si="601"/>
        <v>43124</v>
      </c>
      <c r="AM718" s="807">
        <f t="shared" si="602"/>
        <v>43145</v>
      </c>
      <c r="AN718" s="814">
        <f t="shared" ca="1" si="603"/>
        <v>-11</v>
      </c>
      <c r="AO718" s="815">
        <v>1</v>
      </c>
      <c r="AP718" s="816" t="str">
        <f t="shared" ca="1" si="604"/>
        <v>-</v>
      </c>
      <c r="AQ718" s="817"/>
      <c r="AR718" s="794" t="str">
        <f t="shared" si="605"/>
        <v>НЕТЕЛЬ</v>
      </c>
      <c r="AS718" s="818"/>
      <c r="AT718" s="794" t="str">
        <f t="shared" si="606"/>
        <v>-</v>
      </c>
      <c r="AU718" s="819"/>
      <c r="AV718" s="820">
        <v>43034</v>
      </c>
      <c r="AW718" s="821">
        <v>4</v>
      </c>
      <c r="AX718" s="821">
        <v>1</v>
      </c>
      <c r="AY718" s="969">
        <f t="shared" ca="1" si="607"/>
        <v>100</v>
      </c>
      <c r="AZ718" s="966" t="str">
        <f t="shared" ca="1" si="608"/>
        <v>-</v>
      </c>
      <c r="BA718" s="971">
        <f t="shared" si="609"/>
        <v>43044</v>
      </c>
      <c r="BB718" s="975">
        <v>43045</v>
      </c>
      <c r="BC718" s="821">
        <v>4</v>
      </c>
      <c r="BD718" s="821">
        <v>4</v>
      </c>
      <c r="BE718" s="963">
        <f t="shared" ca="1" si="610"/>
        <v>89</v>
      </c>
      <c r="BF718" s="984"/>
      <c r="BG718" s="988"/>
      <c r="BH718" s="982"/>
      <c r="BI718" s="991"/>
      <c r="BJ718" s="991"/>
      <c r="BK718" s="993" t="str">
        <f t="shared" si="611"/>
        <v>-</v>
      </c>
      <c r="BL718" s="865"/>
      <c r="BM718" s="821"/>
      <c r="BN718" s="822" t="str">
        <f t="shared" si="612"/>
        <v>-</v>
      </c>
      <c r="BO718" s="823" t="str">
        <f t="shared" si="613"/>
        <v>-</v>
      </c>
      <c r="BP718" s="868"/>
      <c r="BQ718" s="821"/>
      <c r="BR718" s="822" t="str">
        <f t="shared" si="614"/>
        <v>-</v>
      </c>
      <c r="BS718" s="823" t="str">
        <f t="shared" si="615"/>
        <v>-</v>
      </c>
      <c r="BT718" s="825" t="str">
        <f t="shared" ca="1" si="616"/>
        <v>-</v>
      </c>
      <c r="BU718" s="860">
        <v>43022</v>
      </c>
      <c r="BV718" s="827">
        <v>2</v>
      </c>
      <c r="BW718" s="828">
        <f t="shared" si="617"/>
        <v>681</v>
      </c>
      <c r="BX718" s="829">
        <f t="shared" ca="1" si="618"/>
        <v>112</v>
      </c>
      <c r="BY718" s="830" t="str">
        <f t="shared" ca="1" si="619"/>
        <v>-</v>
      </c>
      <c r="BZ718" s="831">
        <v>43029</v>
      </c>
      <c r="CA718" s="832">
        <v>5</v>
      </c>
      <c r="CB718" s="833">
        <f t="shared" ca="1" si="620"/>
        <v>105</v>
      </c>
      <c r="CC718" s="834" t="str">
        <f t="shared" ca="1" si="621"/>
        <v>-</v>
      </c>
      <c r="CD718" s="835">
        <f t="shared" si="622"/>
        <v>43050</v>
      </c>
      <c r="CE718" s="831">
        <v>43050</v>
      </c>
      <c r="CF718" s="832">
        <v>5</v>
      </c>
      <c r="CG718" s="833">
        <f t="shared" ca="1" si="623"/>
        <v>84</v>
      </c>
      <c r="CH718" s="836">
        <f t="shared" si="624"/>
        <v>0</v>
      </c>
      <c r="CI718" s="837" t="str">
        <f t="shared" si="625"/>
        <v>УСПЕШНО</v>
      </c>
      <c r="CJ718" s="838" t="str">
        <f t="shared" ca="1" si="626"/>
        <v>-</v>
      </c>
      <c r="CK718" s="831"/>
      <c r="CL718" s="832"/>
      <c r="CM718" s="833" t="str">
        <f t="shared" si="627"/>
        <v>-</v>
      </c>
      <c r="CN718" s="834" t="str">
        <f t="shared" si="628"/>
        <v>-</v>
      </c>
      <c r="CO718" s="830" t="str">
        <f t="shared" ca="1" si="629"/>
        <v>ТРЕБУЕТСЯ ВАКЦИНАЦИЯ</v>
      </c>
      <c r="CP718" s="839"/>
      <c r="CQ718" s="832"/>
      <c r="CR718" s="833" t="str">
        <f t="shared" si="630"/>
        <v>-</v>
      </c>
      <c r="CS718" s="833" t="str">
        <f t="shared" si="631"/>
        <v>-</v>
      </c>
      <c r="CT718" s="834" t="str">
        <f t="shared" si="632"/>
        <v>-</v>
      </c>
      <c r="CU718" s="835" t="str">
        <f t="shared" si="633"/>
        <v>-</v>
      </c>
      <c r="CV718" s="839"/>
      <c r="CW718" s="832"/>
      <c r="CX718" s="833" t="str">
        <f t="shared" si="634"/>
        <v>-</v>
      </c>
      <c r="CY718" s="840" t="str">
        <f t="shared" si="635"/>
        <v>-</v>
      </c>
      <c r="CZ718" s="833" t="str">
        <f t="shared" si="636"/>
        <v>-</v>
      </c>
      <c r="DA718" s="838" t="str">
        <f t="shared" ca="1" si="637"/>
        <v>-</v>
      </c>
      <c r="DB718" s="841"/>
      <c r="DC718" s="832"/>
    </row>
    <row r="719" spans="1:107" x14ac:dyDescent="0.25">
      <c r="A719" s="790">
        <v>721</v>
      </c>
      <c r="B719" s="791">
        <f t="shared" ca="1" si="586"/>
        <v>43134</v>
      </c>
      <c r="C719" s="847" t="s">
        <v>3271</v>
      </c>
      <c r="D719" s="59" t="s">
        <v>3324</v>
      </c>
      <c r="E719" s="22" t="s">
        <v>3485</v>
      </c>
      <c r="F719" s="795" t="s">
        <v>3255</v>
      </c>
      <c r="G719" s="796">
        <f>SUMIFS(МОЛОКО!L8:L6958,МОЛОКО!F8:F6958,"08125",МОЛОКО!L8:L6958,"&gt;0")</f>
        <v>0</v>
      </c>
      <c r="H719" s="797" t="s">
        <v>3236</v>
      </c>
      <c r="I719" s="798">
        <v>42289</v>
      </c>
      <c r="J719" s="799">
        <f t="shared" ca="1" si="587"/>
        <v>2.3150684931506849</v>
      </c>
      <c r="K719" s="799">
        <f t="shared" ca="1" si="588"/>
        <v>28.166666666666668</v>
      </c>
      <c r="L719" s="800">
        <f t="shared" ca="1" si="589"/>
        <v>845</v>
      </c>
      <c r="M719" s="801"/>
      <c r="N719" s="802"/>
      <c r="O719" s="803" t="str">
        <f t="shared" ca="1" si="590"/>
        <v>-</v>
      </c>
      <c r="P719" s="804"/>
      <c r="Q719" s="68" t="s">
        <v>3398</v>
      </c>
      <c r="R719" s="118" t="s">
        <v>3362</v>
      </c>
      <c r="S719" s="798">
        <v>42858</v>
      </c>
      <c r="T719" s="798">
        <v>42858</v>
      </c>
      <c r="U719" s="798" t="str">
        <f t="shared" si="591"/>
        <v>-</v>
      </c>
      <c r="V719" s="804" t="str">
        <f t="shared" ca="1" si="592"/>
        <v>-</v>
      </c>
      <c r="W719" s="808">
        <v>1</v>
      </c>
      <c r="X719" s="794" t="str">
        <f t="shared" si="585"/>
        <v>-</v>
      </c>
      <c r="Y719" s="794">
        <v>1</v>
      </c>
      <c r="Z719" s="809" t="str">
        <f t="shared" ca="1" si="593"/>
        <v>-----</v>
      </c>
      <c r="AA719" s="810" t="str">
        <f t="shared" ca="1" si="594"/>
        <v>-----</v>
      </c>
      <c r="AB719" s="804">
        <v>1</v>
      </c>
      <c r="AC719" s="811" t="str">
        <f t="shared" ca="1" si="595"/>
        <v>-----</v>
      </c>
      <c r="AD719" s="798">
        <v>43029</v>
      </c>
      <c r="AE719" s="794" t="str">
        <f t="shared" ca="1" si="596"/>
        <v>-</v>
      </c>
      <c r="AF719" s="798" t="str">
        <f t="shared" si="597"/>
        <v>-</v>
      </c>
      <c r="AG719" s="812" t="str">
        <f t="shared" si="598"/>
        <v>---------</v>
      </c>
      <c r="AH719" s="807">
        <v>43018</v>
      </c>
      <c r="AI719" s="807" t="str">
        <f t="shared" si="599"/>
        <v>-</v>
      </c>
      <c r="AJ719" s="807" t="str">
        <f t="shared" si="600"/>
        <v>-</v>
      </c>
      <c r="AK719" s="813"/>
      <c r="AL719" s="807">
        <f t="shared" si="601"/>
        <v>43117</v>
      </c>
      <c r="AM719" s="807">
        <f t="shared" si="602"/>
        <v>43138</v>
      </c>
      <c r="AN719" s="814">
        <f t="shared" ca="1" si="603"/>
        <v>-4</v>
      </c>
      <c r="AO719" s="815">
        <v>1</v>
      </c>
      <c r="AP719" s="816" t="str">
        <f t="shared" ca="1" si="604"/>
        <v>-</v>
      </c>
      <c r="AQ719" s="817"/>
      <c r="AR719" s="794" t="str">
        <f t="shared" si="605"/>
        <v>НЕТЕЛЬ</v>
      </c>
      <c r="AS719" s="818"/>
      <c r="AT719" s="794" t="str">
        <f t="shared" si="606"/>
        <v>-</v>
      </c>
      <c r="AU719" s="819"/>
      <c r="AV719" s="820">
        <v>43034</v>
      </c>
      <c r="AW719" s="821">
        <v>4</v>
      </c>
      <c r="AX719" s="821">
        <v>1</v>
      </c>
      <c r="AY719" s="969">
        <f t="shared" ca="1" si="607"/>
        <v>100</v>
      </c>
      <c r="AZ719" s="966" t="str">
        <f t="shared" ca="1" si="608"/>
        <v>-</v>
      </c>
      <c r="BA719" s="971">
        <f t="shared" si="609"/>
        <v>43044</v>
      </c>
      <c r="BB719" s="975">
        <v>43045</v>
      </c>
      <c r="BC719" s="821">
        <v>4</v>
      </c>
      <c r="BD719" s="821">
        <v>4</v>
      </c>
      <c r="BE719" s="963">
        <f t="shared" ca="1" si="610"/>
        <v>89</v>
      </c>
      <c r="BF719" s="984"/>
      <c r="BG719" s="988"/>
      <c r="BH719" s="982"/>
      <c r="BI719" s="991"/>
      <c r="BJ719" s="991"/>
      <c r="BK719" s="993" t="str">
        <f t="shared" si="611"/>
        <v>-</v>
      </c>
      <c r="BL719" s="865"/>
      <c r="BM719" s="821"/>
      <c r="BN719" s="822" t="str">
        <f t="shared" si="612"/>
        <v>-</v>
      </c>
      <c r="BO719" s="823" t="str">
        <f t="shared" si="613"/>
        <v>-</v>
      </c>
      <c r="BP719" s="868"/>
      <c r="BQ719" s="821"/>
      <c r="BR719" s="822" t="str">
        <f t="shared" si="614"/>
        <v>-</v>
      </c>
      <c r="BS719" s="823" t="str">
        <f t="shared" si="615"/>
        <v>-</v>
      </c>
      <c r="BT719" s="825" t="str">
        <f t="shared" ca="1" si="616"/>
        <v>-</v>
      </c>
      <c r="BU719" s="860">
        <v>43022</v>
      </c>
      <c r="BV719" s="827">
        <v>2</v>
      </c>
      <c r="BW719" s="828">
        <f t="shared" si="617"/>
        <v>733</v>
      </c>
      <c r="BX719" s="829">
        <f t="shared" ca="1" si="618"/>
        <v>112</v>
      </c>
      <c r="BY719" s="830" t="str">
        <f t="shared" ca="1" si="619"/>
        <v>-</v>
      </c>
      <c r="BZ719" s="831">
        <v>43029</v>
      </c>
      <c r="CA719" s="832">
        <v>5</v>
      </c>
      <c r="CB719" s="833">
        <f t="shared" ca="1" si="620"/>
        <v>105</v>
      </c>
      <c r="CC719" s="834" t="str">
        <f t="shared" ca="1" si="621"/>
        <v>-</v>
      </c>
      <c r="CD719" s="835">
        <f t="shared" si="622"/>
        <v>43050</v>
      </c>
      <c r="CE719" s="831">
        <v>43050</v>
      </c>
      <c r="CF719" s="832">
        <v>5</v>
      </c>
      <c r="CG719" s="833">
        <f t="shared" ca="1" si="623"/>
        <v>84</v>
      </c>
      <c r="CH719" s="836">
        <f t="shared" si="624"/>
        <v>0</v>
      </c>
      <c r="CI719" s="837" t="str">
        <f t="shared" si="625"/>
        <v>УСПЕШНО</v>
      </c>
      <c r="CJ719" s="838" t="str">
        <f t="shared" ca="1" si="626"/>
        <v>-</v>
      </c>
      <c r="CK719" s="831"/>
      <c r="CL719" s="832"/>
      <c r="CM719" s="833" t="str">
        <f t="shared" si="627"/>
        <v>-</v>
      </c>
      <c r="CN719" s="834" t="str">
        <f t="shared" si="628"/>
        <v>-</v>
      </c>
      <c r="CO719" s="830" t="str">
        <f t="shared" ca="1" si="629"/>
        <v>ТРЕБУЕТСЯ ВАКЦИНАЦИЯ</v>
      </c>
      <c r="CP719" s="839"/>
      <c r="CQ719" s="832"/>
      <c r="CR719" s="833" t="str">
        <f t="shared" si="630"/>
        <v>-</v>
      </c>
      <c r="CS719" s="833" t="str">
        <f t="shared" si="631"/>
        <v>-</v>
      </c>
      <c r="CT719" s="834" t="str">
        <f t="shared" si="632"/>
        <v>-</v>
      </c>
      <c r="CU719" s="835" t="str">
        <f t="shared" si="633"/>
        <v>-</v>
      </c>
      <c r="CV719" s="839"/>
      <c r="CW719" s="832"/>
      <c r="CX719" s="833" t="str">
        <f t="shared" si="634"/>
        <v>-</v>
      </c>
      <c r="CY719" s="840" t="str">
        <f t="shared" si="635"/>
        <v>-</v>
      </c>
      <c r="CZ719" s="833" t="str">
        <f t="shared" si="636"/>
        <v>-</v>
      </c>
      <c r="DA719" s="838" t="str">
        <f t="shared" ca="1" si="637"/>
        <v>-</v>
      </c>
      <c r="DB719" s="841"/>
      <c r="DC719" s="832"/>
    </row>
    <row r="720" spans="1:107" x14ac:dyDescent="0.25">
      <c r="A720" s="790">
        <v>722</v>
      </c>
      <c r="B720" s="791">
        <f t="shared" ca="1" si="586"/>
        <v>43134</v>
      </c>
      <c r="C720" s="847" t="s">
        <v>3271</v>
      </c>
      <c r="D720" s="59" t="s">
        <v>3324</v>
      </c>
      <c r="E720" s="22" t="s">
        <v>3478</v>
      </c>
      <c r="F720" s="795" t="s">
        <v>3256</v>
      </c>
      <c r="G720" s="796">
        <f>SUMIFS(МОЛОКО!L8:L6958,МОЛОКО!F8:F6958,"08126",МОЛОКО!L8:L6958,"&gt;0")</f>
        <v>0</v>
      </c>
      <c r="H720" s="797" t="s">
        <v>3236</v>
      </c>
      <c r="I720" s="798">
        <v>42317</v>
      </c>
      <c r="J720" s="799">
        <f t="shared" ca="1" si="587"/>
        <v>2.2383561643835614</v>
      </c>
      <c r="K720" s="799">
        <f t="shared" ca="1" si="588"/>
        <v>27.233333333333334</v>
      </c>
      <c r="L720" s="800">
        <f t="shared" ca="1" si="589"/>
        <v>817</v>
      </c>
      <c r="M720" s="801"/>
      <c r="N720" s="802"/>
      <c r="O720" s="803" t="str">
        <f t="shared" ca="1" si="590"/>
        <v>-</v>
      </c>
      <c r="P720" s="804"/>
      <c r="Q720" s="68" t="s">
        <v>3398</v>
      </c>
      <c r="R720" s="118" t="s">
        <v>3362</v>
      </c>
      <c r="S720" s="798">
        <v>42867</v>
      </c>
      <c r="T720" s="798">
        <v>42867</v>
      </c>
      <c r="U720" s="798" t="str">
        <f t="shared" si="591"/>
        <v>-</v>
      </c>
      <c r="V720" s="804" t="str">
        <f t="shared" ca="1" si="592"/>
        <v>-</v>
      </c>
      <c r="W720" s="808">
        <v>1</v>
      </c>
      <c r="X720" s="794" t="str">
        <f t="shared" si="585"/>
        <v>-</v>
      </c>
      <c r="Y720" s="794">
        <v>1</v>
      </c>
      <c r="Z720" s="809" t="str">
        <f t="shared" ca="1" si="593"/>
        <v>-----</v>
      </c>
      <c r="AA720" s="810" t="str">
        <f t="shared" ca="1" si="594"/>
        <v>-----</v>
      </c>
      <c r="AB720" s="804">
        <v>1</v>
      </c>
      <c r="AC720" s="811" t="str">
        <f t="shared" ca="1" si="595"/>
        <v>-----</v>
      </c>
      <c r="AD720" s="798">
        <v>43029</v>
      </c>
      <c r="AE720" s="794" t="str">
        <f t="shared" ca="1" si="596"/>
        <v>-</v>
      </c>
      <c r="AF720" s="798" t="str">
        <f t="shared" si="597"/>
        <v>-</v>
      </c>
      <c r="AG720" s="812" t="str">
        <f t="shared" si="598"/>
        <v>---------</v>
      </c>
      <c r="AH720" s="807">
        <v>43018</v>
      </c>
      <c r="AI720" s="807" t="str">
        <f t="shared" si="599"/>
        <v>-</v>
      </c>
      <c r="AJ720" s="807" t="str">
        <f t="shared" si="600"/>
        <v>-</v>
      </c>
      <c r="AK720" s="813"/>
      <c r="AL720" s="807">
        <f t="shared" si="601"/>
        <v>43126</v>
      </c>
      <c r="AM720" s="807">
        <f t="shared" si="602"/>
        <v>43147</v>
      </c>
      <c r="AN720" s="814">
        <f t="shared" ca="1" si="603"/>
        <v>-13</v>
      </c>
      <c r="AO720" s="815">
        <v>1</v>
      </c>
      <c r="AP720" s="816" t="str">
        <f t="shared" ca="1" si="604"/>
        <v>-</v>
      </c>
      <c r="AQ720" s="817"/>
      <c r="AR720" s="794" t="str">
        <f t="shared" si="605"/>
        <v>НЕТЕЛЬ</v>
      </c>
      <c r="AS720" s="818"/>
      <c r="AT720" s="794" t="str">
        <f t="shared" si="606"/>
        <v>-</v>
      </c>
      <c r="AU720" s="819"/>
      <c r="AV720" s="820">
        <v>43034</v>
      </c>
      <c r="AW720" s="821">
        <v>4</v>
      </c>
      <c r="AX720" s="821">
        <v>1</v>
      </c>
      <c r="AY720" s="969">
        <f t="shared" ca="1" si="607"/>
        <v>100</v>
      </c>
      <c r="AZ720" s="966" t="str">
        <f t="shared" ca="1" si="608"/>
        <v>-</v>
      </c>
      <c r="BA720" s="971">
        <f t="shared" si="609"/>
        <v>43044</v>
      </c>
      <c r="BB720" s="975">
        <v>43045</v>
      </c>
      <c r="BC720" s="821">
        <v>4</v>
      </c>
      <c r="BD720" s="821">
        <v>4</v>
      </c>
      <c r="BE720" s="963">
        <f t="shared" ca="1" si="610"/>
        <v>89</v>
      </c>
      <c r="BF720" s="984"/>
      <c r="BG720" s="988"/>
      <c r="BH720" s="982"/>
      <c r="BI720" s="991"/>
      <c r="BJ720" s="991"/>
      <c r="BK720" s="993" t="str">
        <f t="shared" si="611"/>
        <v>-</v>
      </c>
      <c r="BL720" s="865"/>
      <c r="BM720" s="821"/>
      <c r="BN720" s="822" t="str">
        <f t="shared" si="612"/>
        <v>-</v>
      </c>
      <c r="BO720" s="823" t="str">
        <f t="shared" si="613"/>
        <v>-</v>
      </c>
      <c r="BP720" s="868"/>
      <c r="BQ720" s="821"/>
      <c r="BR720" s="822" t="str">
        <f t="shared" si="614"/>
        <v>-</v>
      </c>
      <c r="BS720" s="823" t="str">
        <f t="shared" si="615"/>
        <v>-</v>
      </c>
      <c r="BT720" s="825" t="str">
        <f t="shared" ca="1" si="616"/>
        <v>-</v>
      </c>
      <c r="BU720" s="860">
        <v>43022</v>
      </c>
      <c r="BV720" s="827">
        <v>2</v>
      </c>
      <c r="BW720" s="828">
        <f t="shared" si="617"/>
        <v>705</v>
      </c>
      <c r="BX720" s="829">
        <f t="shared" ca="1" si="618"/>
        <v>112</v>
      </c>
      <c r="BY720" s="830" t="str">
        <f t="shared" ca="1" si="619"/>
        <v>-</v>
      </c>
      <c r="BZ720" s="831">
        <v>43029</v>
      </c>
      <c r="CA720" s="832">
        <v>5</v>
      </c>
      <c r="CB720" s="833">
        <f t="shared" ca="1" si="620"/>
        <v>105</v>
      </c>
      <c r="CC720" s="834" t="str">
        <f t="shared" ca="1" si="621"/>
        <v>-</v>
      </c>
      <c r="CD720" s="835">
        <f t="shared" si="622"/>
        <v>43050</v>
      </c>
      <c r="CE720" s="831">
        <v>43050</v>
      </c>
      <c r="CF720" s="832">
        <v>5</v>
      </c>
      <c r="CG720" s="833">
        <f t="shared" ca="1" si="623"/>
        <v>84</v>
      </c>
      <c r="CH720" s="836">
        <f t="shared" si="624"/>
        <v>0</v>
      </c>
      <c r="CI720" s="837" t="str">
        <f t="shared" si="625"/>
        <v>УСПЕШНО</v>
      </c>
      <c r="CJ720" s="838" t="str">
        <f t="shared" ca="1" si="626"/>
        <v>-</v>
      </c>
      <c r="CK720" s="831"/>
      <c r="CL720" s="832"/>
      <c r="CM720" s="833" t="str">
        <f t="shared" si="627"/>
        <v>-</v>
      </c>
      <c r="CN720" s="834" t="str">
        <f t="shared" si="628"/>
        <v>-</v>
      </c>
      <c r="CO720" s="830" t="str">
        <f t="shared" ca="1" si="629"/>
        <v>ТРЕБУЕТСЯ ВАКЦИНАЦИЯ</v>
      </c>
      <c r="CP720" s="839"/>
      <c r="CQ720" s="832"/>
      <c r="CR720" s="833" t="str">
        <f t="shared" si="630"/>
        <v>-</v>
      </c>
      <c r="CS720" s="833" t="str">
        <f t="shared" si="631"/>
        <v>-</v>
      </c>
      <c r="CT720" s="834" t="str">
        <f t="shared" si="632"/>
        <v>-</v>
      </c>
      <c r="CU720" s="835" t="str">
        <f t="shared" si="633"/>
        <v>-</v>
      </c>
      <c r="CV720" s="839"/>
      <c r="CW720" s="832"/>
      <c r="CX720" s="833" t="str">
        <f t="shared" si="634"/>
        <v>-</v>
      </c>
      <c r="CY720" s="840" t="str">
        <f t="shared" si="635"/>
        <v>-</v>
      </c>
      <c r="CZ720" s="833" t="str">
        <f t="shared" si="636"/>
        <v>-</v>
      </c>
      <c r="DA720" s="838" t="str">
        <f t="shared" ca="1" si="637"/>
        <v>-</v>
      </c>
      <c r="DB720" s="841"/>
      <c r="DC720" s="832"/>
    </row>
    <row r="721" spans="1:107" x14ac:dyDescent="0.25">
      <c r="A721" s="790">
        <v>723</v>
      </c>
      <c r="B721" s="791">
        <f t="shared" ca="1" si="586"/>
        <v>43134</v>
      </c>
      <c r="C721" s="847" t="s">
        <v>3271</v>
      </c>
      <c r="D721" s="59" t="s">
        <v>3324</v>
      </c>
      <c r="E721" s="22" t="s">
        <v>3435</v>
      </c>
      <c r="F721" s="795" t="s">
        <v>3295</v>
      </c>
      <c r="G721" s="796">
        <f>SUMIFS(МОЛОКО!L8:L6958,МОЛОКО!F8:F6958,"10157",МОЛОКО!L8:L6958,"&gt;0")</f>
        <v>0</v>
      </c>
      <c r="H721" s="797" t="s">
        <v>3236</v>
      </c>
      <c r="I721" s="798">
        <v>42389</v>
      </c>
      <c r="J721" s="799">
        <f t="shared" ca="1" si="587"/>
        <v>2.0410958904109591</v>
      </c>
      <c r="K721" s="799">
        <f t="shared" ca="1" si="588"/>
        <v>24.833333333333332</v>
      </c>
      <c r="L721" s="800">
        <f t="shared" ca="1" si="589"/>
        <v>745</v>
      </c>
      <c r="M721" s="801"/>
      <c r="N721" s="802"/>
      <c r="O721" s="803" t="str">
        <f t="shared" ca="1" si="590"/>
        <v>-</v>
      </c>
      <c r="P721" s="804"/>
      <c r="Q721" s="68" t="s">
        <v>3398</v>
      </c>
      <c r="R721" s="118" t="s">
        <v>3387</v>
      </c>
      <c r="S721" s="807">
        <v>42865</v>
      </c>
      <c r="T721" s="798">
        <v>42865</v>
      </c>
      <c r="U721" s="798" t="str">
        <f t="shared" si="591"/>
        <v>-</v>
      </c>
      <c r="V721" s="804" t="str">
        <f t="shared" ca="1" si="592"/>
        <v>-</v>
      </c>
      <c r="W721" s="808">
        <v>1</v>
      </c>
      <c r="X721" s="794" t="str">
        <f t="shared" si="585"/>
        <v>-</v>
      </c>
      <c r="Y721" s="794">
        <v>1</v>
      </c>
      <c r="Z721" s="809" t="str">
        <f t="shared" ca="1" si="593"/>
        <v>-----</v>
      </c>
      <c r="AA721" s="810" t="str">
        <f t="shared" ca="1" si="594"/>
        <v>-----</v>
      </c>
      <c r="AB721" s="804">
        <v>1</v>
      </c>
      <c r="AC721" s="811" t="str">
        <f t="shared" ca="1" si="595"/>
        <v>-----</v>
      </c>
      <c r="AD721" s="798">
        <v>43029</v>
      </c>
      <c r="AE721" s="794" t="str">
        <f t="shared" ca="1" si="596"/>
        <v>-</v>
      </c>
      <c r="AF721" s="798" t="str">
        <f t="shared" si="597"/>
        <v>-</v>
      </c>
      <c r="AG721" s="812" t="str">
        <f t="shared" si="598"/>
        <v>---------</v>
      </c>
      <c r="AH721" s="807">
        <v>43018</v>
      </c>
      <c r="AI721" s="807" t="str">
        <f t="shared" si="599"/>
        <v>-</v>
      </c>
      <c r="AJ721" s="807" t="str">
        <f t="shared" si="600"/>
        <v>-</v>
      </c>
      <c r="AK721" s="813"/>
      <c r="AL721" s="807">
        <f t="shared" si="601"/>
        <v>43124</v>
      </c>
      <c r="AM721" s="807">
        <f t="shared" si="602"/>
        <v>43145</v>
      </c>
      <c r="AN721" s="814">
        <f t="shared" ca="1" si="603"/>
        <v>-11</v>
      </c>
      <c r="AO721" s="815">
        <v>1</v>
      </c>
      <c r="AP721" s="816" t="str">
        <f t="shared" ca="1" si="604"/>
        <v>-</v>
      </c>
      <c r="AQ721" s="817"/>
      <c r="AR721" s="794" t="str">
        <f t="shared" si="605"/>
        <v>НЕТЕЛЬ</v>
      </c>
      <c r="AS721" s="818"/>
      <c r="AT721" s="794" t="str">
        <f t="shared" si="606"/>
        <v>-</v>
      </c>
      <c r="AU721" s="819"/>
      <c r="AV721" s="820">
        <v>43034</v>
      </c>
      <c r="AW721" s="821">
        <v>4</v>
      </c>
      <c r="AX721" s="821">
        <v>1</v>
      </c>
      <c r="AY721" s="969">
        <f t="shared" ca="1" si="607"/>
        <v>100</v>
      </c>
      <c r="AZ721" s="966" t="str">
        <f t="shared" ca="1" si="608"/>
        <v>-</v>
      </c>
      <c r="BA721" s="971">
        <f t="shared" si="609"/>
        <v>43044</v>
      </c>
      <c r="BB721" s="975">
        <v>43045</v>
      </c>
      <c r="BC721" s="821">
        <v>4</v>
      </c>
      <c r="BD721" s="821">
        <v>4</v>
      </c>
      <c r="BE721" s="963">
        <f t="shared" ca="1" si="610"/>
        <v>89</v>
      </c>
      <c r="BF721" s="984"/>
      <c r="BG721" s="988"/>
      <c r="BH721" s="982"/>
      <c r="BI721" s="991"/>
      <c r="BJ721" s="991"/>
      <c r="BK721" s="993" t="str">
        <f t="shared" si="611"/>
        <v>-</v>
      </c>
      <c r="BL721" s="865"/>
      <c r="BM721" s="821"/>
      <c r="BN721" s="822" t="str">
        <f t="shared" si="612"/>
        <v>-</v>
      </c>
      <c r="BO721" s="823" t="str">
        <f t="shared" si="613"/>
        <v>-</v>
      </c>
      <c r="BP721" s="868"/>
      <c r="BQ721" s="821"/>
      <c r="BR721" s="822" t="str">
        <f t="shared" si="614"/>
        <v>-</v>
      </c>
      <c r="BS721" s="823" t="str">
        <f t="shared" si="615"/>
        <v>-</v>
      </c>
      <c r="BT721" s="825" t="str">
        <f t="shared" ca="1" si="616"/>
        <v>-</v>
      </c>
      <c r="BU721" s="860">
        <v>43022</v>
      </c>
      <c r="BV721" s="827">
        <v>2</v>
      </c>
      <c r="BW721" s="828">
        <f t="shared" si="617"/>
        <v>633</v>
      </c>
      <c r="BX721" s="829">
        <f t="shared" ca="1" si="618"/>
        <v>112</v>
      </c>
      <c r="BY721" s="830" t="str">
        <f t="shared" ca="1" si="619"/>
        <v>-</v>
      </c>
      <c r="BZ721" s="831">
        <v>43029</v>
      </c>
      <c r="CA721" s="832">
        <v>5</v>
      </c>
      <c r="CB721" s="833">
        <f t="shared" ca="1" si="620"/>
        <v>105</v>
      </c>
      <c r="CC721" s="834" t="str">
        <f t="shared" ca="1" si="621"/>
        <v>-</v>
      </c>
      <c r="CD721" s="835">
        <f t="shared" si="622"/>
        <v>43050</v>
      </c>
      <c r="CE721" s="831">
        <v>43050</v>
      </c>
      <c r="CF721" s="832">
        <v>5</v>
      </c>
      <c r="CG721" s="833">
        <f t="shared" ca="1" si="623"/>
        <v>84</v>
      </c>
      <c r="CH721" s="836">
        <f t="shared" si="624"/>
        <v>0</v>
      </c>
      <c r="CI721" s="837" t="str">
        <f t="shared" si="625"/>
        <v>УСПЕШНО</v>
      </c>
      <c r="CJ721" s="838" t="str">
        <f t="shared" ca="1" si="626"/>
        <v>-</v>
      </c>
      <c r="CK721" s="831"/>
      <c r="CL721" s="832"/>
      <c r="CM721" s="833" t="str">
        <f t="shared" si="627"/>
        <v>-</v>
      </c>
      <c r="CN721" s="834" t="str">
        <f t="shared" si="628"/>
        <v>-</v>
      </c>
      <c r="CO721" s="830" t="str">
        <f t="shared" ca="1" si="629"/>
        <v>ТРЕБУЕТСЯ ВАКЦИНАЦИЯ</v>
      </c>
      <c r="CP721" s="839"/>
      <c r="CQ721" s="832"/>
      <c r="CR721" s="833" t="str">
        <f t="shared" si="630"/>
        <v>-</v>
      </c>
      <c r="CS721" s="833" t="str">
        <f t="shared" si="631"/>
        <v>-</v>
      </c>
      <c r="CT721" s="834" t="str">
        <f t="shared" si="632"/>
        <v>-</v>
      </c>
      <c r="CU721" s="835" t="str">
        <f t="shared" si="633"/>
        <v>-</v>
      </c>
      <c r="CV721" s="839"/>
      <c r="CW721" s="832"/>
      <c r="CX721" s="833" t="str">
        <f t="shared" si="634"/>
        <v>-</v>
      </c>
      <c r="CY721" s="840" t="str">
        <f t="shared" si="635"/>
        <v>-</v>
      </c>
      <c r="CZ721" s="833" t="str">
        <f t="shared" si="636"/>
        <v>-</v>
      </c>
      <c r="DA721" s="838" t="str">
        <f t="shared" ca="1" si="637"/>
        <v>-</v>
      </c>
      <c r="DB721" s="841"/>
      <c r="DC721" s="832"/>
    </row>
    <row r="722" spans="1:107" x14ac:dyDescent="0.25">
      <c r="A722" s="790">
        <v>724</v>
      </c>
      <c r="B722" s="791">
        <f t="shared" ca="1" si="586"/>
        <v>43134</v>
      </c>
      <c r="C722" s="847" t="s">
        <v>3271</v>
      </c>
      <c r="D722" s="59" t="s">
        <v>3324</v>
      </c>
      <c r="E722" s="22" t="s">
        <v>3439</v>
      </c>
      <c r="F722" s="795" t="s">
        <v>3296</v>
      </c>
      <c r="G722" s="796">
        <f>SUMIFS(МОЛОКО!L8:L6958,МОЛОКО!F8:F6958,"10161",МОЛОКО!L8:L6958,"&gt;0")</f>
        <v>0</v>
      </c>
      <c r="H722" s="797" t="s">
        <v>3236</v>
      </c>
      <c r="I722" s="798">
        <v>42398</v>
      </c>
      <c r="J722" s="799">
        <f t="shared" ca="1" si="587"/>
        <v>2.0164383561643837</v>
      </c>
      <c r="K722" s="799">
        <f t="shared" ca="1" si="588"/>
        <v>24.533333333333335</v>
      </c>
      <c r="L722" s="800">
        <f t="shared" ca="1" si="589"/>
        <v>736</v>
      </c>
      <c r="M722" s="801"/>
      <c r="N722" s="802"/>
      <c r="O722" s="803" t="str">
        <f t="shared" ca="1" si="590"/>
        <v>-</v>
      </c>
      <c r="P722" s="804"/>
      <c r="Q722" s="68" t="s">
        <v>3398</v>
      </c>
      <c r="R722" s="118" t="s">
        <v>3397</v>
      </c>
      <c r="S722" s="807">
        <v>42893</v>
      </c>
      <c r="T722" s="798">
        <v>42893</v>
      </c>
      <c r="U722" s="798" t="str">
        <f t="shared" si="591"/>
        <v>-</v>
      </c>
      <c r="V722" s="804" t="str">
        <f t="shared" ca="1" si="592"/>
        <v>-</v>
      </c>
      <c r="W722" s="808">
        <v>1</v>
      </c>
      <c r="X722" s="794" t="str">
        <f t="shared" si="585"/>
        <v>-</v>
      </c>
      <c r="Y722" s="794">
        <v>1</v>
      </c>
      <c r="Z722" s="809" t="str">
        <f t="shared" ca="1" si="593"/>
        <v>-----</v>
      </c>
      <c r="AA722" s="810" t="str">
        <f t="shared" ca="1" si="594"/>
        <v>-----</v>
      </c>
      <c r="AB722" s="804">
        <v>1</v>
      </c>
      <c r="AC722" s="811" t="str">
        <f t="shared" ca="1" si="595"/>
        <v>-----</v>
      </c>
      <c r="AD722" s="798">
        <v>43029</v>
      </c>
      <c r="AE722" s="794" t="str">
        <f t="shared" ca="1" si="596"/>
        <v>-</v>
      </c>
      <c r="AF722" s="798" t="str">
        <f t="shared" si="597"/>
        <v>-</v>
      </c>
      <c r="AG722" s="812" t="str">
        <f t="shared" si="598"/>
        <v>---------</v>
      </c>
      <c r="AH722" s="807">
        <v>43018</v>
      </c>
      <c r="AI722" s="807" t="str">
        <f t="shared" si="599"/>
        <v>-</v>
      </c>
      <c r="AJ722" s="807" t="str">
        <f t="shared" si="600"/>
        <v>-</v>
      </c>
      <c r="AK722" s="813"/>
      <c r="AL722" s="807">
        <f t="shared" si="601"/>
        <v>43152</v>
      </c>
      <c r="AM722" s="807">
        <f t="shared" si="602"/>
        <v>43173</v>
      </c>
      <c r="AN722" s="814">
        <f t="shared" ca="1" si="603"/>
        <v>-39</v>
      </c>
      <c r="AO722" s="815">
        <v>1</v>
      </c>
      <c r="AP722" s="816" t="str">
        <f t="shared" ca="1" si="604"/>
        <v>-</v>
      </c>
      <c r="AQ722" s="817"/>
      <c r="AR722" s="794" t="str">
        <f t="shared" si="605"/>
        <v>НЕТЕЛЬ</v>
      </c>
      <c r="AS722" s="818"/>
      <c r="AT722" s="794" t="str">
        <f t="shared" si="606"/>
        <v>-</v>
      </c>
      <c r="AU722" s="819"/>
      <c r="AV722" s="820">
        <v>43034</v>
      </c>
      <c r="AW722" s="821">
        <v>4</v>
      </c>
      <c r="AX722" s="821">
        <v>1</v>
      </c>
      <c r="AY722" s="969">
        <f t="shared" ca="1" si="607"/>
        <v>100</v>
      </c>
      <c r="AZ722" s="966" t="str">
        <f t="shared" ca="1" si="608"/>
        <v>-</v>
      </c>
      <c r="BA722" s="971">
        <f t="shared" si="609"/>
        <v>43044</v>
      </c>
      <c r="BB722" s="975">
        <v>43045</v>
      </c>
      <c r="BC722" s="821">
        <v>4</v>
      </c>
      <c r="BD722" s="821">
        <v>4</v>
      </c>
      <c r="BE722" s="963">
        <f t="shared" ca="1" si="610"/>
        <v>89</v>
      </c>
      <c r="BF722" s="984"/>
      <c r="BG722" s="988"/>
      <c r="BH722" s="982"/>
      <c r="BI722" s="991"/>
      <c r="BJ722" s="991"/>
      <c r="BK722" s="993" t="str">
        <f t="shared" si="611"/>
        <v>-</v>
      </c>
      <c r="BL722" s="865"/>
      <c r="BM722" s="821"/>
      <c r="BN722" s="822" t="str">
        <f t="shared" si="612"/>
        <v>-</v>
      </c>
      <c r="BO722" s="823" t="str">
        <f t="shared" si="613"/>
        <v>-</v>
      </c>
      <c r="BP722" s="868"/>
      <c r="BQ722" s="821"/>
      <c r="BR722" s="822" t="str">
        <f t="shared" si="614"/>
        <v>-</v>
      </c>
      <c r="BS722" s="823" t="str">
        <f t="shared" si="615"/>
        <v>-</v>
      </c>
      <c r="BT722" s="825" t="str">
        <f t="shared" ca="1" si="616"/>
        <v>-</v>
      </c>
      <c r="BU722" s="860">
        <v>43022</v>
      </c>
      <c r="BV722" s="827">
        <v>2</v>
      </c>
      <c r="BW722" s="828">
        <f t="shared" si="617"/>
        <v>624</v>
      </c>
      <c r="BX722" s="829">
        <f t="shared" ca="1" si="618"/>
        <v>112</v>
      </c>
      <c r="BY722" s="830" t="str">
        <f t="shared" ca="1" si="619"/>
        <v>-</v>
      </c>
      <c r="BZ722" s="831">
        <v>43029</v>
      </c>
      <c r="CA722" s="832">
        <v>5</v>
      </c>
      <c r="CB722" s="833">
        <f t="shared" ca="1" si="620"/>
        <v>105</v>
      </c>
      <c r="CC722" s="834" t="str">
        <f t="shared" ca="1" si="621"/>
        <v>-</v>
      </c>
      <c r="CD722" s="835">
        <f t="shared" si="622"/>
        <v>43050</v>
      </c>
      <c r="CE722" s="831">
        <v>43050</v>
      </c>
      <c r="CF722" s="832">
        <v>5</v>
      </c>
      <c r="CG722" s="833">
        <f t="shared" ca="1" si="623"/>
        <v>84</v>
      </c>
      <c r="CH722" s="836">
        <f t="shared" si="624"/>
        <v>0</v>
      </c>
      <c r="CI722" s="837" t="str">
        <f t="shared" si="625"/>
        <v>УСПЕШНО</v>
      </c>
      <c r="CJ722" s="838" t="str">
        <f t="shared" ca="1" si="626"/>
        <v>-</v>
      </c>
      <c r="CK722" s="831"/>
      <c r="CL722" s="832"/>
      <c r="CM722" s="833" t="str">
        <f t="shared" si="627"/>
        <v>-</v>
      </c>
      <c r="CN722" s="834" t="str">
        <f t="shared" si="628"/>
        <v>-</v>
      </c>
      <c r="CO722" s="830" t="str">
        <f t="shared" ca="1" si="629"/>
        <v>ТРЕБУЕТСЯ ВАКЦИНАЦИЯ</v>
      </c>
      <c r="CP722" s="839"/>
      <c r="CQ722" s="832"/>
      <c r="CR722" s="833" t="str">
        <f t="shared" si="630"/>
        <v>-</v>
      </c>
      <c r="CS722" s="833" t="str">
        <f t="shared" si="631"/>
        <v>-</v>
      </c>
      <c r="CT722" s="834" t="str">
        <f t="shared" si="632"/>
        <v>-</v>
      </c>
      <c r="CU722" s="835" t="str">
        <f t="shared" si="633"/>
        <v>-</v>
      </c>
      <c r="CV722" s="839"/>
      <c r="CW722" s="832"/>
      <c r="CX722" s="833" t="str">
        <f t="shared" si="634"/>
        <v>-</v>
      </c>
      <c r="CY722" s="840" t="str">
        <f t="shared" si="635"/>
        <v>-</v>
      </c>
      <c r="CZ722" s="833" t="str">
        <f t="shared" si="636"/>
        <v>-</v>
      </c>
      <c r="DA722" s="838" t="str">
        <f t="shared" ca="1" si="637"/>
        <v>-</v>
      </c>
      <c r="DB722" s="841"/>
      <c r="DC722" s="832"/>
    </row>
    <row r="723" spans="1:107" x14ac:dyDescent="0.25">
      <c r="A723" s="790">
        <v>725</v>
      </c>
      <c r="B723" s="791">
        <f t="shared" ca="1" si="586"/>
        <v>43134</v>
      </c>
      <c r="C723" s="847" t="s">
        <v>3271</v>
      </c>
      <c r="D723" s="59" t="s">
        <v>3324</v>
      </c>
      <c r="E723" s="22" t="s">
        <v>3446</v>
      </c>
      <c r="F723" s="795" t="s">
        <v>3297</v>
      </c>
      <c r="G723" s="796">
        <f>SUMIFS(МОЛОКО!L8:L6958,МОЛОКО!F8:F6958,"10165",МОЛОКО!L8:L6958,"&gt;0")</f>
        <v>0</v>
      </c>
      <c r="H723" s="797" t="s">
        <v>3236</v>
      </c>
      <c r="I723" s="798">
        <v>42413</v>
      </c>
      <c r="J723" s="799">
        <f t="shared" ca="1" si="587"/>
        <v>1.9753424657534246</v>
      </c>
      <c r="K723" s="799">
        <f t="shared" ca="1" si="588"/>
        <v>24.033333333333335</v>
      </c>
      <c r="L723" s="800">
        <f t="shared" ca="1" si="589"/>
        <v>721</v>
      </c>
      <c r="M723" s="801"/>
      <c r="N723" s="802"/>
      <c r="O723" s="803" t="str">
        <f t="shared" ca="1" si="590"/>
        <v>-</v>
      </c>
      <c r="P723" s="804"/>
      <c r="Q723" s="68" t="s">
        <v>3398</v>
      </c>
      <c r="R723" s="118" t="s">
        <v>3387</v>
      </c>
      <c r="S723" s="807">
        <v>42865</v>
      </c>
      <c r="T723" s="798">
        <v>42865</v>
      </c>
      <c r="U723" s="798" t="str">
        <f t="shared" si="591"/>
        <v>-</v>
      </c>
      <c r="V723" s="804" t="str">
        <f t="shared" ca="1" si="592"/>
        <v>-</v>
      </c>
      <c r="W723" s="808">
        <v>1</v>
      </c>
      <c r="X723" s="794" t="str">
        <f t="shared" si="585"/>
        <v>-</v>
      </c>
      <c r="Y723" s="794">
        <v>1</v>
      </c>
      <c r="Z723" s="809" t="str">
        <f t="shared" ca="1" si="593"/>
        <v>-----</v>
      </c>
      <c r="AA723" s="810" t="str">
        <f t="shared" ca="1" si="594"/>
        <v>-----</v>
      </c>
      <c r="AB723" s="804">
        <v>1</v>
      </c>
      <c r="AC723" s="811" t="str">
        <f t="shared" ca="1" si="595"/>
        <v>-----</v>
      </c>
      <c r="AD723" s="798">
        <v>43029</v>
      </c>
      <c r="AE723" s="794" t="str">
        <f t="shared" ca="1" si="596"/>
        <v>-</v>
      </c>
      <c r="AF723" s="798" t="str">
        <f t="shared" si="597"/>
        <v>-</v>
      </c>
      <c r="AG723" s="812" t="str">
        <f t="shared" si="598"/>
        <v>---------</v>
      </c>
      <c r="AH723" s="807">
        <v>43018</v>
      </c>
      <c r="AI723" s="807" t="str">
        <f t="shared" si="599"/>
        <v>-</v>
      </c>
      <c r="AJ723" s="807" t="str">
        <f t="shared" si="600"/>
        <v>-</v>
      </c>
      <c r="AK723" s="813"/>
      <c r="AL723" s="807">
        <f t="shared" si="601"/>
        <v>43124</v>
      </c>
      <c r="AM723" s="807">
        <f t="shared" si="602"/>
        <v>43145</v>
      </c>
      <c r="AN723" s="814">
        <f t="shared" ca="1" si="603"/>
        <v>-11</v>
      </c>
      <c r="AO723" s="815">
        <v>1</v>
      </c>
      <c r="AP723" s="816" t="str">
        <f t="shared" ca="1" si="604"/>
        <v>-</v>
      </c>
      <c r="AQ723" s="817"/>
      <c r="AR723" s="794" t="str">
        <f t="shared" si="605"/>
        <v>НЕТЕЛЬ</v>
      </c>
      <c r="AS723" s="818"/>
      <c r="AT723" s="794" t="str">
        <f t="shared" si="606"/>
        <v>-</v>
      </c>
      <c r="AU723" s="819"/>
      <c r="AV723" s="820">
        <v>43034</v>
      </c>
      <c r="AW723" s="821">
        <v>4</v>
      </c>
      <c r="AX723" s="821">
        <v>1</v>
      </c>
      <c r="AY723" s="969">
        <f t="shared" ca="1" si="607"/>
        <v>100</v>
      </c>
      <c r="AZ723" s="966" t="str">
        <f t="shared" ca="1" si="608"/>
        <v>-</v>
      </c>
      <c r="BA723" s="971">
        <f t="shared" si="609"/>
        <v>43044</v>
      </c>
      <c r="BB723" s="975">
        <v>43045</v>
      </c>
      <c r="BC723" s="821">
        <v>4</v>
      </c>
      <c r="BD723" s="821">
        <v>4</v>
      </c>
      <c r="BE723" s="963">
        <f t="shared" ca="1" si="610"/>
        <v>89</v>
      </c>
      <c r="BF723" s="984"/>
      <c r="BG723" s="988"/>
      <c r="BH723" s="982"/>
      <c r="BI723" s="991"/>
      <c r="BJ723" s="991"/>
      <c r="BK723" s="993" t="str">
        <f t="shared" si="611"/>
        <v>-</v>
      </c>
      <c r="BL723" s="865"/>
      <c r="BM723" s="821"/>
      <c r="BN723" s="822" t="str">
        <f t="shared" si="612"/>
        <v>-</v>
      </c>
      <c r="BO723" s="823" t="str">
        <f t="shared" si="613"/>
        <v>-</v>
      </c>
      <c r="BP723" s="868"/>
      <c r="BQ723" s="821"/>
      <c r="BR723" s="822" t="str">
        <f t="shared" si="614"/>
        <v>-</v>
      </c>
      <c r="BS723" s="823" t="str">
        <f t="shared" si="615"/>
        <v>-</v>
      </c>
      <c r="BT723" s="825" t="str">
        <f t="shared" ca="1" si="616"/>
        <v>-</v>
      </c>
      <c r="BU723" s="860">
        <v>43022</v>
      </c>
      <c r="BV723" s="827">
        <v>2</v>
      </c>
      <c r="BW723" s="828">
        <f t="shared" si="617"/>
        <v>609</v>
      </c>
      <c r="BX723" s="829">
        <f t="shared" ca="1" si="618"/>
        <v>112</v>
      </c>
      <c r="BY723" s="830" t="str">
        <f t="shared" ca="1" si="619"/>
        <v>-</v>
      </c>
      <c r="BZ723" s="831">
        <v>43029</v>
      </c>
      <c r="CA723" s="832">
        <v>5</v>
      </c>
      <c r="CB723" s="833">
        <f t="shared" ca="1" si="620"/>
        <v>105</v>
      </c>
      <c r="CC723" s="834" t="str">
        <f t="shared" ca="1" si="621"/>
        <v>-</v>
      </c>
      <c r="CD723" s="835">
        <f t="shared" si="622"/>
        <v>43050</v>
      </c>
      <c r="CE723" s="831">
        <v>43050</v>
      </c>
      <c r="CF723" s="832">
        <v>5</v>
      </c>
      <c r="CG723" s="833">
        <f t="shared" ca="1" si="623"/>
        <v>84</v>
      </c>
      <c r="CH723" s="836">
        <f t="shared" si="624"/>
        <v>0</v>
      </c>
      <c r="CI723" s="837" t="str">
        <f t="shared" si="625"/>
        <v>УСПЕШНО</v>
      </c>
      <c r="CJ723" s="838" t="str">
        <f t="shared" ca="1" si="626"/>
        <v>-</v>
      </c>
      <c r="CK723" s="831"/>
      <c r="CL723" s="832"/>
      <c r="CM723" s="833" t="str">
        <f t="shared" si="627"/>
        <v>-</v>
      </c>
      <c r="CN723" s="834" t="str">
        <f t="shared" si="628"/>
        <v>-</v>
      </c>
      <c r="CO723" s="830" t="str">
        <f t="shared" ca="1" si="629"/>
        <v>ТРЕБУЕТСЯ ВАКЦИНАЦИЯ</v>
      </c>
      <c r="CP723" s="839"/>
      <c r="CQ723" s="832"/>
      <c r="CR723" s="833" t="str">
        <f t="shared" si="630"/>
        <v>-</v>
      </c>
      <c r="CS723" s="833" t="str">
        <f t="shared" si="631"/>
        <v>-</v>
      </c>
      <c r="CT723" s="834" t="str">
        <f t="shared" si="632"/>
        <v>-</v>
      </c>
      <c r="CU723" s="835" t="str">
        <f t="shared" si="633"/>
        <v>-</v>
      </c>
      <c r="CV723" s="839"/>
      <c r="CW723" s="832"/>
      <c r="CX723" s="833" t="str">
        <f t="shared" si="634"/>
        <v>-</v>
      </c>
      <c r="CY723" s="840" t="str">
        <f t="shared" si="635"/>
        <v>-</v>
      </c>
      <c r="CZ723" s="833" t="str">
        <f t="shared" si="636"/>
        <v>-</v>
      </c>
      <c r="DA723" s="838" t="str">
        <f t="shared" ca="1" si="637"/>
        <v>-</v>
      </c>
      <c r="DB723" s="841"/>
      <c r="DC723" s="832"/>
    </row>
    <row r="724" spans="1:107" x14ac:dyDescent="0.25">
      <c r="A724" s="790">
        <v>726</v>
      </c>
      <c r="B724" s="791">
        <f t="shared" ca="1" si="586"/>
        <v>43134</v>
      </c>
      <c r="C724" s="847" t="s">
        <v>3271</v>
      </c>
      <c r="D724" s="59" t="s">
        <v>3324</v>
      </c>
      <c r="E724" s="22" t="s">
        <v>3479</v>
      </c>
      <c r="F724" s="795" t="s">
        <v>3251</v>
      </c>
      <c r="G724" s="796">
        <f>SUMIFS(МОЛОКО!L8:L6958,МОЛОКО!F8:F6958,"16077",МОЛОКО!L8:L6958,"&gt;0")</f>
        <v>0</v>
      </c>
      <c r="H724" s="797" t="s">
        <v>3236</v>
      </c>
      <c r="I724" s="798">
        <v>42374</v>
      </c>
      <c r="J724" s="799">
        <f t="shared" ca="1" si="587"/>
        <v>2.0821917808219177</v>
      </c>
      <c r="K724" s="799">
        <f t="shared" ca="1" si="588"/>
        <v>25.333333333333332</v>
      </c>
      <c r="L724" s="800">
        <f t="shared" ca="1" si="589"/>
        <v>760</v>
      </c>
      <c r="M724" s="801"/>
      <c r="N724" s="802"/>
      <c r="O724" s="803" t="str">
        <f t="shared" ca="1" si="590"/>
        <v>-</v>
      </c>
      <c r="P724" s="804"/>
      <c r="Q724" s="68" t="s">
        <v>3398</v>
      </c>
      <c r="R724" s="118" t="s">
        <v>1797</v>
      </c>
      <c r="S724" s="798">
        <v>42871</v>
      </c>
      <c r="T724" s="798">
        <v>42871</v>
      </c>
      <c r="U724" s="798" t="str">
        <f t="shared" si="591"/>
        <v>-</v>
      </c>
      <c r="V724" s="804" t="str">
        <f t="shared" ca="1" si="592"/>
        <v>-</v>
      </c>
      <c r="W724" s="808">
        <v>1</v>
      </c>
      <c r="X724" s="794" t="str">
        <f t="shared" si="585"/>
        <v>-</v>
      </c>
      <c r="Y724" s="794">
        <v>1</v>
      </c>
      <c r="Z724" s="809" t="str">
        <f t="shared" ca="1" si="593"/>
        <v>-----</v>
      </c>
      <c r="AA724" s="810" t="str">
        <f t="shared" ca="1" si="594"/>
        <v>-----</v>
      </c>
      <c r="AB724" s="804">
        <v>1</v>
      </c>
      <c r="AC724" s="811" t="str">
        <f t="shared" ca="1" si="595"/>
        <v>-----</v>
      </c>
      <c r="AD724" s="798">
        <v>43029</v>
      </c>
      <c r="AE724" s="794" t="str">
        <f t="shared" ca="1" si="596"/>
        <v>-</v>
      </c>
      <c r="AF724" s="798" t="str">
        <f t="shared" si="597"/>
        <v>-</v>
      </c>
      <c r="AG724" s="812" t="str">
        <f t="shared" si="598"/>
        <v>---------</v>
      </c>
      <c r="AH724" s="807">
        <v>43018</v>
      </c>
      <c r="AI724" s="807" t="str">
        <f t="shared" si="599"/>
        <v>-</v>
      </c>
      <c r="AJ724" s="807" t="str">
        <f t="shared" si="600"/>
        <v>-</v>
      </c>
      <c r="AK724" s="813"/>
      <c r="AL724" s="807">
        <f t="shared" si="601"/>
        <v>43130</v>
      </c>
      <c r="AM724" s="807">
        <f t="shared" si="602"/>
        <v>43151</v>
      </c>
      <c r="AN724" s="814">
        <f t="shared" ca="1" si="603"/>
        <v>-17</v>
      </c>
      <c r="AO724" s="815">
        <v>1</v>
      </c>
      <c r="AP724" s="816" t="str">
        <f t="shared" ca="1" si="604"/>
        <v>-</v>
      </c>
      <c r="AQ724" s="817"/>
      <c r="AR724" s="794" t="str">
        <f t="shared" si="605"/>
        <v>НЕТЕЛЬ</v>
      </c>
      <c r="AS724" s="818"/>
      <c r="AT724" s="794" t="str">
        <f t="shared" si="606"/>
        <v>-</v>
      </c>
      <c r="AU724" s="819"/>
      <c r="AV724" s="820">
        <v>43034</v>
      </c>
      <c r="AW724" s="821">
        <v>4</v>
      </c>
      <c r="AX724" s="821">
        <v>1</v>
      </c>
      <c r="AY724" s="969">
        <f t="shared" ca="1" si="607"/>
        <v>100</v>
      </c>
      <c r="AZ724" s="966" t="str">
        <f t="shared" ca="1" si="608"/>
        <v>-</v>
      </c>
      <c r="BA724" s="971">
        <f t="shared" si="609"/>
        <v>43044</v>
      </c>
      <c r="BB724" s="975">
        <v>43045</v>
      </c>
      <c r="BC724" s="821">
        <v>4</v>
      </c>
      <c r="BD724" s="821">
        <v>4</v>
      </c>
      <c r="BE724" s="963">
        <f t="shared" ca="1" si="610"/>
        <v>89</v>
      </c>
      <c r="BF724" s="984"/>
      <c r="BG724" s="988"/>
      <c r="BH724" s="982"/>
      <c r="BI724" s="991"/>
      <c r="BJ724" s="991"/>
      <c r="BK724" s="993" t="str">
        <f t="shared" si="611"/>
        <v>-</v>
      </c>
      <c r="BL724" s="865"/>
      <c r="BM724" s="821"/>
      <c r="BN724" s="822" t="str">
        <f t="shared" si="612"/>
        <v>-</v>
      </c>
      <c r="BO724" s="823" t="str">
        <f t="shared" si="613"/>
        <v>-</v>
      </c>
      <c r="BP724" s="868"/>
      <c r="BQ724" s="821"/>
      <c r="BR724" s="822" t="str">
        <f t="shared" si="614"/>
        <v>-</v>
      </c>
      <c r="BS724" s="823" t="str">
        <f t="shared" si="615"/>
        <v>-</v>
      </c>
      <c r="BT724" s="825" t="str">
        <f t="shared" ca="1" si="616"/>
        <v>-</v>
      </c>
      <c r="BU724" s="860">
        <v>43022</v>
      </c>
      <c r="BV724" s="827">
        <v>2</v>
      </c>
      <c r="BW724" s="828">
        <f t="shared" si="617"/>
        <v>648</v>
      </c>
      <c r="BX724" s="829">
        <f t="shared" ca="1" si="618"/>
        <v>112</v>
      </c>
      <c r="BY724" s="830" t="str">
        <f t="shared" ca="1" si="619"/>
        <v>-</v>
      </c>
      <c r="BZ724" s="831">
        <v>43029</v>
      </c>
      <c r="CA724" s="832">
        <v>5</v>
      </c>
      <c r="CB724" s="833">
        <f t="shared" ca="1" si="620"/>
        <v>105</v>
      </c>
      <c r="CC724" s="834" t="str">
        <f t="shared" ca="1" si="621"/>
        <v>-</v>
      </c>
      <c r="CD724" s="835">
        <f t="shared" si="622"/>
        <v>43050</v>
      </c>
      <c r="CE724" s="831">
        <v>43050</v>
      </c>
      <c r="CF724" s="832">
        <v>5</v>
      </c>
      <c r="CG724" s="833">
        <f t="shared" ca="1" si="623"/>
        <v>84</v>
      </c>
      <c r="CH724" s="836">
        <f t="shared" si="624"/>
        <v>0</v>
      </c>
      <c r="CI724" s="837" t="str">
        <f t="shared" si="625"/>
        <v>УСПЕШНО</v>
      </c>
      <c r="CJ724" s="838" t="str">
        <f t="shared" ca="1" si="626"/>
        <v>-</v>
      </c>
      <c r="CK724" s="831"/>
      <c r="CL724" s="832"/>
      <c r="CM724" s="833" t="str">
        <f t="shared" si="627"/>
        <v>-</v>
      </c>
      <c r="CN724" s="834" t="str">
        <f t="shared" si="628"/>
        <v>-</v>
      </c>
      <c r="CO724" s="830" t="str">
        <f t="shared" ca="1" si="629"/>
        <v>ТРЕБУЕТСЯ ВАКЦИНАЦИЯ</v>
      </c>
      <c r="CP724" s="839"/>
      <c r="CQ724" s="832"/>
      <c r="CR724" s="833" t="str">
        <f t="shared" si="630"/>
        <v>-</v>
      </c>
      <c r="CS724" s="833" t="str">
        <f t="shared" si="631"/>
        <v>-</v>
      </c>
      <c r="CT724" s="834" t="str">
        <f t="shared" si="632"/>
        <v>-</v>
      </c>
      <c r="CU724" s="835" t="str">
        <f t="shared" si="633"/>
        <v>-</v>
      </c>
      <c r="CV724" s="839"/>
      <c r="CW724" s="832"/>
      <c r="CX724" s="833" t="str">
        <f t="shared" si="634"/>
        <v>-</v>
      </c>
      <c r="CY724" s="840" t="str">
        <f t="shared" si="635"/>
        <v>-</v>
      </c>
      <c r="CZ724" s="833" t="str">
        <f t="shared" si="636"/>
        <v>-</v>
      </c>
      <c r="DA724" s="838" t="str">
        <f t="shared" ca="1" si="637"/>
        <v>-</v>
      </c>
      <c r="DB724" s="841"/>
      <c r="DC724" s="832"/>
    </row>
    <row r="725" spans="1:107" x14ac:dyDescent="0.25">
      <c r="A725" s="790">
        <v>727</v>
      </c>
      <c r="B725" s="791">
        <f t="shared" ca="1" si="586"/>
        <v>43134</v>
      </c>
      <c r="C725" s="847" t="s">
        <v>3271</v>
      </c>
      <c r="D725" s="59" t="s">
        <v>3324</v>
      </c>
      <c r="E725" s="22" t="s">
        <v>3429</v>
      </c>
      <c r="F725" s="795" t="s">
        <v>3287</v>
      </c>
      <c r="G725" s="796">
        <f>SUMIFS(МОЛОКО!L8:L6958,МОЛОКО!F8:F6958,"17269",МОЛОКО!L8:L6958,"&gt;0")</f>
        <v>0</v>
      </c>
      <c r="H725" s="797" t="s">
        <v>3236</v>
      </c>
      <c r="I725" s="798">
        <v>42393</v>
      </c>
      <c r="J725" s="799">
        <f t="shared" ca="1" si="587"/>
        <v>2.0301369863013701</v>
      </c>
      <c r="K725" s="799">
        <f t="shared" ca="1" si="588"/>
        <v>24.7</v>
      </c>
      <c r="L725" s="800">
        <f t="shared" ca="1" si="589"/>
        <v>741</v>
      </c>
      <c r="M725" s="801"/>
      <c r="N725" s="802"/>
      <c r="O725" s="803" t="str">
        <f t="shared" ca="1" si="590"/>
        <v>-</v>
      </c>
      <c r="P725" s="804"/>
      <c r="Q725" s="68" t="s">
        <v>3398</v>
      </c>
      <c r="R725" s="118" t="s">
        <v>3388</v>
      </c>
      <c r="S725" s="807">
        <v>42906</v>
      </c>
      <c r="T725" s="798">
        <v>42906</v>
      </c>
      <c r="U725" s="798" t="str">
        <f t="shared" si="591"/>
        <v>-</v>
      </c>
      <c r="V725" s="804" t="str">
        <f t="shared" ca="1" si="592"/>
        <v>-</v>
      </c>
      <c r="W725" s="808">
        <v>1</v>
      </c>
      <c r="X725" s="794" t="str">
        <f t="shared" si="585"/>
        <v>-</v>
      </c>
      <c r="Y725" s="794">
        <v>1</v>
      </c>
      <c r="Z725" s="809" t="str">
        <f t="shared" ca="1" si="593"/>
        <v>-----</v>
      </c>
      <c r="AA725" s="810" t="str">
        <f t="shared" ca="1" si="594"/>
        <v>-----</v>
      </c>
      <c r="AB725" s="804">
        <v>1</v>
      </c>
      <c r="AC725" s="811" t="str">
        <f t="shared" ca="1" si="595"/>
        <v>-----</v>
      </c>
      <c r="AD725" s="798">
        <v>43029</v>
      </c>
      <c r="AE725" s="794" t="str">
        <f t="shared" ca="1" si="596"/>
        <v>-</v>
      </c>
      <c r="AF725" s="798" t="str">
        <f t="shared" si="597"/>
        <v>-</v>
      </c>
      <c r="AG725" s="812" t="str">
        <f t="shared" si="598"/>
        <v>---------</v>
      </c>
      <c r="AH725" s="807">
        <v>43018</v>
      </c>
      <c r="AI725" s="807" t="str">
        <f t="shared" si="599"/>
        <v>-</v>
      </c>
      <c r="AJ725" s="807" t="str">
        <f t="shared" si="600"/>
        <v>-</v>
      </c>
      <c r="AK725" s="813"/>
      <c r="AL725" s="807">
        <f t="shared" si="601"/>
        <v>43165</v>
      </c>
      <c r="AM725" s="807">
        <f t="shared" si="602"/>
        <v>43186</v>
      </c>
      <c r="AN725" s="814">
        <f t="shared" ca="1" si="603"/>
        <v>-52</v>
      </c>
      <c r="AO725" s="815">
        <v>1</v>
      </c>
      <c r="AP725" s="816" t="str">
        <f t="shared" ca="1" si="604"/>
        <v>-</v>
      </c>
      <c r="AQ725" s="817"/>
      <c r="AR725" s="794" t="str">
        <f t="shared" si="605"/>
        <v>НЕТЕЛЬ</v>
      </c>
      <c r="AS725" s="818"/>
      <c r="AT725" s="794" t="str">
        <f t="shared" si="606"/>
        <v>-</v>
      </c>
      <c r="AU725" s="819"/>
      <c r="AV725" s="820">
        <v>43034</v>
      </c>
      <c r="AW725" s="821">
        <v>4</v>
      </c>
      <c r="AX725" s="821">
        <v>1</v>
      </c>
      <c r="AY725" s="969">
        <f t="shared" ca="1" si="607"/>
        <v>100</v>
      </c>
      <c r="AZ725" s="966" t="str">
        <f t="shared" ca="1" si="608"/>
        <v>-</v>
      </c>
      <c r="BA725" s="971">
        <f t="shared" si="609"/>
        <v>43044</v>
      </c>
      <c r="BB725" s="975">
        <v>43045</v>
      </c>
      <c r="BC725" s="821">
        <v>4</v>
      </c>
      <c r="BD725" s="821">
        <v>4</v>
      </c>
      <c r="BE725" s="963">
        <f t="shared" ca="1" si="610"/>
        <v>89</v>
      </c>
      <c r="BF725" s="984"/>
      <c r="BG725" s="988"/>
      <c r="BH725" s="982"/>
      <c r="BI725" s="991"/>
      <c r="BJ725" s="991"/>
      <c r="BK725" s="993" t="str">
        <f t="shared" si="611"/>
        <v>-</v>
      </c>
      <c r="BL725" s="865"/>
      <c r="BM725" s="821"/>
      <c r="BN725" s="822" t="str">
        <f t="shared" si="612"/>
        <v>-</v>
      </c>
      <c r="BO725" s="823" t="str">
        <f t="shared" si="613"/>
        <v>-</v>
      </c>
      <c r="BP725" s="868"/>
      <c r="BQ725" s="821"/>
      <c r="BR725" s="822" t="str">
        <f t="shared" si="614"/>
        <v>-</v>
      </c>
      <c r="BS725" s="823" t="str">
        <f t="shared" si="615"/>
        <v>-</v>
      </c>
      <c r="BT725" s="825" t="str">
        <f t="shared" ca="1" si="616"/>
        <v>-</v>
      </c>
      <c r="BU725" s="860">
        <v>43022</v>
      </c>
      <c r="BV725" s="827">
        <v>2</v>
      </c>
      <c r="BW725" s="828">
        <f t="shared" si="617"/>
        <v>629</v>
      </c>
      <c r="BX725" s="829">
        <f t="shared" ca="1" si="618"/>
        <v>112</v>
      </c>
      <c r="BY725" s="830" t="str">
        <f t="shared" ca="1" si="619"/>
        <v>-</v>
      </c>
      <c r="BZ725" s="831">
        <v>43029</v>
      </c>
      <c r="CA725" s="832">
        <v>5</v>
      </c>
      <c r="CB725" s="833">
        <f t="shared" ca="1" si="620"/>
        <v>105</v>
      </c>
      <c r="CC725" s="834" t="str">
        <f t="shared" ca="1" si="621"/>
        <v>-</v>
      </c>
      <c r="CD725" s="835">
        <f t="shared" si="622"/>
        <v>43050</v>
      </c>
      <c r="CE725" s="831">
        <v>43050</v>
      </c>
      <c r="CF725" s="832">
        <v>5</v>
      </c>
      <c r="CG725" s="833">
        <f t="shared" ca="1" si="623"/>
        <v>84</v>
      </c>
      <c r="CH725" s="836">
        <f t="shared" si="624"/>
        <v>0</v>
      </c>
      <c r="CI725" s="837" t="str">
        <f t="shared" si="625"/>
        <v>УСПЕШНО</v>
      </c>
      <c r="CJ725" s="838" t="str">
        <f t="shared" ca="1" si="626"/>
        <v>-</v>
      </c>
      <c r="CK725" s="831"/>
      <c r="CL725" s="832"/>
      <c r="CM725" s="833" t="str">
        <f t="shared" si="627"/>
        <v>-</v>
      </c>
      <c r="CN725" s="834" t="str">
        <f t="shared" si="628"/>
        <v>-</v>
      </c>
      <c r="CO725" s="830" t="str">
        <f t="shared" ca="1" si="629"/>
        <v>ТРЕБУЕТСЯ ВАКЦИНАЦИЯ</v>
      </c>
      <c r="CP725" s="839"/>
      <c r="CQ725" s="832"/>
      <c r="CR725" s="833" t="str">
        <f t="shared" si="630"/>
        <v>-</v>
      </c>
      <c r="CS725" s="833" t="str">
        <f t="shared" si="631"/>
        <v>-</v>
      </c>
      <c r="CT725" s="834" t="str">
        <f t="shared" si="632"/>
        <v>-</v>
      </c>
      <c r="CU725" s="835" t="str">
        <f t="shared" si="633"/>
        <v>-</v>
      </c>
      <c r="CV725" s="839"/>
      <c r="CW725" s="832"/>
      <c r="CX725" s="833" t="str">
        <f t="shared" si="634"/>
        <v>-</v>
      </c>
      <c r="CY725" s="840" t="str">
        <f t="shared" si="635"/>
        <v>-</v>
      </c>
      <c r="CZ725" s="833" t="str">
        <f t="shared" si="636"/>
        <v>-</v>
      </c>
      <c r="DA725" s="838" t="str">
        <f t="shared" ca="1" si="637"/>
        <v>-</v>
      </c>
      <c r="DB725" s="841"/>
      <c r="DC725" s="832"/>
    </row>
    <row r="726" spans="1:107" x14ac:dyDescent="0.25">
      <c r="A726" s="790">
        <v>728</v>
      </c>
      <c r="B726" s="791">
        <f t="shared" ca="1" si="586"/>
        <v>43134</v>
      </c>
      <c r="C726" s="847" t="s">
        <v>3271</v>
      </c>
      <c r="D726" s="59" t="s">
        <v>3324</v>
      </c>
      <c r="E726" s="22" t="s">
        <v>3445</v>
      </c>
      <c r="F726" s="795" t="s">
        <v>3288</v>
      </c>
      <c r="G726" s="796">
        <f>SUMIFS(МОЛОКО!L8:L6958,МОЛОКО!F8:F6958,"17272",МОЛОКО!L8:L6958,"&gt;0")</f>
        <v>0</v>
      </c>
      <c r="H726" s="797" t="s">
        <v>3236</v>
      </c>
      <c r="I726" s="798">
        <v>42400</v>
      </c>
      <c r="J726" s="799">
        <f t="shared" ca="1" si="587"/>
        <v>2.010958904109589</v>
      </c>
      <c r="K726" s="799">
        <f t="shared" ca="1" si="588"/>
        <v>24.466666666666665</v>
      </c>
      <c r="L726" s="800">
        <f t="shared" ca="1" si="589"/>
        <v>734</v>
      </c>
      <c r="M726" s="801"/>
      <c r="N726" s="802"/>
      <c r="O726" s="803" t="str">
        <f t="shared" ca="1" si="590"/>
        <v>-</v>
      </c>
      <c r="P726" s="804"/>
      <c r="Q726" s="68" t="s">
        <v>3398</v>
      </c>
      <c r="R726" s="118" t="s">
        <v>3388</v>
      </c>
      <c r="S726" s="807">
        <v>42874</v>
      </c>
      <c r="T726" s="798">
        <v>42874</v>
      </c>
      <c r="U726" s="798" t="str">
        <f t="shared" si="591"/>
        <v>-</v>
      </c>
      <c r="V726" s="804" t="str">
        <f t="shared" ca="1" si="592"/>
        <v>-</v>
      </c>
      <c r="W726" s="808">
        <v>1</v>
      </c>
      <c r="X726" s="794" t="str">
        <f t="shared" si="585"/>
        <v>-</v>
      </c>
      <c r="Y726" s="794">
        <v>1</v>
      </c>
      <c r="Z726" s="809" t="str">
        <f t="shared" ca="1" si="593"/>
        <v>-----</v>
      </c>
      <c r="AA726" s="810" t="str">
        <f t="shared" ca="1" si="594"/>
        <v>-----</v>
      </c>
      <c r="AB726" s="804">
        <v>1</v>
      </c>
      <c r="AC726" s="811" t="str">
        <f t="shared" ca="1" si="595"/>
        <v>-----</v>
      </c>
      <c r="AD726" s="798">
        <v>43029</v>
      </c>
      <c r="AE726" s="794" t="str">
        <f t="shared" ca="1" si="596"/>
        <v>-</v>
      </c>
      <c r="AF726" s="798" t="str">
        <f t="shared" si="597"/>
        <v>-</v>
      </c>
      <c r="AG726" s="812" t="str">
        <f t="shared" si="598"/>
        <v>---------</v>
      </c>
      <c r="AH726" s="807">
        <v>43018</v>
      </c>
      <c r="AI726" s="807" t="str">
        <f t="shared" si="599"/>
        <v>-</v>
      </c>
      <c r="AJ726" s="807" t="str">
        <f t="shared" si="600"/>
        <v>-</v>
      </c>
      <c r="AK726" s="813"/>
      <c r="AL726" s="807">
        <f t="shared" si="601"/>
        <v>43133</v>
      </c>
      <c r="AM726" s="807">
        <f t="shared" si="602"/>
        <v>43154</v>
      </c>
      <c r="AN726" s="814">
        <f t="shared" ca="1" si="603"/>
        <v>-20</v>
      </c>
      <c r="AO726" s="815">
        <v>1</v>
      </c>
      <c r="AP726" s="816" t="str">
        <f t="shared" ca="1" si="604"/>
        <v>-</v>
      </c>
      <c r="AQ726" s="817"/>
      <c r="AR726" s="794" t="str">
        <f t="shared" si="605"/>
        <v>НЕТЕЛЬ</v>
      </c>
      <c r="AS726" s="818"/>
      <c r="AT726" s="794" t="str">
        <f t="shared" si="606"/>
        <v>-</v>
      </c>
      <c r="AU726" s="819"/>
      <c r="AV726" s="820">
        <v>43034</v>
      </c>
      <c r="AW726" s="821">
        <v>4</v>
      </c>
      <c r="AX726" s="821">
        <v>1</v>
      </c>
      <c r="AY726" s="969">
        <f t="shared" ca="1" si="607"/>
        <v>100</v>
      </c>
      <c r="AZ726" s="966" t="str">
        <f t="shared" ca="1" si="608"/>
        <v>-</v>
      </c>
      <c r="BA726" s="971">
        <f t="shared" si="609"/>
        <v>43044</v>
      </c>
      <c r="BB726" s="975">
        <v>43045</v>
      </c>
      <c r="BC726" s="821">
        <v>4</v>
      </c>
      <c r="BD726" s="821">
        <v>4</v>
      </c>
      <c r="BE726" s="963">
        <f t="shared" ca="1" si="610"/>
        <v>89</v>
      </c>
      <c r="BF726" s="984"/>
      <c r="BG726" s="988"/>
      <c r="BH726" s="982"/>
      <c r="BI726" s="991"/>
      <c r="BJ726" s="991"/>
      <c r="BK726" s="993" t="str">
        <f t="shared" si="611"/>
        <v>-</v>
      </c>
      <c r="BL726" s="865"/>
      <c r="BM726" s="821"/>
      <c r="BN726" s="822" t="str">
        <f t="shared" si="612"/>
        <v>-</v>
      </c>
      <c r="BO726" s="823" t="str">
        <f t="shared" si="613"/>
        <v>-</v>
      </c>
      <c r="BP726" s="868"/>
      <c r="BQ726" s="821"/>
      <c r="BR726" s="822" t="str">
        <f t="shared" si="614"/>
        <v>-</v>
      </c>
      <c r="BS726" s="823" t="str">
        <f t="shared" si="615"/>
        <v>-</v>
      </c>
      <c r="BT726" s="825" t="str">
        <f t="shared" ca="1" si="616"/>
        <v>-</v>
      </c>
      <c r="BU726" s="860">
        <v>43022</v>
      </c>
      <c r="BV726" s="827">
        <v>2</v>
      </c>
      <c r="BW726" s="828">
        <f t="shared" si="617"/>
        <v>622</v>
      </c>
      <c r="BX726" s="829">
        <f t="shared" ca="1" si="618"/>
        <v>112</v>
      </c>
      <c r="BY726" s="830" t="str">
        <f t="shared" ca="1" si="619"/>
        <v>-</v>
      </c>
      <c r="BZ726" s="831">
        <v>43029</v>
      </c>
      <c r="CA726" s="832">
        <v>5</v>
      </c>
      <c r="CB726" s="833">
        <f t="shared" ca="1" si="620"/>
        <v>105</v>
      </c>
      <c r="CC726" s="834" t="str">
        <f t="shared" ca="1" si="621"/>
        <v>-</v>
      </c>
      <c r="CD726" s="835">
        <f t="shared" si="622"/>
        <v>43050</v>
      </c>
      <c r="CE726" s="831">
        <v>43050</v>
      </c>
      <c r="CF726" s="832">
        <v>5</v>
      </c>
      <c r="CG726" s="833">
        <f t="shared" ca="1" si="623"/>
        <v>84</v>
      </c>
      <c r="CH726" s="836">
        <f t="shared" si="624"/>
        <v>0</v>
      </c>
      <c r="CI726" s="837" t="str">
        <f t="shared" si="625"/>
        <v>УСПЕШНО</v>
      </c>
      <c r="CJ726" s="838" t="str">
        <f t="shared" ca="1" si="626"/>
        <v>-</v>
      </c>
      <c r="CK726" s="831"/>
      <c r="CL726" s="832"/>
      <c r="CM726" s="833" t="str">
        <f t="shared" si="627"/>
        <v>-</v>
      </c>
      <c r="CN726" s="834" t="str">
        <f t="shared" si="628"/>
        <v>-</v>
      </c>
      <c r="CO726" s="830" t="str">
        <f t="shared" ca="1" si="629"/>
        <v>ТРЕБУЕТСЯ ВАКЦИНАЦИЯ</v>
      </c>
      <c r="CP726" s="839"/>
      <c r="CQ726" s="832"/>
      <c r="CR726" s="833" t="str">
        <f t="shared" si="630"/>
        <v>-</v>
      </c>
      <c r="CS726" s="833" t="str">
        <f t="shared" si="631"/>
        <v>-</v>
      </c>
      <c r="CT726" s="834" t="str">
        <f t="shared" si="632"/>
        <v>-</v>
      </c>
      <c r="CU726" s="835" t="str">
        <f t="shared" si="633"/>
        <v>-</v>
      </c>
      <c r="CV726" s="839"/>
      <c r="CW726" s="832"/>
      <c r="CX726" s="833" t="str">
        <f t="shared" si="634"/>
        <v>-</v>
      </c>
      <c r="CY726" s="840" t="str">
        <f t="shared" si="635"/>
        <v>-</v>
      </c>
      <c r="CZ726" s="833" t="str">
        <f t="shared" si="636"/>
        <v>-</v>
      </c>
      <c r="DA726" s="838" t="str">
        <f t="shared" ca="1" si="637"/>
        <v>-</v>
      </c>
      <c r="DB726" s="841"/>
      <c r="DC726" s="832"/>
    </row>
    <row r="727" spans="1:107" x14ac:dyDescent="0.25">
      <c r="A727" s="790">
        <v>729</v>
      </c>
      <c r="B727" s="791">
        <f t="shared" ca="1" si="586"/>
        <v>43134</v>
      </c>
      <c r="C727" s="847" t="s">
        <v>3271</v>
      </c>
      <c r="D727" s="59" t="s">
        <v>3324</v>
      </c>
      <c r="E727" s="22" t="s">
        <v>3428</v>
      </c>
      <c r="F727" s="795" t="s">
        <v>3289</v>
      </c>
      <c r="G727" s="796">
        <f>SUMIFS(МОЛОКО!L8:L6958,МОЛОКО!F8:F6958,"17273",МОЛОКО!L8:L6958,"&gt;0")</f>
        <v>0</v>
      </c>
      <c r="H727" s="797" t="s">
        <v>3236</v>
      </c>
      <c r="I727" s="798">
        <v>42406</v>
      </c>
      <c r="J727" s="799">
        <f t="shared" ca="1" si="587"/>
        <v>1.9945205479452055</v>
      </c>
      <c r="K727" s="799">
        <f t="shared" ca="1" si="588"/>
        <v>24.266666666666666</v>
      </c>
      <c r="L727" s="800">
        <f t="shared" ca="1" si="589"/>
        <v>728</v>
      </c>
      <c r="M727" s="801"/>
      <c r="N727" s="802"/>
      <c r="O727" s="803" t="str">
        <f t="shared" ca="1" si="590"/>
        <v>-</v>
      </c>
      <c r="P727" s="804"/>
      <c r="Q727" s="68" t="s">
        <v>3398</v>
      </c>
      <c r="R727" s="118" t="s">
        <v>3388</v>
      </c>
      <c r="S727" s="807">
        <v>42863</v>
      </c>
      <c r="T727" s="798">
        <v>42863</v>
      </c>
      <c r="U727" s="798" t="str">
        <f t="shared" si="591"/>
        <v>-</v>
      </c>
      <c r="V727" s="804" t="str">
        <f t="shared" ca="1" si="592"/>
        <v>-</v>
      </c>
      <c r="W727" s="808">
        <v>1</v>
      </c>
      <c r="X727" s="794" t="str">
        <f t="shared" si="585"/>
        <v>-</v>
      </c>
      <c r="Y727" s="794">
        <v>1</v>
      </c>
      <c r="Z727" s="809" t="str">
        <f t="shared" ca="1" si="593"/>
        <v>-----</v>
      </c>
      <c r="AA727" s="810" t="str">
        <f t="shared" ca="1" si="594"/>
        <v>-----</v>
      </c>
      <c r="AB727" s="804">
        <v>1</v>
      </c>
      <c r="AC727" s="811" t="str">
        <f t="shared" ca="1" si="595"/>
        <v>-----</v>
      </c>
      <c r="AD727" s="798">
        <v>43029</v>
      </c>
      <c r="AE727" s="794" t="str">
        <f t="shared" ca="1" si="596"/>
        <v>-</v>
      </c>
      <c r="AF727" s="798" t="str">
        <f t="shared" si="597"/>
        <v>-</v>
      </c>
      <c r="AG727" s="812" t="str">
        <f t="shared" si="598"/>
        <v>---------</v>
      </c>
      <c r="AH727" s="807">
        <v>43018</v>
      </c>
      <c r="AI727" s="807" t="str">
        <f t="shared" si="599"/>
        <v>-</v>
      </c>
      <c r="AJ727" s="807" t="str">
        <f t="shared" si="600"/>
        <v>-</v>
      </c>
      <c r="AK727" s="813"/>
      <c r="AL727" s="807">
        <f t="shared" si="601"/>
        <v>43122</v>
      </c>
      <c r="AM727" s="807">
        <f t="shared" si="602"/>
        <v>43143</v>
      </c>
      <c r="AN727" s="814">
        <f t="shared" ca="1" si="603"/>
        <v>-9</v>
      </c>
      <c r="AO727" s="815">
        <v>1</v>
      </c>
      <c r="AP727" s="816" t="str">
        <f t="shared" ca="1" si="604"/>
        <v>-</v>
      </c>
      <c r="AQ727" s="817"/>
      <c r="AR727" s="794" t="str">
        <f t="shared" si="605"/>
        <v>НЕТЕЛЬ</v>
      </c>
      <c r="AS727" s="818"/>
      <c r="AT727" s="794" t="str">
        <f t="shared" si="606"/>
        <v>-</v>
      </c>
      <c r="AU727" s="819"/>
      <c r="AV727" s="820">
        <v>43034</v>
      </c>
      <c r="AW727" s="821">
        <v>4</v>
      </c>
      <c r="AX727" s="821">
        <v>1</v>
      </c>
      <c r="AY727" s="969">
        <f t="shared" ca="1" si="607"/>
        <v>100</v>
      </c>
      <c r="AZ727" s="966" t="str">
        <f t="shared" ca="1" si="608"/>
        <v>-</v>
      </c>
      <c r="BA727" s="971">
        <f t="shared" si="609"/>
        <v>43044</v>
      </c>
      <c r="BB727" s="975">
        <v>43045</v>
      </c>
      <c r="BC727" s="821">
        <v>4</v>
      </c>
      <c r="BD727" s="821">
        <v>4</v>
      </c>
      <c r="BE727" s="963">
        <f t="shared" ca="1" si="610"/>
        <v>89</v>
      </c>
      <c r="BF727" s="984"/>
      <c r="BG727" s="988"/>
      <c r="BH727" s="982"/>
      <c r="BI727" s="991"/>
      <c r="BJ727" s="991"/>
      <c r="BK727" s="993" t="str">
        <f t="shared" si="611"/>
        <v>-</v>
      </c>
      <c r="BL727" s="865"/>
      <c r="BM727" s="821"/>
      <c r="BN727" s="822" t="str">
        <f t="shared" si="612"/>
        <v>-</v>
      </c>
      <c r="BO727" s="823" t="str">
        <f t="shared" si="613"/>
        <v>-</v>
      </c>
      <c r="BP727" s="868"/>
      <c r="BQ727" s="821"/>
      <c r="BR727" s="822" t="str">
        <f t="shared" si="614"/>
        <v>-</v>
      </c>
      <c r="BS727" s="823" t="str">
        <f t="shared" si="615"/>
        <v>-</v>
      </c>
      <c r="BT727" s="825" t="str">
        <f t="shared" ca="1" si="616"/>
        <v>-</v>
      </c>
      <c r="BU727" s="860">
        <v>43022</v>
      </c>
      <c r="BV727" s="827">
        <v>2</v>
      </c>
      <c r="BW727" s="828">
        <f t="shared" si="617"/>
        <v>616</v>
      </c>
      <c r="BX727" s="829">
        <f t="shared" ca="1" si="618"/>
        <v>112</v>
      </c>
      <c r="BY727" s="830" t="str">
        <f t="shared" ca="1" si="619"/>
        <v>-</v>
      </c>
      <c r="BZ727" s="831">
        <v>43029</v>
      </c>
      <c r="CA727" s="832">
        <v>5</v>
      </c>
      <c r="CB727" s="833">
        <f t="shared" ca="1" si="620"/>
        <v>105</v>
      </c>
      <c r="CC727" s="834" t="str">
        <f t="shared" ca="1" si="621"/>
        <v>-</v>
      </c>
      <c r="CD727" s="835">
        <f t="shared" si="622"/>
        <v>43050</v>
      </c>
      <c r="CE727" s="831">
        <v>43050</v>
      </c>
      <c r="CF727" s="832">
        <v>5</v>
      </c>
      <c r="CG727" s="833">
        <f t="shared" ca="1" si="623"/>
        <v>84</v>
      </c>
      <c r="CH727" s="836">
        <f t="shared" si="624"/>
        <v>0</v>
      </c>
      <c r="CI727" s="837" t="str">
        <f t="shared" si="625"/>
        <v>УСПЕШНО</v>
      </c>
      <c r="CJ727" s="838" t="str">
        <f t="shared" ca="1" si="626"/>
        <v>-</v>
      </c>
      <c r="CK727" s="831"/>
      <c r="CL727" s="832"/>
      <c r="CM727" s="833" t="str">
        <f t="shared" si="627"/>
        <v>-</v>
      </c>
      <c r="CN727" s="834" t="str">
        <f t="shared" si="628"/>
        <v>-</v>
      </c>
      <c r="CO727" s="830" t="str">
        <f t="shared" ca="1" si="629"/>
        <v>ТРЕБУЕТСЯ ВАКЦИНАЦИЯ</v>
      </c>
      <c r="CP727" s="839"/>
      <c r="CQ727" s="832"/>
      <c r="CR727" s="833" t="str">
        <f t="shared" si="630"/>
        <v>-</v>
      </c>
      <c r="CS727" s="833" t="str">
        <f t="shared" si="631"/>
        <v>-</v>
      </c>
      <c r="CT727" s="834" t="str">
        <f t="shared" si="632"/>
        <v>-</v>
      </c>
      <c r="CU727" s="835" t="str">
        <f t="shared" si="633"/>
        <v>-</v>
      </c>
      <c r="CV727" s="839"/>
      <c r="CW727" s="832"/>
      <c r="CX727" s="833" t="str">
        <f t="shared" si="634"/>
        <v>-</v>
      </c>
      <c r="CY727" s="840" t="str">
        <f t="shared" si="635"/>
        <v>-</v>
      </c>
      <c r="CZ727" s="833" t="str">
        <f t="shared" si="636"/>
        <v>-</v>
      </c>
      <c r="DA727" s="838" t="str">
        <f t="shared" ca="1" si="637"/>
        <v>-</v>
      </c>
      <c r="DB727" s="841"/>
      <c r="DC727" s="832"/>
    </row>
    <row r="728" spans="1:107" x14ac:dyDescent="0.25">
      <c r="A728" s="790">
        <v>730</v>
      </c>
      <c r="B728" s="791">
        <f t="shared" ca="1" si="586"/>
        <v>43134</v>
      </c>
      <c r="C728" s="847" t="s">
        <v>3271</v>
      </c>
      <c r="D728" s="59" t="s">
        <v>3324</v>
      </c>
      <c r="E728" s="22" t="s">
        <v>3447</v>
      </c>
      <c r="F728" s="795" t="s">
        <v>3290</v>
      </c>
      <c r="G728" s="796">
        <f>SUMIFS(МОЛОКО!L8:L6958,МОЛОКО!F8:F6958,"17275",МОЛОКО!L8:L6958,"&gt;0")</f>
        <v>0</v>
      </c>
      <c r="H728" s="797" t="s">
        <v>3236</v>
      </c>
      <c r="I728" s="798">
        <v>42412</v>
      </c>
      <c r="J728" s="799">
        <f t="shared" ca="1" si="587"/>
        <v>1.978082191780822</v>
      </c>
      <c r="K728" s="799">
        <f t="shared" ca="1" si="588"/>
        <v>24.066666666666666</v>
      </c>
      <c r="L728" s="800">
        <f t="shared" ca="1" si="589"/>
        <v>722</v>
      </c>
      <c r="M728" s="801"/>
      <c r="N728" s="802"/>
      <c r="O728" s="803" t="str">
        <f t="shared" ca="1" si="590"/>
        <v>-</v>
      </c>
      <c r="P728" s="804"/>
      <c r="Q728" s="68" t="s">
        <v>3398</v>
      </c>
      <c r="R728" s="118" t="s">
        <v>3388</v>
      </c>
      <c r="S728" s="807">
        <v>42876</v>
      </c>
      <c r="T728" s="798">
        <v>42876</v>
      </c>
      <c r="U728" s="798" t="str">
        <f t="shared" si="591"/>
        <v>-</v>
      </c>
      <c r="V728" s="804" t="str">
        <f t="shared" ca="1" si="592"/>
        <v>-</v>
      </c>
      <c r="W728" s="808">
        <v>1</v>
      </c>
      <c r="X728" s="794" t="str">
        <f t="shared" si="585"/>
        <v>-</v>
      </c>
      <c r="Y728" s="794">
        <v>1</v>
      </c>
      <c r="Z728" s="809" t="str">
        <f t="shared" ca="1" si="593"/>
        <v>-----</v>
      </c>
      <c r="AA728" s="810" t="str">
        <f t="shared" ca="1" si="594"/>
        <v>-----</v>
      </c>
      <c r="AB728" s="804">
        <v>1</v>
      </c>
      <c r="AC728" s="811" t="str">
        <f t="shared" ca="1" si="595"/>
        <v>-----</v>
      </c>
      <c r="AD728" s="798">
        <v>43029</v>
      </c>
      <c r="AE728" s="794" t="str">
        <f t="shared" ca="1" si="596"/>
        <v>-</v>
      </c>
      <c r="AF728" s="798" t="str">
        <f t="shared" si="597"/>
        <v>-</v>
      </c>
      <c r="AG728" s="812" t="str">
        <f t="shared" si="598"/>
        <v>---------</v>
      </c>
      <c r="AH728" s="807">
        <v>43018</v>
      </c>
      <c r="AI728" s="807" t="str">
        <f t="shared" si="599"/>
        <v>-</v>
      </c>
      <c r="AJ728" s="807" t="str">
        <f t="shared" si="600"/>
        <v>-</v>
      </c>
      <c r="AK728" s="813"/>
      <c r="AL728" s="807">
        <f t="shared" si="601"/>
        <v>43135</v>
      </c>
      <c r="AM728" s="807">
        <f t="shared" si="602"/>
        <v>43156</v>
      </c>
      <c r="AN728" s="814">
        <f t="shared" ca="1" si="603"/>
        <v>-22</v>
      </c>
      <c r="AO728" s="815">
        <v>1</v>
      </c>
      <c r="AP728" s="816" t="str">
        <f t="shared" ca="1" si="604"/>
        <v>-</v>
      </c>
      <c r="AQ728" s="817"/>
      <c r="AR728" s="794" t="str">
        <f t="shared" si="605"/>
        <v>НЕТЕЛЬ</v>
      </c>
      <c r="AS728" s="818"/>
      <c r="AT728" s="794" t="str">
        <f t="shared" si="606"/>
        <v>-</v>
      </c>
      <c r="AU728" s="819"/>
      <c r="AV728" s="820">
        <v>43034</v>
      </c>
      <c r="AW728" s="821">
        <v>4</v>
      </c>
      <c r="AX728" s="821">
        <v>1</v>
      </c>
      <c r="AY728" s="969">
        <f t="shared" ca="1" si="607"/>
        <v>100</v>
      </c>
      <c r="AZ728" s="966" t="str">
        <f t="shared" ca="1" si="608"/>
        <v>-</v>
      </c>
      <c r="BA728" s="971">
        <f t="shared" si="609"/>
        <v>43044</v>
      </c>
      <c r="BB728" s="975">
        <v>43045</v>
      </c>
      <c r="BC728" s="821">
        <v>4</v>
      </c>
      <c r="BD728" s="821">
        <v>4</v>
      </c>
      <c r="BE728" s="963">
        <f t="shared" ca="1" si="610"/>
        <v>89</v>
      </c>
      <c r="BF728" s="984"/>
      <c r="BG728" s="988"/>
      <c r="BH728" s="982"/>
      <c r="BI728" s="991"/>
      <c r="BJ728" s="991"/>
      <c r="BK728" s="993" t="str">
        <f t="shared" si="611"/>
        <v>-</v>
      </c>
      <c r="BL728" s="865"/>
      <c r="BM728" s="821"/>
      <c r="BN728" s="822" t="str">
        <f t="shared" si="612"/>
        <v>-</v>
      </c>
      <c r="BO728" s="823" t="str">
        <f t="shared" si="613"/>
        <v>-</v>
      </c>
      <c r="BP728" s="868"/>
      <c r="BQ728" s="821"/>
      <c r="BR728" s="822" t="str">
        <f t="shared" si="614"/>
        <v>-</v>
      </c>
      <c r="BS728" s="823" t="str">
        <f t="shared" si="615"/>
        <v>-</v>
      </c>
      <c r="BT728" s="825" t="str">
        <f t="shared" ca="1" si="616"/>
        <v>-</v>
      </c>
      <c r="BU728" s="860">
        <v>43022</v>
      </c>
      <c r="BV728" s="827">
        <v>2</v>
      </c>
      <c r="BW728" s="828">
        <f t="shared" si="617"/>
        <v>610</v>
      </c>
      <c r="BX728" s="829">
        <f t="shared" ca="1" si="618"/>
        <v>112</v>
      </c>
      <c r="BY728" s="830" t="str">
        <f t="shared" ca="1" si="619"/>
        <v>-</v>
      </c>
      <c r="BZ728" s="831">
        <v>43029</v>
      </c>
      <c r="CA728" s="832">
        <v>5</v>
      </c>
      <c r="CB728" s="833">
        <f t="shared" ca="1" si="620"/>
        <v>105</v>
      </c>
      <c r="CC728" s="834" t="str">
        <f t="shared" ca="1" si="621"/>
        <v>-</v>
      </c>
      <c r="CD728" s="835">
        <f t="shared" si="622"/>
        <v>43050</v>
      </c>
      <c r="CE728" s="831">
        <v>43050</v>
      </c>
      <c r="CF728" s="832">
        <v>5</v>
      </c>
      <c r="CG728" s="833">
        <f t="shared" ca="1" si="623"/>
        <v>84</v>
      </c>
      <c r="CH728" s="836">
        <f t="shared" si="624"/>
        <v>0</v>
      </c>
      <c r="CI728" s="837" t="str">
        <f t="shared" si="625"/>
        <v>УСПЕШНО</v>
      </c>
      <c r="CJ728" s="838" t="str">
        <f t="shared" ca="1" si="626"/>
        <v>-</v>
      </c>
      <c r="CK728" s="831"/>
      <c r="CL728" s="832"/>
      <c r="CM728" s="833" t="str">
        <f t="shared" si="627"/>
        <v>-</v>
      </c>
      <c r="CN728" s="834" t="str">
        <f t="shared" si="628"/>
        <v>-</v>
      </c>
      <c r="CO728" s="830" t="str">
        <f t="shared" ca="1" si="629"/>
        <v>ТРЕБУЕТСЯ ВАКЦИНАЦИЯ</v>
      </c>
      <c r="CP728" s="839"/>
      <c r="CQ728" s="832"/>
      <c r="CR728" s="833" t="str">
        <f t="shared" si="630"/>
        <v>-</v>
      </c>
      <c r="CS728" s="833" t="str">
        <f t="shared" si="631"/>
        <v>-</v>
      </c>
      <c r="CT728" s="834" t="str">
        <f t="shared" si="632"/>
        <v>-</v>
      </c>
      <c r="CU728" s="835" t="str">
        <f t="shared" si="633"/>
        <v>-</v>
      </c>
      <c r="CV728" s="839"/>
      <c r="CW728" s="832"/>
      <c r="CX728" s="833" t="str">
        <f t="shared" si="634"/>
        <v>-</v>
      </c>
      <c r="CY728" s="840" t="str">
        <f t="shared" si="635"/>
        <v>-</v>
      </c>
      <c r="CZ728" s="833" t="str">
        <f t="shared" si="636"/>
        <v>-</v>
      </c>
      <c r="DA728" s="838" t="str">
        <f t="shared" ca="1" si="637"/>
        <v>-</v>
      </c>
      <c r="DB728" s="841"/>
      <c r="DC728" s="832"/>
    </row>
    <row r="729" spans="1:107" x14ac:dyDescent="0.25">
      <c r="A729" s="790">
        <v>731</v>
      </c>
      <c r="B729" s="791">
        <f t="shared" ca="1" si="586"/>
        <v>43134</v>
      </c>
      <c r="C729" s="847" t="s">
        <v>3271</v>
      </c>
      <c r="D729" s="59" t="s">
        <v>3324</v>
      </c>
      <c r="E729" s="22" t="s">
        <v>3480</v>
      </c>
      <c r="F729" s="795" t="s">
        <v>3257</v>
      </c>
      <c r="G729" s="796">
        <f>SUMIFS(МОЛОКО!L8:L6958,МОЛОКО!F8:F6958,"27235",МОЛОКО!L8:L6958,"&gt;0")</f>
        <v>0</v>
      </c>
      <c r="H729" s="797" t="s">
        <v>3236</v>
      </c>
      <c r="I729" s="798">
        <v>42352</v>
      </c>
      <c r="J729" s="799">
        <f t="shared" ca="1" si="587"/>
        <v>2.1424657534246574</v>
      </c>
      <c r="K729" s="799">
        <f t="shared" ca="1" si="588"/>
        <v>26.066666666666666</v>
      </c>
      <c r="L729" s="800">
        <f t="shared" ca="1" si="589"/>
        <v>782</v>
      </c>
      <c r="M729" s="801"/>
      <c r="N729" s="802"/>
      <c r="O729" s="803" t="str">
        <f t="shared" ca="1" si="590"/>
        <v>-</v>
      </c>
      <c r="P729" s="804"/>
      <c r="Q729" s="68" t="s">
        <v>3398</v>
      </c>
      <c r="R729" s="118" t="s">
        <v>3375</v>
      </c>
      <c r="S729" s="798">
        <v>42860</v>
      </c>
      <c r="T729" s="798">
        <v>42860</v>
      </c>
      <c r="U729" s="798" t="str">
        <f t="shared" si="591"/>
        <v>-</v>
      </c>
      <c r="V729" s="804" t="str">
        <f t="shared" ca="1" si="592"/>
        <v>-</v>
      </c>
      <c r="W729" s="808">
        <v>1</v>
      </c>
      <c r="X729" s="794" t="str">
        <f t="shared" si="585"/>
        <v>-</v>
      </c>
      <c r="Y729" s="794">
        <v>1</v>
      </c>
      <c r="Z729" s="809" t="str">
        <f t="shared" ca="1" si="593"/>
        <v>-----</v>
      </c>
      <c r="AA729" s="810" t="str">
        <f t="shared" ca="1" si="594"/>
        <v>-----</v>
      </c>
      <c r="AB729" s="804">
        <v>1</v>
      </c>
      <c r="AC729" s="811" t="str">
        <f t="shared" ca="1" si="595"/>
        <v>-----</v>
      </c>
      <c r="AD729" s="798">
        <v>43029</v>
      </c>
      <c r="AE729" s="794" t="str">
        <f t="shared" ca="1" si="596"/>
        <v>-</v>
      </c>
      <c r="AF729" s="798" t="str">
        <f t="shared" si="597"/>
        <v>-</v>
      </c>
      <c r="AG729" s="812" t="str">
        <f t="shared" si="598"/>
        <v>---------</v>
      </c>
      <c r="AH729" s="807">
        <v>43018</v>
      </c>
      <c r="AI729" s="807" t="str">
        <f t="shared" si="599"/>
        <v>-</v>
      </c>
      <c r="AJ729" s="807" t="str">
        <f t="shared" si="600"/>
        <v>-</v>
      </c>
      <c r="AK729" s="813"/>
      <c r="AL729" s="807">
        <f t="shared" si="601"/>
        <v>43119</v>
      </c>
      <c r="AM729" s="807">
        <f t="shared" si="602"/>
        <v>43140</v>
      </c>
      <c r="AN729" s="814">
        <f t="shared" ca="1" si="603"/>
        <v>-6</v>
      </c>
      <c r="AO729" s="815">
        <v>1</v>
      </c>
      <c r="AP729" s="816" t="str">
        <f t="shared" ca="1" si="604"/>
        <v>-</v>
      </c>
      <c r="AQ729" s="817"/>
      <c r="AR729" s="794" t="str">
        <f t="shared" si="605"/>
        <v>НЕТЕЛЬ</v>
      </c>
      <c r="AS729" s="818"/>
      <c r="AT729" s="794" t="str">
        <f t="shared" si="606"/>
        <v>-</v>
      </c>
      <c r="AU729" s="819"/>
      <c r="AV729" s="820">
        <v>43034</v>
      </c>
      <c r="AW729" s="821">
        <v>4</v>
      </c>
      <c r="AX729" s="821">
        <v>1</v>
      </c>
      <c r="AY729" s="969">
        <f t="shared" ca="1" si="607"/>
        <v>100</v>
      </c>
      <c r="AZ729" s="966" t="str">
        <f t="shared" ca="1" si="608"/>
        <v>-</v>
      </c>
      <c r="BA729" s="971">
        <f t="shared" si="609"/>
        <v>43044</v>
      </c>
      <c r="BB729" s="975">
        <v>43045</v>
      </c>
      <c r="BC729" s="821">
        <v>4</v>
      </c>
      <c r="BD729" s="821">
        <v>4</v>
      </c>
      <c r="BE729" s="963">
        <f t="shared" ca="1" si="610"/>
        <v>89</v>
      </c>
      <c r="BF729" s="984"/>
      <c r="BG729" s="988"/>
      <c r="BH729" s="982"/>
      <c r="BI729" s="991"/>
      <c r="BJ729" s="991"/>
      <c r="BK729" s="993" t="str">
        <f t="shared" si="611"/>
        <v>-</v>
      </c>
      <c r="BL729" s="865"/>
      <c r="BM729" s="821"/>
      <c r="BN729" s="822" t="str">
        <f t="shared" si="612"/>
        <v>-</v>
      </c>
      <c r="BO729" s="823" t="str">
        <f t="shared" si="613"/>
        <v>-</v>
      </c>
      <c r="BP729" s="868"/>
      <c r="BQ729" s="821"/>
      <c r="BR729" s="822" t="str">
        <f t="shared" si="614"/>
        <v>-</v>
      </c>
      <c r="BS729" s="823" t="str">
        <f t="shared" si="615"/>
        <v>-</v>
      </c>
      <c r="BT729" s="825" t="str">
        <f t="shared" ca="1" si="616"/>
        <v>-</v>
      </c>
      <c r="BU729" s="860">
        <v>43022</v>
      </c>
      <c r="BV729" s="827">
        <v>2</v>
      </c>
      <c r="BW729" s="828">
        <f t="shared" si="617"/>
        <v>670</v>
      </c>
      <c r="BX729" s="829">
        <f t="shared" ca="1" si="618"/>
        <v>112</v>
      </c>
      <c r="BY729" s="830" t="str">
        <f t="shared" ca="1" si="619"/>
        <v>-</v>
      </c>
      <c r="BZ729" s="831">
        <v>43029</v>
      </c>
      <c r="CA729" s="832">
        <v>5</v>
      </c>
      <c r="CB729" s="833">
        <f t="shared" ca="1" si="620"/>
        <v>105</v>
      </c>
      <c r="CC729" s="834" t="str">
        <f t="shared" ca="1" si="621"/>
        <v>-</v>
      </c>
      <c r="CD729" s="835">
        <f t="shared" si="622"/>
        <v>43050</v>
      </c>
      <c r="CE729" s="831">
        <v>43050</v>
      </c>
      <c r="CF729" s="832">
        <v>5</v>
      </c>
      <c r="CG729" s="833">
        <f t="shared" ca="1" si="623"/>
        <v>84</v>
      </c>
      <c r="CH729" s="836">
        <f t="shared" si="624"/>
        <v>0</v>
      </c>
      <c r="CI729" s="837" t="str">
        <f t="shared" si="625"/>
        <v>УСПЕШНО</v>
      </c>
      <c r="CJ729" s="838" t="str">
        <f t="shared" ca="1" si="626"/>
        <v>-</v>
      </c>
      <c r="CK729" s="831"/>
      <c r="CL729" s="832"/>
      <c r="CM729" s="833" t="str">
        <f t="shared" si="627"/>
        <v>-</v>
      </c>
      <c r="CN729" s="834" t="str">
        <f t="shared" si="628"/>
        <v>-</v>
      </c>
      <c r="CO729" s="830" t="str">
        <f t="shared" ca="1" si="629"/>
        <v>ТРЕБУЕТСЯ ВАКЦИНАЦИЯ</v>
      </c>
      <c r="CP729" s="839"/>
      <c r="CQ729" s="832"/>
      <c r="CR729" s="833" t="str">
        <f t="shared" si="630"/>
        <v>-</v>
      </c>
      <c r="CS729" s="833" t="str">
        <f t="shared" si="631"/>
        <v>-</v>
      </c>
      <c r="CT729" s="834" t="str">
        <f t="shared" si="632"/>
        <v>-</v>
      </c>
      <c r="CU729" s="835" t="str">
        <f t="shared" si="633"/>
        <v>-</v>
      </c>
      <c r="CV729" s="839"/>
      <c r="CW729" s="832"/>
      <c r="CX729" s="833" t="str">
        <f t="shared" si="634"/>
        <v>-</v>
      </c>
      <c r="CY729" s="840" t="str">
        <f t="shared" si="635"/>
        <v>-</v>
      </c>
      <c r="CZ729" s="833" t="str">
        <f t="shared" si="636"/>
        <v>-</v>
      </c>
      <c r="DA729" s="838" t="str">
        <f t="shared" ca="1" si="637"/>
        <v>-</v>
      </c>
      <c r="DB729" s="841"/>
      <c r="DC729" s="832"/>
    </row>
    <row r="730" spans="1:107" x14ac:dyDescent="0.25">
      <c r="A730" s="790">
        <v>732</v>
      </c>
      <c r="B730" s="791">
        <f t="shared" ca="1" si="586"/>
        <v>43134</v>
      </c>
      <c r="C730" s="847" t="s">
        <v>3271</v>
      </c>
      <c r="D730" s="59" t="s">
        <v>3324</v>
      </c>
      <c r="E730" s="22" t="s">
        <v>3432</v>
      </c>
      <c r="F730" s="795" t="s">
        <v>3291</v>
      </c>
      <c r="G730" s="796">
        <f>SUMIFS(МОЛОКО!L8:L6958,МОЛОКО!F8:F6958,"34189",МОЛОКО!L8:L6958,"&gt;0")</f>
        <v>0</v>
      </c>
      <c r="H730" s="797" t="s">
        <v>3236</v>
      </c>
      <c r="I730" s="798">
        <v>42417</v>
      </c>
      <c r="J730" s="799">
        <f t="shared" ca="1" si="587"/>
        <v>1.9643835616438357</v>
      </c>
      <c r="K730" s="799">
        <f t="shared" ca="1" si="588"/>
        <v>23.9</v>
      </c>
      <c r="L730" s="800">
        <f t="shared" ca="1" si="589"/>
        <v>717</v>
      </c>
      <c r="M730" s="801"/>
      <c r="N730" s="802"/>
      <c r="O730" s="803" t="str">
        <f t="shared" ca="1" si="590"/>
        <v>-</v>
      </c>
      <c r="P730" s="804"/>
      <c r="Q730" s="68" t="s">
        <v>3398</v>
      </c>
      <c r="R730" s="118" t="s">
        <v>3375</v>
      </c>
      <c r="S730" s="807">
        <v>42900</v>
      </c>
      <c r="T730" s="798">
        <v>42930</v>
      </c>
      <c r="U730" s="798" t="str">
        <f t="shared" si="591"/>
        <v>-</v>
      </c>
      <c r="V730" s="804" t="str">
        <f t="shared" ca="1" si="592"/>
        <v>-</v>
      </c>
      <c r="W730" s="808">
        <v>1</v>
      </c>
      <c r="X730" s="794" t="str">
        <f t="shared" si="585"/>
        <v>-</v>
      </c>
      <c r="Y730" s="794">
        <v>1</v>
      </c>
      <c r="Z730" s="809" t="str">
        <f t="shared" ca="1" si="593"/>
        <v>-----</v>
      </c>
      <c r="AA730" s="810" t="str">
        <f t="shared" ca="1" si="594"/>
        <v>-----</v>
      </c>
      <c r="AB730" s="804">
        <v>1</v>
      </c>
      <c r="AC730" s="811" t="str">
        <f t="shared" ca="1" si="595"/>
        <v>-----</v>
      </c>
      <c r="AD730" s="798">
        <v>43029</v>
      </c>
      <c r="AE730" s="794" t="str">
        <f t="shared" ca="1" si="596"/>
        <v>-</v>
      </c>
      <c r="AF730" s="798" t="str">
        <f t="shared" si="597"/>
        <v>-</v>
      </c>
      <c r="AG730" s="812" t="str">
        <f t="shared" si="598"/>
        <v>---------</v>
      </c>
      <c r="AH730" s="807">
        <v>43018</v>
      </c>
      <c r="AI730" s="807" t="str">
        <f t="shared" si="599"/>
        <v>-</v>
      </c>
      <c r="AJ730" s="807" t="str">
        <f t="shared" si="600"/>
        <v>-</v>
      </c>
      <c r="AK730" s="813"/>
      <c r="AL730" s="807">
        <f t="shared" si="601"/>
        <v>43189</v>
      </c>
      <c r="AM730" s="807">
        <f t="shared" si="602"/>
        <v>43210</v>
      </c>
      <c r="AN730" s="814">
        <f t="shared" ca="1" si="603"/>
        <v>-76</v>
      </c>
      <c r="AO730" s="815">
        <v>1</v>
      </c>
      <c r="AP730" s="816" t="str">
        <f t="shared" ca="1" si="604"/>
        <v>-</v>
      </c>
      <c r="AQ730" s="817"/>
      <c r="AR730" s="794" t="str">
        <f t="shared" si="605"/>
        <v>НЕТЕЛЬ</v>
      </c>
      <c r="AS730" s="818"/>
      <c r="AT730" s="794" t="str">
        <f t="shared" si="606"/>
        <v>-</v>
      </c>
      <c r="AU730" s="819"/>
      <c r="AV730" s="820">
        <v>43034</v>
      </c>
      <c r="AW730" s="821">
        <v>4</v>
      </c>
      <c r="AX730" s="821">
        <v>1</v>
      </c>
      <c r="AY730" s="969">
        <f t="shared" ca="1" si="607"/>
        <v>100</v>
      </c>
      <c r="AZ730" s="966" t="str">
        <f t="shared" ca="1" si="608"/>
        <v>-</v>
      </c>
      <c r="BA730" s="971">
        <f t="shared" si="609"/>
        <v>43044</v>
      </c>
      <c r="BB730" s="975">
        <v>43045</v>
      </c>
      <c r="BC730" s="821">
        <v>4</v>
      </c>
      <c r="BD730" s="821">
        <v>4</v>
      </c>
      <c r="BE730" s="963">
        <f t="shared" ca="1" si="610"/>
        <v>89</v>
      </c>
      <c r="BF730" s="984"/>
      <c r="BG730" s="988"/>
      <c r="BH730" s="982"/>
      <c r="BI730" s="991"/>
      <c r="BJ730" s="991"/>
      <c r="BK730" s="993" t="str">
        <f t="shared" si="611"/>
        <v>-</v>
      </c>
      <c r="BL730" s="865"/>
      <c r="BM730" s="821"/>
      <c r="BN730" s="822" t="str">
        <f t="shared" si="612"/>
        <v>-</v>
      </c>
      <c r="BO730" s="823" t="str">
        <f t="shared" si="613"/>
        <v>-</v>
      </c>
      <c r="BP730" s="868"/>
      <c r="BQ730" s="821"/>
      <c r="BR730" s="822" t="str">
        <f t="shared" si="614"/>
        <v>-</v>
      </c>
      <c r="BS730" s="823" t="str">
        <f t="shared" si="615"/>
        <v>-</v>
      </c>
      <c r="BT730" s="825" t="str">
        <f t="shared" ca="1" si="616"/>
        <v>-</v>
      </c>
      <c r="BU730" s="860">
        <v>43022</v>
      </c>
      <c r="BV730" s="827">
        <v>2</v>
      </c>
      <c r="BW730" s="828">
        <f t="shared" si="617"/>
        <v>605</v>
      </c>
      <c r="BX730" s="829">
        <f t="shared" ca="1" si="618"/>
        <v>112</v>
      </c>
      <c r="BY730" s="830" t="str">
        <f t="shared" ca="1" si="619"/>
        <v>-</v>
      </c>
      <c r="BZ730" s="831">
        <v>43029</v>
      </c>
      <c r="CA730" s="832">
        <v>5</v>
      </c>
      <c r="CB730" s="833">
        <f t="shared" ca="1" si="620"/>
        <v>105</v>
      </c>
      <c r="CC730" s="834" t="str">
        <f t="shared" ca="1" si="621"/>
        <v>-</v>
      </c>
      <c r="CD730" s="835">
        <f t="shared" si="622"/>
        <v>43050</v>
      </c>
      <c r="CE730" s="831">
        <v>43050</v>
      </c>
      <c r="CF730" s="832">
        <v>5</v>
      </c>
      <c r="CG730" s="833">
        <f t="shared" ca="1" si="623"/>
        <v>84</v>
      </c>
      <c r="CH730" s="836">
        <f t="shared" si="624"/>
        <v>0</v>
      </c>
      <c r="CI730" s="837" t="str">
        <f t="shared" si="625"/>
        <v>УСПЕШНО</v>
      </c>
      <c r="CJ730" s="838" t="str">
        <f t="shared" ca="1" si="626"/>
        <v>-</v>
      </c>
      <c r="CK730" s="831"/>
      <c r="CL730" s="832"/>
      <c r="CM730" s="833" t="str">
        <f t="shared" si="627"/>
        <v>-</v>
      </c>
      <c r="CN730" s="834" t="str">
        <f t="shared" si="628"/>
        <v>-</v>
      </c>
      <c r="CO730" s="830" t="str">
        <f t="shared" ca="1" si="629"/>
        <v>-</v>
      </c>
      <c r="CP730" s="839"/>
      <c r="CQ730" s="832"/>
      <c r="CR730" s="833" t="str">
        <f t="shared" si="630"/>
        <v>-</v>
      </c>
      <c r="CS730" s="833" t="str">
        <f t="shared" si="631"/>
        <v>-</v>
      </c>
      <c r="CT730" s="834" t="str">
        <f t="shared" si="632"/>
        <v>-</v>
      </c>
      <c r="CU730" s="835" t="str">
        <f t="shared" si="633"/>
        <v>-</v>
      </c>
      <c r="CV730" s="839"/>
      <c r="CW730" s="832"/>
      <c r="CX730" s="833" t="str">
        <f t="shared" si="634"/>
        <v>-</v>
      </c>
      <c r="CY730" s="840" t="str">
        <f t="shared" si="635"/>
        <v>-</v>
      </c>
      <c r="CZ730" s="833" t="str">
        <f t="shared" si="636"/>
        <v>-</v>
      </c>
      <c r="DA730" s="838" t="str">
        <f t="shared" ca="1" si="637"/>
        <v>-</v>
      </c>
      <c r="DB730" s="841"/>
      <c r="DC730" s="832"/>
    </row>
    <row r="731" spans="1:107" x14ac:dyDescent="0.25">
      <c r="A731" s="790">
        <v>733</v>
      </c>
      <c r="B731" s="791">
        <f t="shared" ca="1" si="586"/>
        <v>43134</v>
      </c>
      <c r="C731" s="847" t="s">
        <v>3271</v>
      </c>
      <c r="D731" s="59" t="s">
        <v>3324</v>
      </c>
      <c r="E731" s="22" t="s">
        <v>3471</v>
      </c>
      <c r="F731" s="795" t="s">
        <v>3259</v>
      </c>
      <c r="G731" s="796">
        <f>SUMIFS(МОЛОКО!L8:L6958,МОЛОКО!F8:F6958,"42416",МОЛОКО!L8:L6958,"&gt;0")</f>
        <v>0</v>
      </c>
      <c r="H731" s="797" t="s">
        <v>3236</v>
      </c>
      <c r="I731" s="798">
        <v>42300</v>
      </c>
      <c r="J731" s="799">
        <f t="shared" ca="1" si="587"/>
        <v>2.2849315068493152</v>
      </c>
      <c r="K731" s="799">
        <f t="shared" ca="1" si="588"/>
        <v>27.8</v>
      </c>
      <c r="L731" s="800">
        <f t="shared" ca="1" si="589"/>
        <v>834</v>
      </c>
      <c r="M731" s="801"/>
      <c r="N731" s="802"/>
      <c r="O731" s="803" t="str">
        <f t="shared" ca="1" si="590"/>
        <v>-</v>
      </c>
      <c r="P731" s="804"/>
      <c r="Q731" s="68" t="s">
        <v>3398</v>
      </c>
      <c r="R731" s="118" t="s">
        <v>3367</v>
      </c>
      <c r="S731" s="798">
        <v>42835</v>
      </c>
      <c r="T731" s="798">
        <v>42835</v>
      </c>
      <c r="U731" s="798" t="str">
        <f t="shared" si="591"/>
        <v>-</v>
      </c>
      <c r="V731" s="804" t="str">
        <f t="shared" ca="1" si="592"/>
        <v>-</v>
      </c>
      <c r="W731" s="808">
        <v>1</v>
      </c>
      <c r="X731" s="794" t="str">
        <f t="shared" si="585"/>
        <v>-</v>
      </c>
      <c r="Y731" s="794">
        <v>1</v>
      </c>
      <c r="Z731" s="809" t="str">
        <f t="shared" ca="1" si="593"/>
        <v>-----</v>
      </c>
      <c r="AA731" s="810" t="str">
        <f t="shared" ca="1" si="594"/>
        <v>-----</v>
      </c>
      <c r="AB731" s="804">
        <v>1</v>
      </c>
      <c r="AC731" s="811" t="str">
        <f t="shared" ca="1" si="595"/>
        <v>-----</v>
      </c>
      <c r="AD731" s="798">
        <v>43029</v>
      </c>
      <c r="AE731" s="794" t="str">
        <f t="shared" ca="1" si="596"/>
        <v>-</v>
      </c>
      <c r="AF731" s="798" t="str">
        <f t="shared" si="597"/>
        <v>-</v>
      </c>
      <c r="AG731" s="812" t="str">
        <f t="shared" si="598"/>
        <v>---------</v>
      </c>
      <c r="AH731" s="807">
        <v>43018</v>
      </c>
      <c r="AI731" s="807" t="str">
        <f t="shared" si="599"/>
        <v>-</v>
      </c>
      <c r="AJ731" s="807" t="str">
        <f t="shared" si="600"/>
        <v>-</v>
      </c>
      <c r="AK731" s="813"/>
      <c r="AL731" s="807">
        <f t="shared" si="601"/>
        <v>43094</v>
      </c>
      <c r="AM731" s="807">
        <f t="shared" si="602"/>
        <v>43115</v>
      </c>
      <c r="AN731" s="814">
        <f t="shared" ca="1" si="603"/>
        <v>19</v>
      </c>
      <c r="AO731" s="815">
        <v>1</v>
      </c>
      <c r="AP731" s="816" t="str">
        <f t="shared" ca="1" si="604"/>
        <v>-</v>
      </c>
      <c r="AQ731" s="817"/>
      <c r="AR731" s="794" t="str">
        <f t="shared" si="605"/>
        <v>НЕТЕЛЬ</v>
      </c>
      <c r="AS731" s="818"/>
      <c r="AT731" s="794" t="str">
        <f t="shared" si="606"/>
        <v>-</v>
      </c>
      <c r="AU731" s="819"/>
      <c r="AV731" s="820">
        <v>43034</v>
      </c>
      <c r="AW731" s="821">
        <v>4</v>
      </c>
      <c r="AX731" s="821">
        <v>1</v>
      </c>
      <c r="AY731" s="969">
        <f t="shared" ca="1" si="607"/>
        <v>100</v>
      </c>
      <c r="AZ731" s="966" t="str">
        <f t="shared" ca="1" si="608"/>
        <v>-</v>
      </c>
      <c r="BA731" s="971">
        <f t="shared" si="609"/>
        <v>43044</v>
      </c>
      <c r="BB731" s="975">
        <v>43045</v>
      </c>
      <c r="BC731" s="821">
        <v>4</v>
      </c>
      <c r="BD731" s="821">
        <v>4</v>
      </c>
      <c r="BE731" s="963">
        <f t="shared" ca="1" si="610"/>
        <v>89</v>
      </c>
      <c r="BF731" s="984"/>
      <c r="BG731" s="988"/>
      <c r="BH731" s="982"/>
      <c r="BI731" s="991"/>
      <c r="BJ731" s="991"/>
      <c r="BK731" s="993" t="str">
        <f t="shared" si="611"/>
        <v>-</v>
      </c>
      <c r="BL731" s="865"/>
      <c r="BM731" s="821"/>
      <c r="BN731" s="822" t="str">
        <f t="shared" si="612"/>
        <v>-</v>
      </c>
      <c r="BO731" s="823" t="str">
        <f t="shared" si="613"/>
        <v>-</v>
      </c>
      <c r="BP731" s="868"/>
      <c r="BQ731" s="821"/>
      <c r="BR731" s="822" t="str">
        <f t="shared" si="614"/>
        <v>-</v>
      </c>
      <c r="BS731" s="823" t="str">
        <f t="shared" si="615"/>
        <v>-</v>
      </c>
      <c r="BT731" s="825" t="str">
        <f t="shared" ca="1" si="616"/>
        <v>-</v>
      </c>
      <c r="BU731" s="860">
        <v>43022</v>
      </c>
      <c r="BV731" s="827">
        <v>2</v>
      </c>
      <c r="BW731" s="828">
        <f t="shared" si="617"/>
        <v>722</v>
      </c>
      <c r="BX731" s="829">
        <f t="shared" ca="1" si="618"/>
        <v>112</v>
      </c>
      <c r="BY731" s="830" t="str">
        <f t="shared" ca="1" si="619"/>
        <v>-</v>
      </c>
      <c r="BZ731" s="831">
        <v>43029</v>
      </c>
      <c r="CA731" s="832">
        <v>5</v>
      </c>
      <c r="CB731" s="833">
        <f t="shared" ca="1" si="620"/>
        <v>105</v>
      </c>
      <c r="CC731" s="834" t="str">
        <f t="shared" ca="1" si="621"/>
        <v>-</v>
      </c>
      <c r="CD731" s="835">
        <f t="shared" si="622"/>
        <v>43050</v>
      </c>
      <c r="CE731" s="831">
        <v>43050</v>
      </c>
      <c r="CF731" s="832">
        <v>5</v>
      </c>
      <c r="CG731" s="833">
        <f t="shared" ca="1" si="623"/>
        <v>84</v>
      </c>
      <c r="CH731" s="836">
        <f t="shared" si="624"/>
        <v>0</v>
      </c>
      <c r="CI731" s="837" t="str">
        <f t="shared" si="625"/>
        <v>УСПЕШНО</v>
      </c>
      <c r="CJ731" s="838" t="str">
        <f t="shared" ca="1" si="626"/>
        <v>-</v>
      </c>
      <c r="CK731" s="831"/>
      <c r="CL731" s="832"/>
      <c r="CM731" s="833" t="str">
        <f t="shared" si="627"/>
        <v>-</v>
      </c>
      <c r="CN731" s="834" t="str">
        <f t="shared" si="628"/>
        <v>-</v>
      </c>
      <c r="CO731" s="830" t="str">
        <f t="shared" ca="1" si="629"/>
        <v>ТРЕБУЕТСЯ ВАКЦИНАЦИЯ</v>
      </c>
      <c r="CP731" s="839"/>
      <c r="CQ731" s="832"/>
      <c r="CR731" s="833" t="str">
        <f t="shared" si="630"/>
        <v>-</v>
      </c>
      <c r="CS731" s="833" t="str">
        <f t="shared" si="631"/>
        <v>-</v>
      </c>
      <c r="CT731" s="834" t="str">
        <f t="shared" si="632"/>
        <v>-</v>
      </c>
      <c r="CU731" s="835" t="str">
        <f t="shared" si="633"/>
        <v>-</v>
      </c>
      <c r="CV731" s="839"/>
      <c r="CW731" s="832"/>
      <c r="CX731" s="833" t="str">
        <f t="shared" si="634"/>
        <v>-</v>
      </c>
      <c r="CY731" s="840" t="str">
        <f t="shared" si="635"/>
        <v>-</v>
      </c>
      <c r="CZ731" s="833" t="str">
        <f t="shared" si="636"/>
        <v>-</v>
      </c>
      <c r="DA731" s="838" t="str">
        <f t="shared" ca="1" si="637"/>
        <v>-</v>
      </c>
      <c r="DB731" s="841"/>
      <c r="DC731" s="832"/>
    </row>
    <row r="732" spans="1:107" x14ac:dyDescent="0.25">
      <c r="A732" s="790">
        <v>734</v>
      </c>
      <c r="B732" s="791">
        <f t="shared" ca="1" si="586"/>
        <v>43134</v>
      </c>
      <c r="C732" s="847" t="s">
        <v>3271</v>
      </c>
      <c r="D732" s="59" t="s">
        <v>3324</v>
      </c>
      <c r="E732" s="22" t="s">
        <v>3483</v>
      </c>
      <c r="F732" s="795" t="s">
        <v>3260</v>
      </c>
      <c r="G732" s="796">
        <f>SUMIFS(МОЛОКО!L8:L6958,МОЛОКО!F8:F6958,"42436",МОЛОКО!L8:L6958,"&gt;0")</f>
        <v>0</v>
      </c>
      <c r="H732" s="797" t="s">
        <v>3236</v>
      </c>
      <c r="I732" s="798">
        <v>42317</v>
      </c>
      <c r="J732" s="799">
        <f t="shared" ca="1" si="587"/>
        <v>2.2383561643835614</v>
      </c>
      <c r="K732" s="799">
        <f t="shared" ca="1" si="588"/>
        <v>27.233333333333334</v>
      </c>
      <c r="L732" s="800">
        <f t="shared" ca="1" si="589"/>
        <v>817</v>
      </c>
      <c r="M732" s="801"/>
      <c r="N732" s="802"/>
      <c r="O732" s="803" t="str">
        <f t="shared" ca="1" si="590"/>
        <v>-</v>
      </c>
      <c r="P732" s="804"/>
      <c r="Q732" s="68" t="s">
        <v>3398</v>
      </c>
      <c r="R732" s="118" t="s">
        <v>3363</v>
      </c>
      <c r="S732" s="798">
        <v>42838</v>
      </c>
      <c r="T732" s="798">
        <v>42838</v>
      </c>
      <c r="U732" s="798" t="str">
        <f t="shared" si="591"/>
        <v>-</v>
      </c>
      <c r="V732" s="804" t="str">
        <f t="shared" ca="1" si="592"/>
        <v>-</v>
      </c>
      <c r="W732" s="808">
        <v>1</v>
      </c>
      <c r="X732" s="794" t="str">
        <f t="shared" si="585"/>
        <v>-</v>
      </c>
      <c r="Y732" s="794">
        <v>1</v>
      </c>
      <c r="Z732" s="809" t="str">
        <f t="shared" ca="1" si="593"/>
        <v>-----</v>
      </c>
      <c r="AA732" s="810" t="str">
        <f t="shared" ca="1" si="594"/>
        <v>-----</v>
      </c>
      <c r="AB732" s="804">
        <v>1</v>
      </c>
      <c r="AC732" s="811" t="str">
        <f t="shared" ca="1" si="595"/>
        <v>-----</v>
      </c>
      <c r="AD732" s="798">
        <v>43029</v>
      </c>
      <c r="AE732" s="794" t="str">
        <f t="shared" ca="1" si="596"/>
        <v>-</v>
      </c>
      <c r="AF732" s="798" t="str">
        <f t="shared" si="597"/>
        <v>-</v>
      </c>
      <c r="AG732" s="812" t="str">
        <f t="shared" si="598"/>
        <v>---------</v>
      </c>
      <c r="AH732" s="807">
        <v>43018</v>
      </c>
      <c r="AI732" s="807" t="str">
        <f t="shared" si="599"/>
        <v>-</v>
      </c>
      <c r="AJ732" s="807" t="str">
        <f t="shared" si="600"/>
        <v>-</v>
      </c>
      <c r="AK732" s="813"/>
      <c r="AL732" s="807">
        <f t="shared" si="601"/>
        <v>43097</v>
      </c>
      <c r="AM732" s="807">
        <f t="shared" si="602"/>
        <v>43118</v>
      </c>
      <c r="AN732" s="814">
        <f t="shared" ca="1" si="603"/>
        <v>16</v>
      </c>
      <c r="AO732" s="815">
        <v>1</v>
      </c>
      <c r="AP732" s="816" t="str">
        <f t="shared" ca="1" si="604"/>
        <v>-</v>
      </c>
      <c r="AQ732" s="817"/>
      <c r="AR732" s="794" t="str">
        <f t="shared" si="605"/>
        <v>НЕТЕЛЬ</v>
      </c>
      <c r="AS732" s="818"/>
      <c r="AT732" s="794" t="str">
        <f t="shared" si="606"/>
        <v>-</v>
      </c>
      <c r="AU732" s="819"/>
      <c r="AV732" s="820">
        <v>43034</v>
      </c>
      <c r="AW732" s="821">
        <v>4</v>
      </c>
      <c r="AX732" s="821">
        <v>1</v>
      </c>
      <c r="AY732" s="969">
        <f t="shared" ca="1" si="607"/>
        <v>100</v>
      </c>
      <c r="AZ732" s="966" t="str">
        <f t="shared" ca="1" si="608"/>
        <v>-</v>
      </c>
      <c r="BA732" s="971">
        <f t="shared" si="609"/>
        <v>43044</v>
      </c>
      <c r="BB732" s="975">
        <v>43045</v>
      </c>
      <c r="BC732" s="821">
        <v>4</v>
      </c>
      <c r="BD732" s="821">
        <v>4</v>
      </c>
      <c r="BE732" s="963">
        <f t="shared" ca="1" si="610"/>
        <v>89</v>
      </c>
      <c r="BF732" s="984"/>
      <c r="BG732" s="988"/>
      <c r="BH732" s="982"/>
      <c r="BI732" s="991"/>
      <c r="BJ732" s="991"/>
      <c r="BK732" s="993" t="str">
        <f t="shared" si="611"/>
        <v>-</v>
      </c>
      <c r="BL732" s="865"/>
      <c r="BM732" s="821"/>
      <c r="BN732" s="822" t="str">
        <f t="shared" si="612"/>
        <v>-</v>
      </c>
      <c r="BO732" s="823" t="str">
        <f t="shared" si="613"/>
        <v>-</v>
      </c>
      <c r="BP732" s="868"/>
      <c r="BQ732" s="821"/>
      <c r="BR732" s="822" t="str">
        <f t="shared" si="614"/>
        <v>-</v>
      </c>
      <c r="BS732" s="823" t="str">
        <f t="shared" si="615"/>
        <v>-</v>
      </c>
      <c r="BT732" s="825" t="str">
        <f t="shared" ca="1" si="616"/>
        <v>-</v>
      </c>
      <c r="BU732" s="860">
        <v>43022</v>
      </c>
      <c r="BV732" s="827">
        <v>2</v>
      </c>
      <c r="BW732" s="828">
        <f t="shared" si="617"/>
        <v>705</v>
      </c>
      <c r="BX732" s="829">
        <f t="shared" ca="1" si="618"/>
        <v>112</v>
      </c>
      <c r="BY732" s="830" t="str">
        <f t="shared" ca="1" si="619"/>
        <v>-</v>
      </c>
      <c r="BZ732" s="831">
        <v>43029</v>
      </c>
      <c r="CA732" s="832">
        <v>5</v>
      </c>
      <c r="CB732" s="833">
        <f t="shared" ca="1" si="620"/>
        <v>105</v>
      </c>
      <c r="CC732" s="834" t="str">
        <f t="shared" ca="1" si="621"/>
        <v>-</v>
      </c>
      <c r="CD732" s="835">
        <f t="shared" si="622"/>
        <v>43050</v>
      </c>
      <c r="CE732" s="831">
        <v>43050</v>
      </c>
      <c r="CF732" s="832">
        <v>5</v>
      </c>
      <c r="CG732" s="833">
        <f t="shared" ca="1" si="623"/>
        <v>84</v>
      </c>
      <c r="CH732" s="836">
        <f t="shared" si="624"/>
        <v>0</v>
      </c>
      <c r="CI732" s="837" t="str">
        <f t="shared" si="625"/>
        <v>УСПЕШНО</v>
      </c>
      <c r="CJ732" s="838" t="str">
        <f t="shared" ca="1" si="626"/>
        <v>-</v>
      </c>
      <c r="CK732" s="831"/>
      <c r="CL732" s="832"/>
      <c r="CM732" s="833" t="str">
        <f t="shared" si="627"/>
        <v>-</v>
      </c>
      <c r="CN732" s="834" t="str">
        <f t="shared" si="628"/>
        <v>-</v>
      </c>
      <c r="CO732" s="830" t="str">
        <f t="shared" ca="1" si="629"/>
        <v>ТРЕБУЕТСЯ ВАКЦИНАЦИЯ</v>
      </c>
      <c r="CP732" s="839"/>
      <c r="CQ732" s="832"/>
      <c r="CR732" s="833" t="str">
        <f t="shared" si="630"/>
        <v>-</v>
      </c>
      <c r="CS732" s="833" t="str">
        <f t="shared" si="631"/>
        <v>-</v>
      </c>
      <c r="CT732" s="834" t="str">
        <f t="shared" si="632"/>
        <v>-</v>
      </c>
      <c r="CU732" s="835" t="str">
        <f t="shared" si="633"/>
        <v>-</v>
      </c>
      <c r="CV732" s="839"/>
      <c r="CW732" s="832"/>
      <c r="CX732" s="833" t="str">
        <f t="shared" si="634"/>
        <v>-</v>
      </c>
      <c r="CY732" s="840" t="str">
        <f t="shared" si="635"/>
        <v>-</v>
      </c>
      <c r="CZ732" s="833" t="str">
        <f t="shared" si="636"/>
        <v>-</v>
      </c>
      <c r="DA732" s="838" t="str">
        <f t="shared" ca="1" si="637"/>
        <v>-</v>
      </c>
      <c r="DB732" s="841"/>
      <c r="DC732" s="832"/>
    </row>
    <row r="733" spans="1:107" x14ac:dyDescent="0.25">
      <c r="A733" s="790">
        <v>735</v>
      </c>
      <c r="B733" s="791">
        <f t="shared" ca="1" si="586"/>
        <v>43134</v>
      </c>
      <c r="C733" s="847" t="s">
        <v>3271</v>
      </c>
      <c r="D733" s="59" t="s">
        <v>3324</v>
      </c>
      <c r="E733" s="22" t="s">
        <v>3462</v>
      </c>
      <c r="F733" s="795" t="s">
        <v>3265</v>
      </c>
      <c r="G733" s="796">
        <f>SUMIFS(МОЛОКО!L8:L6958,МОЛОКО!F8:F6958,"42935",МОЛОКО!L8:L6958,"&gt;0")</f>
        <v>0</v>
      </c>
      <c r="H733" s="797" t="s">
        <v>3236</v>
      </c>
      <c r="I733" s="798">
        <v>42358</v>
      </c>
      <c r="J733" s="799">
        <f t="shared" ca="1" si="587"/>
        <v>2.1260273972602741</v>
      </c>
      <c r="K733" s="799">
        <f t="shared" ca="1" si="588"/>
        <v>25.866666666666667</v>
      </c>
      <c r="L733" s="800">
        <f t="shared" ca="1" si="589"/>
        <v>776</v>
      </c>
      <c r="M733" s="801"/>
      <c r="N733" s="802"/>
      <c r="O733" s="803" t="str">
        <f t="shared" ca="1" si="590"/>
        <v>-</v>
      </c>
      <c r="P733" s="804"/>
      <c r="Q733" s="68" t="s">
        <v>3398</v>
      </c>
      <c r="R733" s="118" t="s">
        <v>3382</v>
      </c>
      <c r="S733" s="798">
        <v>42890</v>
      </c>
      <c r="T733" s="798">
        <v>42890</v>
      </c>
      <c r="U733" s="798" t="str">
        <f t="shared" si="591"/>
        <v>-</v>
      </c>
      <c r="V733" s="804" t="str">
        <f t="shared" ca="1" si="592"/>
        <v>-</v>
      </c>
      <c r="W733" s="808">
        <v>1</v>
      </c>
      <c r="X733" s="794" t="str">
        <f t="shared" si="585"/>
        <v>-</v>
      </c>
      <c r="Y733" s="794">
        <v>1</v>
      </c>
      <c r="Z733" s="809" t="str">
        <f t="shared" ca="1" si="593"/>
        <v>-----</v>
      </c>
      <c r="AA733" s="810" t="str">
        <f t="shared" ca="1" si="594"/>
        <v>-----</v>
      </c>
      <c r="AB733" s="804">
        <v>1</v>
      </c>
      <c r="AC733" s="811" t="str">
        <f t="shared" ca="1" si="595"/>
        <v>-----</v>
      </c>
      <c r="AD733" s="798">
        <v>43029</v>
      </c>
      <c r="AE733" s="794" t="str">
        <f t="shared" ca="1" si="596"/>
        <v>-</v>
      </c>
      <c r="AF733" s="798" t="str">
        <f t="shared" si="597"/>
        <v>-</v>
      </c>
      <c r="AG733" s="812" t="str">
        <f t="shared" si="598"/>
        <v>---------</v>
      </c>
      <c r="AH733" s="807">
        <v>43018</v>
      </c>
      <c r="AI733" s="807" t="str">
        <f t="shared" si="599"/>
        <v>-</v>
      </c>
      <c r="AJ733" s="807" t="str">
        <f t="shared" si="600"/>
        <v>-</v>
      </c>
      <c r="AK733" s="813"/>
      <c r="AL733" s="807">
        <f t="shared" si="601"/>
        <v>43149</v>
      </c>
      <c r="AM733" s="807">
        <f t="shared" si="602"/>
        <v>43170</v>
      </c>
      <c r="AN733" s="814">
        <f t="shared" ca="1" si="603"/>
        <v>-36</v>
      </c>
      <c r="AO733" s="815">
        <v>1</v>
      </c>
      <c r="AP733" s="816" t="str">
        <f t="shared" ca="1" si="604"/>
        <v>-</v>
      </c>
      <c r="AQ733" s="817"/>
      <c r="AR733" s="794" t="str">
        <f t="shared" si="605"/>
        <v>НЕТЕЛЬ</v>
      </c>
      <c r="AS733" s="818"/>
      <c r="AT733" s="794" t="str">
        <f t="shared" si="606"/>
        <v>-</v>
      </c>
      <c r="AU733" s="819"/>
      <c r="AV733" s="820">
        <v>43034</v>
      </c>
      <c r="AW733" s="821">
        <v>4</v>
      </c>
      <c r="AX733" s="821">
        <v>1</v>
      </c>
      <c r="AY733" s="969">
        <f t="shared" ca="1" si="607"/>
        <v>100</v>
      </c>
      <c r="AZ733" s="966" t="str">
        <f t="shared" ca="1" si="608"/>
        <v>-</v>
      </c>
      <c r="BA733" s="971">
        <f t="shared" si="609"/>
        <v>43044</v>
      </c>
      <c r="BB733" s="975">
        <v>43045</v>
      </c>
      <c r="BC733" s="821">
        <v>4</v>
      </c>
      <c r="BD733" s="821">
        <v>4</v>
      </c>
      <c r="BE733" s="963">
        <f t="shared" ca="1" si="610"/>
        <v>89</v>
      </c>
      <c r="BF733" s="984"/>
      <c r="BG733" s="988"/>
      <c r="BH733" s="982"/>
      <c r="BI733" s="991"/>
      <c r="BJ733" s="991"/>
      <c r="BK733" s="993" t="str">
        <f t="shared" si="611"/>
        <v>-</v>
      </c>
      <c r="BL733" s="865"/>
      <c r="BM733" s="821"/>
      <c r="BN733" s="822" t="str">
        <f t="shared" si="612"/>
        <v>-</v>
      </c>
      <c r="BO733" s="823" t="str">
        <f t="shared" si="613"/>
        <v>-</v>
      </c>
      <c r="BP733" s="868"/>
      <c r="BQ733" s="821"/>
      <c r="BR733" s="822" t="str">
        <f t="shared" si="614"/>
        <v>-</v>
      </c>
      <c r="BS733" s="823" t="str">
        <f t="shared" si="615"/>
        <v>-</v>
      </c>
      <c r="BT733" s="825" t="str">
        <f t="shared" ca="1" si="616"/>
        <v>-</v>
      </c>
      <c r="BU733" s="860">
        <v>43022</v>
      </c>
      <c r="BV733" s="827">
        <v>2</v>
      </c>
      <c r="BW733" s="828">
        <f t="shared" si="617"/>
        <v>664</v>
      </c>
      <c r="BX733" s="829">
        <f t="shared" ca="1" si="618"/>
        <v>112</v>
      </c>
      <c r="BY733" s="830" t="str">
        <f t="shared" ca="1" si="619"/>
        <v>-</v>
      </c>
      <c r="BZ733" s="831">
        <v>43029</v>
      </c>
      <c r="CA733" s="832">
        <v>5</v>
      </c>
      <c r="CB733" s="833">
        <f t="shared" ca="1" si="620"/>
        <v>105</v>
      </c>
      <c r="CC733" s="834" t="str">
        <f t="shared" ca="1" si="621"/>
        <v>-</v>
      </c>
      <c r="CD733" s="835">
        <f t="shared" si="622"/>
        <v>43050</v>
      </c>
      <c r="CE733" s="831">
        <v>43050</v>
      </c>
      <c r="CF733" s="832">
        <v>5</v>
      </c>
      <c r="CG733" s="833">
        <f t="shared" ca="1" si="623"/>
        <v>84</v>
      </c>
      <c r="CH733" s="836">
        <f t="shared" si="624"/>
        <v>0</v>
      </c>
      <c r="CI733" s="837" t="str">
        <f t="shared" si="625"/>
        <v>УСПЕШНО</v>
      </c>
      <c r="CJ733" s="838" t="str">
        <f t="shared" ca="1" si="626"/>
        <v>-</v>
      </c>
      <c r="CK733" s="831"/>
      <c r="CL733" s="832"/>
      <c r="CM733" s="833" t="str">
        <f t="shared" si="627"/>
        <v>-</v>
      </c>
      <c r="CN733" s="834" t="str">
        <f t="shared" si="628"/>
        <v>-</v>
      </c>
      <c r="CO733" s="830" t="str">
        <f t="shared" ca="1" si="629"/>
        <v>ТРЕБУЕТСЯ ВАКЦИНАЦИЯ</v>
      </c>
      <c r="CP733" s="839"/>
      <c r="CQ733" s="832"/>
      <c r="CR733" s="833" t="str">
        <f t="shared" si="630"/>
        <v>-</v>
      </c>
      <c r="CS733" s="833" t="str">
        <f t="shared" si="631"/>
        <v>-</v>
      </c>
      <c r="CT733" s="834" t="str">
        <f t="shared" si="632"/>
        <v>-</v>
      </c>
      <c r="CU733" s="835" t="str">
        <f t="shared" si="633"/>
        <v>-</v>
      </c>
      <c r="CV733" s="839"/>
      <c r="CW733" s="832"/>
      <c r="CX733" s="833" t="str">
        <f t="shared" si="634"/>
        <v>-</v>
      </c>
      <c r="CY733" s="840" t="str">
        <f t="shared" si="635"/>
        <v>-</v>
      </c>
      <c r="CZ733" s="833" t="str">
        <f t="shared" si="636"/>
        <v>-</v>
      </c>
      <c r="DA733" s="838" t="str">
        <f t="shared" ca="1" si="637"/>
        <v>-</v>
      </c>
      <c r="DB733" s="841"/>
      <c r="DC733" s="832"/>
    </row>
    <row r="734" spans="1:107" x14ac:dyDescent="0.25">
      <c r="A734" s="790">
        <v>736</v>
      </c>
      <c r="B734" s="791">
        <f t="shared" ca="1" si="586"/>
        <v>43134</v>
      </c>
      <c r="C734" s="847" t="s">
        <v>3271</v>
      </c>
      <c r="D734" s="59" t="s">
        <v>3324</v>
      </c>
      <c r="E734" s="22" t="s">
        <v>3463</v>
      </c>
      <c r="F734" s="795" t="s">
        <v>3266</v>
      </c>
      <c r="G734" s="796">
        <f>SUMIFS(МОЛОКО!L8:L6958,МОЛОКО!F8:F6958,"42941",МОЛОКО!L8:L6958,"&gt;0")</f>
        <v>0</v>
      </c>
      <c r="H734" s="797" t="s">
        <v>3236</v>
      </c>
      <c r="I734" s="798">
        <v>42397</v>
      </c>
      <c r="J734" s="799">
        <f t="shared" ca="1" si="587"/>
        <v>2.0191780821917806</v>
      </c>
      <c r="K734" s="799">
        <f t="shared" ca="1" si="588"/>
        <v>24.566666666666666</v>
      </c>
      <c r="L734" s="800">
        <f t="shared" ca="1" si="589"/>
        <v>737</v>
      </c>
      <c r="M734" s="801"/>
      <c r="N734" s="802"/>
      <c r="O734" s="803" t="str">
        <f t="shared" ca="1" si="590"/>
        <v>-</v>
      </c>
      <c r="P734" s="804"/>
      <c r="Q734" s="68" t="s">
        <v>3398</v>
      </c>
      <c r="R734" s="118" t="s">
        <v>3368</v>
      </c>
      <c r="S734" s="798">
        <v>42856</v>
      </c>
      <c r="T734" s="798">
        <v>42856</v>
      </c>
      <c r="U734" s="798" t="str">
        <f t="shared" si="591"/>
        <v>-</v>
      </c>
      <c r="V734" s="804" t="str">
        <f t="shared" ca="1" si="592"/>
        <v>-</v>
      </c>
      <c r="W734" s="808">
        <v>1</v>
      </c>
      <c r="X734" s="794" t="str">
        <f t="shared" si="585"/>
        <v>-</v>
      </c>
      <c r="Y734" s="794">
        <v>1</v>
      </c>
      <c r="Z734" s="809" t="str">
        <f t="shared" ca="1" si="593"/>
        <v>-----</v>
      </c>
      <c r="AA734" s="810" t="str">
        <f t="shared" ca="1" si="594"/>
        <v>-----</v>
      </c>
      <c r="AB734" s="804">
        <v>1</v>
      </c>
      <c r="AC734" s="811" t="str">
        <f t="shared" ca="1" si="595"/>
        <v>-----</v>
      </c>
      <c r="AD734" s="798">
        <v>43029</v>
      </c>
      <c r="AE734" s="794" t="str">
        <f t="shared" ca="1" si="596"/>
        <v>-</v>
      </c>
      <c r="AF734" s="798" t="str">
        <f t="shared" si="597"/>
        <v>-</v>
      </c>
      <c r="AG734" s="812" t="str">
        <f t="shared" si="598"/>
        <v>---------</v>
      </c>
      <c r="AH734" s="807">
        <v>43018</v>
      </c>
      <c r="AI734" s="807" t="str">
        <f t="shared" si="599"/>
        <v>-</v>
      </c>
      <c r="AJ734" s="807" t="str">
        <f t="shared" si="600"/>
        <v>-</v>
      </c>
      <c r="AK734" s="813"/>
      <c r="AL734" s="807">
        <f t="shared" si="601"/>
        <v>43115</v>
      </c>
      <c r="AM734" s="807">
        <f t="shared" si="602"/>
        <v>43136</v>
      </c>
      <c r="AN734" s="814">
        <f t="shared" ca="1" si="603"/>
        <v>-2</v>
      </c>
      <c r="AO734" s="815">
        <v>1</v>
      </c>
      <c r="AP734" s="816" t="str">
        <f t="shared" ca="1" si="604"/>
        <v>-</v>
      </c>
      <c r="AQ734" s="817"/>
      <c r="AR734" s="794" t="str">
        <f t="shared" si="605"/>
        <v>НЕТЕЛЬ</v>
      </c>
      <c r="AS734" s="818"/>
      <c r="AT734" s="794" t="str">
        <f t="shared" si="606"/>
        <v>-</v>
      </c>
      <c r="AU734" s="819"/>
      <c r="AV734" s="820">
        <v>43034</v>
      </c>
      <c r="AW734" s="821">
        <v>4</v>
      </c>
      <c r="AX734" s="821">
        <v>1</v>
      </c>
      <c r="AY734" s="969">
        <f t="shared" ca="1" si="607"/>
        <v>100</v>
      </c>
      <c r="AZ734" s="966" t="str">
        <f t="shared" ca="1" si="608"/>
        <v>-</v>
      </c>
      <c r="BA734" s="971">
        <f t="shared" si="609"/>
        <v>43044</v>
      </c>
      <c r="BB734" s="975">
        <v>43045</v>
      </c>
      <c r="BC734" s="821">
        <v>4</v>
      </c>
      <c r="BD734" s="821">
        <v>4</v>
      </c>
      <c r="BE734" s="963">
        <f t="shared" ca="1" si="610"/>
        <v>89</v>
      </c>
      <c r="BF734" s="984"/>
      <c r="BG734" s="988"/>
      <c r="BH734" s="982"/>
      <c r="BI734" s="991"/>
      <c r="BJ734" s="991"/>
      <c r="BK734" s="993" t="str">
        <f t="shared" si="611"/>
        <v>-</v>
      </c>
      <c r="BL734" s="865"/>
      <c r="BM734" s="821"/>
      <c r="BN734" s="822" t="str">
        <f t="shared" si="612"/>
        <v>-</v>
      </c>
      <c r="BO734" s="823" t="str">
        <f t="shared" si="613"/>
        <v>-</v>
      </c>
      <c r="BP734" s="868"/>
      <c r="BQ734" s="821"/>
      <c r="BR734" s="822" t="str">
        <f t="shared" si="614"/>
        <v>-</v>
      </c>
      <c r="BS734" s="823" t="str">
        <f t="shared" si="615"/>
        <v>-</v>
      </c>
      <c r="BT734" s="825" t="str">
        <f t="shared" ca="1" si="616"/>
        <v>-</v>
      </c>
      <c r="BU734" s="860">
        <v>43022</v>
      </c>
      <c r="BV734" s="827">
        <v>2</v>
      </c>
      <c r="BW734" s="828">
        <f t="shared" si="617"/>
        <v>625</v>
      </c>
      <c r="BX734" s="829">
        <f t="shared" ca="1" si="618"/>
        <v>112</v>
      </c>
      <c r="BY734" s="830" t="str">
        <f t="shared" ca="1" si="619"/>
        <v>-</v>
      </c>
      <c r="BZ734" s="831">
        <v>43029</v>
      </c>
      <c r="CA734" s="832">
        <v>5</v>
      </c>
      <c r="CB734" s="833">
        <f t="shared" ca="1" si="620"/>
        <v>105</v>
      </c>
      <c r="CC734" s="834" t="str">
        <f t="shared" ca="1" si="621"/>
        <v>-</v>
      </c>
      <c r="CD734" s="835">
        <f t="shared" si="622"/>
        <v>43050</v>
      </c>
      <c r="CE734" s="831">
        <v>43050</v>
      </c>
      <c r="CF734" s="832">
        <v>5</v>
      </c>
      <c r="CG734" s="833">
        <f t="shared" ca="1" si="623"/>
        <v>84</v>
      </c>
      <c r="CH734" s="836">
        <f t="shared" si="624"/>
        <v>0</v>
      </c>
      <c r="CI734" s="837" t="str">
        <f t="shared" si="625"/>
        <v>УСПЕШНО</v>
      </c>
      <c r="CJ734" s="838" t="str">
        <f t="shared" ca="1" si="626"/>
        <v>-</v>
      </c>
      <c r="CK734" s="831"/>
      <c r="CL734" s="832"/>
      <c r="CM734" s="833" t="str">
        <f t="shared" si="627"/>
        <v>-</v>
      </c>
      <c r="CN734" s="834" t="str">
        <f t="shared" si="628"/>
        <v>-</v>
      </c>
      <c r="CO734" s="830" t="str">
        <f t="shared" ca="1" si="629"/>
        <v>ТРЕБУЕТСЯ ВАКЦИНАЦИЯ</v>
      </c>
      <c r="CP734" s="839"/>
      <c r="CQ734" s="832"/>
      <c r="CR734" s="833" t="str">
        <f t="shared" si="630"/>
        <v>-</v>
      </c>
      <c r="CS734" s="833" t="str">
        <f t="shared" si="631"/>
        <v>-</v>
      </c>
      <c r="CT734" s="834" t="str">
        <f t="shared" si="632"/>
        <v>-</v>
      </c>
      <c r="CU734" s="835" t="str">
        <f t="shared" si="633"/>
        <v>-</v>
      </c>
      <c r="CV734" s="839"/>
      <c r="CW734" s="832"/>
      <c r="CX734" s="833" t="str">
        <f t="shared" si="634"/>
        <v>-</v>
      </c>
      <c r="CY734" s="840" t="str">
        <f t="shared" si="635"/>
        <v>-</v>
      </c>
      <c r="CZ734" s="833" t="str">
        <f t="shared" si="636"/>
        <v>-</v>
      </c>
      <c r="DA734" s="838" t="str">
        <f t="shared" ca="1" si="637"/>
        <v>-</v>
      </c>
      <c r="DB734" s="841"/>
      <c r="DC734" s="832"/>
    </row>
    <row r="735" spans="1:107" x14ac:dyDescent="0.25">
      <c r="A735" s="790">
        <v>737</v>
      </c>
      <c r="B735" s="791">
        <f t="shared" ca="1" si="586"/>
        <v>43134</v>
      </c>
      <c r="C735" s="847" t="s">
        <v>3271</v>
      </c>
      <c r="D735" s="59" t="s">
        <v>3324</v>
      </c>
      <c r="E735" s="22" t="s">
        <v>3468</v>
      </c>
      <c r="F735" s="795" t="s">
        <v>3267</v>
      </c>
      <c r="G735" s="796">
        <f>SUMIFS(МОЛОКО!L8:L6958,МОЛОКО!F8:F6958,"42943",МОЛОКО!L8:L6958,"&gt;0")</f>
        <v>0</v>
      </c>
      <c r="H735" s="797" t="s">
        <v>3236</v>
      </c>
      <c r="I735" s="798">
        <v>42419</v>
      </c>
      <c r="J735" s="799">
        <f t="shared" ca="1" si="587"/>
        <v>1.9589041095890412</v>
      </c>
      <c r="K735" s="799">
        <f t="shared" ca="1" si="588"/>
        <v>23.833333333333332</v>
      </c>
      <c r="L735" s="800">
        <f t="shared" ca="1" si="589"/>
        <v>715</v>
      </c>
      <c r="M735" s="801"/>
      <c r="N735" s="802"/>
      <c r="O735" s="803" t="str">
        <f t="shared" ca="1" si="590"/>
        <v>-</v>
      </c>
      <c r="P735" s="804"/>
      <c r="Q735" s="68" t="s">
        <v>3398</v>
      </c>
      <c r="R735" s="118" t="s">
        <v>3384</v>
      </c>
      <c r="S735" s="798">
        <v>42872</v>
      </c>
      <c r="T735" s="798">
        <v>42872</v>
      </c>
      <c r="U735" s="798" t="str">
        <f t="shared" si="591"/>
        <v>-</v>
      </c>
      <c r="V735" s="804" t="str">
        <f t="shared" ca="1" si="592"/>
        <v>-</v>
      </c>
      <c r="W735" s="808">
        <v>1</v>
      </c>
      <c r="X735" s="794" t="str">
        <f t="shared" si="585"/>
        <v>-</v>
      </c>
      <c r="Y735" s="794">
        <v>1</v>
      </c>
      <c r="Z735" s="809" t="str">
        <f t="shared" ca="1" si="593"/>
        <v>-----</v>
      </c>
      <c r="AA735" s="810" t="str">
        <f t="shared" ca="1" si="594"/>
        <v>-----</v>
      </c>
      <c r="AB735" s="804">
        <v>1</v>
      </c>
      <c r="AC735" s="811" t="str">
        <f t="shared" ca="1" si="595"/>
        <v>-----</v>
      </c>
      <c r="AD735" s="798">
        <v>43029</v>
      </c>
      <c r="AE735" s="794" t="str">
        <f t="shared" ca="1" si="596"/>
        <v>-</v>
      </c>
      <c r="AF735" s="798" t="str">
        <f t="shared" si="597"/>
        <v>-</v>
      </c>
      <c r="AG735" s="812" t="str">
        <f t="shared" si="598"/>
        <v>---------</v>
      </c>
      <c r="AH735" s="807">
        <v>43018</v>
      </c>
      <c r="AI735" s="807" t="str">
        <f t="shared" si="599"/>
        <v>-</v>
      </c>
      <c r="AJ735" s="807" t="str">
        <f t="shared" si="600"/>
        <v>-</v>
      </c>
      <c r="AK735" s="813"/>
      <c r="AL735" s="807">
        <f t="shared" si="601"/>
        <v>43131</v>
      </c>
      <c r="AM735" s="807">
        <f t="shared" si="602"/>
        <v>43152</v>
      </c>
      <c r="AN735" s="814">
        <f t="shared" ca="1" si="603"/>
        <v>-18</v>
      </c>
      <c r="AO735" s="815">
        <v>1</v>
      </c>
      <c r="AP735" s="816" t="str">
        <f t="shared" ca="1" si="604"/>
        <v>-</v>
      </c>
      <c r="AQ735" s="817"/>
      <c r="AR735" s="794" t="str">
        <f t="shared" si="605"/>
        <v>НЕТЕЛЬ</v>
      </c>
      <c r="AS735" s="818"/>
      <c r="AT735" s="794" t="str">
        <f t="shared" si="606"/>
        <v>-</v>
      </c>
      <c r="AU735" s="819"/>
      <c r="AV735" s="820">
        <v>43034</v>
      </c>
      <c r="AW735" s="821">
        <v>4</v>
      </c>
      <c r="AX735" s="821">
        <v>1</v>
      </c>
      <c r="AY735" s="969">
        <f t="shared" ca="1" si="607"/>
        <v>100</v>
      </c>
      <c r="AZ735" s="966" t="str">
        <f t="shared" ca="1" si="608"/>
        <v>-</v>
      </c>
      <c r="BA735" s="971">
        <f t="shared" si="609"/>
        <v>43044</v>
      </c>
      <c r="BB735" s="975">
        <v>43045</v>
      </c>
      <c r="BC735" s="821">
        <v>4</v>
      </c>
      <c r="BD735" s="821">
        <v>4</v>
      </c>
      <c r="BE735" s="963">
        <f t="shared" ca="1" si="610"/>
        <v>89</v>
      </c>
      <c r="BF735" s="984"/>
      <c r="BG735" s="988"/>
      <c r="BH735" s="982"/>
      <c r="BI735" s="991"/>
      <c r="BJ735" s="991"/>
      <c r="BK735" s="993" t="str">
        <f t="shared" si="611"/>
        <v>-</v>
      </c>
      <c r="BL735" s="865"/>
      <c r="BM735" s="821"/>
      <c r="BN735" s="822" t="str">
        <f t="shared" si="612"/>
        <v>-</v>
      </c>
      <c r="BO735" s="823" t="str">
        <f t="shared" si="613"/>
        <v>-</v>
      </c>
      <c r="BP735" s="868"/>
      <c r="BQ735" s="821"/>
      <c r="BR735" s="822" t="str">
        <f t="shared" si="614"/>
        <v>-</v>
      </c>
      <c r="BS735" s="823" t="str">
        <f t="shared" si="615"/>
        <v>-</v>
      </c>
      <c r="BT735" s="825" t="str">
        <f t="shared" ca="1" si="616"/>
        <v>-</v>
      </c>
      <c r="BU735" s="860">
        <v>43022</v>
      </c>
      <c r="BV735" s="827">
        <v>2</v>
      </c>
      <c r="BW735" s="828">
        <f t="shared" si="617"/>
        <v>603</v>
      </c>
      <c r="BX735" s="829">
        <f t="shared" ca="1" si="618"/>
        <v>112</v>
      </c>
      <c r="BY735" s="830" t="str">
        <f t="shared" ca="1" si="619"/>
        <v>-</v>
      </c>
      <c r="BZ735" s="831">
        <v>43029</v>
      </c>
      <c r="CA735" s="832">
        <v>5</v>
      </c>
      <c r="CB735" s="833">
        <f t="shared" ca="1" si="620"/>
        <v>105</v>
      </c>
      <c r="CC735" s="834" t="str">
        <f t="shared" ca="1" si="621"/>
        <v>-</v>
      </c>
      <c r="CD735" s="835">
        <f t="shared" si="622"/>
        <v>43050</v>
      </c>
      <c r="CE735" s="831">
        <v>43050</v>
      </c>
      <c r="CF735" s="832">
        <v>5</v>
      </c>
      <c r="CG735" s="833">
        <f t="shared" ca="1" si="623"/>
        <v>84</v>
      </c>
      <c r="CH735" s="836">
        <f t="shared" si="624"/>
        <v>0</v>
      </c>
      <c r="CI735" s="837" t="str">
        <f t="shared" si="625"/>
        <v>УСПЕШНО</v>
      </c>
      <c r="CJ735" s="838" t="str">
        <f t="shared" ca="1" si="626"/>
        <v>-</v>
      </c>
      <c r="CK735" s="831"/>
      <c r="CL735" s="832"/>
      <c r="CM735" s="833" t="str">
        <f t="shared" si="627"/>
        <v>-</v>
      </c>
      <c r="CN735" s="834" t="str">
        <f t="shared" si="628"/>
        <v>-</v>
      </c>
      <c r="CO735" s="830" t="str">
        <f t="shared" ca="1" si="629"/>
        <v>ТРЕБУЕТСЯ ВАКЦИНАЦИЯ</v>
      </c>
      <c r="CP735" s="839"/>
      <c r="CQ735" s="832"/>
      <c r="CR735" s="833" t="str">
        <f t="shared" si="630"/>
        <v>-</v>
      </c>
      <c r="CS735" s="833" t="str">
        <f t="shared" si="631"/>
        <v>-</v>
      </c>
      <c r="CT735" s="834" t="str">
        <f t="shared" si="632"/>
        <v>-</v>
      </c>
      <c r="CU735" s="835" t="str">
        <f t="shared" si="633"/>
        <v>-</v>
      </c>
      <c r="CV735" s="839"/>
      <c r="CW735" s="832"/>
      <c r="CX735" s="833" t="str">
        <f t="shared" si="634"/>
        <v>-</v>
      </c>
      <c r="CY735" s="840" t="str">
        <f t="shared" si="635"/>
        <v>-</v>
      </c>
      <c r="CZ735" s="833" t="str">
        <f t="shared" si="636"/>
        <v>-</v>
      </c>
      <c r="DA735" s="838" t="str">
        <f t="shared" ca="1" si="637"/>
        <v>-</v>
      </c>
      <c r="DB735" s="841"/>
      <c r="DC735" s="832"/>
    </row>
    <row r="736" spans="1:107" x14ac:dyDescent="0.25">
      <c r="A736" s="790">
        <v>738</v>
      </c>
      <c r="B736" s="791">
        <f t="shared" ca="1" si="586"/>
        <v>43134</v>
      </c>
      <c r="C736" s="847" t="s">
        <v>3271</v>
      </c>
      <c r="D736" s="59" t="s">
        <v>3324</v>
      </c>
      <c r="E736" s="22" t="s">
        <v>3488</v>
      </c>
      <c r="F736" s="854" t="s">
        <v>3261</v>
      </c>
      <c r="G736" s="796">
        <f>SUMIFS(МОЛОКО!L8:L6958,МОЛОКО!F8:F6958,"44956",МОЛОКО!L8:L6958,"&gt;0")</f>
        <v>0</v>
      </c>
      <c r="H736" s="797" t="s">
        <v>3236</v>
      </c>
      <c r="I736" s="798">
        <v>42358</v>
      </c>
      <c r="J736" s="799">
        <f t="shared" ca="1" si="587"/>
        <v>2.1260273972602741</v>
      </c>
      <c r="K736" s="799">
        <f t="shared" ca="1" si="588"/>
        <v>25.866666666666667</v>
      </c>
      <c r="L736" s="800">
        <f t="shared" ca="1" si="589"/>
        <v>776</v>
      </c>
      <c r="M736" s="801"/>
      <c r="N736" s="802"/>
      <c r="O736" s="803" t="str">
        <f t="shared" ca="1" si="590"/>
        <v>-</v>
      </c>
      <c r="P736" s="804"/>
      <c r="Q736" s="68" t="s">
        <v>3398</v>
      </c>
      <c r="R736" s="118" t="s">
        <v>3366</v>
      </c>
      <c r="S736" s="798">
        <v>42879</v>
      </c>
      <c r="T736" s="798">
        <v>42879</v>
      </c>
      <c r="U736" s="798" t="str">
        <f t="shared" si="591"/>
        <v>-</v>
      </c>
      <c r="V736" s="804" t="str">
        <f t="shared" ca="1" si="592"/>
        <v>-</v>
      </c>
      <c r="W736" s="808">
        <v>1</v>
      </c>
      <c r="X736" s="794" t="str">
        <f t="shared" si="585"/>
        <v>-</v>
      </c>
      <c r="Y736" s="794">
        <v>1</v>
      </c>
      <c r="Z736" s="809" t="str">
        <f t="shared" ca="1" si="593"/>
        <v>-----</v>
      </c>
      <c r="AA736" s="810" t="str">
        <f t="shared" ca="1" si="594"/>
        <v>-----</v>
      </c>
      <c r="AB736" s="804">
        <v>1</v>
      </c>
      <c r="AC736" s="811" t="str">
        <f t="shared" ca="1" si="595"/>
        <v>-----</v>
      </c>
      <c r="AD736" s="798">
        <v>43029</v>
      </c>
      <c r="AE736" s="794" t="str">
        <f t="shared" ca="1" si="596"/>
        <v>-</v>
      </c>
      <c r="AF736" s="798" t="str">
        <f t="shared" si="597"/>
        <v>-</v>
      </c>
      <c r="AG736" s="812" t="str">
        <f t="shared" si="598"/>
        <v>---------</v>
      </c>
      <c r="AH736" s="807">
        <v>43018</v>
      </c>
      <c r="AI736" s="807" t="str">
        <f t="shared" si="599"/>
        <v>-</v>
      </c>
      <c r="AJ736" s="807" t="str">
        <f t="shared" si="600"/>
        <v>-</v>
      </c>
      <c r="AK736" s="813"/>
      <c r="AL736" s="807">
        <f t="shared" si="601"/>
        <v>43138</v>
      </c>
      <c r="AM736" s="807">
        <f t="shared" si="602"/>
        <v>43159</v>
      </c>
      <c r="AN736" s="814">
        <f t="shared" ca="1" si="603"/>
        <v>-25</v>
      </c>
      <c r="AO736" s="815">
        <v>1</v>
      </c>
      <c r="AP736" s="816" t="str">
        <f t="shared" ca="1" si="604"/>
        <v>-</v>
      </c>
      <c r="AQ736" s="817"/>
      <c r="AR736" s="794" t="str">
        <f t="shared" si="605"/>
        <v>НЕТЕЛЬ</v>
      </c>
      <c r="AS736" s="818"/>
      <c r="AT736" s="794" t="str">
        <f t="shared" si="606"/>
        <v>-</v>
      </c>
      <c r="AU736" s="819"/>
      <c r="AV736" s="820">
        <v>43034</v>
      </c>
      <c r="AW736" s="821">
        <v>4</v>
      </c>
      <c r="AX736" s="821">
        <v>1</v>
      </c>
      <c r="AY736" s="969">
        <f t="shared" ca="1" si="607"/>
        <v>100</v>
      </c>
      <c r="AZ736" s="966" t="str">
        <f t="shared" ca="1" si="608"/>
        <v>-</v>
      </c>
      <c r="BA736" s="971">
        <f t="shared" si="609"/>
        <v>43044</v>
      </c>
      <c r="BB736" s="975">
        <v>43045</v>
      </c>
      <c r="BC736" s="821">
        <v>4</v>
      </c>
      <c r="BD736" s="821">
        <v>4</v>
      </c>
      <c r="BE736" s="963">
        <f t="shared" ca="1" si="610"/>
        <v>89</v>
      </c>
      <c r="BF736" s="984"/>
      <c r="BG736" s="988"/>
      <c r="BH736" s="982"/>
      <c r="BI736" s="991"/>
      <c r="BJ736" s="991"/>
      <c r="BK736" s="993" t="str">
        <f t="shared" si="611"/>
        <v>-</v>
      </c>
      <c r="BL736" s="865"/>
      <c r="BM736" s="821"/>
      <c r="BN736" s="822" t="str">
        <f t="shared" si="612"/>
        <v>-</v>
      </c>
      <c r="BO736" s="823" t="str">
        <f t="shared" si="613"/>
        <v>-</v>
      </c>
      <c r="BP736" s="868"/>
      <c r="BQ736" s="821"/>
      <c r="BR736" s="822" t="str">
        <f t="shared" si="614"/>
        <v>-</v>
      </c>
      <c r="BS736" s="823" t="str">
        <f t="shared" si="615"/>
        <v>-</v>
      </c>
      <c r="BT736" s="825" t="str">
        <f t="shared" ca="1" si="616"/>
        <v>-</v>
      </c>
      <c r="BU736" s="860">
        <v>43022</v>
      </c>
      <c r="BV736" s="827">
        <v>2</v>
      </c>
      <c r="BW736" s="828">
        <f t="shared" si="617"/>
        <v>664</v>
      </c>
      <c r="BX736" s="829">
        <f t="shared" ca="1" si="618"/>
        <v>112</v>
      </c>
      <c r="BY736" s="830" t="str">
        <f t="shared" ca="1" si="619"/>
        <v>-</v>
      </c>
      <c r="BZ736" s="831">
        <v>43029</v>
      </c>
      <c r="CA736" s="832">
        <v>5</v>
      </c>
      <c r="CB736" s="833">
        <f t="shared" ca="1" si="620"/>
        <v>105</v>
      </c>
      <c r="CC736" s="834" t="str">
        <f t="shared" ca="1" si="621"/>
        <v>-</v>
      </c>
      <c r="CD736" s="835">
        <f t="shared" si="622"/>
        <v>43050</v>
      </c>
      <c r="CE736" s="831">
        <v>43050</v>
      </c>
      <c r="CF736" s="832">
        <v>5</v>
      </c>
      <c r="CG736" s="833">
        <f t="shared" ca="1" si="623"/>
        <v>84</v>
      </c>
      <c r="CH736" s="836">
        <f t="shared" si="624"/>
        <v>0</v>
      </c>
      <c r="CI736" s="837" t="str">
        <f t="shared" si="625"/>
        <v>УСПЕШНО</v>
      </c>
      <c r="CJ736" s="838" t="str">
        <f t="shared" ca="1" si="626"/>
        <v>-</v>
      </c>
      <c r="CK736" s="831"/>
      <c r="CL736" s="832"/>
      <c r="CM736" s="833" t="str">
        <f t="shared" si="627"/>
        <v>-</v>
      </c>
      <c r="CN736" s="834" t="str">
        <f t="shared" si="628"/>
        <v>-</v>
      </c>
      <c r="CO736" s="830" t="str">
        <f t="shared" ca="1" si="629"/>
        <v>ТРЕБУЕТСЯ ВАКЦИНАЦИЯ</v>
      </c>
      <c r="CP736" s="839"/>
      <c r="CQ736" s="832"/>
      <c r="CR736" s="833" t="str">
        <f t="shared" si="630"/>
        <v>-</v>
      </c>
      <c r="CS736" s="833" t="str">
        <f t="shared" si="631"/>
        <v>-</v>
      </c>
      <c r="CT736" s="834" t="str">
        <f t="shared" si="632"/>
        <v>-</v>
      </c>
      <c r="CU736" s="835" t="str">
        <f t="shared" si="633"/>
        <v>-</v>
      </c>
      <c r="CV736" s="839"/>
      <c r="CW736" s="832"/>
      <c r="CX736" s="833" t="str">
        <f t="shared" si="634"/>
        <v>-</v>
      </c>
      <c r="CY736" s="840" t="str">
        <f t="shared" si="635"/>
        <v>-</v>
      </c>
      <c r="CZ736" s="833" t="str">
        <f t="shared" si="636"/>
        <v>-</v>
      </c>
      <c r="DA736" s="838" t="str">
        <f t="shared" ca="1" si="637"/>
        <v>-</v>
      </c>
      <c r="DB736" s="841"/>
      <c r="DC736" s="832"/>
    </row>
    <row r="737" spans="1:107" x14ac:dyDescent="0.25">
      <c r="A737" s="790">
        <v>739</v>
      </c>
      <c r="B737" s="791">
        <f t="shared" ca="1" si="586"/>
        <v>43134</v>
      </c>
      <c r="C737" s="847" t="s">
        <v>3271</v>
      </c>
      <c r="D737" s="59" t="s">
        <v>3324</v>
      </c>
      <c r="E737" s="22" t="s">
        <v>3467</v>
      </c>
      <c r="F737" s="795" t="s">
        <v>3262</v>
      </c>
      <c r="G737" s="796">
        <f>SUMIFS(МОЛОКО!L8:L6958,МОЛОКО!F8:F6958,"44960",МОЛОКО!L8:L6958,"&gt;0")</f>
        <v>0</v>
      </c>
      <c r="H737" s="797" t="s">
        <v>3236</v>
      </c>
      <c r="I737" s="798">
        <v>42371</v>
      </c>
      <c r="J737" s="799">
        <f t="shared" ca="1" si="587"/>
        <v>2.0904109589041098</v>
      </c>
      <c r="K737" s="799">
        <f t="shared" ca="1" si="588"/>
        <v>25.433333333333334</v>
      </c>
      <c r="L737" s="800">
        <f t="shared" ca="1" si="589"/>
        <v>763</v>
      </c>
      <c r="M737" s="801"/>
      <c r="N737" s="802"/>
      <c r="O737" s="803" t="str">
        <f t="shared" ca="1" si="590"/>
        <v>-</v>
      </c>
      <c r="P737" s="804"/>
      <c r="Q737" s="68" t="s">
        <v>3398</v>
      </c>
      <c r="R737" s="118" t="s">
        <v>3366</v>
      </c>
      <c r="S737" s="798">
        <v>42879</v>
      </c>
      <c r="T737" s="798">
        <v>42879</v>
      </c>
      <c r="U737" s="798" t="str">
        <f t="shared" si="591"/>
        <v>-</v>
      </c>
      <c r="V737" s="804" t="str">
        <f t="shared" ca="1" si="592"/>
        <v>-</v>
      </c>
      <c r="W737" s="808">
        <v>1</v>
      </c>
      <c r="X737" s="794" t="str">
        <f t="shared" si="585"/>
        <v>-</v>
      </c>
      <c r="Y737" s="794">
        <v>1</v>
      </c>
      <c r="Z737" s="809" t="str">
        <f t="shared" ca="1" si="593"/>
        <v>-----</v>
      </c>
      <c r="AA737" s="810" t="str">
        <f t="shared" ca="1" si="594"/>
        <v>-----</v>
      </c>
      <c r="AB737" s="804">
        <v>1</v>
      </c>
      <c r="AC737" s="811" t="str">
        <f t="shared" ca="1" si="595"/>
        <v>-----</v>
      </c>
      <c r="AD737" s="798">
        <v>43029</v>
      </c>
      <c r="AE737" s="794" t="str">
        <f t="shared" ca="1" si="596"/>
        <v>-</v>
      </c>
      <c r="AF737" s="798" t="str">
        <f t="shared" si="597"/>
        <v>-</v>
      </c>
      <c r="AG737" s="812" t="str">
        <f t="shared" si="598"/>
        <v>---------</v>
      </c>
      <c r="AH737" s="807">
        <v>43018</v>
      </c>
      <c r="AI737" s="807" t="str">
        <f t="shared" si="599"/>
        <v>-</v>
      </c>
      <c r="AJ737" s="807" t="str">
        <f t="shared" si="600"/>
        <v>-</v>
      </c>
      <c r="AK737" s="813"/>
      <c r="AL737" s="807">
        <f t="shared" si="601"/>
        <v>43138</v>
      </c>
      <c r="AM737" s="807">
        <f t="shared" si="602"/>
        <v>43159</v>
      </c>
      <c r="AN737" s="814">
        <f t="shared" ca="1" si="603"/>
        <v>-25</v>
      </c>
      <c r="AO737" s="815">
        <v>1</v>
      </c>
      <c r="AP737" s="816" t="str">
        <f t="shared" ca="1" si="604"/>
        <v>-</v>
      </c>
      <c r="AQ737" s="817"/>
      <c r="AR737" s="794" t="str">
        <f t="shared" si="605"/>
        <v>НЕТЕЛЬ</v>
      </c>
      <c r="AS737" s="818"/>
      <c r="AT737" s="794" t="str">
        <f t="shared" si="606"/>
        <v>-</v>
      </c>
      <c r="AU737" s="819"/>
      <c r="AV737" s="820">
        <v>43034</v>
      </c>
      <c r="AW737" s="821">
        <v>4</v>
      </c>
      <c r="AX737" s="821">
        <v>1</v>
      </c>
      <c r="AY737" s="969">
        <f t="shared" ca="1" si="607"/>
        <v>100</v>
      </c>
      <c r="AZ737" s="966" t="str">
        <f t="shared" ca="1" si="608"/>
        <v>-</v>
      </c>
      <c r="BA737" s="971">
        <f t="shared" si="609"/>
        <v>43044</v>
      </c>
      <c r="BB737" s="975">
        <v>43045</v>
      </c>
      <c r="BC737" s="821">
        <v>4</v>
      </c>
      <c r="BD737" s="821">
        <v>4</v>
      </c>
      <c r="BE737" s="963">
        <f t="shared" ca="1" si="610"/>
        <v>89</v>
      </c>
      <c r="BF737" s="984"/>
      <c r="BG737" s="988"/>
      <c r="BH737" s="982"/>
      <c r="BI737" s="991"/>
      <c r="BJ737" s="991"/>
      <c r="BK737" s="993" t="str">
        <f t="shared" si="611"/>
        <v>-</v>
      </c>
      <c r="BL737" s="865"/>
      <c r="BM737" s="821"/>
      <c r="BN737" s="822" t="str">
        <f t="shared" si="612"/>
        <v>-</v>
      </c>
      <c r="BO737" s="823" t="str">
        <f t="shared" si="613"/>
        <v>-</v>
      </c>
      <c r="BP737" s="868"/>
      <c r="BQ737" s="821"/>
      <c r="BR737" s="822" t="str">
        <f t="shared" si="614"/>
        <v>-</v>
      </c>
      <c r="BS737" s="823" t="str">
        <f t="shared" si="615"/>
        <v>-</v>
      </c>
      <c r="BT737" s="825" t="str">
        <f t="shared" ca="1" si="616"/>
        <v>-</v>
      </c>
      <c r="BU737" s="860">
        <v>43022</v>
      </c>
      <c r="BV737" s="827">
        <v>2</v>
      </c>
      <c r="BW737" s="828">
        <f t="shared" si="617"/>
        <v>651</v>
      </c>
      <c r="BX737" s="829">
        <f t="shared" ca="1" si="618"/>
        <v>112</v>
      </c>
      <c r="BY737" s="830" t="str">
        <f t="shared" ca="1" si="619"/>
        <v>-</v>
      </c>
      <c r="BZ737" s="831">
        <v>43029</v>
      </c>
      <c r="CA737" s="832">
        <v>5</v>
      </c>
      <c r="CB737" s="833">
        <f t="shared" ca="1" si="620"/>
        <v>105</v>
      </c>
      <c r="CC737" s="834" t="str">
        <f t="shared" ca="1" si="621"/>
        <v>-</v>
      </c>
      <c r="CD737" s="835">
        <f t="shared" si="622"/>
        <v>43050</v>
      </c>
      <c r="CE737" s="831">
        <v>43050</v>
      </c>
      <c r="CF737" s="832">
        <v>5</v>
      </c>
      <c r="CG737" s="833">
        <f t="shared" ca="1" si="623"/>
        <v>84</v>
      </c>
      <c r="CH737" s="836">
        <f t="shared" si="624"/>
        <v>0</v>
      </c>
      <c r="CI737" s="837" t="str">
        <f t="shared" si="625"/>
        <v>УСПЕШНО</v>
      </c>
      <c r="CJ737" s="838" t="str">
        <f t="shared" ca="1" si="626"/>
        <v>-</v>
      </c>
      <c r="CK737" s="831"/>
      <c r="CL737" s="832"/>
      <c r="CM737" s="833" t="str">
        <f t="shared" si="627"/>
        <v>-</v>
      </c>
      <c r="CN737" s="834" t="str">
        <f t="shared" si="628"/>
        <v>-</v>
      </c>
      <c r="CO737" s="830" t="str">
        <f t="shared" ca="1" si="629"/>
        <v>ТРЕБУЕТСЯ ВАКЦИНАЦИЯ</v>
      </c>
      <c r="CP737" s="839"/>
      <c r="CQ737" s="832"/>
      <c r="CR737" s="833" t="str">
        <f t="shared" si="630"/>
        <v>-</v>
      </c>
      <c r="CS737" s="833" t="str">
        <f t="shared" si="631"/>
        <v>-</v>
      </c>
      <c r="CT737" s="834" t="str">
        <f t="shared" si="632"/>
        <v>-</v>
      </c>
      <c r="CU737" s="835" t="str">
        <f t="shared" si="633"/>
        <v>-</v>
      </c>
      <c r="CV737" s="839"/>
      <c r="CW737" s="832"/>
      <c r="CX737" s="833" t="str">
        <f t="shared" si="634"/>
        <v>-</v>
      </c>
      <c r="CY737" s="840" t="str">
        <f t="shared" si="635"/>
        <v>-</v>
      </c>
      <c r="CZ737" s="833" t="str">
        <f t="shared" si="636"/>
        <v>-</v>
      </c>
      <c r="DA737" s="838" t="str">
        <f t="shared" ca="1" si="637"/>
        <v>-</v>
      </c>
      <c r="DB737" s="841"/>
      <c r="DC737" s="832"/>
    </row>
    <row r="738" spans="1:107" x14ac:dyDescent="0.25">
      <c r="A738" s="790">
        <v>740</v>
      </c>
      <c r="B738" s="791">
        <f t="shared" ca="1" si="586"/>
        <v>43134</v>
      </c>
      <c r="C738" s="847" t="s">
        <v>3271</v>
      </c>
      <c r="D738" s="59" t="s">
        <v>3324</v>
      </c>
      <c r="E738" s="22" t="s">
        <v>3450</v>
      </c>
      <c r="F738" s="795" t="s">
        <v>3284</v>
      </c>
      <c r="G738" s="796">
        <f>SUMIFS(МОЛОКО!L8:L6958,МОЛОКО!F8:F6958,"48291",МОЛОКО!L8:L6958,"&gt;0")</f>
        <v>0</v>
      </c>
      <c r="H738" s="797" t="s">
        <v>3236</v>
      </c>
      <c r="I738" s="798">
        <v>42377</v>
      </c>
      <c r="J738" s="799">
        <f t="shared" ca="1" si="587"/>
        <v>2.0739726027397261</v>
      </c>
      <c r="K738" s="799">
        <f t="shared" ca="1" si="588"/>
        <v>25.233333333333334</v>
      </c>
      <c r="L738" s="800">
        <f t="shared" ca="1" si="589"/>
        <v>757</v>
      </c>
      <c r="M738" s="801"/>
      <c r="N738" s="802"/>
      <c r="O738" s="803" t="str">
        <f t="shared" ca="1" si="590"/>
        <v>-</v>
      </c>
      <c r="P738" s="804"/>
      <c r="Q738" s="68" t="s">
        <v>3398</v>
      </c>
      <c r="R738" s="118" t="s">
        <v>3375</v>
      </c>
      <c r="S738" s="807">
        <v>42838</v>
      </c>
      <c r="T738" s="798">
        <v>42838</v>
      </c>
      <c r="U738" s="798" t="str">
        <f t="shared" si="591"/>
        <v>-</v>
      </c>
      <c r="V738" s="804" t="str">
        <f t="shared" ca="1" si="592"/>
        <v>-</v>
      </c>
      <c r="W738" s="808">
        <v>1</v>
      </c>
      <c r="X738" s="794" t="str">
        <f t="shared" si="585"/>
        <v>-</v>
      </c>
      <c r="Y738" s="794">
        <v>1</v>
      </c>
      <c r="Z738" s="809" t="str">
        <f t="shared" ca="1" si="593"/>
        <v>-----</v>
      </c>
      <c r="AA738" s="810" t="str">
        <f t="shared" ca="1" si="594"/>
        <v>-----</v>
      </c>
      <c r="AB738" s="804">
        <v>1</v>
      </c>
      <c r="AC738" s="811" t="str">
        <f t="shared" ca="1" si="595"/>
        <v>-----</v>
      </c>
      <c r="AD738" s="798">
        <v>43029</v>
      </c>
      <c r="AE738" s="794" t="str">
        <f t="shared" ca="1" si="596"/>
        <v>-</v>
      </c>
      <c r="AF738" s="798" t="str">
        <f t="shared" si="597"/>
        <v>-</v>
      </c>
      <c r="AG738" s="812" t="str">
        <f t="shared" si="598"/>
        <v>---------</v>
      </c>
      <c r="AH738" s="807">
        <v>43018</v>
      </c>
      <c r="AI738" s="807" t="str">
        <f t="shared" si="599"/>
        <v>-</v>
      </c>
      <c r="AJ738" s="807" t="str">
        <f t="shared" si="600"/>
        <v>-</v>
      </c>
      <c r="AK738" s="813"/>
      <c r="AL738" s="807">
        <f t="shared" si="601"/>
        <v>43097</v>
      </c>
      <c r="AM738" s="807">
        <f t="shared" si="602"/>
        <v>43118</v>
      </c>
      <c r="AN738" s="814">
        <f t="shared" ca="1" si="603"/>
        <v>16</v>
      </c>
      <c r="AO738" s="815">
        <v>1</v>
      </c>
      <c r="AP738" s="816" t="str">
        <f t="shared" ca="1" si="604"/>
        <v>-</v>
      </c>
      <c r="AQ738" s="817"/>
      <c r="AR738" s="794" t="str">
        <f t="shared" si="605"/>
        <v>НЕТЕЛЬ</v>
      </c>
      <c r="AS738" s="818"/>
      <c r="AT738" s="794" t="str">
        <f t="shared" si="606"/>
        <v>-</v>
      </c>
      <c r="AU738" s="819"/>
      <c r="AV738" s="820">
        <v>43034</v>
      </c>
      <c r="AW738" s="821">
        <v>4</v>
      </c>
      <c r="AX738" s="821">
        <v>1</v>
      </c>
      <c r="AY738" s="969">
        <f t="shared" ca="1" si="607"/>
        <v>100</v>
      </c>
      <c r="AZ738" s="966" t="str">
        <f t="shared" ca="1" si="608"/>
        <v>-</v>
      </c>
      <c r="BA738" s="971">
        <f t="shared" si="609"/>
        <v>43044</v>
      </c>
      <c r="BB738" s="975">
        <v>43045</v>
      </c>
      <c r="BC738" s="821">
        <v>4</v>
      </c>
      <c r="BD738" s="821">
        <v>4</v>
      </c>
      <c r="BE738" s="963">
        <f t="shared" ca="1" si="610"/>
        <v>89</v>
      </c>
      <c r="BF738" s="984"/>
      <c r="BG738" s="988"/>
      <c r="BH738" s="982"/>
      <c r="BI738" s="991"/>
      <c r="BJ738" s="991"/>
      <c r="BK738" s="993" t="str">
        <f t="shared" si="611"/>
        <v>-</v>
      </c>
      <c r="BL738" s="865"/>
      <c r="BM738" s="821"/>
      <c r="BN738" s="822" t="str">
        <f t="shared" si="612"/>
        <v>-</v>
      </c>
      <c r="BO738" s="823" t="str">
        <f t="shared" si="613"/>
        <v>-</v>
      </c>
      <c r="BP738" s="868"/>
      <c r="BQ738" s="821"/>
      <c r="BR738" s="822" t="str">
        <f t="shared" si="614"/>
        <v>-</v>
      </c>
      <c r="BS738" s="823" t="str">
        <f t="shared" si="615"/>
        <v>-</v>
      </c>
      <c r="BT738" s="825" t="str">
        <f t="shared" ca="1" si="616"/>
        <v>-</v>
      </c>
      <c r="BU738" s="860">
        <v>43022</v>
      </c>
      <c r="BV738" s="827">
        <v>2</v>
      </c>
      <c r="BW738" s="828">
        <f t="shared" si="617"/>
        <v>645</v>
      </c>
      <c r="BX738" s="829">
        <f t="shared" ca="1" si="618"/>
        <v>112</v>
      </c>
      <c r="BY738" s="830" t="str">
        <f t="shared" ca="1" si="619"/>
        <v>-</v>
      </c>
      <c r="BZ738" s="831">
        <v>43029</v>
      </c>
      <c r="CA738" s="832">
        <v>5</v>
      </c>
      <c r="CB738" s="833">
        <f t="shared" ca="1" si="620"/>
        <v>105</v>
      </c>
      <c r="CC738" s="834" t="str">
        <f t="shared" ca="1" si="621"/>
        <v>-</v>
      </c>
      <c r="CD738" s="835">
        <f t="shared" si="622"/>
        <v>43050</v>
      </c>
      <c r="CE738" s="831">
        <v>43050</v>
      </c>
      <c r="CF738" s="832">
        <v>5</v>
      </c>
      <c r="CG738" s="833">
        <f t="shared" ca="1" si="623"/>
        <v>84</v>
      </c>
      <c r="CH738" s="836">
        <f t="shared" si="624"/>
        <v>0</v>
      </c>
      <c r="CI738" s="837" t="str">
        <f t="shared" si="625"/>
        <v>УСПЕШНО</v>
      </c>
      <c r="CJ738" s="838" t="str">
        <f t="shared" ca="1" si="626"/>
        <v>-</v>
      </c>
      <c r="CK738" s="831"/>
      <c r="CL738" s="832"/>
      <c r="CM738" s="833" t="str">
        <f t="shared" si="627"/>
        <v>-</v>
      </c>
      <c r="CN738" s="834" t="str">
        <f t="shared" si="628"/>
        <v>-</v>
      </c>
      <c r="CO738" s="830" t="str">
        <f t="shared" ca="1" si="629"/>
        <v>ТРЕБУЕТСЯ ВАКЦИНАЦИЯ</v>
      </c>
      <c r="CP738" s="839"/>
      <c r="CQ738" s="832"/>
      <c r="CR738" s="833" t="str">
        <f t="shared" si="630"/>
        <v>-</v>
      </c>
      <c r="CS738" s="833" t="str">
        <f t="shared" si="631"/>
        <v>-</v>
      </c>
      <c r="CT738" s="834" t="str">
        <f t="shared" si="632"/>
        <v>-</v>
      </c>
      <c r="CU738" s="835" t="str">
        <f t="shared" si="633"/>
        <v>-</v>
      </c>
      <c r="CV738" s="839"/>
      <c r="CW738" s="832"/>
      <c r="CX738" s="833" t="str">
        <f t="shared" si="634"/>
        <v>-</v>
      </c>
      <c r="CY738" s="840" t="str">
        <f t="shared" si="635"/>
        <v>-</v>
      </c>
      <c r="CZ738" s="833" t="str">
        <f t="shared" si="636"/>
        <v>-</v>
      </c>
      <c r="DA738" s="838" t="str">
        <f t="shared" ca="1" si="637"/>
        <v>-</v>
      </c>
      <c r="DB738" s="841"/>
      <c r="DC738" s="832"/>
    </row>
    <row r="739" spans="1:107" x14ac:dyDescent="0.25">
      <c r="A739" s="790">
        <v>741</v>
      </c>
      <c r="B739" s="791">
        <f t="shared" ca="1" si="586"/>
        <v>43134</v>
      </c>
      <c r="C739" s="847" t="s">
        <v>3271</v>
      </c>
      <c r="D739" s="59" t="s">
        <v>3324</v>
      </c>
      <c r="E739" s="22" t="s">
        <v>3427</v>
      </c>
      <c r="F739" s="958" t="s">
        <v>3285</v>
      </c>
      <c r="G739" s="796">
        <f>SUMIFS(МОЛОКО!L8:L6958,МОЛОКО!F8:F6958,"48313",МОЛОКО!L8:L6958,"&gt;0")</f>
        <v>0</v>
      </c>
      <c r="H739" s="797" t="s">
        <v>3236</v>
      </c>
      <c r="I739" s="798">
        <v>42399</v>
      </c>
      <c r="J739" s="799">
        <f t="shared" ca="1" si="587"/>
        <v>2.0136986301369864</v>
      </c>
      <c r="K739" s="799">
        <f t="shared" ca="1" si="588"/>
        <v>24.5</v>
      </c>
      <c r="L739" s="800">
        <f t="shared" ca="1" si="589"/>
        <v>735</v>
      </c>
      <c r="M739" s="801"/>
      <c r="N739" s="802"/>
      <c r="O739" s="803" t="str">
        <f t="shared" ca="1" si="590"/>
        <v>-</v>
      </c>
      <c r="P739" s="804"/>
      <c r="Q739" s="68" t="s">
        <v>3398</v>
      </c>
      <c r="R739" s="118" t="s">
        <v>3367</v>
      </c>
      <c r="S739" s="807">
        <v>42861</v>
      </c>
      <c r="T739" s="798">
        <v>42861</v>
      </c>
      <c r="U739" s="798" t="str">
        <f t="shared" si="591"/>
        <v>-</v>
      </c>
      <c r="V739" s="804" t="str">
        <f t="shared" ca="1" si="592"/>
        <v>-</v>
      </c>
      <c r="W739" s="808">
        <v>1</v>
      </c>
      <c r="X739" s="794" t="str">
        <f t="shared" si="585"/>
        <v>-</v>
      </c>
      <c r="Y739" s="794">
        <v>1</v>
      </c>
      <c r="Z739" s="809" t="str">
        <f t="shared" ca="1" si="593"/>
        <v>-----</v>
      </c>
      <c r="AA739" s="810" t="str">
        <f t="shared" ca="1" si="594"/>
        <v>-----</v>
      </c>
      <c r="AB739" s="804">
        <v>1</v>
      </c>
      <c r="AC739" s="811" t="str">
        <f t="shared" ca="1" si="595"/>
        <v>-----</v>
      </c>
      <c r="AD739" s="798">
        <v>43029</v>
      </c>
      <c r="AE739" s="794" t="str">
        <f t="shared" ca="1" si="596"/>
        <v>-</v>
      </c>
      <c r="AF739" s="798" t="str">
        <f t="shared" si="597"/>
        <v>-</v>
      </c>
      <c r="AG739" s="812" t="str">
        <f t="shared" si="598"/>
        <v>---------</v>
      </c>
      <c r="AH739" s="807">
        <v>43018</v>
      </c>
      <c r="AI739" s="807" t="str">
        <f t="shared" si="599"/>
        <v>-</v>
      </c>
      <c r="AJ739" s="807" t="str">
        <f t="shared" si="600"/>
        <v>-</v>
      </c>
      <c r="AK739" s="813"/>
      <c r="AL739" s="807">
        <f t="shared" si="601"/>
        <v>43120</v>
      </c>
      <c r="AM739" s="807">
        <f t="shared" si="602"/>
        <v>43141</v>
      </c>
      <c r="AN739" s="814">
        <f t="shared" ca="1" si="603"/>
        <v>-7</v>
      </c>
      <c r="AO739" s="815">
        <v>1</v>
      </c>
      <c r="AP739" s="816" t="str">
        <f t="shared" ca="1" si="604"/>
        <v>-</v>
      </c>
      <c r="AQ739" s="817"/>
      <c r="AR739" s="794" t="str">
        <f t="shared" si="605"/>
        <v>НЕТЕЛЬ</v>
      </c>
      <c r="AS739" s="818"/>
      <c r="AT739" s="794" t="str">
        <f t="shared" si="606"/>
        <v>-</v>
      </c>
      <c r="AU739" s="819"/>
      <c r="AV739" s="820">
        <v>43034</v>
      </c>
      <c r="AW739" s="821">
        <v>4</v>
      </c>
      <c r="AX739" s="821">
        <v>1</v>
      </c>
      <c r="AY739" s="969">
        <f t="shared" ca="1" si="607"/>
        <v>100</v>
      </c>
      <c r="AZ739" s="966" t="str">
        <f t="shared" ca="1" si="608"/>
        <v>-</v>
      </c>
      <c r="BA739" s="971">
        <f t="shared" si="609"/>
        <v>43044</v>
      </c>
      <c r="BB739" s="975">
        <v>43045</v>
      </c>
      <c r="BC739" s="821">
        <v>4</v>
      </c>
      <c r="BD739" s="821">
        <v>4</v>
      </c>
      <c r="BE739" s="963">
        <f t="shared" ca="1" si="610"/>
        <v>89</v>
      </c>
      <c r="BF739" s="984"/>
      <c r="BG739" s="988"/>
      <c r="BH739" s="982"/>
      <c r="BI739" s="991"/>
      <c r="BJ739" s="991"/>
      <c r="BK739" s="993" t="str">
        <f t="shared" si="611"/>
        <v>-</v>
      </c>
      <c r="BL739" s="865"/>
      <c r="BM739" s="821"/>
      <c r="BN739" s="822" t="str">
        <f t="shared" si="612"/>
        <v>-</v>
      </c>
      <c r="BO739" s="823" t="str">
        <f t="shared" si="613"/>
        <v>-</v>
      </c>
      <c r="BP739" s="868"/>
      <c r="BQ739" s="821"/>
      <c r="BR739" s="822" t="str">
        <f t="shared" si="614"/>
        <v>-</v>
      </c>
      <c r="BS739" s="823" t="str">
        <f t="shared" si="615"/>
        <v>-</v>
      </c>
      <c r="BT739" s="825" t="str">
        <f t="shared" ca="1" si="616"/>
        <v>-</v>
      </c>
      <c r="BU739" s="860">
        <v>43022</v>
      </c>
      <c r="BV739" s="827">
        <v>2</v>
      </c>
      <c r="BW739" s="828">
        <f t="shared" si="617"/>
        <v>623</v>
      </c>
      <c r="BX739" s="829">
        <f t="shared" ca="1" si="618"/>
        <v>112</v>
      </c>
      <c r="BY739" s="830" t="str">
        <f t="shared" ca="1" si="619"/>
        <v>-</v>
      </c>
      <c r="BZ739" s="831">
        <v>43029</v>
      </c>
      <c r="CA739" s="832">
        <v>5</v>
      </c>
      <c r="CB739" s="833">
        <f t="shared" ca="1" si="620"/>
        <v>105</v>
      </c>
      <c r="CC739" s="834" t="str">
        <f t="shared" ca="1" si="621"/>
        <v>-</v>
      </c>
      <c r="CD739" s="835">
        <f t="shared" si="622"/>
        <v>43050</v>
      </c>
      <c r="CE739" s="831">
        <v>43050</v>
      </c>
      <c r="CF739" s="832">
        <v>5</v>
      </c>
      <c r="CG739" s="833">
        <f t="shared" ca="1" si="623"/>
        <v>84</v>
      </c>
      <c r="CH739" s="836">
        <f t="shared" si="624"/>
        <v>0</v>
      </c>
      <c r="CI739" s="837" t="str">
        <f t="shared" si="625"/>
        <v>УСПЕШНО</v>
      </c>
      <c r="CJ739" s="838" t="str">
        <f t="shared" ca="1" si="626"/>
        <v>-</v>
      </c>
      <c r="CK739" s="831"/>
      <c r="CL739" s="832"/>
      <c r="CM739" s="833" t="str">
        <f t="shared" si="627"/>
        <v>-</v>
      </c>
      <c r="CN739" s="834" t="str">
        <f t="shared" si="628"/>
        <v>-</v>
      </c>
      <c r="CO739" s="830" t="str">
        <f t="shared" ca="1" si="629"/>
        <v>ТРЕБУЕТСЯ ВАКЦИНАЦИЯ</v>
      </c>
      <c r="CP739" s="839"/>
      <c r="CQ739" s="832"/>
      <c r="CR739" s="833" t="str">
        <f t="shared" si="630"/>
        <v>-</v>
      </c>
      <c r="CS739" s="833" t="str">
        <f t="shared" si="631"/>
        <v>-</v>
      </c>
      <c r="CT739" s="834" t="str">
        <f t="shared" si="632"/>
        <v>-</v>
      </c>
      <c r="CU739" s="835" t="str">
        <f t="shared" si="633"/>
        <v>-</v>
      </c>
      <c r="CV739" s="839"/>
      <c r="CW739" s="832"/>
      <c r="CX739" s="833" t="str">
        <f t="shared" si="634"/>
        <v>-</v>
      </c>
      <c r="CY739" s="840" t="str">
        <f t="shared" si="635"/>
        <v>-</v>
      </c>
      <c r="CZ739" s="833" t="str">
        <f t="shared" si="636"/>
        <v>-</v>
      </c>
      <c r="DA739" s="838" t="str">
        <f t="shared" ca="1" si="637"/>
        <v>-</v>
      </c>
      <c r="DB739" s="841"/>
      <c r="DC739" s="832"/>
    </row>
    <row r="740" spans="1:107" x14ac:dyDescent="0.25">
      <c r="A740" s="790">
        <v>742</v>
      </c>
      <c r="B740" s="791">
        <f t="shared" ca="1" si="586"/>
        <v>43134</v>
      </c>
      <c r="C740" s="847" t="s">
        <v>3271</v>
      </c>
      <c r="D740" s="59" t="s">
        <v>3324</v>
      </c>
      <c r="E740" s="22" t="s">
        <v>3465</v>
      </c>
      <c r="F740" s="795" t="s">
        <v>3248</v>
      </c>
      <c r="G740" s="796">
        <f>SUMIFS(МОЛОКО!L8:L6958,МОЛОКО!F8:F6958,"48336",МОЛОКО!L8:L6958,"&gt;0")</f>
        <v>0</v>
      </c>
      <c r="H740" s="797" t="s">
        <v>3236</v>
      </c>
      <c r="I740" s="798">
        <v>42438</v>
      </c>
      <c r="J740" s="799">
        <f t="shared" ca="1" si="587"/>
        <v>1.9068493150684931</v>
      </c>
      <c r="K740" s="799">
        <f t="shared" ca="1" si="588"/>
        <v>23.2</v>
      </c>
      <c r="L740" s="800">
        <f t="shared" ca="1" si="589"/>
        <v>696</v>
      </c>
      <c r="M740" s="801"/>
      <c r="N740" s="802"/>
      <c r="O740" s="803" t="str">
        <f t="shared" ca="1" si="590"/>
        <v>-</v>
      </c>
      <c r="P740" s="804"/>
      <c r="Q740" s="68" t="s">
        <v>3398</v>
      </c>
      <c r="R740" s="118" t="s">
        <v>3364</v>
      </c>
      <c r="S740" s="798">
        <v>42887</v>
      </c>
      <c r="T740" s="798">
        <v>42887</v>
      </c>
      <c r="U740" s="798" t="str">
        <f t="shared" si="591"/>
        <v>-</v>
      </c>
      <c r="V740" s="804" t="str">
        <f t="shared" ca="1" si="592"/>
        <v>-</v>
      </c>
      <c r="W740" s="808">
        <v>1</v>
      </c>
      <c r="X740" s="794" t="str">
        <f t="shared" si="585"/>
        <v>-</v>
      </c>
      <c r="Y740" s="794">
        <v>1</v>
      </c>
      <c r="Z740" s="809" t="str">
        <f t="shared" ca="1" si="593"/>
        <v>-----</v>
      </c>
      <c r="AA740" s="810" t="str">
        <f t="shared" ca="1" si="594"/>
        <v>-----</v>
      </c>
      <c r="AB740" s="804">
        <v>1</v>
      </c>
      <c r="AC740" s="811" t="str">
        <f t="shared" ca="1" si="595"/>
        <v>-----</v>
      </c>
      <c r="AD740" s="798">
        <v>43029</v>
      </c>
      <c r="AE740" s="794" t="str">
        <f t="shared" ca="1" si="596"/>
        <v>-</v>
      </c>
      <c r="AF740" s="798" t="str">
        <f t="shared" si="597"/>
        <v>-</v>
      </c>
      <c r="AG740" s="812" t="str">
        <f t="shared" si="598"/>
        <v>---------</v>
      </c>
      <c r="AH740" s="807">
        <v>43018</v>
      </c>
      <c r="AI740" s="807" t="str">
        <f t="shared" si="599"/>
        <v>-</v>
      </c>
      <c r="AJ740" s="807" t="str">
        <f t="shared" si="600"/>
        <v>-</v>
      </c>
      <c r="AK740" s="813"/>
      <c r="AL740" s="807">
        <f t="shared" si="601"/>
        <v>43146</v>
      </c>
      <c r="AM740" s="807">
        <f t="shared" si="602"/>
        <v>43167</v>
      </c>
      <c r="AN740" s="814">
        <f t="shared" ca="1" si="603"/>
        <v>-33</v>
      </c>
      <c r="AO740" s="815">
        <v>1</v>
      </c>
      <c r="AP740" s="816" t="str">
        <f t="shared" ca="1" si="604"/>
        <v>-</v>
      </c>
      <c r="AQ740" s="817"/>
      <c r="AR740" s="794" t="str">
        <f t="shared" si="605"/>
        <v>НЕТЕЛЬ</v>
      </c>
      <c r="AS740" s="818"/>
      <c r="AT740" s="794" t="str">
        <f t="shared" si="606"/>
        <v>-</v>
      </c>
      <c r="AU740" s="819"/>
      <c r="AV740" s="820">
        <v>43034</v>
      </c>
      <c r="AW740" s="821">
        <v>4</v>
      </c>
      <c r="AX740" s="821">
        <v>1</v>
      </c>
      <c r="AY740" s="969">
        <f t="shared" ca="1" si="607"/>
        <v>100</v>
      </c>
      <c r="AZ740" s="966" t="str">
        <f t="shared" ca="1" si="608"/>
        <v>-</v>
      </c>
      <c r="BA740" s="971">
        <f t="shared" si="609"/>
        <v>43044</v>
      </c>
      <c r="BB740" s="975">
        <v>43045</v>
      </c>
      <c r="BC740" s="821">
        <v>4</v>
      </c>
      <c r="BD740" s="821">
        <v>4</v>
      </c>
      <c r="BE740" s="963">
        <f t="shared" ca="1" si="610"/>
        <v>89</v>
      </c>
      <c r="BF740" s="984"/>
      <c r="BG740" s="988"/>
      <c r="BH740" s="982"/>
      <c r="BI740" s="991"/>
      <c r="BJ740" s="991"/>
      <c r="BK740" s="993" t="str">
        <f t="shared" si="611"/>
        <v>-</v>
      </c>
      <c r="BL740" s="865"/>
      <c r="BM740" s="821"/>
      <c r="BN740" s="822" t="str">
        <f t="shared" si="612"/>
        <v>-</v>
      </c>
      <c r="BO740" s="823" t="str">
        <f t="shared" si="613"/>
        <v>-</v>
      </c>
      <c r="BP740" s="868"/>
      <c r="BQ740" s="821"/>
      <c r="BR740" s="822" t="str">
        <f t="shared" si="614"/>
        <v>-</v>
      </c>
      <c r="BS740" s="823" t="str">
        <f t="shared" si="615"/>
        <v>-</v>
      </c>
      <c r="BT740" s="825" t="str">
        <f t="shared" ca="1" si="616"/>
        <v>-</v>
      </c>
      <c r="BU740" s="860">
        <v>43022</v>
      </c>
      <c r="BV740" s="827">
        <v>2</v>
      </c>
      <c r="BW740" s="828">
        <f t="shared" si="617"/>
        <v>584</v>
      </c>
      <c r="BX740" s="829">
        <f t="shared" ca="1" si="618"/>
        <v>112</v>
      </c>
      <c r="BY740" s="830" t="str">
        <f t="shared" ca="1" si="619"/>
        <v>-</v>
      </c>
      <c r="BZ740" s="831">
        <v>43029</v>
      </c>
      <c r="CA740" s="832">
        <v>5</v>
      </c>
      <c r="CB740" s="833">
        <f t="shared" ca="1" si="620"/>
        <v>105</v>
      </c>
      <c r="CC740" s="834" t="str">
        <f t="shared" ca="1" si="621"/>
        <v>-</v>
      </c>
      <c r="CD740" s="835">
        <f t="shared" si="622"/>
        <v>43050</v>
      </c>
      <c r="CE740" s="831">
        <v>43050</v>
      </c>
      <c r="CF740" s="832">
        <v>5</v>
      </c>
      <c r="CG740" s="833">
        <f t="shared" ca="1" si="623"/>
        <v>84</v>
      </c>
      <c r="CH740" s="836">
        <f t="shared" si="624"/>
        <v>0</v>
      </c>
      <c r="CI740" s="837" t="str">
        <f t="shared" si="625"/>
        <v>УСПЕШНО</v>
      </c>
      <c r="CJ740" s="838" t="str">
        <f t="shared" ca="1" si="626"/>
        <v>-</v>
      </c>
      <c r="CK740" s="831"/>
      <c r="CL740" s="832"/>
      <c r="CM740" s="833" t="str">
        <f t="shared" si="627"/>
        <v>-</v>
      </c>
      <c r="CN740" s="834" t="str">
        <f t="shared" si="628"/>
        <v>-</v>
      </c>
      <c r="CO740" s="830" t="str">
        <f t="shared" ca="1" si="629"/>
        <v>ТРЕБУЕТСЯ ВАКЦИНАЦИЯ</v>
      </c>
      <c r="CP740" s="839"/>
      <c r="CQ740" s="832"/>
      <c r="CR740" s="833" t="str">
        <f t="shared" si="630"/>
        <v>-</v>
      </c>
      <c r="CS740" s="833" t="str">
        <f t="shared" si="631"/>
        <v>-</v>
      </c>
      <c r="CT740" s="834" t="str">
        <f t="shared" si="632"/>
        <v>-</v>
      </c>
      <c r="CU740" s="835" t="str">
        <f t="shared" si="633"/>
        <v>-</v>
      </c>
      <c r="CV740" s="839"/>
      <c r="CW740" s="832"/>
      <c r="CX740" s="833" t="str">
        <f t="shared" si="634"/>
        <v>-</v>
      </c>
      <c r="CY740" s="840" t="str">
        <f t="shared" si="635"/>
        <v>-</v>
      </c>
      <c r="CZ740" s="833" t="str">
        <f t="shared" si="636"/>
        <v>-</v>
      </c>
      <c r="DA740" s="838" t="str">
        <f t="shared" ca="1" si="637"/>
        <v>-</v>
      </c>
      <c r="DB740" s="841"/>
      <c r="DC740" s="832"/>
    </row>
    <row r="741" spans="1:107" x14ac:dyDescent="0.25">
      <c r="A741" s="790">
        <v>743</v>
      </c>
      <c r="B741" s="791">
        <f t="shared" ca="1" si="586"/>
        <v>43134</v>
      </c>
      <c r="C741" s="847" t="s">
        <v>3271</v>
      </c>
      <c r="D741" s="59" t="s">
        <v>3324</v>
      </c>
      <c r="E741" s="22" t="s">
        <v>3474</v>
      </c>
      <c r="F741" s="795" t="s">
        <v>3238</v>
      </c>
      <c r="G741" s="796">
        <f>SUMIFS(МОЛОКО!L8:L6958,МОЛОКО!F8:F6958,"50364",МОЛОКО!L8:L6958,"&gt;0")</f>
        <v>0</v>
      </c>
      <c r="H741" s="797" t="s">
        <v>3236</v>
      </c>
      <c r="I741" s="798">
        <v>42302</v>
      </c>
      <c r="J741" s="799">
        <f t="shared" ca="1" si="587"/>
        <v>2.2794520547945205</v>
      </c>
      <c r="K741" s="799">
        <f t="shared" ca="1" si="588"/>
        <v>27.733333333333334</v>
      </c>
      <c r="L741" s="800">
        <f t="shared" ca="1" si="589"/>
        <v>832</v>
      </c>
      <c r="M741" s="801"/>
      <c r="N741" s="802"/>
      <c r="O741" s="803" t="str">
        <f t="shared" ca="1" si="590"/>
        <v>-</v>
      </c>
      <c r="P741" s="804"/>
      <c r="Q741" s="68" t="s">
        <v>3398</v>
      </c>
      <c r="R741" s="118" t="s">
        <v>3377</v>
      </c>
      <c r="S741" s="798">
        <v>42861</v>
      </c>
      <c r="T741" s="798">
        <v>42861</v>
      </c>
      <c r="U741" s="798" t="str">
        <f t="shared" si="591"/>
        <v>-</v>
      </c>
      <c r="V741" s="804" t="str">
        <f t="shared" ca="1" si="592"/>
        <v>-</v>
      </c>
      <c r="W741" s="808">
        <v>1</v>
      </c>
      <c r="X741" s="794" t="str">
        <f t="shared" si="585"/>
        <v>-</v>
      </c>
      <c r="Y741" s="794">
        <v>1</v>
      </c>
      <c r="Z741" s="809" t="str">
        <f t="shared" ca="1" si="593"/>
        <v>-----</v>
      </c>
      <c r="AA741" s="810" t="str">
        <f t="shared" ca="1" si="594"/>
        <v>-----</v>
      </c>
      <c r="AB741" s="804">
        <v>1</v>
      </c>
      <c r="AC741" s="811" t="str">
        <f t="shared" ca="1" si="595"/>
        <v>-----</v>
      </c>
      <c r="AD741" s="798">
        <v>43029</v>
      </c>
      <c r="AE741" s="794" t="str">
        <f t="shared" ca="1" si="596"/>
        <v>-</v>
      </c>
      <c r="AF741" s="798" t="str">
        <f t="shared" si="597"/>
        <v>-</v>
      </c>
      <c r="AG741" s="812" t="str">
        <f t="shared" si="598"/>
        <v>---------</v>
      </c>
      <c r="AH741" s="807">
        <v>43018</v>
      </c>
      <c r="AI741" s="807" t="str">
        <f t="shared" si="599"/>
        <v>-</v>
      </c>
      <c r="AJ741" s="807" t="str">
        <f t="shared" si="600"/>
        <v>-</v>
      </c>
      <c r="AK741" s="813"/>
      <c r="AL741" s="807">
        <f t="shared" si="601"/>
        <v>43120</v>
      </c>
      <c r="AM741" s="807">
        <f t="shared" si="602"/>
        <v>43141</v>
      </c>
      <c r="AN741" s="814">
        <f t="shared" ca="1" si="603"/>
        <v>-7</v>
      </c>
      <c r="AO741" s="815">
        <v>1</v>
      </c>
      <c r="AP741" s="816" t="str">
        <f t="shared" ca="1" si="604"/>
        <v>-</v>
      </c>
      <c r="AQ741" s="817"/>
      <c r="AR741" s="794" t="str">
        <f t="shared" si="605"/>
        <v>НЕТЕЛЬ</v>
      </c>
      <c r="AS741" s="818"/>
      <c r="AT741" s="794" t="str">
        <f t="shared" si="606"/>
        <v>-</v>
      </c>
      <c r="AU741" s="819"/>
      <c r="AV741" s="820">
        <v>43034</v>
      </c>
      <c r="AW741" s="821">
        <v>4</v>
      </c>
      <c r="AX741" s="821">
        <v>1</v>
      </c>
      <c r="AY741" s="969">
        <f t="shared" ca="1" si="607"/>
        <v>100</v>
      </c>
      <c r="AZ741" s="966" t="str">
        <f t="shared" ca="1" si="608"/>
        <v>-</v>
      </c>
      <c r="BA741" s="971">
        <f t="shared" si="609"/>
        <v>43044</v>
      </c>
      <c r="BB741" s="975">
        <v>43045</v>
      </c>
      <c r="BC741" s="821">
        <v>4</v>
      </c>
      <c r="BD741" s="821">
        <v>4</v>
      </c>
      <c r="BE741" s="963">
        <f t="shared" ca="1" si="610"/>
        <v>89</v>
      </c>
      <c r="BF741" s="984"/>
      <c r="BG741" s="988"/>
      <c r="BH741" s="982"/>
      <c r="BI741" s="991"/>
      <c r="BJ741" s="991"/>
      <c r="BK741" s="993" t="str">
        <f t="shared" si="611"/>
        <v>-</v>
      </c>
      <c r="BL741" s="865"/>
      <c r="BM741" s="821"/>
      <c r="BN741" s="822" t="str">
        <f t="shared" si="612"/>
        <v>-</v>
      </c>
      <c r="BO741" s="823" t="str">
        <f t="shared" si="613"/>
        <v>-</v>
      </c>
      <c r="BP741" s="868"/>
      <c r="BQ741" s="821"/>
      <c r="BR741" s="822" t="str">
        <f t="shared" si="614"/>
        <v>-</v>
      </c>
      <c r="BS741" s="823" t="str">
        <f t="shared" si="615"/>
        <v>-</v>
      </c>
      <c r="BT741" s="825" t="str">
        <f t="shared" ca="1" si="616"/>
        <v>-</v>
      </c>
      <c r="BU741" s="860">
        <v>43022</v>
      </c>
      <c r="BV741" s="827">
        <v>2</v>
      </c>
      <c r="BW741" s="828">
        <f t="shared" si="617"/>
        <v>720</v>
      </c>
      <c r="BX741" s="829">
        <f t="shared" ca="1" si="618"/>
        <v>112</v>
      </c>
      <c r="BY741" s="830" t="str">
        <f t="shared" ca="1" si="619"/>
        <v>-</v>
      </c>
      <c r="BZ741" s="831">
        <v>43029</v>
      </c>
      <c r="CA741" s="832">
        <v>5</v>
      </c>
      <c r="CB741" s="833">
        <f t="shared" ca="1" si="620"/>
        <v>105</v>
      </c>
      <c r="CC741" s="834" t="str">
        <f t="shared" ca="1" si="621"/>
        <v>-</v>
      </c>
      <c r="CD741" s="835">
        <f t="shared" si="622"/>
        <v>43050</v>
      </c>
      <c r="CE741" s="831">
        <v>43050</v>
      </c>
      <c r="CF741" s="832">
        <v>5</v>
      </c>
      <c r="CG741" s="833">
        <f t="shared" ca="1" si="623"/>
        <v>84</v>
      </c>
      <c r="CH741" s="836">
        <f t="shared" si="624"/>
        <v>0</v>
      </c>
      <c r="CI741" s="837" t="str">
        <f t="shared" si="625"/>
        <v>УСПЕШНО</v>
      </c>
      <c r="CJ741" s="838" t="str">
        <f t="shared" ca="1" si="626"/>
        <v>-</v>
      </c>
      <c r="CK741" s="831"/>
      <c r="CL741" s="832"/>
      <c r="CM741" s="833" t="str">
        <f t="shared" si="627"/>
        <v>-</v>
      </c>
      <c r="CN741" s="834" t="str">
        <f t="shared" si="628"/>
        <v>-</v>
      </c>
      <c r="CO741" s="830" t="str">
        <f t="shared" ca="1" si="629"/>
        <v>ТРЕБУЕТСЯ ВАКЦИНАЦИЯ</v>
      </c>
      <c r="CP741" s="839"/>
      <c r="CQ741" s="832"/>
      <c r="CR741" s="833" t="str">
        <f t="shared" si="630"/>
        <v>-</v>
      </c>
      <c r="CS741" s="833" t="str">
        <f t="shared" si="631"/>
        <v>-</v>
      </c>
      <c r="CT741" s="834" t="str">
        <f t="shared" si="632"/>
        <v>-</v>
      </c>
      <c r="CU741" s="835" t="str">
        <f t="shared" si="633"/>
        <v>-</v>
      </c>
      <c r="CV741" s="839"/>
      <c r="CW741" s="832"/>
      <c r="CX741" s="833" t="str">
        <f t="shared" si="634"/>
        <v>-</v>
      </c>
      <c r="CY741" s="840" t="str">
        <f t="shared" si="635"/>
        <v>-</v>
      </c>
      <c r="CZ741" s="833" t="str">
        <f t="shared" si="636"/>
        <v>-</v>
      </c>
      <c r="DA741" s="838" t="str">
        <f t="shared" ca="1" si="637"/>
        <v>-</v>
      </c>
      <c r="DB741" s="841"/>
      <c r="DC741" s="832"/>
    </row>
    <row r="742" spans="1:107" x14ac:dyDescent="0.25">
      <c r="A742" s="790">
        <v>744</v>
      </c>
      <c r="B742" s="791">
        <f t="shared" ca="1" si="586"/>
        <v>43134</v>
      </c>
      <c r="C742" s="847" t="s">
        <v>3271</v>
      </c>
      <c r="D742" s="59" t="s">
        <v>3324</v>
      </c>
      <c r="E742" s="22" t="s">
        <v>3484</v>
      </c>
      <c r="F742" s="795" t="s">
        <v>3239</v>
      </c>
      <c r="G742" s="796">
        <f>SUMIFS(МОЛОКО!L8:L6958,МОЛОКО!F8:F6958,"50368",МОЛОКО!L8:L6958,"&gt;0")</f>
        <v>0</v>
      </c>
      <c r="H742" s="797" t="s">
        <v>3236</v>
      </c>
      <c r="I742" s="798">
        <v>42312</v>
      </c>
      <c r="J742" s="799">
        <f t="shared" ca="1" si="587"/>
        <v>2.2520547945205478</v>
      </c>
      <c r="K742" s="799">
        <f t="shared" ca="1" si="588"/>
        <v>27.4</v>
      </c>
      <c r="L742" s="800">
        <f t="shared" ca="1" si="589"/>
        <v>822</v>
      </c>
      <c r="M742" s="801"/>
      <c r="N742" s="802"/>
      <c r="O742" s="803" t="str">
        <f t="shared" ca="1" si="590"/>
        <v>-</v>
      </c>
      <c r="P742" s="804"/>
      <c r="Q742" s="68" t="s">
        <v>3398</v>
      </c>
      <c r="R742" s="118" t="s">
        <v>3364</v>
      </c>
      <c r="S742" s="798">
        <v>42881</v>
      </c>
      <c r="T742" s="798">
        <v>42881</v>
      </c>
      <c r="U742" s="798" t="str">
        <f t="shared" si="591"/>
        <v>-</v>
      </c>
      <c r="V742" s="804" t="str">
        <f t="shared" ca="1" si="592"/>
        <v>-</v>
      </c>
      <c r="W742" s="808">
        <v>1</v>
      </c>
      <c r="X742" s="794" t="str">
        <f t="shared" si="585"/>
        <v>-</v>
      </c>
      <c r="Y742" s="794">
        <v>1</v>
      </c>
      <c r="Z742" s="809" t="str">
        <f t="shared" ca="1" si="593"/>
        <v>-----</v>
      </c>
      <c r="AA742" s="810" t="str">
        <f t="shared" ca="1" si="594"/>
        <v>-----</v>
      </c>
      <c r="AB742" s="804">
        <v>1</v>
      </c>
      <c r="AC742" s="811" t="str">
        <f t="shared" ca="1" si="595"/>
        <v>-----</v>
      </c>
      <c r="AD742" s="798">
        <v>43029</v>
      </c>
      <c r="AE742" s="794" t="str">
        <f t="shared" ca="1" si="596"/>
        <v>-</v>
      </c>
      <c r="AF742" s="798" t="str">
        <f t="shared" si="597"/>
        <v>-</v>
      </c>
      <c r="AG742" s="812" t="str">
        <f t="shared" si="598"/>
        <v>---------</v>
      </c>
      <c r="AH742" s="807">
        <v>43018</v>
      </c>
      <c r="AI742" s="807" t="str">
        <f t="shared" si="599"/>
        <v>-</v>
      </c>
      <c r="AJ742" s="807" t="str">
        <f t="shared" si="600"/>
        <v>-</v>
      </c>
      <c r="AK742" s="813"/>
      <c r="AL742" s="807">
        <f t="shared" si="601"/>
        <v>43140</v>
      </c>
      <c r="AM742" s="807">
        <f t="shared" si="602"/>
        <v>43161</v>
      </c>
      <c r="AN742" s="814">
        <f t="shared" ca="1" si="603"/>
        <v>-27</v>
      </c>
      <c r="AO742" s="815">
        <v>1</v>
      </c>
      <c r="AP742" s="816" t="str">
        <f t="shared" ca="1" si="604"/>
        <v>-</v>
      </c>
      <c r="AQ742" s="817"/>
      <c r="AR742" s="794" t="str">
        <f t="shared" si="605"/>
        <v>НЕТЕЛЬ</v>
      </c>
      <c r="AS742" s="818"/>
      <c r="AT742" s="794" t="str">
        <f t="shared" si="606"/>
        <v>-</v>
      </c>
      <c r="AU742" s="819"/>
      <c r="AV742" s="820">
        <v>43034</v>
      </c>
      <c r="AW742" s="821">
        <v>4</v>
      </c>
      <c r="AX742" s="821">
        <v>1</v>
      </c>
      <c r="AY742" s="969">
        <f t="shared" ca="1" si="607"/>
        <v>100</v>
      </c>
      <c r="AZ742" s="966" t="str">
        <f t="shared" ca="1" si="608"/>
        <v>-</v>
      </c>
      <c r="BA742" s="971">
        <f t="shared" si="609"/>
        <v>43044</v>
      </c>
      <c r="BB742" s="975">
        <v>43045</v>
      </c>
      <c r="BC742" s="821">
        <v>4</v>
      </c>
      <c r="BD742" s="821">
        <v>4</v>
      </c>
      <c r="BE742" s="963">
        <f t="shared" ca="1" si="610"/>
        <v>89</v>
      </c>
      <c r="BF742" s="984"/>
      <c r="BG742" s="988"/>
      <c r="BH742" s="982"/>
      <c r="BI742" s="991"/>
      <c r="BJ742" s="991"/>
      <c r="BK742" s="993" t="str">
        <f t="shared" si="611"/>
        <v>-</v>
      </c>
      <c r="BL742" s="865"/>
      <c r="BM742" s="821"/>
      <c r="BN742" s="822" t="str">
        <f t="shared" si="612"/>
        <v>-</v>
      </c>
      <c r="BO742" s="823" t="str">
        <f t="shared" si="613"/>
        <v>-</v>
      </c>
      <c r="BP742" s="868"/>
      <c r="BQ742" s="821"/>
      <c r="BR742" s="822" t="str">
        <f t="shared" si="614"/>
        <v>-</v>
      </c>
      <c r="BS742" s="823" t="str">
        <f t="shared" si="615"/>
        <v>-</v>
      </c>
      <c r="BT742" s="825" t="str">
        <f t="shared" ca="1" si="616"/>
        <v>-</v>
      </c>
      <c r="BU742" s="860">
        <v>43022</v>
      </c>
      <c r="BV742" s="827">
        <v>2</v>
      </c>
      <c r="BW742" s="828">
        <f t="shared" si="617"/>
        <v>710</v>
      </c>
      <c r="BX742" s="829">
        <f t="shared" ca="1" si="618"/>
        <v>112</v>
      </c>
      <c r="BY742" s="830" t="str">
        <f t="shared" ca="1" si="619"/>
        <v>-</v>
      </c>
      <c r="BZ742" s="831">
        <v>43029</v>
      </c>
      <c r="CA742" s="832">
        <v>5</v>
      </c>
      <c r="CB742" s="833">
        <f t="shared" ca="1" si="620"/>
        <v>105</v>
      </c>
      <c r="CC742" s="834" t="str">
        <f t="shared" ca="1" si="621"/>
        <v>-</v>
      </c>
      <c r="CD742" s="835">
        <f t="shared" si="622"/>
        <v>43050</v>
      </c>
      <c r="CE742" s="831">
        <v>43050</v>
      </c>
      <c r="CF742" s="832">
        <v>5</v>
      </c>
      <c r="CG742" s="833">
        <f t="shared" ca="1" si="623"/>
        <v>84</v>
      </c>
      <c r="CH742" s="836">
        <f t="shared" si="624"/>
        <v>0</v>
      </c>
      <c r="CI742" s="837" t="str">
        <f t="shared" si="625"/>
        <v>УСПЕШНО</v>
      </c>
      <c r="CJ742" s="838" t="str">
        <f t="shared" ca="1" si="626"/>
        <v>-</v>
      </c>
      <c r="CK742" s="831"/>
      <c r="CL742" s="832"/>
      <c r="CM742" s="833" t="str">
        <f t="shared" si="627"/>
        <v>-</v>
      </c>
      <c r="CN742" s="834" t="str">
        <f t="shared" si="628"/>
        <v>-</v>
      </c>
      <c r="CO742" s="830" t="str">
        <f t="shared" ca="1" si="629"/>
        <v>ТРЕБУЕТСЯ ВАКЦИНАЦИЯ</v>
      </c>
      <c r="CP742" s="839"/>
      <c r="CQ742" s="832"/>
      <c r="CR742" s="833" t="str">
        <f t="shared" si="630"/>
        <v>-</v>
      </c>
      <c r="CS742" s="833" t="str">
        <f t="shared" si="631"/>
        <v>-</v>
      </c>
      <c r="CT742" s="834" t="str">
        <f t="shared" si="632"/>
        <v>-</v>
      </c>
      <c r="CU742" s="835" t="str">
        <f t="shared" si="633"/>
        <v>-</v>
      </c>
      <c r="CV742" s="839"/>
      <c r="CW742" s="832"/>
      <c r="CX742" s="833" t="str">
        <f t="shared" si="634"/>
        <v>-</v>
      </c>
      <c r="CY742" s="840" t="str">
        <f t="shared" si="635"/>
        <v>-</v>
      </c>
      <c r="CZ742" s="833" t="str">
        <f t="shared" si="636"/>
        <v>-</v>
      </c>
      <c r="DA742" s="838" t="str">
        <f t="shared" ca="1" si="637"/>
        <v>-</v>
      </c>
      <c r="DB742" s="841"/>
      <c r="DC742" s="832"/>
    </row>
    <row r="743" spans="1:107" x14ac:dyDescent="0.25">
      <c r="A743" s="790">
        <v>745</v>
      </c>
      <c r="B743" s="791">
        <f t="shared" ca="1" si="586"/>
        <v>43134</v>
      </c>
      <c r="C743" s="847" t="s">
        <v>3271</v>
      </c>
      <c r="D743" s="59" t="s">
        <v>3324</v>
      </c>
      <c r="E743" s="22" t="s">
        <v>3473</v>
      </c>
      <c r="F743" s="795" t="s">
        <v>3240</v>
      </c>
      <c r="G743" s="796">
        <f>SUMIFS(МОЛОКО!L8:L6958,МОЛОКО!F8:F6958,"50374",МОЛОКО!L8:L6958,"&gt;0")</f>
        <v>0</v>
      </c>
      <c r="H743" s="797" t="s">
        <v>3236</v>
      </c>
      <c r="I743" s="798">
        <v>42325</v>
      </c>
      <c r="J743" s="799">
        <f t="shared" ca="1" si="587"/>
        <v>2.2164383561643834</v>
      </c>
      <c r="K743" s="799">
        <f t="shared" ca="1" si="588"/>
        <v>26.966666666666665</v>
      </c>
      <c r="L743" s="800">
        <f t="shared" ca="1" si="589"/>
        <v>809</v>
      </c>
      <c r="M743" s="801"/>
      <c r="N743" s="802"/>
      <c r="O743" s="803" t="str">
        <f t="shared" ca="1" si="590"/>
        <v>-</v>
      </c>
      <c r="P743" s="804"/>
      <c r="Q743" s="68" t="s">
        <v>3398</v>
      </c>
      <c r="R743" s="118" t="s">
        <v>3380</v>
      </c>
      <c r="S743" s="798">
        <v>42883</v>
      </c>
      <c r="T743" s="798">
        <v>42883</v>
      </c>
      <c r="U743" s="798" t="str">
        <f t="shared" si="591"/>
        <v>-</v>
      </c>
      <c r="V743" s="804" t="str">
        <f t="shared" ca="1" si="592"/>
        <v>-</v>
      </c>
      <c r="W743" s="808">
        <v>1</v>
      </c>
      <c r="X743" s="794" t="str">
        <f t="shared" si="585"/>
        <v>-</v>
      </c>
      <c r="Y743" s="794">
        <v>1</v>
      </c>
      <c r="Z743" s="809" t="str">
        <f t="shared" ca="1" si="593"/>
        <v>-----</v>
      </c>
      <c r="AA743" s="810" t="str">
        <f t="shared" ca="1" si="594"/>
        <v>-----</v>
      </c>
      <c r="AB743" s="804">
        <v>1</v>
      </c>
      <c r="AC743" s="811" t="str">
        <f t="shared" ca="1" si="595"/>
        <v>-----</v>
      </c>
      <c r="AD743" s="798">
        <v>43029</v>
      </c>
      <c r="AE743" s="794" t="str">
        <f t="shared" ca="1" si="596"/>
        <v>-</v>
      </c>
      <c r="AF743" s="798" t="str">
        <f t="shared" si="597"/>
        <v>-</v>
      </c>
      <c r="AG743" s="812" t="str">
        <f t="shared" si="598"/>
        <v>---------</v>
      </c>
      <c r="AH743" s="807">
        <v>43018</v>
      </c>
      <c r="AI743" s="807" t="str">
        <f t="shared" si="599"/>
        <v>-</v>
      </c>
      <c r="AJ743" s="807" t="str">
        <f t="shared" si="600"/>
        <v>-</v>
      </c>
      <c r="AK743" s="813"/>
      <c r="AL743" s="807">
        <f t="shared" si="601"/>
        <v>43142</v>
      </c>
      <c r="AM743" s="807">
        <f t="shared" si="602"/>
        <v>43163</v>
      </c>
      <c r="AN743" s="814">
        <f t="shared" ca="1" si="603"/>
        <v>-29</v>
      </c>
      <c r="AO743" s="815">
        <v>1</v>
      </c>
      <c r="AP743" s="816" t="str">
        <f t="shared" ca="1" si="604"/>
        <v>-</v>
      </c>
      <c r="AQ743" s="817"/>
      <c r="AR743" s="794" t="str">
        <f t="shared" si="605"/>
        <v>НЕТЕЛЬ</v>
      </c>
      <c r="AS743" s="818"/>
      <c r="AT743" s="794" t="str">
        <f t="shared" si="606"/>
        <v>-</v>
      </c>
      <c r="AU743" s="819"/>
      <c r="AV743" s="820">
        <v>43034</v>
      </c>
      <c r="AW743" s="821">
        <v>4</v>
      </c>
      <c r="AX743" s="821">
        <v>1</v>
      </c>
      <c r="AY743" s="969">
        <f t="shared" ca="1" si="607"/>
        <v>100</v>
      </c>
      <c r="AZ743" s="966" t="str">
        <f t="shared" ca="1" si="608"/>
        <v>-</v>
      </c>
      <c r="BA743" s="971">
        <f t="shared" si="609"/>
        <v>43044</v>
      </c>
      <c r="BB743" s="975">
        <v>43045</v>
      </c>
      <c r="BC743" s="821">
        <v>4</v>
      </c>
      <c r="BD743" s="821">
        <v>4</v>
      </c>
      <c r="BE743" s="963">
        <f t="shared" ca="1" si="610"/>
        <v>89</v>
      </c>
      <c r="BF743" s="984"/>
      <c r="BG743" s="988"/>
      <c r="BH743" s="982"/>
      <c r="BI743" s="991"/>
      <c r="BJ743" s="991"/>
      <c r="BK743" s="993" t="str">
        <f t="shared" si="611"/>
        <v>-</v>
      </c>
      <c r="BL743" s="865"/>
      <c r="BM743" s="821"/>
      <c r="BN743" s="822" t="str">
        <f t="shared" si="612"/>
        <v>-</v>
      </c>
      <c r="BO743" s="823" t="str">
        <f t="shared" si="613"/>
        <v>-</v>
      </c>
      <c r="BP743" s="868"/>
      <c r="BQ743" s="821"/>
      <c r="BR743" s="822" t="str">
        <f t="shared" si="614"/>
        <v>-</v>
      </c>
      <c r="BS743" s="823" t="str">
        <f t="shared" si="615"/>
        <v>-</v>
      </c>
      <c r="BT743" s="825" t="str">
        <f t="shared" ca="1" si="616"/>
        <v>-</v>
      </c>
      <c r="BU743" s="860">
        <v>43022</v>
      </c>
      <c r="BV743" s="827">
        <v>2</v>
      </c>
      <c r="BW743" s="828">
        <f t="shared" si="617"/>
        <v>697</v>
      </c>
      <c r="BX743" s="829">
        <f t="shared" ca="1" si="618"/>
        <v>112</v>
      </c>
      <c r="BY743" s="830" t="str">
        <f t="shared" ca="1" si="619"/>
        <v>-</v>
      </c>
      <c r="BZ743" s="831">
        <v>43029</v>
      </c>
      <c r="CA743" s="832">
        <v>5</v>
      </c>
      <c r="CB743" s="833">
        <f t="shared" ca="1" si="620"/>
        <v>105</v>
      </c>
      <c r="CC743" s="834" t="str">
        <f t="shared" ca="1" si="621"/>
        <v>-</v>
      </c>
      <c r="CD743" s="835">
        <f t="shared" si="622"/>
        <v>43050</v>
      </c>
      <c r="CE743" s="831">
        <v>43050</v>
      </c>
      <c r="CF743" s="832">
        <v>5</v>
      </c>
      <c r="CG743" s="833">
        <f t="shared" ca="1" si="623"/>
        <v>84</v>
      </c>
      <c r="CH743" s="836">
        <f t="shared" si="624"/>
        <v>0</v>
      </c>
      <c r="CI743" s="837" t="str">
        <f t="shared" si="625"/>
        <v>УСПЕШНО</v>
      </c>
      <c r="CJ743" s="838" t="str">
        <f t="shared" ca="1" si="626"/>
        <v>-</v>
      </c>
      <c r="CK743" s="831"/>
      <c r="CL743" s="832"/>
      <c r="CM743" s="833" t="str">
        <f t="shared" si="627"/>
        <v>-</v>
      </c>
      <c r="CN743" s="834" t="str">
        <f t="shared" si="628"/>
        <v>-</v>
      </c>
      <c r="CO743" s="830" t="str">
        <f t="shared" ca="1" si="629"/>
        <v>ТРЕБУЕТСЯ ВАКЦИНАЦИЯ</v>
      </c>
      <c r="CP743" s="839"/>
      <c r="CQ743" s="832"/>
      <c r="CR743" s="833" t="str">
        <f t="shared" si="630"/>
        <v>-</v>
      </c>
      <c r="CS743" s="833" t="str">
        <f t="shared" si="631"/>
        <v>-</v>
      </c>
      <c r="CT743" s="834" t="str">
        <f t="shared" si="632"/>
        <v>-</v>
      </c>
      <c r="CU743" s="835" t="str">
        <f t="shared" si="633"/>
        <v>-</v>
      </c>
      <c r="CV743" s="839"/>
      <c r="CW743" s="832"/>
      <c r="CX743" s="833" t="str">
        <f t="shared" si="634"/>
        <v>-</v>
      </c>
      <c r="CY743" s="840" t="str">
        <f t="shared" si="635"/>
        <v>-</v>
      </c>
      <c r="CZ743" s="833" t="str">
        <f t="shared" si="636"/>
        <v>-</v>
      </c>
      <c r="DA743" s="838" t="str">
        <f t="shared" ca="1" si="637"/>
        <v>-</v>
      </c>
      <c r="DB743" s="841"/>
      <c r="DC743" s="832"/>
    </row>
    <row r="744" spans="1:107" x14ac:dyDescent="0.25">
      <c r="A744" s="790">
        <v>746</v>
      </c>
      <c r="B744" s="791">
        <f t="shared" ca="1" si="586"/>
        <v>43134</v>
      </c>
      <c r="C744" s="847" t="s">
        <v>3271</v>
      </c>
      <c r="D744" s="59" t="s">
        <v>3324</v>
      </c>
      <c r="E744" s="22" t="s">
        <v>3481</v>
      </c>
      <c r="F744" s="795" t="s">
        <v>3241</v>
      </c>
      <c r="G744" s="796">
        <f>SUMIFS(МОЛОКО!L8:L6958,МОЛОКО!F8:F6958,"50379",МОЛОКО!L8:L6958,"&gt;0")</f>
        <v>0</v>
      </c>
      <c r="H744" s="797" t="s">
        <v>3236</v>
      </c>
      <c r="I744" s="798">
        <v>42356</v>
      </c>
      <c r="J744" s="799">
        <f t="shared" ca="1" si="587"/>
        <v>2.1315068493150684</v>
      </c>
      <c r="K744" s="799">
        <f t="shared" ca="1" si="588"/>
        <v>25.933333333333334</v>
      </c>
      <c r="L744" s="800">
        <f t="shared" ca="1" si="589"/>
        <v>778</v>
      </c>
      <c r="M744" s="801"/>
      <c r="N744" s="802"/>
      <c r="O744" s="803" t="str">
        <f t="shared" ca="1" si="590"/>
        <v>-</v>
      </c>
      <c r="P744" s="804"/>
      <c r="Q744" s="68" t="s">
        <v>3398</v>
      </c>
      <c r="R744" s="118" t="s">
        <v>3377</v>
      </c>
      <c r="S744" s="798">
        <v>42853</v>
      </c>
      <c r="T744" s="798">
        <v>42853</v>
      </c>
      <c r="U744" s="798" t="str">
        <f t="shared" si="591"/>
        <v>-</v>
      </c>
      <c r="V744" s="804" t="str">
        <f t="shared" ca="1" si="592"/>
        <v>-</v>
      </c>
      <c r="W744" s="808">
        <v>1</v>
      </c>
      <c r="X744" s="794" t="str">
        <f t="shared" si="585"/>
        <v>-</v>
      </c>
      <c r="Y744" s="794">
        <v>1</v>
      </c>
      <c r="Z744" s="809" t="str">
        <f t="shared" ca="1" si="593"/>
        <v>-----</v>
      </c>
      <c r="AA744" s="810" t="str">
        <f t="shared" ca="1" si="594"/>
        <v>-----</v>
      </c>
      <c r="AB744" s="804">
        <v>1</v>
      </c>
      <c r="AC744" s="811" t="str">
        <f t="shared" ca="1" si="595"/>
        <v>-----</v>
      </c>
      <c r="AD744" s="798">
        <v>43029</v>
      </c>
      <c r="AE744" s="794" t="str">
        <f t="shared" ca="1" si="596"/>
        <v>-</v>
      </c>
      <c r="AF744" s="798" t="str">
        <f t="shared" si="597"/>
        <v>-</v>
      </c>
      <c r="AG744" s="812" t="str">
        <f t="shared" si="598"/>
        <v>---------</v>
      </c>
      <c r="AH744" s="807">
        <v>43018</v>
      </c>
      <c r="AI744" s="807" t="str">
        <f t="shared" si="599"/>
        <v>-</v>
      </c>
      <c r="AJ744" s="807" t="str">
        <f t="shared" si="600"/>
        <v>-</v>
      </c>
      <c r="AK744" s="813"/>
      <c r="AL744" s="807">
        <f t="shared" si="601"/>
        <v>43112</v>
      </c>
      <c r="AM744" s="807">
        <f t="shared" si="602"/>
        <v>43133</v>
      </c>
      <c r="AN744" s="814">
        <f t="shared" ca="1" si="603"/>
        <v>1</v>
      </c>
      <c r="AO744" s="815">
        <v>1</v>
      </c>
      <c r="AP744" s="816" t="str">
        <f t="shared" ca="1" si="604"/>
        <v>-</v>
      </c>
      <c r="AQ744" s="817"/>
      <c r="AR744" s="794" t="str">
        <f t="shared" si="605"/>
        <v>НЕТЕЛЬ</v>
      </c>
      <c r="AS744" s="818"/>
      <c r="AT744" s="794" t="str">
        <f t="shared" si="606"/>
        <v>-</v>
      </c>
      <c r="AU744" s="819"/>
      <c r="AV744" s="820">
        <v>43034</v>
      </c>
      <c r="AW744" s="821">
        <v>4</v>
      </c>
      <c r="AX744" s="821">
        <v>1</v>
      </c>
      <c r="AY744" s="969">
        <f t="shared" ca="1" si="607"/>
        <v>100</v>
      </c>
      <c r="AZ744" s="966" t="str">
        <f t="shared" ca="1" si="608"/>
        <v>-</v>
      </c>
      <c r="BA744" s="971">
        <f t="shared" si="609"/>
        <v>43044</v>
      </c>
      <c r="BB744" s="975">
        <v>43045</v>
      </c>
      <c r="BC744" s="821">
        <v>4</v>
      </c>
      <c r="BD744" s="821">
        <v>4</v>
      </c>
      <c r="BE744" s="963">
        <f t="shared" ca="1" si="610"/>
        <v>89</v>
      </c>
      <c r="BF744" s="984"/>
      <c r="BG744" s="988"/>
      <c r="BH744" s="982"/>
      <c r="BI744" s="991"/>
      <c r="BJ744" s="991"/>
      <c r="BK744" s="993" t="str">
        <f t="shared" si="611"/>
        <v>-</v>
      </c>
      <c r="BL744" s="865"/>
      <c r="BM744" s="821"/>
      <c r="BN744" s="822" t="str">
        <f t="shared" si="612"/>
        <v>-</v>
      </c>
      <c r="BO744" s="823" t="str">
        <f t="shared" si="613"/>
        <v>-</v>
      </c>
      <c r="BP744" s="868"/>
      <c r="BQ744" s="821"/>
      <c r="BR744" s="822" t="str">
        <f t="shared" si="614"/>
        <v>-</v>
      </c>
      <c r="BS744" s="823" t="str">
        <f t="shared" si="615"/>
        <v>-</v>
      </c>
      <c r="BT744" s="825" t="str">
        <f t="shared" ca="1" si="616"/>
        <v>-</v>
      </c>
      <c r="BU744" s="860">
        <v>43022</v>
      </c>
      <c r="BV744" s="827">
        <v>2</v>
      </c>
      <c r="BW744" s="828">
        <f t="shared" si="617"/>
        <v>666</v>
      </c>
      <c r="BX744" s="829">
        <f t="shared" ca="1" si="618"/>
        <v>112</v>
      </c>
      <c r="BY744" s="830" t="str">
        <f t="shared" ca="1" si="619"/>
        <v>-</v>
      </c>
      <c r="BZ744" s="831">
        <v>43029</v>
      </c>
      <c r="CA744" s="832">
        <v>5</v>
      </c>
      <c r="CB744" s="833">
        <f t="shared" ca="1" si="620"/>
        <v>105</v>
      </c>
      <c r="CC744" s="834" t="str">
        <f t="shared" ca="1" si="621"/>
        <v>-</v>
      </c>
      <c r="CD744" s="835">
        <f t="shared" si="622"/>
        <v>43050</v>
      </c>
      <c r="CE744" s="831">
        <v>43050</v>
      </c>
      <c r="CF744" s="832">
        <v>5</v>
      </c>
      <c r="CG744" s="833">
        <f t="shared" ca="1" si="623"/>
        <v>84</v>
      </c>
      <c r="CH744" s="836">
        <f t="shared" si="624"/>
        <v>0</v>
      </c>
      <c r="CI744" s="837" t="str">
        <f t="shared" si="625"/>
        <v>УСПЕШНО</v>
      </c>
      <c r="CJ744" s="838" t="str">
        <f t="shared" ca="1" si="626"/>
        <v>-</v>
      </c>
      <c r="CK744" s="831"/>
      <c r="CL744" s="832"/>
      <c r="CM744" s="833" t="str">
        <f t="shared" si="627"/>
        <v>-</v>
      </c>
      <c r="CN744" s="834" t="str">
        <f t="shared" si="628"/>
        <v>-</v>
      </c>
      <c r="CO744" s="830" t="str">
        <f t="shared" ca="1" si="629"/>
        <v>ТРЕБУЕТСЯ ВАКЦИНАЦИЯ</v>
      </c>
      <c r="CP744" s="839"/>
      <c r="CQ744" s="832"/>
      <c r="CR744" s="833" t="str">
        <f t="shared" si="630"/>
        <v>-</v>
      </c>
      <c r="CS744" s="833" t="str">
        <f t="shared" si="631"/>
        <v>-</v>
      </c>
      <c r="CT744" s="834" t="str">
        <f t="shared" si="632"/>
        <v>-</v>
      </c>
      <c r="CU744" s="835" t="str">
        <f t="shared" si="633"/>
        <v>-</v>
      </c>
      <c r="CV744" s="839"/>
      <c r="CW744" s="832"/>
      <c r="CX744" s="833" t="str">
        <f t="shared" si="634"/>
        <v>-</v>
      </c>
      <c r="CY744" s="840" t="str">
        <f t="shared" si="635"/>
        <v>-</v>
      </c>
      <c r="CZ744" s="833" t="str">
        <f t="shared" si="636"/>
        <v>-</v>
      </c>
      <c r="DA744" s="838" t="str">
        <f t="shared" ca="1" si="637"/>
        <v>-</v>
      </c>
      <c r="DB744" s="841"/>
      <c r="DC744" s="832"/>
    </row>
    <row r="745" spans="1:107" x14ac:dyDescent="0.25">
      <c r="A745" s="790">
        <v>747</v>
      </c>
      <c r="B745" s="791">
        <f t="shared" ca="1" si="586"/>
        <v>43134</v>
      </c>
      <c r="C745" s="847" t="s">
        <v>3271</v>
      </c>
      <c r="D745" s="59" t="s">
        <v>3324</v>
      </c>
      <c r="E745" s="22" t="s">
        <v>3486</v>
      </c>
      <c r="F745" s="795" t="s">
        <v>3242</v>
      </c>
      <c r="G745" s="796">
        <f>SUMIFS(МОЛОКО!L8:L6958,МОЛОКО!F8:F6958,"50385",МОЛОКО!L8:L6958,"&gt;0")</f>
        <v>0</v>
      </c>
      <c r="H745" s="797" t="s">
        <v>3236</v>
      </c>
      <c r="I745" s="798">
        <v>42385</v>
      </c>
      <c r="J745" s="799">
        <f t="shared" ca="1" si="587"/>
        <v>2.0520547945205481</v>
      </c>
      <c r="K745" s="799">
        <f t="shared" ca="1" si="588"/>
        <v>24.966666666666665</v>
      </c>
      <c r="L745" s="800">
        <f t="shared" ca="1" si="589"/>
        <v>749</v>
      </c>
      <c r="M745" s="801"/>
      <c r="N745" s="802"/>
      <c r="O745" s="803" t="str">
        <f t="shared" ca="1" si="590"/>
        <v>-</v>
      </c>
      <c r="P745" s="804"/>
      <c r="Q745" s="68" t="s">
        <v>3398</v>
      </c>
      <c r="R745" s="118" t="s">
        <v>3368</v>
      </c>
      <c r="S745" s="798">
        <v>42893</v>
      </c>
      <c r="T745" s="798">
        <v>42893</v>
      </c>
      <c r="U745" s="798" t="str">
        <f t="shared" si="591"/>
        <v>-</v>
      </c>
      <c r="V745" s="804" t="str">
        <f t="shared" ca="1" si="592"/>
        <v>-</v>
      </c>
      <c r="W745" s="808">
        <v>1</v>
      </c>
      <c r="X745" s="794" t="str">
        <f t="shared" si="585"/>
        <v>-</v>
      </c>
      <c r="Y745" s="794">
        <v>1</v>
      </c>
      <c r="Z745" s="809" t="str">
        <f t="shared" ca="1" si="593"/>
        <v>-----</v>
      </c>
      <c r="AA745" s="810" t="str">
        <f t="shared" ca="1" si="594"/>
        <v>-----</v>
      </c>
      <c r="AB745" s="804">
        <v>1</v>
      </c>
      <c r="AC745" s="811" t="str">
        <f t="shared" ca="1" si="595"/>
        <v>-----</v>
      </c>
      <c r="AD745" s="798">
        <v>43029</v>
      </c>
      <c r="AE745" s="794" t="str">
        <f t="shared" ca="1" si="596"/>
        <v>-</v>
      </c>
      <c r="AF745" s="798" t="str">
        <f t="shared" si="597"/>
        <v>-</v>
      </c>
      <c r="AG745" s="812" t="str">
        <f t="shared" si="598"/>
        <v>---------</v>
      </c>
      <c r="AH745" s="807">
        <v>43018</v>
      </c>
      <c r="AI745" s="807" t="str">
        <f t="shared" si="599"/>
        <v>-</v>
      </c>
      <c r="AJ745" s="807" t="str">
        <f t="shared" si="600"/>
        <v>-</v>
      </c>
      <c r="AK745" s="813"/>
      <c r="AL745" s="807">
        <f t="shared" si="601"/>
        <v>43152</v>
      </c>
      <c r="AM745" s="807">
        <f t="shared" si="602"/>
        <v>43173</v>
      </c>
      <c r="AN745" s="814">
        <f t="shared" ca="1" si="603"/>
        <v>-39</v>
      </c>
      <c r="AO745" s="815">
        <v>1</v>
      </c>
      <c r="AP745" s="816" t="str">
        <f t="shared" ca="1" si="604"/>
        <v>-</v>
      </c>
      <c r="AQ745" s="817"/>
      <c r="AR745" s="794" t="str">
        <f t="shared" si="605"/>
        <v>НЕТЕЛЬ</v>
      </c>
      <c r="AS745" s="818"/>
      <c r="AT745" s="794" t="str">
        <f t="shared" si="606"/>
        <v>-</v>
      </c>
      <c r="AU745" s="819"/>
      <c r="AV745" s="820">
        <v>43034</v>
      </c>
      <c r="AW745" s="821">
        <v>4</v>
      </c>
      <c r="AX745" s="821">
        <v>1</v>
      </c>
      <c r="AY745" s="969">
        <f t="shared" ca="1" si="607"/>
        <v>100</v>
      </c>
      <c r="AZ745" s="966" t="str">
        <f t="shared" ca="1" si="608"/>
        <v>-</v>
      </c>
      <c r="BA745" s="971">
        <f t="shared" si="609"/>
        <v>43044</v>
      </c>
      <c r="BB745" s="975">
        <v>43045</v>
      </c>
      <c r="BC745" s="821">
        <v>4</v>
      </c>
      <c r="BD745" s="821">
        <v>4</v>
      </c>
      <c r="BE745" s="963">
        <f t="shared" ca="1" si="610"/>
        <v>89</v>
      </c>
      <c r="BF745" s="984"/>
      <c r="BG745" s="988"/>
      <c r="BH745" s="982"/>
      <c r="BI745" s="991"/>
      <c r="BJ745" s="991"/>
      <c r="BK745" s="993" t="str">
        <f t="shared" si="611"/>
        <v>-</v>
      </c>
      <c r="BL745" s="865"/>
      <c r="BM745" s="821"/>
      <c r="BN745" s="822" t="str">
        <f t="shared" si="612"/>
        <v>-</v>
      </c>
      <c r="BO745" s="823" t="str">
        <f t="shared" si="613"/>
        <v>-</v>
      </c>
      <c r="BP745" s="868"/>
      <c r="BQ745" s="821"/>
      <c r="BR745" s="822" t="str">
        <f t="shared" si="614"/>
        <v>-</v>
      </c>
      <c r="BS745" s="823" t="str">
        <f t="shared" si="615"/>
        <v>-</v>
      </c>
      <c r="BT745" s="825" t="str">
        <f t="shared" ca="1" si="616"/>
        <v>-</v>
      </c>
      <c r="BU745" s="860">
        <v>43022</v>
      </c>
      <c r="BV745" s="827">
        <v>2</v>
      </c>
      <c r="BW745" s="828">
        <f t="shared" si="617"/>
        <v>637</v>
      </c>
      <c r="BX745" s="829">
        <f t="shared" ca="1" si="618"/>
        <v>112</v>
      </c>
      <c r="BY745" s="830" t="str">
        <f t="shared" ca="1" si="619"/>
        <v>-</v>
      </c>
      <c r="BZ745" s="831">
        <v>43029</v>
      </c>
      <c r="CA745" s="832">
        <v>5</v>
      </c>
      <c r="CB745" s="833">
        <f t="shared" ca="1" si="620"/>
        <v>105</v>
      </c>
      <c r="CC745" s="834" t="str">
        <f t="shared" ca="1" si="621"/>
        <v>-</v>
      </c>
      <c r="CD745" s="835">
        <f t="shared" si="622"/>
        <v>43050</v>
      </c>
      <c r="CE745" s="831">
        <v>43050</v>
      </c>
      <c r="CF745" s="832">
        <v>5</v>
      </c>
      <c r="CG745" s="833">
        <f t="shared" ca="1" si="623"/>
        <v>84</v>
      </c>
      <c r="CH745" s="836">
        <f t="shared" si="624"/>
        <v>0</v>
      </c>
      <c r="CI745" s="837" t="str">
        <f t="shared" si="625"/>
        <v>УСПЕШНО</v>
      </c>
      <c r="CJ745" s="838" t="str">
        <f t="shared" ca="1" si="626"/>
        <v>-</v>
      </c>
      <c r="CK745" s="831"/>
      <c r="CL745" s="832"/>
      <c r="CM745" s="833" t="str">
        <f t="shared" si="627"/>
        <v>-</v>
      </c>
      <c r="CN745" s="834" t="str">
        <f t="shared" si="628"/>
        <v>-</v>
      </c>
      <c r="CO745" s="830" t="str">
        <f t="shared" ca="1" si="629"/>
        <v>ТРЕБУЕТСЯ ВАКЦИНАЦИЯ</v>
      </c>
      <c r="CP745" s="839"/>
      <c r="CQ745" s="832"/>
      <c r="CR745" s="833" t="str">
        <f t="shared" si="630"/>
        <v>-</v>
      </c>
      <c r="CS745" s="833" t="str">
        <f t="shared" si="631"/>
        <v>-</v>
      </c>
      <c r="CT745" s="834" t="str">
        <f t="shared" si="632"/>
        <v>-</v>
      </c>
      <c r="CU745" s="835" t="str">
        <f t="shared" si="633"/>
        <v>-</v>
      </c>
      <c r="CV745" s="839"/>
      <c r="CW745" s="832"/>
      <c r="CX745" s="833" t="str">
        <f t="shared" si="634"/>
        <v>-</v>
      </c>
      <c r="CY745" s="840" t="str">
        <f t="shared" si="635"/>
        <v>-</v>
      </c>
      <c r="CZ745" s="833" t="str">
        <f t="shared" si="636"/>
        <v>-</v>
      </c>
      <c r="DA745" s="838" t="str">
        <f t="shared" ca="1" si="637"/>
        <v>-</v>
      </c>
      <c r="DB745" s="841"/>
      <c r="DC745" s="832"/>
    </row>
    <row r="746" spans="1:107" x14ac:dyDescent="0.25">
      <c r="A746" s="790">
        <v>748</v>
      </c>
      <c r="B746" s="791">
        <f t="shared" ca="1" si="586"/>
        <v>43134</v>
      </c>
      <c r="C746" s="847" t="s">
        <v>3271</v>
      </c>
      <c r="D746" s="59" t="s">
        <v>3324</v>
      </c>
      <c r="E746" s="22" t="s">
        <v>3464</v>
      </c>
      <c r="F746" s="958" t="s">
        <v>3243</v>
      </c>
      <c r="G746" s="796">
        <f>SUMIFS(МОЛОКО!L8:L6958,МОЛОКО!F8:F6958,"50388",МОЛОКО!L8:L6958,"&gt;0")</f>
        <v>0</v>
      </c>
      <c r="H746" s="797" t="s">
        <v>3236</v>
      </c>
      <c r="I746" s="798">
        <v>42391</v>
      </c>
      <c r="J746" s="799">
        <f t="shared" ca="1" si="587"/>
        <v>2.0356164383561643</v>
      </c>
      <c r="K746" s="799">
        <f t="shared" ca="1" si="588"/>
        <v>24.766666666666666</v>
      </c>
      <c r="L746" s="800">
        <f t="shared" ca="1" si="589"/>
        <v>743</v>
      </c>
      <c r="M746" s="801"/>
      <c r="N746" s="802"/>
      <c r="O746" s="803" t="str">
        <f t="shared" ca="1" si="590"/>
        <v>-</v>
      </c>
      <c r="P746" s="804"/>
      <c r="Q746" s="68" t="s">
        <v>3398</v>
      </c>
      <c r="R746" s="118" t="s">
        <v>3364</v>
      </c>
      <c r="S746" s="798">
        <v>42901</v>
      </c>
      <c r="T746" s="798">
        <v>42901</v>
      </c>
      <c r="U746" s="798" t="str">
        <f t="shared" si="591"/>
        <v>-</v>
      </c>
      <c r="V746" s="804" t="str">
        <f t="shared" ca="1" si="592"/>
        <v>-</v>
      </c>
      <c r="W746" s="808">
        <v>1</v>
      </c>
      <c r="X746" s="794" t="str">
        <f t="shared" si="585"/>
        <v>-</v>
      </c>
      <c r="Y746" s="794">
        <v>1</v>
      </c>
      <c r="Z746" s="809" t="str">
        <f t="shared" ca="1" si="593"/>
        <v>-----</v>
      </c>
      <c r="AA746" s="810" t="str">
        <f t="shared" ca="1" si="594"/>
        <v>-----</v>
      </c>
      <c r="AB746" s="804">
        <v>1</v>
      </c>
      <c r="AC746" s="811" t="str">
        <f t="shared" ca="1" si="595"/>
        <v>-----</v>
      </c>
      <c r="AD746" s="798">
        <v>43029</v>
      </c>
      <c r="AE746" s="794" t="str">
        <f t="shared" ca="1" si="596"/>
        <v>-</v>
      </c>
      <c r="AF746" s="798" t="str">
        <f t="shared" si="597"/>
        <v>-</v>
      </c>
      <c r="AG746" s="812" t="str">
        <f t="shared" si="598"/>
        <v>---------</v>
      </c>
      <c r="AH746" s="807">
        <v>43018</v>
      </c>
      <c r="AI746" s="807" t="str">
        <f t="shared" si="599"/>
        <v>-</v>
      </c>
      <c r="AJ746" s="807" t="str">
        <f t="shared" si="600"/>
        <v>-</v>
      </c>
      <c r="AK746" s="813"/>
      <c r="AL746" s="807">
        <f t="shared" si="601"/>
        <v>43160</v>
      </c>
      <c r="AM746" s="807">
        <f t="shared" si="602"/>
        <v>43181</v>
      </c>
      <c r="AN746" s="814">
        <f t="shared" ca="1" si="603"/>
        <v>-47</v>
      </c>
      <c r="AO746" s="815">
        <v>1</v>
      </c>
      <c r="AP746" s="816" t="str">
        <f t="shared" ca="1" si="604"/>
        <v>-</v>
      </c>
      <c r="AQ746" s="817"/>
      <c r="AR746" s="794" t="str">
        <f t="shared" si="605"/>
        <v>НЕТЕЛЬ</v>
      </c>
      <c r="AS746" s="818"/>
      <c r="AT746" s="794" t="str">
        <f t="shared" si="606"/>
        <v>-</v>
      </c>
      <c r="AU746" s="819"/>
      <c r="AV746" s="820">
        <v>43034</v>
      </c>
      <c r="AW746" s="821">
        <v>4</v>
      </c>
      <c r="AX746" s="821">
        <v>1</v>
      </c>
      <c r="AY746" s="969">
        <f t="shared" ca="1" si="607"/>
        <v>100</v>
      </c>
      <c r="AZ746" s="966" t="str">
        <f t="shared" ca="1" si="608"/>
        <v>-</v>
      </c>
      <c r="BA746" s="971">
        <f t="shared" si="609"/>
        <v>43044</v>
      </c>
      <c r="BB746" s="975">
        <v>43045</v>
      </c>
      <c r="BC746" s="821">
        <v>4</v>
      </c>
      <c r="BD746" s="821">
        <v>4</v>
      </c>
      <c r="BE746" s="963">
        <f t="shared" ca="1" si="610"/>
        <v>89</v>
      </c>
      <c r="BF746" s="984"/>
      <c r="BG746" s="988"/>
      <c r="BH746" s="982"/>
      <c r="BI746" s="991"/>
      <c r="BJ746" s="991"/>
      <c r="BK746" s="993" t="str">
        <f t="shared" si="611"/>
        <v>-</v>
      </c>
      <c r="BL746" s="865"/>
      <c r="BM746" s="821"/>
      <c r="BN746" s="822" t="str">
        <f t="shared" si="612"/>
        <v>-</v>
      </c>
      <c r="BO746" s="823" t="str">
        <f t="shared" si="613"/>
        <v>-</v>
      </c>
      <c r="BP746" s="868"/>
      <c r="BQ746" s="821"/>
      <c r="BR746" s="822" t="str">
        <f t="shared" si="614"/>
        <v>-</v>
      </c>
      <c r="BS746" s="823" t="str">
        <f t="shared" si="615"/>
        <v>-</v>
      </c>
      <c r="BT746" s="825" t="str">
        <f t="shared" ca="1" si="616"/>
        <v>-</v>
      </c>
      <c r="BU746" s="860">
        <v>43022</v>
      </c>
      <c r="BV746" s="827">
        <v>2</v>
      </c>
      <c r="BW746" s="828">
        <f t="shared" si="617"/>
        <v>631</v>
      </c>
      <c r="BX746" s="829">
        <f t="shared" ca="1" si="618"/>
        <v>112</v>
      </c>
      <c r="BY746" s="830" t="str">
        <f t="shared" ca="1" si="619"/>
        <v>-</v>
      </c>
      <c r="BZ746" s="831">
        <v>43029</v>
      </c>
      <c r="CA746" s="832">
        <v>5</v>
      </c>
      <c r="CB746" s="833">
        <f t="shared" ca="1" si="620"/>
        <v>105</v>
      </c>
      <c r="CC746" s="834" t="str">
        <f t="shared" ca="1" si="621"/>
        <v>-</v>
      </c>
      <c r="CD746" s="835">
        <f t="shared" si="622"/>
        <v>43050</v>
      </c>
      <c r="CE746" s="831">
        <v>43050</v>
      </c>
      <c r="CF746" s="832">
        <v>5</v>
      </c>
      <c r="CG746" s="833">
        <f t="shared" ca="1" si="623"/>
        <v>84</v>
      </c>
      <c r="CH746" s="836">
        <f t="shared" si="624"/>
        <v>0</v>
      </c>
      <c r="CI746" s="837" t="str">
        <f t="shared" si="625"/>
        <v>УСПЕШНО</v>
      </c>
      <c r="CJ746" s="838" t="str">
        <f t="shared" ca="1" si="626"/>
        <v>-</v>
      </c>
      <c r="CK746" s="831"/>
      <c r="CL746" s="832"/>
      <c r="CM746" s="833" t="str">
        <f t="shared" si="627"/>
        <v>-</v>
      </c>
      <c r="CN746" s="834" t="str">
        <f t="shared" si="628"/>
        <v>-</v>
      </c>
      <c r="CO746" s="830" t="str">
        <f t="shared" ca="1" si="629"/>
        <v>ТРЕБУЕТСЯ ВАКЦИНАЦИЯ</v>
      </c>
      <c r="CP746" s="839"/>
      <c r="CQ746" s="832"/>
      <c r="CR746" s="833" t="str">
        <f t="shared" si="630"/>
        <v>-</v>
      </c>
      <c r="CS746" s="833" t="str">
        <f t="shared" si="631"/>
        <v>-</v>
      </c>
      <c r="CT746" s="834" t="str">
        <f t="shared" si="632"/>
        <v>-</v>
      </c>
      <c r="CU746" s="835" t="str">
        <f t="shared" si="633"/>
        <v>-</v>
      </c>
      <c r="CV746" s="839"/>
      <c r="CW746" s="832"/>
      <c r="CX746" s="833" t="str">
        <f t="shared" si="634"/>
        <v>-</v>
      </c>
      <c r="CY746" s="840" t="str">
        <f t="shared" si="635"/>
        <v>-</v>
      </c>
      <c r="CZ746" s="833" t="str">
        <f t="shared" si="636"/>
        <v>-</v>
      </c>
      <c r="DA746" s="838" t="str">
        <f t="shared" ca="1" si="637"/>
        <v>-</v>
      </c>
      <c r="DB746" s="841"/>
      <c r="DC746" s="832"/>
    </row>
    <row r="747" spans="1:107" x14ac:dyDescent="0.25">
      <c r="A747" s="790">
        <v>749</v>
      </c>
      <c r="B747" s="791">
        <f t="shared" ca="1" si="586"/>
        <v>43134</v>
      </c>
      <c r="C747" s="847" t="s">
        <v>3271</v>
      </c>
      <c r="D747" s="59" t="s">
        <v>3324</v>
      </c>
      <c r="E747" s="22" t="s">
        <v>3474</v>
      </c>
      <c r="F747" s="795" t="s">
        <v>3244</v>
      </c>
      <c r="G747" s="796">
        <f>SUMIFS(МОЛОКО!L8:L6958,МОЛОКО!F8:F6958,"50389",МОЛОКО!L8:L6958,"&gt;0")</f>
        <v>0</v>
      </c>
      <c r="H747" s="797" t="s">
        <v>3236</v>
      </c>
      <c r="I747" s="798">
        <v>42392</v>
      </c>
      <c r="J747" s="799">
        <f t="shared" ca="1" si="587"/>
        <v>2.032876712328767</v>
      </c>
      <c r="K747" s="799">
        <f t="shared" ca="1" si="588"/>
        <v>24.733333333333334</v>
      </c>
      <c r="L747" s="800">
        <f t="shared" ca="1" si="589"/>
        <v>742</v>
      </c>
      <c r="M747" s="801"/>
      <c r="N747" s="802"/>
      <c r="O747" s="803" t="str">
        <f t="shared" ca="1" si="590"/>
        <v>-</v>
      </c>
      <c r="P747" s="804"/>
      <c r="Q747" s="68" t="s">
        <v>3398</v>
      </c>
      <c r="R747" s="118" t="s">
        <v>3368</v>
      </c>
      <c r="S747" s="798">
        <v>42853</v>
      </c>
      <c r="T747" s="798">
        <v>42853</v>
      </c>
      <c r="U747" s="798" t="str">
        <f t="shared" si="591"/>
        <v>-</v>
      </c>
      <c r="V747" s="804" t="str">
        <f t="shared" ca="1" si="592"/>
        <v>-</v>
      </c>
      <c r="W747" s="808">
        <v>1</v>
      </c>
      <c r="X747" s="794" t="str">
        <f t="shared" si="585"/>
        <v>-</v>
      </c>
      <c r="Y747" s="794">
        <v>1</v>
      </c>
      <c r="Z747" s="809" t="str">
        <f t="shared" ca="1" si="593"/>
        <v>-----</v>
      </c>
      <c r="AA747" s="810" t="str">
        <f t="shared" ca="1" si="594"/>
        <v>-----</v>
      </c>
      <c r="AB747" s="804">
        <v>1</v>
      </c>
      <c r="AC747" s="811" t="str">
        <f t="shared" ca="1" si="595"/>
        <v>-----</v>
      </c>
      <c r="AD747" s="798">
        <v>43029</v>
      </c>
      <c r="AE747" s="794" t="str">
        <f t="shared" ca="1" si="596"/>
        <v>-</v>
      </c>
      <c r="AF747" s="798" t="str">
        <f t="shared" si="597"/>
        <v>-</v>
      </c>
      <c r="AG747" s="812" t="str">
        <f t="shared" si="598"/>
        <v>---------</v>
      </c>
      <c r="AH747" s="807">
        <v>43018</v>
      </c>
      <c r="AI747" s="807" t="str">
        <f t="shared" si="599"/>
        <v>-</v>
      </c>
      <c r="AJ747" s="807" t="str">
        <f t="shared" si="600"/>
        <v>-</v>
      </c>
      <c r="AK747" s="813"/>
      <c r="AL747" s="807">
        <f t="shared" si="601"/>
        <v>43112</v>
      </c>
      <c r="AM747" s="807">
        <f t="shared" si="602"/>
        <v>43133</v>
      </c>
      <c r="AN747" s="814">
        <f t="shared" ca="1" si="603"/>
        <v>1</v>
      </c>
      <c r="AO747" s="815">
        <v>1</v>
      </c>
      <c r="AP747" s="816" t="str">
        <f t="shared" ca="1" si="604"/>
        <v>-</v>
      </c>
      <c r="AQ747" s="817"/>
      <c r="AR747" s="794" t="str">
        <f t="shared" si="605"/>
        <v>НЕТЕЛЬ</v>
      </c>
      <c r="AS747" s="818"/>
      <c r="AT747" s="794" t="str">
        <f t="shared" si="606"/>
        <v>-</v>
      </c>
      <c r="AU747" s="819"/>
      <c r="AV747" s="820">
        <v>43034</v>
      </c>
      <c r="AW747" s="821">
        <v>4</v>
      </c>
      <c r="AX747" s="821">
        <v>1</v>
      </c>
      <c r="AY747" s="969">
        <f t="shared" ca="1" si="607"/>
        <v>100</v>
      </c>
      <c r="AZ747" s="966" t="str">
        <f t="shared" ca="1" si="608"/>
        <v>-</v>
      </c>
      <c r="BA747" s="971">
        <f t="shared" si="609"/>
        <v>43044</v>
      </c>
      <c r="BB747" s="975">
        <v>43045</v>
      </c>
      <c r="BC747" s="821">
        <v>4</v>
      </c>
      <c r="BD747" s="821">
        <v>4</v>
      </c>
      <c r="BE747" s="963">
        <f t="shared" ca="1" si="610"/>
        <v>89</v>
      </c>
      <c r="BF747" s="984"/>
      <c r="BG747" s="988"/>
      <c r="BH747" s="982"/>
      <c r="BI747" s="991"/>
      <c r="BJ747" s="991"/>
      <c r="BK747" s="993" t="str">
        <f t="shared" si="611"/>
        <v>-</v>
      </c>
      <c r="BL747" s="865"/>
      <c r="BM747" s="821"/>
      <c r="BN747" s="822" t="str">
        <f t="shared" si="612"/>
        <v>-</v>
      </c>
      <c r="BO747" s="823" t="str">
        <f t="shared" si="613"/>
        <v>-</v>
      </c>
      <c r="BP747" s="868"/>
      <c r="BQ747" s="821"/>
      <c r="BR747" s="822" t="str">
        <f t="shared" si="614"/>
        <v>-</v>
      </c>
      <c r="BS747" s="823" t="str">
        <f t="shared" si="615"/>
        <v>-</v>
      </c>
      <c r="BT747" s="825" t="str">
        <f t="shared" ca="1" si="616"/>
        <v>-</v>
      </c>
      <c r="BU747" s="860">
        <v>43022</v>
      </c>
      <c r="BV747" s="827">
        <v>2</v>
      </c>
      <c r="BW747" s="828">
        <f t="shared" si="617"/>
        <v>630</v>
      </c>
      <c r="BX747" s="829">
        <f t="shared" ca="1" si="618"/>
        <v>112</v>
      </c>
      <c r="BY747" s="830" t="str">
        <f t="shared" ca="1" si="619"/>
        <v>-</v>
      </c>
      <c r="BZ747" s="831">
        <v>43029</v>
      </c>
      <c r="CA747" s="832">
        <v>5</v>
      </c>
      <c r="CB747" s="833">
        <f t="shared" ca="1" si="620"/>
        <v>105</v>
      </c>
      <c r="CC747" s="834" t="str">
        <f t="shared" ca="1" si="621"/>
        <v>-</v>
      </c>
      <c r="CD747" s="835">
        <f t="shared" si="622"/>
        <v>43050</v>
      </c>
      <c r="CE747" s="831">
        <v>43050</v>
      </c>
      <c r="CF747" s="832">
        <v>5</v>
      </c>
      <c r="CG747" s="833">
        <f t="shared" ca="1" si="623"/>
        <v>84</v>
      </c>
      <c r="CH747" s="836">
        <f t="shared" si="624"/>
        <v>0</v>
      </c>
      <c r="CI747" s="837" t="str">
        <f t="shared" si="625"/>
        <v>УСПЕШНО</v>
      </c>
      <c r="CJ747" s="838" t="str">
        <f t="shared" ca="1" si="626"/>
        <v>-</v>
      </c>
      <c r="CK747" s="831"/>
      <c r="CL747" s="832"/>
      <c r="CM747" s="833" t="str">
        <f t="shared" si="627"/>
        <v>-</v>
      </c>
      <c r="CN747" s="834" t="str">
        <f t="shared" si="628"/>
        <v>-</v>
      </c>
      <c r="CO747" s="830" t="str">
        <f t="shared" ca="1" si="629"/>
        <v>ТРЕБУЕТСЯ ВАКЦИНАЦИЯ</v>
      </c>
      <c r="CP747" s="839"/>
      <c r="CQ747" s="832"/>
      <c r="CR747" s="833" t="str">
        <f t="shared" si="630"/>
        <v>-</v>
      </c>
      <c r="CS747" s="833" t="str">
        <f t="shared" si="631"/>
        <v>-</v>
      </c>
      <c r="CT747" s="834" t="str">
        <f t="shared" si="632"/>
        <v>-</v>
      </c>
      <c r="CU747" s="835" t="str">
        <f t="shared" si="633"/>
        <v>-</v>
      </c>
      <c r="CV747" s="839"/>
      <c r="CW747" s="832"/>
      <c r="CX747" s="833" t="str">
        <f t="shared" si="634"/>
        <v>-</v>
      </c>
      <c r="CY747" s="840" t="str">
        <f t="shared" si="635"/>
        <v>-</v>
      </c>
      <c r="CZ747" s="833" t="str">
        <f t="shared" si="636"/>
        <v>-</v>
      </c>
      <c r="DA747" s="838" t="str">
        <f t="shared" ca="1" si="637"/>
        <v>-</v>
      </c>
      <c r="DB747" s="841"/>
      <c r="DC747" s="832"/>
    </row>
    <row r="748" spans="1:107" x14ac:dyDescent="0.25">
      <c r="A748" s="790">
        <v>750</v>
      </c>
      <c r="B748" s="791">
        <f t="shared" ca="1" si="586"/>
        <v>43134</v>
      </c>
      <c r="C748" s="847" t="s">
        <v>3271</v>
      </c>
      <c r="D748" s="59" t="s">
        <v>3324</v>
      </c>
      <c r="E748" s="22" t="s">
        <v>3475</v>
      </c>
      <c r="F748" s="795" t="s">
        <v>3245</v>
      </c>
      <c r="G748" s="796">
        <f>SUMIFS(МОЛОКО!L8:L6958,МОЛОКО!F8:F6958,"50390",МОЛОКО!L8:L6958,"&gt;0")</f>
        <v>0</v>
      </c>
      <c r="H748" s="797" t="s">
        <v>3236</v>
      </c>
      <c r="I748" s="798">
        <v>42392</v>
      </c>
      <c r="J748" s="799">
        <f t="shared" ca="1" si="587"/>
        <v>2.032876712328767</v>
      </c>
      <c r="K748" s="799">
        <f t="shared" ca="1" si="588"/>
        <v>24.733333333333334</v>
      </c>
      <c r="L748" s="800">
        <f t="shared" ca="1" si="589"/>
        <v>742</v>
      </c>
      <c r="M748" s="801"/>
      <c r="N748" s="802"/>
      <c r="O748" s="803" t="str">
        <f t="shared" ca="1" si="590"/>
        <v>-</v>
      </c>
      <c r="P748" s="804"/>
      <c r="Q748" s="68" t="s">
        <v>3398</v>
      </c>
      <c r="R748" s="118" t="s">
        <v>3368</v>
      </c>
      <c r="S748" s="798">
        <v>42892</v>
      </c>
      <c r="T748" s="798">
        <v>42892</v>
      </c>
      <c r="U748" s="798" t="str">
        <f t="shared" si="591"/>
        <v>-</v>
      </c>
      <c r="V748" s="804" t="str">
        <f t="shared" ca="1" si="592"/>
        <v>-</v>
      </c>
      <c r="W748" s="808">
        <v>1</v>
      </c>
      <c r="X748" s="794" t="str">
        <f t="shared" si="585"/>
        <v>-</v>
      </c>
      <c r="Y748" s="794">
        <v>1</v>
      </c>
      <c r="Z748" s="809" t="str">
        <f t="shared" ca="1" si="593"/>
        <v>-----</v>
      </c>
      <c r="AA748" s="810" t="str">
        <f t="shared" ca="1" si="594"/>
        <v>-----</v>
      </c>
      <c r="AB748" s="804">
        <v>1</v>
      </c>
      <c r="AC748" s="811" t="str">
        <f t="shared" ca="1" si="595"/>
        <v>-----</v>
      </c>
      <c r="AD748" s="798">
        <v>43029</v>
      </c>
      <c r="AE748" s="794" t="str">
        <f t="shared" ca="1" si="596"/>
        <v>-</v>
      </c>
      <c r="AF748" s="798" t="str">
        <f t="shared" si="597"/>
        <v>-</v>
      </c>
      <c r="AG748" s="812" t="str">
        <f t="shared" si="598"/>
        <v>---------</v>
      </c>
      <c r="AH748" s="807">
        <v>43018</v>
      </c>
      <c r="AI748" s="807" t="str">
        <f t="shared" si="599"/>
        <v>-</v>
      </c>
      <c r="AJ748" s="807" t="str">
        <f t="shared" si="600"/>
        <v>-</v>
      </c>
      <c r="AK748" s="813"/>
      <c r="AL748" s="807">
        <f t="shared" si="601"/>
        <v>43151</v>
      </c>
      <c r="AM748" s="807">
        <f t="shared" si="602"/>
        <v>43172</v>
      </c>
      <c r="AN748" s="814">
        <f t="shared" ca="1" si="603"/>
        <v>-38</v>
      </c>
      <c r="AO748" s="815">
        <v>1</v>
      </c>
      <c r="AP748" s="816" t="str">
        <f t="shared" ca="1" si="604"/>
        <v>-</v>
      </c>
      <c r="AQ748" s="817"/>
      <c r="AR748" s="794" t="str">
        <f t="shared" si="605"/>
        <v>НЕТЕЛЬ</v>
      </c>
      <c r="AS748" s="818"/>
      <c r="AT748" s="794" t="str">
        <f t="shared" si="606"/>
        <v>-</v>
      </c>
      <c r="AU748" s="819"/>
      <c r="AV748" s="820">
        <v>43034</v>
      </c>
      <c r="AW748" s="821">
        <v>4</v>
      </c>
      <c r="AX748" s="821">
        <v>1</v>
      </c>
      <c r="AY748" s="969">
        <f t="shared" ca="1" si="607"/>
        <v>100</v>
      </c>
      <c r="AZ748" s="966" t="str">
        <f t="shared" ca="1" si="608"/>
        <v>-</v>
      </c>
      <c r="BA748" s="971">
        <f t="shared" si="609"/>
        <v>43044</v>
      </c>
      <c r="BB748" s="975">
        <v>43045</v>
      </c>
      <c r="BC748" s="821">
        <v>4</v>
      </c>
      <c r="BD748" s="821">
        <v>4</v>
      </c>
      <c r="BE748" s="963">
        <f t="shared" ca="1" si="610"/>
        <v>89</v>
      </c>
      <c r="BF748" s="984"/>
      <c r="BG748" s="988"/>
      <c r="BH748" s="982"/>
      <c r="BI748" s="991"/>
      <c r="BJ748" s="991"/>
      <c r="BK748" s="993" t="str">
        <f t="shared" si="611"/>
        <v>-</v>
      </c>
      <c r="BL748" s="865"/>
      <c r="BM748" s="821"/>
      <c r="BN748" s="822" t="str">
        <f t="shared" si="612"/>
        <v>-</v>
      </c>
      <c r="BO748" s="823" t="str">
        <f t="shared" si="613"/>
        <v>-</v>
      </c>
      <c r="BP748" s="868"/>
      <c r="BQ748" s="821"/>
      <c r="BR748" s="822" t="str">
        <f t="shared" si="614"/>
        <v>-</v>
      </c>
      <c r="BS748" s="823" t="str">
        <f t="shared" si="615"/>
        <v>-</v>
      </c>
      <c r="BT748" s="825" t="str">
        <f t="shared" ca="1" si="616"/>
        <v>-</v>
      </c>
      <c r="BU748" s="860">
        <v>43022</v>
      </c>
      <c r="BV748" s="827">
        <v>2</v>
      </c>
      <c r="BW748" s="828">
        <f t="shared" si="617"/>
        <v>630</v>
      </c>
      <c r="BX748" s="829">
        <f t="shared" ca="1" si="618"/>
        <v>112</v>
      </c>
      <c r="BY748" s="830" t="str">
        <f t="shared" ca="1" si="619"/>
        <v>-</v>
      </c>
      <c r="BZ748" s="831">
        <v>43029</v>
      </c>
      <c r="CA748" s="832">
        <v>5</v>
      </c>
      <c r="CB748" s="833">
        <f t="shared" ca="1" si="620"/>
        <v>105</v>
      </c>
      <c r="CC748" s="834" t="str">
        <f t="shared" ca="1" si="621"/>
        <v>-</v>
      </c>
      <c r="CD748" s="835">
        <f t="shared" si="622"/>
        <v>43050</v>
      </c>
      <c r="CE748" s="831">
        <v>43050</v>
      </c>
      <c r="CF748" s="832">
        <v>5</v>
      </c>
      <c r="CG748" s="833">
        <f t="shared" ca="1" si="623"/>
        <v>84</v>
      </c>
      <c r="CH748" s="836">
        <f t="shared" si="624"/>
        <v>0</v>
      </c>
      <c r="CI748" s="837" t="str">
        <f t="shared" si="625"/>
        <v>УСПЕШНО</v>
      </c>
      <c r="CJ748" s="838" t="str">
        <f t="shared" ca="1" si="626"/>
        <v>-</v>
      </c>
      <c r="CK748" s="831"/>
      <c r="CL748" s="832"/>
      <c r="CM748" s="833" t="str">
        <f t="shared" si="627"/>
        <v>-</v>
      </c>
      <c r="CN748" s="834" t="str">
        <f t="shared" si="628"/>
        <v>-</v>
      </c>
      <c r="CO748" s="830" t="str">
        <f t="shared" ca="1" si="629"/>
        <v>ТРЕБУЕТСЯ ВАКЦИНАЦИЯ</v>
      </c>
      <c r="CP748" s="839"/>
      <c r="CQ748" s="832"/>
      <c r="CR748" s="833" t="str">
        <f t="shared" si="630"/>
        <v>-</v>
      </c>
      <c r="CS748" s="833" t="str">
        <f t="shared" si="631"/>
        <v>-</v>
      </c>
      <c r="CT748" s="834" t="str">
        <f t="shared" si="632"/>
        <v>-</v>
      </c>
      <c r="CU748" s="835" t="str">
        <f t="shared" si="633"/>
        <v>-</v>
      </c>
      <c r="CV748" s="839"/>
      <c r="CW748" s="832"/>
      <c r="CX748" s="833" t="str">
        <f t="shared" si="634"/>
        <v>-</v>
      </c>
      <c r="CY748" s="840" t="str">
        <f t="shared" si="635"/>
        <v>-</v>
      </c>
      <c r="CZ748" s="833" t="str">
        <f t="shared" si="636"/>
        <v>-</v>
      </c>
      <c r="DA748" s="838" t="str">
        <f t="shared" ca="1" si="637"/>
        <v>-</v>
      </c>
      <c r="DB748" s="841"/>
      <c r="DC748" s="832"/>
    </row>
    <row r="749" spans="1:107" x14ac:dyDescent="0.25">
      <c r="A749" s="790">
        <v>751</v>
      </c>
      <c r="B749" s="791">
        <f t="shared" ca="1" si="586"/>
        <v>43134</v>
      </c>
      <c r="C749" s="847" t="s">
        <v>3271</v>
      </c>
      <c r="D749" s="59" t="s">
        <v>3324</v>
      </c>
      <c r="E749" s="22" t="s">
        <v>3443</v>
      </c>
      <c r="F749" s="795" t="s">
        <v>3306</v>
      </c>
      <c r="G749" s="796">
        <f>SUMIFS(МОЛОКО!L8:L6958,МОЛОКО!F8:F6958,"52465",МОЛОКО!L8:L6958,"&gt;0")</f>
        <v>0</v>
      </c>
      <c r="H749" s="797" t="s">
        <v>3236</v>
      </c>
      <c r="I749" s="798">
        <v>42367</v>
      </c>
      <c r="J749" s="799">
        <f t="shared" ca="1" si="587"/>
        <v>2.1013698630136988</v>
      </c>
      <c r="K749" s="799">
        <f t="shared" ca="1" si="588"/>
        <v>25.566666666666666</v>
      </c>
      <c r="L749" s="800">
        <f t="shared" ca="1" si="589"/>
        <v>767</v>
      </c>
      <c r="M749" s="801"/>
      <c r="N749" s="802"/>
      <c r="O749" s="803" t="str">
        <f t="shared" ca="1" si="590"/>
        <v>-</v>
      </c>
      <c r="P749" s="804"/>
      <c r="Q749" s="68" t="s">
        <v>3398</v>
      </c>
      <c r="R749" s="118" t="s">
        <v>3367</v>
      </c>
      <c r="S749" s="807">
        <v>42856</v>
      </c>
      <c r="T749" s="798">
        <v>42856</v>
      </c>
      <c r="U749" s="798" t="str">
        <f t="shared" si="591"/>
        <v>-</v>
      </c>
      <c r="V749" s="804" t="str">
        <f t="shared" ca="1" si="592"/>
        <v>-</v>
      </c>
      <c r="W749" s="808">
        <v>1</v>
      </c>
      <c r="X749" s="794" t="str">
        <f t="shared" si="585"/>
        <v>-</v>
      </c>
      <c r="Y749" s="794">
        <v>1</v>
      </c>
      <c r="Z749" s="809" t="str">
        <f t="shared" ca="1" si="593"/>
        <v>-----</v>
      </c>
      <c r="AA749" s="810" t="str">
        <f t="shared" ca="1" si="594"/>
        <v>-----</v>
      </c>
      <c r="AB749" s="804">
        <v>1</v>
      </c>
      <c r="AC749" s="811" t="str">
        <f t="shared" ca="1" si="595"/>
        <v>-----</v>
      </c>
      <c r="AD749" s="798">
        <v>43029</v>
      </c>
      <c r="AE749" s="794" t="str">
        <f t="shared" ca="1" si="596"/>
        <v>-</v>
      </c>
      <c r="AF749" s="798" t="str">
        <f t="shared" si="597"/>
        <v>-</v>
      </c>
      <c r="AG749" s="812" t="str">
        <f t="shared" si="598"/>
        <v>---------</v>
      </c>
      <c r="AH749" s="807">
        <v>43018</v>
      </c>
      <c r="AI749" s="807" t="str">
        <f t="shared" si="599"/>
        <v>-</v>
      </c>
      <c r="AJ749" s="807" t="str">
        <f t="shared" si="600"/>
        <v>-</v>
      </c>
      <c r="AK749" s="813"/>
      <c r="AL749" s="807">
        <f t="shared" si="601"/>
        <v>43115</v>
      </c>
      <c r="AM749" s="807">
        <f t="shared" si="602"/>
        <v>43136</v>
      </c>
      <c r="AN749" s="814">
        <f t="shared" ca="1" si="603"/>
        <v>-2</v>
      </c>
      <c r="AO749" s="815">
        <v>1</v>
      </c>
      <c r="AP749" s="816" t="str">
        <f t="shared" ca="1" si="604"/>
        <v>-</v>
      </c>
      <c r="AQ749" s="817"/>
      <c r="AR749" s="794" t="str">
        <f t="shared" si="605"/>
        <v>НЕТЕЛЬ</v>
      </c>
      <c r="AS749" s="818"/>
      <c r="AT749" s="794" t="str">
        <f t="shared" si="606"/>
        <v>-</v>
      </c>
      <c r="AU749" s="819"/>
      <c r="AV749" s="820">
        <v>43034</v>
      </c>
      <c r="AW749" s="821">
        <v>4</v>
      </c>
      <c r="AX749" s="821">
        <v>1</v>
      </c>
      <c r="AY749" s="969">
        <f t="shared" ca="1" si="607"/>
        <v>100</v>
      </c>
      <c r="AZ749" s="966" t="str">
        <f t="shared" ca="1" si="608"/>
        <v>-</v>
      </c>
      <c r="BA749" s="971">
        <f t="shared" si="609"/>
        <v>43044</v>
      </c>
      <c r="BB749" s="975">
        <v>43045</v>
      </c>
      <c r="BC749" s="821">
        <v>4</v>
      </c>
      <c r="BD749" s="821">
        <v>4</v>
      </c>
      <c r="BE749" s="963">
        <f t="shared" ca="1" si="610"/>
        <v>89</v>
      </c>
      <c r="BF749" s="984"/>
      <c r="BG749" s="988"/>
      <c r="BH749" s="982"/>
      <c r="BI749" s="991"/>
      <c r="BJ749" s="991"/>
      <c r="BK749" s="993" t="str">
        <f t="shared" si="611"/>
        <v>-</v>
      </c>
      <c r="BL749" s="865"/>
      <c r="BM749" s="821"/>
      <c r="BN749" s="822" t="str">
        <f t="shared" si="612"/>
        <v>-</v>
      </c>
      <c r="BO749" s="823" t="str">
        <f t="shared" si="613"/>
        <v>-</v>
      </c>
      <c r="BP749" s="868"/>
      <c r="BQ749" s="821"/>
      <c r="BR749" s="822" t="str">
        <f t="shared" si="614"/>
        <v>-</v>
      </c>
      <c r="BS749" s="823" t="str">
        <f t="shared" si="615"/>
        <v>-</v>
      </c>
      <c r="BT749" s="825" t="str">
        <f t="shared" ca="1" si="616"/>
        <v>-</v>
      </c>
      <c r="BU749" s="860">
        <v>43022</v>
      </c>
      <c r="BV749" s="827">
        <v>2</v>
      </c>
      <c r="BW749" s="828">
        <f t="shared" si="617"/>
        <v>655</v>
      </c>
      <c r="BX749" s="829">
        <f t="shared" ca="1" si="618"/>
        <v>112</v>
      </c>
      <c r="BY749" s="830" t="str">
        <f t="shared" ca="1" si="619"/>
        <v>-</v>
      </c>
      <c r="BZ749" s="831">
        <v>43029</v>
      </c>
      <c r="CA749" s="832">
        <v>5</v>
      </c>
      <c r="CB749" s="833">
        <f t="shared" ca="1" si="620"/>
        <v>105</v>
      </c>
      <c r="CC749" s="834" t="str">
        <f t="shared" ca="1" si="621"/>
        <v>-</v>
      </c>
      <c r="CD749" s="835">
        <f t="shared" si="622"/>
        <v>43050</v>
      </c>
      <c r="CE749" s="831">
        <v>43050</v>
      </c>
      <c r="CF749" s="832">
        <v>5</v>
      </c>
      <c r="CG749" s="833">
        <f t="shared" ca="1" si="623"/>
        <v>84</v>
      </c>
      <c r="CH749" s="836">
        <f t="shared" si="624"/>
        <v>0</v>
      </c>
      <c r="CI749" s="837" t="str">
        <f t="shared" si="625"/>
        <v>УСПЕШНО</v>
      </c>
      <c r="CJ749" s="838" t="str">
        <f t="shared" ca="1" si="626"/>
        <v>-</v>
      </c>
      <c r="CK749" s="831"/>
      <c r="CL749" s="832"/>
      <c r="CM749" s="833" t="str">
        <f t="shared" si="627"/>
        <v>-</v>
      </c>
      <c r="CN749" s="834" t="str">
        <f t="shared" si="628"/>
        <v>-</v>
      </c>
      <c r="CO749" s="830" t="str">
        <f t="shared" ca="1" si="629"/>
        <v>ТРЕБУЕТСЯ ВАКЦИНАЦИЯ</v>
      </c>
      <c r="CP749" s="839"/>
      <c r="CQ749" s="832"/>
      <c r="CR749" s="833" t="str">
        <f t="shared" si="630"/>
        <v>-</v>
      </c>
      <c r="CS749" s="833" t="str">
        <f t="shared" si="631"/>
        <v>-</v>
      </c>
      <c r="CT749" s="834" t="str">
        <f t="shared" si="632"/>
        <v>-</v>
      </c>
      <c r="CU749" s="835" t="str">
        <f t="shared" si="633"/>
        <v>-</v>
      </c>
      <c r="CV749" s="839"/>
      <c r="CW749" s="832"/>
      <c r="CX749" s="833" t="str">
        <f t="shared" si="634"/>
        <v>-</v>
      </c>
      <c r="CY749" s="840" t="str">
        <f t="shared" si="635"/>
        <v>-</v>
      </c>
      <c r="CZ749" s="833" t="str">
        <f t="shared" si="636"/>
        <v>-</v>
      </c>
      <c r="DA749" s="838" t="str">
        <f t="shared" ca="1" si="637"/>
        <v>-</v>
      </c>
      <c r="DB749" s="841"/>
      <c r="DC749" s="832"/>
    </row>
    <row r="750" spans="1:107" x14ac:dyDescent="0.25">
      <c r="A750" s="790">
        <v>752</v>
      </c>
      <c r="B750" s="791">
        <f t="shared" ca="1" si="586"/>
        <v>43134</v>
      </c>
      <c r="C750" s="847" t="s">
        <v>3271</v>
      </c>
      <c r="D750" s="59" t="s">
        <v>3324</v>
      </c>
      <c r="E750" s="22" t="s">
        <v>3437</v>
      </c>
      <c r="F750" s="795" t="s">
        <v>3307</v>
      </c>
      <c r="G750" s="796">
        <f>SUMIFS(МОЛОКО!L8:L6958,МОЛОКО!F8:F6958,"52475",МОЛОКО!L8:L6958,"&gt;0")</f>
        <v>0</v>
      </c>
      <c r="H750" s="797" t="s">
        <v>3236</v>
      </c>
      <c r="I750" s="798">
        <v>42397</v>
      </c>
      <c r="J750" s="799">
        <f t="shared" ca="1" si="587"/>
        <v>2.0191780821917806</v>
      </c>
      <c r="K750" s="799">
        <f t="shared" ca="1" si="588"/>
        <v>24.566666666666666</v>
      </c>
      <c r="L750" s="800">
        <f t="shared" ca="1" si="589"/>
        <v>737</v>
      </c>
      <c r="M750" s="801"/>
      <c r="N750" s="802"/>
      <c r="O750" s="803" t="str">
        <f t="shared" ca="1" si="590"/>
        <v>-</v>
      </c>
      <c r="P750" s="804"/>
      <c r="Q750" s="68" t="s">
        <v>3398</v>
      </c>
      <c r="R750" s="118" t="s">
        <v>3362</v>
      </c>
      <c r="S750" s="807">
        <v>42844</v>
      </c>
      <c r="T750" s="798">
        <v>42844</v>
      </c>
      <c r="U750" s="798" t="str">
        <f t="shared" si="591"/>
        <v>-</v>
      </c>
      <c r="V750" s="804" t="str">
        <f t="shared" ca="1" si="592"/>
        <v>-</v>
      </c>
      <c r="W750" s="808">
        <v>1</v>
      </c>
      <c r="X750" s="794" t="str">
        <f t="shared" si="585"/>
        <v>-</v>
      </c>
      <c r="Y750" s="794">
        <v>1</v>
      </c>
      <c r="Z750" s="809" t="str">
        <f t="shared" ca="1" si="593"/>
        <v>-----</v>
      </c>
      <c r="AA750" s="810" t="str">
        <f t="shared" ca="1" si="594"/>
        <v>-----</v>
      </c>
      <c r="AB750" s="804">
        <v>1</v>
      </c>
      <c r="AC750" s="811" t="str">
        <f t="shared" ca="1" si="595"/>
        <v>-----</v>
      </c>
      <c r="AD750" s="798">
        <v>43029</v>
      </c>
      <c r="AE750" s="794" t="str">
        <f t="shared" ca="1" si="596"/>
        <v>-</v>
      </c>
      <c r="AF750" s="798" t="str">
        <f t="shared" si="597"/>
        <v>-</v>
      </c>
      <c r="AG750" s="812" t="str">
        <f t="shared" si="598"/>
        <v>---------</v>
      </c>
      <c r="AH750" s="807">
        <v>43018</v>
      </c>
      <c r="AI750" s="807" t="str">
        <f t="shared" si="599"/>
        <v>-</v>
      </c>
      <c r="AJ750" s="807" t="str">
        <f t="shared" si="600"/>
        <v>-</v>
      </c>
      <c r="AK750" s="813"/>
      <c r="AL750" s="807">
        <f t="shared" si="601"/>
        <v>43103</v>
      </c>
      <c r="AM750" s="807">
        <f t="shared" si="602"/>
        <v>43124</v>
      </c>
      <c r="AN750" s="814">
        <f t="shared" ca="1" si="603"/>
        <v>10</v>
      </c>
      <c r="AO750" s="815">
        <v>1</v>
      </c>
      <c r="AP750" s="816" t="str">
        <f t="shared" ca="1" si="604"/>
        <v>-</v>
      </c>
      <c r="AQ750" s="817"/>
      <c r="AR750" s="794" t="str">
        <f t="shared" si="605"/>
        <v>НЕТЕЛЬ</v>
      </c>
      <c r="AS750" s="818"/>
      <c r="AT750" s="794" t="str">
        <f t="shared" si="606"/>
        <v>-</v>
      </c>
      <c r="AU750" s="819"/>
      <c r="AV750" s="820">
        <v>43034</v>
      </c>
      <c r="AW750" s="821">
        <v>4</v>
      </c>
      <c r="AX750" s="821">
        <v>1</v>
      </c>
      <c r="AY750" s="969">
        <f t="shared" ca="1" si="607"/>
        <v>100</v>
      </c>
      <c r="AZ750" s="966" t="str">
        <f t="shared" ca="1" si="608"/>
        <v>-</v>
      </c>
      <c r="BA750" s="971">
        <f t="shared" si="609"/>
        <v>43044</v>
      </c>
      <c r="BB750" s="975">
        <v>43045</v>
      </c>
      <c r="BC750" s="821">
        <v>4</v>
      </c>
      <c r="BD750" s="821">
        <v>4</v>
      </c>
      <c r="BE750" s="963">
        <f t="shared" ca="1" si="610"/>
        <v>89</v>
      </c>
      <c r="BF750" s="984"/>
      <c r="BG750" s="988"/>
      <c r="BH750" s="982"/>
      <c r="BI750" s="991"/>
      <c r="BJ750" s="991"/>
      <c r="BK750" s="993" t="str">
        <f t="shared" si="611"/>
        <v>-</v>
      </c>
      <c r="BL750" s="865"/>
      <c r="BM750" s="821"/>
      <c r="BN750" s="822" t="str">
        <f t="shared" si="612"/>
        <v>-</v>
      </c>
      <c r="BO750" s="823" t="str">
        <f t="shared" si="613"/>
        <v>-</v>
      </c>
      <c r="BP750" s="868"/>
      <c r="BQ750" s="821"/>
      <c r="BR750" s="822" t="str">
        <f t="shared" si="614"/>
        <v>-</v>
      </c>
      <c r="BS750" s="823" t="str">
        <f t="shared" si="615"/>
        <v>-</v>
      </c>
      <c r="BT750" s="825" t="str">
        <f t="shared" ca="1" si="616"/>
        <v>-</v>
      </c>
      <c r="BU750" s="860">
        <v>43022</v>
      </c>
      <c r="BV750" s="827">
        <v>2</v>
      </c>
      <c r="BW750" s="828">
        <f t="shared" si="617"/>
        <v>625</v>
      </c>
      <c r="BX750" s="829">
        <f t="shared" ca="1" si="618"/>
        <v>112</v>
      </c>
      <c r="BY750" s="830" t="str">
        <f t="shared" ca="1" si="619"/>
        <v>-</v>
      </c>
      <c r="BZ750" s="831">
        <v>43029</v>
      </c>
      <c r="CA750" s="832">
        <v>5</v>
      </c>
      <c r="CB750" s="833">
        <f t="shared" ca="1" si="620"/>
        <v>105</v>
      </c>
      <c r="CC750" s="834" t="str">
        <f t="shared" ca="1" si="621"/>
        <v>-</v>
      </c>
      <c r="CD750" s="835">
        <f t="shared" si="622"/>
        <v>43050</v>
      </c>
      <c r="CE750" s="831">
        <v>43050</v>
      </c>
      <c r="CF750" s="832">
        <v>5</v>
      </c>
      <c r="CG750" s="833">
        <f t="shared" ca="1" si="623"/>
        <v>84</v>
      </c>
      <c r="CH750" s="836">
        <f t="shared" si="624"/>
        <v>0</v>
      </c>
      <c r="CI750" s="837" t="str">
        <f t="shared" si="625"/>
        <v>УСПЕШНО</v>
      </c>
      <c r="CJ750" s="838" t="str">
        <f t="shared" ca="1" si="626"/>
        <v>-</v>
      </c>
      <c r="CK750" s="831"/>
      <c r="CL750" s="832"/>
      <c r="CM750" s="833" t="str">
        <f t="shared" si="627"/>
        <v>-</v>
      </c>
      <c r="CN750" s="834" t="str">
        <f t="shared" si="628"/>
        <v>-</v>
      </c>
      <c r="CO750" s="830" t="str">
        <f t="shared" ca="1" si="629"/>
        <v>ТРЕБУЕТСЯ ВАКЦИНАЦИЯ</v>
      </c>
      <c r="CP750" s="839"/>
      <c r="CQ750" s="832"/>
      <c r="CR750" s="833" t="str">
        <f t="shared" si="630"/>
        <v>-</v>
      </c>
      <c r="CS750" s="833" t="str">
        <f t="shared" si="631"/>
        <v>-</v>
      </c>
      <c r="CT750" s="834" t="str">
        <f t="shared" si="632"/>
        <v>-</v>
      </c>
      <c r="CU750" s="835" t="str">
        <f t="shared" si="633"/>
        <v>-</v>
      </c>
      <c r="CV750" s="839"/>
      <c r="CW750" s="832"/>
      <c r="CX750" s="833" t="str">
        <f t="shared" si="634"/>
        <v>-</v>
      </c>
      <c r="CY750" s="840" t="str">
        <f t="shared" si="635"/>
        <v>-</v>
      </c>
      <c r="CZ750" s="833" t="str">
        <f t="shared" si="636"/>
        <v>-</v>
      </c>
      <c r="DA750" s="838" t="str">
        <f t="shared" ca="1" si="637"/>
        <v>-</v>
      </c>
      <c r="DB750" s="841"/>
      <c r="DC750" s="832"/>
    </row>
    <row r="751" spans="1:107" x14ac:dyDescent="0.25">
      <c r="A751" s="790">
        <v>753</v>
      </c>
      <c r="B751" s="791">
        <f t="shared" ca="1" si="586"/>
        <v>43134</v>
      </c>
      <c r="C751" s="847" t="s">
        <v>3271</v>
      </c>
      <c r="D751" s="59" t="s">
        <v>3324</v>
      </c>
      <c r="E751" s="22" t="s">
        <v>3487</v>
      </c>
      <c r="F751" s="795" t="s">
        <v>3268</v>
      </c>
      <c r="G751" s="796">
        <f>SUMIFS(МОЛОКО!L8:L6958,МОЛОКО!F8:F6958,"55114",МОЛОКО!L8:L6958,"&gt;0")</f>
        <v>0</v>
      </c>
      <c r="H751" s="797" t="s">
        <v>3236</v>
      </c>
      <c r="I751" s="798">
        <v>42298</v>
      </c>
      <c r="J751" s="799">
        <f t="shared" ca="1" si="587"/>
        <v>2.2904109589041095</v>
      </c>
      <c r="K751" s="799">
        <f t="shared" ca="1" si="588"/>
        <v>27.866666666666667</v>
      </c>
      <c r="L751" s="800">
        <f t="shared" ca="1" si="589"/>
        <v>836</v>
      </c>
      <c r="M751" s="801"/>
      <c r="N751" s="802"/>
      <c r="O751" s="803" t="str">
        <f t="shared" ca="1" si="590"/>
        <v>-</v>
      </c>
      <c r="P751" s="804"/>
      <c r="Q751" s="68" t="s">
        <v>3398</v>
      </c>
      <c r="R751" s="118" t="s">
        <v>3367</v>
      </c>
      <c r="S751" s="798">
        <v>42887</v>
      </c>
      <c r="T751" s="798">
        <v>42887</v>
      </c>
      <c r="U751" s="798" t="str">
        <f t="shared" si="591"/>
        <v>-</v>
      </c>
      <c r="V751" s="804" t="str">
        <f t="shared" ca="1" si="592"/>
        <v>-</v>
      </c>
      <c r="W751" s="808">
        <v>1</v>
      </c>
      <c r="X751" s="794" t="str">
        <f t="shared" si="585"/>
        <v>-</v>
      </c>
      <c r="Y751" s="794">
        <v>1</v>
      </c>
      <c r="Z751" s="809" t="str">
        <f t="shared" ca="1" si="593"/>
        <v>-----</v>
      </c>
      <c r="AA751" s="810" t="str">
        <f t="shared" ca="1" si="594"/>
        <v>-----</v>
      </c>
      <c r="AB751" s="804">
        <v>1</v>
      </c>
      <c r="AC751" s="811" t="str">
        <f t="shared" ca="1" si="595"/>
        <v>-----</v>
      </c>
      <c r="AD751" s="798">
        <v>43029</v>
      </c>
      <c r="AE751" s="794" t="str">
        <f t="shared" ca="1" si="596"/>
        <v>-</v>
      </c>
      <c r="AF751" s="798" t="str">
        <f t="shared" si="597"/>
        <v>-</v>
      </c>
      <c r="AG751" s="812" t="str">
        <f t="shared" si="598"/>
        <v>---------</v>
      </c>
      <c r="AH751" s="807">
        <v>43018</v>
      </c>
      <c r="AI751" s="807" t="str">
        <f t="shared" si="599"/>
        <v>-</v>
      </c>
      <c r="AJ751" s="807" t="str">
        <f t="shared" si="600"/>
        <v>-</v>
      </c>
      <c r="AK751" s="813"/>
      <c r="AL751" s="807">
        <f t="shared" si="601"/>
        <v>43146</v>
      </c>
      <c r="AM751" s="807">
        <f t="shared" si="602"/>
        <v>43167</v>
      </c>
      <c r="AN751" s="814">
        <f t="shared" ca="1" si="603"/>
        <v>-33</v>
      </c>
      <c r="AO751" s="815">
        <v>1</v>
      </c>
      <c r="AP751" s="816" t="str">
        <f t="shared" ca="1" si="604"/>
        <v>-</v>
      </c>
      <c r="AQ751" s="817"/>
      <c r="AR751" s="794" t="str">
        <f t="shared" si="605"/>
        <v>НЕТЕЛЬ</v>
      </c>
      <c r="AS751" s="818"/>
      <c r="AT751" s="794" t="str">
        <f t="shared" si="606"/>
        <v>-</v>
      </c>
      <c r="AU751" s="819"/>
      <c r="AV751" s="820">
        <v>43034</v>
      </c>
      <c r="AW751" s="821">
        <v>4</v>
      </c>
      <c r="AX751" s="821">
        <v>1</v>
      </c>
      <c r="AY751" s="969">
        <f t="shared" ca="1" si="607"/>
        <v>100</v>
      </c>
      <c r="AZ751" s="966" t="str">
        <f t="shared" ca="1" si="608"/>
        <v>-</v>
      </c>
      <c r="BA751" s="971">
        <f t="shared" si="609"/>
        <v>43044</v>
      </c>
      <c r="BB751" s="975">
        <v>43045</v>
      </c>
      <c r="BC751" s="821">
        <v>4</v>
      </c>
      <c r="BD751" s="821">
        <v>4</v>
      </c>
      <c r="BE751" s="963">
        <f t="shared" ca="1" si="610"/>
        <v>89</v>
      </c>
      <c r="BF751" s="984"/>
      <c r="BG751" s="988"/>
      <c r="BH751" s="982"/>
      <c r="BI751" s="991"/>
      <c r="BJ751" s="991"/>
      <c r="BK751" s="993" t="str">
        <f t="shared" si="611"/>
        <v>-</v>
      </c>
      <c r="BL751" s="865"/>
      <c r="BM751" s="821"/>
      <c r="BN751" s="822" t="str">
        <f t="shared" si="612"/>
        <v>-</v>
      </c>
      <c r="BO751" s="823" t="str">
        <f t="shared" si="613"/>
        <v>-</v>
      </c>
      <c r="BP751" s="868"/>
      <c r="BQ751" s="821"/>
      <c r="BR751" s="822" t="str">
        <f t="shared" si="614"/>
        <v>-</v>
      </c>
      <c r="BS751" s="823" t="str">
        <f t="shared" si="615"/>
        <v>-</v>
      </c>
      <c r="BT751" s="825" t="str">
        <f t="shared" ca="1" si="616"/>
        <v>-</v>
      </c>
      <c r="BU751" s="860">
        <v>43022</v>
      </c>
      <c r="BV751" s="827">
        <v>2</v>
      </c>
      <c r="BW751" s="828">
        <f t="shared" si="617"/>
        <v>724</v>
      </c>
      <c r="BX751" s="829">
        <f t="shared" ca="1" si="618"/>
        <v>112</v>
      </c>
      <c r="BY751" s="830" t="str">
        <f t="shared" ca="1" si="619"/>
        <v>-</v>
      </c>
      <c r="BZ751" s="831">
        <v>43029</v>
      </c>
      <c r="CA751" s="832">
        <v>5</v>
      </c>
      <c r="CB751" s="833">
        <f t="shared" ca="1" si="620"/>
        <v>105</v>
      </c>
      <c r="CC751" s="834" t="str">
        <f t="shared" ca="1" si="621"/>
        <v>-</v>
      </c>
      <c r="CD751" s="835">
        <f t="shared" si="622"/>
        <v>43050</v>
      </c>
      <c r="CE751" s="831">
        <v>43050</v>
      </c>
      <c r="CF751" s="832">
        <v>5</v>
      </c>
      <c r="CG751" s="833">
        <f t="shared" ca="1" si="623"/>
        <v>84</v>
      </c>
      <c r="CH751" s="836">
        <f t="shared" si="624"/>
        <v>0</v>
      </c>
      <c r="CI751" s="837" t="str">
        <f t="shared" si="625"/>
        <v>УСПЕШНО</v>
      </c>
      <c r="CJ751" s="838" t="str">
        <f t="shared" ca="1" si="626"/>
        <v>-</v>
      </c>
      <c r="CK751" s="831"/>
      <c r="CL751" s="832"/>
      <c r="CM751" s="833" t="str">
        <f t="shared" si="627"/>
        <v>-</v>
      </c>
      <c r="CN751" s="834" t="str">
        <f t="shared" si="628"/>
        <v>-</v>
      </c>
      <c r="CO751" s="830" t="str">
        <f t="shared" ca="1" si="629"/>
        <v>ТРЕБУЕТСЯ ВАКЦИНАЦИЯ</v>
      </c>
      <c r="CP751" s="839"/>
      <c r="CQ751" s="832"/>
      <c r="CR751" s="833" t="str">
        <f t="shared" si="630"/>
        <v>-</v>
      </c>
      <c r="CS751" s="833" t="str">
        <f t="shared" si="631"/>
        <v>-</v>
      </c>
      <c r="CT751" s="834" t="str">
        <f t="shared" si="632"/>
        <v>-</v>
      </c>
      <c r="CU751" s="835" t="str">
        <f t="shared" si="633"/>
        <v>-</v>
      </c>
      <c r="CV751" s="839"/>
      <c r="CW751" s="832"/>
      <c r="CX751" s="833" t="str">
        <f t="shared" si="634"/>
        <v>-</v>
      </c>
      <c r="CY751" s="840" t="str">
        <f t="shared" si="635"/>
        <v>-</v>
      </c>
      <c r="CZ751" s="833" t="str">
        <f t="shared" si="636"/>
        <v>-</v>
      </c>
      <c r="DA751" s="838" t="str">
        <f t="shared" ca="1" si="637"/>
        <v>-</v>
      </c>
      <c r="DB751" s="841"/>
      <c r="DC751" s="832"/>
    </row>
    <row r="752" spans="1:107" x14ac:dyDescent="0.25">
      <c r="A752" s="790">
        <v>754</v>
      </c>
      <c r="B752" s="791">
        <f t="shared" ca="1" si="586"/>
        <v>43134</v>
      </c>
      <c r="C752" s="847" t="s">
        <v>3271</v>
      </c>
      <c r="D752" s="59" t="s">
        <v>3324</v>
      </c>
      <c r="E752" s="22" t="s">
        <v>3424</v>
      </c>
      <c r="F752" s="795" t="s">
        <v>3298</v>
      </c>
      <c r="G752" s="796">
        <f>SUMIFS(МОЛОКО!L8:L6958,МОЛОКО!F8:F6958,"56160",МОЛОКО!L8:L6958,"&gt;0")</f>
        <v>0</v>
      </c>
      <c r="H752" s="797" t="s">
        <v>3236</v>
      </c>
      <c r="I752" s="798">
        <v>42339</v>
      </c>
      <c r="J752" s="799">
        <f t="shared" ca="1" si="587"/>
        <v>2.1780821917808217</v>
      </c>
      <c r="K752" s="799">
        <f t="shared" ca="1" si="588"/>
        <v>26.5</v>
      </c>
      <c r="L752" s="800">
        <f t="shared" ca="1" si="589"/>
        <v>795</v>
      </c>
      <c r="M752" s="801"/>
      <c r="N752" s="802"/>
      <c r="O752" s="803" t="str">
        <f t="shared" ca="1" si="590"/>
        <v>-</v>
      </c>
      <c r="P752" s="804"/>
      <c r="Q752" s="68" t="s">
        <v>3398</v>
      </c>
      <c r="R752" s="118" t="s">
        <v>3362</v>
      </c>
      <c r="S752" s="807">
        <v>42893</v>
      </c>
      <c r="T752" s="798">
        <v>42893</v>
      </c>
      <c r="U752" s="798" t="str">
        <f t="shared" si="591"/>
        <v>-</v>
      </c>
      <c r="V752" s="804" t="str">
        <f t="shared" ca="1" si="592"/>
        <v>-</v>
      </c>
      <c r="W752" s="808">
        <v>1</v>
      </c>
      <c r="X752" s="794" t="str">
        <f t="shared" si="585"/>
        <v>-</v>
      </c>
      <c r="Y752" s="794">
        <v>1</v>
      </c>
      <c r="Z752" s="809" t="str">
        <f t="shared" ca="1" si="593"/>
        <v>-----</v>
      </c>
      <c r="AA752" s="810" t="str">
        <f t="shared" ca="1" si="594"/>
        <v>-----</v>
      </c>
      <c r="AB752" s="804">
        <v>1</v>
      </c>
      <c r="AC752" s="811" t="str">
        <f t="shared" ca="1" si="595"/>
        <v>-----</v>
      </c>
      <c r="AD752" s="798">
        <v>43029</v>
      </c>
      <c r="AE752" s="794" t="str">
        <f t="shared" ca="1" si="596"/>
        <v>-</v>
      </c>
      <c r="AF752" s="798" t="str">
        <f t="shared" si="597"/>
        <v>-</v>
      </c>
      <c r="AG752" s="812" t="str">
        <f t="shared" si="598"/>
        <v>---------</v>
      </c>
      <c r="AH752" s="807">
        <v>43018</v>
      </c>
      <c r="AI752" s="807" t="str">
        <f t="shared" si="599"/>
        <v>-</v>
      </c>
      <c r="AJ752" s="807" t="str">
        <f t="shared" si="600"/>
        <v>-</v>
      </c>
      <c r="AK752" s="813"/>
      <c r="AL752" s="807">
        <f t="shared" si="601"/>
        <v>43152</v>
      </c>
      <c r="AM752" s="807">
        <f t="shared" si="602"/>
        <v>43173</v>
      </c>
      <c r="AN752" s="814">
        <f t="shared" ca="1" si="603"/>
        <v>-39</v>
      </c>
      <c r="AO752" s="815">
        <v>1</v>
      </c>
      <c r="AP752" s="816" t="str">
        <f t="shared" ca="1" si="604"/>
        <v>-</v>
      </c>
      <c r="AQ752" s="817"/>
      <c r="AR752" s="794" t="str">
        <f t="shared" si="605"/>
        <v>НЕТЕЛЬ</v>
      </c>
      <c r="AS752" s="818"/>
      <c r="AT752" s="794" t="str">
        <f t="shared" si="606"/>
        <v>-</v>
      </c>
      <c r="AU752" s="819"/>
      <c r="AV752" s="820">
        <v>43034</v>
      </c>
      <c r="AW752" s="821">
        <v>4</v>
      </c>
      <c r="AX752" s="821">
        <v>1</v>
      </c>
      <c r="AY752" s="969">
        <f t="shared" ca="1" si="607"/>
        <v>100</v>
      </c>
      <c r="AZ752" s="966" t="str">
        <f t="shared" ca="1" si="608"/>
        <v>-</v>
      </c>
      <c r="BA752" s="971">
        <f t="shared" si="609"/>
        <v>43044</v>
      </c>
      <c r="BB752" s="975">
        <v>43045</v>
      </c>
      <c r="BC752" s="821">
        <v>4</v>
      </c>
      <c r="BD752" s="821">
        <v>4</v>
      </c>
      <c r="BE752" s="963">
        <f t="shared" ca="1" si="610"/>
        <v>89</v>
      </c>
      <c r="BF752" s="984"/>
      <c r="BG752" s="988"/>
      <c r="BH752" s="982"/>
      <c r="BI752" s="991"/>
      <c r="BJ752" s="991"/>
      <c r="BK752" s="993" t="str">
        <f t="shared" si="611"/>
        <v>-</v>
      </c>
      <c r="BL752" s="865"/>
      <c r="BM752" s="821"/>
      <c r="BN752" s="822" t="str">
        <f t="shared" si="612"/>
        <v>-</v>
      </c>
      <c r="BO752" s="823" t="str">
        <f t="shared" si="613"/>
        <v>-</v>
      </c>
      <c r="BP752" s="868"/>
      <c r="BQ752" s="821"/>
      <c r="BR752" s="822" t="str">
        <f t="shared" si="614"/>
        <v>-</v>
      </c>
      <c r="BS752" s="823" t="str">
        <f t="shared" si="615"/>
        <v>-</v>
      </c>
      <c r="BT752" s="825" t="str">
        <f t="shared" ca="1" si="616"/>
        <v>-</v>
      </c>
      <c r="BU752" s="860">
        <v>43022</v>
      </c>
      <c r="BV752" s="827">
        <v>2</v>
      </c>
      <c r="BW752" s="828">
        <f t="shared" si="617"/>
        <v>683</v>
      </c>
      <c r="BX752" s="829">
        <f t="shared" ca="1" si="618"/>
        <v>112</v>
      </c>
      <c r="BY752" s="830" t="str">
        <f t="shared" ca="1" si="619"/>
        <v>-</v>
      </c>
      <c r="BZ752" s="831">
        <v>43029</v>
      </c>
      <c r="CA752" s="832">
        <v>5</v>
      </c>
      <c r="CB752" s="833">
        <f t="shared" ca="1" si="620"/>
        <v>105</v>
      </c>
      <c r="CC752" s="834" t="str">
        <f t="shared" ca="1" si="621"/>
        <v>-</v>
      </c>
      <c r="CD752" s="835">
        <f t="shared" si="622"/>
        <v>43050</v>
      </c>
      <c r="CE752" s="831">
        <v>43050</v>
      </c>
      <c r="CF752" s="832">
        <v>5</v>
      </c>
      <c r="CG752" s="833">
        <f t="shared" ca="1" si="623"/>
        <v>84</v>
      </c>
      <c r="CH752" s="836">
        <f t="shared" si="624"/>
        <v>0</v>
      </c>
      <c r="CI752" s="837" t="str">
        <f t="shared" si="625"/>
        <v>УСПЕШНО</v>
      </c>
      <c r="CJ752" s="838" t="str">
        <f t="shared" ca="1" si="626"/>
        <v>-</v>
      </c>
      <c r="CK752" s="831"/>
      <c r="CL752" s="832"/>
      <c r="CM752" s="833" t="str">
        <f t="shared" si="627"/>
        <v>-</v>
      </c>
      <c r="CN752" s="834" t="str">
        <f t="shared" si="628"/>
        <v>-</v>
      </c>
      <c r="CO752" s="830" t="str">
        <f t="shared" ca="1" si="629"/>
        <v>ТРЕБУЕТСЯ ВАКЦИНАЦИЯ</v>
      </c>
      <c r="CP752" s="839"/>
      <c r="CQ752" s="832"/>
      <c r="CR752" s="833" t="str">
        <f t="shared" si="630"/>
        <v>-</v>
      </c>
      <c r="CS752" s="833" t="str">
        <f t="shared" si="631"/>
        <v>-</v>
      </c>
      <c r="CT752" s="834" t="str">
        <f t="shared" si="632"/>
        <v>-</v>
      </c>
      <c r="CU752" s="835" t="str">
        <f t="shared" si="633"/>
        <v>-</v>
      </c>
      <c r="CV752" s="839"/>
      <c r="CW752" s="832"/>
      <c r="CX752" s="833" t="str">
        <f t="shared" si="634"/>
        <v>-</v>
      </c>
      <c r="CY752" s="840" t="str">
        <f t="shared" si="635"/>
        <v>-</v>
      </c>
      <c r="CZ752" s="833" t="str">
        <f t="shared" si="636"/>
        <v>-</v>
      </c>
      <c r="DA752" s="838" t="str">
        <f t="shared" ca="1" si="637"/>
        <v>-</v>
      </c>
      <c r="DB752" s="841"/>
      <c r="DC752" s="832"/>
    </row>
    <row r="753" spans="1:107" x14ac:dyDescent="0.25">
      <c r="A753" s="790">
        <v>755</v>
      </c>
      <c r="B753" s="791">
        <f t="shared" ca="1" si="586"/>
        <v>43134</v>
      </c>
      <c r="C753" s="847" t="s">
        <v>3271</v>
      </c>
      <c r="D753" s="59" t="s">
        <v>3324</v>
      </c>
      <c r="E753" s="22" t="s">
        <v>3444</v>
      </c>
      <c r="F753" s="795" t="s">
        <v>3299</v>
      </c>
      <c r="G753" s="796">
        <f>SUMIFS(МОЛОКО!L8:L6958,МОЛОКО!F8:F6958,"56161",МОЛОКО!L8:L6958,"&gt;0")</f>
        <v>0</v>
      </c>
      <c r="H753" s="797" t="s">
        <v>3236</v>
      </c>
      <c r="I753" s="798">
        <v>42340</v>
      </c>
      <c r="J753" s="799">
        <f t="shared" ca="1" si="587"/>
        <v>2.1753424657534248</v>
      </c>
      <c r="K753" s="799">
        <f t="shared" ca="1" si="588"/>
        <v>26.466666666666665</v>
      </c>
      <c r="L753" s="800">
        <f t="shared" ca="1" si="589"/>
        <v>794</v>
      </c>
      <c r="M753" s="801"/>
      <c r="N753" s="802"/>
      <c r="O753" s="803" t="str">
        <f t="shared" ca="1" si="590"/>
        <v>-</v>
      </c>
      <c r="P753" s="804"/>
      <c r="Q753" s="68" t="s">
        <v>3398</v>
      </c>
      <c r="R753" s="118" t="s">
        <v>3362</v>
      </c>
      <c r="S753" s="807">
        <v>42845</v>
      </c>
      <c r="T753" s="798">
        <v>42845</v>
      </c>
      <c r="U753" s="798" t="str">
        <f t="shared" si="591"/>
        <v>-</v>
      </c>
      <c r="V753" s="804" t="str">
        <f t="shared" ca="1" si="592"/>
        <v>-</v>
      </c>
      <c r="W753" s="808">
        <v>1</v>
      </c>
      <c r="X753" s="794" t="str">
        <f t="shared" si="585"/>
        <v>-</v>
      </c>
      <c r="Y753" s="794">
        <v>1</v>
      </c>
      <c r="Z753" s="809" t="str">
        <f t="shared" ca="1" si="593"/>
        <v>-----</v>
      </c>
      <c r="AA753" s="810" t="str">
        <f t="shared" ca="1" si="594"/>
        <v>-----</v>
      </c>
      <c r="AB753" s="804">
        <v>1</v>
      </c>
      <c r="AC753" s="811" t="str">
        <f t="shared" ca="1" si="595"/>
        <v>-----</v>
      </c>
      <c r="AD753" s="798">
        <v>43029</v>
      </c>
      <c r="AE753" s="794" t="str">
        <f t="shared" ca="1" si="596"/>
        <v>-</v>
      </c>
      <c r="AF753" s="798" t="str">
        <f t="shared" si="597"/>
        <v>-</v>
      </c>
      <c r="AG753" s="812" t="str">
        <f t="shared" si="598"/>
        <v>---------</v>
      </c>
      <c r="AH753" s="807">
        <v>43018</v>
      </c>
      <c r="AI753" s="807" t="str">
        <f t="shared" si="599"/>
        <v>-</v>
      </c>
      <c r="AJ753" s="807" t="str">
        <f t="shared" si="600"/>
        <v>-</v>
      </c>
      <c r="AK753" s="813"/>
      <c r="AL753" s="807">
        <f t="shared" si="601"/>
        <v>43104</v>
      </c>
      <c r="AM753" s="807">
        <f t="shared" si="602"/>
        <v>43125</v>
      </c>
      <c r="AN753" s="814">
        <f t="shared" ca="1" si="603"/>
        <v>9</v>
      </c>
      <c r="AO753" s="815">
        <v>1</v>
      </c>
      <c r="AP753" s="816" t="str">
        <f t="shared" ca="1" si="604"/>
        <v>-</v>
      </c>
      <c r="AQ753" s="817"/>
      <c r="AR753" s="794" t="str">
        <f t="shared" si="605"/>
        <v>НЕТЕЛЬ</v>
      </c>
      <c r="AS753" s="818"/>
      <c r="AT753" s="794" t="str">
        <f t="shared" si="606"/>
        <v>-</v>
      </c>
      <c r="AU753" s="819"/>
      <c r="AV753" s="820">
        <v>43034</v>
      </c>
      <c r="AW753" s="821">
        <v>4</v>
      </c>
      <c r="AX753" s="821">
        <v>1</v>
      </c>
      <c r="AY753" s="969">
        <f t="shared" ca="1" si="607"/>
        <v>100</v>
      </c>
      <c r="AZ753" s="966" t="str">
        <f t="shared" ca="1" si="608"/>
        <v>-</v>
      </c>
      <c r="BA753" s="971">
        <f t="shared" si="609"/>
        <v>43044</v>
      </c>
      <c r="BB753" s="975">
        <v>43045</v>
      </c>
      <c r="BC753" s="821">
        <v>4</v>
      </c>
      <c r="BD753" s="821">
        <v>4</v>
      </c>
      <c r="BE753" s="963">
        <f t="shared" ca="1" si="610"/>
        <v>89</v>
      </c>
      <c r="BF753" s="984"/>
      <c r="BG753" s="988"/>
      <c r="BH753" s="982"/>
      <c r="BI753" s="991"/>
      <c r="BJ753" s="991"/>
      <c r="BK753" s="993" t="str">
        <f t="shared" si="611"/>
        <v>-</v>
      </c>
      <c r="BL753" s="865"/>
      <c r="BM753" s="821"/>
      <c r="BN753" s="822" t="str">
        <f t="shared" si="612"/>
        <v>-</v>
      </c>
      <c r="BO753" s="823" t="str">
        <f t="shared" si="613"/>
        <v>-</v>
      </c>
      <c r="BP753" s="868"/>
      <c r="BQ753" s="821"/>
      <c r="BR753" s="822" t="str">
        <f t="shared" si="614"/>
        <v>-</v>
      </c>
      <c r="BS753" s="823" t="str">
        <f t="shared" si="615"/>
        <v>-</v>
      </c>
      <c r="BT753" s="825" t="str">
        <f t="shared" ca="1" si="616"/>
        <v>-</v>
      </c>
      <c r="BU753" s="860">
        <v>43022</v>
      </c>
      <c r="BV753" s="827">
        <v>2</v>
      </c>
      <c r="BW753" s="828">
        <f t="shared" si="617"/>
        <v>682</v>
      </c>
      <c r="BX753" s="829">
        <f t="shared" ca="1" si="618"/>
        <v>112</v>
      </c>
      <c r="BY753" s="830" t="str">
        <f t="shared" ca="1" si="619"/>
        <v>-</v>
      </c>
      <c r="BZ753" s="831">
        <v>43029</v>
      </c>
      <c r="CA753" s="832">
        <v>5</v>
      </c>
      <c r="CB753" s="833">
        <f t="shared" ca="1" si="620"/>
        <v>105</v>
      </c>
      <c r="CC753" s="834" t="str">
        <f t="shared" ca="1" si="621"/>
        <v>-</v>
      </c>
      <c r="CD753" s="835">
        <f t="shared" si="622"/>
        <v>43050</v>
      </c>
      <c r="CE753" s="831">
        <v>43050</v>
      </c>
      <c r="CF753" s="832">
        <v>5</v>
      </c>
      <c r="CG753" s="833">
        <f t="shared" ca="1" si="623"/>
        <v>84</v>
      </c>
      <c r="CH753" s="836">
        <f t="shared" si="624"/>
        <v>0</v>
      </c>
      <c r="CI753" s="837" t="str">
        <f t="shared" si="625"/>
        <v>УСПЕШНО</v>
      </c>
      <c r="CJ753" s="838" t="str">
        <f t="shared" ca="1" si="626"/>
        <v>-</v>
      </c>
      <c r="CK753" s="831"/>
      <c r="CL753" s="832"/>
      <c r="CM753" s="833" t="str">
        <f t="shared" si="627"/>
        <v>-</v>
      </c>
      <c r="CN753" s="834" t="str">
        <f t="shared" si="628"/>
        <v>-</v>
      </c>
      <c r="CO753" s="830" t="str">
        <f t="shared" ca="1" si="629"/>
        <v>ТРЕБУЕТСЯ ВАКЦИНАЦИЯ</v>
      </c>
      <c r="CP753" s="839"/>
      <c r="CQ753" s="832"/>
      <c r="CR753" s="833" t="str">
        <f t="shared" si="630"/>
        <v>-</v>
      </c>
      <c r="CS753" s="833" t="str">
        <f t="shared" si="631"/>
        <v>-</v>
      </c>
      <c r="CT753" s="834" t="str">
        <f t="shared" si="632"/>
        <v>-</v>
      </c>
      <c r="CU753" s="835" t="str">
        <f t="shared" si="633"/>
        <v>-</v>
      </c>
      <c r="CV753" s="839"/>
      <c r="CW753" s="832"/>
      <c r="CX753" s="833" t="str">
        <f t="shared" si="634"/>
        <v>-</v>
      </c>
      <c r="CY753" s="840" t="str">
        <f t="shared" si="635"/>
        <v>-</v>
      </c>
      <c r="CZ753" s="833" t="str">
        <f t="shared" si="636"/>
        <v>-</v>
      </c>
      <c r="DA753" s="838" t="str">
        <f t="shared" ca="1" si="637"/>
        <v>-</v>
      </c>
      <c r="DB753" s="841"/>
      <c r="DC753" s="832"/>
    </row>
    <row r="754" spans="1:107" x14ac:dyDescent="0.25">
      <c r="A754" s="790">
        <v>756</v>
      </c>
      <c r="B754" s="791">
        <f t="shared" ca="1" si="586"/>
        <v>43134</v>
      </c>
      <c r="C754" s="847" t="s">
        <v>3271</v>
      </c>
      <c r="D754" s="59" t="s">
        <v>3324</v>
      </c>
      <c r="E754" s="22" t="s">
        <v>3433</v>
      </c>
      <c r="F754" s="795" t="s">
        <v>3300</v>
      </c>
      <c r="G754" s="845"/>
      <c r="H754" s="797" t="s">
        <v>3236</v>
      </c>
      <c r="I754" s="798">
        <v>42353</v>
      </c>
      <c r="J754" s="799">
        <f t="shared" ca="1" si="587"/>
        <v>2.1397260273972605</v>
      </c>
      <c r="K754" s="799">
        <f t="shared" ca="1" si="588"/>
        <v>26.033333333333335</v>
      </c>
      <c r="L754" s="800">
        <f t="shared" ca="1" si="589"/>
        <v>781</v>
      </c>
      <c r="M754" s="801"/>
      <c r="N754" s="802"/>
      <c r="O754" s="803" t="str">
        <f t="shared" ca="1" si="590"/>
        <v>-</v>
      </c>
      <c r="P754" s="804"/>
      <c r="Q754" s="68" t="s">
        <v>3398</v>
      </c>
      <c r="R754" s="118" t="s">
        <v>3395</v>
      </c>
      <c r="S754" s="807">
        <v>42837</v>
      </c>
      <c r="T754" s="798">
        <v>42837</v>
      </c>
      <c r="U754" s="798" t="str">
        <f t="shared" si="591"/>
        <v>-</v>
      </c>
      <c r="V754" s="804" t="str">
        <f t="shared" ca="1" si="592"/>
        <v>-</v>
      </c>
      <c r="W754" s="808">
        <v>1</v>
      </c>
      <c r="X754" s="794" t="str">
        <f t="shared" si="585"/>
        <v>-</v>
      </c>
      <c r="Y754" s="794">
        <v>1</v>
      </c>
      <c r="Z754" s="809" t="str">
        <f t="shared" ca="1" si="593"/>
        <v>-----</v>
      </c>
      <c r="AA754" s="810" t="str">
        <f t="shared" ca="1" si="594"/>
        <v>-----</v>
      </c>
      <c r="AB754" s="804">
        <v>1</v>
      </c>
      <c r="AC754" s="811" t="str">
        <f t="shared" ca="1" si="595"/>
        <v>-----</v>
      </c>
      <c r="AD754" s="798">
        <v>43029</v>
      </c>
      <c r="AE754" s="794" t="str">
        <f t="shared" ca="1" si="596"/>
        <v>-</v>
      </c>
      <c r="AF754" s="798" t="str">
        <f t="shared" si="597"/>
        <v>-</v>
      </c>
      <c r="AG754" s="812" t="str">
        <f t="shared" si="598"/>
        <v>---------</v>
      </c>
      <c r="AH754" s="807">
        <v>43018</v>
      </c>
      <c r="AI754" s="807" t="str">
        <f t="shared" si="599"/>
        <v>-</v>
      </c>
      <c r="AJ754" s="807" t="str">
        <f t="shared" si="600"/>
        <v>-</v>
      </c>
      <c r="AK754" s="813"/>
      <c r="AL754" s="807">
        <f t="shared" si="601"/>
        <v>43096</v>
      </c>
      <c r="AM754" s="807">
        <f t="shared" si="602"/>
        <v>43117</v>
      </c>
      <c r="AN754" s="814">
        <f t="shared" ca="1" si="603"/>
        <v>17</v>
      </c>
      <c r="AO754" s="815">
        <v>1</v>
      </c>
      <c r="AP754" s="816" t="str">
        <f t="shared" ca="1" si="604"/>
        <v>-</v>
      </c>
      <c r="AQ754" s="817"/>
      <c r="AR754" s="794" t="str">
        <f t="shared" si="605"/>
        <v>НЕТЕЛЬ</v>
      </c>
      <c r="AS754" s="818"/>
      <c r="AT754" s="794" t="str">
        <f t="shared" si="606"/>
        <v>-</v>
      </c>
      <c r="AU754" s="819"/>
      <c r="AV754" s="820">
        <v>43034</v>
      </c>
      <c r="AW754" s="821">
        <v>4</v>
      </c>
      <c r="AX754" s="821">
        <v>1</v>
      </c>
      <c r="AY754" s="969">
        <f t="shared" ca="1" si="607"/>
        <v>100</v>
      </c>
      <c r="AZ754" s="966" t="str">
        <f t="shared" ca="1" si="608"/>
        <v>-</v>
      </c>
      <c r="BA754" s="971">
        <f t="shared" si="609"/>
        <v>43044</v>
      </c>
      <c r="BB754" s="975">
        <v>43045</v>
      </c>
      <c r="BC754" s="821">
        <v>4</v>
      </c>
      <c r="BD754" s="821">
        <v>4</v>
      </c>
      <c r="BE754" s="963">
        <f t="shared" ca="1" si="610"/>
        <v>89</v>
      </c>
      <c r="BF754" s="984"/>
      <c r="BG754" s="988"/>
      <c r="BH754" s="982"/>
      <c r="BI754" s="991"/>
      <c r="BJ754" s="991"/>
      <c r="BK754" s="993" t="str">
        <f t="shared" si="611"/>
        <v>-</v>
      </c>
      <c r="BL754" s="865"/>
      <c r="BM754" s="821"/>
      <c r="BN754" s="822" t="str">
        <f t="shared" si="612"/>
        <v>-</v>
      </c>
      <c r="BO754" s="823" t="str">
        <f t="shared" si="613"/>
        <v>-</v>
      </c>
      <c r="BP754" s="868"/>
      <c r="BQ754" s="821"/>
      <c r="BR754" s="822" t="str">
        <f t="shared" si="614"/>
        <v>-</v>
      </c>
      <c r="BS754" s="823" t="str">
        <f t="shared" si="615"/>
        <v>-</v>
      </c>
      <c r="BT754" s="825" t="str">
        <f t="shared" ca="1" si="616"/>
        <v>-</v>
      </c>
      <c r="BU754" s="860">
        <v>43022</v>
      </c>
      <c r="BV754" s="827">
        <v>2</v>
      </c>
      <c r="BW754" s="828">
        <f t="shared" si="617"/>
        <v>669</v>
      </c>
      <c r="BX754" s="829">
        <f t="shared" ca="1" si="618"/>
        <v>112</v>
      </c>
      <c r="BY754" s="830" t="str">
        <f t="shared" ca="1" si="619"/>
        <v>-</v>
      </c>
      <c r="BZ754" s="831">
        <v>43029</v>
      </c>
      <c r="CA754" s="832">
        <v>5</v>
      </c>
      <c r="CB754" s="833">
        <f t="shared" ca="1" si="620"/>
        <v>105</v>
      </c>
      <c r="CC754" s="834" t="str">
        <f t="shared" ca="1" si="621"/>
        <v>-</v>
      </c>
      <c r="CD754" s="835">
        <f t="shared" si="622"/>
        <v>43050</v>
      </c>
      <c r="CE754" s="831">
        <v>43050</v>
      </c>
      <c r="CF754" s="832">
        <v>5</v>
      </c>
      <c r="CG754" s="833">
        <f t="shared" ca="1" si="623"/>
        <v>84</v>
      </c>
      <c r="CH754" s="836">
        <f t="shared" si="624"/>
        <v>0</v>
      </c>
      <c r="CI754" s="837" t="str">
        <f t="shared" si="625"/>
        <v>УСПЕШНО</v>
      </c>
      <c r="CJ754" s="838" t="str">
        <f t="shared" ca="1" si="626"/>
        <v>-</v>
      </c>
      <c r="CK754" s="831"/>
      <c r="CL754" s="832"/>
      <c r="CM754" s="833" t="str">
        <f t="shared" si="627"/>
        <v>-</v>
      </c>
      <c r="CN754" s="834" t="str">
        <f t="shared" si="628"/>
        <v>-</v>
      </c>
      <c r="CO754" s="830" t="str">
        <f t="shared" ca="1" si="629"/>
        <v>ТРЕБУЕТСЯ ВАКЦИНАЦИЯ</v>
      </c>
      <c r="CP754" s="839"/>
      <c r="CQ754" s="832"/>
      <c r="CR754" s="833" t="str">
        <f t="shared" si="630"/>
        <v>-</v>
      </c>
      <c r="CS754" s="833" t="str">
        <f t="shared" si="631"/>
        <v>-</v>
      </c>
      <c r="CT754" s="834" t="str">
        <f t="shared" si="632"/>
        <v>-</v>
      </c>
      <c r="CU754" s="835" t="str">
        <f t="shared" si="633"/>
        <v>-</v>
      </c>
      <c r="CV754" s="839"/>
      <c r="CW754" s="832"/>
      <c r="CX754" s="833" t="str">
        <f t="shared" si="634"/>
        <v>-</v>
      </c>
      <c r="CY754" s="840" t="str">
        <f t="shared" si="635"/>
        <v>-</v>
      </c>
      <c r="CZ754" s="833" t="str">
        <f t="shared" si="636"/>
        <v>-</v>
      </c>
      <c r="DA754" s="838" t="str">
        <f t="shared" ca="1" si="637"/>
        <v>-</v>
      </c>
      <c r="DB754" s="841"/>
      <c r="DC754" s="832"/>
    </row>
    <row r="755" spans="1:107" x14ac:dyDescent="0.25">
      <c r="A755" s="790">
        <v>757</v>
      </c>
      <c r="B755" s="791">
        <f t="shared" ca="1" si="586"/>
        <v>43134</v>
      </c>
      <c r="C755" s="847" t="s">
        <v>3271</v>
      </c>
      <c r="D755" s="59" t="s">
        <v>3324</v>
      </c>
      <c r="E755" s="22" t="s">
        <v>3442</v>
      </c>
      <c r="F755" s="795" t="s">
        <v>3301</v>
      </c>
      <c r="G755" s="845"/>
      <c r="H755" s="797" t="s">
        <v>3236</v>
      </c>
      <c r="I755" s="798">
        <v>42378</v>
      </c>
      <c r="J755" s="799">
        <f t="shared" ca="1" si="587"/>
        <v>2.0712328767123287</v>
      </c>
      <c r="K755" s="799">
        <f t="shared" ca="1" si="588"/>
        <v>25.2</v>
      </c>
      <c r="L755" s="800">
        <f t="shared" ca="1" si="589"/>
        <v>756</v>
      </c>
      <c r="M755" s="801"/>
      <c r="N755" s="802"/>
      <c r="O755" s="803" t="str">
        <f t="shared" ca="1" si="590"/>
        <v>-</v>
      </c>
      <c r="P755" s="804"/>
      <c r="Q755" s="68" t="s">
        <v>3398</v>
      </c>
      <c r="R755" s="118" t="s">
        <v>3366</v>
      </c>
      <c r="S755" s="807">
        <v>42891</v>
      </c>
      <c r="T755" s="798">
        <v>42891</v>
      </c>
      <c r="U755" s="798" t="str">
        <f t="shared" si="591"/>
        <v>-</v>
      </c>
      <c r="V755" s="804" t="str">
        <f t="shared" ca="1" si="592"/>
        <v>-</v>
      </c>
      <c r="W755" s="808">
        <v>1</v>
      </c>
      <c r="X755" s="794" t="str">
        <f t="shared" si="585"/>
        <v>-</v>
      </c>
      <c r="Y755" s="794">
        <v>1</v>
      </c>
      <c r="Z755" s="809" t="str">
        <f t="shared" ca="1" si="593"/>
        <v>-----</v>
      </c>
      <c r="AA755" s="810" t="str">
        <f t="shared" ca="1" si="594"/>
        <v>-----</v>
      </c>
      <c r="AB755" s="804">
        <v>1</v>
      </c>
      <c r="AC755" s="811" t="str">
        <f t="shared" ca="1" si="595"/>
        <v>-----</v>
      </c>
      <c r="AD755" s="798">
        <v>43029</v>
      </c>
      <c r="AE755" s="794" t="str">
        <f t="shared" ca="1" si="596"/>
        <v>-</v>
      </c>
      <c r="AF755" s="798" t="str">
        <f t="shared" si="597"/>
        <v>-</v>
      </c>
      <c r="AG755" s="812" t="str">
        <f t="shared" si="598"/>
        <v>---------</v>
      </c>
      <c r="AH755" s="807">
        <v>43018</v>
      </c>
      <c r="AI755" s="807" t="str">
        <f t="shared" si="599"/>
        <v>-</v>
      </c>
      <c r="AJ755" s="807" t="str">
        <f t="shared" si="600"/>
        <v>-</v>
      </c>
      <c r="AK755" s="813"/>
      <c r="AL755" s="807">
        <f t="shared" si="601"/>
        <v>43150</v>
      </c>
      <c r="AM755" s="807">
        <f t="shared" si="602"/>
        <v>43171</v>
      </c>
      <c r="AN755" s="814">
        <f t="shared" ca="1" si="603"/>
        <v>-37</v>
      </c>
      <c r="AO755" s="815">
        <v>1</v>
      </c>
      <c r="AP755" s="816" t="str">
        <f t="shared" ca="1" si="604"/>
        <v>-</v>
      </c>
      <c r="AQ755" s="817"/>
      <c r="AR755" s="794" t="str">
        <f t="shared" si="605"/>
        <v>НЕТЕЛЬ</v>
      </c>
      <c r="AS755" s="818"/>
      <c r="AT755" s="794" t="str">
        <f t="shared" si="606"/>
        <v>-</v>
      </c>
      <c r="AU755" s="819"/>
      <c r="AV755" s="820">
        <v>43034</v>
      </c>
      <c r="AW755" s="821">
        <v>4</v>
      </c>
      <c r="AX755" s="821">
        <v>1</v>
      </c>
      <c r="AY755" s="969">
        <f t="shared" ca="1" si="607"/>
        <v>100</v>
      </c>
      <c r="AZ755" s="966" t="str">
        <f t="shared" ca="1" si="608"/>
        <v>-</v>
      </c>
      <c r="BA755" s="971">
        <f t="shared" si="609"/>
        <v>43044</v>
      </c>
      <c r="BB755" s="975">
        <v>43045</v>
      </c>
      <c r="BC755" s="821">
        <v>4</v>
      </c>
      <c r="BD755" s="821">
        <v>4</v>
      </c>
      <c r="BE755" s="963">
        <f t="shared" ca="1" si="610"/>
        <v>89</v>
      </c>
      <c r="BF755" s="984"/>
      <c r="BG755" s="988"/>
      <c r="BH755" s="982"/>
      <c r="BI755" s="991"/>
      <c r="BJ755" s="991"/>
      <c r="BK755" s="993" t="str">
        <f t="shared" si="611"/>
        <v>-</v>
      </c>
      <c r="BL755" s="865"/>
      <c r="BM755" s="821"/>
      <c r="BN755" s="822" t="str">
        <f t="shared" si="612"/>
        <v>-</v>
      </c>
      <c r="BO755" s="823" t="str">
        <f t="shared" si="613"/>
        <v>-</v>
      </c>
      <c r="BP755" s="868"/>
      <c r="BQ755" s="821"/>
      <c r="BR755" s="822" t="str">
        <f t="shared" si="614"/>
        <v>-</v>
      </c>
      <c r="BS755" s="823" t="str">
        <f t="shared" si="615"/>
        <v>-</v>
      </c>
      <c r="BT755" s="825" t="str">
        <f t="shared" ca="1" si="616"/>
        <v>-</v>
      </c>
      <c r="BU755" s="860">
        <v>43022</v>
      </c>
      <c r="BV755" s="827">
        <v>2</v>
      </c>
      <c r="BW755" s="828">
        <f t="shared" si="617"/>
        <v>644</v>
      </c>
      <c r="BX755" s="829">
        <f t="shared" ca="1" si="618"/>
        <v>112</v>
      </c>
      <c r="BY755" s="830" t="str">
        <f t="shared" ca="1" si="619"/>
        <v>-</v>
      </c>
      <c r="BZ755" s="831">
        <v>43029</v>
      </c>
      <c r="CA755" s="832">
        <v>5</v>
      </c>
      <c r="CB755" s="833">
        <f t="shared" ca="1" si="620"/>
        <v>105</v>
      </c>
      <c r="CC755" s="834" t="str">
        <f t="shared" ca="1" si="621"/>
        <v>-</v>
      </c>
      <c r="CD755" s="835">
        <f t="shared" si="622"/>
        <v>43050</v>
      </c>
      <c r="CE755" s="831">
        <v>43050</v>
      </c>
      <c r="CF755" s="832">
        <v>5</v>
      </c>
      <c r="CG755" s="833">
        <f t="shared" ca="1" si="623"/>
        <v>84</v>
      </c>
      <c r="CH755" s="836">
        <f t="shared" si="624"/>
        <v>0</v>
      </c>
      <c r="CI755" s="837" t="str">
        <f t="shared" si="625"/>
        <v>УСПЕШНО</v>
      </c>
      <c r="CJ755" s="838" t="str">
        <f t="shared" ca="1" si="626"/>
        <v>-</v>
      </c>
      <c r="CK755" s="831"/>
      <c r="CL755" s="832"/>
      <c r="CM755" s="833" t="str">
        <f t="shared" si="627"/>
        <v>-</v>
      </c>
      <c r="CN755" s="834" t="str">
        <f t="shared" si="628"/>
        <v>-</v>
      </c>
      <c r="CO755" s="830" t="str">
        <f t="shared" ca="1" si="629"/>
        <v>ТРЕБУЕТСЯ ВАКЦИНАЦИЯ</v>
      </c>
      <c r="CP755" s="839"/>
      <c r="CQ755" s="832"/>
      <c r="CR755" s="833" t="str">
        <f t="shared" si="630"/>
        <v>-</v>
      </c>
      <c r="CS755" s="833" t="str">
        <f t="shared" si="631"/>
        <v>-</v>
      </c>
      <c r="CT755" s="834" t="str">
        <f t="shared" si="632"/>
        <v>-</v>
      </c>
      <c r="CU755" s="835" t="str">
        <f t="shared" si="633"/>
        <v>-</v>
      </c>
      <c r="CV755" s="839"/>
      <c r="CW755" s="832"/>
      <c r="CX755" s="833" t="str">
        <f t="shared" si="634"/>
        <v>-</v>
      </c>
      <c r="CY755" s="840" t="str">
        <f t="shared" si="635"/>
        <v>-</v>
      </c>
      <c r="CZ755" s="833" t="str">
        <f t="shared" si="636"/>
        <v>-</v>
      </c>
      <c r="DA755" s="838" t="str">
        <f t="shared" ca="1" si="637"/>
        <v>-</v>
      </c>
      <c r="DB755" s="841"/>
      <c r="DC755" s="832"/>
    </row>
    <row r="756" spans="1:107" x14ac:dyDescent="0.25">
      <c r="A756" s="790">
        <v>758</v>
      </c>
      <c r="B756" s="791">
        <f t="shared" ca="1" si="586"/>
        <v>43134</v>
      </c>
      <c r="C756" s="847" t="s">
        <v>3271</v>
      </c>
      <c r="D756" s="59" t="s">
        <v>3324</v>
      </c>
      <c r="E756" s="22" t="s">
        <v>3438</v>
      </c>
      <c r="F756" s="795" t="s">
        <v>3302</v>
      </c>
      <c r="G756" s="845"/>
      <c r="H756" s="797" t="s">
        <v>3236</v>
      </c>
      <c r="I756" s="798">
        <v>42421</v>
      </c>
      <c r="J756" s="799">
        <f t="shared" ca="1" si="587"/>
        <v>1.9534246575342467</v>
      </c>
      <c r="K756" s="799">
        <f t="shared" ca="1" si="588"/>
        <v>23.766666666666666</v>
      </c>
      <c r="L756" s="800">
        <f t="shared" ca="1" si="589"/>
        <v>713</v>
      </c>
      <c r="M756" s="801"/>
      <c r="N756" s="802"/>
      <c r="O756" s="803" t="str">
        <f t="shared" ca="1" si="590"/>
        <v>-</v>
      </c>
      <c r="P756" s="804"/>
      <c r="Q756" s="68" t="s">
        <v>3398</v>
      </c>
      <c r="R756" s="118" t="s">
        <v>3391</v>
      </c>
      <c r="S756" s="807">
        <v>42895</v>
      </c>
      <c r="T756" s="798">
        <v>42895</v>
      </c>
      <c r="U756" s="798" t="str">
        <f t="shared" si="591"/>
        <v>-</v>
      </c>
      <c r="V756" s="804" t="str">
        <f t="shared" ca="1" si="592"/>
        <v>-</v>
      </c>
      <c r="W756" s="808">
        <v>1</v>
      </c>
      <c r="X756" s="794" t="str">
        <f t="shared" si="585"/>
        <v>-</v>
      </c>
      <c r="Y756" s="794">
        <v>1</v>
      </c>
      <c r="Z756" s="809" t="str">
        <f t="shared" ca="1" si="593"/>
        <v>-----</v>
      </c>
      <c r="AA756" s="810" t="str">
        <f t="shared" ca="1" si="594"/>
        <v>-----</v>
      </c>
      <c r="AB756" s="804">
        <v>1</v>
      </c>
      <c r="AC756" s="811" t="str">
        <f t="shared" ca="1" si="595"/>
        <v>-----</v>
      </c>
      <c r="AD756" s="798">
        <v>43029</v>
      </c>
      <c r="AE756" s="794" t="str">
        <f t="shared" ca="1" si="596"/>
        <v>-</v>
      </c>
      <c r="AF756" s="798" t="str">
        <f t="shared" si="597"/>
        <v>-</v>
      </c>
      <c r="AG756" s="812" t="str">
        <f t="shared" si="598"/>
        <v>---------</v>
      </c>
      <c r="AH756" s="807">
        <v>43018</v>
      </c>
      <c r="AI756" s="807" t="str">
        <f t="shared" si="599"/>
        <v>-</v>
      </c>
      <c r="AJ756" s="807" t="str">
        <f t="shared" si="600"/>
        <v>-</v>
      </c>
      <c r="AK756" s="813"/>
      <c r="AL756" s="807">
        <f t="shared" si="601"/>
        <v>43154</v>
      </c>
      <c r="AM756" s="807">
        <f t="shared" si="602"/>
        <v>43175</v>
      </c>
      <c r="AN756" s="814">
        <f t="shared" ca="1" si="603"/>
        <v>-41</v>
      </c>
      <c r="AO756" s="815">
        <v>1</v>
      </c>
      <c r="AP756" s="816" t="str">
        <f t="shared" ca="1" si="604"/>
        <v>-</v>
      </c>
      <c r="AQ756" s="817"/>
      <c r="AR756" s="794" t="str">
        <f t="shared" si="605"/>
        <v>НЕТЕЛЬ</v>
      </c>
      <c r="AS756" s="818"/>
      <c r="AT756" s="794" t="str">
        <f t="shared" si="606"/>
        <v>-</v>
      </c>
      <c r="AU756" s="819"/>
      <c r="AV756" s="820">
        <v>43034</v>
      </c>
      <c r="AW756" s="821">
        <v>4</v>
      </c>
      <c r="AX756" s="821">
        <v>1</v>
      </c>
      <c r="AY756" s="969">
        <f t="shared" ca="1" si="607"/>
        <v>100</v>
      </c>
      <c r="AZ756" s="966" t="str">
        <f t="shared" ca="1" si="608"/>
        <v>-</v>
      </c>
      <c r="BA756" s="971">
        <f t="shared" si="609"/>
        <v>43044</v>
      </c>
      <c r="BB756" s="975">
        <v>43045</v>
      </c>
      <c r="BC756" s="821">
        <v>4</v>
      </c>
      <c r="BD756" s="821">
        <v>4</v>
      </c>
      <c r="BE756" s="963">
        <f t="shared" ca="1" si="610"/>
        <v>89</v>
      </c>
      <c r="BF756" s="984"/>
      <c r="BG756" s="988"/>
      <c r="BH756" s="982"/>
      <c r="BI756" s="991"/>
      <c r="BJ756" s="991"/>
      <c r="BK756" s="993" t="str">
        <f t="shared" si="611"/>
        <v>-</v>
      </c>
      <c r="BL756" s="865"/>
      <c r="BM756" s="821"/>
      <c r="BN756" s="822" t="str">
        <f t="shared" si="612"/>
        <v>-</v>
      </c>
      <c r="BO756" s="823" t="str">
        <f t="shared" si="613"/>
        <v>-</v>
      </c>
      <c r="BP756" s="868"/>
      <c r="BQ756" s="821"/>
      <c r="BR756" s="822" t="str">
        <f t="shared" si="614"/>
        <v>-</v>
      </c>
      <c r="BS756" s="823" t="str">
        <f t="shared" si="615"/>
        <v>-</v>
      </c>
      <c r="BT756" s="825" t="str">
        <f t="shared" ca="1" si="616"/>
        <v>-</v>
      </c>
      <c r="BU756" s="860">
        <v>43022</v>
      </c>
      <c r="BV756" s="827">
        <v>2</v>
      </c>
      <c r="BW756" s="828">
        <f t="shared" si="617"/>
        <v>601</v>
      </c>
      <c r="BX756" s="829">
        <f t="shared" ca="1" si="618"/>
        <v>112</v>
      </c>
      <c r="BY756" s="830" t="str">
        <f t="shared" ca="1" si="619"/>
        <v>-</v>
      </c>
      <c r="BZ756" s="831">
        <v>43029</v>
      </c>
      <c r="CA756" s="832">
        <v>5</v>
      </c>
      <c r="CB756" s="833">
        <f t="shared" ca="1" si="620"/>
        <v>105</v>
      </c>
      <c r="CC756" s="834" t="str">
        <f t="shared" ca="1" si="621"/>
        <v>-</v>
      </c>
      <c r="CD756" s="835">
        <f t="shared" si="622"/>
        <v>43050</v>
      </c>
      <c r="CE756" s="831">
        <v>43050</v>
      </c>
      <c r="CF756" s="832">
        <v>5</v>
      </c>
      <c r="CG756" s="833">
        <f t="shared" ca="1" si="623"/>
        <v>84</v>
      </c>
      <c r="CH756" s="836">
        <f t="shared" si="624"/>
        <v>0</v>
      </c>
      <c r="CI756" s="837" t="str">
        <f t="shared" si="625"/>
        <v>УСПЕШНО</v>
      </c>
      <c r="CJ756" s="838" t="str">
        <f t="shared" ca="1" si="626"/>
        <v>-</v>
      </c>
      <c r="CK756" s="831"/>
      <c r="CL756" s="832"/>
      <c r="CM756" s="833" t="str">
        <f t="shared" si="627"/>
        <v>-</v>
      </c>
      <c r="CN756" s="834" t="str">
        <f t="shared" si="628"/>
        <v>-</v>
      </c>
      <c r="CO756" s="830" t="str">
        <f t="shared" ca="1" si="629"/>
        <v>ТРЕБУЕТСЯ ВАКЦИНАЦИЯ</v>
      </c>
      <c r="CP756" s="839"/>
      <c r="CQ756" s="832"/>
      <c r="CR756" s="833" t="str">
        <f t="shared" si="630"/>
        <v>-</v>
      </c>
      <c r="CS756" s="833" t="str">
        <f t="shared" si="631"/>
        <v>-</v>
      </c>
      <c r="CT756" s="834" t="str">
        <f t="shared" si="632"/>
        <v>-</v>
      </c>
      <c r="CU756" s="835" t="str">
        <f t="shared" si="633"/>
        <v>-</v>
      </c>
      <c r="CV756" s="839"/>
      <c r="CW756" s="832"/>
      <c r="CX756" s="833" t="str">
        <f t="shared" si="634"/>
        <v>-</v>
      </c>
      <c r="CY756" s="840" t="str">
        <f t="shared" si="635"/>
        <v>-</v>
      </c>
      <c r="CZ756" s="833" t="str">
        <f t="shared" si="636"/>
        <v>-</v>
      </c>
      <c r="DA756" s="838" t="str">
        <f t="shared" ca="1" si="637"/>
        <v>-</v>
      </c>
      <c r="DB756" s="841"/>
      <c r="DC756" s="832"/>
    </row>
    <row r="757" spans="1:107" s="842" customFormat="1" ht="15.95" customHeight="1" x14ac:dyDescent="0.25">
      <c r="A757" s="790">
        <v>759</v>
      </c>
      <c r="B757" s="791">
        <f t="shared" ca="1" si="586"/>
        <v>43134</v>
      </c>
      <c r="C757" s="847" t="s">
        <v>3271</v>
      </c>
      <c r="D757" s="59" t="s">
        <v>3324</v>
      </c>
      <c r="E757" s="22" t="s">
        <v>3420</v>
      </c>
      <c r="F757" s="795" t="s">
        <v>3303</v>
      </c>
      <c r="G757" s="845"/>
      <c r="H757" s="797" t="s">
        <v>3236</v>
      </c>
      <c r="I757" s="798">
        <v>42430</v>
      </c>
      <c r="J757" s="799">
        <f t="shared" ca="1" si="587"/>
        <v>1.9287671232876713</v>
      </c>
      <c r="K757" s="799">
        <f t="shared" ca="1" si="588"/>
        <v>23.466666666666665</v>
      </c>
      <c r="L757" s="800">
        <f t="shared" ca="1" si="589"/>
        <v>704</v>
      </c>
      <c r="M757" s="801"/>
      <c r="N757" s="802"/>
      <c r="O757" s="803" t="str">
        <f t="shared" ca="1" si="590"/>
        <v>-</v>
      </c>
      <c r="P757" s="804"/>
      <c r="Q757" s="68" t="s">
        <v>3398</v>
      </c>
      <c r="R757" s="118" t="s">
        <v>3391</v>
      </c>
      <c r="S757" s="807">
        <v>42895</v>
      </c>
      <c r="T757" s="798">
        <v>42895</v>
      </c>
      <c r="U757" s="798" t="str">
        <f t="shared" si="591"/>
        <v>-</v>
      </c>
      <c r="V757" s="804" t="str">
        <f t="shared" ca="1" si="592"/>
        <v>-</v>
      </c>
      <c r="W757" s="808">
        <v>1</v>
      </c>
      <c r="X757" s="794" t="str">
        <f t="shared" si="585"/>
        <v>-</v>
      </c>
      <c r="Y757" s="794">
        <v>1</v>
      </c>
      <c r="Z757" s="809" t="str">
        <f t="shared" ca="1" si="593"/>
        <v>-----</v>
      </c>
      <c r="AA757" s="810" t="str">
        <f t="shared" ca="1" si="594"/>
        <v>-----</v>
      </c>
      <c r="AB757" s="804">
        <v>1</v>
      </c>
      <c r="AC757" s="811" t="str">
        <f t="shared" ca="1" si="595"/>
        <v>-----</v>
      </c>
      <c r="AD757" s="798">
        <v>43029</v>
      </c>
      <c r="AE757" s="794" t="str">
        <f t="shared" ca="1" si="596"/>
        <v>-</v>
      </c>
      <c r="AF757" s="798" t="str">
        <f t="shared" si="597"/>
        <v>-</v>
      </c>
      <c r="AG757" s="812" t="str">
        <f t="shared" si="598"/>
        <v>---------</v>
      </c>
      <c r="AH757" s="807">
        <v>43018</v>
      </c>
      <c r="AI757" s="807" t="str">
        <f t="shared" si="599"/>
        <v>-</v>
      </c>
      <c r="AJ757" s="807" t="str">
        <f t="shared" si="600"/>
        <v>-</v>
      </c>
      <c r="AK757" s="813"/>
      <c r="AL757" s="807">
        <f t="shared" si="601"/>
        <v>43154</v>
      </c>
      <c r="AM757" s="807">
        <f t="shared" si="602"/>
        <v>43175</v>
      </c>
      <c r="AN757" s="814">
        <f t="shared" ca="1" si="603"/>
        <v>-41</v>
      </c>
      <c r="AO757" s="815">
        <v>1</v>
      </c>
      <c r="AP757" s="816" t="str">
        <f t="shared" ca="1" si="604"/>
        <v>-</v>
      </c>
      <c r="AQ757" s="817"/>
      <c r="AR757" s="794" t="str">
        <f t="shared" si="605"/>
        <v>НЕТЕЛЬ</v>
      </c>
      <c r="AS757" s="818"/>
      <c r="AT757" s="794" t="str">
        <f t="shared" si="606"/>
        <v>-</v>
      </c>
      <c r="AU757" s="819"/>
      <c r="AV757" s="820">
        <v>43034</v>
      </c>
      <c r="AW757" s="821">
        <v>4</v>
      </c>
      <c r="AX757" s="821">
        <v>1</v>
      </c>
      <c r="AY757" s="969">
        <f t="shared" ca="1" si="607"/>
        <v>100</v>
      </c>
      <c r="AZ757" s="966" t="str">
        <f t="shared" ca="1" si="608"/>
        <v>-</v>
      </c>
      <c r="BA757" s="971">
        <f t="shared" si="609"/>
        <v>43044</v>
      </c>
      <c r="BB757" s="975">
        <v>43045</v>
      </c>
      <c r="BC757" s="821">
        <v>4</v>
      </c>
      <c r="BD757" s="821">
        <v>4</v>
      </c>
      <c r="BE757" s="963">
        <f t="shared" ca="1" si="610"/>
        <v>89</v>
      </c>
      <c r="BF757" s="984"/>
      <c r="BG757" s="988"/>
      <c r="BH757" s="982"/>
      <c r="BI757" s="991"/>
      <c r="BJ757" s="991"/>
      <c r="BK757" s="993" t="str">
        <f t="shared" si="611"/>
        <v>-</v>
      </c>
      <c r="BL757" s="865"/>
      <c r="BM757" s="821"/>
      <c r="BN757" s="822" t="str">
        <f t="shared" si="612"/>
        <v>-</v>
      </c>
      <c r="BO757" s="823" t="str">
        <f t="shared" si="613"/>
        <v>-</v>
      </c>
      <c r="BP757" s="868"/>
      <c r="BQ757" s="821"/>
      <c r="BR757" s="822" t="str">
        <f t="shared" si="614"/>
        <v>-</v>
      </c>
      <c r="BS757" s="823" t="str">
        <f t="shared" si="615"/>
        <v>-</v>
      </c>
      <c r="BT757" s="825" t="str">
        <f t="shared" ca="1" si="616"/>
        <v>-</v>
      </c>
      <c r="BU757" s="860">
        <v>43022</v>
      </c>
      <c r="BV757" s="827">
        <v>2</v>
      </c>
      <c r="BW757" s="828">
        <f t="shared" si="617"/>
        <v>592</v>
      </c>
      <c r="BX757" s="829">
        <f t="shared" ca="1" si="618"/>
        <v>112</v>
      </c>
      <c r="BY757" s="830" t="str">
        <f t="shared" ca="1" si="619"/>
        <v>-</v>
      </c>
      <c r="BZ757" s="831">
        <v>43029</v>
      </c>
      <c r="CA757" s="832">
        <v>5</v>
      </c>
      <c r="CB757" s="833">
        <f t="shared" ca="1" si="620"/>
        <v>105</v>
      </c>
      <c r="CC757" s="834" t="str">
        <f t="shared" ca="1" si="621"/>
        <v>-</v>
      </c>
      <c r="CD757" s="835">
        <f t="shared" si="622"/>
        <v>43050</v>
      </c>
      <c r="CE757" s="831">
        <v>43050</v>
      </c>
      <c r="CF757" s="832">
        <v>5</v>
      </c>
      <c r="CG757" s="833">
        <f t="shared" ca="1" si="623"/>
        <v>84</v>
      </c>
      <c r="CH757" s="836">
        <f t="shared" si="624"/>
        <v>0</v>
      </c>
      <c r="CI757" s="837" t="str">
        <f t="shared" si="625"/>
        <v>УСПЕШНО</v>
      </c>
      <c r="CJ757" s="838" t="str">
        <f t="shared" ca="1" si="626"/>
        <v>-</v>
      </c>
      <c r="CK757" s="831"/>
      <c r="CL757" s="832"/>
      <c r="CM757" s="833" t="str">
        <f t="shared" si="627"/>
        <v>-</v>
      </c>
      <c r="CN757" s="834" t="str">
        <f t="shared" si="628"/>
        <v>-</v>
      </c>
      <c r="CO757" s="830" t="str">
        <f t="shared" ca="1" si="629"/>
        <v>ТРЕБУЕТСЯ ВАКЦИНАЦИЯ</v>
      </c>
      <c r="CP757" s="839"/>
      <c r="CQ757" s="832"/>
      <c r="CR757" s="833" t="str">
        <f t="shared" si="630"/>
        <v>-</v>
      </c>
      <c r="CS757" s="833" t="str">
        <f t="shared" si="631"/>
        <v>-</v>
      </c>
      <c r="CT757" s="834" t="str">
        <f t="shared" si="632"/>
        <v>-</v>
      </c>
      <c r="CU757" s="835" t="str">
        <f t="shared" si="633"/>
        <v>-</v>
      </c>
      <c r="CV757" s="839"/>
      <c r="CW757" s="832"/>
      <c r="CX757" s="833" t="str">
        <f t="shared" si="634"/>
        <v>-</v>
      </c>
      <c r="CY757" s="840" t="str">
        <f t="shared" si="635"/>
        <v>-</v>
      </c>
      <c r="CZ757" s="833" t="str">
        <f t="shared" si="636"/>
        <v>-</v>
      </c>
      <c r="DA757" s="838" t="str">
        <f t="shared" ca="1" si="637"/>
        <v>-</v>
      </c>
      <c r="DB757" s="841"/>
      <c r="DC757" s="832"/>
    </row>
    <row r="758" spans="1:107" s="842" customFormat="1" ht="15.95" customHeight="1" x14ac:dyDescent="0.25">
      <c r="A758" s="790">
        <v>760</v>
      </c>
      <c r="B758" s="791">
        <f t="shared" ca="1" si="586"/>
        <v>43134</v>
      </c>
      <c r="C758" s="847" t="s">
        <v>3271</v>
      </c>
      <c r="D758" s="59" t="s">
        <v>3324</v>
      </c>
      <c r="E758" s="22" t="s">
        <v>3422</v>
      </c>
      <c r="F758" s="795" t="s">
        <v>3304</v>
      </c>
      <c r="G758" s="845"/>
      <c r="H758" s="797" t="s">
        <v>3236</v>
      </c>
      <c r="I758" s="798">
        <v>42437</v>
      </c>
      <c r="J758" s="799">
        <f t="shared" ca="1" si="587"/>
        <v>1.9095890410958904</v>
      </c>
      <c r="K758" s="799">
        <f t="shared" ca="1" si="588"/>
        <v>23.233333333333334</v>
      </c>
      <c r="L758" s="800">
        <f t="shared" ca="1" si="589"/>
        <v>697</v>
      </c>
      <c r="M758" s="801"/>
      <c r="N758" s="802"/>
      <c r="O758" s="803" t="str">
        <f t="shared" ca="1" si="590"/>
        <v>-</v>
      </c>
      <c r="P758" s="804"/>
      <c r="Q758" s="68" t="s">
        <v>3398</v>
      </c>
      <c r="R758" s="118" t="s">
        <v>3392</v>
      </c>
      <c r="S758" s="807">
        <v>42903</v>
      </c>
      <c r="T758" s="798">
        <v>42903</v>
      </c>
      <c r="U758" s="798" t="str">
        <f t="shared" si="591"/>
        <v>-</v>
      </c>
      <c r="V758" s="804" t="str">
        <f t="shared" ca="1" si="592"/>
        <v>-</v>
      </c>
      <c r="W758" s="808">
        <v>1</v>
      </c>
      <c r="X758" s="794" t="str">
        <f t="shared" ref="X758:X821" si="638">IF(AND(N758&gt;0,T758&gt;0),T758-N758,"-")</f>
        <v>-</v>
      </c>
      <c r="Y758" s="794">
        <v>1</v>
      </c>
      <c r="Z758" s="809" t="str">
        <f t="shared" ca="1" si="593"/>
        <v>-----</v>
      </c>
      <c r="AA758" s="810" t="str">
        <f t="shared" ca="1" si="594"/>
        <v>-----</v>
      </c>
      <c r="AB758" s="804">
        <v>1</v>
      </c>
      <c r="AC758" s="811" t="str">
        <f t="shared" ca="1" si="595"/>
        <v>-----</v>
      </c>
      <c r="AD758" s="798">
        <v>43029</v>
      </c>
      <c r="AE758" s="794" t="str">
        <f t="shared" ca="1" si="596"/>
        <v>-</v>
      </c>
      <c r="AF758" s="798" t="str">
        <f t="shared" si="597"/>
        <v>-</v>
      </c>
      <c r="AG758" s="812" t="str">
        <f t="shared" si="598"/>
        <v>---------</v>
      </c>
      <c r="AH758" s="807">
        <v>43018</v>
      </c>
      <c r="AI758" s="807" t="str">
        <f t="shared" si="599"/>
        <v>-</v>
      </c>
      <c r="AJ758" s="807" t="str">
        <f t="shared" si="600"/>
        <v>-</v>
      </c>
      <c r="AK758" s="813"/>
      <c r="AL758" s="807">
        <f t="shared" si="601"/>
        <v>43162</v>
      </c>
      <c r="AM758" s="807">
        <f t="shared" si="602"/>
        <v>43183</v>
      </c>
      <c r="AN758" s="814">
        <f t="shared" ca="1" si="603"/>
        <v>-49</v>
      </c>
      <c r="AO758" s="815">
        <v>1</v>
      </c>
      <c r="AP758" s="816" t="str">
        <f t="shared" ca="1" si="604"/>
        <v>-</v>
      </c>
      <c r="AQ758" s="817"/>
      <c r="AR758" s="794" t="str">
        <f t="shared" si="605"/>
        <v>НЕТЕЛЬ</v>
      </c>
      <c r="AS758" s="818"/>
      <c r="AT758" s="794" t="str">
        <f t="shared" si="606"/>
        <v>-</v>
      </c>
      <c r="AU758" s="819"/>
      <c r="AV758" s="820">
        <v>43034</v>
      </c>
      <c r="AW758" s="821">
        <v>4</v>
      </c>
      <c r="AX758" s="821">
        <v>1</v>
      </c>
      <c r="AY758" s="969">
        <f t="shared" ca="1" si="607"/>
        <v>100</v>
      </c>
      <c r="AZ758" s="966" t="str">
        <f t="shared" ca="1" si="608"/>
        <v>-</v>
      </c>
      <c r="BA758" s="971">
        <f t="shared" si="609"/>
        <v>43044</v>
      </c>
      <c r="BB758" s="975">
        <v>43045</v>
      </c>
      <c r="BC758" s="821">
        <v>4</v>
      </c>
      <c r="BD758" s="821">
        <v>4</v>
      </c>
      <c r="BE758" s="963">
        <f t="shared" ca="1" si="610"/>
        <v>89</v>
      </c>
      <c r="BF758" s="984"/>
      <c r="BG758" s="988"/>
      <c r="BH758" s="982"/>
      <c r="BI758" s="991"/>
      <c r="BJ758" s="991"/>
      <c r="BK758" s="993" t="str">
        <f t="shared" si="611"/>
        <v>-</v>
      </c>
      <c r="BL758" s="865"/>
      <c r="BM758" s="821"/>
      <c r="BN758" s="822" t="str">
        <f t="shared" si="612"/>
        <v>-</v>
      </c>
      <c r="BO758" s="823" t="str">
        <f t="shared" si="613"/>
        <v>-</v>
      </c>
      <c r="BP758" s="868"/>
      <c r="BQ758" s="821"/>
      <c r="BR758" s="822" t="str">
        <f t="shared" si="614"/>
        <v>-</v>
      </c>
      <c r="BS758" s="823" t="str">
        <f t="shared" si="615"/>
        <v>-</v>
      </c>
      <c r="BT758" s="825" t="str">
        <f t="shared" ca="1" si="616"/>
        <v>-</v>
      </c>
      <c r="BU758" s="860">
        <v>43022</v>
      </c>
      <c r="BV758" s="827">
        <v>2</v>
      </c>
      <c r="BW758" s="828">
        <f t="shared" si="617"/>
        <v>585</v>
      </c>
      <c r="BX758" s="829">
        <f t="shared" ca="1" si="618"/>
        <v>112</v>
      </c>
      <c r="BY758" s="830" t="str">
        <f t="shared" ca="1" si="619"/>
        <v>-</v>
      </c>
      <c r="BZ758" s="831">
        <v>43029</v>
      </c>
      <c r="CA758" s="832">
        <v>5</v>
      </c>
      <c r="CB758" s="833">
        <f t="shared" ca="1" si="620"/>
        <v>105</v>
      </c>
      <c r="CC758" s="834" t="str">
        <f t="shared" ca="1" si="621"/>
        <v>-</v>
      </c>
      <c r="CD758" s="835">
        <f t="shared" si="622"/>
        <v>43050</v>
      </c>
      <c r="CE758" s="831">
        <v>43050</v>
      </c>
      <c r="CF758" s="832">
        <v>5</v>
      </c>
      <c r="CG758" s="833">
        <f t="shared" ca="1" si="623"/>
        <v>84</v>
      </c>
      <c r="CH758" s="836">
        <f t="shared" si="624"/>
        <v>0</v>
      </c>
      <c r="CI758" s="837" t="str">
        <f t="shared" si="625"/>
        <v>УСПЕШНО</v>
      </c>
      <c r="CJ758" s="838" t="str">
        <f t="shared" ca="1" si="626"/>
        <v>-</v>
      </c>
      <c r="CK758" s="831"/>
      <c r="CL758" s="832"/>
      <c r="CM758" s="833" t="str">
        <f t="shared" si="627"/>
        <v>-</v>
      </c>
      <c r="CN758" s="834" t="str">
        <f t="shared" si="628"/>
        <v>-</v>
      </c>
      <c r="CO758" s="830" t="str">
        <f t="shared" ca="1" si="629"/>
        <v>ТРЕБУЕТСЯ ВАКЦИНАЦИЯ</v>
      </c>
      <c r="CP758" s="839"/>
      <c r="CQ758" s="832"/>
      <c r="CR758" s="833" t="str">
        <f t="shared" si="630"/>
        <v>-</v>
      </c>
      <c r="CS758" s="833" t="str">
        <f t="shared" si="631"/>
        <v>-</v>
      </c>
      <c r="CT758" s="834" t="str">
        <f t="shared" si="632"/>
        <v>-</v>
      </c>
      <c r="CU758" s="835" t="str">
        <f t="shared" si="633"/>
        <v>-</v>
      </c>
      <c r="CV758" s="839"/>
      <c r="CW758" s="832"/>
      <c r="CX758" s="833" t="str">
        <f t="shared" si="634"/>
        <v>-</v>
      </c>
      <c r="CY758" s="840" t="str">
        <f t="shared" si="635"/>
        <v>-</v>
      </c>
      <c r="CZ758" s="833" t="str">
        <f t="shared" si="636"/>
        <v>-</v>
      </c>
      <c r="DA758" s="838" t="str">
        <f t="shared" ca="1" si="637"/>
        <v>-</v>
      </c>
      <c r="DB758" s="841"/>
      <c r="DC758" s="832"/>
    </row>
    <row r="759" spans="1:107" s="842" customFormat="1" ht="15.95" customHeight="1" x14ac:dyDescent="0.25">
      <c r="A759" s="790">
        <v>761</v>
      </c>
      <c r="B759" s="791">
        <f t="shared" ca="1" si="586"/>
        <v>43134</v>
      </c>
      <c r="C759" s="847" t="s">
        <v>3271</v>
      </c>
      <c r="D759" s="59" t="s">
        <v>3324</v>
      </c>
      <c r="E759" s="22" t="s">
        <v>3426</v>
      </c>
      <c r="F759" s="795" t="s">
        <v>3305</v>
      </c>
      <c r="G759" s="845"/>
      <c r="H759" s="797" t="s">
        <v>3236</v>
      </c>
      <c r="I759" s="798">
        <v>42443</v>
      </c>
      <c r="J759" s="799">
        <f t="shared" ca="1" si="587"/>
        <v>1.893150684931507</v>
      </c>
      <c r="K759" s="799">
        <f t="shared" ca="1" si="588"/>
        <v>23.033333333333335</v>
      </c>
      <c r="L759" s="800">
        <f t="shared" ca="1" si="589"/>
        <v>691</v>
      </c>
      <c r="M759" s="801"/>
      <c r="N759" s="802"/>
      <c r="O759" s="803" t="str">
        <f t="shared" ca="1" si="590"/>
        <v>-</v>
      </c>
      <c r="P759" s="804"/>
      <c r="Q759" s="68" t="s">
        <v>3398</v>
      </c>
      <c r="R759" s="118" t="s">
        <v>3375</v>
      </c>
      <c r="S759" s="807">
        <v>42899</v>
      </c>
      <c r="T759" s="798">
        <v>42899</v>
      </c>
      <c r="U759" s="798" t="str">
        <f t="shared" si="591"/>
        <v>-</v>
      </c>
      <c r="V759" s="804" t="str">
        <f t="shared" ca="1" si="592"/>
        <v>-</v>
      </c>
      <c r="W759" s="808">
        <v>1</v>
      </c>
      <c r="X759" s="794" t="str">
        <f t="shared" si="638"/>
        <v>-</v>
      </c>
      <c r="Y759" s="794">
        <v>1</v>
      </c>
      <c r="Z759" s="809" t="str">
        <f t="shared" ca="1" si="593"/>
        <v>-----</v>
      </c>
      <c r="AA759" s="810" t="str">
        <f t="shared" ca="1" si="594"/>
        <v>-----</v>
      </c>
      <c r="AB759" s="804">
        <v>1</v>
      </c>
      <c r="AC759" s="811" t="str">
        <f t="shared" ca="1" si="595"/>
        <v>-----</v>
      </c>
      <c r="AD759" s="798">
        <v>43029</v>
      </c>
      <c r="AE759" s="794" t="str">
        <f t="shared" ca="1" si="596"/>
        <v>-</v>
      </c>
      <c r="AF759" s="798" t="str">
        <f t="shared" si="597"/>
        <v>-</v>
      </c>
      <c r="AG759" s="812" t="str">
        <f t="shared" si="598"/>
        <v>---------</v>
      </c>
      <c r="AH759" s="807">
        <v>43018</v>
      </c>
      <c r="AI759" s="807" t="str">
        <f t="shared" si="599"/>
        <v>-</v>
      </c>
      <c r="AJ759" s="807" t="str">
        <f t="shared" si="600"/>
        <v>-</v>
      </c>
      <c r="AK759" s="813"/>
      <c r="AL759" s="807">
        <f t="shared" si="601"/>
        <v>43158</v>
      </c>
      <c r="AM759" s="807">
        <f t="shared" si="602"/>
        <v>43179</v>
      </c>
      <c r="AN759" s="814">
        <f t="shared" ca="1" si="603"/>
        <v>-45</v>
      </c>
      <c r="AO759" s="815">
        <v>1</v>
      </c>
      <c r="AP759" s="816" t="str">
        <f t="shared" ca="1" si="604"/>
        <v>-</v>
      </c>
      <c r="AQ759" s="817"/>
      <c r="AR759" s="794" t="str">
        <f t="shared" si="605"/>
        <v>НЕТЕЛЬ</v>
      </c>
      <c r="AS759" s="818"/>
      <c r="AT759" s="794" t="str">
        <f t="shared" si="606"/>
        <v>-</v>
      </c>
      <c r="AU759" s="819"/>
      <c r="AV759" s="820">
        <v>43034</v>
      </c>
      <c r="AW759" s="821">
        <v>4</v>
      </c>
      <c r="AX759" s="821">
        <v>1</v>
      </c>
      <c r="AY759" s="969">
        <f t="shared" ca="1" si="607"/>
        <v>100</v>
      </c>
      <c r="AZ759" s="966" t="str">
        <f t="shared" ca="1" si="608"/>
        <v>-</v>
      </c>
      <c r="BA759" s="971">
        <f t="shared" si="609"/>
        <v>43044</v>
      </c>
      <c r="BB759" s="975">
        <v>43045</v>
      </c>
      <c r="BC759" s="821">
        <v>4</v>
      </c>
      <c r="BD759" s="821">
        <v>4</v>
      </c>
      <c r="BE759" s="963">
        <f t="shared" ca="1" si="610"/>
        <v>89</v>
      </c>
      <c r="BF759" s="984"/>
      <c r="BG759" s="988"/>
      <c r="BH759" s="982"/>
      <c r="BI759" s="991"/>
      <c r="BJ759" s="991"/>
      <c r="BK759" s="993" t="str">
        <f t="shared" si="611"/>
        <v>-</v>
      </c>
      <c r="BL759" s="865"/>
      <c r="BM759" s="821"/>
      <c r="BN759" s="822" t="str">
        <f t="shared" si="612"/>
        <v>-</v>
      </c>
      <c r="BO759" s="823" t="str">
        <f t="shared" si="613"/>
        <v>-</v>
      </c>
      <c r="BP759" s="868"/>
      <c r="BQ759" s="821"/>
      <c r="BR759" s="822" t="str">
        <f t="shared" si="614"/>
        <v>-</v>
      </c>
      <c r="BS759" s="823" t="str">
        <f t="shared" si="615"/>
        <v>-</v>
      </c>
      <c r="BT759" s="825" t="str">
        <f t="shared" ca="1" si="616"/>
        <v>-</v>
      </c>
      <c r="BU759" s="860">
        <v>43022</v>
      </c>
      <c r="BV759" s="827">
        <v>2</v>
      </c>
      <c r="BW759" s="828">
        <f t="shared" si="617"/>
        <v>579</v>
      </c>
      <c r="BX759" s="829">
        <f t="shared" ca="1" si="618"/>
        <v>112</v>
      </c>
      <c r="BY759" s="830" t="str">
        <f t="shared" ca="1" si="619"/>
        <v>-</v>
      </c>
      <c r="BZ759" s="831">
        <v>43029</v>
      </c>
      <c r="CA759" s="832">
        <v>5</v>
      </c>
      <c r="CB759" s="833">
        <f t="shared" ca="1" si="620"/>
        <v>105</v>
      </c>
      <c r="CC759" s="834" t="str">
        <f t="shared" ca="1" si="621"/>
        <v>-</v>
      </c>
      <c r="CD759" s="835">
        <f t="shared" si="622"/>
        <v>43050</v>
      </c>
      <c r="CE759" s="831">
        <v>43050</v>
      </c>
      <c r="CF759" s="832">
        <v>5</v>
      </c>
      <c r="CG759" s="833">
        <f t="shared" ca="1" si="623"/>
        <v>84</v>
      </c>
      <c r="CH759" s="836">
        <f t="shared" si="624"/>
        <v>0</v>
      </c>
      <c r="CI759" s="837" t="str">
        <f t="shared" si="625"/>
        <v>УСПЕШНО</v>
      </c>
      <c r="CJ759" s="838" t="str">
        <f t="shared" ca="1" si="626"/>
        <v>-</v>
      </c>
      <c r="CK759" s="831"/>
      <c r="CL759" s="832"/>
      <c r="CM759" s="833" t="str">
        <f t="shared" si="627"/>
        <v>-</v>
      </c>
      <c r="CN759" s="834" t="str">
        <f t="shared" si="628"/>
        <v>-</v>
      </c>
      <c r="CO759" s="830" t="str">
        <f t="shared" ca="1" si="629"/>
        <v>ТРЕБУЕТСЯ ВАКЦИНАЦИЯ</v>
      </c>
      <c r="CP759" s="839"/>
      <c r="CQ759" s="832"/>
      <c r="CR759" s="833" t="str">
        <f t="shared" si="630"/>
        <v>-</v>
      </c>
      <c r="CS759" s="833" t="str">
        <f t="shared" si="631"/>
        <v>-</v>
      </c>
      <c r="CT759" s="834" t="str">
        <f t="shared" si="632"/>
        <v>-</v>
      </c>
      <c r="CU759" s="835" t="str">
        <f t="shared" si="633"/>
        <v>-</v>
      </c>
      <c r="CV759" s="839"/>
      <c r="CW759" s="832"/>
      <c r="CX759" s="833" t="str">
        <f t="shared" si="634"/>
        <v>-</v>
      </c>
      <c r="CY759" s="840" t="str">
        <f t="shared" si="635"/>
        <v>-</v>
      </c>
      <c r="CZ759" s="833" t="str">
        <f t="shared" si="636"/>
        <v>-</v>
      </c>
      <c r="DA759" s="838" t="str">
        <f t="shared" ca="1" si="637"/>
        <v>-</v>
      </c>
      <c r="DB759" s="841"/>
      <c r="DC759" s="832"/>
    </row>
    <row r="760" spans="1:107" x14ac:dyDescent="0.25">
      <c r="A760" s="790">
        <v>762</v>
      </c>
      <c r="B760" s="791">
        <f t="shared" ca="1" si="586"/>
        <v>43134</v>
      </c>
      <c r="C760" s="847" t="s">
        <v>3271</v>
      </c>
      <c r="D760" s="59" t="s">
        <v>3324</v>
      </c>
      <c r="E760" s="22" t="s">
        <v>3477</v>
      </c>
      <c r="F760" s="795" t="s">
        <v>3269</v>
      </c>
      <c r="G760" s="845"/>
      <c r="H760" s="797" t="s">
        <v>3236</v>
      </c>
      <c r="I760" s="798">
        <v>42339</v>
      </c>
      <c r="J760" s="799">
        <f t="shared" ca="1" si="587"/>
        <v>2.1780821917808217</v>
      </c>
      <c r="K760" s="799">
        <f t="shared" ca="1" si="588"/>
        <v>26.5</v>
      </c>
      <c r="L760" s="800">
        <f t="shared" ca="1" si="589"/>
        <v>795</v>
      </c>
      <c r="M760" s="801"/>
      <c r="N760" s="802"/>
      <c r="O760" s="803" t="str">
        <f t="shared" ca="1" si="590"/>
        <v>-</v>
      </c>
      <c r="P760" s="804"/>
      <c r="Q760" s="68" t="s">
        <v>3398</v>
      </c>
      <c r="R760" s="118" t="s">
        <v>3381</v>
      </c>
      <c r="S760" s="798">
        <v>42852</v>
      </c>
      <c r="T760" s="798">
        <v>42852</v>
      </c>
      <c r="U760" s="798" t="str">
        <f t="shared" si="591"/>
        <v>-</v>
      </c>
      <c r="V760" s="804" t="str">
        <f t="shared" ca="1" si="592"/>
        <v>-</v>
      </c>
      <c r="W760" s="808">
        <v>1</v>
      </c>
      <c r="X760" s="794" t="str">
        <f t="shared" si="638"/>
        <v>-</v>
      </c>
      <c r="Y760" s="794">
        <v>1</v>
      </c>
      <c r="Z760" s="809" t="str">
        <f t="shared" ca="1" si="593"/>
        <v>-----</v>
      </c>
      <c r="AA760" s="810" t="str">
        <f t="shared" ca="1" si="594"/>
        <v>-----</v>
      </c>
      <c r="AB760" s="804">
        <v>1</v>
      </c>
      <c r="AC760" s="811" t="str">
        <f t="shared" ca="1" si="595"/>
        <v>-----</v>
      </c>
      <c r="AD760" s="798">
        <v>43029</v>
      </c>
      <c r="AE760" s="794" t="str">
        <f t="shared" ca="1" si="596"/>
        <v>-</v>
      </c>
      <c r="AF760" s="798" t="str">
        <f t="shared" si="597"/>
        <v>-</v>
      </c>
      <c r="AG760" s="812" t="str">
        <f t="shared" si="598"/>
        <v>---------</v>
      </c>
      <c r="AH760" s="807">
        <v>43018</v>
      </c>
      <c r="AI760" s="807" t="str">
        <f t="shared" si="599"/>
        <v>-</v>
      </c>
      <c r="AJ760" s="807" t="str">
        <f t="shared" si="600"/>
        <v>-</v>
      </c>
      <c r="AK760" s="813"/>
      <c r="AL760" s="807">
        <f t="shared" si="601"/>
        <v>43111</v>
      </c>
      <c r="AM760" s="807">
        <f t="shared" si="602"/>
        <v>43132</v>
      </c>
      <c r="AN760" s="814">
        <f t="shared" ca="1" si="603"/>
        <v>2</v>
      </c>
      <c r="AO760" s="815">
        <v>1</v>
      </c>
      <c r="AP760" s="816" t="str">
        <f t="shared" ca="1" si="604"/>
        <v>-</v>
      </c>
      <c r="AQ760" s="817"/>
      <c r="AR760" s="794" t="str">
        <f t="shared" si="605"/>
        <v>НЕТЕЛЬ</v>
      </c>
      <c r="AS760" s="818"/>
      <c r="AT760" s="794" t="str">
        <f t="shared" si="606"/>
        <v>-</v>
      </c>
      <c r="AU760" s="819"/>
      <c r="AV760" s="820">
        <v>43034</v>
      </c>
      <c r="AW760" s="821">
        <v>4</v>
      </c>
      <c r="AX760" s="821">
        <v>1</v>
      </c>
      <c r="AY760" s="969">
        <f t="shared" ca="1" si="607"/>
        <v>100</v>
      </c>
      <c r="AZ760" s="966" t="str">
        <f t="shared" ca="1" si="608"/>
        <v>-</v>
      </c>
      <c r="BA760" s="971">
        <f t="shared" si="609"/>
        <v>43044</v>
      </c>
      <c r="BB760" s="975">
        <v>43045</v>
      </c>
      <c r="BC760" s="821">
        <v>4</v>
      </c>
      <c r="BD760" s="821">
        <v>4</v>
      </c>
      <c r="BE760" s="963">
        <f t="shared" ca="1" si="610"/>
        <v>89</v>
      </c>
      <c r="BF760" s="984"/>
      <c r="BG760" s="988"/>
      <c r="BH760" s="982"/>
      <c r="BI760" s="991"/>
      <c r="BJ760" s="991"/>
      <c r="BK760" s="993" t="str">
        <f t="shared" si="611"/>
        <v>-</v>
      </c>
      <c r="BL760" s="865"/>
      <c r="BM760" s="821"/>
      <c r="BN760" s="822" t="str">
        <f t="shared" si="612"/>
        <v>-</v>
      </c>
      <c r="BO760" s="823" t="str">
        <f t="shared" si="613"/>
        <v>-</v>
      </c>
      <c r="BP760" s="868"/>
      <c r="BQ760" s="821"/>
      <c r="BR760" s="822" t="str">
        <f t="shared" si="614"/>
        <v>-</v>
      </c>
      <c r="BS760" s="823" t="str">
        <f t="shared" si="615"/>
        <v>-</v>
      </c>
      <c r="BT760" s="825" t="str">
        <f t="shared" ca="1" si="616"/>
        <v>-</v>
      </c>
      <c r="BU760" s="860">
        <v>43022</v>
      </c>
      <c r="BV760" s="827">
        <v>2</v>
      </c>
      <c r="BW760" s="828">
        <f t="shared" si="617"/>
        <v>683</v>
      </c>
      <c r="BX760" s="829">
        <f t="shared" ca="1" si="618"/>
        <v>112</v>
      </c>
      <c r="BY760" s="830" t="str">
        <f t="shared" ca="1" si="619"/>
        <v>-</v>
      </c>
      <c r="BZ760" s="831">
        <v>43029</v>
      </c>
      <c r="CA760" s="832">
        <v>5</v>
      </c>
      <c r="CB760" s="833">
        <f t="shared" ca="1" si="620"/>
        <v>105</v>
      </c>
      <c r="CC760" s="834" t="str">
        <f t="shared" ca="1" si="621"/>
        <v>-</v>
      </c>
      <c r="CD760" s="835">
        <f t="shared" si="622"/>
        <v>43050</v>
      </c>
      <c r="CE760" s="831">
        <v>43050</v>
      </c>
      <c r="CF760" s="832">
        <v>5</v>
      </c>
      <c r="CG760" s="833">
        <f t="shared" ca="1" si="623"/>
        <v>84</v>
      </c>
      <c r="CH760" s="836">
        <f t="shared" si="624"/>
        <v>0</v>
      </c>
      <c r="CI760" s="837" t="str">
        <f t="shared" si="625"/>
        <v>УСПЕШНО</v>
      </c>
      <c r="CJ760" s="838" t="str">
        <f t="shared" ca="1" si="626"/>
        <v>-</v>
      </c>
      <c r="CK760" s="831"/>
      <c r="CL760" s="832"/>
      <c r="CM760" s="833" t="str">
        <f t="shared" si="627"/>
        <v>-</v>
      </c>
      <c r="CN760" s="834" t="str">
        <f t="shared" si="628"/>
        <v>-</v>
      </c>
      <c r="CO760" s="830" t="str">
        <f t="shared" ca="1" si="629"/>
        <v>ТРЕБУЕТСЯ ВАКЦИНАЦИЯ</v>
      </c>
      <c r="CP760" s="839"/>
      <c r="CQ760" s="832"/>
      <c r="CR760" s="833" t="str">
        <f t="shared" si="630"/>
        <v>-</v>
      </c>
      <c r="CS760" s="833" t="str">
        <f t="shared" si="631"/>
        <v>-</v>
      </c>
      <c r="CT760" s="834" t="str">
        <f t="shared" si="632"/>
        <v>-</v>
      </c>
      <c r="CU760" s="835" t="str">
        <f t="shared" si="633"/>
        <v>-</v>
      </c>
      <c r="CV760" s="839"/>
      <c r="CW760" s="832"/>
      <c r="CX760" s="833" t="str">
        <f t="shared" si="634"/>
        <v>-</v>
      </c>
      <c r="CY760" s="840" t="str">
        <f t="shared" si="635"/>
        <v>-</v>
      </c>
      <c r="CZ760" s="833" t="str">
        <f t="shared" si="636"/>
        <v>-</v>
      </c>
      <c r="DA760" s="838" t="str">
        <f t="shared" ca="1" si="637"/>
        <v>-</v>
      </c>
      <c r="DB760" s="841"/>
      <c r="DC760" s="832"/>
    </row>
    <row r="761" spans="1:107" x14ac:dyDescent="0.25">
      <c r="A761" s="790">
        <v>763</v>
      </c>
      <c r="B761" s="791">
        <f t="shared" ca="1" si="586"/>
        <v>43134</v>
      </c>
      <c r="C761" s="847" t="s">
        <v>3271</v>
      </c>
      <c r="D761" s="59" t="s">
        <v>3324</v>
      </c>
      <c r="E761" s="22" t="s">
        <v>3469</v>
      </c>
      <c r="F761" s="958" t="s">
        <v>3270</v>
      </c>
      <c r="G761" s="845"/>
      <c r="H761" s="797" t="s">
        <v>3236</v>
      </c>
      <c r="I761" s="798">
        <v>42374</v>
      </c>
      <c r="J761" s="799">
        <f t="shared" ca="1" si="587"/>
        <v>2.0821917808219177</v>
      </c>
      <c r="K761" s="799">
        <f t="shared" ca="1" si="588"/>
        <v>25.333333333333332</v>
      </c>
      <c r="L761" s="800">
        <f t="shared" ca="1" si="589"/>
        <v>760</v>
      </c>
      <c r="M761" s="801"/>
      <c r="N761" s="802"/>
      <c r="O761" s="803" t="str">
        <f t="shared" ca="1" si="590"/>
        <v>-</v>
      </c>
      <c r="P761" s="804"/>
      <c r="Q761" s="68" t="s">
        <v>3398</v>
      </c>
      <c r="R761" s="118" t="s">
        <v>3365</v>
      </c>
      <c r="S761" s="798">
        <v>42843</v>
      </c>
      <c r="T761" s="798">
        <v>42843</v>
      </c>
      <c r="U761" s="798" t="str">
        <f t="shared" si="591"/>
        <v>-</v>
      </c>
      <c r="V761" s="804" t="str">
        <f t="shared" ca="1" si="592"/>
        <v>-</v>
      </c>
      <c r="W761" s="808">
        <v>1</v>
      </c>
      <c r="X761" s="794" t="str">
        <f t="shared" si="638"/>
        <v>-</v>
      </c>
      <c r="Y761" s="794">
        <v>1</v>
      </c>
      <c r="Z761" s="809" t="str">
        <f t="shared" ca="1" si="593"/>
        <v>-----</v>
      </c>
      <c r="AA761" s="810" t="str">
        <f t="shared" ca="1" si="594"/>
        <v>-----</v>
      </c>
      <c r="AB761" s="804">
        <v>1</v>
      </c>
      <c r="AC761" s="811" t="str">
        <f t="shared" ca="1" si="595"/>
        <v>-----</v>
      </c>
      <c r="AD761" s="798">
        <v>43029</v>
      </c>
      <c r="AE761" s="794" t="str">
        <f t="shared" ca="1" si="596"/>
        <v>-</v>
      </c>
      <c r="AF761" s="798" t="str">
        <f t="shared" si="597"/>
        <v>-</v>
      </c>
      <c r="AG761" s="812" t="str">
        <f t="shared" si="598"/>
        <v>---------</v>
      </c>
      <c r="AH761" s="807">
        <v>43018</v>
      </c>
      <c r="AI761" s="807" t="str">
        <f t="shared" si="599"/>
        <v>-</v>
      </c>
      <c r="AJ761" s="807" t="str">
        <f t="shared" si="600"/>
        <v>-</v>
      </c>
      <c r="AK761" s="813"/>
      <c r="AL761" s="807">
        <f t="shared" si="601"/>
        <v>43102</v>
      </c>
      <c r="AM761" s="807">
        <f t="shared" si="602"/>
        <v>43123</v>
      </c>
      <c r="AN761" s="814">
        <f t="shared" ca="1" si="603"/>
        <v>11</v>
      </c>
      <c r="AO761" s="815">
        <v>1</v>
      </c>
      <c r="AP761" s="816" t="str">
        <f t="shared" ca="1" si="604"/>
        <v>-</v>
      </c>
      <c r="AQ761" s="817"/>
      <c r="AR761" s="794" t="str">
        <f t="shared" si="605"/>
        <v>НЕТЕЛЬ</v>
      </c>
      <c r="AS761" s="818"/>
      <c r="AT761" s="794" t="str">
        <f t="shared" si="606"/>
        <v>-</v>
      </c>
      <c r="AU761" s="819"/>
      <c r="AV761" s="820">
        <v>43034</v>
      </c>
      <c r="AW761" s="821">
        <v>4</v>
      </c>
      <c r="AX761" s="821">
        <v>1</v>
      </c>
      <c r="AY761" s="969">
        <f t="shared" ca="1" si="607"/>
        <v>100</v>
      </c>
      <c r="AZ761" s="966" t="str">
        <f t="shared" ca="1" si="608"/>
        <v>-</v>
      </c>
      <c r="BA761" s="971">
        <f t="shared" si="609"/>
        <v>43044</v>
      </c>
      <c r="BB761" s="975">
        <v>43045</v>
      </c>
      <c r="BC761" s="821">
        <v>4</v>
      </c>
      <c r="BD761" s="821">
        <v>4</v>
      </c>
      <c r="BE761" s="963">
        <f t="shared" ca="1" si="610"/>
        <v>89</v>
      </c>
      <c r="BF761" s="984"/>
      <c r="BG761" s="988"/>
      <c r="BH761" s="982"/>
      <c r="BI761" s="991"/>
      <c r="BJ761" s="991"/>
      <c r="BK761" s="993" t="str">
        <f t="shared" si="611"/>
        <v>-</v>
      </c>
      <c r="BL761" s="865"/>
      <c r="BM761" s="821"/>
      <c r="BN761" s="822" t="str">
        <f t="shared" si="612"/>
        <v>-</v>
      </c>
      <c r="BO761" s="823" t="str">
        <f t="shared" si="613"/>
        <v>-</v>
      </c>
      <c r="BP761" s="868"/>
      <c r="BQ761" s="821"/>
      <c r="BR761" s="822" t="str">
        <f t="shared" si="614"/>
        <v>-</v>
      </c>
      <c r="BS761" s="823" t="str">
        <f t="shared" si="615"/>
        <v>-</v>
      </c>
      <c r="BT761" s="825" t="str">
        <f t="shared" ca="1" si="616"/>
        <v>-</v>
      </c>
      <c r="BU761" s="860">
        <v>43022</v>
      </c>
      <c r="BV761" s="827">
        <v>2</v>
      </c>
      <c r="BW761" s="828">
        <f t="shared" si="617"/>
        <v>648</v>
      </c>
      <c r="BX761" s="829">
        <f t="shared" ca="1" si="618"/>
        <v>112</v>
      </c>
      <c r="BY761" s="830" t="str">
        <f t="shared" ca="1" si="619"/>
        <v>-</v>
      </c>
      <c r="BZ761" s="831">
        <v>43029</v>
      </c>
      <c r="CA761" s="832">
        <v>5</v>
      </c>
      <c r="CB761" s="833">
        <f t="shared" ca="1" si="620"/>
        <v>105</v>
      </c>
      <c r="CC761" s="834" t="str">
        <f t="shared" ca="1" si="621"/>
        <v>-</v>
      </c>
      <c r="CD761" s="835">
        <f t="shared" si="622"/>
        <v>43050</v>
      </c>
      <c r="CE761" s="831">
        <v>43050</v>
      </c>
      <c r="CF761" s="832">
        <v>5</v>
      </c>
      <c r="CG761" s="833">
        <f t="shared" ca="1" si="623"/>
        <v>84</v>
      </c>
      <c r="CH761" s="836">
        <f t="shared" si="624"/>
        <v>0</v>
      </c>
      <c r="CI761" s="837" t="str">
        <f t="shared" si="625"/>
        <v>УСПЕШНО</v>
      </c>
      <c r="CJ761" s="838" t="str">
        <f t="shared" ca="1" si="626"/>
        <v>-</v>
      </c>
      <c r="CK761" s="831"/>
      <c r="CL761" s="832"/>
      <c r="CM761" s="833" t="str">
        <f t="shared" si="627"/>
        <v>-</v>
      </c>
      <c r="CN761" s="834" t="str">
        <f t="shared" si="628"/>
        <v>-</v>
      </c>
      <c r="CO761" s="830" t="str">
        <f t="shared" ca="1" si="629"/>
        <v>ТРЕБУЕТСЯ ВАКЦИНАЦИЯ</v>
      </c>
      <c r="CP761" s="839"/>
      <c r="CQ761" s="832"/>
      <c r="CR761" s="833" t="str">
        <f t="shared" si="630"/>
        <v>-</v>
      </c>
      <c r="CS761" s="833" t="str">
        <f t="shared" si="631"/>
        <v>-</v>
      </c>
      <c r="CT761" s="834" t="str">
        <f t="shared" si="632"/>
        <v>-</v>
      </c>
      <c r="CU761" s="835" t="str">
        <f t="shared" si="633"/>
        <v>-</v>
      </c>
      <c r="CV761" s="839"/>
      <c r="CW761" s="832"/>
      <c r="CX761" s="833" t="str">
        <f t="shared" si="634"/>
        <v>-</v>
      </c>
      <c r="CY761" s="840" t="str">
        <f t="shared" si="635"/>
        <v>-</v>
      </c>
      <c r="CZ761" s="833" t="str">
        <f t="shared" si="636"/>
        <v>-</v>
      </c>
      <c r="DA761" s="838" t="str">
        <f t="shared" ca="1" si="637"/>
        <v>-</v>
      </c>
      <c r="DB761" s="841"/>
      <c r="DC761" s="832"/>
    </row>
    <row r="762" spans="1:107" x14ac:dyDescent="0.25">
      <c r="A762" s="790">
        <v>764</v>
      </c>
      <c r="B762" s="791">
        <f t="shared" ca="1" si="586"/>
        <v>43134</v>
      </c>
      <c r="C762" s="847" t="s">
        <v>3271</v>
      </c>
      <c r="D762" s="59" t="s">
        <v>3324</v>
      </c>
      <c r="E762" s="22" t="s">
        <v>3470</v>
      </c>
      <c r="F762" s="795" t="s">
        <v>3250</v>
      </c>
      <c r="G762" s="845"/>
      <c r="H762" s="797" t="s">
        <v>3236</v>
      </c>
      <c r="I762" s="798">
        <v>42381</v>
      </c>
      <c r="J762" s="799">
        <f t="shared" ca="1" si="587"/>
        <v>2.0630136986301371</v>
      </c>
      <c r="K762" s="799">
        <f t="shared" ca="1" si="588"/>
        <v>25.1</v>
      </c>
      <c r="L762" s="800">
        <f t="shared" ca="1" si="589"/>
        <v>753</v>
      </c>
      <c r="M762" s="801"/>
      <c r="N762" s="802"/>
      <c r="O762" s="803" t="str">
        <f t="shared" ca="1" si="590"/>
        <v>-</v>
      </c>
      <c r="P762" s="804"/>
      <c r="Q762" s="68" t="s">
        <v>3398</v>
      </c>
      <c r="R762" s="118" t="s">
        <v>3378</v>
      </c>
      <c r="S762" s="798">
        <v>42837</v>
      </c>
      <c r="T762" s="798">
        <v>42837</v>
      </c>
      <c r="U762" s="798" t="str">
        <f t="shared" si="591"/>
        <v>-</v>
      </c>
      <c r="V762" s="804" t="str">
        <f t="shared" ca="1" si="592"/>
        <v>-</v>
      </c>
      <c r="W762" s="808">
        <v>1</v>
      </c>
      <c r="X762" s="794" t="str">
        <f t="shared" si="638"/>
        <v>-</v>
      </c>
      <c r="Y762" s="794">
        <v>1</v>
      </c>
      <c r="Z762" s="809" t="str">
        <f t="shared" ca="1" si="593"/>
        <v>-----</v>
      </c>
      <c r="AA762" s="810" t="str">
        <f t="shared" ca="1" si="594"/>
        <v>-----</v>
      </c>
      <c r="AB762" s="804">
        <v>1</v>
      </c>
      <c r="AC762" s="811" t="str">
        <f t="shared" ca="1" si="595"/>
        <v>-----</v>
      </c>
      <c r="AD762" s="798">
        <v>43029</v>
      </c>
      <c r="AE762" s="794" t="str">
        <f t="shared" ca="1" si="596"/>
        <v>-</v>
      </c>
      <c r="AF762" s="798" t="str">
        <f t="shared" si="597"/>
        <v>-</v>
      </c>
      <c r="AG762" s="812" t="str">
        <f t="shared" si="598"/>
        <v>---------</v>
      </c>
      <c r="AH762" s="807">
        <v>43018</v>
      </c>
      <c r="AI762" s="807" t="str">
        <f t="shared" si="599"/>
        <v>-</v>
      </c>
      <c r="AJ762" s="807" t="str">
        <f t="shared" si="600"/>
        <v>-</v>
      </c>
      <c r="AK762" s="813"/>
      <c r="AL762" s="807">
        <f t="shared" si="601"/>
        <v>43096</v>
      </c>
      <c r="AM762" s="807">
        <f t="shared" si="602"/>
        <v>43117</v>
      </c>
      <c r="AN762" s="814">
        <f t="shared" ca="1" si="603"/>
        <v>17</v>
      </c>
      <c r="AO762" s="815">
        <v>1</v>
      </c>
      <c r="AP762" s="816" t="str">
        <f t="shared" ca="1" si="604"/>
        <v>-</v>
      </c>
      <c r="AQ762" s="817"/>
      <c r="AR762" s="794" t="str">
        <f t="shared" si="605"/>
        <v>НЕТЕЛЬ</v>
      </c>
      <c r="AS762" s="818"/>
      <c r="AT762" s="794" t="str">
        <f t="shared" si="606"/>
        <v>-</v>
      </c>
      <c r="AU762" s="819"/>
      <c r="AV762" s="820">
        <v>43034</v>
      </c>
      <c r="AW762" s="821">
        <v>4</v>
      </c>
      <c r="AX762" s="821">
        <v>1</v>
      </c>
      <c r="AY762" s="969">
        <f t="shared" ca="1" si="607"/>
        <v>100</v>
      </c>
      <c r="AZ762" s="966" t="str">
        <f t="shared" ca="1" si="608"/>
        <v>-</v>
      </c>
      <c r="BA762" s="971">
        <f t="shared" si="609"/>
        <v>43044</v>
      </c>
      <c r="BB762" s="975">
        <v>43045</v>
      </c>
      <c r="BC762" s="821">
        <v>4</v>
      </c>
      <c r="BD762" s="821">
        <v>4</v>
      </c>
      <c r="BE762" s="963">
        <f t="shared" ca="1" si="610"/>
        <v>89</v>
      </c>
      <c r="BF762" s="984"/>
      <c r="BG762" s="988"/>
      <c r="BH762" s="982"/>
      <c r="BI762" s="991"/>
      <c r="BJ762" s="991"/>
      <c r="BK762" s="993" t="str">
        <f t="shared" si="611"/>
        <v>-</v>
      </c>
      <c r="BL762" s="865"/>
      <c r="BM762" s="821"/>
      <c r="BN762" s="822" t="str">
        <f t="shared" si="612"/>
        <v>-</v>
      </c>
      <c r="BO762" s="823" t="str">
        <f t="shared" si="613"/>
        <v>-</v>
      </c>
      <c r="BP762" s="868"/>
      <c r="BQ762" s="821"/>
      <c r="BR762" s="822" t="str">
        <f t="shared" si="614"/>
        <v>-</v>
      </c>
      <c r="BS762" s="823" t="str">
        <f t="shared" si="615"/>
        <v>-</v>
      </c>
      <c r="BT762" s="825" t="str">
        <f t="shared" ca="1" si="616"/>
        <v>-</v>
      </c>
      <c r="BU762" s="860">
        <v>43022</v>
      </c>
      <c r="BV762" s="827">
        <v>2</v>
      </c>
      <c r="BW762" s="828">
        <f t="shared" si="617"/>
        <v>641</v>
      </c>
      <c r="BX762" s="829">
        <f t="shared" ca="1" si="618"/>
        <v>112</v>
      </c>
      <c r="BY762" s="830" t="str">
        <f t="shared" ca="1" si="619"/>
        <v>-</v>
      </c>
      <c r="BZ762" s="831">
        <v>43029</v>
      </c>
      <c r="CA762" s="832">
        <v>5</v>
      </c>
      <c r="CB762" s="833">
        <f t="shared" ca="1" si="620"/>
        <v>105</v>
      </c>
      <c r="CC762" s="834" t="str">
        <f t="shared" ca="1" si="621"/>
        <v>-</v>
      </c>
      <c r="CD762" s="835">
        <f t="shared" si="622"/>
        <v>43050</v>
      </c>
      <c r="CE762" s="831">
        <v>43050</v>
      </c>
      <c r="CF762" s="832">
        <v>5</v>
      </c>
      <c r="CG762" s="833">
        <f t="shared" ca="1" si="623"/>
        <v>84</v>
      </c>
      <c r="CH762" s="836">
        <f t="shared" si="624"/>
        <v>0</v>
      </c>
      <c r="CI762" s="837" t="str">
        <f t="shared" si="625"/>
        <v>УСПЕШНО</v>
      </c>
      <c r="CJ762" s="838" t="str">
        <f t="shared" ca="1" si="626"/>
        <v>-</v>
      </c>
      <c r="CK762" s="831"/>
      <c r="CL762" s="832"/>
      <c r="CM762" s="833" t="str">
        <f t="shared" si="627"/>
        <v>-</v>
      </c>
      <c r="CN762" s="834" t="str">
        <f t="shared" si="628"/>
        <v>-</v>
      </c>
      <c r="CO762" s="830" t="str">
        <f t="shared" ca="1" si="629"/>
        <v>ТРЕБУЕТСЯ ВАКЦИНАЦИЯ</v>
      </c>
      <c r="CP762" s="839"/>
      <c r="CQ762" s="832"/>
      <c r="CR762" s="833" t="str">
        <f t="shared" si="630"/>
        <v>-</v>
      </c>
      <c r="CS762" s="833" t="str">
        <f t="shared" si="631"/>
        <v>-</v>
      </c>
      <c r="CT762" s="834" t="str">
        <f t="shared" si="632"/>
        <v>-</v>
      </c>
      <c r="CU762" s="835" t="str">
        <f t="shared" si="633"/>
        <v>-</v>
      </c>
      <c r="CV762" s="839"/>
      <c r="CW762" s="832"/>
      <c r="CX762" s="833" t="str">
        <f t="shared" si="634"/>
        <v>-</v>
      </c>
      <c r="CY762" s="840" t="str">
        <f t="shared" si="635"/>
        <v>-</v>
      </c>
      <c r="CZ762" s="833" t="str">
        <f t="shared" si="636"/>
        <v>-</v>
      </c>
      <c r="DA762" s="838" t="str">
        <f t="shared" ca="1" si="637"/>
        <v>-</v>
      </c>
      <c r="DB762" s="841"/>
      <c r="DC762" s="832"/>
    </row>
    <row r="763" spans="1:107" x14ac:dyDescent="0.25">
      <c r="A763" s="790">
        <v>765</v>
      </c>
      <c r="B763" s="791">
        <f t="shared" ca="1" si="586"/>
        <v>43134</v>
      </c>
      <c r="C763" s="847" t="s">
        <v>3271</v>
      </c>
      <c r="D763" s="59" t="s">
        <v>3324</v>
      </c>
      <c r="E763" s="22" t="s">
        <v>3489</v>
      </c>
      <c r="F763" s="795" t="s">
        <v>3237</v>
      </c>
      <c r="G763" s="845"/>
      <c r="H763" s="797" t="s">
        <v>3236</v>
      </c>
      <c r="I763" s="798">
        <v>42369</v>
      </c>
      <c r="J763" s="799">
        <f t="shared" ca="1" si="587"/>
        <v>2.095890410958904</v>
      </c>
      <c r="K763" s="799">
        <f t="shared" ca="1" si="588"/>
        <v>25.5</v>
      </c>
      <c r="L763" s="800">
        <f t="shared" ca="1" si="589"/>
        <v>765</v>
      </c>
      <c r="M763" s="801"/>
      <c r="N763" s="802"/>
      <c r="O763" s="803" t="str">
        <f t="shared" ca="1" si="590"/>
        <v>-</v>
      </c>
      <c r="P763" s="804"/>
      <c r="Q763" s="68" t="s">
        <v>3398</v>
      </c>
      <c r="R763" s="118" t="s">
        <v>3365</v>
      </c>
      <c r="S763" s="798">
        <v>42851</v>
      </c>
      <c r="T763" s="798">
        <v>42851</v>
      </c>
      <c r="U763" s="798" t="str">
        <f t="shared" si="591"/>
        <v>-</v>
      </c>
      <c r="V763" s="804" t="str">
        <f t="shared" ca="1" si="592"/>
        <v>-</v>
      </c>
      <c r="W763" s="808">
        <v>1</v>
      </c>
      <c r="X763" s="794" t="str">
        <f t="shared" si="638"/>
        <v>-</v>
      </c>
      <c r="Y763" s="794">
        <v>1</v>
      </c>
      <c r="Z763" s="809" t="str">
        <f t="shared" ca="1" si="593"/>
        <v>-----</v>
      </c>
      <c r="AA763" s="810" t="str">
        <f t="shared" ca="1" si="594"/>
        <v>-----</v>
      </c>
      <c r="AB763" s="804">
        <v>1</v>
      </c>
      <c r="AC763" s="811" t="str">
        <f t="shared" ca="1" si="595"/>
        <v>-----</v>
      </c>
      <c r="AD763" s="798">
        <v>43029</v>
      </c>
      <c r="AE763" s="794" t="str">
        <f t="shared" ca="1" si="596"/>
        <v>-</v>
      </c>
      <c r="AF763" s="798" t="str">
        <f t="shared" si="597"/>
        <v>-</v>
      </c>
      <c r="AG763" s="812" t="str">
        <f t="shared" si="598"/>
        <v>---------</v>
      </c>
      <c r="AH763" s="807">
        <v>43018</v>
      </c>
      <c r="AI763" s="807" t="str">
        <f t="shared" si="599"/>
        <v>-</v>
      </c>
      <c r="AJ763" s="807" t="str">
        <f t="shared" si="600"/>
        <v>-</v>
      </c>
      <c r="AK763" s="813"/>
      <c r="AL763" s="807">
        <f t="shared" si="601"/>
        <v>43110</v>
      </c>
      <c r="AM763" s="807">
        <f t="shared" si="602"/>
        <v>43131</v>
      </c>
      <c r="AN763" s="814">
        <f t="shared" ca="1" si="603"/>
        <v>3</v>
      </c>
      <c r="AO763" s="815">
        <v>1</v>
      </c>
      <c r="AP763" s="816" t="str">
        <f t="shared" ca="1" si="604"/>
        <v>-</v>
      </c>
      <c r="AQ763" s="817"/>
      <c r="AR763" s="794" t="str">
        <f t="shared" si="605"/>
        <v>НЕТЕЛЬ</v>
      </c>
      <c r="AS763" s="818"/>
      <c r="AT763" s="794" t="str">
        <f t="shared" si="606"/>
        <v>-</v>
      </c>
      <c r="AU763" s="819"/>
      <c r="AV763" s="820">
        <v>43034</v>
      </c>
      <c r="AW763" s="821">
        <v>4</v>
      </c>
      <c r="AX763" s="821">
        <v>1</v>
      </c>
      <c r="AY763" s="969">
        <f t="shared" ca="1" si="607"/>
        <v>100</v>
      </c>
      <c r="AZ763" s="966" t="str">
        <f t="shared" ca="1" si="608"/>
        <v>-</v>
      </c>
      <c r="BA763" s="971">
        <f t="shared" si="609"/>
        <v>43044</v>
      </c>
      <c r="BB763" s="975">
        <v>43045</v>
      </c>
      <c r="BC763" s="821">
        <v>4</v>
      </c>
      <c r="BD763" s="821">
        <v>4</v>
      </c>
      <c r="BE763" s="963">
        <f t="shared" ca="1" si="610"/>
        <v>89</v>
      </c>
      <c r="BF763" s="984"/>
      <c r="BG763" s="988"/>
      <c r="BH763" s="982"/>
      <c r="BI763" s="991"/>
      <c r="BJ763" s="991"/>
      <c r="BK763" s="993" t="str">
        <f t="shared" si="611"/>
        <v>-</v>
      </c>
      <c r="BL763" s="865"/>
      <c r="BM763" s="821"/>
      <c r="BN763" s="822" t="str">
        <f t="shared" si="612"/>
        <v>-</v>
      </c>
      <c r="BO763" s="823" t="str">
        <f t="shared" si="613"/>
        <v>-</v>
      </c>
      <c r="BP763" s="868"/>
      <c r="BQ763" s="821"/>
      <c r="BR763" s="822" t="str">
        <f t="shared" si="614"/>
        <v>-</v>
      </c>
      <c r="BS763" s="823" t="str">
        <f t="shared" si="615"/>
        <v>-</v>
      </c>
      <c r="BT763" s="825" t="str">
        <f t="shared" ca="1" si="616"/>
        <v>-</v>
      </c>
      <c r="BU763" s="860">
        <v>43022</v>
      </c>
      <c r="BV763" s="827">
        <v>2</v>
      </c>
      <c r="BW763" s="828">
        <f t="shared" si="617"/>
        <v>653</v>
      </c>
      <c r="BX763" s="829">
        <f t="shared" ca="1" si="618"/>
        <v>112</v>
      </c>
      <c r="BY763" s="830" t="str">
        <f t="shared" ca="1" si="619"/>
        <v>-</v>
      </c>
      <c r="BZ763" s="831">
        <v>43029</v>
      </c>
      <c r="CA763" s="832">
        <v>5</v>
      </c>
      <c r="CB763" s="833">
        <f t="shared" ca="1" si="620"/>
        <v>105</v>
      </c>
      <c r="CC763" s="834" t="str">
        <f t="shared" ca="1" si="621"/>
        <v>-</v>
      </c>
      <c r="CD763" s="835">
        <f t="shared" si="622"/>
        <v>43050</v>
      </c>
      <c r="CE763" s="831">
        <v>43050</v>
      </c>
      <c r="CF763" s="832">
        <v>5</v>
      </c>
      <c r="CG763" s="833">
        <f t="shared" ca="1" si="623"/>
        <v>84</v>
      </c>
      <c r="CH763" s="836">
        <f t="shared" si="624"/>
        <v>0</v>
      </c>
      <c r="CI763" s="837" t="str">
        <f t="shared" si="625"/>
        <v>УСПЕШНО</v>
      </c>
      <c r="CJ763" s="838" t="str">
        <f t="shared" ca="1" si="626"/>
        <v>-</v>
      </c>
      <c r="CK763" s="831"/>
      <c r="CL763" s="832"/>
      <c r="CM763" s="833" t="str">
        <f t="shared" si="627"/>
        <v>-</v>
      </c>
      <c r="CN763" s="834" t="str">
        <f t="shared" si="628"/>
        <v>-</v>
      </c>
      <c r="CO763" s="830" t="str">
        <f t="shared" ca="1" si="629"/>
        <v>ТРЕБУЕТСЯ ВАКЦИНАЦИЯ</v>
      </c>
      <c r="CP763" s="839"/>
      <c r="CQ763" s="832"/>
      <c r="CR763" s="833" t="str">
        <f t="shared" si="630"/>
        <v>-</v>
      </c>
      <c r="CS763" s="833" t="str">
        <f t="shared" si="631"/>
        <v>-</v>
      </c>
      <c r="CT763" s="834" t="str">
        <f t="shared" si="632"/>
        <v>-</v>
      </c>
      <c r="CU763" s="835" t="str">
        <f t="shared" si="633"/>
        <v>-</v>
      </c>
      <c r="CV763" s="839"/>
      <c r="CW763" s="832"/>
      <c r="CX763" s="833" t="str">
        <f t="shared" si="634"/>
        <v>-</v>
      </c>
      <c r="CY763" s="840" t="str">
        <f t="shared" si="635"/>
        <v>-</v>
      </c>
      <c r="CZ763" s="833" t="str">
        <f t="shared" si="636"/>
        <v>-</v>
      </c>
      <c r="DA763" s="838" t="str">
        <f t="shared" ca="1" si="637"/>
        <v>-</v>
      </c>
      <c r="DB763" s="841"/>
      <c r="DC763" s="832"/>
    </row>
    <row r="764" spans="1:107" x14ac:dyDescent="0.25">
      <c r="A764" s="790">
        <v>766</v>
      </c>
      <c r="B764" s="791">
        <f t="shared" ca="1" si="586"/>
        <v>43134</v>
      </c>
      <c r="C764" s="847" t="s">
        <v>3271</v>
      </c>
      <c r="D764" s="59" t="s">
        <v>3324</v>
      </c>
      <c r="E764" s="22" t="s">
        <v>3476</v>
      </c>
      <c r="F764" s="795" t="s">
        <v>3249</v>
      </c>
      <c r="G764" s="845"/>
      <c r="H764" s="797" t="s">
        <v>3236</v>
      </c>
      <c r="I764" s="798">
        <v>42389</v>
      </c>
      <c r="J764" s="799">
        <f t="shared" ca="1" si="587"/>
        <v>2.0410958904109591</v>
      </c>
      <c r="K764" s="799">
        <f t="shared" ca="1" si="588"/>
        <v>24.833333333333332</v>
      </c>
      <c r="L764" s="800">
        <f t="shared" ca="1" si="589"/>
        <v>745</v>
      </c>
      <c r="M764" s="801"/>
      <c r="N764" s="802"/>
      <c r="O764" s="803" t="str">
        <f t="shared" ca="1" si="590"/>
        <v>-</v>
      </c>
      <c r="P764" s="804"/>
      <c r="Q764" s="68" t="s">
        <v>3398</v>
      </c>
      <c r="R764" s="118" t="s">
        <v>3367</v>
      </c>
      <c r="S764" s="798">
        <v>42835</v>
      </c>
      <c r="T764" s="798">
        <v>42835</v>
      </c>
      <c r="U764" s="798" t="str">
        <f t="shared" si="591"/>
        <v>-</v>
      </c>
      <c r="V764" s="804" t="str">
        <f t="shared" ca="1" si="592"/>
        <v>-</v>
      </c>
      <c r="W764" s="808">
        <v>1</v>
      </c>
      <c r="X764" s="794" t="str">
        <f t="shared" si="638"/>
        <v>-</v>
      </c>
      <c r="Y764" s="794">
        <v>1</v>
      </c>
      <c r="Z764" s="809" t="str">
        <f t="shared" ca="1" si="593"/>
        <v>-----</v>
      </c>
      <c r="AA764" s="810" t="str">
        <f t="shared" ca="1" si="594"/>
        <v>-----</v>
      </c>
      <c r="AB764" s="804">
        <v>1</v>
      </c>
      <c r="AC764" s="811" t="str">
        <f t="shared" ca="1" si="595"/>
        <v>-----</v>
      </c>
      <c r="AD764" s="798">
        <v>43029</v>
      </c>
      <c r="AE764" s="794" t="str">
        <f t="shared" ca="1" si="596"/>
        <v>-</v>
      </c>
      <c r="AF764" s="798" t="str">
        <f t="shared" si="597"/>
        <v>-</v>
      </c>
      <c r="AG764" s="812" t="str">
        <f t="shared" si="598"/>
        <v>---------</v>
      </c>
      <c r="AH764" s="807">
        <v>43018</v>
      </c>
      <c r="AI764" s="807" t="str">
        <f t="shared" si="599"/>
        <v>-</v>
      </c>
      <c r="AJ764" s="807" t="str">
        <f t="shared" si="600"/>
        <v>-</v>
      </c>
      <c r="AK764" s="813"/>
      <c r="AL764" s="807">
        <f t="shared" si="601"/>
        <v>43094</v>
      </c>
      <c r="AM764" s="807">
        <f t="shared" si="602"/>
        <v>43115</v>
      </c>
      <c r="AN764" s="814">
        <f t="shared" ca="1" si="603"/>
        <v>19</v>
      </c>
      <c r="AO764" s="815">
        <v>1</v>
      </c>
      <c r="AP764" s="816" t="str">
        <f t="shared" ca="1" si="604"/>
        <v>-</v>
      </c>
      <c r="AQ764" s="817"/>
      <c r="AR764" s="794" t="str">
        <f t="shared" si="605"/>
        <v>НЕТЕЛЬ</v>
      </c>
      <c r="AS764" s="818"/>
      <c r="AT764" s="794" t="str">
        <f t="shared" si="606"/>
        <v>-</v>
      </c>
      <c r="AU764" s="819"/>
      <c r="AV764" s="820">
        <v>43034</v>
      </c>
      <c r="AW764" s="821">
        <v>4</v>
      </c>
      <c r="AX764" s="821">
        <v>1</v>
      </c>
      <c r="AY764" s="969">
        <f t="shared" ca="1" si="607"/>
        <v>100</v>
      </c>
      <c r="AZ764" s="966" t="str">
        <f t="shared" ca="1" si="608"/>
        <v>-</v>
      </c>
      <c r="BA764" s="971">
        <f t="shared" si="609"/>
        <v>43044</v>
      </c>
      <c r="BB764" s="975">
        <v>43045</v>
      </c>
      <c r="BC764" s="821">
        <v>4</v>
      </c>
      <c r="BD764" s="821">
        <v>4</v>
      </c>
      <c r="BE764" s="963">
        <f t="shared" ca="1" si="610"/>
        <v>89</v>
      </c>
      <c r="BF764" s="984"/>
      <c r="BG764" s="988"/>
      <c r="BH764" s="982"/>
      <c r="BI764" s="991"/>
      <c r="BJ764" s="991"/>
      <c r="BK764" s="993" t="str">
        <f t="shared" si="611"/>
        <v>-</v>
      </c>
      <c r="BL764" s="865"/>
      <c r="BM764" s="821"/>
      <c r="BN764" s="822" t="str">
        <f t="shared" si="612"/>
        <v>-</v>
      </c>
      <c r="BO764" s="823" t="str">
        <f t="shared" si="613"/>
        <v>-</v>
      </c>
      <c r="BP764" s="868"/>
      <c r="BQ764" s="821"/>
      <c r="BR764" s="822" t="str">
        <f t="shared" si="614"/>
        <v>-</v>
      </c>
      <c r="BS764" s="823" t="str">
        <f t="shared" si="615"/>
        <v>-</v>
      </c>
      <c r="BT764" s="825" t="str">
        <f t="shared" ca="1" si="616"/>
        <v>-</v>
      </c>
      <c r="BU764" s="860">
        <v>43022</v>
      </c>
      <c r="BV764" s="827">
        <v>2</v>
      </c>
      <c r="BW764" s="828">
        <f t="shared" si="617"/>
        <v>633</v>
      </c>
      <c r="BX764" s="829">
        <f t="shared" ca="1" si="618"/>
        <v>112</v>
      </c>
      <c r="BY764" s="830" t="str">
        <f t="shared" ca="1" si="619"/>
        <v>-</v>
      </c>
      <c r="BZ764" s="831">
        <v>43029</v>
      </c>
      <c r="CA764" s="832">
        <v>5</v>
      </c>
      <c r="CB764" s="833">
        <f t="shared" ca="1" si="620"/>
        <v>105</v>
      </c>
      <c r="CC764" s="834" t="str">
        <f t="shared" ca="1" si="621"/>
        <v>-</v>
      </c>
      <c r="CD764" s="835">
        <f t="shared" si="622"/>
        <v>43050</v>
      </c>
      <c r="CE764" s="831">
        <v>43050</v>
      </c>
      <c r="CF764" s="832">
        <v>5</v>
      </c>
      <c r="CG764" s="833">
        <f t="shared" ca="1" si="623"/>
        <v>84</v>
      </c>
      <c r="CH764" s="836">
        <f t="shared" si="624"/>
        <v>0</v>
      </c>
      <c r="CI764" s="837" t="str">
        <f t="shared" si="625"/>
        <v>УСПЕШНО</v>
      </c>
      <c r="CJ764" s="838" t="str">
        <f t="shared" ca="1" si="626"/>
        <v>-</v>
      </c>
      <c r="CK764" s="831"/>
      <c r="CL764" s="832"/>
      <c r="CM764" s="833" t="str">
        <f t="shared" si="627"/>
        <v>-</v>
      </c>
      <c r="CN764" s="834" t="str">
        <f t="shared" si="628"/>
        <v>-</v>
      </c>
      <c r="CO764" s="830" t="str">
        <f t="shared" ca="1" si="629"/>
        <v>ТРЕБУЕТСЯ ВАКЦИНАЦИЯ</v>
      </c>
      <c r="CP764" s="839"/>
      <c r="CQ764" s="832"/>
      <c r="CR764" s="833" t="str">
        <f t="shared" si="630"/>
        <v>-</v>
      </c>
      <c r="CS764" s="833" t="str">
        <f t="shared" si="631"/>
        <v>-</v>
      </c>
      <c r="CT764" s="834" t="str">
        <f t="shared" si="632"/>
        <v>-</v>
      </c>
      <c r="CU764" s="835" t="str">
        <f t="shared" si="633"/>
        <v>-</v>
      </c>
      <c r="CV764" s="839"/>
      <c r="CW764" s="832"/>
      <c r="CX764" s="833" t="str">
        <f t="shared" si="634"/>
        <v>-</v>
      </c>
      <c r="CY764" s="840" t="str">
        <f t="shared" si="635"/>
        <v>-</v>
      </c>
      <c r="CZ764" s="833" t="str">
        <f t="shared" si="636"/>
        <v>-</v>
      </c>
      <c r="DA764" s="838" t="str">
        <f t="shared" ca="1" si="637"/>
        <v>-</v>
      </c>
      <c r="DB764" s="841"/>
      <c r="DC764" s="832"/>
    </row>
    <row r="765" spans="1:107" x14ac:dyDescent="0.25">
      <c r="A765" s="790">
        <v>767</v>
      </c>
      <c r="B765" s="791">
        <f t="shared" ca="1" si="586"/>
        <v>43134</v>
      </c>
      <c r="C765" s="847" t="s">
        <v>3271</v>
      </c>
      <c r="D765" s="59" t="s">
        <v>3324</v>
      </c>
      <c r="E765" s="22" t="s">
        <v>3423</v>
      </c>
      <c r="F765" s="795" t="s">
        <v>3308</v>
      </c>
      <c r="G765" s="845"/>
      <c r="H765" s="797" t="s">
        <v>3236</v>
      </c>
      <c r="I765" s="798">
        <v>42265</v>
      </c>
      <c r="J765" s="799">
        <f t="shared" ca="1" si="587"/>
        <v>2.3808219178082193</v>
      </c>
      <c r="K765" s="799">
        <f t="shared" ca="1" si="588"/>
        <v>28.966666666666665</v>
      </c>
      <c r="L765" s="800">
        <f t="shared" ca="1" si="589"/>
        <v>869</v>
      </c>
      <c r="M765" s="801"/>
      <c r="N765" s="802"/>
      <c r="O765" s="803" t="str">
        <f t="shared" ca="1" si="590"/>
        <v>-</v>
      </c>
      <c r="P765" s="804"/>
      <c r="Q765" s="68" t="s">
        <v>3398</v>
      </c>
      <c r="R765" s="118" t="s">
        <v>3393</v>
      </c>
      <c r="S765" s="807">
        <v>42859</v>
      </c>
      <c r="T765" s="798">
        <v>42859</v>
      </c>
      <c r="U765" s="798" t="str">
        <f t="shared" si="591"/>
        <v>-</v>
      </c>
      <c r="V765" s="804" t="str">
        <f t="shared" ca="1" si="592"/>
        <v>-</v>
      </c>
      <c r="W765" s="808">
        <v>1</v>
      </c>
      <c r="X765" s="794" t="str">
        <f t="shared" si="638"/>
        <v>-</v>
      </c>
      <c r="Y765" s="794">
        <v>1</v>
      </c>
      <c r="Z765" s="809" t="str">
        <f t="shared" ca="1" si="593"/>
        <v>-----</v>
      </c>
      <c r="AA765" s="810" t="str">
        <f t="shared" ca="1" si="594"/>
        <v>-----</v>
      </c>
      <c r="AB765" s="804">
        <v>1</v>
      </c>
      <c r="AC765" s="811" t="str">
        <f t="shared" ca="1" si="595"/>
        <v>-----</v>
      </c>
      <c r="AD765" s="798">
        <v>43029</v>
      </c>
      <c r="AE765" s="794" t="str">
        <f t="shared" ca="1" si="596"/>
        <v>-</v>
      </c>
      <c r="AF765" s="798" t="str">
        <f t="shared" si="597"/>
        <v>-</v>
      </c>
      <c r="AG765" s="812" t="str">
        <f t="shared" si="598"/>
        <v>---------</v>
      </c>
      <c r="AH765" s="807">
        <v>43018</v>
      </c>
      <c r="AI765" s="807" t="str">
        <f t="shared" si="599"/>
        <v>-</v>
      </c>
      <c r="AJ765" s="807" t="str">
        <f t="shared" si="600"/>
        <v>-</v>
      </c>
      <c r="AK765" s="813"/>
      <c r="AL765" s="807">
        <f t="shared" si="601"/>
        <v>43118</v>
      </c>
      <c r="AM765" s="807">
        <f t="shared" si="602"/>
        <v>43139</v>
      </c>
      <c r="AN765" s="814">
        <f t="shared" ca="1" si="603"/>
        <v>-5</v>
      </c>
      <c r="AO765" s="815">
        <v>1</v>
      </c>
      <c r="AP765" s="816" t="str">
        <f t="shared" ca="1" si="604"/>
        <v>-</v>
      </c>
      <c r="AQ765" s="817"/>
      <c r="AR765" s="794" t="str">
        <f t="shared" si="605"/>
        <v>НЕТЕЛЬ</v>
      </c>
      <c r="AS765" s="818"/>
      <c r="AT765" s="794" t="str">
        <f t="shared" si="606"/>
        <v>-</v>
      </c>
      <c r="AU765" s="819"/>
      <c r="AV765" s="820">
        <v>43034</v>
      </c>
      <c r="AW765" s="821">
        <v>4</v>
      </c>
      <c r="AX765" s="821">
        <v>1</v>
      </c>
      <c r="AY765" s="969">
        <f t="shared" ca="1" si="607"/>
        <v>100</v>
      </c>
      <c r="AZ765" s="966" t="str">
        <f t="shared" ca="1" si="608"/>
        <v>-</v>
      </c>
      <c r="BA765" s="971">
        <f t="shared" si="609"/>
        <v>43044</v>
      </c>
      <c r="BB765" s="975">
        <v>43045</v>
      </c>
      <c r="BC765" s="821">
        <v>4</v>
      </c>
      <c r="BD765" s="821">
        <v>4</v>
      </c>
      <c r="BE765" s="963">
        <f t="shared" ca="1" si="610"/>
        <v>89</v>
      </c>
      <c r="BF765" s="984"/>
      <c r="BG765" s="988"/>
      <c r="BH765" s="982"/>
      <c r="BI765" s="991"/>
      <c r="BJ765" s="991"/>
      <c r="BK765" s="993" t="str">
        <f t="shared" si="611"/>
        <v>-</v>
      </c>
      <c r="BL765" s="865"/>
      <c r="BM765" s="821"/>
      <c r="BN765" s="822" t="str">
        <f t="shared" si="612"/>
        <v>-</v>
      </c>
      <c r="BO765" s="823" t="str">
        <f t="shared" si="613"/>
        <v>-</v>
      </c>
      <c r="BP765" s="868"/>
      <c r="BQ765" s="821"/>
      <c r="BR765" s="822" t="str">
        <f t="shared" si="614"/>
        <v>-</v>
      </c>
      <c r="BS765" s="823" t="str">
        <f t="shared" si="615"/>
        <v>-</v>
      </c>
      <c r="BT765" s="825" t="str">
        <f t="shared" ca="1" si="616"/>
        <v>-</v>
      </c>
      <c r="BU765" s="860">
        <v>43022</v>
      </c>
      <c r="BV765" s="827">
        <v>2</v>
      </c>
      <c r="BW765" s="828">
        <f t="shared" si="617"/>
        <v>757</v>
      </c>
      <c r="BX765" s="829">
        <f t="shared" ca="1" si="618"/>
        <v>112</v>
      </c>
      <c r="BY765" s="830" t="str">
        <f t="shared" ca="1" si="619"/>
        <v>-</v>
      </c>
      <c r="BZ765" s="831">
        <v>43029</v>
      </c>
      <c r="CA765" s="832">
        <v>5</v>
      </c>
      <c r="CB765" s="833">
        <f t="shared" ca="1" si="620"/>
        <v>105</v>
      </c>
      <c r="CC765" s="834" t="str">
        <f t="shared" ca="1" si="621"/>
        <v>-</v>
      </c>
      <c r="CD765" s="835">
        <f t="shared" si="622"/>
        <v>43050</v>
      </c>
      <c r="CE765" s="831">
        <v>43050</v>
      </c>
      <c r="CF765" s="832">
        <v>5</v>
      </c>
      <c r="CG765" s="833">
        <f t="shared" ca="1" si="623"/>
        <v>84</v>
      </c>
      <c r="CH765" s="836">
        <f t="shared" si="624"/>
        <v>0</v>
      </c>
      <c r="CI765" s="837" t="str">
        <f t="shared" si="625"/>
        <v>УСПЕШНО</v>
      </c>
      <c r="CJ765" s="838" t="str">
        <f t="shared" ca="1" si="626"/>
        <v>-</v>
      </c>
      <c r="CK765" s="831"/>
      <c r="CL765" s="832"/>
      <c r="CM765" s="833" t="str">
        <f t="shared" si="627"/>
        <v>-</v>
      </c>
      <c r="CN765" s="834" t="str">
        <f t="shared" si="628"/>
        <v>-</v>
      </c>
      <c r="CO765" s="830" t="str">
        <f t="shared" ca="1" si="629"/>
        <v>ТРЕБУЕТСЯ ВАКЦИНАЦИЯ</v>
      </c>
      <c r="CP765" s="839"/>
      <c r="CQ765" s="832"/>
      <c r="CR765" s="833" t="str">
        <f t="shared" si="630"/>
        <v>-</v>
      </c>
      <c r="CS765" s="833" t="str">
        <f t="shared" si="631"/>
        <v>-</v>
      </c>
      <c r="CT765" s="834" t="str">
        <f t="shared" si="632"/>
        <v>-</v>
      </c>
      <c r="CU765" s="835" t="str">
        <f t="shared" si="633"/>
        <v>-</v>
      </c>
      <c r="CV765" s="839"/>
      <c r="CW765" s="832"/>
      <c r="CX765" s="833" t="str">
        <f t="shared" si="634"/>
        <v>-</v>
      </c>
      <c r="CY765" s="840" t="str">
        <f t="shared" si="635"/>
        <v>-</v>
      </c>
      <c r="CZ765" s="833" t="str">
        <f t="shared" si="636"/>
        <v>-</v>
      </c>
      <c r="DA765" s="838" t="str">
        <f t="shared" ca="1" si="637"/>
        <v>-</v>
      </c>
      <c r="DB765" s="841"/>
      <c r="DC765" s="832"/>
    </row>
    <row r="766" spans="1:107" x14ac:dyDescent="0.25">
      <c r="A766" s="790">
        <v>768</v>
      </c>
      <c r="B766" s="791">
        <f t="shared" ca="1" si="586"/>
        <v>43134</v>
      </c>
      <c r="C766" s="847" t="s">
        <v>3271</v>
      </c>
      <c r="D766" s="59" t="s">
        <v>3324</v>
      </c>
      <c r="E766" s="22" t="s">
        <v>3451</v>
      </c>
      <c r="F766" s="795" t="s">
        <v>3276</v>
      </c>
      <c r="G766" s="845"/>
      <c r="H766" s="797" t="s">
        <v>3236</v>
      </c>
      <c r="I766" s="798">
        <v>42294</v>
      </c>
      <c r="J766" s="799">
        <f t="shared" ca="1" si="587"/>
        <v>2.3013698630136985</v>
      </c>
      <c r="K766" s="799">
        <f t="shared" ca="1" si="588"/>
        <v>28</v>
      </c>
      <c r="L766" s="800">
        <f t="shared" ca="1" si="589"/>
        <v>840</v>
      </c>
      <c r="M766" s="801"/>
      <c r="N766" s="802"/>
      <c r="O766" s="803" t="str">
        <f t="shared" ca="1" si="590"/>
        <v>-</v>
      </c>
      <c r="P766" s="804"/>
      <c r="Q766" s="68" t="s">
        <v>3398</v>
      </c>
      <c r="R766" s="118" t="s">
        <v>3393</v>
      </c>
      <c r="S766" s="807">
        <v>42859</v>
      </c>
      <c r="T766" s="798">
        <v>42859</v>
      </c>
      <c r="U766" s="798" t="str">
        <f t="shared" si="591"/>
        <v>-</v>
      </c>
      <c r="V766" s="804" t="str">
        <f t="shared" ca="1" si="592"/>
        <v>-</v>
      </c>
      <c r="W766" s="808">
        <v>1</v>
      </c>
      <c r="X766" s="794" t="str">
        <f t="shared" si="638"/>
        <v>-</v>
      </c>
      <c r="Y766" s="794">
        <v>1</v>
      </c>
      <c r="Z766" s="809" t="str">
        <f t="shared" ca="1" si="593"/>
        <v>-----</v>
      </c>
      <c r="AA766" s="810" t="str">
        <f t="shared" ca="1" si="594"/>
        <v>-----</v>
      </c>
      <c r="AB766" s="804">
        <v>1</v>
      </c>
      <c r="AC766" s="811" t="str">
        <f t="shared" ca="1" si="595"/>
        <v>-----</v>
      </c>
      <c r="AD766" s="798">
        <v>43029</v>
      </c>
      <c r="AE766" s="794" t="str">
        <f t="shared" ca="1" si="596"/>
        <v>-</v>
      </c>
      <c r="AF766" s="798" t="str">
        <f t="shared" si="597"/>
        <v>-</v>
      </c>
      <c r="AG766" s="812" t="str">
        <f t="shared" si="598"/>
        <v>---------</v>
      </c>
      <c r="AH766" s="807">
        <v>43018</v>
      </c>
      <c r="AI766" s="807" t="str">
        <f t="shared" si="599"/>
        <v>-</v>
      </c>
      <c r="AJ766" s="807" t="str">
        <f t="shared" si="600"/>
        <v>-</v>
      </c>
      <c r="AK766" s="813"/>
      <c r="AL766" s="807">
        <f t="shared" si="601"/>
        <v>43118</v>
      </c>
      <c r="AM766" s="807">
        <f t="shared" si="602"/>
        <v>43139</v>
      </c>
      <c r="AN766" s="814">
        <f t="shared" ca="1" si="603"/>
        <v>-5</v>
      </c>
      <c r="AO766" s="815">
        <v>1</v>
      </c>
      <c r="AP766" s="816" t="str">
        <f t="shared" ca="1" si="604"/>
        <v>-</v>
      </c>
      <c r="AQ766" s="817"/>
      <c r="AR766" s="794" t="str">
        <f t="shared" si="605"/>
        <v>НЕТЕЛЬ</v>
      </c>
      <c r="AS766" s="818"/>
      <c r="AT766" s="794" t="str">
        <f t="shared" si="606"/>
        <v>-</v>
      </c>
      <c r="AU766" s="819"/>
      <c r="AV766" s="820">
        <v>43034</v>
      </c>
      <c r="AW766" s="821">
        <v>4</v>
      </c>
      <c r="AX766" s="821">
        <v>1</v>
      </c>
      <c r="AY766" s="969">
        <f t="shared" ca="1" si="607"/>
        <v>100</v>
      </c>
      <c r="AZ766" s="966" t="str">
        <f t="shared" ca="1" si="608"/>
        <v>-</v>
      </c>
      <c r="BA766" s="971">
        <f t="shared" si="609"/>
        <v>43044</v>
      </c>
      <c r="BB766" s="975">
        <v>43045</v>
      </c>
      <c r="BC766" s="821">
        <v>4</v>
      </c>
      <c r="BD766" s="821">
        <v>4</v>
      </c>
      <c r="BE766" s="963">
        <f t="shared" ca="1" si="610"/>
        <v>89</v>
      </c>
      <c r="BF766" s="984"/>
      <c r="BG766" s="988"/>
      <c r="BH766" s="982"/>
      <c r="BI766" s="991"/>
      <c r="BJ766" s="991"/>
      <c r="BK766" s="993" t="str">
        <f t="shared" si="611"/>
        <v>-</v>
      </c>
      <c r="BL766" s="865"/>
      <c r="BM766" s="821"/>
      <c r="BN766" s="822" t="str">
        <f t="shared" si="612"/>
        <v>-</v>
      </c>
      <c r="BO766" s="823" t="str">
        <f t="shared" si="613"/>
        <v>-</v>
      </c>
      <c r="BP766" s="868"/>
      <c r="BQ766" s="821"/>
      <c r="BR766" s="822" t="str">
        <f t="shared" si="614"/>
        <v>-</v>
      </c>
      <c r="BS766" s="823" t="str">
        <f t="shared" si="615"/>
        <v>-</v>
      </c>
      <c r="BT766" s="825" t="str">
        <f t="shared" ca="1" si="616"/>
        <v>-</v>
      </c>
      <c r="BU766" s="860">
        <v>43022</v>
      </c>
      <c r="BV766" s="827">
        <v>2</v>
      </c>
      <c r="BW766" s="828">
        <f t="shared" si="617"/>
        <v>728</v>
      </c>
      <c r="BX766" s="829">
        <f t="shared" ca="1" si="618"/>
        <v>112</v>
      </c>
      <c r="BY766" s="830" t="str">
        <f t="shared" ca="1" si="619"/>
        <v>-</v>
      </c>
      <c r="BZ766" s="831">
        <v>43029</v>
      </c>
      <c r="CA766" s="832">
        <v>5</v>
      </c>
      <c r="CB766" s="833">
        <f t="shared" ca="1" si="620"/>
        <v>105</v>
      </c>
      <c r="CC766" s="834" t="str">
        <f t="shared" ca="1" si="621"/>
        <v>-</v>
      </c>
      <c r="CD766" s="835">
        <f t="shared" si="622"/>
        <v>43050</v>
      </c>
      <c r="CE766" s="831">
        <v>43050</v>
      </c>
      <c r="CF766" s="832">
        <v>5</v>
      </c>
      <c r="CG766" s="833">
        <f t="shared" ca="1" si="623"/>
        <v>84</v>
      </c>
      <c r="CH766" s="836">
        <f t="shared" si="624"/>
        <v>0</v>
      </c>
      <c r="CI766" s="837" t="str">
        <f t="shared" si="625"/>
        <v>УСПЕШНО</v>
      </c>
      <c r="CJ766" s="838" t="str">
        <f t="shared" ca="1" si="626"/>
        <v>-</v>
      </c>
      <c r="CK766" s="831"/>
      <c r="CL766" s="832"/>
      <c r="CM766" s="833" t="str">
        <f t="shared" si="627"/>
        <v>-</v>
      </c>
      <c r="CN766" s="834" t="str">
        <f t="shared" si="628"/>
        <v>-</v>
      </c>
      <c r="CO766" s="830" t="str">
        <f t="shared" ca="1" si="629"/>
        <v>ТРЕБУЕТСЯ ВАКЦИНАЦИЯ</v>
      </c>
      <c r="CP766" s="839"/>
      <c r="CQ766" s="832"/>
      <c r="CR766" s="833" t="str">
        <f t="shared" si="630"/>
        <v>-</v>
      </c>
      <c r="CS766" s="833" t="str">
        <f t="shared" si="631"/>
        <v>-</v>
      </c>
      <c r="CT766" s="834" t="str">
        <f t="shared" si="632"/>
        <v>-</v>
      </c>
      <c r="CU766" s="835" t="str">
        <f t="shared" si="633"/>
        <v>-</v>
      </c>
      <c r="CV766" s="839"/>
      <c r="CW766" s="832"/>
      <c r="CX766" s="833" t="str">
        <f t="shared" si="634"/>
        <v>-</v>
      </c>
      <c r="CY766" s="840" t="str">
        <f t="shared" si="635"/>
        <v>-</v>
      </c>
      <c r="CZ766" s="833" t="str">
        <f t="shared" si="636"/>
        <v>-</v>
      </c>
      <c r="DA766" s="838" t="str">
        <f t="shared" ca="1" si="637"/>
        <v>-</v>
      </c>
      <c r="DB766" s="841"/>
      <c r="DC766" s="832"/>
    </row>
    <row r="767" spans="1:107" x14ac:dyDescent="0.25">
      <c r="A767" s="790">
        <v>769</v>
      </c>
      <c r="B767" s="791">
        <f t="shared" ca="1" si="586"/>
        <v>43134</v>
      </c>
      <c r="C767" s="847" t="s">
        <v>3271</v>
      </c>
      <c r="D767" s="59" t="s">
        <v>3324</v>
      </c>
      <c r="E767" s="22" t="s">
        <v>3425</v>
      </c>
      <c r="F767" s="795" t="s">
        <v>3277</v>
      </c>
      <c r="G767" s="845"/>
      <c r="H767" s="797" t="s">
        <v>3236</v>
      </c>
      <c r="I767" s="798">
        <v>42312</v>
      </c>
      <c r="J767" s="799">
        <f t="shared" ca="1" si="587"/>
        <v>2.2520547945205478</v>
      </c>
      <c r="K767" s="799">
        <f t="shared" ca="1" si="588"/>
        <v>27.4</v>
      </c>
      <c r="L767" s="800">
        <f t="shared" ca="1" si="589"/>
        <v>822</v>
      </c>
      <c r="M767" s="801"/>
      <c r="N767" s="802"/>
      <c r="O767" s="803" t="str">
        <f t="shared" ca="1" si="590"/>
        <v>-</v>
      </c>
      <c r="P767" s="804"/>
      <c r="Q767" s="68" t="s">
        <v>3398</v>
      </c>
      <c r="R767" s="118" t="s">
        <v>3368</v>
      </c>
      <c r="S767" s="807">
        <v>42882</v>
      </c>
      <c r="T767" s="798">
        <v>42882</v>
      </c>
      <c r="U767" s="798" t="str">
        <f t="shared" si="591"/>
        <v>-</v>
      </c>
      <c r="V767" s="804" t="str">
        <f t="shared" ca="1" si="592"/>
        <v>-</v>
      </c>
      <c r="W767" s="808">
        <v>1</v>
      </c>
      <c r="X767" s="794" t="str">
        <f t="shared" si="638"/>
        <v>-</v>
      </c>
      <c r="Y767" s="794">
        <v>1</v>
      </c>
      <c r="Z767" s="809" t="str">
        <f t="shared" ca="1" si="593"/>
        <v>-----</v>
      </c>
      <c r="AA767" s="810" t="str">
        <f t="shared" ca="1" si="594"/>
        <v>-----</v>
      </c>
      <c r="AB767" s="804">
        <v>1</v>
      </c>
      <c r="AC767" s="811" t="str">
        <f t="shared" ca="1" si="595"/>
        <v>-----</v>
      </c>
      <c r="AD767" s="798">
        <v>43029</v>
      </c>
      <c r="AE767" s="794" t="str">
        <f t="shared" ca="1" si="596"/>
        <v>-</v>
      </c>
      <c r="AF767" s="798" t="str">
        <f t="shared" si="597"/>
        <v>-</v>
      </c>
      <c r="AG767" s="812" t="str">
        <f t="shared" si="598"/>
        <v>---------</v>
      </c>
      <c r="AH767" s="807">
        <v>43018</v>
      </c>
      <c r="AI767" s="807" t="str">
        <f t="shared" si="599"/>
        <v>-</v>
      </c>
      <c r="AJ767" s="807" t="str">
        <f t="shared" si="600"/>
        <v>-</v>
      </c>
      <c r="AK767" s="813"/>
      <c r="AL767" s="807">
        <f t="shared" si="601"/>
        <v>43141</v>
      </c>
      <c r="AM767" s="807">
        <f t="shared" si="602"/>
        <v>43162</v>
      </c>
      <c r="AN767" s="814">
        <f t="shared" ca="1" si="603"/>
        <v>-28</v>
      </c>
      <c r="AO767" s="815">
        <v>1</v>
      </c>
      <c r="AP767" s="816" t="str">
        <f t="shared" ca="1" si="604"/>
        <v>-</v>
      </c>
      <c r="AQ767" s="817"/>
      <c r="AR767" s="794" t="str">
        <f t="shared" si="605"/>
        <v>НЕТЕЛЬ</v>
      </c>
      <c r="AS767" s="818"/>
      <c r="AT767" s="794" t="str">
        <f t="shared" si="606"/>
        <v>-</v>
      </c>
      <c r="AU767" s="819"/>
      <c r="AV767" s="820">
        <v>43034</v>
      </c>
      <c r="AW767" s="821">
        <v>4</v>
      </c>
      <c r="AX767" s="821">
        <v>1</v>
      </c>
      <c r="AY767" s="969">
        <f t="shared" ca="1" si="607"/>
        <v>100</v>
      </c>
      <c r="AZ767" s="966" t="str">
        <f t="shared" ca="1" si="608"/>
        <v>-</v>
      </c>
      <c r="BA767" s="971">
        <f t="shared" si="609"/>
        <v>43044</v>
      </c>
      <c r="BB767" s="975">
        <v>43045</v>
      </c>
      <c r="BC767" s="821">
        <v>4</v>
      </c>
      <c r="BD767" s="821">
        <v>4</v>
      </c>
      <c r="BE767" s="963">
        <f t="shared" ca="1" si="610"/>
        <v>89</v>
      </c>
      <c r="BF767" s="984"/>
      <c r="BG767" s="988"/>
      <c r="BH767" s="982"/>
      <c r="BI767" s="991"/>
      <c r="BJ767" s="991"/>
      <c r="BK767" s="993" t="str">
        <f t="shared" si="611"/>
        <v>-</v>
      </c>
      <c r="BL767" s="865"/>
      <c r="BM767" s="821"/>
      <c r="BN767" s="822" t="str">
        <f t="shared" si="612"/>
        <v>-</v>
      </c>
      <c r="BO767" s="823" t="str">
        <f t="shared" si="613"/>
        <v>-</v>
      </c>
      <c r="BP767" s="868"/>
      <c r="BQ767" s="821"/>
      <c r="BR767" s="822" t="str">
        <f t="shared" si="614"/>
        <v>-</v>
      </c>
      <c r="BS767" s="823" t="str">
        <f t="shared" si="615"/>
        <v>-</v>
      </c>
      <c r="BT767" s="825" t="str">
        <f t="shared" ca="1" si="616"/>
        <v>-</v>
      </c>
      <c r="BU767" s="860">
        <v>43022</v>
      </c>
      <c r="BV767" s="827">
        <v>2</v>
      </c>
      <c r="BW767" s="828">
        <f t="shared" si="617"/>
        <v>710</v>
      </c>
      <c r="BX767" s="829">
        <f t="shared" ca="1" si="618"/>
        <v>112</v>
      </c>
      <c r="BY767" s="830" t="str">
        <f t="shared" ca="1" si="619"/>
        <v>-</v>
      </c>
      <c r="BZ767" s="831">
        <v>43029</v>
      </c>
      <c r="CA767" s="832">
        <v>5</v>
      </c>
      <c r="CB767" s="833">
        <f t="shared" ca="1" si="620"/>
        <v>105</v>
      </c>
      <c r="CC767" s="834" t="str">
        <f t="shared" ca="1" si="621"/>
        <v>-</v>
      </c>
      <c r="CD767" s="835">
        <f t="shared" si="622"/>
        <v>43050</v>
      </c>
      <c r="CE767" s="831">
        <v>43050</v>
      </c>
      <c r="CF767" s="832">
        <v>5</v>
      </c>
      <c r="CG767" s="833">
        <f t="shared" ca="1" si="623"/>
        <v>84</v>
      </c>
      <c r="CH767" s="836">
        <f t="shared" si="624"/>
        <v>0</v>
      </c>
      <c r="CI767" s="837" t="str">
        <f t="shared" si="625"/>
        <v>УСПЕШНО</v>
      </c>
      <c r="CJ767" s="838" t="str">
        <f t="shared" ca="1" si="626"/>
        <v>-</v>
      </c>
      <c r="CK767" s="831"/>
      <c r="CL767" s="832"/>
      <c r="CM767" s="833" t="str">
        <f t="shared" si="627"/>
        <v>-</v>
      </c>
      <c r="CN767" s="834" t="str">
        <f t="shared" si="628"/>
        <v>-</v>
      </c>
      <c r="CO767" s="830" t="str">
        <f t="shared" ca="1" si="629"/>
        <v>ТРЕБУЕТСЯ ВАКЦИНАЦИЯ</v>
      </c>
      <c r="CP767" s="839"/>
      <c r="CQ767" s="832"/>
      <c r="CR767" s="833" t="str">
        <f t="shared" si="630"/>
        <v>-</v>
      </c>
      <c r="CS767" s="833" t="str">
        <f t="shared" si="631"/>
        <v>-</v>
      </c>
      <c r="CT767" s="834" t="str">
        <f t="shared" si="632"/>
        <v>-</v>
      </c>
      <c r="CU767" s="835" t="str">
        <f t="shared" si="633"/>
        <v>-</v>
      </c>
      <c r="CV767" s="839"/>
      <c r="CW767" s="832"/>
      <c r="CX767" s="833" t="str">
        <f t="shared" si="634"/>
        <v>-</v>
      </c>
      <c r="CY767" s="840" t="str">
        <f t="shared" si="635"/>
        <v>-</v>
      </c>
      <c r="CZ767" s="833" t="str">
        <f t="shared" si="636"/>
        <v>-</v>
      </c>
      <c r="DA767" s="838" t="str">
        <f t="shared" ca="1" si="637"/>
        <v>-</v>
      </c>
      <c r="DB767" s="841"/>
      <c r="DC767" s="832"/>
    </row>
    <row r="768" spans="1:107" x14ac:dyDescent="0.25">
      <c r="A768" s="790">
        <v>770</v>
      </c>
      <c r="B768" s="791">
        <f t="shared" ca="1" si="586"/>
        <v>43134</v>
      </c>
      <c r="C768" s="847" t="s">
        <v>3271</v>
      </c>
      <c r="D768" s="59" t="s">
        <v>3324</v>
      </c>
      <c r="E768" s="22" t="s">
        <v>3419</v>
      </c>
      <c r="F768" s="795" t="s">
        <v>3278</v>
      </c>
      <c r="G768" s="845"/>
      <c r="H768" s="797" t="s">
        <v>3236</v>
      </c>
      <c r="I768" s="798">
        <v>42342</v>
      </c>
      <c r="J768" s="799">
        <f t="shared" ca="1" si="587"/>
        <v>2.1698630136986301</v>
      </c>
      <c r="K768" s="799">
        <f t="shared" ca="1" si="588"/>
        <v>26.4</v>
      </c>
      <c r="L768" s="800">
        <f t="shared" ca="1" si="589"/>
        <v>792</v>
      </c>
      <c r="M768" s="801"/>
      <c r="N768" s="802"/>
      <c r="O768" s="803" t="str">
        <f t="shared" ca="1" si="590"/>
        <v>-</v>
      </c>
      <c r="P768" s="804"/>
      <c r="Q768" s="68" t="s">
        <v>3398</v>
      </c>
      <c r="R768" s="118" t="s">
        <v>3390</v>
      </c>
      <c r="S768" s="807">
        <v>42875</v>
      </c>
      <c r="T768" s="798">
        <v>42875</v>
      </c>
      <c r="U768" s="798" t="str">
        <f t="shared" si="591"/>
        <v>-</v>
      </c>
      <c r="V768" s="804" t="str">
        <f t="shared" ca="1" si="592"/>
        <v>-</v>
      </c>
      <c r="W768" s="808">
        <v>1</v>
      </c>
      <c r="X768" s="794" t="str">
        <f t="shared" si="638"/>
        <v>-</v>
      </c>
      <c r="Y768" s="794">
        <v>1</v>
      </c>
      <c r="Z768" s="809" t="str">
        <f t="shared" ca="1" si="593"/>
        <v>-----</v>
      </c>
      <c r="AA768" s="810" t="str">
        <f t="shared" ca="1" si="594"/>
        <v>-----</v>
      </c>
      <c r="AB768" s="804">
        <v>1</v>
      </c>
      <c r="AC768" s="811" t="str">
        <f t="shared" ca="1" si="595"/>
        <v>-----</v>
      </c>
      <c r="AD768" s="798">
        <v>43029</v>
      </c>
      <c r="AE768" s="794" t="str">
        <f t="shared" ca="1" si="596"/>
        <v>-</v>
      </c>
      <c r="AF768" s="798" t="str">
        <f t="shared" si="597"/>
        <v>-</v>
      </c>
      <c r="AG768" s="812" t="str">
        <f t="shared" si="598"/>
        <v>---------</v>
      </c>
      <c r="AH768" s="807">
        <v>43018</v>
      </c>
      <c r="AI768" s="807" t="str">
        <f t="shared" si="599"/>
        <v>-</v>
      </c>
      <c r="AJ768" s="807" t="str">
        <f t="shared" si="600"/>
        <v>-</v>
      </c>
      <c r="AK768" s="813"/>
      <c r="AL768" s="807">
        <f t="shared" si="601"/>
        <v>43134</v>
      </c>
      <c r="AM768" s="807">
        <f t="shared" si="602"/>
        <v>43155</v>
      </c>
      <c r="AN768" s="814">
        <f t="shared" ca="1" si="603"/>
        <v>-21</v>
      </c>
      <c r="AO768" s="815">
        <v>1</v>
      </c>
      <c r="AP768" s="816" t="str">
        <f t="shared" ca="1" si="604"/>
        <v>-</v>
      </c>
      <c r="AQ768" s="817"/>
      <c r="AR768" s="794" t="str">
        <f t="shared" si="605"/>
        <v>НЕТЕЛЬ</v>
      </c>
      <c r="AS768" s="818"/>
      <c r="AT768" s="794" t="str">
        <f t="shared" si="606"/>
        <v>-</v>
      </c>
      <c r="AU768" s="819"/>
      <c r="AV768" s="820">
        <v>43034</v>
      </c>
      <c r="AW768" s="821">
        <v>4</v>
      </c>
      <c r="AX768" s="821">
        <v>1</v>
      </c>
      <c r="AY768" s="969">
        <f t="shared" ca="1" si="607"/>
        <v>100</v>
      </c>
      <c r="AZ768" s="966" t="str">
        <f t="shared" ca="1" si="608"/>
        <v>-</v>
      </c>
      <c r="BA768" s="971">
        <f t="shared" si="609"/>
        <v>43044</v>
      </c>
      <c r="BB768" s="975">
        <v>43045</v>
      </c>
      <c r="BC768" s="821">
        <v>4</v>
      </c>
      <c r="BD768" s="821">
        <v>4</v>
      </c>
      <c r="BE768" s="963">
        <f t="shared" ca="1" si="610"/>
        <v>89</v>
      </c>
      <c r="BF768" s="984"/>
      <c r="BG768" s="988"/>
      <c r="BH768" s="982"/>
      <c r="BI768" s="991"/>
      <c r="BJ768" s="991"/>
      <c r="BK768" s="993" t="str">
        <f t="shared" si="611"/>
        <v>-</v>
      </c>
      <c r="BL768" s="865"/>
      <c r="BM768" s="821"/>
      <c r="BN768" s="822" t="str">
        <f t="shared" si="612"/>
        <v>-</v>
      </c>
      <c r="BO768" s="823" t="str">
        <f t="shared" si="613"/>
        <v>-</v>
      </c>
      <c r="BP768" s="868"/>
      <c r="BQ768" s="821"/>
      <c r="BR768" s="822" t="str">
        <f t="shared" si="614"/>
        <v>-</v>
      </c>
      <c r="BS768" s="823" t="str">
        <f t="shared" si="615"/>
        <v>-</v>
      </c>
      <c r="BT768" s="825" t="str">
        <f t="shared" ca="1" si="616"/>
        <v>-</v>
      </c>
      <c r="BU768" s="860">
        <v>43022</v>
      </c>
      <c r="BV768" s="827">
        <v>2</v>
      </c>
      <c r="BW768" s="828">
        <f t="shared" si="617"/>
        <v>680</v>
      </c>
      <c r="BX768" s="829">
        <f t="shared" ca="1" si="618"/>
        <v>112</v>
      </c>
      <c r="BY768" s="830" t="str">
        <f t="shared" ca="1" si="619"/>
        <v>-</v>
      </c>
      <c r="BZ768" s="831">
        <v>43029</v>
      </c>
      <c r="CA768" s="832">
        <v>5</v>
      </c>
      <c r="CB768" s="833">
        <f t="shared" ca="1" si="620"/>
        <v>105</v>
      </c>
      <c r="CC768" s="834" t="str">
        <f t="shared" ca="1" si="621"/>
        <v>-</v>
      </c>
      <c r="CD768" s="835">
        <f t="shared" si="622"/>
        <v>43050</v>
      </c>
      <c r="CE768" s="831">
        <v>43050</v>
      </c>
      <c r="CF768" s="832">
        <v>5</v>
      </c>
      <c r="CG768" s="833">
        <f t="shared" ca="1" si="623"/>
        <v>84</v>
      </c>
      <c r="CH768" s="836">
        <f t="shared" si="624"/>
        <v>0</v>
      </c>
      <c r="CI768" s="837" t="str">
        <f t="shared" si="625"/>
        <v>УСПЕШНО</v>
      </c>
      <c r="CJ768" s="838" t="str">
        <f t="shared" ca="1" si="626"/>
        <v>-</v>
      </c>
      <c r="CK768" s="831"/>
      <c r="CL768" s="832"/>
      <c r="CM768" s="833" t="str">
        <f t="shared" si="627"/>
        <v>-</v>
      </c>
      <c r="CN768" s="834" t="str">
        <f t="shared" si="628"/>
        <v>-</v>
      </c>
      <c r="CO768" s="830" t="str">
        <f t="shared" ca="1" si="629"/>
        <v>ТРЕБУЕТСЯ ВАКЦИНАЦИЯ</v>
      </c>
      <c r="CP768" s="839"/>
      <c r="CQ768" s="832"/>
      <c r="CR768" s="833" t="str">
        <f t="shared" si="630"/>
        <v>-</v>
      </c>
      <c r="CS768" s="833" t="str">
        <f t="shared" si="631"/>
        <v>-</v>
      </c>
      <c r="CT768" s="834" t="str">
        <f t="shared" si="632"/>
        <v>-</v>
      </c>
      <c r="CU768" s="835" t="str">
        <f t="shared" si="633"/>
        <v>-</v>
      </c>
      <c r="CV768" s="839"/>
      <c r="CW768" s="832"/>
      <c r="CX768" s="833" t="str">
        <f t="shared" si="634"/>
        <v>-</v>
      </c>
      <c r="CY768" s="840" t="str">
        <f t="shared" si="635"/>
        <v>-</v>
      </c>
      <c r="CZ768" s="833" t="str">
        <f t="shared" si="636"/>
        <v>-</v>
      </c>
      <c r="DA768" s="838" t="str">
        <f t="shared" ca="1" si="637"/>
        <v>-</v>
      </c>
      <c r="DB768" s="841"/>
      <c r="DC768" s="832"/>
    </row>
    <row r="769" spans="1:107" x14ac:dyDescent="0.25">
      <c r="A769" s="790">
        <v>771</v>
      </c>
      <c r="B769" s="791">
        <f t="shared" ca="1" si="586"/>
        <v>43134</v>
      </c>
      <c r="C769" s="847" t="s">
        <v>3271</v>
      </c>
      <c r="D769" s="59" t="s">
        <v>3324</v>
      </c>
      <c r="E769" s="22" t="s">
        <v>3421</v>
      </c>
      <c r="F769" s="795" t="s">
        <v>3279</v>
      </c>
      <c r="G769" s="845"/>
      <c r="H769" s="797" t="s">
        <v>3236</v>
      </c>
      <c r="I769" s="798">
        <v>42345</v>
      </c>
      <c r="J769" s="799">
        <f t="shared" ca="1" si="587"/>
        <v>2.1616438356164385</v>
      </c>
      <c r="K769" s="799">
        <f t="shared" ca="1" si="588"/>
        <v>26.3</v>
      </c>
      <c r="L769" s="800">
        <f t="shared" ca="1" si="589"/>
        <v>789</v>
      </c>
      <c r="M769" s="801"/>
      <c r="N769" s="802"/>
      <c r="O769" s="803" t="str">
        <f t="shared" ca="1" si="590"/>
        <v>-</v>
      </c>
      <c r="P769" s="804"/>
      <c r="Q769" s="68" t="s">
        <v>3398</v>
      </c>
      <c r="R769" s="118" t="s">
        <v>3363</v>
      </c>
      <c r="S769" s="807">
        <v>42877</v>
      </c>
      <c r="T769" s="798">
        <v>42877</v>
      </c>
      <c r="U769" s="798" t="str">
        <f t="shared" si="591"/>
        <v>-</v>
      </c>
      <c r="V769" s="804" t="str">
        <f t="shared" ca="1" si="592"/>
        <v>-</v>
      </c>
      <c r="W769" s="808">
        <v>1</v>
      </c>
      <c r="X769" s="794" t="str">
        <f t="shared" si="638"/>
        <v>-</v>
      </c>
      <c r="Y769" s="794">
        <v>1</v>
      </c>
      <c r="Z769" s="809" t="str">
        <f t="shared" ca="1" si="593"/>
        <v>-----</v>
      </c>
      <c r="AA769" s="810" t="str">
        <f t="shared" ca="1" si="594"/>
        <v>-----</v>
      </c>
      <c r="AB769" s="804">
        <v>1</v>
      </c>
      <c r="AC769" s="811" t="str">
        <f t="shared" ca="1" si="595"/>
        <v>-----</v>
      </c>
      <c r="AD769" s="798">
        <v>43029</v>
      </c>
      <c r="AE769" s="794" t="str">
        <f t="shared" ca="1" si="596"/>
        <v>-</v>
      </c>
      <c r="AF769" s="798" t="str">
        <f t="shared" si="597"/>
        <v>-</v>
      </c>
      <c r="AG769" s="812" t="str">
        <f t="shared" si="598"/>
        <v>---------</v>
      </c>
      <c r="AH769" s="807">
        <v>43018</v>
      </c>
      <c r="AI769" s="807" t="str">
        <f t="shared" si="599"/>
        <v>-</v>
      </c>
      <c r="AJ769" s="807" t="str">
        <f t="shared" si="600"/>
        <v>-</v>
      </c>
      <c r="AK769" s="813"/>
      <c r="AL769" s="807">
        <f t="shared" si="601"/>
        <v>43136</v>
      </c>
      <c r="AM769" s="807">
        <f t="shared" si="602"/>
        <v>43157</v>
      </c>
      <c r="AN769" s="814">
        <f t="shared" ca="1" si="603"/>
        <v>-23</v>
      </c>
      <c r="AO769" s="815">
        <v>1</v>
      </c>
      <c r="AP769" s="816" t="str">
        <f t="shared" ca="1" si="604"/>
        <v>-</v>
      </c>
      <c r="AQ769" s="817"/>
      <c r="AR769" s="794" t="str">
        <f t="shared" si="605"/>
        <v>НЕТЕЛЬ</v>
      </c>
      <c r="AS769" s="818"/>
      <c r="AT769" s="794" t="str">
        <f t="shared" si="606"/>
        <v>-</v>
      </c>
      <c r="AU769" s="819"/>
      <c r="AV769" s="820">
        <v>43034</v>
      </c>
      <c r="AW769" s="821">
        <v>4</v>
      </c>
      <c r="AX769" s="821">
        <v>1</v>
      </c>
      <c r="AY769" s="969">
        <f t="shared" ca="1" si="607"/>
        <v>100</v>
      </c>
      <c r="AZ769" s="966" t="str">
        <f t="shared" ca="1" si="608"/>
        <v>-</v>
      </c>
      <c r="BA769" s="971">
        <f t="shared" si="609"/>
        <v>43044</v>
      </c>
      <c r="BB769" s="975">
        <v>43045</v>
      </c>
      <c r="BC769" s="821">
        <v>4</v>
      </c>
      <c r="BD769" s="821">
        <v>4</v>
      </c>
      <c r="BE769" s="963">
        <f t="shared" ca="1" si="610"/>
        <v>89</v>
      </c>
      <c r="BF769" s="984"/>
      <c r="BG769" s="988"/>
      <c r="BH769" s="982"/>
      <c r="BI769" s="991"/>
      <c r="BJ769" s="991"/>
      <c r="BK769" s="993" t="str">
        <f t="shared" si="611"/>
        <v>-</v>
      </c>
      <c r="BL769" s="865"/>
      <c r="BM769" s="821"/>
      <c r="BN769" s="822" t="str">
        <f t="shared" si="612"/>
        <v>-</v>
      </c>
      <c r="BO769" s="823" t="str">
        <f t="shared" si="613"/>
        <v>-</v>
      </c>
      <c r="BP769" s="868"/>
      <c r="BQ769" s="821"/>
      <c r="BR769" s="822" t="str">
        <f t="shared" si="614"/>
        <v>-</v>
      </c>
      <c r="BS769" s="823" t="str">
        <f t="shared" si="615"/>
        <v>-</v>
      </c>
      <c r="BT769" s="825" t="str">
        <f t="shared" ca="1" si="616"/>
        <v>-</v>
      </c>
      <c r="BU769" s="860">
        <v>43022</v>
      </c>
      <c r="BV769" s="827">
        <v>2</v>
      </c>
      <c r="BW769" s="828">
        <f t="shared" si="617"/>
        <v>677</v>
      </c>
      <c r="BX769" s="829">
        <f t="shared" ca="1" si="618"/>
        <v>112</v>
      </c>
      <c r="BY769" s="830" t="str">
        <f t="shared" ca="1" si="619"/>
        <v>-</v>
      </c>
      <c r="BZ769" s="831">
        <v>43029</v>
      </c>
      <c r="CA769" s="832">
        <v>5</v>
      </c>
      <c r="CB769" s="833">
        <f t="shared" ca="1" si="620"/>
        <v>105</v>
      </c>
      <c r="CC769" s="834" t="str">
        <f t="shared" ca="1" si="621"/>
        <v>-</v>
      </c>
      <c r="CD769" s="835">
        <f t="shared" si="622"/>
        <v>43050</v>
      </c>
      <c r="CE769" s="831">
        <v>43050</v>
      </c>
      <c r="CF769" s="832">
        <v>5</v>
      </c>
      <c r="CG769" s="833">
        <f t="shared" ca="1" si="623"/>
        <v>84</v>
      </c>
      <c r="CH769" s="836">
        <f t="shared" si="624"/>
        <v>0</v>
      </c>
      <c r="CI769" s="837" t="str">
        <f t="shared" si="625"/>
        <v>УСПЕШНО</v>
      </c>
      <c r="CJ769" s="838" t="str">
        <f t="shared" ca="1" si="626"/>
        <v>-</v>
      </c>
      <c r="CK769" s="831"/>
      <c r="CL769" s="832"/>
      <c r="CM769" s="833" t="str">
        <f t="shared" si="627"/>
        <v>-</v>
      </c>
      <c r="CN769" s="834" t="str">
        <f t="shared" si="628"/>
        <v>-</v>
      </c>
      <c r="CO769" s="830" t="str">
        <f t="shared" ca="1" si="629"/>
        <v>ТРЕБУЕТСЯ ВАКЦИНАЦИЯ</v>
      </c>
      <c r="CP769" s="839"/>
      <c r="CQ769" s="832"/>
      <c r="CR769" s="833" t="str">
        <f t="shared" si="630"/>
        <v>-</v>
      </c>
      <c r="CS769" s="833" t="str">
        <f t="shared" si="631"/>
        <v>-</v>
      </c>
      <c r="CT769" s="834" t="str">
        <f t="shared" si="632"/>
        <v>-</v>
      </c>
      <c r="CU769" s="835" t="str">
        <f t="shared" si="633"/>
        <v>-</v>
      </c>
      <c r="CV769" s="839"/>
      <c r="CW769" s="832"/>
      <c r="CX769" s="833" t="str">
        <f t="shared" si="634"/>
        <v>-</v>
      </c>
      <c r="CY769" s="840" t="str">
        <f t="shared" si="635"/>
        <v>-</v>
      </c>
      <c r="CZ769" s="833" t="str">
        <f t="shared" si="636"/>
        <v>-</v>
      </c>
      <c r="DA769" s="838" t="str">
        <f t="shared" ca="1" si="637"/>
        <v>-</v>
      </c>
      <c r="DB769" s="841"/>
      <c r="DC769" s="832"/>
    </row>
    <row r="770" spans="1:107" x14ac:dyDescent="0.25">
      <c r="A770" s="790">
        <v>772</v>
      </c>
      <c r="B770" s="791">
        <f t="shared" ca="1" si="586"/>
        <v>43134</v>
      </c>
      <c r="C770" s="847" t="s">
        <v>3271</v>
      </c>
      <c r="D770" s="59" t="s">
        <v>3324</v>
      </c>
      <c r="E770" s="22" t="s">
        <v>3386</v>
      </c>
      <c r="F770" s="795" t="s">
        <v>3252</v>
      </c>
      <c r="G770" s="845"/>
      <c r="H770" s="797" t="s">
        <v>3236</v>
      </c>
      <c r="I770" s="798">
        <v>42319</v>
      </c>
      <c r="J770" s="799">
        <f t="shared" ca="1" si="587"/>
        <v>2.2328767123287672</v>
      </c>
      <c r="K770" s="799">
        <f t="shared" ca="1" si="588"/>
        <v>27.166666666666668</v>
      </c>
      <c r="L770" s="800">
        <f t="shared" ca="1" si="589"/>
        <v>815</v>
      </c>
      <c r="M770" s="801"/>
      <c r="N770" s="802"/>
      <c r="O770" s="803" t="str">
        <f t="shared" ca="1" si="590"/>
        <v>-</v>
      </c>
      <c r="P770" s="804"/>
      <c r="Q770" s="68" t="s">
        <v>3398</v>
      </c>
      <c r="R770" s="118" t="s">
        <v>3381</v>
      </c>
      <c r="S770" s="798">
        <v>42862</v>
      </c>
      <c r="T770" s="798">
        <v>42862</v>
      </c>
      <c r="U770" s="798" t="str">
        <f t="shared" si="591"/>
        <v>-</v>
      </c>
      <c r="V770" s="804" t="str">
        <f t="shared" ca="1" si="592"/>
        <v>-</v>
      </c>
      <c r="W770" s="808">
        <v>1</v>
      </c>
      <c r="X770" s="794" t="str">
        <f t="shared" si="638"/>
        <v>-</v>
      </c>
      <c r="Y770" s="794">
        <v>1</v>
      </c>
      <c r="Z770" s="809" t="str">
        <f t="shared" ca="1" si="593"/>
        <v>-----</v>
      </c>
      <c r="AA770" s="810" t="str">
        <f t="shared" ca="1" si="594"/>
        <v>-----</v>
      </c>
      <c r="AB770" s="804">
        <v>1</v>
      </c>
      <c r="AC770" s="811" t="str">
        <f t="shared" ca="1" si="595"/>
        <v>-----</v>
      </c>
      <c r="AD770" s="798">
        <v>43029</v>
      </c>
      <c r="AE770" s="794" t="str">
        <f t="shared" ca="1" si="596"/>
        <v>-</v>
      </c>
      <c r="AF770" s="798" t="str">
        <f t="shared" si="597"/>
        <v>-</v>
      </c>
      <c r="AG770" s="812" t="str">
        <f t="shared" si="598"/>
        <v>---------</v>
      </c>
      <c r="AH770" s="807">
        <v>43018</v>
      </c>
      <c r="AI770" s="807" t="str">
        <f t="shared" si="599"/>
        <v>-</v>
      </c>
      <c r="AJ770" s="807" t="str">
        <f t="shared" si="600"/>
        <v>-</v>
      </c>
      <c r="AK770" s="813"/>
      <c r="AL770" s="807">
        <f t="shared" si="601"/>
        <v>43121</v>
      </c>
      <c r="AM770" s="807">
        <f t="shared" si="602"/>
        <v>43142</v>
      </c>
      <c r="AN770" s="814">
        <f t="shared" ca="1" si="603"/>
        <v>-8</v>
      </c>
      <c r="AO770" s="815">
        <v>1</v>
      </c>
      <c r="AP770" s="816" t="str">
        <f t="shared" ca="1" si="604"/>
        <v>-</v>
      </c>
      <c r="AQ770" s="817"/>
      <c r="AR770" s="794" t="str">
        <f t="shared" si="605"/>
        <v>НЕТЕЛЬ</v>
      </c>
      <c r="AS770" s="818"/>
      <c r="AT770" s="794" t="str">
        <f t="shared" si="606"/>
        <v>-</v>
      </c>
      <c r="AU770" s="819"/>
      <c r="AV770" s="820">
        <v>43034</v>
      </c>
      <c r="AW770" s="821">
        <v>4</v>
      </c>
      <c r="AX770" s="821">
        <v>1</v>
      </c>
      <c r="AY770" s="969">
        <f t="shared" ca="1" si="607"/>
        <v>100</v>
      </c>
      <c r="AZ770" s="966" t="str">
        <f t="shared" ca="1" si="608"/>
        <v>-</v>
      </c>
      <c r="BA770" s="971">
        <f t="shared" si="609"/>
        <v>43044</v>
      </c>
      <c r="BB770" s="975">
        <v>43045</v>
      </c>
      <c r="BC770" s="821">
        <v>4</v>
      </c>
      <c r="BD770" s="821">
        <v>4</v>
      </c>
      <c r="BE770" s="963">
        <f t="shared" ca="1" si="610"/>
        <v>89</v>
      </c>
      <c r="BF770" s="984"/>
      <c r="BG770" s="988"/>
      <c r="BH770" s="982"/>
      <c r="BI770" s="991"/>
      <c r="BJ770" s="991"/>
      <c r="BK770" s="993" t="str">
        <f t="shared" si="611"/>
        <v>-</v>
      </c>
      <c r="BL770" s="865"/>
      <c r="BM770" s="821"/>
      <c r="BN770" s="822" t="str">
        <f t="shared" si="612"/>
        <v>-</v>
      </c>
      <c r="BO770" s="823" t="str">
        <f t="shared" si="613"/>
        <v>-</v>
      </c>
      <c r="BP770" s="868"/>
      <c r="BQ770" s="821"/>
      <c r="BR770" s="822" t="str">
        <f t="shared" si="614"/>
        <v>-</v>
      </c>
      <c r="BS770" s="823" t="str">
        <f t="shared" si="615"/>
        <v>-</v>
      </c>
      <c r="BT770" s="825" t="str">
        <f t="shared" ca="1" si="616"/>
        <v>-</v>
      </c>
      <c r="BU770" s="860">
        <v>43022</v>
      </c>
      <c r="BV770" s="827">
        <v>2</v>
      </c>
      <c r="BW770" s="828">
        <f t="shared" si="617"/>
        <v>703</v>
      </c>
      <c r="BX770" s="829">
        <f t="shared" ca="1" si="618"/>
        <v>112</v>
      </c>
      <c r="BY770" s="830" t="str">
        <f t="shared" ca="1" si="619"/>
        <v>-</v>
      </c>
      <c r="BZ770" s="831">
        <v>43029</v>
      </c>
      <c r="CA770" s="832">
        <v>5</v>
      </c>
      <c r="CB770" s="833">
        <f t="shared" ca="1" si="620"/>
        <v>105</v>
      </c>
      <c r="CC770" s="834" t="str">
        <f t="shared" ca="1" si="621"/>
        <v>-</v>
      </c>
      <c r="CD770" s="835">
        <f t="shared" si="622"/>
        <v>43050</v>
      </c>
      <c r="CE770" s="831">
        <v>43050</v>
      </c>
      <c r="CF770" s="832">
        <v>5</v>
      </c>
      <c r="CG770" s="833">
        <f t="shared" ca="1" si="623"/>
        <v>84</v>
      </c>
      <c r="CH770" s="836">
        <f t="shared" si="624"/>
        <v>0</v>
      </c>
      <c r="CI770" s="837" t="str">
        <f t="shared" si="625"/>
        <v>УСПЕШНО</v>
      </c>
      <c r="CJ770" s="838" t="str">
        <f t="shared" ca="1" si="626"/>
        <v>-</v>
      </c>
      <c r="CK770" s="831"/>
      <c r="CL770" s="832"/>
      <c r="CM770" s="833" t="str">
        <f t="shared" si="627"/>
        <v>-</v>
      </c>
      <c r="CN770" s="834" t="str">
        <f t="shared" si="628"/>
        <v>-</v>
      </c>
      <c r="CO770" s="830" t="str">
        <f t="shared" ca="1" si="629"/>
        <v>ТРЕБУЕТСЯ ВАКЦИНАЦИЯ</v>
      </c>
      <c r="CP770" s="839"/>
      <c r="CQ770" s="832"/>
      <c r="CR770" s="833" t="str">
        <f t="shared" si="630"/>
        <v>-</v>
      </c>
      <c r="CS770" s="833" t="str">
        <f t="shared" si="631"/>
        <v>-</v>
      </c>
      <c r="CT770" s="834" t="str">
        <f t="shared" si="632"/>
        <v>-</v>
      </c>
      <c r="CU770" s="835" t="str">
        <f t="shared" si="633"/>
        <v>-</v>
      </c>
      <c r="CV770" s="839"/>
      <c r="CW770" s="832"/>
      <c r="CX770" s="833" t="str">
        <f t="shared" si="634"/>
        <v>-</v>
      </c>
      <c r="CY770" s="840" t="str">
        <f t="shared" si="635"/>
        <v>-</v>
      </c>
      <c r="CZ770" s="833" t="str">
        <f t="shared" si="636"/>
        <v>-</v>
      </c>
      <c r="DA770" s="838" t="str">
        <f t="shared" ca="1" si="637"/>
        <v>-</v>
      </c>
      <c r="DB770" s="841"/>
      <c r="DC770" s="832"/>
    </row>
    <row r="771" spans="1:107" x14ac:dyDescent="0.25">
      <c r="A771" s="790">
        <v>773</v>
      </c>
      <c r="B771" s="791">
        <f t="shared" ref="B771:B834" ca="1" si="639">TODAY()</f>
        <v>43134</v>
      </c>
      <c r="C771" s="847" t="s">
        <v>3271</v>
      </c>
      <c r="D771" s="59" t="s">
        <v>3324</v>
      </c>
      <c r="E771" s="22" t="s">
        <v>3385</v>
      </c>
      <c r="F771" s="795" t="s">
        <v>3253</v>
      </c>
      <c r="G771" s="845"/>
      <c r="H771" s="797" t="s">
        <v>3236</v>
      </c>
      <c r="I771" s="798">
        <v>42336</v>
      </c>
      <c r="J771" s="799">
        <f t="shared" ref="J771:J834" ca="1" si="640">(B771-I771)/365</f>
        <v>2.1863013698630138</v>
      </c>
      <c r="K771" s="799">
        <f t="shared" ref="K771:K834" ca="1" si="641">(B771-I771)/30</f>
        <v>26.6</v>
      </c>
      <c r="L771" s="800">
        <f t="shared" ref="L771:L834" ca="1" si="642">B771-I771</f>
        <v>798</v>
      </c>
      <c r="M771" s="801"/>
      <c r="N771" s="802"/>
      <c r="O771" s="803" t="str">
        <f t="shared" ref="O771:O834" ca="1" si="643">IF(AND(B771&gt;0,N771&gt;0),B771-N771,"-")</f>
        <v>-</v>
      </c>
      <c r="P771" s="804"/>
      <c r="Q771" s="68" t="s">
        <v>3398</v>
      </c>
      <c r="R771" s="118" t="s">
        <v>3375</v>
      </c>
      <c r="S771" s="798">
        <v>42890</v>
      </c>
      <c r="T771" s="798">
        <v>42890</v>
      </c>
      <c r="U771" s="798" t="str">
        <f t="shared" ref="U771:U834" si="644">IF(AND(Y771&gt;1,T771&gt;0),T771+18,"-")</f>
        <v>-</v>
      </c>
      <c r="V771" s="804" t="str">
        <f t="shared" ref="V771:V834" ca="1" si="645">IF(AND(U771&gt;0,B771&gt;0,Y771&gt;1),B771-U771,"-")</f>
        <v>-</v>
      </c>
      <c r="W771" s="808">
        <v>1</v>
      </c>
      <c r="X771" s="794" t="str">
        <f t="shared" si="638"/>
        <v>-</v>
      </c>
      <c r="Y771" s="794">
        <v>1</v>
      </c>
      <c r="Z771" s="809" t="str">
        <f t="shared" ref="Z771:Z834" ca="1" si="646">IF(AND(Y771=1,AA771&gt;71,OR(ISBLANK(AB771),AB771=2)),"ПОДЛЕЖИТ ПЕРЕПРОВЕРКЕ","-----")</f>
        <v>-----</v>
      </c>
      <c r="AA771" s="810" t="str">
        <f t="shared" ref="AA771:AA834" ca="1" si="647">IF(AND(O771&gt;-1,W771&gt;0,Y771=1,AB771=1),"-----",B771-T771)</f>
        <v>-----</v>
      </c>
      <c r="AB771" s="804">
        <v>1</v>
      </c>
      <c r="AC771" s="811" t="str">
        <f t="shared" ref="AC771:AC834" ca="1" si="648">IF(AND(AB771&lt;1,Z771="ПОДЛЕЖИТ ПЕРЕПРОВЕРКЕ",Y771=1),T771+72,"-----")</f>
        <v>-----</v>
      </c>
      <c r="AD771" s="798">
        <v>43029</v>
      </c>
      <c r="AE771" s="794" t="str">
        <f t="shared" ref="AE771:AE834" ca="1" si="649">IF(AND(O771&gt;120,Y771=0,N771&gt;0),"яловая","-")</f>
        <v>-</v>
      </c>
      <c r="AF771" s="798" t="str">
        <f t="shared" ref="AF771:AF834" si="650">IF(AND(T771&gt;0,OR(Y771=3,Y771=2)),T771+35,"-")</f>
        <v>-</v>
      </c>
      <c r="AG771" s="812" t="str">
        <f t="shared" ref="AG771:AG834" si="651">IF(AND(T771&gt;0,W771&gt;0,Q771&gt;0,OR(Y771=3,Y771=2)),B771-AF771,"---------")</f>
        <v>---------</v>
      </c>
      <c r="AH771" s="807">
        <v>43018</v>
      </c>
      <c r="AI771" s="807" t="str">
        <f t="shared" ref="AI771:AI834" si="652">IF(AND($T771&gt;0,$N771&gt;0,$Y771=1),$T771+280-90,"-")</f>
        <v>-</v>
      </c>
      <c r="AJ771" s="807" t="str">
        <f t="shared" ref="AJ771:AJ834" si="653">IF(AND(T771&gt;0,Y771=1,N771&gt;0),T771+280-60,"-")</f>
        <v>-</v>
      </c>
      <c r="AK771" s="813"/>
      <c r="AL771" s="807">
        <f t="shared" ref="AL771:AL834" si="654">IF(AND($T771&gt;0,$Y771=1),$T771+280-21,"-")</f>
        <v>43149</v>
      </c>
      <c r="AM771" s="807">
        <f t="shared" ref="AM771:AM834" si="655">IF(AND(T771&gt;0,Y771=1),T771+280,"-")</f>
        <v>43170</v>
      </c>
      <c r="AN771" s="814">
        <f t="shared" ref="AN771:AN834" ca="1" si="656">IF(AND(B771&gt;0,AM771&gt;0,AH771&gt;0,Y771=1),B771-AM771,"-")</f>
        <v>-36</v>
      </c>
      <c r="AO771" s="815">
        <v>1</v>
      </c>
      <c r="AP771" s="816" t="str">
        <f t="shared" ref="AP771:AP834" ca="1" si="657">IF(AND(AE771="яловая",O771&gt;300),"БРАК","-")</f>
        <v>-</v>
      </c>
      <c r="AQ771" s="817"/>
      <c r="AR771" s="794" t="str">
        <f t="shared" ref="AR771:AR834" si="658">IF(AND(Y771=1,P771=0),"НЕТЕЛЬ","-")</f>
        <v>НЕТЕЛЬ</v>
      </c>
      <c r="AS771" s="818"/>
      <c r="AT771" s="794" t="str">
        <f t="shared" ref="AT771:AT834" si="659">IF(AND(N771&gt;0,T771&gt;0,W771&gt;0,Y771=1,AH771&gt;0,AK771&gt;0),"DRY COW","-")</f>
        <v>-</v>
      </c>
      <c r="AU771" s="819"/>
      <c r="AV771" s="820">
        <v>43034</v>
      </c>
      <c r="AW771" s="821">
        <v>4</v>
      </c>
      <c r="AX771" s="821">
        <v>1</v>
      </c>
      <c r="AY771" s="969">
        <f t="shared" ref="AY771:AY834" ca="1" si="660">IF(AND(AV771&gt;0,AW771&gt;0,AX771&gt;0),B771-AV771,"-")</f>
        <v>100</v>
      </c>
      <c r="AZ771" s="966" t="str">
        <f t="shared" ref="AZ771:AZ834" ca="1" si="661">IF(AND(AV771&gt;0,AW771&gt;0,AX771&gt;0,AY771&gt;10,BB771=0,BC771=0,BD771=0),"РЕВАКЦИНАЦИЯ","-")</f>
        <v>-</v>
      </c>
      <c r="BA771" s="971">
        <f t="shared" ref="BA771:BA834" si="662">IF(AND(AV771&gt;0,AW771&gt;0,AX771&gt;0),AV771+10,"-")</f>
        <v>43044</v>
      </c>
      <c r="BB771" s="975">
        <v>43045</v>
      </c>
      <c r="BC771" s="821">
        <v>4</v>
      </c>
      <c r="BD771" s="821">
        <v>4</v>
      </c>
      <c r="BE771" s="963">
        <f t="shared" ref="BE771:BE834" ca="1" si="663">IF(AND(BB771&gt;0,BC771&gt;0,BD771&gt;0),B771-BB771,"-")</f>
        <v>89</v>
      </c>
      <c r="BF771" s="984"/>
      <c r="BG771" s="988"/>
      <c r="BH771" s="982"/>
      <c r="BI771" s="991"/>
      <c r="BJ771" s="991"/>
      <c r="BK771" s="993" t="str">
        <f t="shared" ref="BK771:BK834" si="664">IF(AND(BF771&gt;0,BG771&gt;0,BH771&gt;0,BI771&gt;0,BJ771&gt;0),B771-BF771,"-")</f>
        <v>-</v>
      </c>
      <c r="BL771" s="865"/>
      <c r="BM771" s="821"/>
      <c r="BN771" s="822" t="str">
        <f t="shared" ref="BN771:BN834" si="665">IF(AND(BL771&gt;0,BM771&gt;0),B771-BL771,"-")</f>
        <v>-</v>
      </c>
      <c r="BO771" s="823" t="str">
        <f t="shared" ref="BO771:BO834" si="666">IF(AND(BL771&gt;0,BM771&gt;0),(BL771-I771)/30,"-")</f>
        <v>-</v>
      </c>
      <c r="BP771" s="868"/>
      <c r="BQ771" s="821"/>
      <c r="BR771" s="822" t="str">
        <f t="shared" ref="BR771:BR834" si="667">IF(AND(BP771&gt;0,BQ771&gt;0),B771-BP771,"-")</f>
        <v>-</v>
      </c>
      <c r="BS771" s="823" t="str">
        <f t="shared" ref="BS771:BS834" si="668">IF(AND(BP771&gt;0,BQ771&gt;0),(BP771-M771)/30,"-")</f>
        <v>-</v>
      </c>
      <c r="BT771" s="825" t="str">
        <f t="shared" ref="BT771:BT834" ca="1" si="669">IF(AND(OR(E771="тёлочка",E771="бычок"),L771&gt;0,BV771&lt;2,L771&lt;60),"ПОДЛЕЖИТ ВАКЦИНАЦИИ","-")</f>
        <v>-</v>
      </c>
      <c r="BU771" s="860">
        <v>43022</v>
      </c>
      <c r="BV771" s="827">
        <v>2</v>
      </c>
      <c r="BW771" s="828">
        <f t="shared" ref="BW771:BW834" si="670">IF(AND(BU771&gt;0,BV771=2),BU771-I771,"Ж-Е НЕ ВАКЦ.")</f>
        <v>686</v>
      </c>
      <c r="BX771" s="829">
        <f t="shared" ref="BX771:BX834" ca="1" si="671">IF(AND(BU771&gt;0,BV771=2),B771-BU771,"-")</f>
        <v>112</v>
      </c>
      <c r="BY771" s="830" t="str">
        <f t="shared" ref="BY771:BY834" ca="1" si="672">IF(AND(L771&gt;42,CA771&lt;5),"ПОДЛЕЖИТ ВАКЦИНАЦИИ","-")</f>
        <v>-</v>
      </c>
      <c r="BZ771" s="831">
        <v>43029</v>
      </c>
      <c r="CA771" s="832">
        <v>5</v>
      </c>
      <c r="CB771" s="833">
        <f t="shared" ref="CB771:CB834" ca="1" si="673">IF(AND(BZ771&gt;0,CA771=5),B771-BZ771,"-")</f>
        <v>105</v>
      </c>
      <c r="CC771" s="834" t="str">
        <f t="shared" ref="CC771:CC834" ca="1" si="674">IF(AND(CA771=5,CB771&gt;20,CF771&lt;5),"ТРЕБУЕТСЯ БУСТЕРНАЯ ДОЗА","-")</f>
        <v>-</v>
      </c>
      <c r="CD771" s="835">
        <f t="shared" ref="CD771:CD834" si="675">IF(AND(BZ771&gt;0,CA771=5),BZ771+21,"-")</f>
        <v>43050</v>
      </c>
      <c r="CE771" s="831">
        <v>43050</v>
      </c>
      <c r="CF771" s="832">
        <v>5</v>
      </c>
      <c r="CG771" s="833">
        <f t="shared" ref="CG771:CG834" ca="1" si="676">IF(AND(CE771&gt;0,CF771=5),B771-CE771,"-")</f>
        <v>84</v>
      </c>
      <c r="CH771" s="836">
        <f t="shared" ref="CH771:CH834" si="677">IF(AND(CD771&gt;0,CE771&gt;0,CF771=5),CD771-CE771,"-")</f>
        <v>0</v>
      </c>
      <c r="CI771" s="837" t="str">
        <f t="shared" ref="CI771:CI834" si="678">IF(AND(CF771=5,CH771=0),"УСПЕШНО","-")</f>
        <v>УСПЕШНО</v>
      </c>
      <c r="CJ771" s="838" t="str">
        <f t="shared" ref="CJ771:CJ834" ca="1" si="679">IF(AND(BZ771&gt;0,CA771=5,CE771&gt;0,CF771=5,CG771&gt;240,CL771&lt;5),"НЕОБХОДИМА РЕВАКЦИНАЦИЯ","-")</f>
        <v>-</v>
      </c>
      <c r="CK771" s="831"/>
      <c r="CL771" s="832"/>
      <c r="CM771" s="833" t="str">
        <f t="shared" ref="CM771:CM834" si="680">IF(AND(CK771&gt;0,CL771=5),N771-CK771,"-")</f>
        <v>-</v>
      </c>
      <c r="CN771" s="834" t="str">
        <f t="shared" ref="CN771:CN834" si="681">IF(AND(CK771&gt;0,CL771=5,CM771&gt;240),"НЕОБХОДИМА РЕВАКЦИНАЦИЯ","-")</f>
        <v>-</v>
      </c>
      <c r="CO771" s="830" t="str">
        <f t="shared" ref="CO771:CO834" ca="1" si="682">IF(AND(Y771=1,AN771&gt;-70,CQ771&lt;2),"ТРЕБУЕТСЯ ВАКЦИНАЦИЯ","-")</f>
        <v>ТРЕБУЕТСЯ ВАКЦИНАЦИЯ</v>
      </c>
      <c r="CP771" s="839"/>
      <c r="CQ771" s="832"/>
      <c r="CR771" s="833" t="str">
        <f t="shared" ref="CR771:CR834" si="683">IF(AND(CP771&gt;0,CQ771=2),CP771-T771,"-")</f>
        <v>-</v>
      </c>
      <c r="CS771" s="833" t="str">
        <f t="shared" ref="CS771:CS834" si="684">IF(AND(CP771&gt;0,CQ771=2),B771-CP771,"-")</f>
        <v>-</v>
      </c>
      <c r="CT771" s="834" t="str">
        <f t="shared" ref="CT771:CT834" si="685">IF(AND(CQ771=2,CS771&gt;20,CW771&lt;2),"ТРЕБУЕТСЯ БУСТЕРНАЯ ДОЗА","-")</f>
        <v>-</v>
      </c>
      <c r="CU771" s="835" t="str">
        <f t="shared" ref="CU771:CU834" si="686">IF(AND(CP771&gt;0,CQ771=2),CP771+21,"-")</f>
        <v>-</v>
      </c>
      <c r="CV771" s="839"/>
      <c r="CW771" s="832"/>
      <c r="CX771" s="833" t="str">
        <f t="shared" ref="CX771:CX834" si="687">IF(AND(CU771&gt;0,CV771&gt;0,CW771=2),CV771-CU771,"-")</f>
        <v>-</v>
      </c>
      <c r="CY771" s="840" t="str">
        <f t="shared" ref="CY771:CY834" si="688">IF(AND(CW771=2,CX771=0),"УСПЕШНО","-")</f>
        <v>-</v>
      </c>
      <c r="CZ771" s="833" t="str">
        <f t="shared" ref="CZ771:CZ834" si="689">IF(AND(CV771&gt;0,CW771=2),CV771-T771,"-")</f>
        <v>-</v>
      </c>
      <c r="DA771" s="838" t="str">
        <f t="shared" ref="DA771:DA834" ca="1" si="690">IF(AND(CP771&gt;0,CQ771=2,CV771&gt;0,CW771=2,Y771=1,AN771&gt;-50,DC771&lt;2),"ТРЕБУЕТСЯ РЕВАКЦИНАЦИЯ","-")</f>
        <v>-</v>
      </c>
      <c r="DB771" s="841"/>
      <c r="DC771" s="832"/>
    </row>
    <row r="772" spans="1:107" x14ac:dyDescent="0.25">
      <c r="A772" s="790">
        <v>774</v>
      </c>
      <c r="B772" s="791">
        <f t="shared" ca="1" si="639"/>
        <v>43134</v>
      </c>
      <c r="C772" s="847" t="s">
        <v>3271</v>
      </c>
      <c r="D772" s="59" t="s">
        <v>3324</v>
      </c>
      <c r="E772" s="22" t="s">
        <v>3383</v>
      </c>
      <c r="F772" s="795" t="s">
        <v>3254</v>
      </c>
      <c r="G772" s="845"/>
      <c r="H772" s="797" t="s">
        <v>3236</v>
      </c>
      <c r="I772" s="798">
        <v>42370</v>
      </c>
      <c r="J772" s="799">
        <f t="shared" ca="1" si="640"/>
        <v>2.0931506849315067</v>
      </c>
      <c r="K772" s="799">
        <f t="shared" ca="1" si="641"/>
        <v>25.466666666666665</v>
      </c>
      <c r="L772" s="800">
        <f t="shared" ca="1" si="642"/>
        <v>764</v>
      </c>
      <c r="M772" s="801"/>
      <c r="N772" s="802"/>
      <c r="O772" s="803" t="str">
        <f t="shared" ca="1" si="643"/>
        <v>-</v>
      </c>
      <c r="P772" s="804"/>
      <c r="Q772" s="68" t="s">
        <v>3398</v>
      </c>
      <c r="R772" s="118" t="s">
        <v>3375</v>
      </c>
      <c r="S772" s="798">
        <v>42844</v>
      </c>
      <c r="T772" s="798">
        <v>42844</v>
      </c>
      <c r="U772" s="798" t="str">
        <f t="shared" si="644"/>
        <v>-</v>
      </c>
      <c r="V772" s="804" t="str">
        <f t="shared" ca="1" si="645"/>
        <v>-</v>
      </c>
      <c r="W772" s="808">
        <v>1</v>
      </c>
      <c r="X772" s="794" t="str">
        <f t="shared" si="638"/>
        <v>-</v>
      </c>
      <c r="Y772" s="794">
        <v>1</v>
      </c>
      <c r="Z772" s="809" t="str">
        <f t="shared" ca="1" si="646"/>
        <v>-----</v>
      </c>
      <c r="AA772" s="810" t="str">
        <f t="shared" ca="1" si="647"/>
        <v>-----</v>
      </c>
      <c r="AB772" s="804">
        <v>1</v>
      </c>
      <c r="AC772" s="811" t="str">
        <f t="shared" ca="1" si="648"/>
        <v>-----</v>
      </c>
      <c r="AD772" s="798">
        <v>43029</v>
      </c>
      <c r="AE772" s="794" t="str">
        <f t="shared" ca="1" si="649"/>
        <v>-</v>
      </c>
      <c r="AF772" s="798" t="str">
        <f t="shared" si="650"/>
        <v>-</v>
      </c>
      <c r="AG772" s="812" t="str">
        <f t="shared" si="651"/>
        <v>---------</v>
      </c>
      <c r="AH772" s="807">
        <v>43018</v>
      </c>
      <c r="AI772" s="807" t="str">
        <f t="shared" si="652"/>
        <v>-</v>
      </c>
      <c r="AJ772" s="807" t="str">
        <f t="shared" si="653"/>
        <v>-</v>
      </c>
      <c r="AK772" s="813"/>
      <c r="AL772" s="807">
        <f t="shared" si="654"/>
        <v>43103</v>
      </c>
      <c r="AM772" s="807">
        <f t="shared" si="655"/>
        <v>43124</v>
      </c>
      <c r="AN772" s="814">
        <f t="shared" ca="1" si="656"/>
        <v>10</v>
      </c>
      <c r="AO772" s="815">
        <v>1</v>
      </c>
      <c r="AP772" s="816" t="str">
        <f t="shared" ca="1" si="657"/>
        <v>-</v>
      </c>
      <c r="AQ772" s="817"/>
      <c r="AR772" s="794" t="str">
        <f t="shared" si="658"/>
        <v>НЕТЕЛЬ</v>
      </c>
      <c r="AS772" s="818"/>
      <c r="AT772" s="794" t="str">
        <f t="shared" si="659"/>
        <v>-</v>
      </c>
      <c r="AU772" s="819"/>
      <c r="AV772" s="820">
        <v>43034</v>
      </c>
      <c r="AW772" s="821">
        <v>4</v>
      </c>
      <c r="AX772" s="821">
        <v>1</v>
      </c>
      <c r="AY772" s="969">
        <f t="shared" ca="1" si="660"/>
        <v>100</v>
      </c>
      <c r="AZ772" s="966" t="str">
        <f t="shared" ca="1" si="661"/>
        <v>-</v>
      </c>
      <c r="BA772" s="971">
        <f t="shared" si="662"/>
        <v>43044</v>
      </c>
      <c r="BB772" s="975">
        <v>43045</v>
      </c>
      <c r="BC772" s="821">
        <v>4</v>
      </c>
      <c r="BD772" s="821">
        <v>4</v>
      </c>
      <c r="BE772" s="963">
        <f t="shared" ca="1" si="663"/>
        <v>89</v>
      </c>
      <c r="BF772" s="984"/>
      <c r="BG772" s="988"/>
      <c r="BH772" s="982"/>
      <c r="BI772" s="991"/>
      <c r="BJ772" s="991"/>
      <c r="BK772" s="993" t="str">
        <f t="shared" si="664"/>
        <v>-</v>
      </c>
      <c r="BL772" s="865"/>
      <c r="BM772" s="821"/>
      <c r="BN772" s="822" t="str">
        <f t="shared" si="665"/>
        <v>-</v>
      </c>
      <c r="BO772" s="823" t="str">
        <f t="shared" si="666"/>
        <v>-</v>
      </c>
      <c r="BP772" s="868"/>
      <c r="BQ772" s="821"/>
      <c r="BR772" s="822" t="str">
        <f t="shared" si="667"/>
        <v>-</v>
      </c>
      <c r="BS772" s="823" t="str">
        <f t="shared" si="668"/>
        <v>-</v>
      </c>
      <c r="BT772" s="825" t="str">
        <f t="shared" ca="1" si="669"/>
        <v>-</v>
      </c>
      <c r="BU772" s="860">
        <v>43022</v>
      </c>
      <c r="BV772" s="827">
        <v>2</v>
      </c>
      <c r="BW772" s="828">
        <f t="shared" si="670"/>
        <v>652</v>
      </c>
      <c r="BX772" s="829">
        <f t="shared" ca="1" si="671"/>
        <v>112</v>
      </c>
      <c r="BY772" s="830" t="str">
        <f t="shared" ca="1" si="672"/>
        <v>-</v>
      </c>
      <c r="BZ772" s="831">
        <v>43029</v>
      </c>
      <c r="CA772" s="832">
        <v>5</v>
      </c>
      <c r="CB772" s="833">
        <f t="shared" ca="1" si="673"/>
        <v>105</v>
      </c>
      <c r="CC772" s="834" t="str">
        <f t="shared" ca="1" si="674"/>
        <v>-</v>
      </c>
      <c r="CD772" s="835">
        <f t="shared" si="675"/>
        <v>43050</v>
      </c>
      <c r="CE772" s="831">
        <v>43050</v>
      </c>
      <c r="CF772" s="832">
        <v>5</v>
      </c>
      <c r="CG772" s="833">
        <f t="shared" ca="1" si="676"/>
        <v>84</v>
      </c>
      <c r="CH772" s="836">
        <f t="shared" si="677"/>
        <v>0</v>
      </c>
      <c r="CI772" s="837" t="str">
        <f t="shared" si="678"/>
        <v>УСПЕШНО</v>
      </c>
      <c r="CJ772" s="838" t="str">
        <f t="shared" ca="1" si="679"/>
        <v>-</v>
      </c>
      <c r="CK772" s="831"/>
      <c r="CL772" s="832"/>
      <c r="CM772" s="833" t="str">
        <f t="shared" si="680"/>
        <v>-</v>
      </c>
      <c r="CN772" s="834" t="str">
        <f t="shared" si="681"/>
        <v>-</v>
      </c>
      <c r="CO772" s="830" t="str">
        <f t="shared" ca="1" si="682"/>
        <v>ТРЕБУЕТСЯ ВАКЦИНАЦИЯ</v>
      </c>
      <c r="CP772" s="839"/>
      <c r="CQ772" s="832"/>
      <c r="CR772" s="833" t="str">
        <f t="shared" si="683"/>
        <v>-</v>
      </c>
      <c r="CS772" s="833" t="str">
        <f t="shared" si="684"/>
        <v>-</v>
      </c>
      <c r="CT772" s="834" t="str">
        <f t="shared" si="685"/>
        <v>-</v>
      </c>
      <c r="CU772" s="835" t="str">
        <f t="shared" si="686"/>
        <v>-</v>
      </c>
      <c r="CV772" s="839"/>
      <c r="CW772" s="832"/>
      <c r="CX772" s="833" t="str">
        <f t="shared" si="687"/>
        <v>-</v>
      </c>
      <c r="CY772" s="840" t="str">
        <f t="shared" si="688"/>
        <v>-</v>
      </c>
      <c r="CZ772" s="833" t="str">
        <f t="shared" si="689"/>
        <v>-</v>
      </c>
      <c r="DA772" s="838" t="str">
        <f t="shared" ca="1" si="690"/>
        <v>-</v>
      </c>
      <c r="DB772" s="841"/>
      <c r="DC772" s="832"/>
    </row>
    <row r="773" spans="1:107" x14ac:dyDescent="0.25">
      <c r="A773" s="790">
        <v>775</v>
      </c>
      <c r="B773" s="791">
        <f t="shared" ca="1" si="639"/>
        <v>43134</v>
      </c>
      <c r="C773" s="847" t="s">
        <v>3271</v>
      </c>
      <c r="D773" s="59" t="s">
        <v>3324</v>
      </c>
      <c r="E773" s="22" t="s">
        <v>3440</v>
      </c>
      <c r="F773" s="795" t="s">
        <v>3286</v>
      </c>
      <c r="G773" s="845"/>
      <c r="H773" s="797" t="s">
        <v>3236</v>
      </c>
      <c r="I773" s="798">
        <v>42278</v>
      </c>
      <c r="J773" s="799">
        <f t="shared" ca="1" si="640"/>
        <v>2.3452054794520549</v>
      </c>
      <c r="K773" s="799">
        <f t="shared" ca="1" si="641"/>
        <v>28.533333333333335</v>
      </c>
      <c r="L773" s="800">
        <f t="shared" ca="1" si="642"/>
        <v>856</v>
      </c>
      <c r="M773" s="801"/>
      <c r="N773" s="802"/>
      <c r="O773" s="803" t="str">
        <f t="shared" ca="1" si="643"/>
        <v>-</v>
      </c>
      <c r="P773" s="804"/>
      <c r="Q773" s="68" t="s">
        <v>3398</v>
      </c>
      <c r="R773" s="118" t="s">
        <v>3375</v>
      </c>
      <c r="S773" s="807">
        <v>42845</v>
      </c>
      <c r="T773" s="798">
        <v>42845</v>
      </c>
      <c r="U773" s="798" t="str">
        <f t="shared" si="644"/>
        <v>-</v>
      </c>
      <c r="V773" s="804" t="str">
        <f t="shared" ca="1" si="645"/>
        <v>-</v>
      </c>
      <c r="W773" s="808">
        <v>1</v>
      </c>
      <c r="X773" s="794" t="str">
        <f t="shared" si="638"/>
        <v>-</v>
      </c>
      <c r="Y773" s="794">
        <v>1</v>
      </c>
      <c r="Z773" s="809" t="str">
        <f t="shared" ca="1" si="646"/>
        <v>-----</v>
      </c>
      <c r="AA773" s="810" t="str">
        <f t="shared" ca="1" si="647"/>
        <v>-----</v>
      </c>
      <c r="AB773" s="804">
        <v>1</v>
      </c>
      <c r="AC773" s="811" t="str">
        <f t="shared" ca="1" si="648"/>
        <v>-----</v>
      </c>
      <c r="AD773" s="798">
        <v>43029</v>
      </c>
      <c r="AE773" s="794" t="str">
        <f t="shared" ca="1" si="649"/>
        <v>-</v>
      </c>
      <c r="AF773" s="798" t="str">
        <f t="shared" si="650"/>
        <v>-</v>
      </c>
      <c r="AG773" s="812" t="str">
        <f t="shared" si="651"/>
        <v>---------</v>
      </c>
      <c r="AH773" s="807">
        <v>43018</v>
      </c>
      <c r="AI773" s="807" t="str">
        <f t="shared" si="652"/>
        <v>-</v>
      </c>
      <c r="AJ773" s="807" t="str">
        <f t="shared" si="653"/>
        <v>-</v>
      </c>
      <c r="AK773" s="813"/>
      <c r="AL773" s="807">
        <f t="shared" si="654"/>
        <v>43104</v>
      </c>
      <c r="AM773" s="807">
        <f t="shared" si="655"/>
        <v>43125</v>
      </c>
      <c r="AN773" s="814">
        <f t="shared" ca="1" si="656"/>
        <v>9</v>
      </c>
      <c r="AO773" s="815">
        <v>1</v>
      </c>
      <c r="AP773" s="816" t="str">
        <f t="shared" ca="1" si="657"/>
        <v>-</v>
      </c>
      <c r="AQ773" s="817"/>
      <c r="AR773" s="794" t="str">
        <f t="shared" si="658"/>
        <v>НЕТЕЛЬ</v>
      </c>
      <c r="AS773" s="818"/>
      <c r="AT773" s="794" t="str">
        <f t="shared" si="659"/>
        <v>-</v>
      </c>
      <c r="AU773" s="819"/>
      <c r="AV773" s="820">
        <v>43034</v>
      </c>
      <c r="AW773" s="821">
        <v>4</v>
      </c>
      <c r="AX773" s="821">
        <v>1</v>
      </c>
      <c r="AY773" s="969">
        <f t="shared" ca="1" si="660"/>
        <v>100</v>
      </c>
      <c r="AZ773" s="966" t="str">
        <f t="shared" ca="1" si="661"/>
        <v>-</v>
      </c>
      <c r="BA773" s="971">
        <f t="shared" si="662"/>
        <v>43044</v>
      </c>
      <c r="BB773" s="975">
        <v>43045</v>
      </c>
      <c r="BC773" s="821">
        <v>4</v>
      </c>
      <c r="BD773" s="821">
        <v>4</v>
      </c>
      <c r="BE773" s="963">
        <f t="shared" ca="1" si="663"/>
        <v>89</v>
      </c>
      <c r="BF773" s="984"/>
      <c r="BG773" s="988"/>
      <c r="BH773" s="982"/>
      <c r="BI773" s="991"/>
      <c r="BJ773" s="991"/>
      <c r="BK773" s="993" t="str">
        <f t="shared" si="664"/>
        <v>-</v>
      </c>
      <c r="BL773" s="865"/>
      <c r="BM773" s="821"/>
      <c r="BN773" s="822" t="str">
        <f t="shared" si="665"/>
        <v>-</v>
      </c>
      <c r="BO773" s="823" t="str">
        <f t="shared" si="666"/>
        <v>-</v>
      </c>
      <c r="BP773" s="868"/>
      <c r="BQ773" s="821"/>
      <c r="BR773" s="822" t="str">
        <f t="shared" si="667"/>
        <v>-</v>
      </c>
      <c r="BS773" s="823" t="str">
        <f t="shared" si="668"/>
        <v>-</v>
      </c>
      <c r="BT773" s="825" t="str">
        <f t="shared" ca="1" si="669"/>
        <v>-</v>
      </c>
      <c r="BU773" s="860">
        <v>43022</v>
      </c>
      <c r="BV773" s="827">
        <v>2</v>
      </c>
      <c r="BW773" s="828">
        <f t="shared" si="670"/>
        <v>744</v>
      </c>
      <c r="BX773" s="829">
        <f t="shared" ca="1" si="671"/>
        <v>112</v>
      </c>
      <c r="BY773" s="830" t="str">
        <f t="shared" ca="1" si="672"/>
        <v>-</v>
      </c>
      <c r="BZ773" s="831">
        <v>43029</v>
      </c>
      <c r="CA773" s="832">
        <v>5</v>
      </c>
      <c r="CB773" s="833">
        <f t="shared" ca="1" si="673"/>
        <v>105</v>
      </c>
      <c r="CC773" s="834" t="str">
        <f t="shared" ca="1" si="674"/>
        <v>-</v>
      </c>
      <c r="CD773" s="835">
        <f t="shared" si="675"/>
        <v>43050</v>
      </c>
      <c r="CE773" s="831">
        <v>43050</v>
      </c>
      <c r="CF773" s="832">
        <v>5</v>
      </c>
      <c r="CG773" s="833">
        <f t="shared" ca="1" si="676"/>
        <v>84</v>
      </c>
      <c r="CH773" s="836">
        <f t="shared" si="677"/>
        <v>0</v>
      </c>
      <c r="CI773" s="837" t="str">
        <f t="shared" si="678"/>
        <v>УСПЕШНО</v>
      </c>
      <c r="CJ773" s="838" t="str">
        <f t="shared" ca="1" si="679"/>
        <v>-</v>
      </c>
      <c r="CK773" s="831"/>
      <c r="CL773" s="832"/>
      <c r="CM773" s="833" t="str">
        <f t="shared" si="680"/>
        <v>-</v>
      </c>
      <c r="CN773" s="834" t="str">
        <f t="shared" si="681"/>
        <v>-</v>
      </c>
      <c r="CO773" s="830" t="str">
        <f t="shared" ca="1" si="682"/>
        <v>ТРЕБУЕТСЯ ВАКЦИНАЦИЯ</v>
      </c>
      <c r="CP773" s="839"/>
      <c r="CQ773" s="832"/>
      <c r="CR773" s="833" t="str">
        <f t="shared" si="683"/>
        <v>-</v>
      </c>
      <c r="CS773" s="833" t="str">
        <f t="shared" si="684"/>
        <v>-</v>
      </c>
      <c r="CT773" s="834" t="str">
        <f t="shared" si="685"/>
        <v>-</v>
      </c>
      <c r="CU773" s="835" t="str">
        <f t="shared" si="686"/>
        <v>-</v>
      </c>
      <c r="CV773" s="839"/>
      <c r="CW773" s="832"/>
      <c r="CX773" s="833" t="str">
        <f t="shared" si="687"/>
        <v>-</v>
      </c>
      <c r="CY773" s="840" t="str">
        <f t="shared" si="688"/>
        <v>-</v>
      </c>
      <c r="CZ773" s="833" t="str">
        <f t="shared" si="689"/>
        <v>-</v>
      </c>
      <c r="DA773" s="838" t="str">
        <f t="shared" ca="1" si="690"/>
        <v>-</v>
      </c>
      <c r="DB773" s="841"/>
      <c r="DC773" s="832"/>
    </row>
    <row r="774" spans="1:107" x14ac:dyDescent="0.25">
      <c r="A774" s="790">
        <v>776</v>
      </c>
      <c r="B774" s="791">
        <f t="shared" ca="1" si="639"/>
        <v>43134</v>
      </c>
      <c r="C774" s="847" t="s">
        <v>3271</v>
      </c>
      <c r="D774" s="59" t="s">
        <v>3324</v>
      </c>
      <c r="E774" s="22" t="s">
        <v>3436</v>
      </c>
      <c r="F774" s="795" t="s">
        <v>3292</v>
      </c>
      <c r="G774" s="845"/>
      <c r="H774" s="797" t="s">
        <v>3236</v>
      </c>
      <c r="I774" s="798">
        <v>42243</v>
      </c>
      <c r="J774" s="799">
        <f t="shared" ca="1" si="640"/>
        <v>2.441095890410959</v>
      </c>
      <c r="K774" s="799">
        <f t="shared" ca="1" si="641"/>
        <v>29.7</v>
      </c>
      <c r="L774" s="800">
        <f t="shared" ca="1" si="642"/>
        <v>891</v>
      </c>
      <c r="M774" s="801"/>
      <c r="N774" s="802"/>
      <c r="O774" s="803" t="str">
        <f t="shared" ca="1" si="643"/>
        <v>-</v>
      </c>
      <c r="P774" s="804"/>
      <c r="Q774" s="68" t="s">
        <v>3398</v>
      </c>
      <c r="R774" s="118" t="s">
        <v>3396</v>
      </c>
      <c r="S774" s="807">
        <v>42884</v>
      </c>
      <c r="T774" s="798">
        <v>42884</v>
      </c>
      <c r="U774" s="798" t="str">
        <f t="shared" si="644"/>
        <v>-</v>
      </c>
      <c r="V774" s="804" t="str">
        <f t="shared" ca="1" si="645"/>
        <v>-</v>
      </c>
      <c r="W774" s="808">
        <v>1</v>
      </c>
      <c r="X774" s="794" t="str">
        <f t="shared" si="638"/>
        <v>-</v>
      </c>
      <c r="Y774" s="794">
        <v>1</v>
      </c>
      <c r="Z774" s="809" t="str">
        <f t="shared" ca="1" si="646"/>
        <v>-----</v>
      </c>
      <c r="AA774" s="810" t="str">
        <f t="shared" ca="1" si="647"/>
        <v>-----</v>
      </c>
      <c r="AB774" s="804">
        <v>1</v>
      </c>
      <c r="AC774" s="811" t="str">
        <f t="shared" ca="1" si="648"/>
        <v>-----</v>
      </c>
      <c r="AD774" s="798">
        <v>43029</v>
      </c>
      <c r="AE774" s="794" t="str">
        <f t="shared" ca="1" si="649"/>
        <v>-</v>
      </c>
      <c r="AF774" s="798" t="str">
        <f t="shared" si="650"/>
        <v>-</v>
      </c>
      <c r="AG774" s="812" t="str">
        <f t="shared" si="651"/>
        <v>---------</v>
      </c>
      <c r="AH774" s="807">
        <v>43018</v>
      </c>
      <c r="AI774" s="807" t="str">
        <f t="shared" si="652"/>
        <v>-</v>
      </c>
      <c r="AJ774" s="807" t="str">
        <f t="shared" si="653"/>
        <v>-</v>
      </c>
      <c r="AK774" s="813"/>
      <c r="AL774" s="807">
        <f t="shared" si="654"/>
        <v>43143</v>
      </c>
      <c r="AM774" s="807">
        <f t="shared" si="655"/>
        <v>43164</v>
      </c>
      <c r="AN774" s="814">
        <f t="shared" ca="1" si="656"/>
        <v>-30</v>
      </c>
      <c r="AO774" s="815">
        <v>1</v>
      </c>
      <c r="AP774" s="816" t="str">
        <f t="shared" ca="1" si="657"/>
        <v>-</v>
      </c>
      <c r="AQ774" s="817"/>
      <c r="AR774" s="794" t="str">
        <f t="shared" si="658"/>
        <v>НЕТЕЛЬ</v>
      </c>
      <c r="AS774" s="818"/>
      <c r="AT774" s="794" t="str">
        <f t="shared" si="659"/>
        <v>-</v>
      </c>
      <c r="AU774" s="819"/>
      <c r="AV774" s="820">
        <v>43034</v>
      </c>
      <c r="AW774" s="821">
        <v>4</v>
      </c>
      <c r="AX774" s="821">
        <v>1</v>
      </c>
      <c r="AY774" s="969">
        <f t="shared" ca="1" si="660"/>
        <v>100</v>
      </c>
      <c r="AZ774" s="966" t="str">
        <f t="shared" ca="1" si="661"/>
        <v>-</v>
      </c>
      <c r="BA774" s="971">
        <f t="shared" si="662"/>
        <v>43044</v>
      </c>
      <c r="BB774" s="975">
        <v>43045</v>
      </c>
      <c r="BC774" s="821">
        <v>4</v>
      </c>
      <c r="BD774" s="821">
        <v>4</v>
      </c>
      <c r="BE774" s="963">
        <f t="shared" ca="1" si="663"/>
        <v>89</v>
      </c>
      <c r="BF774" s="984"/>
      <c r="BG774" s="988"/>
      <c r="BH774" s="982"/>
      <c r="BI774" s="991"/>
      <c r="BJ774" s="991"/>
      <c r="BK774" s="993" t="str">
        <f t="shared" si="664"/>
        <v>-</v>
      </c>
      <c r="BL774" s="865"/>
      <c r="BM774" s="821"/>
      <c r="BN774" s="822" t="str">
        <f t="shared" si="665"/>
        <v>-</v>
      </c>
      <c r="BO774" s="823" t="str">
        <f t="shared" si="666"/>
        <v>-</v>
      </c>
      <c r="BP774" s="868"/>
      <c r="BQ774" s="821"/>
      <c r="BR774" s="822" t="str">
        <f t="shared" si="667"/>
        <v>-</v>
      </c>
      <c r="BS774" s="823" t="str">
        <f t="shared" si="668"/>
        <v>-</v>
      </c>
      <c r="BT774" s="825" t="str">
        <f t="shared" ca="1" si="669"/>
        <v>-</v>
      </c>
      <c r="BU774" s="860">
        <v>43022</v>
      </c>
      <c r="BV774" s="827">
        <v>2</v>
      </c>
      <c r="BW774" s="828">
        <f t="shared" si="670"/>
        <v>779</v>
      </c>
      <c r="BX774" s="829">
        <f t="shared" ca="1" si="671"/>
        <v>112</v>
      </c>
      <c r="BY774" s="830" t="str">
        <f t="shared" ca="1" si="672"/>
        <v>-</v>
      </c>
      <c r="BZ774" s="831">
        <v>43029</v>
      </c>
      <c r="CA774" s="832">
        <v>5</v>
      </c>
      <c r="CB774" s="833">
        <f t="shared" ca="1" si="673"/>
        <v>105</v>
      </c>
      <c r="CC774" s="834" t="str">
        <f t="shared" ca="1" si="674"/>
        <v>-</v>
      </c>
      <c r="CD774" s="835">
        <f t="shared" si="675"/>
        <v>43050</v>
      </c>
      <c r="CE774" s="831">
        <v>43050</v>
      </c>
      <c r="CF774" s="832">
        <v>5</v>
      </c>
      <c r="CG774" s="833">
        <f t="shared" ca="1" si="676"/>
        <v>84</v>
      </c>
      <c r="CH774" s="836">
        <f t="shared" si="677"/>
        <v>0</v>
      </c>
      <c r="CI774" s="837" t="str">
        <f t="shared" si="678"/>
        <v>УСПЕШНО</v>
      </c>
      <c r="CJ774" s="838" t="str">
        <f t="shared" ca="1" si="679"/>
        <v>-</v>
      </c>
      <c r="CK774" s="831"/>
      <c r="CL774" s="832"/>
      <c r="CM774" s="833" t="str">
        <f t="shared" si="680"/>
        <v>-</v>
      </c>
      <c r="CN774" s="834" t="str">
        <f t="shared" si="681"/>
        <v>-</v>
      </c>
      <c r="CO774" s="830" t="str">
        <f t="shared" ca="1" si="682"/>
        <v>ТРЕБУЕТСЯ ВАКЦИНАЦИЯ</v>
      </c>
      <c r="CP774" s="839"/>
      <c r="CQ774" s="832"/>
      <c r="CR774" s="833" t="str">
        <f t="shared" si="683"/>
        <v>-</v>
      </c>
      <c r="CS774" s="833" t="str">
        <f t="shared" si="684"/>
        <v>-</v>
      </c>
      <c r="CT774" s="834" t="str">
        <f t="shared" si="685"/>
        <v>-</v>
      </c>
      <c r="CU774" s="835" t="str">
        <f t="shared" si="686"/>
        <v>-</v>
      </c>
      <c r="CV774" s="839"/>
      <c r="CW774" s="832"/>
      <c r="CX774" s="833" t="str">
        <f t="shared" si="687"/>
        <v>-</v>
      </c>
      <c r="CY774" s="840" t="str">
        <f t="shared" si="688"/>
        <v>-</v>
      </c>
      <c r="CZ774" s="833" t="str">
        <f t="shared" si="689"/>
        <v>-</v>
      </c>
      <c r="DA774" s="838" t="str">
        <f t="shared" ca="1" si="690"/>
        <v>-</v>
      </c>
      <c r="DB774" s="841"/>
      <c r="DC774" s="832"/>
    </row>
    <row r="775" spans="1:107" x14ac:dyDescent="0.25">
      <c r="A775" s="790">
        <v>777</v>
      </c>
      <c r="B775" s="791">
        <f t="shared" ca="1" si="639"/>
        <v>43134</v>
      </c>
      <c r="C775" s="847" t="s">
        <v>3271</v>
      </c>
      <c r="D775" s="59" t="s">
        <v>3324</v>
      </c>
      <c r="E775" s="22" t="s">
        <v>3490</v>
      </c>
      <c r="F775" s="795" t="s">
        <v>3246</v>
      </c>
      <c r="G775" s="845"/>
      <c r="H775" s="797" t="s">
        <v>3236</v>
      </c>
      <c r="I775" s="798">
        <v>42343</v>
      </c>
      <c r="J775" s="799">
        <f t="shared" ca="1" si="640"/>
        <v>2.1671232876712327</v>
      </c>
      <c r="K775" s="799">
        <f t="shared" ca="1" si="641"/>
        <v>26.366666666666667</v>
      </c>
      <c r="L775" s="800">
        <f t="shared" ca="1" si="642"/>
        <v>791</v>
      </c>
      <c r="M775" s="801"/>
      <c r="N775" s="802"/>
      <c r="O775" s="803" t="str">
        <f t="shared" ca="1" si="643"/>
        <v>-</v>
      </c>
      <c r="P775" s="804"/>
      <c r="Q775" s="68" t="s">
        <v>3398</v>
      </c>
      <c r="R775" s="118" t="s">
        <v>3364</v>
      </c>
      <c r="S775" s="798">
        <v>42878</v>
      </c>
      <c r="T775" s="798">
        <v>42878</v>
      </c>
      <c r="U775" s="798" t="str">
        <f t="shared" si="644"/>
        <v>-</v>
      </c>
      <c r="V775" s="804" t="str">
        <f t="shared" ca="1" si="645"/>
        <v>-</v>
      </c>
      <c r="W775" s="808">
        <v>1</v>
      </c>
      <c r="X775" s="794" t="str">
        <f t="shared" si="638"/>
        <v>-</v>
      </c>
      <c r="Y775" s="794">
        <v>1</v>
      </c>
      <c r="Z775" s="809" t="str">
        <f t="shared" ca="1" si="646"/>
        <v>-----</v>
      </c>
      <c r="AA775" s="810" t="str">
        <f t="shared" ca="1" si="647"/>
        <v>-----</v>
      </c>
      <c r="AB775" s="804">
        <v>1</v>
      </c>
      <c r="AC775" s="811" t="str">
        <f t="shared" ca="1" si="648"/>
        <v>-----</v>
      </c>
      <c r="AD775" s="798">
        <v>43029</v>
      </c>
      <c r="AE775" s="794" t="str">
        <f t="shared" ca="1" si="649"/>
        <v>-</v>
      </c>
      <c r="AF775" s="798" t="str">
        <f t="shared" si="650"/>
        <v>-</v>
      </c>
      <c r="AG775" s="812" t="str">
        <f t="shared" si="651"/>
        <v>---------</v>
      </c>
      <c r="AH775" s="807">
        <v>43018</v>
      </c>
      <c r="AI775" s="807" t="str">
        <f t="shared" si="652"/>
        <v>-</v>
      </c>
      <c r="AJ775" s="807" t="str">
        <f t="shared" si="653"/>
        <v>-</v>
      </c>
      <c r="AK775" s="813"/>
      <c r="AL775" s="807">
        <f t="shared" si="654"/>
        <v>43137</v>
      </c>
      <c r="AM775" s="807">
        <f t="shared" si="655"/>
        <v>43158</v>
      </c>
      <c r="AN775" s="814">
        <f t="shared" ca="1" si="656"/>
        <v>-24</v>
      </c>
      <c r="AO775" s="815">
        <v>1</v>
      </c>
      <c r="AP775" s="816" t="str">
        <f t="shared" ca="1" si="657"/>
        <v>-</v>
      </c>
      <c r="AQ775" s="817"/>
      <c r="AR775" s="794" t="str">
        <f t="shared" si="658"/>
        <v>НЕТЕЛЬ</v>
      </c>
      <c r="AS775" s="818"/>
      <c r="AT775" s="794" t="str">
        <f t="shared" si="659"/>
        <v>-</v>
      </c>
      <c r="AU775" s="819"/>
      <c r="AV775" s="820">
        <v>43034</v>
      </c>
      <c r="AW775" s="821">
        <v>4</v>
      </c>
      <c r="AX775" s="821">
        <v>1</v>
      </c>
      <c r="AY775" s="969">
        <f t="shared" ca="1" si="660"/>
        <v>100</v>
      </c>
      <c r="AZ775" s="966" t="str">
        <f t="shared" ca="1" si="661"/>
        <v>-</v>
      </c>
      <c r="BA775" s="971">
        <f t="shared" si="662"/>
        <v>43044</v>
      </c>
      <c r="BB775" s="975">
        <v>43045</v>
      </c>
      <c r="BC775" s="821">
        <v>4</v>
      </c>
      <c r="BD775" s="821">
        <v>4</v>
      </c>
      <c r="BE775" s="963">
        <f t="shared" ca="1" si="663"/>
        <v>89</v>
      </c>
      <c r="BF775" s="984"/>
      <c r="BG775" s="988"/>
      <c r="BH775" s="982"/>
      <c r="BI775" s="991"/>
      <c r="BJ775" s="991"/>
      <c r="BK775" s="993" t="str">
        <f t="shared" si="664"/>
        <v>-</v>
      </c>
      <c r="BL775" s="865"/>
      <c r="BM775" s="821"/>
      <c r="BN775" s="822" t="str">
        <f t="shared" si="665"/>
        <v>-</v>
      </c>
      <c r="BO775" s="823" t="str">
        <f t="shared" si="666"/>
        <v>-</v>
      </c>
      <c r="BP775" s="868"/>
      <c r="BQ775" s="821"/>
      <c r="BR775" s="822" t="str">
        <f t="shared" si="667"/>
        <v>-</v>
      </c>
      <c r="BS775" s="823" t="str">
        <f t="shared" si="668"/>
        <v>-</v>
      </c>
      <c r="BT775" s="825" t="str">
        <f t="shared" ca="1" si="669"/>
        <v>-</v>
      </c>
      <c r="BU775" s="860">
        <v>43022</v>
      </c>
      <c r="BV775" s="827">
        <v>2</v>
      </c>
      <c r="BW775" s="828">
        <f t="shared" si="670"/>
        <v>679</v>
      </c>
      <c r="BX775" s="829">
        <f t="shared" ca="1" si="671"/>
        <v>112</v>
      </c>
      <c r="BY775" s="830" t="str">
        <f t="shared" ca="1" si="672"/>
        <v>-</v>
      </c>
      <c r="BZ775" s="831">
        <v>43029</v>
      </c>
      <c r="CA775" s="832">
        <v>5</v>
      </c>
      <c r="CB775" s="833">
        <f t="shared" ca="1" si="673"/>
        <v>105</v>
      </c>
      <c r="CC775" s="834" t="str">
        <f t="shared" ca="1" si="674"/>
        <v>-</v>
      </c>
      <c r="CD775" s="835">
        <f t="shared" si="675"/>
        <v>43050</v>
      </c>
      <c r="CE775" s="831">
        <v>43050</v>
      </c>
      <c r="CF775" s="832">
        <v>5</v>
      </c>
      <c r="CG775" s="833">
        <f t="shared" ca="1" si="676"/>
        <v>84</v>
      </c>
      <c r="CH775" s="836">
        <f t="shared" si="677"/>
        <v>0</v>
      </c>
      <c r="CI775" s="837" t="str">
        <f t="shared" si="678"/>
        <v>УСПЕШНО</v>
      </c>
      <c r="CJ775" s="838" t="str">
        <f t="shared" ca="1" si="679"/>
        <v>-</v>
      </c>
      <c r="CK775" s="831"/>
      <c r="CL775" s="832"/>
      <c r="CM775" s="833" t="str">
        <f t="shared" si="680"/>
        <v>-</v>
      </c>
      <c r="CN775" s="834" t="str">
        <f t="shared" si="681"/>
        <v>-</v>
      </c>
      <c r="CO775" s="830" t="str">
        <f t="shared" ca="1" si="682"/>
        <v>ТРЕБУЕТСЯ ВАКЦИНАЦИЯ</v>
      </c>
      <c r="CP775" s="839"/>
      <c r="CQ775" s="832"/>
      <c r="CR775" s="833" t="str">
        <f t="shared" si="683"/>
        <v>-</v>
      </c>
      <c r="CS775" s="833" t="str">
        <f t="shared" si="684"/>
        <v>-</v>
      </c>
      <c r="CT775" s="834" t="str">
        <f t="shared" si="685"/>
        <v>-</v>
      </c>
      <c r="CU775" s="835" t="str">
        <f t="shared" si="686"/>
        <v>-</v>
      </c>
      <c r="CV775" s="839"/>
      <c r="CW775" s="832"/>
      <c r="CX775" s="833" t="str">
        <f t="shared" si="687"/>
        <v>-</v>
      </c>
      <c r="CY775" s="840" t="str">
        <f t="shared" si="688"/>
        <v>-</v>
      </c>
      <c r="CZ775" s="833" t="str">
        <f t="shared" si="689"/>
        <v>-</v>
      </c>
      <c r="DA775" s="838" t="str">
        <f t="shared" ca="1" si="690"/>
        <v>-</v>
      </c>
      <c r="DB775" s="841"/>
      <c r="DC775" s="832"/>
    </row>
    <row r="776" spans="1:107" x14ac:dyDescent="0.25">
      <c r="A776" s="790">
        <v>778</v>
      </c>
      <c r="B776" s="791">
        <f t="shared" ca="1" si="639"/>
        <v>43134</v>
      </c>
      <c r="C776" s="847" t="s">
        <v>3271</v>
      </c>
      <c r="D776" s="59" t="s">
        <v>3324</v>
      </c>
      <c r="E776" s="22" t="s">
        <v>512</v>
      </c>
      <c r="F776" s="854" t="s">
        <v>3247</v>
      </c>
      <c r="G776" s="845"/>
      <c r="H776" s="797" t="s">
        <v>3236</v>
      </c>
      <c r="I776" s="798">
        <v>42436</v>
      </c>
      <c r="J776" s="799">
        <f t="shared" ca="1" si="640"/>
        <v>1.9123287671232876</v>
      </c>
      <c r="K776" s="799">
        <f t="shared" ca="1" si="641"/>
        <v>23.266666666666666</v>
      </c>
      <c r="L776" s="800">
        <f t="shared" ca="1" si="642"/>
        <v>698</v>
      </c>
      <c r="M776" s="801"/>
      <c r="N776" s="802"/>
      <c r="O776" s="803" t="str">
        <f t="shared" ca="1" si="643"/>
        <v>-</v>
      </c>
      <c r="P776" s="804"/>
      <c r="Q776" s="68" t="s">
        <v>3398</v>
      </c>
      <c r="R776" s="118" t="s">
        <v>3376</v>
      </c>
      <c r="S776" s="798">
        <v>42892</v>
      </c>
      <c r="T776" s="798">
        <v>42892</v>
      </c>
      <c r="U776" s="798" t="str">
        <f t="shared" si="644"/>
        <v>-</v>
      </c>
      <c r="V776" s="804" t="str">
        <f t="shared" ca="1" si="645"/>
        <v>-</v>
      </c>
      <c r="W776" s="808">
        <v>1</v>
      </c>
      <c r="X776" s="794" t="str">
        <f t="shared" si="638"/>
        <v>-</v>
      </c>
      <c r="Y776" s="794">
        <v>1</v>
      </c>
      <c r="Z776" s="809" t="str">
        <f t="shared" ca="1" si="646"/>
        <v>-----</v>
      </c>
      <c r="AA776" s="810" t="str">
        <f t="shared" ca="1" si="647"/>
        <v>-----</v>
      </c>
      <c r="AB776" s="804">
        <v>1</v>
      </c>
      <c r="AC776" s="811" t="str">
        <f t="shared" ca="1" si="648"/>
        <v>-----</v>
      </c>
      <c r="AD776" s="798">
        <v>43029</v>
      </c>
      <c r="AE776" s="794" t="str">
        <f t="shared" ca="1" si="649"/>
        <v>-</v>
      </c>
      <c r="AF776" s="798" t="str">
        <f t="shared" si="650"/>
        <v>-</v>
      </c>
      <c r="AG776" s="812" t="str">
        <f t="shared" si="651"/>
        <v>---------</v>
      </c>
      <c r="AH776" s="807">
        <v>43018</v>
      </c>
      <c r="AI776" s="807" t="str">
        <f t="shared" si="652"/>
        <v>-</v>
      </c>
      <c r="AJ776" s="807" t="str">
        <f t="shared" si="653"/>
        <v>-</v>
      </c>
      <c r="AK776" s="813"/>
      <c r="AL776" s="807">
        <f t="shared" si="654"/>
        <v>43151</v>
      </c>
      <c r="AM776" s="807">
        <f t="shared" si="655"/>
        <v>43172</v>
      </c>
      <c r="AN776" s="814">
        <f t="shared" ca="1" si="656"/>
        <v>-38</v>
      </c>
      <c r="AO776" s="815">
        <v>1</v>
      </c>
      <c r="AP776" s="816" t="str">
        <f t="shared" ca="1" si="657"/>
        <v>-</v>
      </c>
      <c r="AQ776" s="817"/>
      <c r="AR776" s="794" t="str">
        <f t="shared" si="658"/>
        <v>НЕТЕЛЬ</v>
      </c>
      <c r="AS776" s="818"/>
      <c r="AT776" s="794" t="str">
        <f t="shared" si="659"/>
        <v>-</v>
      </c>
      <c r="AU776" s="819"/>
      <c r="AV776" s="820">
        <v>43034</v>
      </c>
      <c r="AW776" s="821">
        <v>4</v>
      </c>
      <c r="AX776" s="821">
        <v>1</v>
      </c>
      <c r="AY776" s="969">
        <f t="shared" ca="1" si="660"/>
        <v>100</v>
      </c>
      <c r="AZ776" s="966" t="str">
        <f t="shared" ca="1" si="661"/>
        <v>-</v>
      </c>
      <c r="BA776" s="971">
        <f t="shared" si="662"/>
        <v>43044</v>
      </c>
      <c r="BB776" s="975">
        <v>43045</v>
      </c>
      <c r="BC776" s="821">
        <v>4</v>
      </c>
      <c r="BD776" s="821">
        <v>4</v>
      </c>
      <c r="BE776" s="963">
        <f t="shared" ca="1" si="663"/>
        <v>89</v>
      </c>
      <c r="BF776" s="984"/>
      <c r="BG776" s="988"/>
      <c r="BH776" s="982"/>
      <c r="BI776" s="991"/>
      <c r="BJ776" s="991"/>
      <c r="BK776" s="993" t="str">
        <f t="shared" si="664"/>
        <v>-</v>
      </c>
      <c r="BL776" s="865"/>
      <c r="BM776" s="821"/>
      <c r="BN776" s="822" t="str">
        <f t="shared" si="665"/>
        <v>-</v>
      </c>
      <c r="BO776" s="823" t="str">
        <f t="shared" si="666"/>
        <v>-</v>
      </c>
      <c r="BP776" s="868"/>
      <c r="BQ776" s="821"/>
      <c r="BR776" s="822" t="str">
        <f t="shared" si="667"/>
        <v>-</v>
      </c>
      <c r="BS776" s="823" t="str">
        <f t="shared" si="668"/>
        <v>-</v>
      </c>
      <c r="BT776" s="825" t="str">
        <f t="shared" ca="1" si="669"/>
        <v>-</v>
      </c>
      <c r="BU776" s="860">
        <v>43022</v>
      </c>
      <c r="BV776" s="827">
        <v>2</v>
      </c>
      <c r="BW776" s="828">
        <f t="shared" si="670"/>
        <v>586</v>
      </c>
      <c r="BX776" s="829">
        <f t="shared" ca="1" si="671"/>
        <v>112</v>
      </c>
      <c r="BY776" s="830" t="str">
        <f t="shared" ca="1" si="672"/>
        <v>-</v>
      </c>
      <c r="BZ776" s="831">
        <v>43029</v>
      </c>
      <c r="CA776" s="832">
        <v>5</v>
      </c>
      <c r="CB776" s="833">
        <f t="shared" ca="1" si="673"/>
        <v>105</v>
      </c>
      <c r="CC776" s="834" t="str">
        <f t="shared" ca="1" si="674"/>
        <v>-</v>
      </c>
      <c r="CD776" s="835">
        <f t="shared" si="675"/>
        <v>43050</v>
      </c>
      <c r="CE776" s="831">
        <v>43050</v>
      </c>
      <c r="CF776" s="832">
        <v>5</v>
      </c>
      <c r="CG776" s="833">
        <f t="shared" ca="1" si="676"/>
        <v>84</v>
      </c>
      <c r="CH776" s="836">
        <f t="shared" si="677"/>
        <v>0</v>
      </c>
      <c r="CI776" s="837" t="str">
        <f t="shared" si="678"/>
        <v>УСПЕШНО</v>
      </c>
      <c r="CJ776" s="838" t="str">
        <f t="shared" ca="1" si="679"/>
        <v>-</v>
      </c>
      <c r="CK776" s="831"/>
      <c r="CL776" s="832"/>
      <c r="CM776" s="833" t="str">
        <f t="shared" si="680"/>
        <v>-</v>
      </c>
      <c r="CN776" s="834" t="str">
        <f t="shared" si="681"/>
        <v>-</v>
      </c>
      <c r="CO776" s="830" t="str">
        <f t="shared" ca="1" si="682"/>
        <v>ТРЕБУЕТСЯ ВАКЦИНАЦИЯ</v>
      </c>
      <c r="CP776" s="839"/>
      <c r="CQ776" s="832"/>
      <c r="CR776" s="833" t="str">
        <f t="shared" si="683"/>
        <v>-</v>
      </c>
      <c r="CS776" s="833" t="str">
        <f t="shared" si="684"/>
        <v>-</v>
      </c>
      <c r="CT776" s="834" t="str">
        <f t="shared" si="685"/>
        <v>-</v>
      </c>
      <c r="CU776" s="835" t="str">
        <f t="shared" si="686"/>
        <v>-</v>
      </c>
      <c r="CV776" s="839"/>
      <c r="CW776" s="832"/>
      <c r="CX776" s="833" t="str">
        <f t="shared" si="687"/>
        <v>-</v>
      </c>
      <c r="CY776" s="840" t="str">
        <f t="shared" si="688"/>
        <v>-</v>
      </c>
      <c r="CZ776" s="833" t="str">
        <f t="shared" si="689"/>
        <v>-</v>
      </c>
      <c r="DA776" s="838" t="str">
        <f t="shared" ca="1" si="690"/>
        <v>-</v>
      </c>
      <c r="DB776" s="841"/>
      <c r="DC776" s="832"/>
    </row>
    <row r="777" spans="1:107" x14ac:dyDescent="0.25">
      <c r="A777" s="790">
        <v>779</v>
      </c>
      <c r="B777" s="791">
        <f t="shared" ca="1" si="639"/>
        <v>43134</v>
      </c>
      <c r="C777" s="847" t="s">
        <v>3271</v>
      </c>
      <c r="D777" s="59" t="s">
        <v>3324</v>
      </c>
      <c r="E777" s="22" t="s">
        <v>3430</v>
      </c>
      <c r="F777" s="795" t="s">
        <v>3280</v>
      </c>
      <c r="G777" s="845"/>
      <c r="H777" s="797" t="s">
        <v>3236</v>
      </c>
      <c r="I777" s="798">
        <v>42260</v>
      </c>
      <c r="J777" s="799">
        <f t="shared" ca="1" si="640"/>
        <v>2.3945205479452056</v>
      </c>
      <c r="K777" s="799">
        <f t="shared" ca="1" si="641"/>
        <v>29.133333333333333</v>
      </c>
      <c r="L777" s="800">
        <f t="shared" ca="1" si="642"/>
        <v>874</v>
      </c>
      <c r="M777" s="801"/>
      <c r="N777" s="802"/>
      <c r="O777" s="803" t="str">
        <f t="shared" ca="1" si="643"/>
        <v>-</v>
      </c>
      <c r="P777" s="804"/>
      <c r="Q777" s="68" t="s">
        <v>3398</v>
      </c>
      <c r="R777" s="118" t="s">
        <v>3394</v>
      </c>
      <c r="S777" s="807">
        <v>42886</v>
      </c>
      <c r="T777" s="798">
        <v>42886</v>
      </c>
      <c r="U777" s="798" t="str">
        <f t="shared" si="644"/>
        <v>-</v>
      </c>
      <c r="V777" s="804" t="str">
        <f t="shared" ca="1" si="645"/>
        <v>-</v>
      </c>
      <c r="W777" s="808">
        <v>1</v>
      </c>
      <c r="X777" s="794" t="str">
        <f t="shared" si="638"/>
        <v>-</v>
      </c>
      <c r="Y777" s="794">
        <v>1</v>
      </c>
      <c r="Z777" s="809" t="str">
        <f t="shared" ca="1" si="646"/>
        <v>-----</v>
      </c>
      <c r="AA777" s="810" t="str">
        <f t="shared" ca="1" si="647"/>
        <v>-----</v>
      </c>
      <c r="AB777" s="804">
        <v>1</v>
      </c>
      <c r="AC777" s="811" t="str">
        <f t="shared" ca="1" si="648"/>
        <v>-----</v>
      </c>
      <c r="AD777" s="798">
        <v>43029</v>
      </c>
      <c r="AE777" s="794" t="str">
        <f t="shared" ca="1" si="649"/>
        <v>-</v>
      </c>
      <c r="AF777" s="798" t="str">
        <f t="shared" si="650"/>
        <v>-</v>
      </c>
      <c r="AG777" s="812" t="str">
        <f t="shared" si="651"/>
        <v>---------</v>
      </c>
      <c r="AH777" s="807">
        <v>43018</v>
      </c>
      <c r="AI777" s="807" t="str">
        <f t="shared" si="652"/>
        <v>-</v>
      </c>
      <c r="AJ777" s="807" t="str">
        <f t="shared" si="653"/>
        <v>-</v>
      </c>
      <c r="AK777" s="813"/>
      <c r="AL777" s="807">
        <f t="shared" si="654"/>
        <v>43145</v>
      </c>
      <c r="AM777" s="807">
        <f t="shared" si="655"/>
        <v>43166</v>
      </c>
      <c r="AN777" s="814">
        <f t="shared" ca="1" si="656"/>
        <v>-32</v>
      </c>
      <c r="AO777" s="815">
        <v>1</v>
      </c>
      <c r="AP777" s="816" t="str">
        <f t="shared" ca="1" si="657"/>
        <v>-</v>
      </c>
      <c r="AQ777" s="817"/>
      <c r="AR777" s="794" t="str">
        <f t="shared" si="658"/>
        <v>НЕТЕЛЬ</v>
      </c>
      <c r="AS777" s="818"/>
      <c r="AT777" s="794" t="str">
        <f t="shared" si="659"/>
        <v>-</v>
      </c>
      <c r="AU777" s="819"/>
      <c r="AV777" s="820">
        <v>43034</v>
      </c>
      <c r="AW777" s="821">
        <v>4</v>
      </c>
      <c r="AX777" s="821">
        <v>1</v>
      </c>
      <c r="AY777" s="969">
        <f t="shared" ca="1" si="660"/>
        <v>100</v>
      </c>
      <c r="AZ777" s="966" t="str">
        <f t="shared" ca="1" si="661"/>
        <v>-</v>
      </c>
      <c r="BA777" s="971">
        <f t="shared" si="662"/>
        <v>43044</v>
      </c>
      <c r="BB777" s="975">
        <v>43045</v>
      </c>
      <c r="BC777" s="821">
        <v>4</v>
      </c>
      <c r="BD777" s="821">
        <v>4</v>
      </c>
      <c r="BE777" s="963">
        <f t="shared" ca="1" si="663"/>
        <v>89</v>
      </c>
      <c r="BF777" s="984"/>
      <c r="BG777" s="988"/>
      <c r="BH777" s="982"/>
      <c r="BI777" s="991"/>
      <c r="BJ777" s="991"/>
      <c r="BK777" s="993" t="str">
        <f t="shared" si="664"/>
        <v>-</v>
      </c>
      <c r="BL777" s="865"/>
      <c r="BM777" s="821"/>
      <c r="BN777" s="822" t="str">
        <f t="shared" si="665"/>
        <v>-</v>
      </c>
      <c r="BO777" s="823" t="str">
        <f t="shared" si="666"/>
        <v>-</v>
      </c>
      <c r="BP777" s="868"/>
      <c r="BQ777" s="821"/>
      <c r="BR777" s="822" t="str">
        <f t="shared" si="667"/>
        <v>-</v>
      </c>
      <c r="BS777" s="823" t="str">
        <f t="shared" si="668"/>
        <v>-</v>
      </c>
      <c r="BT777" s="825" t="str">
        <f t="shared" ca="1" si="669"/>
        <v>-</v>
      </c>
      <c r="BU777" s="860">
        <v>43022</v>
      </c>
      <c r="BV777" s="827">
        <v>2</v>
      </c>
      <c r="BW777" s="828">
        <f t="shared" si="670"/>
        <v>762</v>
      </c>
      <c r="BX777" s="829">
        <f t="shared" ca="1" si="671"/>
        <v>112</v>
      </c>
      <c r="BY777" s="830" t="str">
        <f t="shared" ca="1" si="672"/>
        <v>-</v>
      </c>
      <c r="BZ777" s="831">
        <v>43029</v>
      </c>
      <c r="CA777" s="832">
        <v>5</v>
      </c>
      <c r="CB777" s="833">
        <f t="shared" ca="1" si="673"/>
        <v>105</v>
      </c>
      <c r="CC777" s="834" t="str">
        <f t="shared" ca="1" si="674"/>
        <v>-</v>
      </c>
      <c r="CD777" s="835">
        <f t="shared" si="675"/>
        <v>43050</v>
      </c>
      <c r="CE777" s="831">
        <v>43050</v>
      </c>
      <c r="CF777" s="832">
        <v>5</v>
      </c>
      <c r="CG777" s="833">
        <f t="shared" ca="1" si="676"/>
        <v>84</v>
      </c>
      <c r="CH777" s="836">
        <f t="shared" si="677"/>
        <v>0</v>
      </c>
      <c r="CI777" s="837" t="str">
        <f t="shared" si="678"/>
        <v>УСПЕШНО</v>
      </c>
      <c r="CJ777" s="838" t="str">
        <f t="shared" ca="1" si="679"/>
        <v>-</v>
      </c>
      <c r="CK777" s="831"/>
      <c r="CL777" s="832"/>
      <c r="CM777" s="833" t="str">
        <f t="shared" si="680"/>
        <v>-</v>
      </c>
      <c r="CN777" s="834" t="str">
        <f t="shared" si="681"/>
        <v>-</v>
      </c>
      <c r="CO777" s="830" t="str">
        <f t="shared" ca="1" si="682"/>
        <v>ТРЕБУЕТСЯ ВАКЦИНАЦИЯ</v>
      </c>
      <c r="CP777" s="839"/>
      <c r="CQ777" s="832"/>
      <c r="CR777" s="833" t="str">
        <f t="shared" si="683"/>
        <v>-</v>
      </c>
      <c r="CS777" s="833" t="str">
        <f t="shared" si="684"/>
        <v>-</v>
      </c>
      <c r="CT777" s="834" t="str">
        <f t="shared" si="685"/>
        <v>-</v>
      </c>
      <c r="CU777" s="835" t="str">
        <f t="shared" si="686"/>
        <v>-</v>
      </c>
      <c r="CV777" s="839"/>
      <c r="CW777" s="832"/>
      <c r="CX777" s="833" t="str">
        <f t="shared" si="687"/>
        <v>-</v>
      </c>
      <c r="CY777" s="840" t="str">
        <f t="shared" si="688"/>
        <v>-</v>
      </c>
      <c r="CZ777" s="833" t="str">
        <f t="shared" si="689"/>
        <v>-</v>
      </c>
      <c r="DA777" s="838" t="str">
        <f t="shared" ca="1" si="690"/>
        <v>-</v>
      </c>
      <c r="DB777" s="841"/>
      <c r="DC777" s="832"/>
    </row>
    <row r="778" spans="1:107" x14ac:dyDescent="0.25">
      <c r="A778" s="790">
        <v>780</v>
      </c>
      <c r="B778" s="791">
        <f t="shared" ca="1" si="639"/>
        <v>43134</v>
      </c>
      <c r="C778" s="847" t="s">
        <v>3271</v>
      </c>
      <c r="D778" s="59" t="s">
        <v>3324</v>
      </c>
      <c r="E778" s="22" t="s">
        <v>3449</v>
      </c>
      <c r="F778" s="795" t="s">
        <v>3281</v>
      </c>
      <c r="G778" s="845"/>
      <c r="H778" s="797" t="s">
        <v>3236</v>
      </c>
      <c r="I778" s="798">
        <v>42270</v>
      </c>
      <c r="J778" s="799">
        <f t="shared" ca="1" si="640"/>
        <v>2.3671232876712329</v>
      </c>
      <c r="K778" s="799">
        <f t="shared" ca="1" si="641"/>
        <v>28.8</v>
      </c>
      <c r="L778" s="800">
        <f t="shared" ca="1" si="642"/>
        <v>864</v>
      </c>
      <c r="M778" s="801"/>
      <c r="N778" s="802"/>
      <c r="O778" s="803" t="str">
        <f t="shared" ca="1" si="643"/>
        <v>-</v>
      </c>
      <c r="P778" s="804"/>
      <c r="Q778" s="68" t="s">
        <v>3398</v>
      </c>
      <c r="R778" s="118" t="s">
        <v>3389</v>
      </c>
      <c r="S778" s="807">
        <v>42855</v>
      </c>
      <c r="T778" s="798">
        <v>42855</v>
      </c>
      <c r="U778" s="798" t="str">
        <f t="shared" si="644"/>
        <v>-</v>
      </c>
      <c r="V778" s="804" t="str">
        <f t="shared" ca="1" si="645"/>
        <v>-</v>
      </c>
      <c r="W778" s="808">
        <v>1</v>
      </c>
      <c r="X778" s="794" t="str">
        <f t="shared" si="638"/>
        <v>-</v>
      </c>
      <c r="Y778" s="794">
        <v>1</v>
      </c>
      <c r="Z778" s="809" t="str">
        <f t="shared" ca="1" si="646"/>
        <v>-----</v>
      </c>
      <c r="AA778" s="810" t="str">
        <f t="shared" ca="1" si="647"/>
        <v>-----</v>
      </c>
      <c r="AB778" s="804">
        <v>1</v>
      </c>
      <c r="AC778" s="811" t="str">
        <f t="shared" ca="1" si="648"/>
        <v>-----</v>
      </c>
      <c r="AD778" s="798">
        <v>43029</v>
      </c>
      <c r="AE778" s="794" t="str">
        <f t="shared" ca="1" si="649"/>
        <v>-</v>
      </c>
      <c r="AF778" s="798" t="str">
        <f t="shared" si="650"/>
        <v>-</v>
      </c>
      <c r="AG778" s="812" t="str">
        <f t="shared" si="651"/>
        <v>---------</v>
      </c>
      <c r="AH778" s="807">
        <v>43018</v>
      </c>
      <c r="AI778" s="807" t="str">
        <f t="shared" si="652"/>
        <v>-</v>
      </c>
      <c r="AJ778" s="807" t="str">
        <f t="shared" si="653"/>
        <v>-</v>
      </c>
      <c r="AK778" s="813"/>
      <c r="AL778" s="807">
        <f t="shared" si="654"/>
        <v>43114</v>
      </c>
      <c r="AM778" s="807">
        <f t="shared" si="655"/>
        <v>43135</v>
      </c>
      <c r="AN778" s="814">
        <f t="shared" ca="1" si="656"/>
        <v>-1</v>
      </c>
      <c r="AO778" s="815">
        <v>1</v>
      </c>
      <c r="AP778" s="816" t="str">
        <f t="shared" ca="1" si="657"/>
        <v>-</v>
      </c>
      <c r="AQ778" s="817"/>
      <c r="AR778" s="794" t="str">
        <f t="shared" si="658"/>
        <v>НЕТЕЛЬ</v>
      </c>
      <c r="AS778" s="818"/>
      <c r="AT778" s="794" t="str">
        <f t="shared" si="659"/>
        <v>-</v>
      </c>
      <c r="AU778" s="819"/>
      <c r="AV778" s="820">
        <v>43034</v>
      </c>
      <c r="AW778" s="821">
        <v>4</v>
      </c>
      <c r="AX778" s="821">
        <v>1</v>
      </c>
      <c r="AY778" s="969">
        <f t="shared" ca="1" si="660"/>
        <v>100</v>
      </c>
      <c r="AZ778" s="966" t="str">
        <f t="shared" ca="1" si="661"/>
        <v>-</v>
      </c>
      <c r="BA778" s="971">
        <f t="shared" si="662"/>
        <v>43044</v>
      </c>
      <c r="BB778" s="975">
        <v>43045</v>
      </c>
      <c r="BC778" s="821">
        <v>4</v>
      </c>
      <c r="BD778" s="821">
        <v>4</v>
      </c>
      <c r="BE778" s="963">
        <f t="shared" ca="1" si="663"/>
        <v>89</v>
      </c>
      <c r="BF778" s="984"/>
      <c r="BG778" s="988"/>
      <c r="BH778" s="982"/>
      <c r="BI778" s="991"/>
      <c r="BJ778" s="991"/>
      <c r="BK778" s="993" t="str">
        <f t="shared" si="664"/>
        <v>-</v>
      </c>
      <c r="BL778" s="865"/>
      <c r="BM778" s="821"/>
      <c r="BN778" s="822" t="str">
        <f t="shared" si="665"/>
        <v>-</v>
      </c>
      <c r="BO778" s="823" t="str">
        <f t="shared" si="666"/>
        <v>-</v>
      </c>
      <c r="BP778" s="868"/>
      <c r="BQ778" s="821"/>
      <c r="BR778" s="822" t="str">
        <f t="shared" si="667"/>
        <v>-</v>
      </c>
      <c r="BS778" s="823" t="str">
        <f t="shared" si="668"/>
        <v>-</v>
      </c>
      <c r="BT778" s="825" t="str">
        <f t="shared" ca="1" si="669"/>
        <v>-</v>
      </c>
      <c r="BU778" s="860">
        <v>43022</v>
      </c>
      <c r="BV778" s="827">
        <v>2</v>
      </c>
      <c r="BW778" s="828">
        <f t="shared" si="670"/>
        <v>752</v>
      </c>
      <c r="BX778" s="829">
        <f t="shared" ca="1" si="671"/>
        <v>112</v>
      </c>
      <c r="BY778" s="830" t="str">
        <f t="shared" ca="1" si="672"/>
        <v>-</v>
      </c>
      <c r="BZ778" s="831">
        <v>43029</v>
      </c>
      <c r="CA778" s="832">
        <v>5</v>
      </c>
      <c r="CB778" s="833">
        <f t="shared" ca="1" si="673"/>
        <v>105</v>
      </c>
      <c r="CC778" s="834" t="str">
        <f t="shared" ca="1" si="674"/>
        <v>-</v>
      </c>
      <c r="CD778" s="835">
        <f t="shared" si="675"/>
        <v>43050</v>
      </c>
      <c r="CE778" s="831">
        <v>43050</v>
      </c>
      <c r="CF778" s="832">
        <v>5</v>
      </c>
      <c r="CG778" s="833">
        <f t="shared" ca="1" si="676"/>
        <v>84</v>
      </c>
      <c r="CH778" s="836">
        <f t="shared" si="677"/>
        <v>0</v>
      </c>
      <c r="CI778" s="837" t="str">
        <f t="shared" si="678"/>
        <v>УСПЕШНО</v>
      </c>
      <c r="CJ778" s="838" t="str">
        <f t="shared" ca="1" si="679"/>
        <v>-</v>
      </c>
      <c r="CK778" s="831"/>
      <c r="CL778" s="832"/>
      <c r="CM778" s="833" t="str">
        <f t="shared" si="680"/>
        <v>-</v>
      </c>
      <c r="CN778" s="834" t="str">
        <f t="shared" si="681"/>
        <v>-</v>
      </c>
      <c r="CO778" s="830" t="str">
        <f t="shared" ca="1" si="682"/>
        <v>ТРЕБУЕТСЯ ВАКЦИНАЦИЯ</v>
      </c>
      <c r="CP778" s="839"/>
      <c r="CQ778" s="832"/>
      <c r="CR778" s="833" t="str">
        <f t="shared" si="683"/>
        <v>-</v>
      </c>
      <c r="CS778" s="833" t="str">
        <f t="shared" si="684"/>
        <v>-</v>
      </c>
      <c r="CT778" s="834" t="str">
        <f t="shared" si="685"/>
        <v>-</v>
      </c>
      <c r="CU778" s="835" t="str">
        <f t="shared" si="686"/>
        <v>-</v>
      </c>
      <c r="CV778" s="839"/>
      <c r="CW778" s="832"/>
      <c r="CX778" s="833" t="str">
        <f t="shared" si="687"/>
        <v>-</v>
      </c>
      <c r="CY778" s="840" t="str">
        <f t="shared" si="688"/>
        <v>-</v>
      </c>
      <c r="CZ778" s="833" t="str">
        <f t="shared" si="689"/>
        <v>-</v>
      </c>
      <c r="DA778" s="838" t="str">
        <f t="shared" ca="1" si="690"/>
        <v>-</v>
      </c>
      <c r="DB778" s="841"/>
      <c r="DC778" s="832"/>
    </row>
    <row r="779" spans="1:107" x14ac:dyDescent="0.25">
      <c r="A779" s="790">
        <v>781</v>
      </c>
      <c r="B779" s="791">
        <f t="shared" ca="1" si="639"/>
        <v>43134</v>
      </c>
      <c r="C779" s="847" t="s">
        <v>3271</v>
      </c>
      <c r="D779" s="59" t="s">
        <v>3324</v>
      </c>
      <c r="E779" s="22" t="s">
        <v>3448</v>
      </c>
      <c r="F779" s="795" t="s">
        <v>3282</v>
      </c>
      <c r="G779" s="845"/>
      <c r="H779" s="797" t="s">
        <v>3236</v>
      </c>
      <c r="I779" s="798">
        <v>42359</v>
      </c>
      <c r="J779" s="799">
        <f t="shared" ca="1" si="640"/>
        <v>2.1232876712328768</v>
      </c>
      <c r="K779" s="799">
        <f t="shared" ca="1" si="641"/>
        <v>25.833333333333332</v>
      </c>
      <c r="L779" s="800">
        <f t="shared" ca="1" si="642"/>
        <v>775</v>
      </c>
      <c r="M779" s="801"/>
      <c r="N779" s="802"/>
      <c r="O779" s="803" t="str">
        <f t="shared" ca="1" si="643"/>
        <v>-</v>
      </c>
      <c r="P779" s="804"/>
      <c r="Q779" s="68" t="s">
        <v>3398</v>
      </c>
      <c r="R779" s="118" t="s">
        <v>3364</v>
      </c>
      <c r="S779" s="807">
        <v>42875</v>
      </c>
      <c r="T779" s="798">
        <v>42875</v>
      </c>
      <c r="U779" s="798" t="str">
        <f t="shared" si="644"/>
        <v>-</v>
      </c>
      <c r="V779" s="804" t="str">
        <f t="shared" ca="1" si="645"/>
        <v>-</v>
      </c>
      <c r="W779" s="808">
        <v>1</v>
      </c>
      <c r="X779" s="794" t="str">
        <f t="shared" si="638"/>
        <v>-</v>
      </c>
      <c r="Y779" s="794">
        <v>1</v>
      </c>
      <c r="Z779" s="809" t="str">
        <f t="shared" ca="1" si="646"/>
        <v>-----</v>
      </c>
      <c r="AA779" s="810" t="str">
        <f t="shared" ca="1" si="647"/>
        <v>-----</v>
      </c>
      <c r="AB779" s="804">
        <v>1</v>
      </c>
      <c r="AC779" s="811" t="str">
        <f t="shared" ca="1" si="648"/>
        <v>-----</v>
      </c>
      <c r="AD779" s="798">
        <v>43029</v>
      </c>
      <c r="AE779" s="794" t="str">
        <f t="shared" ca="1" si="649"/>
        <v>-</v>
      </c>
      <c r="AF779" s="798" t="str">
        <f t="shared" si="650"/>
        <v>-</v>
      </c>
      <c r="AG779" s="812" t="str">
        <f t="shared" si="651"/>
        <v>---------</v>
      </c>
      <c r="AH779" s="807">
        <v>43018</v>
      </c>
      <c r="AI779" s="807" t="str">
        <f t="shared" si="652"/>
        <v>-</v>
      </c>
      <c r="AJ779" s="807" t="str">
        <f t="shared" si="653"/>
        <v>-</v>
      </c>
      <c r="AK779" s="813"/>
      <c r="AL779" s="807">
        <f t="shared" si="654"/>
        <v>43134</v>
      </c>
      <c r="AM779" s="807">
        <f t="shared" si="655"/>
        <v>43155</v>
      </c>
      <c r="AN779" s="814">
        <f t="shared" ca="1" si="656"/>
        <v>-21</v>
      </c>
      <c r="AO779" s="815">
        <v>1</v>
      </c>
      <c r="AP779" s="816" t="str">
        <f t="shared" ca="1" si="657"/>
        <v>-</v>
      </c>
      <c r="AQ779" s="817"/>
      <c r="AR779" s="794" t="str">
        <f t="shared" si="658"/>
        <v>НЕТЕЛЬ</v>
      </c>
      <c r="AS779" s="818"/>
      <c r="AT779" s="794" t="str">
        <f t="shared" si="659"/>
        <v>-</v>
      </c>
      <c r="AU779" s="819"/>
      <c r="AV779" s="820">
        <v>43034</v>
      </c>
      <c r="AW779" s="821">
        <v>4</v>
      </c>
      <c r="AX779" s="821">
        <v>1</v>
      </c>
      <c r="AY779" s="969">
        <f t="shared" ca="1" si="660"/>
        <v>100</v>
      </c>
      <c r="AZ779" s="966" t="str">
        <f t="shared" ca="1" si="661"/>
        <v>-</v>
      </c>
      <c r="BA779" s="971">
        <f t="shared" si="662"/>
        <v>43044</v>
      </c>
      <c r="BB779" s="975">
        <v>43045</v>
      </c>
      <c r="BC779" s="821">
        <v>4</v>
      </c>
      <c r="BD779" s="821">
        <v>4</v>
      </c>
      <c r="BE779" s="963">
        <f t="shared" ca="1" si="663"/>
        <v>89</v>
      </c>
      <c r="BF779" s="984"/>
      <c r="BG779" s="988"/>
      <c r="BH779" s="982"/>
      <c r="BI779" s="991"/>
      <c r="BJ779" s="991"/>
      <c r="BK779" s="993" t="str">
        <f t="shared" si="664"/>
        <v>-</v>
      </c>
      <c r="BL779" s="865"/>
      <c r="BM779" s="821"/>
      <c r="BN779" s="822" t="str">
        <f t="shared" si="665"/>
        <v>-</v>
      </c>
      <c r="BO779" s="823" t="str">
        <f t="shared" si="666"/>
        <v>-</v>
      </c>
      <c r="BP779" s="868"/>
      <c r="BQ779" s="821"/>
      <c r="BR779" s="822" t="str">
        <f t="shared" si="667"/>
        <v>-</v>
      </c>
      <c r="BS779" s="823" t="str">
        <f t="shared" si="668"/>
        <v>-</v>
      </c>
      <c r="BT779" s="825" t="str">
        <f t="shared" ca="1" si="669"/>
        <v>-</v>
      </c>
      <c r="BU779" s="860">
        <v>43022</v>
      </c>
      <c r="BV779" s="827">
        <v>2</v>
      </c>
      <c r="BW779" s="828">
        <f t="shared" si="670"/>
        <v>663</v>
      </c>
      <c r="BX779" s="829">
        <f t="shared" ca="1" si="671"/>
        <v>112</v>
      </c>
      <c r="BY779" s="830" t="str">
        <f t="shared" ca="1" si="672"/>
        <v>-</v>
      </c>
      <c r="BZ779" s="831">
        <v>43029</v>
      </c>
      <c r="CA779" s="832">
        <v>5</v>
      </c>
      <c r="CB779" s="833">
        <f t="shared" ca="1" si="673"/>
        <v>105</v>
      </c>
      <c r="CC779" s="834" t="str">
        <f t="shared" ca="1" si="674"/>
        <v>-</v>
      </c>
      <c r="CD779" s="835">
        <f t="shared" si="675"/>
        <v>43050</v>
      </c>
      <c r="CE779" s="831">
        <v>43050</v>
      </c>
      <c r="CF779" s="832">
        <v>5</v>
      </c>
      <c r="CG779" s="833">
        <f t="shared" ca="1" si="676"/>
        <v>84</v>
      </c>
      <c r="CH779" s="836">
        <f t="shared" si="677"/>
        <v>0</v>
      </c>
      <c r="CI779" s="837" t="str">
        <f t="shared" si="678"/>
        <v>УСПЕШНО</v>
      </c>
      <c r="CJ779" s="838" t="str">
        <f t="shared" ca="1" si="679"/>
        <v>-</v>
      </c>
      <c r="CK779" s="831"/>
      <c r="CL779" s="832"/>
      <c r="CM779" s="833" t="str">
        <f t="shared" si="680"/>
        <v>-</v>
      </c>
      <c r="CN779" s="834" t="str">
        <f t="shared" si="681"/>
        <v>-</v>
      </c>
      <c r="CO779" s="830" t="str">
        <f t="shared" ca="1" si="682"/>
        <v>ТРЕБУЕТСЯ ВАКЦИНАЦИЯ</v>
      </c>
      <c r="CP779" s="839"/>
      <c r="CQ779" s="832"/>
      <c r="CR779" s="833" t="str">
        <f t="shared" si="683"/>
        <v>-</v>
      </c>
      <c r="CS779" s="833" t="str">
        <f t="shared" si="684"/>
        <v>-</v>
      </c>
      <c r="CT779" s="834" t="str">
        <f t="shared" si="685"/>
        <v>-</v>
      </c>
      <c r="CU779" s="835" t="str">
        <f t="shared" si="686"/>
        <v>-</v>
      </c>
      <c r="CV779" s="839"/>
      <c r="CW779" s="832"/>
      <c r="CX779" s="833" t="str">
        <f t="shared" si="687"/>
        <v>-</v>
      </c>
      <c r="CY779" s="840" t="str">
        <f t="shared" si="688"/>
        <v>-</v>
      </c>
      <c r="CZ779" s="833" t="str">
        <f t="shared" si="689"/>
        <v>-</v>
      </c>
      <c r="DA779" s="838" t="str">
        <f t="shared" ca="1" si="690"/>
        <v>-</v>
      </c>
      <c r="DB779" s="841"/>
      <c r="DC779" s="832"/>
    </row>
    <row r="780" spans="1:107" x14ac:dyDescent="0.25">
      <c r="A780" s="790">
        <v>782</v>
      </c>
      <c r="B780" s="791">
        <f t="shared" ca="1" si="639"/>
        <v>43134</v>
      </c>
      <c r="C780" s="847" t="s">
        <v>3271</v>
      </c>
      <c r="D780" s="59" t="s">
        <v>3324</v>
      </c>
      <c r="E780" s="22" t="s">
        <v>3418</v>
      </c>
      <c r="F780" s="795" t="s">
        <v>3275</v>
      </c>
      <c r="G780" s="845"/>
      <c r="H780" s="797" t="s">
        <v>3236</v>
      </c>
      <c r="I780" s="798">
        <v>42346</v>
      </c>
      <c r="J780" s="799">
        <f t="shared" ca="1" si="640"/>
        <v>2.1589041095890411</v>
      </c>
      <c r="K780" s="799">
        <f t="shared" ca="1" si="641"/>
        <v>26.266666666666666</v>
      </c>
      <c r="L780" s="800">
        <f t="shared" ca="1" si="642"/>
        <v>788</v>
      </c>
      <c r="M780" s="801"/>
      <c r="N780" s="802"/>
      <c r="O780" s="803" t="str">
        <f t="shared" ca="1" si="643"/>
        <v>-</v>
      </c>
      <c r="P780" s="804"/>
      <c r="Q780" s="68" t="s">
        <v>3398</v>
      </c>
      <c r="R780" s="118" t="s">
        <v>3362</v>
      </c>
      <c r="S780" s="807">
        <v>42885</v>
      </c>
      <c r="T780" s="798">
        <v>42885</v>
      </c>
      <c r="U780" s="798" t="str">
        <f t="shared" si="644"/>
        <v>-</v>
      </c>
      <c r="V780" s="804" t="str">
        <f t="shared" ca="1" si="645"/>
        <v>-</v>
      </c>
      <c r="W780" s="808">
        <v>1</v>
      </c>
      <c r="X780" s="794" t="str">
        <f t="shared" si="638"/>
        <v>-</v>
      </c>
      <c r="Y780" s="794">
        <v>1</v>
      </c>
      <c r="Z780" s="809" t="str">
        <f t="shared" ca="1" si="646"/>
        <v>-----</v>
      </c>
      <c r="AA780" s="810" t="str">
        <f t="shared" ca="1" si="647"/>
        <v>-----</v>
      </c>
      <c r="AB780" s="804">
        <v>1</v>
      </c>
      <c r="AC780" s="811" t="str">
        <f t="shared" ca="1" si="648"/>
        <v>-----</v>
      </c>
      <c r="AD780" s="798">
        <v>43029</v>
      </c>
      <c r="AE780" s="794" t="str">
        <f t="shared" ca="1" si="649"/>
        <v>-</v>
      </c>
      <c r="AF780" s="798" t="str">
        <f t="shared" si="650"/>
        <v>-</v>
      </c>
      <c r="AG780" s="812" t="str">
        <f t="shared" si="651"/>
        <v>---------</v>
      </c>
      <c r="AH780" s="807">
        <v>43018</v>
      </c>
      <c r="AI780" s="807" t="str">
        <f t="shared" si="652"/>
        <v>-</v>
      </c>
      <c r="AJ780" s="807" t="str">
        <f t="shared" si="653"/>
        <v>-</v>
      </c>
      <c r="AK780" s="813"/>
      <c r="AL780" s="807">
        <f t="shared" si="654"/>
        <v>43144</v>
      </c>
      <c r="AM780" s="807">
        <f t="shared" si="655"/>
        <v>43165</v>
      </c>
      <c r="AN780" s="814">
        <f t="shared" ca="1" si="656"/>
        <v>-31</v>
      </c>
      <c r="AO780" s="815">
        <v>1</v>
      </c>
      <c r="AP780" s="816" t="str">
        <f t="shared" ca="1" si="657"/>
        <v>-</v>
      </c>
      <c r="AQ780" s="817"/>
      <c r="AR780" s="794" t="str">
        <f t="shared" si="658"/>
        <v>НЕТЕЛЬ</v>
      </c>
      <c r="AS780" s="818"/>
      <c r="AT780" s="794" t="str">
        <f t="shared" si="659"/>
        <v>-</v>
      </c>
      <c r="AU780" s="819"/>
      <c r="AV780" s="820">
        <v>43034</v>
      </c>
      <c r="AW780" s="821">
        <v>4</v>
      </c>
      <c r="AX780" s="821">
        <v>1</v>
      </c>
      <c r="AY780" s="969">
        <f t="shared" ca="1" si="660"/>
        <v>100</v>
      </c>
      <c r="AZ780" s="966" t="str">
        <f t="shared" ca="1" si="661"/>
        <v>-</v>
      </c>
      <c r="BA780" s="971">
        <f t="shared" si="662"/>
        <v>43044</v>
      </c>
      <c r="BB780" s="975">
        <v>43045</v>
      </c>
      <c r="BC780" s="821">
        <v>4</v>
      </c>
      <c r="BD780" s="821">
        <v>4</v>
      </c>
      <c r="BE780" s="963">
        <f t="shared" ca="1" si="663"/>
        <v>89</v>
      </c>
      <c r="BF780" s="984"/>
      <c r="BG780" s="988"/>
      <c r="BH780" s="982"/>
      <c r="BI780" s="991"/>
      <c r="BJ780" s="991"/>
      <c r="BK780" s="993" t="str">
        <f t="shared" si="664"/>
        <v>-</v>
      </c>
      <c r="BL780" s="865"/>
      <c r="BM780" s="821"/>
      <c r="BN780" s="822" t="str">
        <f t="shared" si="665"/>
        <v>-</v>
      </c>
      <c r="BO780" s="823" t="str">
        <f t="shared" si="666"/>
        <v>-</v>
      </c>
      <c r="BP780" s="868"/>
      <c r="BQ780" s="821"/>
      <c r="BR780" s="822" t="str">
        <f t="shared" si="667"/>
        <v>-</v>
      </c>
      <c r="BS780" s="823" t="str">
        <f t="shared" si="668"/>
        <v>-</v>
      </c>
      <c r="BT780" s="825" t="str">
        <f t="shared" ca="1" si="669"/>
        <v>-</v>
      </c>
      <c r="BU780" s="860">
        <v>43022</v>
      </c>
      <c r="BV780" s="827">
        <v>2</v>
      </c>
      <c r="BW780" s="828">
        <f t="shared" si="670"/>
        <v>676</v>
      </c>
      <c r="BX780" s="829">
        <f t="shared" ca="1" si="671"/>
        <v>112</v>
      </c>
      <c r="BY780" s="830" t="str">
        <f t="shared" ca="1" si="672"/>
        <v>-</v>
      </c>
      <c r="BZ780" s="831">
        <v>43029</v>
      </c>
      <c r="CA780" s="832">
        <v>5</v>
      </c>
      <c r="CB780" s="833">
        <f t="shared" ca="1" si="673"/>
        <v>105</v>
      </c>
      <c r="CC780" s="834" t="str">
        <f t="shared" ca="1" si="674"/>
        <v>-</v>
      </c>
      <c r="CD780" s="835">
        <f t="shared" si="675"/>
        <v>43050</v>
      </c>
      <c r="CE780" s="831">
        <v>43050</v>
      </c>
      <c r="CF780" s="832">
        <v>5</v>
      </c>
      <c r="CG780" s="833">
        <f t="shared" ca="1" si="676"/>
        <v>84</v>
      </c>
      <c r="CH780" s="836">
        <f t="shared" si="677"/>
        <v>0</v>
      </c>
      <c r="CI780" s="837" t="str">
        <f t="shared" si="678"/>
        <v>УСПЕШНО</v>
      </c>
      <c r="CJ780" s="838" t="str">
        <f t="shared" ca="1" si="679"/>
        <v>-</v>
      </c>
      <c r="CK780" s="831"/>
      <c r="CL780" s="832"/>
      <c r="CM780" s="833" t="str">
        <f t="shared" si="680"/>
        <v>-</v>
      </c>
      <c r="CN780" s="834" t="str">
        <f t="shared" si="681"/>
        <v>-</v>
      </c>
      <c r="CO780" s="830" t="str">
        <f t="shared" ca="1" si="682"/>
        <v>ТРЕБУЕТСЯ ВАКЦИНАЦИЯ</v>
      </c>
      <c r="CP780" s="839"/>
      <c r="CQ780" s="832"/>
      <c r="CR780" s="833" t="str">
        <f t="shared" si="683"/>
        <v>-</v>
      </c>
      <c r="CS780" s="833" t="str">
        <f t="shared" si="684"/>
        <v>-</v>
      </c>
      <c r="CT780" s="834" t="str">
        <f t="shared" si="685"/>
        <v>-</v>
      </c>
      <c r="CU780" s="835" t="str">
        <f t="shared" si="686"/>
        <v>-</v>
      </c>
      <c r="CV780" s="839"/>
      <c r="CW780" s="832"/>
      <c r="CX780" s="833" t="str">
        <f t="shared" si="687"/>
        <v>-</v>
      </c>
      <c r="CY780" s="840" t="str">
        <f t="shared" si="688"/>
        <v>-</v>
      </c>
      <c r="CZ780" s="833" t="str">
        <f t="shared" si="689"/>
        <v>-</v>
      </c>
      <c r="DA780" s="838" t="str">
        <f t="shared" ca="1" si="690"/>
        <v>-</v>
      </c>
      <c r="DB780" s="841"/>
      <c r="DC780" s="832"/>
    </row>
    <row r="781" spans="1:107" x14ac:dyDescent="0.25">
      <c r="A781" s="790">
        <v>783</v>
      </c>
      <c r="B781" s="791">
        <f t="shared" ca="1" si="639"/>
        <v>43134</v>
      </c>
      <c r="C781" s="847" t="s">
        <v>3271</v>
      </c>
      <c r="D781" s="59" t="s">
        <v>3324</v>
      </c>
      <c r="E781" s="22" t="s">
        <v>3472</v>
      </c>
      <c r="F781" s="795" t="s">
        <v>3258</v>
      </c>
      <c r="G781" s="845"/>
      <c r="H781" s="797" t="s">
        <v>3236</v>
      </c>
      <c r="I781" s="798">
        <v>42418</v>
      </c>
      <c r="J781" s="799">
        <f t="shared" ca="1" si="640"/>
        <v>1.9616438356164383</v>
      </c>
      <c r="K781" s="799">
        <f t="shared" ca="1" si="641"/>
        <v>23.866666666666667</v>
      </c>
      <c r="L781" s="800">
        <f t="shared" ca="1" si="642"/>
        <v>716</v>
      </c>
      <c r="M781" s="801"/>
      <c r="N781" s="802"/>
      <c r="O781" s="803" t="str">
        <f t="shared" ca="1" si="643"/>
        <v>-</v>
      </c>
      <c r="P781" s="804"/>
      <c r="Q781" s="68" t="s">
        <v>3398</v>
      </c>
      <c r="R781" s="118" t="s">
        <v>3379</v>
      </c>
      <c r="S781" s="798">
        <v>42858</v>
      </c>
      <c r="T781" s="798">
        <v>42858</v>
      </c>
      <c r="U781" s="798" t="str">
        <f t="shared" si="644"/>
        <v>-</v>
      </c>
      <c r="V781" s="804" t="str">
        <f t="shared" ca="1" si="645"/>
        <v>-</v>
      </c>
      <c r="W781" s="808">
        <v>1</v>
      </c>
      <c r="X781" s="794" t="str">
        <f t="shared" si="638"/>
        <v>-</v>
      </c>
      <c r="Y781" s="794">
        <v>1</v>
      </c>
      <c r="Z781" s="809" t="str">
        <f t="shared" ca="1" si="646"/>
        <v>-----</v>
      </c>
      <c r="AA781" s="810" t="str">
        <f t="shared" ca="1" si="647"/>
        <v>-----</v>
      </c>
      <c r="AB781" s="804">
        <v>1</v>
      </c>
      <c r="AC781" s="811" t="str">
        <f t="shared" ca="1" si="648"/>
        <v>-----</v>
      </c>
      <c r="AD781" s="798">
        <v>43029</v>
      </c>
      <c r="AE781" s="794" t="str">
        <f t="shared" ca="1" si="649"/>
        <v>-</v>
      </c>
      <c r="AF781" s="798" t="str">
        <f t="shared" si="650"/>
        <v>-</v>
      </c>
      <c r="AG781" s="812" t="str">
        <f t="shared" si="651"/>
        <v>---------</v>
      </c>
      <c r="AH781" s="807">
        <v>43018</v>
      </c>
      <c r="AI781" s="807" t="str">
        <f t="shared" si="652"/>
        <v>-</v>
      </c>
      <c r="AJ781" s="807" t="str">
        <f t="shared" si="653"/>
        <v>-</v>
      </c>
      <c r="AK781" s="813"/>
      <c r="AL781" s="807">
        <f t="shared" si="654"/>
        <v>43117</v>
      </c>
      <c r="AM781" s="807">
        <f t="shared" si="655"/>
        <v>43138</v>
      </c>
      <c r="AN781" s="814">
        <f t="shared" ca="1" si="656"/>
        <v>-4</v>
      </c>
      <c r="AO781" s="815">
        <v>1</v>
      </c>
      <c r="AP781" s="816" t="str">
        <f t="shared" ca="1" si="657"/>
        <v>-</v>
      </c>
      <c r="AQ781" s="817"/>
      <c r="AR781" s="794" t="str">
        <f t="shared" si="658"/>
        <v>НЕТЕЛЬ</v>
      </c>
      <c r="AS781" s="818"/>
      <c r="AT781" s="794" t="str">
        <f t="shared" si="659"/>
        <v>-</v>
      </c>
      <c r="AU781" s="819"/>
      <c r="AV781" s="820">
        <v>43034</v>
      </c>
      <c r="AW781" s="821">
        <v>4</v>
      </c>
      <c r="AX781" s="821">
        <v>1</v>
      </c>
      <c r="AY781" s="969">
        <f t="shared" ca="1" si="660"/>
        <v>100</v>
      </c>
      <c r="AZ781" s="966" t="str">
        <f t="shared" ca="1" si="661"/>
        <v>-</v>
      </c>
      <c r="BA781" s="971">
        <f t="shared" si="662"/>
        <v>43044</v>
      </c>
      <c r="BB781" s="975">
        <v>43045</v>
      </c>
      <c r="BC781" s="821">
        <v>4</v>
      </c>
      <c r="BD781" s="821">
        <v>4</v>
      </c>
      <c r="BE781" s="963">
        <f t="shared" ca="1" si="663"/>
        <v>89</v>
      </c>
      <c r="BF781" s="984"/>
      <c r="BG781" s="988"/>
      <c r="BH781" s="982"/>
      <c r="BI781" s="991"/>
      <c r="BJ781" s="991"/>
      <c r="BK781" s="993" t="str">
        <f t="shared" si="664"/>
        <v>-</v>
      </c>
      <c r="BL781" s="865"/>
      <c r="BM781" s="821"/>
      <c r="BN781" s="822" t="str">
        <f t="shared" si="665"/>
        <v>-</v>
      </c>
      <c r="BO781" s="823" t="str">
        <f t="shared" si="666"/>
        <v>-</v>
      </c>
      <c r="BP781" s="868"/>
      <c r="BQ781" s="821"/>
      <c r="BR781" s="822" t="str">
        <f t="shared" si="667"/>
        <v>-</v>
      </c>
      <c r="BS781" s="823" t="str">
        <f t="shared" si="668"/>
        <v>-</v>
      </c>
      <c r="BT781" s="825" t="str">
        <f t="shared" ca="1" si="669"/>
        <v>-</v>
      </c>
      <c r="BU781" s="860">
        <v>43022</v>
      </c>
      <c r="BV781" s="827">
        <v>2</v>
      </c>
      <c r="BW781" s="828">
        <f t="shared" si="670"/>
        <v>604</v>
      </c>
      <c r="BX781" s="829">
        <f t="shared" ca="1" si="671"/>
        <v>112</v>
      </c>
      <c r="BY781" s="830" t="str">
        <f t="shared" ca="1" si="672"/>
        <v>-</v>
      </c>
      <c r="BZ781" s="831">
        <v>43029</v>
      </c>
      <c r="CA781" s="832">
        <v>5</v>
      </c>
      <c r="CB781" s="833">
        <f t="shared" ca="1" si="673"/>
        <v>105</v>
      </c>
      <c r="CC781" s="834" t="str">
        <f t="shared" ca="1" si="674"/>
        <v>-</v>
      </c>
      <c r="CD781" s="835">
        <f t="shared" si="675"/>
        <v>43050</v>
      </c>
      <c r="CE781" s="831">
        <v>43050</v>
      </c>
      <c r="CF781" s="832">
        <v>5</v>
      </c>
      <c r="CG781" s="833">
        <f t="shared" ca="1" si="676"/>
        <v>84</v>
      </c>
      <c r="CH781" s="836">
        <f t="shared" si="677"/>
        <v>0</v>
      </c>
      <c r="CI781" s="837" t="str">
        <f t="shared" si="678"/>
        <v>УСПЕШНО</v>
      </c>
      <c r="CJ781" s="838" t="str">
        <f t="shared" ca="1" si="679"/>
        <v>-</v>
      </c>
      <c r="CK781" s="831"/>
      <c r="CL781" s="832"/>
      <c r="CM781" s="833" t="str">
        <f t="shared" si="680"/>
        <v>-</v>
      </c>
      <c r="CN781" s="834" t="str">
        <f t="shared" si="681"/>
        <v>-</v>
      </c>
      <c r="CO781" s="830" t="str">
        <f t="shared" ca="1" si="682"/>
        <v>ТРЕБУЕТСЯ ВАКЦИНАЦИЯ</v>
      </c>
      <c r="CP781" s="839"/>
      <c r="CQ781" s="832"/>
      <c r="CR781" s="833" t="str">
        <f t="shared" si="683"/>
        <v>-</v>
      </c>
      <c r="CS781" s="833" t="str">
        <f t="shared" si="684"/>
        <v>-</v>
      </c>
      <c r="CT781" s="834" t="str">
        <f t="shared" si="685"/>
        <v>-</v>
      </c>
      <c r="CU781" s="835" t="str">
        <f t="shared" si="686"/>
        <v>-</v>
      </c>
      <c r="CV781" s="839"/>
      <c r="CW781" s="832"/>
      <c r="CX781" s="833" t="str">
        <f t="shared" si="687"/>
        <v>-</v>
      </c>
      <c r="CY781" s="840" t="str">
        <f t="shared" si="688"/>
        <v>-</v>
      </c>
      <c r="CZ781" s="833" t="str">
        <f t="shared" si="689"/>
        <v>-</v>
      </c>
      <c r="DA781" s="838" t="str">
        <f t="shared" ca="1" si="690"/>
        <v>-</v>
      </c>
      <c r="DB781" s="841"/>
      <c r="DC781" s="832"/>
    </row>
    <row r="782" spans="1:107" x14ac:dyDescent="0.25">
      <c r="A782" s="790">
        <v>784</v>
      </c>
      <c r="B782" s="791">
        <f t="shared" ca="1" si="639"/>
        <v>43134</v>
      </c>
      <c r="C782" s="847" t="s">
        <v>3271</v>
      </c>
      <c r="D782" s="59" t="s">
        <v>3324</v>
      </c>
      <c r="E782" s="22" t="s">
        <v>3441</v>
      </c>
      <c r="F782" s="795" t="s">
        <v>3293</v>
      </c>
      <c r="G782" s="845"/>
      <c r="H782" s="797" t="s">
        <v>3236</v>
      </c>
      <c r="I782" s="798">
        <v>42292</v>
      </c>
      <c r="J782" s="799">
        <f t="shared" ca="1" si="640"/>
        <v>2.3068493150684932</v>
      </c>
      <c r="K782" s="799">
        <f t="shared" ca="1" si="641"/>
        <v>28.066666666666666</v>
      </c>
      <c r="L782" s="800">
        <f t="shared" ca="1" si="642"/>
        <v>842</v>
      </c>
      <c r="M782" s="801"/>
      <c r="N782" s="802"/>
      <c r="O782" s="803" t="str">
        <f t="shared" ca="1" si="643"/>
        <v>-</v>
      </c>
      <c r="P782" s="804"/>
      <c r="Q782" s="68" t="s">
        <v>3398</v>
      </c>
      <c r="R782" s="118" t="s">
        <v>3389</v>
      </c>
      <c r="S782" s="807">
        <v>42879</v>
      </c>
      <c r="T782" s="798">
        <v>42879</v>
      </c>
      <c r="U782" s="798" t="str">
        <f t="shared" si="644"/>
        <v>-</v>
      </c>
      <c r="V782" s="804" t="str">
        <f t="shared" ca="1" si="645"/>
        <v>-</v>
      </c>
      <c r="W782" s="808">
        <v>1</v>
      </c>
      <c r="X782" s="794" t="str">
        <f t="shared" si="638"/>
        <v>-</v>
      </c>
      <c r="Y782" s="794">
        <v>1</v>
      </c>
      <c r="Z782" s="809" t="str">
        <f t="shared" ca="1" si="646"/>
        <v>-----</v>
      </c>
      <c r="AA782" s="810" t="str">
        <f t="shared" ca="1" si="647"/>
        <v>-----</v>
      </c>
      <c r="AB782" s="804">
        <v>1</v>
      </c>
      <c r="AC782" s="811" t="str">
        <f t="shared" ca="1" si="648"/>
        <v>-----</v>
      </c>
      <c r="AD782" s="798">
        <v>43029</v>
      </c>
      <c r="AE782" s="794" t="str">
        <f t="shared" ca="1" si="649"/>
        <v>-</v>
      </c>
      <c r="AF782" s="798" t="str">
        <f t="shared" si="650"/>
        <v>-</v>
      </c>
      <c r="AG782" s="812" t="str">
        <f t="shared" si="651"/>
        <v>---------</v>
      </c>
      <c r="AH782" s="807">
        <v>43018</v>
      </c>
      <c r="AI782" s="807" t="str">
        <f t="shared" si="652"/>
        <v>-</v>
      </c>
      <c r="AJ782" s="807" t="str">
        <f t="shared" si="653"/>
        <v>-</v>
      </c>
      <c r="AK782" s="813"/>
      <c r="AL782" s="807">
        <f t="shared" si="654"/>
        <v>43138</v>
      </c>
      <c r="AM782" s="807">
        <f t="shared" si="655"/>
        <v>43159</v>
      </c>
      <c r="AN782" s="814">
        <f t="shared" ca="1" si="656"/>
        <v>-25</v>
      </c>
      <c r="AO782" s="815">
        <v>1</v>
      </c>
      <c r="AP782" s="816" t="str">
        <f t="shared" ca="1" si="657"/>
        <v>-</v>
      </c>
      <c r="AQ782" s="817"/>
      <c r="AR782" s="794" t="str">
        <f t="shared" si="658"/>
        <v>НЕТЕЛЬ</v>
      </c>
      <c r="AS782" s="818"/>
      <c r="AT782" s="794" t="str">
        <f t="shared" si="659"/>
        <v>-</v>
      </c>
      <c r="AU782" s="819"/>
      <c r="AV782" s="820">
        <v>43034</v>
      </c>
      <c r="AW782" s="821">
        <v>4</v>
      </c>
      <c r="AX782" s="821">
        <v>1</v>
      </c>
      <c r="AY782" s="969">
        <f t="shared" ca="1" si="660"/>
        <v>100</v>
      </c>
      <c r="AZ782" s="966" t="str">
        <f t="shared" ca="1" si="661"/>
        <v>-</v>
      </c>
      <c r="BA782" s="971">
        <f t="shared" si="662"/>
        <v>43044</v>
      </c>
      <c r="BB782" s="975">
        <v>43045</v>
      </c>
      <c r="BC782" s="821">
        <v>4</v>
      </c>
      <c r="BD782" s="821">
        <v>4</v>
      </c>
      <c r="BE782" s="963">
        <f t="shared" ca="1" si="663"/>
        <v>89</v>
      </c>
      <c r="BF782" s="984"/>
      <c r="BG782" s="988"/>
      <c r="BH782" s="982"/>
      <c r="BI782" s="991"/>
      <c r="BJ782" s="991"/>
      <c r="BK782" s="993" t="str">
        <f t="shared" si="664"/>
        <v>-</v>
      </c>
      <c r="BL782" s="865"/>
      <c r="BM782" s="821"/>
      <c r="BN782" s="822" t="str">
        <f t="shared" si="665"/>
        <v>-</v>
      </c>
      <c r="BO782" s="823" t="str">
        <f t="shared" si="666"/>
        <v>-</v>
      </c>
      <c r="BP782" s="868"/>
      <c r="BQ782" s="821"/>
      <c r="BR782" s="822" t="str">
        <f t="shared" si="667"/>
        <v>-</v>
      </c>
      <c r="BS782" s="823" t="str">
        <f t="shared" si="668"/>
        <v>-</v>
      </c>
      <c r="BT782" s="825" t="str">
        <f t="shared" ca="1" si="669"/>
        <v>-</v>
      </c>
      <c r="BU782" s="860">
        <v>43022</v>
      </c>
      <c r="BV782" s="827">
        <v>2</v>
      </c>
      <c r="BW782" s="828">
        <f t="shared" si="670"/>
        <v>730</v>
      </c>
      <c r="BX782" s="829">
        <f t="shared" ca="1" si="671"/>
        <v>112</v>
      </c>
      <c r="BY782" s="830" t="str">
        <f t="shared" ca="1" si="672"/>
        <v>-</v>
      </c>
      <c r="BZ782" s="831">
        <v>43029</v>
      </c>
      <c r="CA782" s="832">
        <v>5</v>
      </c>
      <c r="CB782" s="833">
        <f t="shared" ca="1" si="673"/>
        <v>105</v>
      </c>
      <c r="CC782" s="834" t="str">
        <f t="shared" ca="1" si="674"/>
        <v>-</v>
      </c>
      <c r="CD782" s="835">
        <f t="shared" si="675"/>
        <v>43050</v>
      </c>
      <c r="CE782" s="831">
        <v>43050</v>
      </c>
      <c r="CF782" s="832">
        <v>5</v>
      </c>
      <c r="CG782" s="833">
        <f t="shared" ca="1" si="676"/>
        <v>84</v>
      </c>
      <c r="CH782" s="836">
        <f t="shared" si="677"/>
        <v>0</v>
      </c>
      <c r="CI782" s="837" t="str">
        <f t="shared" si="678"/>
        <v>УСПЕШНО</v>
      </c>
      <c r="CJ782" s="838" t="str">
        <f t="shared" ca="1" si="679"/>
        <v>-</v>
      </c>
      <c r="CK782" s="831"/>
      <c r="CL782" s="832"/>
      <c r="CM782" s="833" t="str">
        <f t="shared" si="680"/>
        <v>-</v>
      </c>
      <c r="CN782" s="834" t="str">
        <f t="shared" si="681"/>
        <v>-</v>
      </c>
      <c r="CO782" s="830" t="str">
        <f t="shared" ca="1" si="682"/>
        <v>ТРЕБУЕТСЯ ВАКЦИНАЦИЯ</v>
      </c>
      <c r="CP782" s="839"/>
      <c r="CQ782" s="832"/>
      <c r="CR782" s="833" t="str">
        <f t="shared" si="683"/>
        <v>-</v>
      </c>
      <c r="CS782" s="833" t="str">
        <f t="shared" si="684"/>
        <v>-</v>
      </c>
      <c r="CT782" s="834" t="str">
        <f t="shared" si="685"/>
        <v>-</v>
      </c>
      <c r="CU782" s="835" t="str">
        <f t="shared" si="686"/>
        <v>-</v>
      </c>
      <c r="CV782" s="839"/>
      <c r="CW782" s="832"/>
      <c r="CX782" s="833" t="str">
        <f t="shared" si="687"/>
        <v>-</v>
      </c>
      <c r="CY782" s="840" t="str">
        <f t="shared" si="688"/>
        <v>-</v>
      </c>
      <c r="CZ782" s="833" t="str">
        <f t="shared" si="689"/>
        <v>-</v>
      </c>
      <c r="DA782" s="838" t="str">
        <f t="shared" ca="1" si="690"/>
        <v>-</v>
      </c>
      <c r="DB782" s="841"/>
      <c r="DC782" s="832"/>
    </row>
    <row r="783" spans="1:107" x14ac:dyDescent="0.25">
      <c r="A783" s="790">
        <v>785</v>
      </c>
      <c r="B783" s="791">
        <f t="shared" ca="1" si="639"/>
        <v>43134</v>
      </c>
      <c r="C783" s="847" t="s">
        <v>3271</v>
      </c>
      <c r="D783" s="59" t="s">
        <v>3324</v>
      </c>
      <c r="E783" s="22" t="s">
        <v>3431</v>
      </c>
      <c r="F783" s="795" t="s">
        <v>3294</v>
      </c>
      <c r="G783" s="845"/>
      <c r="H783" s="797" t="s">
        <v>3236</v>
      </c>
      <c r="I783" s="798">
        <v>42352</v>
      </c>
      <c r="J783" s="799">
        <f t="shared" ca="1" si="640"/>
        <v>2.1424657534246574</v>
      </c>
      <c r="K783" s="799">
        <f t="shared" ca="1" si="641"/>
        <v>26.066666666666666</v>
      </c>
      <c r="L783" s="800">
        <f t="shared" ca="1" si="642"/>
        <v>782</v>
      </c>
      <c r="M783" s="801"/>
      <c r="N783" s="802"/>
      <c r="O783" s="803" t="str">
        <f t="shared" ca="1" si="643"/>
        <v>-</v>
      </c>
      <c r="P783" s="804"/>
      <c r="Q783" s="68" t="s">
        <v>3398</v>
      </c>
      <c r="R783" s="118" t="s">
        <v>3375</v>
      </c>
      <c r="S783" s="807">
        <v>42889</v>
      </c>
      <c r="T783" s="798">
        <v>42889</v>
      </c>
      <c r="U783" s="798" t="str">
        <f t="shared" si="644"/>
        <v>-</v>
      </c>
      <c r="V783" s="804" t="str">
        <f t="shared" ca="1" si="645"/>
        <v>-</v>
      </c>
      <c r="W783" s="808">
        <v>1</v>
      </c>
      <c r="X783" s="794" t="str">
        <f t="shared" si="638"/>
        <v>-</v>
      </c>
      <c r="Y783" s="794">
        <v>1</v>
      </c>
      <c r="Z783" s="809" t="str">
        <f t="shared" ca="1" si="646"/>
        <v>-----</v>
      </c>
      <c r="AA783" s="810" t="str">
        <f t="shared" ca="1" si="647"/>
        <v>-----</v>
      </c>
      <c r="AB783" s="804">
        <v>1</v>
      </c>
      <c r="AC783" s="811" t="str">
        <f t="shared" ca="1" si="648"/>
        <v>-----</v>
      </c>
      <c r="AD783" s="798">
        <v>43029</v>
      </c>
      <c r="AE783" s="794" t="str">
        <f t="shared" ca="1" si="649"/>
        <v>-</v>
      </c>
      <c r="AF783" s="798" t="str">
        <f t="shared" si="650"/>
        <v>-</v>
      </c>
      <c r="AG783" s="812" t="str">
        <f t="shared" si="651"/>
        <v>---------</v>
      </c>
      <c r="AH783" s="807">
        <v>43018</v>
      </c>
      <c r="AI783" s="807" t="str">
        <f t="shared" si="652"/>
        <v>-</v>
      </c>
      <c r="AJ783" s="807" t="str">
        <f t="shared" si="653"/>
        <v>-</v>
      </c>
      <c r="AK783" s="813"/>
      <c r="AL783" s="807">
        <f t="shared" si="654"/>
        <v>43148</v>
      </c>
      <c r="AM783" s="807">
        <f t="shared" si="655"/>
        <v>43169</v>
      </c>
      <c r="AN783" s="814">
        <f t="shared" ca="1" si="656"/>
        <v>-35</v>
      </c>
      <c r="AO783" s="815">
        <v>1</v>
      </c>
      <c r="AP783" s="816" t="str">
        <f t="shared" ca="1" si="657"/>
        <v>-</v>
      </c>
      <c r="AQ783" s="817"/>
      <c r="AR783" s="794" t="str">
        <f t="shared" si="658"/>
        <v>НЕТЕЛЬ</v>
      </c>
      <c r="AS783" s="818"/>
      <c r="AT783" s="794" t="str">
        <f t="shared" si="659"/>
        <v>-</v>
      </c>
      <c r="AU783" s="819"/>
      <c r="AV783" s="820">
        <v>43034</v>
      </c>
      <c r="AW783" s="821">
        <v>4</v>
      </c>
      <c r="AX783" s="821">
        <v>1</v>
      </c>
      <c r="AY783" s="969">
        <f t="shared" ca="1" si="660"/>
        <v>100</v>
      </c>
      <c r="AZ783" s="966" t="str">
        <f t="shared" ca="1" si="661"/>
        <v>-</v>
      </c>
      <c r="BA783" s="971">
        <f t="shared" si="662"/>
        <v>43044</v>
      </c>
      <c r="BB783" s="975">
        <v>43045</v>
      </c>
      <c r="BC783" s="821">
        <v>4</v>
      </c>
      <c r="BD783" s="821">
        <v>4</v>
      </c>
      <c r="BE783" s="963">
        <f t="shared" ca="1" si="663"/>
        <v>89</v>
      </c>
      <c r="BF783" s="984"/>
      <c r="BG783" s="988"/>
      <c r="BH783" s="982"/>
      <c r="BI783" s="991"/>
      <c r="BJ783" s="991"/>
      <c r="BK783" s="993" t="str">
        <f t="shared" si="664"/>
        <v>-</v>
      </c>
      <c r="BL783" s="865"/>
      <c r="BM783" s="821"/>
      <c r="BN783" s="822" t="str">
        <f t="shared" si="665"/>
        <v>-</v>
      </c>
      <c r="BO783" s="823" t="str">
        <f t="shared" si="666"/>
        <v>-</v>
      </c>
      <c r="BP783" s="868"/>
      <c r="BQ783" s="821"/>
      <c r="BR783" s="822" t="str">
        <f t="shared" si="667"/>
        <v>-</v>
      </c>
      <c r="BS783" s="823" t="str">
        <f t="shared" si="668"/>
        <v>-</v>
      </c>
      <c r="BT783" s="825" t="str">
        <f t="shared" ca="1" si="669"/>
        <v>-</v>
      </c>
      <c r="BU783" s="860">
        <v>43022</v>
      </c>
      <c r="BV783" s="827">
        <v>2</v>
      </c>
      <c r="BW783" s="828">
        <f t="shared" si="670"/>
        <v>670</v>
      </c>
      <c r="BX783" s="829">
        <f t="shared" ca="1" si="671"/>
        <v>112</v>
      </c>
      <c r="BY783" s="830" t="str">
        <f t="shared" ca="1" si="672"/>
        <v>-</v>
      </c>
      <c r="BZ783" s="831">
        <v>43029</v>
      </c>
      <c r="CA783" s="832">
        <v>5</v>
      </c>
      <c r="CB783" s="833">
        <f t="shared" ca="1" si="673"/>
        <v>105</v>
      </c>
      <c r="CC783" s="834" t="str">
        <f t="shared" ca="1" si="674"/>
        <v>-</v>
      </c>
      <c r="CD783" s="835">
        <f t="shared" si="675"/>
        <v>43050</v>
      </c>
      <c r="CE783" s="831">
        <v>43050</v>
      </c>
      <c r="CF783" s="832">
        <v>5</v>
      </c>
      <c r="CG783" s="833">
        <f t="shared" ca="1" si="676"/>
        <v>84</v>
      </c>
      <c r="CH783" s="836">
        <f t="shared" si="677"/>
        <v>0</v>
      </c>
      <c r="CI783" s="837" t="str">
        <f t="shared" si="678"/>
        <v>УСПЕШНО</v>
      </c>
      <c r="CJ783" s="838" t="str">
        <f t="shared" ca="1" si="679"/>
        <v>-</v>
      </c>
      <c r="CK783" s="831"/>
      <c r="CL783" s="832"/>
      <c r="CM783" s="833" t="str">
        <f t="shared" si="680"/>
        <v>-</v>
      </c>
      <c r="CN783" s="834" t="str">
        <f t="shared" si="681"/>
        <v>-</v>
      </c>
      <c r="CO783" s="830" t="str">
        <f t="shared" ca="1" si="682"/>
        <v>ТРЕБУЕТСЯ ВАКЦИНАЦИЯ</v>
      </c>
      <c r="CP783" s="839"/>
      <c r="CQ783" s="832"/>
      <c r="CR783" s="833" t="str">
        <f t="shared" si="683"/>
        <v>-</v>
      </c>
      <c r="CS783" s="833" t="str">
        <f t="shared" si="684"/>
        <v>-</v>
      </c>
      <c r="CT783" s="834" t="str">
        <f t="shared" si="685"/>
        <v>-</v>
      </c>
      <c r="CU783" s="835" t="str">
        <f t="shared" si="686"/>
        <v>-</v>
      </c>
      <c r="CV783" s="839"/>
      <c r="CW783" s="832"/>
      <c r="CX783" s="833" t="str">
        <f t="shared" si="687"/>
        <v>-</v>
      </c>
      <c r="CY783" s="840" t="str">
        <f t="shared" si="688"/>
        <v>-</v>
      </c>
      <c r="CZ783" s="833" t="str">
        <f t="shared" si="689"/>
        <v>-</v>
      </c>
      <c r="DA783" s="838" t="str">
        <f t="shared" ca="1" si="690"/>
        <v>-</v>
      </c>
      <c r="DB783" s="841"/>
      <c r="DC783" s="832"/>
    </row>
    <row r="784" spans="1:107" x14ac:dyDescent="0.25">
      <c r="A784" s="790">
        <v>786</v>
      </c>
      <c r="B784" s="791">
        <f t="shared" ca="1" si="639"/>
        <v>43134</v>
      </c>
      <c r="C784" s="847" t="s">
        <v>3271</v>
      </c>
      <c r="D784" s="59" t="s">
        <v>3324</v>
      </c>
      <c r="E784" s="22" t="s">
        <v>3482</v>
      </c>
      <c r="F784" s="795" t="s">
        <v>3263</v>
      </c>
      <c r="G784" s="845"/>
      <c r="H784" s="797" t="s">
        <v>3236</v>
      </c>
      <c r="I784" s="798">
        <v>42440</v>
      </c>
      <c r="J784" s="799">
        <f t="shared" ca="1" si="640"/>
        <v>1.9013698630136986</v>
      </c>
      <c r="K784" s="799">
        <f t="shared" ca="1" si="641"/>
        <v>23.133333333333333</v>
      </c>
      <c r="L784" s="800">
        <f t="shared" ca="1" si="642"/>
        <v>694</v>
      </c>
      <c r="M784" s="801"/>
      <c r="N784" s="802"/>
      <c r="O784" s="803" t="str">
        <f t="shared" ca="1" si="643"/>
        <v>-</v>
      </c>
      <c r="P784" s="804"/>
      <c r="Q784" s="68" t="s">
        <v>3398</v>
      </c>
      <c r="R784" s="118" t="s">
        <v>3362</v>
      </c>
      <c r="S784" s="798">
        <v>42895</v>
      </c>
      <c r="T784" s="798">
        <v>42895</v>
      </c>
      <c r="U784" s="798" t="str">
        <f t="shared" si="644"/>
        <v>-</v>
      </c>
      <c r="V784" s="804" t="str">
        <f t="shared" ca="1" si="645"/>
        <v>-</v>
      </c>
      <c r="W784" s="808">
        <v>1</v>
      </c>
      <c r="X784" s="794" t="str">
        <f t="shared" si="638"/>
        <v>-</v>
      </c>
      <c r="Y784" s="794">
        <v>1</v>
      </c>
      <c r="Z784" s="809" t="str">
        <f t="shared" ca="1" si="646"/>
        <v>-----</v>
      </c>
      <c r="AA784" s="810" t="str">
        <f t="shared" ca="1" si="647"/>
        <v>-----</v>
      </c>
      <c r="AB784" s="804">
        <v>1</v>
      </c>
      <c r="AC784" s="811" t="str">
        <f t="shared" ca="1" si="648"/>
        <v>-----</v>
      </c>
      <c r="AD784" s="798">
        <v>43029</v>
      </c>
      <c r="AE784" s="794" t="str">
        <f t="shared" ca="1" si="649"/>
        <v>-</v>
      </c>
      <c r="AF784" s="798" t="str">
        <f t="shared" si="650"/>
        <v>-</v>
      </c>
      <c r="AG784" s="812" t="str">
        <f t="shared" si="651"/>
        <v>---------</v>
      </c>
      <c r="AH784" s="807">
        <v>43018</v>
      </c>
      <c r="AI784" s="807" t="str">
        <f t="shared" si="652"/>
        <v>-</v>
      </c>
      <c r="AJ784" s="807" t="str">
        <f t="shared" si="653"/>
        <v>-</v>
      </c>
      <c r="AK784" s="813"/>
      <c r="AL784" s="807">
        <f t="shared" si="654"/>
        <v>43154</v>
      </c>
      <c r="AM784" s="807">
        <f t="shared" si="655"/>
        <v>43175</v>
      </c>
      <c r="AN784" s="814">
        <f t="shared" ca="1" si="656"/>
        <v>-41</v>
      </c>
      <c r="AO784" s="815">
        <v>1</v>
      </c>
      <c r="AP784" s="816" t="str">
        <f t="shared" ca="1" si="657"/>
        <v>-</v>
      </c>
      <c r="AQ784" s="817"/>
      <c r="AR784" s="794" t="str">
        <f t="shared" si="658"/>
        <v>НЕТЕЛЬ</v>
      </c>
      <c r="AS784" s="818"/>
      <c r="AT784" s="794" t="str">
        <f t="shared" si="659"/>
        <v>-</v>
      </c>
      <c r="AU784" s="819"/>
      <c r="AV784" s="820">
        <v>43034</v>
      </c>
      <c r="AW784" s="821">
        <v>4</v>
      </c>
      <c r="AX784" s="821">
        <v>1</v>
      </c>
      <c r="AY784" s="969">
        <f t="shared" ca="1" si="660"/>
        <v>100</v>
      </c>
      <c r="AZ784" s="966" t="str">
        <f t="shared" ca="1" si="661"/>
        <v>-</v>
      </c>
      <c r="BA784" s="971">
        <f t="shared" si="662"/>
        <v>43044</v>
      </c>
      <c r="BB784" s="975">
        <v>43045</v>
      </c>
      <c r="BC784" s="821">
        <v>4</v>
      </c>
      <c r="BD784" s="821">
        <v>4</v>
      </c>
      <c r="BE784" s="963">
        <f t="shared" ca="1" si="663"/>
        <v>89</v>
      </c>
      <c r="BF784" s="984"/>
      <c r="BG784" s="988"/>
      <c r="BH784" s="982"/>
      <c r="BI784" s="991"/>
      <c r="BJ784" s="991"/>
      <c r="BK784" s="993" t="str">
        <f t="shared" si="664"/>
        <v>-</v>
      </c>
      <c r="BL784" s="865"/>
      <c r="BM784" s="821"/>
      <c r="BN784" s="822" t="str">
        <f t="shared" si="665"/>
        <v>-</v>
      </c>
      <c r="BO784" s="823" t="str">
        <f t="shared" si="666"/>
        <v>-</v>
      </c>
      <c r="BP784" s="868"/>
      <c r="BQ784" s="821"/>
      <c r="BR784" s="822" t="str">
        <f t="shared" si="667"/>
        <v>-</v>
      </c>
      <c r="BS784" s="823" t="str">
        <f t="shared" si="668"/>
        <v>-</v>
      </c>
      <c r="BT784" s="825" t="str">
        <f t="shared" ca="1" si="669"/>
        <v>-</v>
      </c>
      <c r="BU784" s="860">
        <v>43022</v>
      </c>
      <c r="BV784" s="827">
        <v>2</v>
      </c>
      <c r="BW784" s="828">
        <f t="shared" si="670"/>
        <v>582</v>
      </c>
      <c r="BX784" s="829">
        <f t="shared" ca="1" si="671"/>
        <v>112</v>
      </c>
      <c r="BY784" s="830" t="str">
        <f t="shared" ca="1" si="672"/>
        <v>-</v>
      </c>
      <c r="BZ784" s="831">
        <v>43029</v>
      </c>
      <c r="CA784" s="832">
        <v>5</v>
      </c>
      <c r="CB784" s="833">
        <f t="shared" ca="1" si="673"/>
        <v>105</v>
      </c>
      <c r="CC784" s="834" t="str">
        <f t="shared" ca="1" si="674"/>
        <v>-</v>
      </c>
      <c r="CD784" s="835">
        <f t="shared" si="675"/>
        <v>43050</v>
      </c>
      <c r="CE784" s="831">
        <v>43050</v>
      </c>
      <c r="CF784" s="832">
        <v>5</v>
      </c>
      <c r="CG784" s="833">
        <f t="shared" ca="1" si="676"/>
        <v>84</v>
      </c>
      <c r="CH784" s="836">
        <f t="shared" si="677"/>
        <v>0</v>
      </c>
      <c r="CI784" s="837" t="str">
        <f t="shared" si="678"/>
        <v>УСПЕШНО</v>
      </c>
      <c r="CJ784" s="838" t="str">
        <f t="shared" ca="1" si="679"/>
        <v>-</v>
      </c>
      <c r="CK784" s="831"/>
      <c r="CL784" s="832"/>
      <c r="CM784" s="833" t="str">
        <f t="shared" si="680"/>
        <v>-</v>
      </c>
      <c r="CN784" s="834" t="str">
        <f t="shared" si="681"/>
        <v>-</v>
      </c>
      <c r="CO784" s="830" t="str">
        <f t="shared" ca="1" si="682"/>
        <v>ТРЕБУЕТСЯ ВАКЦИНАЦИЯ</v>
      </c>
      <c r="CP784" s="839"/>
      <c r="CQ784" s="832"/>
      <c r="CR784" s="833" t="str">
        <f t="shared" si="683"/>
        <v>-</v>
      </c>
      <c r="CS784" s="833" t="str">
        <f t="shared" si="684"/>
        <v>-</v>
      </c>
      <c r="CT784" s="834" t="str">
        <f t="shared" si="685"/>
        <v>-</v>
      </c>
      <c r="CU784" s="835" t="str">
        <f t="shared" si="686"/>
        <v>-</v>
      </c>
      <c r="CV784" s="839"/>
      <c r="CW784" s="832"/>
      <c r="CX784" s="833" t="str">
        <f t="shared" si="687"/>
        <v>-</v>
      </c>
      <c r="CY784" s="840" t="str">
        <f t="shared" si="688"/>
        <v>-</v>
      </c>
      <c r="CZ784" s="833" t="str">
        <f t="shared" si="689"/>
        <v>-</v>
      </c>
      <c r="DA784" s="838" t="str">
        <f t="shared" ca="1" si="690"/>
        <v>-</v>
      </c>
      <c r="DB784" s="841"/>
      <c r="DC784" s="832"/>
    </row>
    <row r="785" spans="1:107" x14ac:dyDescent="0.25">
      <c r="A785" s="790">
        <v>787</v>
      </c>
      <c r="B785" s="791">
        <f t="shared" ca="1" si="639"/>
        <v>43134</v>
      </c>
      <c r="C785" s="847" t="s">
        <v>3271</v>
      </c>
      <c r="D785" s="59" t="s">
        <v>3324</v>
      </c>
      <c r="E785" s="22" t="s">
        <v>3466</v>
      </c>
      <c r="F785" s="795" t="s">
        <v>3264</v>
      </c>
      <c r="G785" s="845"/>
      <c r="H785" s="797" t="s">
        <v>3236</v>
      </c>
      <c r="I785" s="798">
        <v>42445</v>
      </c>
      <c r="J785" s="799">
        <f t="shared" ca="1" si="640"/>
        <v>1.8876712328767122</v>
      </c>
      <c r="K785" s="799">
        <f t="shared" ca="1" si="641"/>
        <v>22.966666666666665</v>
      </c>
      <c r="L785" s="800">
        <f t="shared" ca="1" si="642"/>
        <v>689</v>
      </c>
      <c r="M785" s="801"/>
      <c r="N785" s="802"/>
      <c r="O785" s="803" t="str">
        <f t="shared" ca="1" si="643"/>
        <v>-</v>
      </c>
      <c r="P785" s="804"/>
      <c r="Q785" s="68" t="s">
        <v>3398</v>
      </c>
      <c r="R785" s="118" t="s">
        <v>3376</v>
      </c>
      <c r="S785" s="798">
        <v>42899</v>
      </c>
      <c r="T785" s="798">
        <v>42899</v>
      </c>
      <c r="U785" s="798" t="str">
        <f t="shared" si="644"/>
        <v>-</v>
      </c>
      <c r="V785" s="804" t="str">
        <f t="shared" ca="1" si="645"/>
        <v>-</v>
      </c>
      <c r="W785" s="808">
        <v>1</v>
      </c>
      <c r="X785" s="794" t="str">
        <f t="shared" si="638"/>
        <v>-</v>
      </c>
      <c r="Y785" s="794">
        <v>1</v>
      </c>
      <c r="Z785" s="809" t="str">
        <f t="shared" ca="1" si="646"/>
        <v>-----</v>
      </c>
      <c r="AA785" s="810" t="str">
        <f t="shared" ca="1" si="647"/>
        <v>-----</v>
      </c>
      <c r="AB785" s="804">
        <v>1</v>
      </c>
      <c r="AC785" s="811" t="str">
        <f t="shared" ca="1" si="648"/>
        <v>-----</v>
      </c>
      <c r="AD785" s="798">
        <v>43029</v>
      </c>
      <c r="AE785" s="794" t="str">
        <f t="shared" ca="1" si="649"/>
        <v>-</v>
      </c>
      <c r="AF785" s="798" t="str">
        <f t="shared" si="650"/>
        <v>-</v>
      </c>
      <c r="AG785" s="812" t="str">
        <f t="shared" si="651"/>
        <v>---------</v>
      </c>
      <c r="AH785" s="807">
        <v>43018</v>
      </c>
      <c r="AI785" s="807" t="str">
        <f t="shared" si="652"/>
        <v>-</v>
      </c>
      <c r="AJ785" s="807" t="str">
        <f t="shared" si="653"/>
        <v>-</v>
      </c>
      <c r="AK785" s="813"/>
      <c r="AL785" s="807">
        <f t="shared" si="654"/>
        <v>43158</v>
      </c>
      <c r="AM785" s="807">
        <f t="shared" si="655"/>
        <v>43179</v>
      </c>
      <c r="AN785" s="814">
        <f t="shared" ca="1" si="656"/>
        <v>-45</v>
      </c>
      <c r="AO785" s="815">
        <v>1</v>
      </c>
      <c r="AP785" s="816" t="str">
        <f t="shared" ca="1" si="657"/>
        <v>-</v>
      </c>
      <c r="AQ785" s="817"/>
      <c r="AR785" s="794" t="str">
        <f t="shared" si="658"/>
        <v>НЕТЕЛЬ</v>
      </c>
      <c r="AS785" s="818"/>
      <c r="AT785" s="794" t="str">
        <f t="shared" si="659"/>
        <v>-</v>
      </c>
      <c r="AU785" s="819"/>
      <c r="AV785" s="820">
        <v>43034</v>
      </c>
      <c r="AW785" s="821">
        <v>4</v>
      </c>
      <c r="AX785" s="821">
        <v>1</v>
      </c>
      <c r="AY785" s="969">
        <f t="shared" ca="1" si="660"/>
        <v>100</v>
      </c>
      <c r="AZ785" s="966" t="str">
        <f t="shared" ca="1" si="661"/>
        <v>-</v>
      </c>
      <c r="BA785" s="971">
        <f t="shared" si="662"/>
        <v>43044</v>
      </c>
      <c r="BB785" s="975">
        <v>43045</v>
      </c>
      <c r="BC785" s="821">
        <v>4</v>
      </c>
      <c r="BD785" s="821">
        <v>4</v>
      </c>
      <c r="BE785" s="963">
        <f t="shared" ca="1" si="663"/>
        <v>89</v>
      </c>
      <c r="BF785" s="984"/>
      <c r="BG785" s="988"/>
      <c r="BH785" s="982"/>
      <c r="BI785" s="991"/>
      <c r="BJ785" s="991"/>
      <c r="BK785" s="993" t="str">
        <f t="shared" si="664"/>
        <v>-</v>
      </c>
      <c r="BL785" s="865"/>
      <c r="BM785" s="821"/>
      <c r="BN785" s="822" t="str">
        <f t="shared" si="665"/>
        <v>-</v>
      </c>
      <c r="BO785" s="823" t="str">
        <f t="shared" si="666"/>
        <v>-</v>
      </c>
      <c r="BP785" s="868"/>
      <c r="BQ785" s="821"/>
      <c r="BR785" s="822" t="str">
        <f t="shared" si="667"/>
        <v>-</v>
      </c>
      <c r="BS785" s="823" t="str">
        <f t="shared" si="668"/>
        <v>-</v>
      </c>
      <c r="BT785" s="825" t="str">
        <f t="shared" ca="1" si="669"/>
        <v>-</v>
      </c>
      <c r="BU785" s="860">
        <v>43022</v>
      </c>
      <c r="BV785" s="827">
        <v>2</v>
      </c>
      <c r="BW785" s="828">
        <f t="shared" si="670"/>
        <v>577</v>
      </c>
      <c r="BX785" s="829">
        <f t="shared" ca="1" si="671"/>
        <v>112</v>
      </c>
      <c r="BY785" s="830" t="str">
        <f t="shared" ca="1" si="672"/>
        <v>-</v>
      </c>
      <c r="BZ785" s="831">
        <v>43029</v>
      </c>
      <c r="CA785" s="832">
        <v>5</v>
      </c>
      <c r="CB785" s="833">
        <f t="shared" ca="1" si="673"/>
        <v>105</v>
      </c>
      <c r="CC785" s="834" t="str">
        <f t="shared" ca="1" si="674"/>
        <v>-</v>
      </c>
      <c r="CD785" s="835">
        <f t="shared" si="675"/>
        <v>43050</v>
      </c>
      <c r="CE785" s="831">
        <v>43050</v>
      </c>
      <c r="CF785" s="832">
        <v>5</v>
      </c>
      <c r="CG785" s="833">
        <f t="shared" ca="1" si="676"/>
        <v>84</v>
      </c>
      <c r="CH785" s="836">
        <f t="shared" si="677"/>
        <v>0</v>
      </c>
      <c r="CI785" s="837" t="str">
        <f t="shared" si="678"/>
        <v>УСПЕШНО</v>
      </c>
      <c r="CJ785" s="838" t="str">
        <f t="shared" ca="1" si="679"/>
        <v>-</v>
      </c>
      <c r="CK785" s="831"/>
      <c r="CL785" s="832"/>
      <c r="CM785" s="833" t="str">
        <f t="shared" si="680"/>
        <v>-</v>
      </c>
      <c r="CN785" s="834" t="str">
        <f t="shared" si="681"/>
        <v>-</v>
      </c>
      <c r="CO785" s="830" t="str">
        <f t="shared" ca="1" si="682"/>
        <v>ТРЕБУЕТСЯ ВАКЦИНАЦИЯ</v>
      </c>
      <c r="CP785" s="839"/>
      <c r="CQ785" s="832"/>
      <c r="CR785" s="833" t="str">
        <f t="shared" si="683"/>
        <v>-</v>
      </c>
      <c r="CS785" s="833" t="str">
        <f t="shared" si="684"/>
        <v>-</v>
      </c>
      <c r="CT785" s="834" t="str">
        <f t="shared" si="685"/>
        <v>-</v>
      </c>
      <c r="CU785" s="835" t="str">
        <f t="shared" si="686"/>
        <v>-</v>
      </c>
      <c r="CV785" s="839"/>
      <c r="CW785" s="832"/>
      <c r="CX785" s="833" t="str">
        <f t="shared" si="687"/>
        <v>-</v>
      </c>
      <c r="CY785" s="840" t="str">
        <f t="shared" si="688"/>
        <v>-</v>
      </c>
      <c r="CZ785" s="833" t="str">
        <f t="shared" si="689"/>
        <v>-</v>
      </c>
      <c r="DA785" s="838" t="str">
        <f t="shared" ca="1" si="690"/>
        <v>-</v>
      </c>
      <c r="DB785" s="841"/>
      <c r="DC785" s="832"/>
    </row>
    <row r="786" spans="1:107" x14ac:dyDescent="0.25">
      <c r="A786" s="790">
        <v>789</v>
      </c>
      <c r="B786" s="791">
        <f t="shared" ca="1" si="639"/>
        <v>43134</v>
      </c>
      <c r="C786" s="29" t="s">
        <v>2546</v>
      </c>
      <c r="D786" s="59" t="s">
        <v>1555</v>
      </c>
      <c r="E786" s="22" t="s">
        <v>1557</v>
      </c>
      <c r="F786" s="27" t="s">
        <v>3460</v>
      </c>
      <c r="G786" s="871"/>
      <c r="H786" s="797" t="s">
        <v>603</v>
      </c>
      <c r="I786" s="798">
        <v>43051</v>
      </c>
      <c r="J786" s="799">
        <f t="shared" ca="1" si="640"/>
        <v>0.22739726027397261</v>
      </c>
      <c r="K786" s="799">
        <f t="shared" ca="1" si="641"/>
        <v>2.7666666666666666</v>
      </c>
      <c r="L786" s="800">
        <f t="shared" ca="1" si="642"/>
        <v>83</v>
      </c>
      <c r="M786" s="801"/>
      <c r="N786" s="802"/>
      <c r="O786" s="803" t="str">
        <f t="shared" ca="1" si="643"/>
        <v>-</v>
      </c>
      <c r="P786" s="804"/>
      <c r="Q786" s="805"/>
      <c r="R786" s="806"/>
      <c r="S786" s="807"/>
      <c r="T786" s="798"/>
      <c r="U786" s="798" t="str">
        <f t="shared" si="644"/>
        <v>-</v>
      </c>
      <c r="V786" s="804" t="str">
        <f t="shared" ca="1" si="645"/>
        <v>-</v>
      </c>
      <c r="W786" s="808">
        <v>0</v>
      </c>
      <c r="X786" s="794" t="str">
        <f t="shared" si="638"/>
        <v>-</v>
      </c>
      <c r="Y786" s="794">
        <v>0</v>
      </c>
      <c r="Z786" s="809" t="str">
        <f t="shared" ca="1" si="646"/>
        <v>-----</v>
      </c>
      <c r="AA786" s="810">
        <f t="shared" ca="1" si="647"/>
        <v>43134</v>
      </c>
      <c r="AB786" s="804"/>
      <c r="AC786" s="811" t="str">
        <f t="shared" ca="1" si="648"/>
        <v>-----</v>
      </c>
      <c r="AD786" s="798"/>
      <c r="AE786" s="794" t="str">
        <f t="shared" ca="1" si="649"/>
        <v>-</v>
      </c>
      <c r="AF786" s="798" t="str">
        <f t="shared" si="650"/>
        <v>-</v>
      </c>
      <c r="AG786" s="812" t="str">
        <f t="shared" si="651"/>
        <v>---------</v>
      </c>
      <c r="AH786" s="807"/>
      <c r="AI786" s="807" t="str">
        <f t="shared" si="652"/>
        <v>-</v>
      </c>
      <c r="AJ786" s="807" t="str">
        <f t="shared" si="653"/>
        <v>-</v>
      </c>
      <c r="AK786" s="813"/>
      <c r="AL786" s="807" t="str">
        <f t="shared" si="654"/>
        <v>-</v>
      </c>
      <c r="AM786" s="807" t="str">
        <f t="shared" si="655"/>
        <v>-</v>
      </c>
      <c r="AN786" s="814" t="str">
        <f t="shared" ca="1" si="656"/>
        <v>-</v>
      </c>
      <c r="AO786" s="815"/>
      <c r="AP786" s="816" t="str">
        <f t="shared" ca="1" si="657"/>
        <v>-</v>
      </c>
      <c r="AQ786" s="817"/>
      <c r="AR786" s="794" t="str">
        <f t="shared" si="658"/>
        <v>-</v>
      </c>
      <c r="AS786" s="818"/>
      <c r="AT786" s="794" t="str">
        <f t="shared" si="659"/>
        <v>-</v>
      </c>
      <c r="AU786" s="819"/>
      <c r="AV786" s="865"/>
      <c r="AW786" s="821"/>
      <c r="AX786" s="821"/>
      <c r="AY786" s="969" t="str">
        <f t="shared" si="660"/>
        <v>-</v>
      </c>
      <c r="AZ786" s="966" t="str">
        <f t="shared" si="661"/>
        <v>-</v>
      </c>
      <c r="BA786" s="971" t="str">
        <f t="shared" si="662"/>
        <v>-</v>
      </c>
      <c r="BB786" s="975"/>
      <c r="BC786" s="821"/>
      <c r="BD786" s="821"/>
      <c r="BE786" s="963" t="str">
        <f t="shared" si="663"/>
        <v>-</v>
      </c>
      <c r="BF786" s="984"/>
      <c r="BG786" s="988"/>
      <c r="BH786" s="982"/>
      <c r="BI786" s="991"/>
      <c r="BJ786" s="991"/>
      <c r="BK786" s="993" t="str">
        <f t="shared" si="664"/>
        <v>-</v>
      </c>
      <c r="BL786" s="865"/>
      <c r="BM786" s="821"/>
      <c r="BN786" s="822" t="str">
        <f t="shared" si="665"/>
        <v>-</v>
      </c>
      <c r="BO786" s="823" t="str">
        <f t="shared" si="666"/>
        <v>-</v>
      </c>
      <c r="BP786" s="868"/>
      <c r="BQ786" s="821"/>
      <c r="BR786" s="822" t="str">
        <f t="shared" si="667"/>
        <v>-</v>
      </c>
      <c r="BS786" s="823" t="str">
        <f t="shared" si="668"/>
        <v>-</v>
      </c>
      <c r="BT786" s="825" t="str">
        <f t="shared" ca="1" si="669"/>
        <v>-</v>
      </c>
      <c r="BU786" s="826"/>
      <c r="BV786" s="827"/>
      <c r="BW786" s="828" t="str">
        <f t="shared" si="670"/>
        <v>Ж-Е НЕ ВАКЦ.</v>
      </c>
      <c r="BX786" s="829" t="str">
        <f t="shared" si="671"/>
        <v>-</v>
      </c>
      <c r="BY786" s="830" t="str">
        <f t="shared" ca="1" si="672"/>
        <v>ПОДЛЕЖИТ ВАКЦИНАЦИИ</v>
      </c>
      <c r="BZ786" s="839"/>
      <c r="CA786" s="832"/>
      <c r="CB786" s="833" t="str">
        <f t="shared" si="673"/>
        <v>-</v>
      </c>
      <c r="CC786" s="834" t="str">
        <f t="shared" si="674"/>
        <v>-</v>
      </c>
      <c r="CD786" s="835" t="str">
        <f t="shared" si="675"/>
        <v>-</v>
      </c>
      <c r="CE786" s="839"/>
      <c r="CF786" s="832"/>
      <c r="CG786" s="833" t="str">
        <f t="shared" si="676"/>
        <v>-</v>
      </c>
      <c r="CH786" s="836" t="str">
        <f t="shared" si="677"/>
        <v>-</v>
      </c>
      <c r="CI786" s="837" t="str">
        <f t="shared" si="678"/>
        <v>-</v>
      </c>
      <c r="CJ786" s="838" t="str">
        <f t="shared" si="679"/>
        <v>-</v>
      </c>
      <c r="CK786" s="831"/>
      <c r="CL786" s="832"/>
      <c r="CM786" s="833" t="str">
        <f t="shared" si="680"/>
        <v>-</v>
      </c>
      <c r="CN786" s="834" t="str">
        <f t="shared" si="681"/>
        <v>-</v>
      </c>
      <c r="CO786" s="830" t="str">
        <f t="shared" ca="1" si="682"/>
        <v>-</v>
      </c>
      <c r="CP786" s="839"/>
      <c r="CQ786" s="832"/>
      <c r="CR786" s="833" t="str">
        <f t="shared" si="683"/>
        <v>-</v>
      </c>
      <c r="CS786" s="833" t="str">
        <f t="shared" si="684"/>
        <v>-</v>
      </c>
      <c r="CT786" s="834" t="str">
        <f t="shared" si="685"/>
        <v>-</v>
      </c>
      <c r="CU786" s="835" t="str">
        <f t="shared" si="686"/>
        <v>-</v>
      </c>
      <c r="CV786" s="839"/>
      <c r="CW786" s="832"/>
      <c r="CX786" s="833" t="str">
        <f t="shared" si="687"/>
        <v>-</v>
      </c>
      <c r="CY786" s="840" t="str">
        <f t="shared" si="688"/>
        <v>-</v>
      </c>
      <c r="CZ786" s="833" t="str">
        <f t="shared" si="689"/>
        <v>-</v>
      </c>
      <c r="DA786" s="838" t="str">
        <f t="shared" ca="1" si="690"/>
        <v>-</v>
      </c>
      <c r="DB786" s="841"/>
      <c r="DC786" s="832"/>
    </row>
    <row r="787" spans="1:107" x14ac:dyDescent="0.25">
      <c r="A787" s="790">
        <v>790</v>
      </c>
      <c r="B787" s="791">
        <f t="shared" ca="1" si="639"/>
        <v>43134</v>
      </c>
      <c r="C787" s="29" t="s">
        <v>2546</v>
      </c>
      <c r="D787" s="59" t="s">
        <v>1555</v>
      </c>
      <c r="E787" s="22" t="s">
        <v>1557</v>
      </c>
      <c r="F787" s="27" t="s">
        <v>3461</v>
      </c>
      <c r="G787" s="871"/>
      <c r="H787" s="797" t="s">
        <v>603</v>
      </c>
      <c r="I787" s="798">
        <v>43052</v>
      </c>
      <c r="J787" s="799">
        <f t="shared" ca="1" si="640"/>
        <v>0.22465753424657534</v>
      </c>
      <c r="K787" s="799">
        <f t="shared" ca="1" si="641"/>
        <v>2.7333333333333334</v>
      </c>
      <c r="L787" s="800">
        <f t="shared" ca="1" si="642"/>
        <v>82</v>
      </c>
      <c r="M787" s="801"/>
      <c r="N787" s="802"/>
      <c r="O787" s="803" t="str">
        <f t="shared" ca="1" si="643"/>
        <v>-</v>
      </c>
      <c r="P787" s="804"/>
      <c r="Q787" s="805"/>
      <c r="R787" s="806"/>
      <c r="S787" s="807"/>
      <c r="T787" s="798"/>
      <c r="U787" s="798" t="str">
        <f t="shared" si="644"/>
        <v>-</v>
      </c>
      <c r="V787" s="804" t="str">
        <f t="shared" ca="1" si="645"/>
        <v>-</v>
      </c>
      <c r="W787" s="808">
        <v>0</v>
      </c>
      <c r="X787" s="794" t="str">
        <f t="shared" si="638"/>
        <v>-</v>
      </c>
      <c r="Y787" s="794">
        <v>0</v>
      </c>
      <c r="Z787" s="809" t="str">
        <f t="shared" ca="1" si="646"/>
        <v>-----</v>
      </c>
      <c r="AA787" s="810">
        <f t="shared" ca="1" si="647"/>
        <v>43134</v>
      </c>
      <c r="AB787" s="804"/>
      <c r="AC787" s="811" t="str">
        <f t="shared" ca="1" si="648"/>
        <v>-----</v>
      </c>
      <c r="AD787" s="798"/>
      <c r="AE787" s="794" t="str">
        <f t="shared" ca="1" si="649"/>
        <v>-</v>
      </c>
      <c r="AF787" s="798" t="str">
        <f t="shared" si="650"/>
        <v>-</v>
      </c>
      <c r="AG787" s="812" t="str">
        <f t="shared" si="651"/>
        <v>---------</v>
      </c>
      <c r="AH787" s="807"/>
      <c r="AI787" s="807" t="str">
        <f t="shared" si="652"/>
        <v>-</v>
      </c>
      <c r="AJ787" s="807" t="str">
        <f t="shared" si="653"/>
        <v>-</v>
      </c>
      <c r="AK787" s="813"/>
      <c r="AL787" s="807" t="str">
        <f t="shared" si="654"/>
        <v>-</v>
      </c>
      <c r="AM787" s="807" t="str">
        <f t="shared" si="655"/>
        <v>-</v>
      </c>
      <c r="AN787" s="814" t="str">
        <f t="shared" ca="1" si="656"/>
        <v>-</v>
      </c>
      <c r="AO787" s="815"/>
      <c r="AP787" s="816" t="str">
        <f t="shared" ca="1" si="657"/>
        <v>-</v>
      </c>
      <c r="AQ787" s="817"/>
      <c r="AR787" s="794" t="str">
        <f t="shared" si="658"/>
        <v>-</v>
      </c>
      <c r="AS787" s="818"/>
      <c r="AT787" s="794" t="str">
        <f t="shared" si="659"/>
        <v>-</v>
      </c>
      <c r="AU787" s="819"/>
      <c r="AV787" s="865"/>
      <c r="AW787" s="821"/>
      <c r="AX787" s="821"/>
      <c r="AY787" s="969" t="str">
        <f t="shared" si="660"/>
        <v>-</v>
      </c>
      <c r="AZ787" s="966" t="str">
        <f t="shared" si="661"/>
        <v>-</v>
      </c>
      <c r="BA787" s="971" t="str">
        <f t="shared" si="662"/>
        <v>-</v>
      </c>
      <c r="BB787" s="975"/>
      <c r="BC787" s="821"/>
      <c r="BD787" s="821"/>
      <c r="BE787" s="963" t="str">
        <f t="shared" si="663"/>
        <v>-</v>
      </c>
      <c r="BF787" s="984"/>
      <c r="BG787" s="988"/>
      <c r="BH787" s="982"/>
      <c r="BI787" s="991"/>
      <c r="BJ787" s="991"/>
      <c r="BK787" s="993" t="str">
        <f t="shared" si="664"/>
        <v>-</v>
      </c>
      <c r="BL787" s="865"/>
      <c r="BM787" s="821"/>
      <c r="BN787" s="822" t="str">
        <f t="shared" si="665"/>
        <v>-</v>
      </c>
      <c r="BO787" s="823" t="str">
        <f t="shared" si="666"/>
        <v>-</v>
      </c>
      <c r="BP787" s="868"/>
      <c r="BQ787" s="821"/>
      <c r="BR787" s="822" t="str">
        <f t="shared" si="667"/>
        <v>-</v>
      </c>
      <c r="BS787" s="823" t="str">
        <f t="shared" si="668"/>
        <v>-</v>
      </c>
      <c r="BT787" s="825" t="str">
        <f t="shared" ca="1" si="669"/>
        <v>-</v>
      </c>
      <c r="BU787" s="826"/>
      <c r="BV787" s="827"/>
      <c r="BW787" s="828" t="str">
        <f t="shared" si="670"/>
        <v>Ж-Е НЕ ВАКЦ.</v>
      </c>
      <c r="BX787" s="829" t="str">
        <f t="shared" si="671"/>
        <v>-</v>
      </c>
      <c r="BY787" s="830" t="str">
        <f t="shared" ca="1" si="672"/>
        <v>ПОДЛЕЖИТ ВАКЦИНАЦИИ</v>
      </c>
      <c r="BZ787" s="839"/>
      <c r="CA787" s="832"/>
      <c r="CB787" s="833" t="str">
        <f t="shared" si="673"/>
        <v>-</v>
      </c>
      <c r="CC787" s="834" t="str">
        <f t="shared" si="674"/>
        <v>-</v>
      </c>
      <c r="CD787" s="835" t="str">
        <f t="shared" si="675"/>
        <v>-</v>
      </c>
      <c r="CE787" s="839"/>
      <c r="CF787" s="832"/>
      <c r="CG787" s="833" t="str">
        <f t="shared" si="676"/>
        <v>-</v>
      </c>
      <c r="CH787" s="836" t="str">
        <f t="shared" si="677"/>
        <v>-</v>
      </c>
      <c r="CI787" s="837" t="str">
        <f t="shared" si="678"/>
        <v>-</v>
      </c>
      <c r="CJ787" s="838" t="str">
        <f t="shared" si="679"/>
        <v>-</v>
      </c>
      <c r="CK787" s="831"/>
      <c r="CL787" s="832"/>
      <c r="CM787" s="833" t="str">
        <f t="shared" si="680"/>
        <v>-</v>
      </c>
      <c r="CN787" s="834" t="str">
        <f t="shared" si="681"/>
        <v>-</v>
      </c>
      <c r="CO787" s="830" t="str">
        <f t="shared" ca="1" si="682"/>
        <v>-</v>
      </c>
      <c r="CP787" s="839"/>
      <c r="CQ787" s="832"/>
      <c r="CR787" s="833" t="str">
        <f t="shared" si="683"/>
        <v>-</v>
      </c>
      <c r="CS787" s="833" t="str">
        <f t="shared" si="684"/>
        <v>-</v>
      </c>
      <c r="CT787" s="834" t="str">
        <f t="shared" si="685"/>
        <v>-</v>
      </c>
      <c r="CU787" s="835" t="str">
        <f t="shared" si="686"/>
        <v>-</v>
      </c>
      <c r="CV787" s="839"/>
      <c r="CW787" s="832"/>
      <c r="CX787" s="833" t="str">
        <f t="shared" si="687"/>
        <v>-</v>
      </c>
      <c r="CY787" s="840" t="str">
        <f t="shared" si="688"/>
        <v>-</v>
      </c>
      <c r="CZ787" s="833" t="str">
        <f t="shared" si="689"/>
        <v>-</v>
      </c>
      <c r="DA787" s="838" t="str">
        <f t="shared" ca="1" si="690"/>
        <v>-</v>
      </c>
      <c r="DB787" s="841"/>
      <c r="DC787" s="832"/>
    </row>
    <row r="788" spans="1:107" x14ac:dyDescent="0.25">
      <c r="A788" s="790">
        <v>791</v>
      </c>
      <c r="B788" s="791">
        <f t="shared" ca="1" si="639"/>
        <v>43134</v>
      </c>
      <c r="C788" s="792" t="s">
        <v>2546</v>
      </c>
      <c r="D788" s="793" t="s">
        <v>1555</v>
      </c>
      <c r="E788" s="794" t="s">
        <v>1563</v>
      </c>
      <c r="F788" s="795" t="s">
        <v>3314</v>
      </c>
      <c r="G788" s="845"/>
      <c r="H788" s="797" t="s">
        <v>603</v>
      </c>
      <c r="I788" s="798">
        <v>43020</v>
      </c>
      <c r="J788" s="799">
        <f t="shared" ca="1" si="640"/>
        <v>0.31232876712328766</v>
      </c>
      <c r="K788" s="799">
        <f t="shared" ca="1" si="641"/>
        <v>3.8</v>
      </c>
      <c r="L788" s="800">
        <f t="shared" ca="1" si="642"/>
        <v>114</v>
      </c>
      <c r="M788" s="801"/>
      <c r="N788" s="802"/>
      <c r="O788" s="803" t="str">
        <f t="shared" ca="1" si="643"/>
        <v>-</v>
      </c>
      <c r="P788" s="804"/>
      <c r="Q788" s="805"/>
      <c r="R788" s="806"/>
      <c r="S788" s="807"/>
      <c r="T788" s="798"/>
      <c r="U788" s="798" t="str">
        <f t="shared" si="644"/>
        <v>-</v>
      </c>
      <c r="V788" s="804" t="str">
        <f t="shared" ca="1" si="645"/>
        <v>-</v>
      </c>
      <c r="W788" s="808">
        <v>0</v>
      </c>
      <c r="X788" s="794" t="str">
        <f t="shared" si="638"/>
        <v>-</v>
      </c>
      <c r="Y788" s="794">
        <v>0</v>
      </c>
      <c r="Z788" s="809" t="str">
        <f t="shared" ca="1" si="646"/>
        <v>-----</v>
      </c>
      <c r="AA788" s="810">
        <f t="shared" ca="1" si="647"/>
        <v>43134</v>
      </c>
      <c r="AB788" s="804"/>
      <c r="AC788" s="811" t="str">
        <f t="shared" ca="1" si="648"/>
        <v>-----</v>
      </c>
      <c r="AD788" s="798"/>
      <c r="AE788" s="794" t="str">
        <f t="shared" ca="1" si="649"/>
        <v>-</v>
      </c>
      <c r="AF788" s="798" t="str">
        <f t="shared" si="650"/>
        <v>-</v>
      </c>
      <c r="AG788" s="812" t="str">
        <f t="shared" si="651"/>
        <v>---------</v>
      </c>
      <c r="AH788" s="807"/>
      <c r="AI788" s="807" t="str">
        <f t="shared" si="652"/>
        <v>-</v>
      </c>
      <c r="AJ788" s="807" t="str">
        <f t="shared" si="653"/>
        <v>-</v>
      </c>
      <c r="AK788" s="813"/>
      <c r="AL788" s="807" t="str">
        <f t="shared" si="654"/>
        <v>-</v>
      </c>
      <c r="AM788" s="807" t="str">
        <f t="shared" si="655"/>
        <v>-</v>
      </c>
      <c r="AN788" s="814" t="str">
        <f t="shared" ca="1" si="656"/>
        <v>-</v>
      </c>
      <c r="AO788" s="815">
        <v>1</v>
      </c>
      <c r="AP788" s="816" t="str">
        <f t="shared" ca="1" si="657"/>
        <v>-</v>
      </c>
      <c r="AQ788" s="817"/>
      <c r="AR788" s="794" t="str">
        <f t="shared" si="658"/>
        <v>-</v>
      </c>
      <c r="AS788" s="818"/>
      <c r="AT788" s="794" t="str">
        <f t="shared" si="659"/>
        <v>-</v>
      </c>
      <c r="AU788" s="819"/>
      <c r="AV788" s="865"/>
      <c r="AW788" s="821"/>
      <c r="AX788" s="821"/>
      <c r="AY788" s="969" t="str">
        <f t="shared" si="660"/>
        <v>-</v>
      </c>
      <c r="AZ788" s="966" t="str">
        <f t="shared" si="661"/>
        <v>-</v>
      </c>
      <c r="BA788" s="971" t="str">
        <f t="shared" si="662"/>
        <v>-</v>
      </c>
      <c r="BB788" s="975"/>
      <c r="BC788" s="821"/>
      <c r="BD788" s="821"/>
      <c r="BE788" s="963" t="str">
        <f t="shared" si="663"/>
        <v>-</v>
      </c>
      <c r="BF788" s="984"/>
      <c r="BG788" s="988"/>
      <c r="BH788" s="982"/>
      <c r="BI788" s="991"/>
      <c r="BJ788" s="991"/>
      <c r="BK788" s="993" t="str">
        <f t="shared" si="664"/>
        <v>-</v>
      </c>
      <c r="BL788" s="865"/>
      <c r="BM788" s="821"/>
      <c r="BN788" s="822" t="str">
        <f t="shared" si="665"/>
        <v>-</v>
      </c>
      <c r="BO788" s="823" t="str">
        <f t="shared" si="666"/>
        <v>-</v>
      </c>
      <c r="BP788" s="868"/>
      <c r="BQ788" s="821"/>
      <c r="BR788" s="822" t="str">
        <f t="shared" si="667"/>
        <v>-</v>
      </c>
      <c r="BS788" s="823" t="str">
        <f t="shared" si="668"/>
        <v>-</v>
      </c>
      <c r="BT788" s="825" t="str">
        <f t="shared" ca="1" si="669"/>
        <v>-</v>
      </c>
      <c r="BU788" s="860">
        <v>43045</v>
      </c>
      <c r="BV788" s="827">
        <v>2</v>
      </c>
      <c r="BW788" s="828">
        <f t="shared" si="670"/>
        <v>25</v>
      </c>
      <c r="BX788" s="829">
        <f t="shared" ca="1" si="671"/>
        <v>89</v>
      </c>
      <c r="BY788" s="830" t="str">
        <f t="shared" ca="1" si="672"/>
        <v>ПОДЛЕЖИТ ВАКЦИНАЦИИ</v>
      </c>
      <c r="BZ788" s="839"/>
      <c r="CA788" s="832"/>
      <c r="CB788" s="833" t="str">
        <f t="shared" si="673"/>
        <v>-</v>
      </c>
      <c r="CC788" s="834" t="str">
        <f t="shared" si="674"/>
        <v>-</v>
      </c>
      <c r="CD788" s="835" t="str">
        <f t="shared" si="675"/>
        <v>-</v>
      </c>
      <c r="CE788" s="839"/>
      <c r="CF788" s="832"/>
      <c r="CG788" s="833" t="str">
        <f t="shared" si="676"/>
        <v>-</v>
      </c>
      <c r="CH788" s="836" t="str">
        <f t="shared" si="677"/>
        <v>-</v>
      </c>
      <c r="CI788" s="837" t="str">
        <f t="shared" si="678"/>
        <v>-</v>
      </c>
      <c r="CJ788" s="838" t="str">
        <f t="shared" si="679"/>
        <v>-</v>
      </c>
      <c r="CK788" s="831"/>
      <c r="CL788" s="832"/>
      <c r="CM788" s="833" t="str">
        <f t="shared" si="680"/>
        <v>-</v>
      </c>
      <c r="CN788" s="834" t="str">
        <f t="shared" si="681"/>
        <v>-</v>
      </c>
      <c r="CO788" s="830" t="str">
        <f t="shared" ca="1" si="682"/>
        <v>-</v>
      </c>
      <c r="CP788" s="839"/>
      <c r="CQ788" s="832"/>
      <c r="CR788" s="833" t="str">
        <f t="shared" si="683"/>
        <v>-</v>
      </c>
      <c r="CS788" s="833" t="str">
        <f t="shared" si="684"/>
        <v>-</v>
      </c>
      <c r="CT788" s="834" t="str">
        <f t="shared" si="685"/>
        <v>-</v>
      </c>
      <c r="CU788" s="835" t="str">
        <f t="shared" si="686"/>
        <v>-</v>
      </c>
      <c r="CV788" s="839"/>
      <c r="CW788" s="832"/>
      <c r="CX788" s="833" t="str">
        <f t="shared" si="687"/>
        <v>-</v>
      </c>
      <c r="CY788" s="840" t="str">
        <f t="shared" si="688"/>
        <v>-</v>
      </c>
      <c r="CZ788" s="833" t="str">
        <f t="shared" si="689"/>
        <v>-</v>
      </c>
      <c r="DA788" s="838" t="str">
        <f t="shared" ca="1" si="690"/>
        <v>-</v>
      </c>
      <c r="DB788" s="841"/>
      <c r="DC788" s="832"/>
    </row>
    <row r="789" spans="1:107" x14ac:dyDescent="0.25">
      <c r="A789" s="790">
        <v>792</v>
      </c>
      <c r="B789" s="791">
        <f t="shared" ca="1" si="639"/>
        <v>43134</v>
      </c>
      <c r="C789" s="29" t="s">
        <v>2546</v>
      </c>
      <c r="D789" s="59" t="s">
        <v>1555</v>
      </c>
      <c r="E789" s="22" t="s">
        <v>1563</v>
      </c>
      <c r="F789" s="27" t="s">
        <v>3337</v>
      </c>
      <c r="G789" s="871"/>
      <c r="H789" s="797" t="s">
        <v>603</v>
      </c>
      <c r="I789" s="798">
        <v>43033</v>
      </c>
      <c r="J789" s="799">
        <f t="shared" ca="1" si="640"/>
        <v>0.27671232876712326</v>
      </c>
      <c r="K789" s="799">
        <f t="shared" ca="1" si="641"/>
        <v>3.3666666666666667</v>
      </c>
      <c r="L789" s="800">
        <f t="shared" ca="1" si="642"/>
        <v>101</v>
      </c>
      <c r="M789" s="801"/>
      <c r="N789" s="802"/>
      <c r="O789" s="803" t="str">
        <f t="shared" ca="1" si="643"/>
        <v>-</v>
      </c>
      <c r="P789" s="804"/>
      <c r="Q789" s="805"/>
      <c r="R789" s="806"/>
      <c r="S789" s="807"/>
      <c r="T789" s="798"/>
      <c r="U789" s="798" t="str">
        <f t="shared" si="644"/>
        <v>-</v>
      </c>
      <c r="V789" s="804" t="str">
        <f t="shared" ca="1" si="645"/>
        <v>-</v>
      </c>
      <c r="W789" s="808">
        <v>0</v>
      </c>
      <c r="X789" s="794" t="str">
        <f t="shared" si="638"/>
        <v>-</v>
      </c>
      <c r="Y789" s="794">
        <v>0</v>
      </c>
      <c r="Z789" s="809" t="str">
        <f t="shared" ca="1" si="646"/>
        <v>-----</v>
      </c>
      <c r="AA789" s="810">
        <f t="shared" ca="1" si="647"/>
        <v>43134</v>
      </c>
      <c r="AB789" s="804"/>
      <c r="AC789" s="811" t="str">
        <f t="shared" ca="1" si="648"/>
        <v>-----</v>
      </c>
      <c r="AD789" s="798"/>
      <c r="AE789" s="794" t="str">
        <f t="shared" ca="1" si="649"/>
        <v>-</v>
      </c>
      <c r="AF789" s="798" t="str">
        <f t="shared" si="650"/>
        <v>-</v>
      </c>
      <c r="AG789" s="812" t="str">
        <f t="shared" si="651"/>
        <v>---------</v>
      </c>
      <c r="AH789" s="807"/>
      <c r="AI789" s="807" t="str">
        <f t="shared" si="652"/>
        <v>-</v>
      </c>
      <c r="AJ789" s="807" t="str">
        <f t="shared" si="653"/>
        <v>-</v>
      </c>
      <c r="AK789" s="813"/>
      <c r="AL789" s="807" t="str">
        <f t="shared" si="654"/>
        <v>-</v>
      </c>
      <c r="AM789" s="807" t="str">
        <f t="shared" si="655"/>
        <v>-</v>
      </c>
      <c r="AN789" s="814" t="str">
        <f t="shared" ca="1" si="656"/>
        <v>-</v>
      </c>
      <c r="AO789" s="815">
        <v>1</v>
      </c>
      <c r="AP789" s="816" t="str">
        <f t="shared" ca="1" si="657"/>
        <v>-</v>
      </c>
      <c r="AQ789" s="817"/>
      <c r="AR789" s="794" t="str">
        <f t="shared" si="658"/>
        <v>-</v>
      </c>
      <c r="AS789" s="818"/>
      <c r="AT789" s="794" t="str">
        <f t="shared" si="659"/>
        <v>-</v>
      </c>
      <c r="AU789" s="819"/>
      <c r="AV789" s="865"/>
      <c r="AW789" s="821"/>
      <c r="AX789" s="821"/>
      <c r="AY789" s="969" t="str">
        <f t="shared" si="660"/>
        <v>-</v>
      </c>
      <c r="AZ789" s="966" t="str">
        <f t="shared" si="661"/>
        <v>-</v>
      </c>
      <c r="BA789" s="971" t="str">
        <f t="shared" si="662"/>
        <v>-</v>
      </c>
      <c r="BB789" s="975"/>
      <c r="BC789" s="821"/>
      <c r="BD789" s="821"/>
      <c r="BE789" s="963" t="str">
        <f t="shared" si="663"/>
        <v>-</v>
      </c>
      <c r="BF789" s="984"/>
      <c r="BG789" s="988"/>
      <c r="BH789" s="982"/>
      <c r="BI789" s="991"/>
      <c r="BJ789" s="991"/>
      <c r="BK789" s="993" t="str">
        <f t="shared" si="664"/>
        <v>-</v>
      </c>
      <c r="BL789" s="865"/>
      <c r="BM789" s="821"/>
      <c r="BN789" s="822" t="str">
        <f t="shared" si="665"/>
        <v>-</v>
      </c>
      <c r="BO789" s="823" t="str">
        <f t="shared" si="666"/>
        <v>-</v>
      </c>
      <c r="BP789" s="868"/>
      <c r="BQ789" s="821"/>
      <c r="BR789" s="822" t="str">
        <f t="shared" si="667"/>
        <v>-</v>
      </c>
      <c r="BS789" s="823" t="str">
        <f t="shared" si="668"/>
        <v>-</v>
      </c>
      <c r="BT789" s="825" t="str">
        <f t="shared" ca="1" si="669"/>
        <v>-</v>
      </c>
      <c r="BU789" s="860">
        <v>43045</v>
      </c>
      <c r="BV789" s="827">
        <v>2</v>
      </c>
      <c r="BW789" s="828">
        <f t="shared" si="670"/>
        <v>12</v>
      </c>
      <c r="BX789" s="829">
        <f t="shared" ca="1" si="671"/>
        <v>89</v>
      </c>
      <c r="BY789" s="830" t="str">
        <f t="shared" ca="1" si="672"/>
        <v>ПОДЛЕЖИТ ВАКЦИНАЦИИ</v>
      </c>
      <c r="BZ789" s="839"/>
      <c r="CA789" s="832"/>
      <c r="CB789" s="833" t="str">
        <f t="shared" si="673"/>
        <v>-</v>
      </c>
      <c r="CC789" s="834" t="str">
        <f t="shared" si="674"/>
        <v>-</v>
      </c>
      <c r="CD789" s="835" t="str">
        <f t="shared" si="675"/>
        <v>-</v>
      </c>
      <c r="CE789" s="839"/>
      <c r="CF789" s="832"/>
      <c r="CG789" s="833" t="str">
        <f t="shared" si="676"/>
        <v>-</v>
      </c>
      <c r="CH789" s="836" t="str">
        <f t="shared" si="677"/>
        <v>-</v>
      </c>
      <c r="CI789" s="837" t="str">
        <f t="shared" si="678"/>
        <v>-</v>
      </c>
      <c r="CJ789" s="838" t="str">
        <f t="shared" si="679"/>
        <v>-</v>
      </c>
      <c r="CK789" s="831"/>
      <c r="CL789" s="832"/>
      <c r="CM789" s="833" t="str">
        <f t="shared" si="680"/>
        <v>-</v>
      </c>
      <c r="CN789" s="834" t="str">
        <f t="shared" si="681"/>
        <v>-</v>
      </c>
      <c r="CO789" s="830" t="str">
        <f t="shared" ca="1" si="682"/>
        <v>-</v>
      </c>
      <c r="CP789" s="839"/>
      <c r="CQ789" s="832"/>
      <c r="CR789" s="833" t="str">
        <f t="shared" si="683"/>
        <v>-</v>
      </c>
      <c r="CS789" s="833" t="str">
        <f t="shared" si="684"/>
        <v>-</v>
      </c>
      <c r="CT789" s="834" t="str">
        <f t="shared" si="685"/>
        <v>-</v>
      </c>
      <c r="CU789" s="835" t="str">
        <f t="shared" si="686"/>
        <v>-</v>
      </c>
      <c r="CV789" s="839"/>
      <c r="CW789" s="832"/>
      <c r="CX789" s="833" t="str">
        <f t="shared" si="687"/>
        <v>-</v>
      </c>
      <c r="CY789" s="840" t="str">
        <f t="shared" si="688"/>
        <v>-</v>
      </c>
      <c r="CZ789" s="833" t="str">
        <f t="shared" si="689"/>
        <v>-</v>
      </c>
      <c r="DA789" s="838" t="str">
        <f t="shared" ca="1" si="690"/>
        <v>-</v>
      </c>
      <c r="DB789" s="841"/>
      <c r="DC789" s="832"/>
    </row>
    <row r="790" spans="1:107" x14ac:dyDescent="0.25">
      <c r="A790" s="790">
        <v>793</v>
      </c>
      <c r="B790" s="791">
        <f t="shared" ca="1" si="639"/>
        <v>43134</v>
      </c>
      <c r="C790" s="29" t="s">
        <v>2546</v>
      </c>
      <c r="D790" s="59" t="s">
        <v>1555</v>
      </c>
      <c r="E790" s="22" t="s">
        <v>1563</v>
      </c>
      <c r="F790" s="27" t="s">
        <v>3374</v>
      </c>
      <c r="G790" s="871"/>
      <c r="H790" s="797" t="s">
        <v>603</v>
      </c>
      <c r="I790" s="798">
        <v>43039</v>
      </c>
      <c r="J790" s="799">
        <f t="shared" ca="1" si="640"/>
        <v>0.26027397260273971</v>
      </c>
      <c r="K790" s="799">
        <f t="shared" ca="1" si="641"/>
        <v>3.1666666666666665</v>
      </c>
      <c r="L790" s="800">
        <f t="shared" ca="1" si="642"/>
        <v>95</v>
      </c>
      <c r="M790" s="801"/>
      <c r="N790" s="802"/>
      <c r="O790" s="803" t="str">
        <f t="shared" ca="1" si="643"/>
        <v>-</v>
      </c>
      <c r="P790" s="804"/>
      <c r="Q790" s="805"/>
      <c r="R790" s="806"/>
      <c r="S790" s="807"/>
      <c r="T790" s="798"/>
      <c r="U790" s="798" t="str">
        <f t="shared" si="644"/>
        <v>-</v>
      </c>
      <c r="V790" s="804" t="str">
        <f t="shared" ca="1" si="645"/>
        <v>-</v>
      </c>
      <c r="W790" s="808">
        <v>0</v>
      </c>
      <c r="X790" s="794" t="str">
        <f t="shared" si="638"/>
        <v>-</v>
      </c>
      <c r="Y790" s="794">
        <v>0</v>
      </c>
      <c r="Z790" s="809" t="str">
        <f t="shared" ca="1" si="646"/>
        <v>-----</v>
      </c>
      <c r="AA790" s="810">
        <f t="shared" ca="1" si="647"/>
        <v>43134</v>
      </c>
      <c r="AB790" s="804"/>
      <c r="AC790" s="811" t="str">
        <f t="shared" ca="1" si="648"/>
        <v>-----</v>
      </c>
      <c r="AD790" s="798"/>
      <c r="AE790" s="794" t="str">
        <f t="shared" ca="1" si="649"/>
        <v>-</v>
      </c>
      <c r="AF790" s="798" t="str">
        <f t="shared" si="650"/>
        <v>-</v>
      </c>
      <c r="AG790" s="812" t="str">
        <f t="shared" si="651"/>
        <v>---------</v>
      </c>
      <c r="AH790" s="807"/>
      <c r="AI790" s="807" t="str">
        <f t="shared" si="652"/>
        <v>-</v>
      </c>
      <c r="AJ790" s="807" t="str">
        <f t="shared" si="653"/>
        <v>-</v>
      </c>
      <c r="AK790" s="813"/>
      <c r="AL790" s="807" t="str">
        <f t="shared" si="654"/>
        <v>-</v>
      </c>
      <c r="AM790" s="807" t="str">
        <f t="shared" si="655"/>
        <v>-</v>
      </c>
      <c r="AN790" s="814" t="str">
        <f t="shared" ca="1" si="656"/>
        <v>-</v>
      </c>
      <c r="AO790" s="815">
        <v>1</v>
      </c>
      <c r="AP790" s="816" t="str">
        <f t="shared" ca="1" si="657"/>
        <v>-</v>
      </c>
      <c r="AQ790" s="817"/>
      <c r="AR790" s="794" t="str">
        <f t="shared" si="658"/>
        <v>-</v>
      </c>
      <c r="AS790" s="818"/>
      <c r="AT790" s="794" t="str">
        <f t="shared" si="659"/>
        <v>-</v>
      </c>
      <c r="AU790" s="819"/>
      <c r="AV790" s="865"/>
      <c r="AW790" s="821"/>
      <c r="AX790" s="821"/>
      <c r="AY790" s="969" t="str">
        <f t="shared" si="660"/>
        <v>-</v>
      </c>
      <c r="AZ790" s="966" t="str">
        <f t="shared" si="661"/>
        <v>-</v>
      </c>
      <c r="BA790" s="971" t="str">
        <f t="shared" si="662"/>
        <v>-</v>
      </c>
      <c r="BB790" s="975"/>
      <c r="BC790" s="821"/>
      <c r="BD790" s="821"/>
      <c r="BE790" s="963" t="str">
        <f t="shared" si="663"/>
        <v>-</v>
      </c>
      <c r="BF790" s="984"/>
      <c r="BG790" s="988"/>
      <c r="BH790" s="982"/>
      <c r="BI790" s="991"/>
      <c r="BJ790" s="991"/>
      <c r="BK790" s="993" t="str">
        <f t="shared" si="664"/>
        <v>-</v>
      </c>
      <c r="BL790" s="865"/>
      <c r="BM790" s="821"/>
      <c r="BN790" s="822" t="str">
        <f t="shared" si="665"/>
        <v>-</v>
      </c>
      <c r="BO790" s="823" t="str">
        <f t="shared" si="666"/>
        <v>-</v>
      </c>
      <c r="BP790" s="868"/>
      <c r="BQ790" s="821"/>
      <c r="BR790" s="822" t="str">
        <f t="shared" si="667"/>
        <v>-</v>
      </c>
      <c r="BS790" s="823" t="str">
        <f t="shared" si="668"/>
        <v>-</v>
      </c>
      <c r="BT790" s="825" t="str">
        <f t="shared" ca="1" si="669"/>
        <v>-</v>
      </c>
      <c r="BU790" s="860">
        <v>43053</v>
      </c>
      <c r="BV790" s="827">
        <v>2</v>
      </c>
      <c r="BW790" s="828">
        <f t="shared" si="670"/>
        <v>14</v>
      </c>
      <c r="BX790" s="829">
        <f t="shared" ca="1" si="671"/>
        <v>81</v>
      </c>
      <c r="BY790" s="830" t="str">
        <f t="shared" ca="1" si="672"/>
        <v>ПОДЛЕЖИТ ВАКЦИНАЦИИ</v>
      </c>
      <c r="BZ790" s="839"/>
      <c r="CA790" s="832"/>
      <c r="CB790" s="833" t="str">
        <f t="shared" si="673"/>
        <v>-</v>
      </c>
      <c r="CC790" s="834" t="str">
        <f t="shared" si="674"/>
        <v>-</v>
      </c>
      <c r="CD790" s="835" t="str">
        <f t="shared" si="675"/>
        <v>-</v>
      </c>
      <c r="CE790" s="839"/>
      <c r="CF790" s="832"/>
      <c r="CG790" s="833" t="str">
        <f t="shared" si="676"/>
        <v>-</v>
      </c>
      <c r="CH790" s="836" t="str">
        <f t="shared" si="677"/>
        <v>-</v>
      </c>
      <c r="CI790" s="837" t="str">
        <f t="shared" si="678"/>
        <v>-</v>
      </c>
      <c r="CJ790" s="838" t="str">
        <f t="shared" si="679"/>
        <v>-</v>
      </c>
      <c r="CK790" s="831"/>
      <c r="CL790" s="832"/>
      <c r="CM790" s="833" t="str">
        <f t="shared" si="680"/>
        <v>-</v>
      </c>
      <c r="CN790" s="834" t="str">
        <f t="shared" si="681"/>
        <v>-</v>
      </c>
      <c r="CO790" s="830" t="str">
        <f t="shared" ca="1" si="682"/>
        <v>-</v>
      </c>
      <c r="CP790" s="839"/>
      <c r="CQ790" s="832"/>
      <c r="CR790" s="833" t="str">
        <f t="shared" si="683"/>
        <v>-</v>
      </c>
      <c r="CS790" s="833" t="str">
        <f t="shared" si="684"/>
        <v>-</v>
      </c>
      <c r="CT790" s="834" t="str">
        <f t="shared" si="685"/>
        <v>-</v>
      </c>
      <c r="CU790" s="835" t="str">
        <f t="shared" si="686"/>
        <v>-</v>
      </c>
      <c r="CV790" s="839"/>
      <c r="CW790" s="832"/>
      <c r="CX790" s="833" t="str">
        <f t="shared" si="687"/>
        <v>-</v>
      </c>
      <c r="CY790" s="840" t="str">
        <f t="shared" si="688"/>
        <v>-</v>
      </c>
      <c r="CZ790" s="833" t="str">
        <f t="shared" si="689"/>
        <v>-</v>
      </c>
      <c r="DA790" s="838" t="str">
        <f t="shared" ca="1" si="690"/>
        <v>-</v>
      </c>
      <c r="DB790" s="841"/>
      <c r="DC790" s="832"/>
    </row>
    <row r="791" spans="1:107" x14ac:dyDescent="0.25">
      <c r="A791" s="790">
        <v>794</v>
      </c>
      <c r="B791" s="791">
        <f t="shared" ca="1" si="639"/>
        <v>43134</v>
      </c>
      <c r="C791" s="29" t="s">
        <v>2546</v>
      </c>
      <c r="D791" s="59" t="s">
        <v>1555</v>
      </c>
      <c r="E791" s="22" t="s">
        <v>1563</v>
      </c>
      <c r="F791" s="27" t="s">
        <v>3400</v>
      </c>
      <c r="G791" s="871"/>
      <c r="H791" s="797" t="s">
        <v>603</v>
      </c>
      <c r="I791" s="798">
        <v>43040</v>
      </c>
      <c r="J791" s="799">
        <f t="shared" ca="1" si="640"/>
        <v>0.25753424657534246</v>
      </c>
      <c r="K791" s="799">
        <f t="shared" ca="1" si="641"/>
        <v>3.1333333333333333</v>
      </c>
      <c r="L791" s="800">
        <f t="shared" ca="1" si="642"/>
        <v>94</v>
      </c>
      <c r="M791" s="801"/>
      <c r="N791" s="802"/>
      <c r="O791" s="803" t="str">
        <f t="shared" ca="1" si="643"/>
        <v>-</v>
      </c>
      <c r="P791" s="804"/>
      <c r="Q791" s="805"/>
      <c r="R791" s="806"/>
      <c r="S791" s="807"/>
      <c r="T791" s="798"/>
      <c r="U791" s="798" t="str">
        <f t="shared" si="644"/>
        <v>-</v>
      </c>
      <c r="V791" s="804" t="str">
        <f t="shared" ca="1" si="645"/>
        <v>-</v>
      </c>
      <c r="W791" s="808">
        <v>0</v>
      </c>
      <c r="X791" s="794" t="str">
        <f t="shared" si="638"/>
        <v>-</v>
      </c>
      <c r="Y791" s="794">
        <v>0</v>
      </c>
      <c r="Z791" s="809" t="str">
        <f t="shared" ca="1" si="646"/>
        <v>-----</v>
      </c>
      <c r="AA791" s="810">
        <f t="shared" ca="1" si="647"/>
        <v>43134</v>
      </c>
      <c r="AB791" s="804"/>
      <c r="AC791" s="811" t="str">
        <f t="shared" ca="1" si="648"/>
        <v>-----</v>
      </c>
      <c r="AD791" s="798"/>
      <c r="AE791" s="794" t="str">
        <f t="shared" ca="1" si="649"/>
        <v>-</v>
      </c>
      <c r="AF791" s="798" t="str">
        <f t="shared" si="650"/>
        <v>-</v>
      </c>
      <c r="AG791" s="812" t="str">
        <f t="shared" si="651"/>
        <v>---------</v>
      </c>
      <c r="AH791" s="807"/>
      <c r="AI791" s="807" t="str">
        <f t="shared" si="652"/>
        <v>-</v>
      </c>
      <c r="AJ791" s="807" t="str">
        <f t="shared" si="653"/>
        <v>-</v>
      </c>
      <c r="AK791" s="813"/>
      <c r="AL791" s="807" t="str">
        <f t="shared" si="654"/>
        <v>-</v>
      </c>
      <c r="AM791" s="807" t="str">
        <f t="shared" si="655"/>
        <v>-</v>
      </c>
      <c r="AN791" s="814" t="str">
        <f t="shared" ca="1" si="656"/>
        <v>-</v>
      </c>
      <c r="AO791" s="815">
        <v>1</v>
      </c>
      <c r="AP791" s="816" t="str">
        <f t="shared" ca="1" si="657"/>
        <v>-</v>
      </c>
      <c r="AQ791" s="817"/>
      <c r="AR791" s="794" t="str">
        <f t="shared" si="658"/>
        <v>-</v>
      </c>
      <c r="AS791" s="818"/>
      <c r="AT791" s="794" t="str">
        <f t="shared" si="659"/>
        <v>-</v>
      </c>
      <c r="AU791" s="819"/>
      <c r="AV791" s="865"/>
      <c r="AW791" s="821"/>
      <c r="AX791" s="821"/>
      <c r="AY791" s="969" t="str">
        <f t="shared" si="660"/>
        <v>-</v>
      </c>
      <c r="AZ791" s="966" t="str">
        <f t="shared" si="661"/>
        <v>-</v>
      </c>
      <c r="BA791" s="971" t="str">
        <f t="shared" si="662"/>
        <v>-</v>
      </c>
      <c r="BB791" s="975"/>
      <c r="BC791" s="821"/>
      <c r="BD791" s="821"/>
      <c r="BE791" s="963" t="str">
        <f t="shared" si="663"/>
        <v>-</v>
      </c>
      <c r="BF791" s="984"/>
      <c r="BG791" s="988"/>
      <c r="BH791" s="982"/>
      <c r="BI791" s="991"/>
      <c r="BJ791" s="991"/>
      <c r="BK791" s="993" t="str">
        <f t="shared" si="664"/>
        <v>-</v>
      </c>
      <c r="BL791" s="865"/>
      <c r="BM791" s="821"/>
      <c r="BN791" s="822" t="str">
        <f t="shared" si="665"/>
        <v>-</v>
      </c>
      <c r="BO791" s="823" t="str">
        <f t="shared" si="666"/>
        <v>-</v>
      </c>
      <c r="BP791" s="868"/>
      <c r="BQ791" s="821"/>
      <c r="BR791" s="822" t="str">
        <f t="shared" si="667"/>
        <v>-</v>
      </c>
      <c r="BS791" s="823" t="str">
        <f t="shared" si="668"/>
        <v>-</v>
      </c>
      <c r="BT791" s="825" t="str">
        <f t="shared" ca="1" si="669"/>
        <v>-</v>
      </c>
      <c r="BU791" s="860">
        <v>43053</v>
      </c>
      <c r="BV791" s="827">
        <v>2</v>
      </c>
      <c r="BW791" s="828">
        <f t="shared" si="670"/>
        <v>13</v>
      </c>
      <c r="BX791" s="829">
        <f t="shared" ca="1" si="671"/>
        <v>81</v>
      </c>
      <c r="BY791" s="830" t="str">
        <f t="shared" ca="1" si="672"/>
        <v>ПОДЛЕЖИТ ВАКЦИНАЦИИ</v>
      </c>
      <c r="BZ791" s="839"/>
      <c r="CA791" s="832"/>
      <c r="CB791" s="833" t="str">
        <f t="shared" si="673"/>
        <v>-</v>
      </c>
      <c r="CC791" s="834" t="str">
        <f t="shared" si="674"/>
        <v>-</v>
      </c>
      <c r="CD791" s="835" t="str">
        <f t="shared" si="675"/>
        <v>-</v>
      </c>
      <c r="CE791" s="839"/>
      <c r="CF791" s="832"/>
      <c r="CG791" s="833" t="str">
        <f t="shared" si="676"/>
        <v>-</v>
      </c>
      <c r="CH791" s="836" t="str">
        <f t="shared" si="677"/>
        <v>-</v>
      </c>
      <c r="CI791" s="837" t="str">
        <f t="shared" si="678"/>
        <v>-</v>
      </c>
      <c r="CJ791" s="838" t="str">
        <f t="shared" si="679"/>
        <v>-</v>
      </c>
      <c r="CK791" s="831"/>
      <c r="CL791" s="832"/>
      <c r="CM791" s="833" t="str">
        <f t="shared" si="680"/>
        <v>-</v>
      </c>
      <c r="CN791" s="834" t="str">
        <f t="shared" si="681"/>
        <v>-</v>
      </c>
      <c r="CO791" s="830" t="str">
        <f t="shared" ca="1" si="682"/>
        <v>-</v>
      </c>
      <c r="CP791" s="839"/>
      <c r="CQ791" s="832"/>
      <c r="CR791" s="833" t="str">
        <f t="shared" si="683"/>
        <v>-</v>
      </c>
      <c r="CS791" s="833" t="str">
        <f t="shared" si="684"/>
        <v>-</v>
      </c>
      <c r="CT791" s="834" t="str">
        <f t="shared" si="685"/>
        <v>-</v>
      </c>
      <c r="CU791" s="835" t="str">
        <f t="shared" si="686"/>
        <v>-</v>
      </c>
      <c r="CV791" s="839"/>
      <c r="CW791" s="832"/>
      <c r="CX791" s="833" t="str">
        <f t="shared" si="687"/>
        <v>-</v>
      </c>
      <c r="CY791" s="840" t="str">
        <f t="shared" si="688"/>
        <v>-</v>
      </c>
      <c r="CZ791" s="833" t="str">
        <f t="shared" si="689"/>
        <v>-</v>
      </c>
      <c r="DA791" s="838" t="str">
        <f t="shared" ca="1" si="690"/>
        <v>-</v>
      </c>
      <c r="DB791" s="841"/>
      <c r="DC791" s="832"/>
    </row>
    <row r="792" spans="1:107" x14ac:dyDescent="0.25">
      <c r="A792" s="790">
        <v>795</v>
      </c>
      <c r="B792" s="791">
        <f t="shared" ca="1" si="639"/>
        <v>43134</v>
      </c>
      <c r="C792" s="29" t="s">
        <v>2546</v>
      </c>
      <c r="D792" s="59" t="s">
        <v>1555</v>
      </c>
      <c r="E792" s="22" t="s">
        <v>1563</v>
      </c>
      <c r="F792" s="27" t="s">
        <v>3408</v>
      </c>
      <c r="G792" s="871"/>
      <c r="H792" s="797" t="s">
        <v>603</v>
      </c>
      <c r="I792" s="798">
        <v>43045</v>
      </c>
      <c r="J792" s="799">
        <f t="shared" ca="1" si="640"/>
        <v>0.24383561643835616</v>
      </c>
      <c r="K792" s="799">
        <f t="shared" ca="1" si="641"/>
        <v>2.9666666666666668</v>
      </c>
      <c r="L792" s="800">
        <f t="shared" ca="1" si="642"/>
        <v>89</v>
      </c>
      <c r="M792" s="801"/>
      <c r="N792" s="802"/>
      <c r="O792" s="803" t="str">
        <f t="shared" ca="1" si="643"/>
        <v>-</v>
      </c>
      <c r="P792" s="804"/>
      <c r="Q792" s="805"/>
      <c r="R792" s="806"/>
      <c r="S792" s="807"/>
      <c r="T792" s="798"/>
      <c r="U792" s="798" t="str">
        <f t="shared" si="644"/>
        <v>-</v>
      </c>
      <c r="V792" s="804" t="str">
        <f t="shared" ca="1" si="645"/>
        <v>-</v>
      </c>
      <c r="W792" s="808">
        <v>0</v>
      </c>
      <c r="X792" s="794" t="str">
        <f t="shared" si="638"/>
        <v>-</v>
      </c>
      <c r="Y792" s="794">
        <v>0</v>
      </c>
      <c r="Z792" s="809" t="str">
        <f t="shared" ca="1" si="646"/>
        <v>-----</v>
      </c>
      <c r="AA792" s="810">
        <f t="shared" ca="1" si="647"/>
        <v>43134</v>
      </c>
      <c r="AB792" s="804"/>
      <c r="AC792" s="811" t="str">
        <f t="shared" ca="1" si="648"/>
        <v>-----</v>
      </c>
      <c r="AD792" s="798"/>
      <c r="AE792" s="794" t="str">
        <f t="shared" ca="1" si="649"/>
        <v>-</v>
      </c>
      <c r="AF792" s="798" t="str">
        <f t="shared" si="650"/>
        <v>-</v>
      </c>
      <c r="AG792" s="812" t="str">
        <f t="shared" si="651"/>
        <v>---------</v>
      </c>
      <c r="AH792" s="807"/>
      <c r="AI792" s="807" t="str">
        <f t="shared" si="652"/>
        <v>-</v>
      </c>
      <c r="AJ792" s="807" t="str">
        <f t="shared" si="653"/>
        <v>-</v>
      </c>
      <c r="AK792" s="813"/>
      <c r="AL792" s="807" t="str">
        <f t="shared" si="654"/>
        <v>-</v>
      </c>
      <c r="AM792" s="807" t="str">
        <f t="shared" si="655"/>
        <v>-</v>
      </c>
      <c r="AN792" s="814" t="str">
        <f t="shared" ca="1" si="656"/>
        <v>-</v>
      </c>
      <c r="AO792" s="815">
        <v>1</v>
      </c>
      <c r="AP792" s="816" t="str">
        <f t="shared" ca="1" si="657"/>
        <v>-</v>
      </c>
      <c r="AQ792" s="817"/>
      <c r="AR792" s="794" t="str">
        <f t="shared" si="658"/>
        <v>-</v>
      </c>
      <c r="AS792" s="818"/>
      <c r="AT792" s="794" t="str">
        <f t="shared" si="659"/>
        <v>-</v>
      </c>
      <c r="AU792" s="819"/>
      <c r="AV792" s="865"/>
      <c r="AW792" s="821"/>
      <c r="AX792" s="821"/>
      <c r="AY792" s="969" t="str">
        <f t="shared" si="660"/>
        <v>-</v>
      </c>
      <c r="AZ792" s="966" t="str">
        <f t="shared" si="661"/>
        <v>-</v>
      </c>
      <c r="BA792" s="971" t="str">
        <f t="shared" si="662"/>
        <v>-</v>
      </c>
      <c r="BB792" s="975"/>
      <c r="BC792" s="821"/>
      <c r="BD792" s="821"/>
      <c r="BE792" s="963" t="str">
        <f t="shared" si="663"/>
        <v>-</v>
      </c>
      <c r="BF792" s="984"/>
      <c r="BG792" s="988"/>
      <c r="BH792" s="982"/>
      <c r="BI792" s="991"/>
      <c r="BJ792" s="991"/>
      <c r="BK792" s="993" t="str">
        <f t="shared" si="664"/>
        <v>-</v>
      </c>
      <c r="BL792" s="865"/>
      <c r="BM792" s="821"/>
      <c r="BN792" s="822" t="str">
        <f t="shared" si="665"/>
        <v>-</v>
      </c>
      <c r="BO792" s="823" t="str">
        <f t="shared" si="666"/>
        <v>-</v>
      </c>
      <c r="BP792" s="868"/>
      <c r="BQ792" s="821"/>
      <c r="BR792" s="822" t="str">
        <f t="shared" si="667"/>
        <v>-</v>
      </c>
      <c r="BS792" s="823" t="str">
        <f t="shared" si="668"/>
        <v>-</v>
      </c>
      <c r="BT792" s="825" t="str">
        <f t="shared" ca="1" si="669"/>
        <v>-</v>
      </c>
      <c r="BU792" s="860">
        <v>43053</v>
      </c>
      <c r="BV792" s="827">
        <v>2</v>
      </c>
      <c r="BW792" s="828">
        <f t="shared" si="670"/>
        <v>8</v>
      </c>
      <c r="BX792" s="829">
        <f t="shared" ca="1" si="671"/>
        <v>81</v>
      </c>
      <c r="BY792" s="830" t="str">
        <f t="shared" ca="1" si="672"/>
        <v>ПОДЛЕЖИТ ВАКЦИНАЦИИ</v>
      </c>
      <c r="BZ792" s="839"/>
      <c r="CA792" s="832"/>
      <c r="CB792" s="833" t="str">
        <f t="shared" si="673"/>
        <v>-</v>
      </c>
      <c r="CC792" s="834" t="str">
        <f t="shared" si="674"/>
        <v>-</v>
      </c>
      <c r="CD792" s="835" t="str">
        <f t="shared" si="675"/>
        <v>-</v>
      </c>
      <c r="CE792" s="839"/>
      <c r="CF792" s="832"/>
      <c r="CG792" s="833" t="str">
        <f t="shared" si="676"/>
        <v>-</v>
      </c>
      <c r="CH792" s="836" t="str">
        <f t="shared" si="677"/>
        <v>-</v>
      </c>
      <c r="CI792" s="837" t="str">
        <f t="shared" si="678"/>
        <v>-</v>
      </c>
      <c r="CJ792" s="838" t="str">
        <f t="shared" si="679"/>
        <v>-</v>
      </c>
      <c r="CK792" s="831"/>
      <c r="CL792" s="832"/>
      <c r="CM792" s="833" t="str">
        <f t="shared" si="680"/>
        <v>-</v>
      </c>
      <c r="CN792" s="834" t="str">
        <f t="shared" si="681"/>
        <v>-</v>
      </c>
      <c r="CO792" s="830" t="str">
        <f t="shared" ca="1" si="682"/>
        <v>-</v>
      </c>
      <c r="CP792" s="839"/>
      <c r="CQ792" s="832"/>
      <c r="CR792" s="833" t="str">
        <f t="shared" si="683"/>
        <v>-</v>
      </c>
      <c r="CS792" s="833" t="str">
        <f t="shared" si="684"/>
        <v>-</v>
      </c>
      <c r="CT792" s="834" t="str">
        <f t="shared" si="685"/>
        <v>-</v>
      </c>
      <c r="CU792" s="835" t="str">
        <f t="shared" si="686"/>
        <v>-</v>
      </c>
      <c r="CV792" s="839"/>
      <c r="CW792" s="832"/>
      <c r="CX792" s="833" t="str">
        <f t="shared" si="687"/>
        <v>-</v>
      </c>
      <c r="CY792" s="840" t="str">
        <f t="shared" si="688"/>
        <v>-</v>
      </c>
      <c r="CZ792" s="833" t="str">
        <f t="shared" si="689"/>
        <v>-</v>
      </c>
      <c r="DA792" s="838" t="str">
        <f t="shared" ca="1" si="690"/>
        <v>-</v>
      </c>
      <c r="DB792" s="841"/>
      <c r="DC792" s="832"/>
    </row>
    <row r="793" spans="1:107" x14ac:dyDescent="0.25">
      <c r="A793" s="790">
        <v>796</v>
      </c>
      <c r="B793" s="791">
        <f t="shared" ca="1" si="639"/>
        <v>43134</v>
      </c>
      <c r="C793" s="29" t="s">
        <v>2546</v>
      </c>
      <c r="D793" s="59" t="s">
        <v>1555</v>
      </c>
      <c r="E793" s="22" t="s">
        <v>1563</v>
      </c>
      <c r="F793" s="27" t="s">
        <v>3410</v>
      </c>
      <c r="G793" s="871"/>
      <c r="H793" s="797" t="s">
        <v>603</v>
      </c>
      <c r="I793" s="798">
        <v>43045</v>
      </c>
      <c r="J793" s="799">
        <f t="shared" ca="1" si="640"/>
        <v>0.24383561643835616</v>
      </c>
      <c r="K793" s="799">
        <f t="shared" ca="1" si="641"/>
        <v>2.9666666666666668</v>
      </c>
      <c r="L793" s="800">
        <f t="shared" ca="1" si="642"/>
        <v>89</v>
      </c>
      <c r="M793" s="801"/>
      <c r="N793" s="802"/>
      <c r="O793" s="803" t="str">
        <f t="shared" ca="1" si="643"/>
        <v>-</v>
      </c>
      <c r="P793" s="804"/>
      <c r="Q793" s="805"/>
      <c r="R793" s="806"/>
      <c r="S793" s="807"/>
      <c r="T793" s="798"/>
      <c r="U793" s="798" t="str">
        <f t="shared" si="644"/>
        <v>-</v>
      </c>
      <c r="V793" s="804" t="str">
        <f t="shared" ca="1" si="645"/>
        <v>-</v>
      </c>
      <c r="W793" s="808"/>
      <c r="X793" s="794" t="str">
        <f t="shared" si="638"/>
        <v>-</v>
      </c>
      <c r="Y793" s="794"/>
      <c r="Z793" s="809" t="str">
        <f t="shared" ca="1" si="646"/>
        <v>-----</v>
      </c>
      <c r="AA793" s="810">
        <f t="shared" ca="1" si="647"/>
        <v>43134</v>
      </c>
      <c r="AB793" s="804"/>
      <c r="AC793" s="811" t="str">
        <f t="shared" ca="1" si="648"/>
        <v>-----</v>
      </c>
      <c r="AD793" s="798"/>
      <c r="AE793" s="794" t="str">
        <f t="shared" ca="1" si="649"/>
        <v>-</v>
      </c>
      <c r="AF793" s="798" t="str">
        <f t="shared" si="650"/>
        <v>-</v>
      </c>
      <c r="AG793" s="812" t="str">
        <f t="shared" si="651"/>
        <v>---------</v>
      </c>
      <c r="AH793" s="807"/>
      <c r="AI793" s="807" t="str">
        <f t="shared" si="652"/>
        <v>-</v>
      </c>
      <c r="AJ793" s="807" t="str">
        <f t="shared" si="653"/>
        <v>-</v>
      </c>
      <c r="AK793" s="813"/>
      <c r="AL793" s="807" t="str">
        <f t="shared" si="654"/>
        <v>-</v>
      </c>
      <c r="AM793" s="807" t="str">
        <f t="shared" si="655"/>
        <v>-</v>
      </c>
      <c r="AN793" s="814" t="str">
        <f t="shared" ca="1" si="656"/>
        <v>-</v>
      </c>
      <c r="AO793" s="815">
        <v>1</v>
      </c>
      <c r="AP793" s="816" t="str">
        <f t="shared" ca="1" si="657"/>
        <v>-</v>
      </c>
      <c r="AQ793" s="817"/>
      <c r="AR793" s="794" t="str">
        <f t="shared" si="658"/>
        <v>-</v>
      </c>
      <c r="AS793" s="818"/>
      <c r="AT793" s="794" t="str">
        <f t="shared" si="659"/>
        <v>-</v>
      </c>
      <c r="AU793" s="819"/>
      <c r="AV793" s="865"/>
      <c r="AW793" s="821"/>
      <c r="AX793" s="821"/>
      <c r="AY793" s="969" t="str">
        <f t="shared" si="660"/>
        <v>-</v>
      </c>
      <c r="AZ793" s="966" t="str">
        <f t="shared" si="661"/>
        <v>-</v>
      </c>
      <c r="BA793" s="971" t="str">
        <f t="shared" si="662"/>
        <v>-</v>
      </c>
      <c r="BB793" s="975"/>
      <c r="BC793" s="821"/>
      <c r="BD793" s="821"/>
      <c r="BE793" s="963" t="str">
        <f t="shared" si="663"/>
        <v>-</v>
      </c>
      <c r="BF793" s="984"/>
      <c r="BG793" s="988"/>
      <c r="BH793" s="982"/>
      <c r="BI793" s="991"/>
      <c r="BJ793" s="991"/>
      <c r="BK793" s="993" t="str">
        <f t="shared" si="664"/>
        <v>-</v>
      </c>
      <c r="BL793" s="865"/>
      <c r="BM793" s="821"/>
      <c r="BN793" s="822" t="str">
        <f t="shared" si="665"/>
        <v>-</v>
      </c>
      <c r="BO793" s="823" t="str">
        <f t="shared" si="666"/>
        <v>-</v>
      </c>
      <c r="BP793" s="868"/>
      <c r="BQ793" s="821"/>
      <c r="BR793" s="822" t="str">
        <f t="shared" si="667"/>
        <v>-</v>
      </c>
      <c r="BS793" s="823" t="str">
        <f t="shared" si="668"/>
        <v>-</v>
      </c>
      <c r="BT793" s="825" t="str">
        <f t="shared" ca="1" si="669"/>
        <v>-</v>
      </c>
      <c r="BU793" s="860">
        <v>43053</v>
      </c>
      <c r="BV793" s="827">
        <v>2</v>
      </c>
      <c r="BW793" s="828">
        <f t="shared" si="670"/>
        <v>8</v>
      </c>
      <c r="BX793" s="829">
        <f t="shared" ca="1" si="671"/>
        <v>81</v>
      </c>
      <c r="BY793" s="830" t="str">
        <f t="shared" ca="1" si="672"/>
        <v>ПОДЛЕЖИТ ВАКЦИНАЦИИ</v>
      </c>
      <c r="BZ793" s="839"/>
      <c r="CA793" s="832"/>
      <c r="CB793" s="833" t="str">
        <f t="shared" si="673"/>
        <v>-</v>
      </c>
      <c r="CC793" s="834" t="str">
        <f t="shared" si="674"/>
        <v>-</v>
      </c>
      <c r="CD793" s="835" t="str">
        <f t="shared" si="675"/>
        <v>-</v>
      </c>
      <c r="CE793" s="839"/>
      <c r="CF793" s="832"/>
      <c r="CG793" s="833" t="str">
        <f t="shared" si="676"/>
        <v>-</v>
      </c>
      <c r="CH793" s="836" t="str">
        <f t="shared" si="677"/>
        <v>-</v>
      </c>
      <c r="CI793" s="837" t="str">
        <f t="shared" si="678"/>
        <v>-</v>
      </c>
      <c r="CJ793" s="838" t="str">
        <f t="shared" si="679"/>
        <v>-</v>
      </c>
      <c r="CK793" s="831"/>
      <c r="CL793" s="832"/>
      <c r="CM793" s="833" t="str">
        <f t="shared" si="680"/>
        <v>-</v>
      </c>
      <c r="CN793" s="834" t="str">
        <f t="shared" si="681"/>
        <v>-</v>
      </c>
      <c r="CO793" s="830" t="str">
        <f t="shared" ca="1" si="682"/>
        <v>-</v>
      </c>
      <c r="CP793" s="839"/>
      <c r="CQ793" s="832"/>
      <c r="CR793" s="833" t="str">
        <f t="shared" si="683"/>
        <v>-</v>
      </c>
      <c r="CS793" s="833" t="str">
        <f t="shared" si="684"/>
        <v>-</v>
      </c>
      <c r="CT793" s="834" t="str">
        <f t="shared" si="685"/>
        <v>-</v>
      </c>
      <c r="CU793" s="835" t="str">
        <f t="shared" si="686"/>
        <v>-</v>
      </c>
      <c r="CV793" s="839"/>
      <c r="CW793" s="832"/>
      <c r="CX793" s="833" t="str">
        <f t="shared" si="687"/>
        <v>-</v>
      </c>
      <c r="CY793" s="840" t="str">
        <f t="shared" si="688"/>
        <v>-</v>
      </c>
      <c r="CZ793" s="833" t="str">
        <f t="shared" si="689"/>
        <v>-</v>
      </c>
      <c r="DA793" s="838" t="str">
        <f t="shared" ca="1" si="690"/>
        <v>-</v>
      </c>
      <c r="DB793" s="841"/>
      <c r="DC793" s="832"/>
    </row>
    <row r="794" spans="1:107" x14ac:dyDescent="0.25">
      <c r="A794" s="790">
        <v>797</v>
      </c>
      <c r="B794" s="791">
        <f t="shared" ca="1" si="639"/>
        <v>43134</v>
      </c>
      <c r="C794" s="29" t="s">
        <v>2546</v>
      </c>
      <c r="D794" s="59" t="s">
        <v>1555</v>
      </c>
      <c r="E794" s="22" t="s">
        <v>1563</v>
      </c>
      <c r="F794" s="27" t="s">
        <v>3417</v>
      </c>
      <c r="G794" s="871"/>
      <c r="H794" s="797" t="s">
        <v>603</v>
      </c>
      <c r="I794" s="798">
        <v>43046</v>
      </c>
      <c r="J794" s="799">
        <f t="shared" ca="1" si="640"/>
        <v>0.24109589041095891</v>
      </c>
      <c r="K794" s="799">
        <f t="shared" ca="1" si="641"/>
        <v>2.9333333333333331</v>
      </c>
      <c r="L794" s="800">
        <f t="shared" ca="1" si="642"/>
        <v>88</v>
      </c>
      <c r="M794" s="801"/>
      <c r="N794" s="802"/>
      <c r="O794" s="803" t="str">
        <f t="shared" ca="1" si="643"/>
        <v>-</v>
      </c>
      <c r="P794" s="804"/>
      <c r="Q794" s="805"/>
      <c r="R794" s="806"/>
      <c r="S794" s="807"/>
      <c r="T794" s="798"/>
      <c r="U794" s="798" t="str">
        <f t="shared" si="644"/>
        <v>-</v>
      </c>
      <c r="V794" s="804" t="str">
        <f t="shared" ca="1" si="645"/>
        <v>-</v>
      </c>
      <c r="W794" s="808"/>
      <c r="X794" s="794" t="str">
        <f t="shared" si="638"/>
        <v>-</v>
      </c>
      <c r="Y794" s="794"/>
      <c r="Z794" s="809" t="str">
        <f t="shared" ca="1" si="646"/>
        <v>-----</v>
      </c>
      <c r="AA794" s="810">
        <f t="shared" ca="1" si="647"/>
        <v>43134</v>
      </c>
      <c r="AB794" s="804"/>
      <c r="AC794" s="811" t="str">
        <f t="shared" ca="1" si="648"/>
        <v>-----</v>
      </c>
      <c r="AD794" s="798"/>
      <c r="AE794" s="794" t="str">
        <f t="shared" ca="1" si="649"/>
        <v>-</v>
      </c>
      <c r="AF794" s="798" t="str">
        <f t="shared" si="650"/>
        <v>-</v>
      </c>
      <c r="AG794" s="812" t="str">
        <f t="shared" si="651"/>
        <v>---------</v>
      </c>
      <c r="AH794" s="807"/>
      <c r="AI794" s="807" t="str">
        <f t="shared" si="652"/>
        <v>-</v>
      </c>
      <c r="AJ794" s="807" t="str">
        <f t="shared" si="653"/>
        <v>-</v>
      </c>
      <c r="AK794" s="813"/>
      <c r="AL794" s="807" t="str">
        <f t="shared" si="654"/>
        <v>-</v>
      </c>
      <c r="AM794" s="807" t="str">
        <f t="shared" si="655"/>
        <v>-</v>
      </c>
      <c r="AN794" s="814" t="str">
        <f t="shared" ca="1" si="656"/>
        <v>-</v>
      </c>
      <c r="AO794" s="815">
        <v>1</v>
      </c>
      <c r="AP794" s="816" t="str">
        <f t="shared" ca="1" si="657"/>
        <v>-</v>
      </c>
      <c r="AQ794" s="817"/>
      <c r="AR794" s="794" t="str">
        <f t="shared" si="658"/>
        <v>-</v>
      </c>
      <c r="AS794" s="818"/>
      <c r="AT794" s="794" t="str">
        <f t="shared" si="659"/>
        <v>-</v>
      </c>
      <c r="AU794" s="819"/>
      <c r="AV794" s="865"/>
      <c r="AW794" s="821"/>
      <c r="AX794" s="821"/>
      <c r="AY794" s="969" t="str">
        <f t="shared" si="660"/>
        <v>-</v>
      </c>
      <c r="AZ794" s="966" t="str">
        <f t="shared" si="661"/>
        <v>-</v>
      </c>
      <c r="BA794" s="971" t="str">
        <f t="shared" si="662"/>
        <v>-</v>
      </c>
      <c r="BB794" s="975"/>
      <c r="BC794" s="821"/>
      <c r="BD794" s="821"/>
      <c r="BE794" s="963" t="str">
        <f t="shared" si="663"/>
        <v>-</v>
      </c>
      <c r="BF794" s="984"/>
      <c r="BG794" s="988"/>
      <c r="BH794" s="982"/>
      <c r="BI794" s="991"/>
      <c r="BJ794" s="991"/>
      <c r="BK794" s="993" t="str">
        <f t="shared" si="664"/>
        <v>-</v>
      </c>
      <c r="BL794" s="865"/>
      <c r="BM794" s="821"/>
      <c r="BN794" s="822" t="str">
        <f t="shared" si="665"/>
        <v>-</v>
      </c>
      <c r="BO794" s="823" t="str">
        <f t="shared" si="666"/>
        <v>-</v>
      </c>
      <c r="BP794" s="868"/>
      <c r="BQ794" s="821"/>
      <c r="BR794" s="822" t="str">
        <f t="shared" si="667"/>
        <v>-</v>
      </c>
      <c r="BS794" s="823" t="str">
        <f t="shared" si="668"/>
        <v>-</v>
      </c>
      <c r="BT794" s="825" t="str">
        <f t="shared" ca="1" si="669"/>
        <v>-</v>
      </c>
      <c r="BU794" s="860">
        <v>43053</v>
      </c>
      <c r="BV794" s="827">
        <v>2</v>
      </c>
      <c r="BW794" s="828">
        <f t="shared" si="670"/>
        <v>7</v>
      </c>
      <c r="BX794" s="829">
        <f t="shared" ca="1" si="671"/>
        <v>81</v>
      </c>
      <c r="BY794" s="830" t="str">
        <f t="shared" ca="1" si="672"/>
        <v>ПОДЛЕЖИТ ВАКЦИНАЦИИ</v>
      </c>
      <c r="BZ794" s="839"/>
      <c r="CA794" s="832"/>
      <c r="CB794" s="833" t="str">
        <f t="shared" si="673"/>
        <v>-</v>
      </c>
      <c r="CC794" s="834" t="str">
        <f t="shared" si="674"/>
        <v>-</v>
      </c>
      <c r="CD794" s="835" t="str">
        <f t="shared" si="675"/>
        <v>-</v>
      </c>
      <c r="CE794" s="839"/>
      <c r="CF794" s="832"/>
      <c r="CG794" s="833" t="str">
        <f t="shared" si="676"/>
        <v>-</v>
      </c>
      <c r="CH794" s="836" t="str">
        <f t="shared" si="677"/>
        <v>-</v>
      </c>
      <c r="CI794" s="837" t="str">
        <f t="shared" si="678"/>
        <v>-</v>
      </c>
      <c r="CJ794" s="838" t="str">
        <f t="shared" si="679"/>
        <v>-</v>
      </c>
      <c r="CK794" s="831"/>
      <c r="CL794" s="832"/>
      <c r="CM794" s="833" t="str">
        <f t="shared" si="680"/>
        <v>-</v>
      </c>
      <c r="CN794" s="834" t="str">
        <f t="shared" si="681"/>
        <v>-</v>
      </c>
      <c r="CO794" s="830" t="str">
        <f t="shared" ca="1" si="682"/>
        <v>-</v>
      </c>
      <c r="CP794" s="839"/>
      <c r="CQ794" s="832"/>
      <c r="CR794" s="833" t="str">
        <f t="shared" si="683"/>
        <v>-</v>
      </c>
      <c r="CS794" s="833" t="str">
        <f t="shared" si="684"/>
        <v>-</v>
      </c>
      <c r="CT794" s="834" t="str">
        <f t="shared" si="685"/>
        <v>-</v>
      </c>
      <c r="CU794" s="835" t="str">
        <f t="shared" si="686"/>
        <v>-</v>
      </c>
      <c r="CV794" s="839"/>
      <c r="CW794" s="832"/>
      <c r="CX794" s="833" t="str">
        <f t="shared" si="687"/>
        <v>-</v>
      </c>
      <c r="CY794" s="840" t="str">
        <f t="shared" si="688"/>
        <v>-</v>
      </c>
      <c r="CZ794" s="833" t="str">
        <f t="shared" si="689"/>
        <v>-</v>
      </c>
      <c r="DA794" s="838" t="str">
        <f t="shared" ca="1" si="690"/>
        <v>-</v>
      </c>
      <c r="DB794" s="841"/>
      <c r="DC794" s="832"/>
    </row>
    <row r="795" spans="1:107" x14ac:dyDescent="0.25">
      <c r="A795" s="790">
        <v>798</v>
      </c>
      <c r="B795" s="791">
        <f t="shared" ca="1" si="639"/>
        <v>43134</v>
      </c>
      <c r="C795" s="29" t="s">
        <v>2546</v>
      </c>
      <c r="D795" s="59" t="s">
        <v>1555</v>
      </c>
      <c r="E795" s="794" t="s">
        <v>1563</v>
      </c>
      <c r="F795" s="27" t="s">
        <v>3452</v>
      </c>
      <c r="G795" s="871"/>
      <c r="H795" s="797" t="s">
        <v>603</v>
      </c>
      <c r="I795" s="798">
        <v>43048</v>
      </c>
      <c r="J795" s="799">
        <f t="shared" ca="1" si="640"/>
        <v>0.23561643835616439</v>
      </c>
      <c r="K795" s="799">
        <f t="shared" ca="1" si="641"/>
        <v>2.8666666666666667</v>
      </c>
      <c r="L795" s="800">
        <f t="shared" ca="1" si="642"/>
        <v>86</v>
      </c>
      <c r="M795" s="801"/>
      <c r="N795" s="802"/>
      <c r="O795" s="803" t="str">
        <f t="shared" ca="1" si="643"/>
        <v>-</v>
      </c>
      <c r="P795" s="804"/>
      <c r="Q795" s="805"/>
      <c r="R795" s="806"/>
      <c r="S795" s="807"/>
      <c r="T795" s="798"/>
      <c r="U795" s="798" t="str">
        <f t="shared" si="644"/>
        <v>-</v>
      </c>
      <c r="V795" s="804" t="str">
        <f t="shared" ca="1" si="645"/>
        <v>-</v>
      </c>
      <c r="W795" s="808"/>
      <c r="X795" s="794" t="str">
        <f t="shared" si="638"/>
        <v>-</v>
      </c>
      <c r="Y795" s="794"/>
      <c r="Z795" s="809" t="str">
        <f t="shared" ca="1" si="646"/>
        <v>-----</v>
      </c>
      <c r="AA795" s="810">
        <f t="shared" ca="1" si="647"/>
        <v>43134</v>
      </c>
      <c r="AB795" s="804"/>
      <c r="AC795" s="811" t="str">
        <f t="shared" ca="1" si="648"/>
        <v>-----</v>
      </c>
      <c r="AD795" s="798"/>
      <c r="AE795" s="794" t="str">
        <f t="shared" ca="1" si="649"/>
        <v>-</v>
      </c>
      <c r="AF795" s="798" t="str">
        <f t="shared" si="650"/>
        <v>-</v>
      </c>
      <c r="AG795" s="812" t="str">
        <f t="shared" si="651"/>
        <v>---------</v>
      </c>
      <c r="AH795" s="807"/>
      <c r="AI795" s="807" t="str">
        <f t="shared" si="652"/>
        <v>-</v>
      </c>
      <c r="AJ795" s="807" t="str">
        <f t="shared" si="653"/>
        <v>-</v>
      </c>
      <c r="AK795" s="813"/>
      <c r="AL795" s="807" t="str">
        <f t="shared" si="654"/>
        <v>-</v>
      </c>
      <c r="AM795" s="807" t="str">
        <f t="shared" si="655"/>
        <v>-</v>
      </c>
      <c r="AN795" s="814" t="str">
        <f t="shared" ca="1" si="656"/>
        <v>-</v>
      </c>
      <c r="AO795" s="815">
        <v>1</v>
      </c>
      <c r="AP795" s="816" t="str">
        <f t="shared" ca="1" si="657"/>
        <v>-</v>
      </c>
      <c r="AQ795" s="817"/>
      <c r="AR795" s="794" t="str">
        <f t="shared" si="658"/>
        <v>-</v>
      </c>
      <c r="AS795" s="818"/>
      <c r="AT795" s="794" t="str">
        <f t="shared" si="659"/>
        <v>-</v>
      </c>
      <c r="AU795" s="819"/>
      <c r="AV795" s="865"/>
      <c r="AW795" s="821"/>
      <c r="AX795" s="821"/>
      <c r="AY795" s="969" t="str">
        <f t="shared" si="660"/>
        <v>-</v>
      </c>
      <c r="AZ795" s="966" t="str">
        <f t="shared" si="661"/>
        <v>-</v>
      </c>
      <c r="BA795" s="971" t="str">
        <f t="shared" si="662"/>
        <v>-</v>
      </c>
      <c r="BB795" s="975"/>
      <c r="BC795" s="821"/>
      <c r="BD795" s="821"/>
      <c r="BE795" s="963" t="str">
        <f t="shared" si="663"/>
        <v>-</v>
      </c>
      <c r="BF795" s="984"/>
      <c r="BG795" s="988"/>
      <c r="BH795" s="982"/>
      <c r="BI795" s="991"/>
      <c r="BJ795" s="991"/>
      <c r="BK795" s="993" t="str">
        <f t="shared" si="664"/>
        <v>-</v>
      </c>
      <c r="BL795" s="865"/>
      <c r="BM795" s="821"/>
      <c r="BN795" s="822" t="str">
        <f t="shared" si="665"/>
        <v>-</v>
      </c>
      <c r="BO795" s="823" t="str">
        <f t="shared" si="666"/>
        <v>-</v>
      </c>
      <c r="BP795" s="868"/>
      <c r="BQ795" s="821"/>
      <c r="BR795" s="822" t="str">
        <f t="shared" si="667"/>
        <v>-</v>
      </c>
      <c r="BS795" s="823" t="str">
        <f t="shared" si="668"/>
        <v>-</v>
      </c>
      <c r="BT795" s="825" t="str">
        <f t="shared" ca="1" si="669"/>
        <v>-</v>
      </c>
      <c r="BU795" s="860">
        <v>43053</v>
      </c>
      <c r="BV795" s="827">
        <v>2</v>
      </c>
      <c r="BW795" s="828">
        <f t="shared" si="670"/>
        <v>5</v>
      </c>
      <c r="BX795" s="829">
        <f t="shared" ca="1" si="671"/>
        <v>81</v>
      </c>
      <c r="BY795" s="830" t="str">
        <f t="shared" ca="1" si="672"/>
        <v>ПОДЛЕЖИТ ВАКЦИНАЦИИ</v>
      </c>
      <c r="BZ795" s="839"/>
      <c r="CA795" s="832"/>
      <c r="CB795" s="833" t="str">
        <f t="shared" si="673"/>
        <v>-</v>
      </c>
      <c r="CC795" s="834" t="str">
        <f t="shared" si="674"/>
        <v>-</v>
      </c>
      <c r="CD795" s="835" t="str">
        <f t="shared" si="675"/>
        <v>-</v>
      </c>
      <c r="CE795" s="839"/>
      <c r="CF795" s="832"/>
      <c r="CG795" s="833" t="str">
        <f t="shared" si="676"/>
        <v>-</v>
      </c>
      <c r="CH795" s="836" t="str">
        <f t="shared" si="677"/>
        <v>-</v>
      </c>
      <c r="CI795" s="837" t="str">
        <f t="shared" si="678"/>
        <v>-</v>
      </c>
      <c r="CJ795" s="838" t="str">
        <f t="shared" si="679"/>
        <v>-</v>
      </c>
      <c r="CK795" s="831"/>
      <c r="CL795" s="832"/>
      <c r="CM795" s="833" t="str">
        <f t="shared" si="680"/>
        <v>-</v>
      </c>
      <c r="CN795" s="834" t="str">
        <f t="shared" si="681"/>
        <v>-</v>
      </c>
      <c r="CO795" s="830" t="str">
        <f t="shared" ca="1" si="682"/>
        <v>-</v>
      </c>
      <c r="CP795" s="839"/>
      <c r="CQ795" s="832"/>
      <c r="CR795" s="833" t="str">
        <f t="shared" si="683"/>
        <v>-</v>
      </c>
      <c r="CS795" s="833" t="str">
        <f t="shared" si="684"/>
        <v>-</v>
      </c>
      <c r="CT795" s="834" t="str">
        <f t="shared" si="685"/>
        <v>-</v>
      </c>
      <c r="CU795" s="835" t="str">
        <f t="shared" si="686"/>
        <v>-</v>
      </c>
      <c r="CV795" s="839"/>
      <c r="CW795" s="832"/>
      <c r="CX795" s="833" t="str">
        <f t="shared" si="687"/>
        <v>-</v>
      </c>
      <c r="CY795" s="840" t="str">
        <f t="shared" si="688"/>
        <v>-</v>
      </c>
      <c r="CZ795" s="833" t="str">
        <f t="shared" si="689"/>
        <v>-</v>
      </c>
      <c r="DA795" s="838" t="str">
        <f t="shared" ca="1" si="690"/>
        <v>-</v>
      </c>
      <c r="DB795" s="841"/>
      <c r="DC795" s="832"/>
    </row>
    <row r="796" spans="1:107" x14ac:dyDescent="0.25">
      <c r="A796" s="790">
        <v>799</v>
      </c>
      <c r="B796" s="791">
        <f t="shared" ca="1" si="639"/>
        <v>43134</v>
      </c>
      <c r="C796" s="29" t="s">
        <v>2546</v>
      </c>
      <c r="D796" s="59" t="s">
        <v>1555</v>
      </c>
      <c r="E796" s="22" t="s">
        <v>1563</v>
      </c>
      <c r="F796" s="27" t="s">
        <v>3453</v>
      </c>
      <c r="G796" s="871"/>
      <c r="H796" s="797" t="s">
        <v>603</v>
      </c>
      <c r="I796" s="798">
        <v>43049</v>
      </c>
      <c r="J796" s="799">
        <f t="shared" ca="1" si="640"/>
        <v>0.23287671232876711</v>
      </c>
      <c r="K796" s="799">
        <f t="shared" ca="1" si="641"/>
        <v>2.8333333333333335</v>
      </c>
      <c r="L796" s="800">
        <f t="shared" ca="1" si="642"/>
        <v>85</v>
      </c>
      <c r="M796" s="801"/>
      <c r="N796" s="802"/>
      <c r="O796" s="803" t="str">
        <f t="shared" ca="1" si="643"/>
        <v>-</v>
      </c>
      <c r="P796" s="804"/>
      <c r="Q796" s="805"/>
      <c r="R796" s="806"/>
      <c r="S796" s="807"/>
      <c r="T796" s="798"/>
      <c r="U796" s="798" t="str">
        <f t="shared" si="644"/>
        <v>-</v>
      </c>
      <c r="V796" s="804" t="str">
        <f t="shared" ca="1" si="645"/>
        <v>-</v>
      </c>
      <c r="W796" s="808"/>
      <c r="X796" s="794" t="str">
        <f t="shared" si="638"/>
        <v>-</v>
      </c>
      <c r="Y796" s="794"/>
      <c r="Z796" s="809" t="str">
        <f t="shared" ca="1" si="646"/>
        <v>-----</v>
      </c>
      <c r="AA796" s="810">
        <f t="shared" ca="1" si="647"/>
        <v>43134</v>
      </c>
      <c r="AB796" s="804"/>
      <c r="AC796" s="811" t="str">
        <f t="shared" ca="1" si="648"/>
        <v>-----</v>
      </c>
      <c r="AD796" s="798"/>
      <c r="AE796" s="794" t="str">
        <f t="shared" ca="1" si="649"/>
        <v>-</v>
      </c>
      <c r="AF796" s="798" t="str">
        <f t="shared" si="650"/>
        <v>-</v>
      </c>
      <c r="AG796" s="812" t="str">
        <f t="shared" si="651"/>
        <v>---------</v>
      </c>
      <c r="AH796" s="807"/>
      <c r="AI796" s="807" t="str">
        <f t="shared" si="652"/>
        <v>-</v>
      </c>
      <c r="AJ796" s="807" t="str">
        <f t="shared" si="653"/>
        <v>-</v>
      </c>
      <c r="AK796" s="813"/>
      <c r="AL796" s="807" t="str">
        <f t="shared" si="654"/>
        <v>-</v>
      </c>
      <c r="AM796" s="807" t="str">
        <f t="shared" si="655"/>
        <v>-</v>
      </c>
      <c r="AN796" s="814" t="str">
        <f t="shared" ca="1" si="656"/>
        <v>-</v>
      </c>
      <c r="AO796" s="815">
        <v>1</v>
      </c>
      <c r="AP796" s="816" t="str">
        <f t="shared" ca="1" si="657"/>
        <v>-</v>
      </c>
      <c r="AQ796" s="817"/>
      <c r="AR796" s="794" t="str">
        <f t="shared" si="658"/>
        <v>-</v>
      </c>
      <c r="AS796" s="818"/>
      <c r="AT796" s="794" t="str">
        <f t="shared" si="659"/>
        <v>-</v>
      </c>
      <c r="AU796" s="819"/>
      <c r="AV796" s="865"/>
      <c r="AW796" s="821"/>
      <c r="AX796" s="821"/>
      <c r="AY796" s="969" t="str">
        <f t="shared" si="660"/>
        <v>-</v>
      </c>
      <c r="AZ796" s="966" t="str">
        <f t="shared" si="661"/>
        <v>-</v>
      </c>
      <c r="BA796" s="971" t="str">
        <f t="shared" si="662"/>
        <v>-</v>
      </c>
      <c r="BB796" s="975"/>
      <c r="BC796" s="821"/>
      <c r="BD796" s="821"/>
      <c r="BE796" s="963" t="str">
        <f t="shared" si="663"/>
        <v>-</v>
      </c>
      <c r="BF796" s="984"/>
      <c r="BG796" s="988"/>
      <c r="BH796" s="982"/>
      <c r="BI796" s="991"/>
      <c r="BJ796" s="991"/>
      <c r="BK796" s="993" t="str">
        <f t="shared" si="664"/>
        <v>-</v>
      </c>
      <c r="BL796" s="865"/>
      <c r="BM796" s="821"/>
      <c r="BN796" s="822" t="str">
        <f t="shared" si="665"/>
        <v>-</v>
      </c>
      <c r="BO796" s="823" t="str">
        <f t="shared" si="666"/>
        <v>-</v>
      </c>
      <c r="BP796" s="868"/>
      <c r="BQ796" s="821"/>
      <c r="BR796" s="822" t="str">
        <f t="shared" si="667"/>
        <v>-</v>
      </c>
      <c r="BS796" s="823" t="str">
        <f t="shared" si="668"/>
        <v>-</v>
      </c>
      <c r="BT796" s="825" t="str">
        <f t="shared" ca="1" si="669"/>
        <v>-</v>
      </c>
      <c r="BU796" s="860">
        <v>43053</v>
      </c>
      <c r="BV796" s="827">
        <v>2</v>
      </c>
      <c r="BW796" s="828">
        <f t="shared" si="670"/>
        <v>4</v>
      </c>
      <c r="BX796" s="829">
        <f t="shared" ca="1" si="671"/>
        <v>81</v>
      </c>
      <c r="BY796" s="830" t="str">
        <f t="shared" ca="1" si="672"/>
        <v>ПОДЛЕЖИТ ВАКЦИНАЦИИ</v>
      </c>
      <c r="BZ796" s="839"/>
      <c r="CA796" s="832"/>
      <c r="CB796" s="833" t="str">
        <f t="shared" si="673"/>
        <v>-</v>
      </c>
      <c r="CC796" s="834" t="str">
        <f t="shared" si="674"/>
        <v>-</v>
      </c>
      <c r="CD796" s="835" t="str">
        <f t="shared" si="675"/>
        <v>-</v>
      </c>
      <c r="CE796" s="839"/>
      <c r="CF796" s="832"/>
      <c r="CG796" s="833" t="str">
        <f t="shared" si="676"/>
        <v>-</v>
      </c>
      <c r="CH796" s="836" t="str">
        <f t="shared" si="677"/>
        <v>-</v>
      </c>
      <c r="CI796" s="837" t="str">
        <f t="shared" si="678"/>
        <v>-</v>
      </c>
      <c r="CJ796" s="838" t="str">
        <f t="shared" si="679"/>
        <v>-</v>
      </c>
      <c r="CK796" s="831"/>
      <c r="CL796" s="832"/>
      <c r="CM796" s="833" t="str">
        <f t="shared" si="680"/>
        <v>-</v>
      </c>
      <c r="CN796" s="834" t="str">
        <f t="shared" si="681"/>
        <v>-</v>
      </c>
      <c r="CO796" s="830" t="str">
        <f t="shared" ca="1" si="682"/>
        <v>-</v>
      </c>
      <c r="CP796" s="839"/>
      <c r="CQ796" s="832"/>
      <c r="CR796" s="833" t="str">
        <f t="shared" si="683"/>
        <v>-</v>
      </c>
      <c r="CS796" s="833" t="str">
        <f t="shared" si="684"/>
        <v>-</v>
      </c>
      <c r="CT796" s="834" t="str">
        <f t="shared" si="685"/>
        <v>-</v>
      </c>
      <c r="CU796" s="835" t="str">
        <f t="shared" si="686"/>
        <v>-</v>
      </c>
      <c r="CV796" s="839"/>
      <c r="CW796" s="832"/>
      <c r="CX796" s="833" t="str">
        <f t="shared" si="687"/>
        <v>-</v>
      </c>
      <c r="CY796" s="840" t="str">
        <f t="shared" si="688"/>
        <v>-</v>
      </c>
      <c r="CZ796" s="833" t="str">
        <f t="shared" si="689"/>
        <v>-</v>
      </c>
      <c r="DA796" s="838" t="str">
        <f t="shared" ca="1" si="690"/>
        <v>-</v>
      </c>
      <c r="DB796" s="841"/>
      <c r="DC796" s="832"/>
    </row>
    <row r="797" spans="1:107" x14ac:dyDescent="0.25">
      <c r="A797" s="790">
        <v>800</v>
      </c>
      <c r="B797" s="791">
        <f t="shared" ca="1" si="639"/>
        <v>43134</v>
      </c>
      <c r="C797" s="29" t="s">
        <v>2546</v>
      </c>
      <c r="D797" s="59" t="s">
        <v>1555</v>
      </c>
      <c r="E797" s="22" t="s">
        <v>1563</v>
      </c>
      <c r="F797" s="27" t="s">
        <v>3459</v>
      </c>
      <c r="G797" s="871"/>
      <c r="H797" s="797" t="s">
        <v>603</v>
      </c>
      <c r="I797" s="798">
        <v>43050</v>
      </c>
      <c r="J797" s="799">
        <f t="shared" ca="1" si="640"/>
        <v>0.23013698630136986</v>
      </c>
      <c r="K797" s="799">
        <f t="shared" ca="1" si="641"/>
        <v>2.8</v>
      </c>
      <c r="L797" s="800">
        <f t="shared" ca="1" si="642"/>
        <v>84</v>
      </c>
      <c r="M797" s="801"/>
      <c r="N797" s="802"/>
      <c r="O797" s="803" t="str">
        <f t="shared" ca="1" si="643"/>
        <v>-</v>
      </c>
      <c r="P797" s="804"/>
      <c r="Q797" s="805"/>
      <c r="R797" s="806"/>
      <c r="S797" s="807"/>
      <c r="T797" s="798"/>
      <c r="U797" s="798" t="str">
        <f t="shared" si="644"/>
        <v>-</v>
      </c>
      <c r="V797" s="804" t="str">
        <f t="shared" ca="1" si="645"/>
        <v>-</v>
      </c>
      <c r="W797" s="808"/>
      <c r="X797" s="794" t="str">
        <f t="shared" si="638"/>
        <v>-</v>
      </c>
      <c r="Y797" s="794"/>
      <c r="Z797" s="809" t="str">
        <f t="shared" ca="1" si="646"/>
        <v>-----</v>
      </c>
      <c r="AA797" s="810">
        <f t="shared" ca="1" si="647"/>
        <v>43134</v>
      </c>
      <c r="AB797" s="804"/>
      <c r="AC797" s="811" t="str">
        <f t="shared" ca="1" si="648"/>
        <v>-----</v>
      </c>
      <c r="AD797" s="798"/>
      <c r="AE797" s="794" t="str">
        <f t="shared" ca="1" si="649"/>
        <v>-</v>
      </c>
      <c r="AF797" s="798" t="str">
        <f t="shared" si="650"/>
        <v>-</v>
      </c>
      <c r="AG797" s="812" t="str">
        <f t="shared" si="651"/>
        <v>---------</v>
      </c>
      <c r="AH797" s="807"/>
      <c r="AI797" s="807" t="str">
        <f t="shared" si="652"/>
        <v>-</v>
      </c>
      <c r="AJ797" s="807" t="str">
        <f t="shared" si="653"/>
        <v>-</v>
      </c>
      <c r="AK797" s="813"/>
      <c r="AL797" s="807" t="str">
        <f t="shared" si="654"/>
        <v>-</v>
      </c>
      <c r="AM797" s="807" t="str">
        <f t="shared" si="655"/>
        <v>-</v>
      </c>
      <c r="AN797" s="814" t="str">
        <f t="shared" ca="1" si="656"/>
        <v>-</v>
      </c>
      <c r="AO797" s="815"/>
      <c r="AP797" s="816" t="str">
        <f t="shared" ca="1" si="657"/>
        <v>-</v>
      </c>
      <c r="AQ797" s="817"/>
      <c r="AR797" s="794" t="str">
        <f t="shared" si="658"/>
        <v>-</v>
      </c>
      <c r="AS797" s="818"/>
      <c r="AT797" s="794" t="str">
        <f t="shared" si="659"/>
        <v>-</v>
      </c>
      <c r="AU797" s="819"/>
      <c r="AV797" s="865"/>
      <c r="AW797" s="821"/>
      <c r="AX797" s="821"/>
      <c r="AY797" s="969" t="str">
        <f t="shared" si="660"/>
        <v>-</v>
      </c>
      <c r="AZ797" s="966" t="str">
        <f t="shared" si="661"/>
        <v>-</v>
      </c>
      <c r="BA797" s="971" t="str">
        <f t="shared" si="662"/>
        <v>-</v>
      </c>
      <c r="BB797" s="975"/>
      <c r="BC797" s="821"/>
      <c r="BD797" s="821"/>
      <c r="BE797" s="963" t="str">
        <f t="shared" si="663"/>
        <v>-</v>
      </c>
      <c r="BF797" s="984"/>
      <c r="BG797" s="988"/>
      <c r="BH797" s="982"/>
      <c r="BI797" s="991"/>
      <c r="BJ797" s="991"/>
      <c r="BK797" s="993" t="str">
        <f t="shared" si="664"/>
        <v>-</v>
      </c>
      <c r="BL797" s="865"/>
      <c r="BM797" s="821"/>
      <c r="BN797" s="822" t="str">
        <f t="shared" si="665"/>
        <v>-</v>
      </c>
      <c r="BO797" s="823" t="str">
        <f t="shared" si="666"/>
        <v>-</v>
      </c>
      <c r="BP797" s="868"/>
      <c r="BQ797" s="821"/>
      <c r="BR797" s="822" t="str">
        <f t="shared" si="667"/>
        <v>-</v>
      </c>
      <c r="BS797" s="823" t="str">
        <f t="shared" si="668"/>
        <v>-</v>
      </c>
      <c r="BT797" s="825" t="str">
        <f t="shared" ca="1" si="669"/>
        <v>-</v>
      </c>
      <c r="BU797" s="860">
        <v>43053</v>
      </c>
      <c r="BV797" s="827">
        <v>2</v>
      </c>
      <c r="BW797" s="828">
        <f t="shared" si="670"/>
        <v>3</v>
      </c>
      <c r="BX797" s="829">
        <f t="shared" ca="1" si="671"/>
        <v>81</v>
      </c>
      <c r="BY797" s="830" t="str">
        <f t="shared" ca="1" si="672"/>
        <v>ПОДЛЕЖИТ ВАКЦИНАЦИИ</v>
      </c>
      <c r="BZ797" s="839"/>
      <c r="CA797" s="832"/>
      <c r="CB797" s="833" t="str">
        <f t="shared" si="673"/>
        <v>-</v>
      </c>
      <c r="CC797" s="834" t="str">
        <f t="shared" si="674"/>
        <v>-</v>
      </c>
      <c r="CD797" s="835" t="str">
        <f t="shared" si="675"/>
        <v>-</v>
      </c>
      <c r="CE797" s="839"/>
      <c r="CF797" s="832"/>
      <c r="CG797" s="833" t="str">
        <f t="shared" si="676"/>
        <v>-</v>
      </c>
      <c r="CH797" s="836" t="str">
        <f t="shared" si="677"/>
        <v>-</v>
      </c>
      <c r="CI797" s="837" t="str">
        <f t="shared" si="678"/>
        <v>-</v>
      </c>
      <c r="CJ797" s="838" t="str">
        <f t="shared" si="679"/>
        <v>-</v>
      </c>
      <c r="CK797" s="831"/>
      <c r="CL797" s="832"/>
      <c r="CM797" s="833" t="str">
        <f t="shared" si="680"/>
        <v>-</v>
      </c>
      <c r="CN797" s="834" t="str">
        <f t="shared" si="681"/>
        <v>-</v>
      </c>
      <c r="CO797" s="830" t="str">
        <f t="shared" ca="1" si="682"/>
        <v>-</v>
      </c>
      <c r="CP797" s="839"/>
      <c r="CQ797" s="832"/>
      <c r="CR797" s="833" t="str">
        <f t="shared" si="683"/>
        <v>-</v>
      </c>
      <c r="CS797" s="833" t="str">
        <f t="shared" si="684"/>
        <v>-</v>
      </c>
      <c r="CT797" s="834" t="str">
        <f t="shared" si="685"/>
        <v>-</v>
      </c>
      <c r="CU797" s="835" t="str">
        <f t="shared" si="686"/>
        <v>-</v>
      </c>
      <c r="CV797" s="839"/>
      <c r="CW797" s="832"/>
      <c r="CX797" s="833" t="str">
        <f t="shared" si="687"/>
        <v>-</v>
      </c>
      <c r="CY797" s="840" t="str">
        <f t="shared" si="688"/>
        <v>-</v>
      </c>
      <c r="CZ797" s="833" t="str">
        <f t="shared" si="689"/>
        <v>-</v>
      </c>
      <c r="DA797" s="838" t="str">
        <f t="shared" ca="1" si="690"/>
        <v>-</v>
      </c>
      <c r="DB797" s="841"/>
      <c r="DC797" s="832"/>
    </row>
    <row r="798" spans="1:107" x14ac:dyDescent="0.25">
      <c r="A798" s="790">
        <v>801</v>
      </c>
      <c r="B798" s="791">
        <f t="shared" ca="1" si="639"/>
        <v>43134</v>
      </c>
      <c r="C798" s="792" t="s">
        <v>2547</v>
      </c>
      <c r="D798" s="793" t="s">
        <v>1635</v>
      </c>
      <c r="E798" s="794" t="s">
        <v>1563</v>
      </c>
      <c r="F798" s="795" t="s">
        <v>2721</v>
      </c>
      <c r="G798" s="845"/>
      <c r="H798" s="797" t="s">
        <v>603</v>
      </c>
      <c r="I798" s="798">
        <v>42866</v>
      </c>
      <c r="J798" s="799">
        <f t="shared" ca="1" si="640"/>
        <v>0.73424657534246573</v>
      </c>
      <c r="K798" s="799">
        <f t="shared" ca="1" si="641"/>
        <v>8.9333333333333336</v>
      </c>
      <c r="L798" s="800">
        <f t="shared" ca="1" si="642"/>
        <v>268</v>
      </c>
      <c r="M798" s="801"/>
      <c r="N798" s="802"/>
      <c r="O798" s="803" t="str">
        <f t="shared" ca="1" si="643"/>
        <v>-</v>
      </c>
      <c r="P798" s="804"/>
      <c r="Q798" s="805"/>
      <c r="R798" s="806"/>
      <c r="S798" s="807"/>
      <c r="T798" s="798"/>
      <c r="U798" s="798" t="str">
        <f t="shared" si="644"/>
        <v>-</v>
      </c>
      <c r="V798" s="804" t="str">
        <f t="shared" ca="1" si="645"/>
        <v>-</v>
      </c>
      <c r="W798" s="808">
        <v>0</v>
      </c>
      <c r="X798" s="794" t="str">
        <f t="shared" si="638"/>
        <v>-</v>
      </c>
      <c r="Y798" s="794">
        <v>0</v>
      </c>
      <c r="Z798" s="809" t="str">
        <f t="shared" ca="1" si="646"/>
        <v>-----</v>
      </c>
      <c r="AA798" s="810">
        <f t="shared" ca="1" si="647"/>
        <v>43134</v>
      </c>
      <c r="AB798" s="804"/>
      <c r="AC798" s="811" t="str">
        <f t="shared" ca="1" si="648"/>
        <v>-----</v>
      </c>
      <c r="AD798" s="798"/>
      <c r="AE798" s="794" t="str">
        <f t="shared" ca="1" si="649"/>
        <v>-</v>
      </c>
      <c r="AF798" s="798" t="str">
        <f t="shared" si="650"/>
        <v>-</v>
      </c>
      <c r="AG798" s="812" t="str">
        <f t="shared" si="651"/>
        <v>---------</v>
      </c>
      <c r="AH798" s="807"/>
      <c r="AI798" s="807" t="str">
        <f t="shared" si="652"/>
        <v>-</v>
      </c>
      <c r="AJ798" s="807" t="str">
        <f t="shared" si="653"/>
        <v>-</v>
      </c>
      <c r="AK798" s="813"/>
      <c r="AL798" s="807" t="str">
        <f t="shared" si="654"/>
        <v>-</v>
      </c>
      <c r="AM798" s="807" t="str">
        <f t="shared" si="655"/>
        <v>-</v>
      </c>
      <c r="AN798" s="814" t="str">
        <f t="shared" ca="1" si="656"/>
        <v>-</v>
      </c>
      <c r="AO798" s="815">
        <v>1</v>
      </c>
      <c r="AP798" s="816" t="str">
        <f t="shared" ca="1" si="657"/>
        <v>-</v>
      </c>
      <c r="AQ798" s="817"/>
      <c r="AR798" s="794" t="str">
        <f t="shared" si="658"/>
        <v>-</v>
      </c>
      <c r="AS798" s="818"/>
      <c r="AT798" s="794" t="str">
        <f t="shared" si="659"/>
        <v>-</v>
      </c>
      <c r="AU798" s="819"/>
      <c r="AV798" s="865"/>
      <c r="AW798" s="821"/>
      <c r="AX798" s="821"/>
      <c r="AY798" s="969" t="str">
        <f t="shared" si="660"/>
        <v>-</v>
      </c>
      <c r="AZ798" s="966" t="str">
        <f t="shared" si="661"/>
        <v>-</v>
      </c>
      <c r="BA798" s="971" t="str">
        <f t="shared" si="662"/>
        <v>-</v>
      </c>
      <c r="BB798" s="975"/>
      <c r="BC798" s="821"/>
      <c r="BD798" s="821"/>
      <c r="BE798" s="963" t="str">
        <f t="shared" si="663"/>
        <v>-</v>
      </c>
      <c r="BF798" s="984"/>
      <c r="BG798" s="988"/>
      <c r="BH798" s="982"/>
      <c r="BI798" s="991"/>
      <c r="BJ798" s="991"/>
      <c r="BK798" s="993" t="str">
        <f t="shared" si="664"/>
        <v>-</v>
      </c>
      <c r="BL798" s="865"/>
      <c r="BM798" s="821"/>
      <c r="BN798" s="822" t="str">
        <f t="shared" si="665"/>
        <v>-</v>
      </c>
      <c r="BO798" s="823" t="str">
        <f t="shared" si="666"/>
        <v>-</v>
      </c>
      <c r="BP798" s="868"/>
      <c r="BQ798" s="821"/>
      <c r="BR798" s="822" t="str">
        <f t="shared" si="667"/>
        <v>-</v>
      </c>
      <c r="BS798" s="823" t="str">
        <f t="shared" si="668"/>
        <v>-</v>
      </c>
      <c r="BT798" s="825" t="str">
        <f t="shared" ca="1" si="669"/>
        <v>-</v>
      </c>
      <c r="BU798" s="860">
        <v>42886</v>
      </c>
      <c r="BV798" s="827">
        <v>2</v>
      </c>
      <c r="BW798" s="828">
        <f t="shared" si="670"/>
        <v>20</v>
      </c>
      <c r="BX798" s="829">
        <f t="shared" ca="1" si="671"/>
        <v>248</v>
      </c>
      <c r="BY798" s="830" t="str">
        <f t="shared" ca="1" si="672"/>
        <v>-</v>
      </c>
      <c r="BZ798" s="831">
        <v>42931</v>
      </c>
      <c r="CA798" s="832">
        <v>5</v>
      </c>
      <c r="CB798" s="833">
        <f t="shared" ca="1" si="673"/>
        <v>203</v>
      </c>
      <c r="CC798" s="834" t="str">
        <f t="shared" ca="1" si="674"/>
        <v>-</v>
      </c>
      <c r="CD798" s="835">
        <f t="shared" si="675"/>
        <v>42952</v>
      </c>
      <c r="CE798" s="831">
        <v>42954</v>
      </c>
      <c r="CF798" s="832">
        <v>5</v>
      </c>
      <c r="CG798" s="833">
        <f t="shared" ca="1" si="676"/>
        <v>180</v>
      </c>
      <c r="CH798" s="836">
        <f t="shared" si="677"/>
        <v>-2</v>
      </c>
      <c r="CI798" s="837" t="str">
        <f t="shared" si="678"/>
        <v>-</v>
      </c>
      <c r="CJ798" s="838" t="str">
        <f t="shared" ca="1" si="679"/>
        <v>-</v>
      </c>
      <c r="CK798" s="831"/>
      <c r="CL798" s="832"/>
      <c r="CM798" s="833" t="str">
        <f t="shared" si="680"/>
        <v>-</v>
      </c>
      <c r="CN798" s="834" t="str">
        <f t="shared" si="681"/>
        <v>-</v>
      </c>
      <c r="CO798" s="830" t="str">
        <f t="shared" ca="1" si="682"/>
        <v>-</v>
      </c>
      <c r="CP798" s="839"/>
      <c r="CQ798" s="832"/>
      <c r="CR798" s="833" t="str">
        <f t="shared" si="683"/>
        <v>-</v>
      </c>
      <c r="CS798" s="833" t="str">
        <f t="shared" si="684"/>
        <v>-</v>
      </c>
      <c r="CT798" s="834" t="str">
        <f t="shared" si="685"/>
        <v>-</v>
      </c>
      <c r="CU798" s="835" t="str">
        <f t="shared" si="686"/>
        <v>-</v>
      </c>
      <c r="CV798" s="839"/>
      <c r="CW798" s="832"/>
      <c r="CX798" s="833" t="str">
        <f t="shared" si="687"/>
        <v>-</v>
      </c>
      <c r="CY798" s="840" t="str">
        <f t="shared" si="688"/>
        <v>-</v>
      </c>
      <c r="CZ798" s="833" t="str">
        <f t="shared" si="689"/>
        <v>-</v>
      </c>
      <c r="DA798" s="838" t="str">
        <f t="shared" ca="1" si="690"/>
        <v>-</v>
      </c>
      <c r="DB798" s="841"/>
      <c r="DC798" s="832"/>
    </row>
    <row r="799" spans="1:107" x14ac:dyDescent="0.25">
      <c r="A799" s="790">
        <v>802</v>
      </c>
      <c r="B799" s="791">
        <f t="shared" ca="1" si="639"/>
        <v>43134</v>
      </c>
      <c r="C799" s="792" t="s">
        <v>2547</v>
      </c>
      <c r="D799" s="793" t="s">
        <v>1635</v>
      </c>
      <c r="E799" s="794" t="s">
        <v>1563</v>
      </c>
      <c r="F799" s="795" t="s">
        <v>2735</v>
      </c>
      <c r="G799" s="845"/>
      <c r="H799" s="797" t="s">
        <v>603</v>
      </c>
      <c r="I799" s="798">
        <v>42872</v>
      </c>
      <c r="J799" s="799">
        <f t="shared" ca="1" si="640"/>
        <v>0.71780821917808224</v>
      </c>
      <c r="K799" s="799">
        <f t="shared" ca="1" si="641"/>
        <v>8.7333333333333325</v>
      </c>
      <c r="L799" s="800">
        <f t="shared" ca="1" si="642"/>
        <v>262</v>
      </c>
      <c r="M799" s="801"/>
      <c r="N799" s="802"/>
      <c r="O799" s="803" t="str">
        <f t="shared" ca="1" si="643"/>
        <v>-</v>
      </c>
      <c r="P799" s="804"/>
      <c r="Q799" s="805"/>
      <c r="R799" s="806"/>
      <c r="S799" s="807"/>
      <c r="T799" s="798"/>
      <c r="U799" s="798" t="str">
        <f t="shared" si="644"/>
        <v>-</v>
      </c>
      <c r="V799" s="804" t="str">
        <f t="shared" ca="1" si="645"/>
        <v>-</v>
      </c>
      <c r="W799" s="808">
        <v>0</v>
      </c>
      <c r="X799" s="794" t="str">
        <f t="shared" si="638"/>
        <v>-</v>
      </c>
      <c r="Y799" s="794">
        <v>0</v>
      </c>
      <c r="Z799" s="809" t="str">
        <f t="shared" ca="1" si="646"/>
        <v>-----</v>
      </c>
      <c r="AA799" s="810">
        <f t="shared" ca="1" si="647"/>
        <v>43134</v>
      </c>
      <c r="AB799" s="804"/>
      <c r="AC799" s="811" t="str">
        <f t="shared" ca="1" si="648"/>
        <v>-----</v>
      </c>
      <c r="AD799" s="798"/>
      <c r="AE799" s="794" t="str">
        <f t="shared" ca="1" si="649"/>
        <v>-</v>
      </c>
      <c r="AF799" s="798" t="str">
        <f t="shared" si="650"/>
        <v>-</v>
      </c>
      <c r="AG799" s="812" t="str">
        <f t="shared" si="651"/>
        <v>---------</v>
      </c>
      <c r="AH799" s="807"/>
      <c r="AI799" s="807" t="str">
        <f t="shared" si="652"/>
        <v>-</v>
      </c>
      <c r="AJ799" s="807" t="str">
        <f t="shared" si="653"/>
        <v>-</v>
      </c>
      <c r="AK799" s="813"/>
      <c r="AL799" s="807" t="str">
        <f t="shared" si="654"/>
        <v>-</v>
      </c>
      <c r="AM799" s="807" t="str">
        <f t="shared" si="655"/>
        <v>-</v>
      </c>
      <c r="AN799" s="814" t="str">
        <f t="shared" ca="1" si="656"/>
        <v>-</v>
      </c>
      <c r="AO799" s="815">
        <v>1</v>
      </c>
      <c r="AP799" s="816" t="str">
        <f t="shared" ca="1" si="657"/>
        <v>-</v>
      </c>
      <c r="AQ799" s="817"/>
      <c r="AR799" s="794" t="str">
        <f t="shared" si="658"/>
        <v>-</v>
      </c>
      <c r="AS799" s="818"/>
      <c r="AT799" s="794" t="str">
        <f t="shared" si="659"/>
        <v>-</v>
      </c>
      <c r="AU799" s="819"/>
      <c r="AV799" s="865"/>
      <c r="AW799" s="821"/>
      <c r="AX799" s="821"/>
      <c r="AY799" s="969" t="str">
        <f t="shared" si="660"/>
        <v>-</v>
      </c>
      <c r="AZ799" s="966" t="str">
        <f t="shared" si="661"/>
        <v>-</v>
      </c>
      <c r="BA799" s="971" t="str">
        <f t="shared" si="662"/>
        <v>-</v>
      </c>
      <c r="BB799" s="975"/>
      <c r="BC799" s="821"/>
      <c r="BD799" s="821"/>
      <c r="BE799" s="963" t="str">
        <f t="shared" si="663"/>
        <v>-</v>
      </c>
      <c r="BF799" s="984"/>
      <c r="BG799" s="988"/>
      <c r="BH799" s="982"/>
      <c r="BI799" s="991"/>
      <c r="BJ799" s="991"/>
      <c r="BK799" s="993" t="str">
        <f t="shared" si="664"/>
        <v>-</v>
      </c>
      <c r="BL799" s="865"/>
      <c r="BM799" s="821"/>
      <c r="BN799" s="822" t="str">
        <f t="shared" si="665"/>
        <v>-</v>
      </c>
      <c r="BO799" s="823" t="str">
        <f t="shared" si="666"/>
        <v>-</v>
      </c>
      <c r="BP799" s="868"/>
      <c r="BQ799" s="821"/>
      <c r="BR799" s="822" t="str">
        <f t="shared" si="667"/>
        <v>-</v>
      </c>
      <c r="BS799" s="823" t="str">
        <f t="shared" si="668"/>
        <v>-</v>
      </c>
      <c r="BT799" s="825" t="str">
        <f t="shared" ca="1" si="669"/>
        <v>-</v>
      </c>
      <c r="BU799" s="860">
        <v>42886</v>
      </c>
      <c r="BV799" s="827">
        <v>2</v>
      </c>
      <c r="BW799" s="828">
        <f t="shared" si="670"/>
        <v>14</v>
      </c>
      <c r="BX799" s="829">
        <f t="shared" ca="1" si="671"/>
        <v>248</v>
      </c>
      <c r="BY799" s="830" t="str">
        <f t="shared" ca="1" si="672"/>
        <v>-</v>
      </c>
      <c r="BZ799" s="831">
        <v>42931</v>
      </c>
      <c r="CA799" s="832">
        <v>5</v>
      </c>
      <c r="CB799" s="833">
        <f t="shared" ca="1" si="673"/>
        <v>203</v>
      </c>
      <c r="CC799" s="834" t="str">
        <f t="shared" ca="1" si="674"/>
        <v>-</v>
      </c>
      <c r="CD799" s="835">
        <f t="shared" si="675"/>
        <v>42952</v>
      </c>
      <c r="CE799" s="831">
        <v>42954</v>
      </c>
      <c r="CF799" s="832">
        <v>5</v>
      </c>
      <c r="CG799" s="833">
        <f t="shared" ca="1" si="676"/>
        <v>180</v>
      </c>
      <c r="CH799" s="836">
        <f t="shared" si="677"/>
        <v>-2</v>
      </c>
      <c r="CI799" s="837" t="str">
        <f t="shared" si="678"/>
        <v>-</v>
      </c>
      <c r="CJ799" s="838" t="str">
        <f t="shared" ca="1" si="679"/>
        <v>-</v>
      </c>
      <c r="CK799" s="831"/>
      <c r="CL799" s="832"/>
      <c r="CM799" s="833" t="str">
        <f t="shared" si="680"/>
        <v>-</v>
      </c>
      <c r="CN799" s="834" t="str">
        <f t="shared" si="681"/>
        <v>-</v>
      </c>
      <c r="CO799" s="830" t="str">
        <f t="shared" ca="1" si="682"/>
        <v>-</v>
      </c>
      <c r="CP799" s="839"/>
      <c r="CQ799" s="832"/>
      <c r="CR799" s="833" t="str">
        <f t="shared" si="683"/>
        <v>-</v>
      </c>
      <c r="CS799" s="833" t="str">
        <f t="shared" si="684"/>
        <v>-</v>
      </c>
      <c r="CT799" s="834" t="str">
        <f t="shared" si="685"/>
        <v>-</v>
      </c>
      <c r="CU799" s="835" t="str">
        <f t="shared" si="686"/>
        <v>-</v>
      </c>
      <c r="CV799" s="839"/>
      <c r="CW799" s="832"/>
      <c r="CX799" s="833" t="str">
        <f t="shared" si="687"/>
        <v>-</v>
      </c>
      <c r="CY799" s="840" t="str">
        <f t="shared" si="688"/>
        <v>-</v>
      </c>
      <c r="CZ799" s="833" t="str">
        <f t="shared" si="689"/>
        <v>-</v>
      </c>
      <c r="DA799" s="838" t="str">
        <f t="shared" ca="1" si="690"/>
        <v>-</v>
      </c>
      <c r="DB799" s="841"/>
      <c r="DC799" s="832"/>
    </row>
    <row r="800" spans="1:107" x14ac:dyDescent="0.25">
      <c r="A800" s="790">
        <v>803</v>
      </c>
      <c r="B800" s="791">
        <f t="shared" ca="1" si="639"/>
        <v>43134</v>
      </c>
      <c r="C800" s="792" t="s">
        <v>2547</v>
      </c>
      <c r="D800" s="793" t="s">
        <v>1635</v>
      </c>
      <c r="E800" s="794" t="s">
        <v>1563</v>
      </c>
      <c r="F800" s="795" t="s">
        <v>2759</v>
      </c>
      <c r="G800" s="845"/>
      <c r="H800" s="797" t="s">
        <v>603</v>
      </c>
      <c r="I800" s="798">
        <v>42878</v>
      </c>
      <c r="J800" s="799">
        <f t="shared" ca="1" si="640"/>
        <v>0.70136986301369864</v>
      </c>
      <c r="K800" s="799">
        <f t="shared" ca="1" si="641"/>
        <v>8.5333333333333332</v>
      </c>
      <c r="L800" s="800">
        <f t="shared" ca="1" si="642"/>
        <v>256</v>
      </c>
      <c r="M800" s="801"/>
      <c r="N800" s="802"/>
      <c r="O800" s="803" t="str">
        <f t="shared" ca="1" si="643"/>
        <v>-</v>
      </c>
      <c r="P800" s="804"/>
      <c r="Q800" s="805"/>
      <c r="R800" s="806"/>
      <c r="S800" s="807"/>
      <c r="T800" s="798"/>
      <c r="U800" s="798" t="str">
        <f t="shared" si="644"/>
        <v>-</v>
      </c>
      <c r="V800" s="804" t="str">
        <f t="shared" ca="1" si="645"/>
        <v>-</v>
      </c>
      <c r="W800" s="808">
        <v>0</v>
      </c>
      <c r="X800" s="794" t="str">
        <f t="shared" si="638"/>
        <v>-</v>
      </c>
      <c r="Y800" s="794">
        <v>0</v>
      </c>
      <c r="Z800" s="809" t="str">
        <f t="shared" ca="1" si="646"/>
        <v>-----</v>
      </c>
      <c r="AA800" s="810">
        <f t="shared" ca="1" si="647"/>
        <v>43134</v>
      </c>
      <c r="AB800" s="804"/>
      <c r="AC800" s="811" t="str">
        <f t="shared" ca="1" si="648"/>
        <v>-----</v>
      </c>
      <c r="AD800" s="798"/>
      <c r="AE800" s="794" t="str">
        <f t="shared" ca="1" si="649"/>
        <v>-</v>
      </c>
      <c r="AF800" s="798" t="str">
        <f t="shared" si="650"/>
        <v>-</v>
      </c>
      <c r="AG800" s="812" t="str">
        <f t="shared" si="651"/>
        <v>---------</v>
      </c>
      <c r="AH800" s="807"/>
      <c r="AI800" s="807" t="str">
        <f t="shared" si="652"/>
        <v>-</v>
      </c>
      <c r="AJ800" s="807" t="str">
        <f t="shared" si="653"/>
        <v>-</v>
      </c>
      <c r="AK800" s="813"/>
      <c r="AL800" s="807" t="str">
        <f t="shared" si="654"/>
        <v>-</v>
      </c>
      <c r="AM800" s="807" t="str">
        <f t="shared" si="655"/>
        <v>-</v>
      </c>
      <c r="AN800" s="814" t="str">
        <f t="shared" ca="1" si="656"/>
        <v>-</v>
      </c>
      <c r="AO800" s="815">
        <v>1</v>
      </c>
      <c r="AP800" s="816" t="str">
        <f t="shared" ca="1" si="657"/>
        <v>-</v>
      </c>
      <c r="AQ800" s="817"/>
      <c r="AR800" s="794" t="str">
        <f t="shared" si="658"/>
        <v>-</v>
      </c>
      <c r="AS800" s="818"/>
      <c r="AT800" s="794" t="str">
        <f t="shared" si="659"/>
        <v>-</v>
      </c>
      <c r="AU800" s="819"/>
      <c r="AV800" s="865"/>
      <c r="AW800" s="821"/>
      <c r="AX800" s="821"/>
      <c r="AY800" s="969" t="str">
        <f t="shared" si="660"/>
        <v>-</v>
      </c>
      <c r="AZ800" s="966" t="str">
        <f t="shared" si="661"/>
        <v>-</v>
      </c>
      <c r="BA800" s="971" t="str">
        <f t="shared" si="662"/>
        <v>-</v>
      </c>
      <c r="BB800" s="975"/>
      <c r="BC800" s="821"/>
      <c r="BD800" s="821"/>
      <c r="BE800" s="963" t="str">
        <f t="shared" si="663"/>
        <v>-</v>
      </c>
      <c r="BF800" s="984"/>
      <c r="BG800" s="988"/>
      <c r="BH800" s="982"/>
      <c r="BI800" s="991"/>
      <c r="BJ800" s="991"/>
      <c r="BK800" s="993" t="str">
        <f t="shared" si="664"/>
        <v>-</v>
      </c>
      <c r="BL800" s="865"/>
      <c r="BM800" s="821"/>
      <c r="BN800" s="822" t="str">
        <f t="shared" si="665"/>
        <v>-</v>
      </c>
      <c r="BO800" s="823" t="str">
        <f t="shared" si="666"/>
        <v>-</v>
      </c>
      <c r="BP800" s="868"/>
      <c r="BQ800" s="821"/>
      <c r="BR800" s="822" t="str">
        <f t="shared" si="667"/>
        <v>-</v>
      </c>
      <c r="BS800" s="823" t="str">
        <f t="shared" si="668"/>
        <v>-</v>
      </c>
      <c r="BT800" s="825" t="str">
        <f t="shared" ca="1" si="669"/>
        <v>-</v>
      </c>
      <c r="BU800" s="860">
        <v>42886</v>
      </c>
      <c r="BV800" s="827">
        <v>2</v>
      </c>
      <c r="BW800" s="828">
        <f t="shared" si="670"/>
        <v>8</v>
      </c>
      <c r="BX800" s="829">
        <f t="shared" ca="1" si="671"/>
        <v>248</v>
      </c>
      <c r="BY800" s="830" t="str">
        <f t="shared" ca="1" si="672"/>
        <v>-</v>
      </c>
      <c r="BZ800" s="831">
        <v>42931</v>
      </c>
      <c r="CA800" s="832">
        <v>5</v>
      </c>
      <c r="CB800" s="833">
        <f t="shared" ca="1" si="673"/>
        <v>203</v>
      </c>
      <c r="CC800" s="834" t="str">
        <f t="shared" ca="1" si="674"/>
        <v>-</v>
      </c>
      <c r="CD800" s="835">
        <f t="shared" si="675"/>
        <v>42952</v>
      </c>
      <c r="CE800" s="831">
        <v>42954</v>
      </c>
      <c r="CF800" s="832">
        <v>5</v>
      </c>
      <c r="CG800" s="833">
        <f t="shared" ca="1" si="676"/>
        <v>180</v>
      </c>
      <c r="CH800" s="836">
        <f t="shared" si="677"/>
        <v>-2</v>
      </c>
      <c r="CI800" s="837" t="str">
        <f t="shared" si="678"/>
        <v>-</v>
      </c>
      <c r="CJ800" s="838" t="str">
        <f t="shared" ca="1" si="679"/>
        <v>-</v>
      </c>
      <c r="CK800" s="831"/>
      <c r="CL800" s="832"/>
      <c r="CM800" s="833" t="str">
        <f t="shared" si="680"/>
        <v>-</v>
      </c>
      <c r="CN800" s="834" t="str">
        <f t="shared" si="681"/>
        <v>-</v>
      </c>
      <c r="CO800" s="830" t="str">
        <f t="shared" ca="1" si="682"/>
        <v>-</v>
      </c>
      <c r="CP800" s="839"/>
      <c r="CQ800" s="832"/>
      <c r="CR800" s="833" t="str">
        <f t="shared" si="683"/>
        <v>-</v>
      </c>
      <c r="CS800" s="833" t="str">
        <f t="shared" si="684"/>
        <v>-</v>
      </c>
      <c r="CT800" s="834" t="str">
        <f t="shared" si="685"/>
        <v>-</v>
      </c>
      <c r="CU800" s="835" t="str">
        <f t="shared" si="686"/>
        <v>-</v>
      </c>
      <c r="CV800" s="839"/>
      <c r="CW800" s="832"/>
      <c r="CX800" s="833" t="str">
        <f t="shared" si="687"/>
        <v>-</v>
      </c>
      <c r="CY800" s="840" t="str">
        <f t="shared" si="688"/>
        <v>-</v>
      </c>
      <c r="CZ800" s="833" t="str">
        <f t="shared" si="689"/>
        <v>-</v>
      </c>
      <c r="DA800" s="838" t="str">
        <f t="shared" ca="1" si="690"/>
        <v>-</v>
      </c>
      <c r="DB800" s="841"/>
      <c r="DC800" s="832"/>
    </row>
    <row r="801" spans="1:107" x14ac:dyDescent="0.25">
      <c r="A801" s="790">
        <v>804</v>
      </c>
      <c r="B801" s="791">
        <f t="shared" ca="1" si="639"/>
        <v>43134</v>
      </c>
      <c r="C801" s="792" t="s">
        <v>2547</v>
      </c>
      <c r="D801" s="793" t="s">
        <v>1635</v>
      </c>
      <c r="E801" s="794" t="s">
        <v>1563</v>
      </c>
      <c r="F801" s="795" t="s">
        <v>2844</v>
      </c>
      <c r="G801" s="845"/>
      <c r="H801" s="797" t="s">
        <v>603</v>
      </c>
      <c r="I801" s="798">
        <v>42888</v>
      </c>
      <c r="J801" s="799">
        <f t="shared" ca="1" si="640"/>
        <v>0.67397260273972603</v>
      </c>
      <c r="K801" s="799">
        <f t="shared" ca="1" si="641"/>
        <v>8.1999999999999993</v>
      </c>
      <c r="L801" s="800">
        <f t="shared" ca="1" si="642"/>
        <v>246</v>
      </c>
      <c r="M801" s="801"/>
      <c r="N801" s="802"/>
      <c r="O801" s="803" t="str">
        <f t="shared" ca="1" si="643"/>
        <v>-</v>
      </c>
      <c r="P801" s="804"/>
      <c r="Q801" s="805"/>
      <c r="R801" s="806"/>
      <c r="S801" s="807"/>
      <c r="T801" s="798"/>
      <c r="U801" s="798" t="str">
        <f t="shared" si="644"/>
        <v>-</v>
      </c>
      <c r="V801" s="804" t="str">
        <f t="shared" ca="1" si="645"/>
        <v>-</v>
      </c>
      <c r="W801" s="808">
        <v>0</v>
      </c>
      <c r="X801" s="794" t="str">
        <f t="shared" si="638"/>
        <v>-</v>
      </c>
      <c r="Y801" s="794">
        <v>0</v>
      </c>
      <c r="Z801" s="809" t="str">
        <f t="shared" ca="1" si="646"/>
        <v>-----</v>
      </c>
      <c r="AA801" s="810">
        <f t="shared" ca="1" si="647"/>
        <v>43134</v>
      </c>
      <c r="AB801" s="804"/>
      <c r="AC801" s="811" t="str">
        <f t="shared" ca="1" si="648"/>
        <v>-----</v>
      </c>
      <c r="AD801" s="798"/>
      <c r="AE801" s="794" t="str">
        <f t="shared" ca="1" si="649"/>
        <v>-</v>
      </c>
      <c r="AF801" s="798" t="str">
        <f t="shared" si="650"/>
        <v>-</v>
      </c>
      <c r="AG801" s="812" t="str">
        <f t="shared" si="651"/>
        <v>---------</v>
      </c>
      <c r="AH801" s="807"/>
      <c r="AI801" s="807" t="str">
        <f t="shared" si="652"/>
        <v>-</v>
      </c>
      <c r="AJ801" s="807" t="str">
        <f t="shared" si="653"/>
        <v>-</v>
      </c>
      <c r="AK801" s="813"/>
      <c r="AL801" s="807" t="str">
        <f t="shared" si="654"/>
        <v>-</v>
      </c>
      <c r="AM801" s="807" t="str">
        <f t="shared" si="655"/>
        <v>-</v>
      </c>
      <c r="AN801" s="814" t="str">
        <f t="shared" ca="1" si="656"/>
        <v>-</v>
      </c>
      <c r="AO801" s="815">
        <v>1</v>
      </c>
      <c r="AP801" s="816" t="str">
        <f t="shared" ca="1" si="657"/>
        <v>-</v>
      </c>
      <c r="AQ801" s="817"/>
      <c r="AR801" s="794" t="str">
        <f t="shared" si="658"/>
        <v>-</v>
      </c>
      <c r="AS801" s="818"/>
      <c r="AT801" s="794" t="str">
        <f t="shared" si="659"/>
        <v>-</v>
      </c>
      <c r="AU801" s="819"/>
      <c r="AV801" s="865"/>
      <c r="AW801" s="821"/>
      <c r="AX801" s="821"/>
      <c r="AY801" s="969" t="str">
        <f t="shared" si="660"/>
        <v>-</v>
      </c>
      <c r="AZ801" s="966" t="str">
        <f t="shared" si="661"/>
        <v>-</v>
      </c>
      <c r="BA801" s="971" t="str">
        <f t="shared" si="662"/>
        <v>-</v>
      </c>
      <c r="BB801" s="975"/>
      <c r="BC801" s="821"/>
      <c r="BD801" s="821"/>
      <c r="BE801" s="963" t="str">
        <f t="shared" si="663"/>
        <v>-</v>
      </c>
      <c r="BF801" s="984"/>
      <c r="BG801" s="988"/>
      <c r="BH801" s="982"/>
      <c r="BI801" s="991"/>
      <c r="BJ801" s="991"/>
      <c r="BK801" s="993" t="str">
        <f t="shared" si="664"/>
        <v>-</v>
      </c>
      <c r="BL801" s="865"/>
      <c r="BM801" s="821"/>
      <c r="BN801" s="822" t="str">
        <f t="shared" si="665"/>
        <v>-</v>
      </c>
      <c r="BO801" s="823" t="str">
        <f t="shared" si="666"/>
        <v>-</v>
      </c>
      <c r="BP801" s="868"/>
      <c r="BQ801" s="821"/>
      <c r="BR801" s="822" t="str">
        <f t="shared" si="667"/>
        <v>-</v>
      </c>
      <c r="BS801" s="823" t="str">
        <f t="shared" si="668"/>
        <v>-</v>
      </c>
      <c r="BT801" s="825" t="str">
        <f t="shared" ca="1" si="669"/>
        <v>-</v>
      </c>
      <c r="BU801" s="860">
        <v>42900</v>
      </c>
      <c r="BV801" s="827">
        <v>2</v>
      </c>
      <c r="BW801" s="828">
        <f t="shared" si="670"/>
        <v>12</v>
      </c>
      <c r="BX801" s="829">
        <f t="shared" ca="1" si="671"/>
        <v>234</v>
      </c>
      <c r="BY801" s="830" t="str">
        <f t="shared" ca="1" si="672"/>
        <v>-</v>
      </c>
      <c r="BZ801" s="831">
        <v>42931</v>
      </c>
      <c r="CA801" s="832">
        <v>5</v>
      </c>
      <c r="CB801" s="833">
        <f t="shared" ca="1" si="673"/>
        <v>203</v>
      </c>
      <c r="CC801" s="834" t="str">
        <f t="shared" ca="1" si="674"/>
        <v>-</v>
      </c>
      <c r="CD801" s="835">
        <f t="shared" si="675"/>
        <v>42952</v>
      </c>
      <c r="CE801" s="831">
        <v>42954</v>
      </c>
      <c r="CF801" s="832">
        <v>5</v>
      </c>
      <c r="CG801" s="833">
        <f t="shared" ca="1" si="676"/>
        <v>180</v>
      </c>
      <c r="CH801" s="836">
        <f t="shared" si="677"/>
        <v>-2</v>
      </c>
      <c r="CI801" s="837" t="str">
        <f t="shared" si="678"/>
        <v>-</v>
      </c>
      <c r="CJ801" s="838" t="str">
        <f t="shared" ca="1" si="679"/>
        <v>-</v>
      </c>
      <c r="CK801" s="831"/>
      <c r="CL801" s="832"/>
      <c r="CM801" s="833" t="str">
        <f t="shared" si="680"/>
        <v>-</v>
      </c>
      <c r="CN801" s="834" t="str">
        <f t="shared" si="681"/>
        <v>-</v>
      </c>
      <c r="CO801" s="830" t="str">
        <f t="shared" ca="1" si="682"/>
        <v>-</v>
      </c>
      <c r="CP801" s="839"/>
      <c r="CQ801" s="832"/>
      <c r="CR801" s="833" t="str">
        <f t="shared" si="683"/>
        <v>-</v>
      </c>
      <c r="CS801" s="833" t="str">
        <f t="shared" si="684"/>
        <v>-</v>
      </c>
      <c r="CT801" s="834" t="str">
        <f t="shared" si="685"/>
        <v>-</v>
      </c>
      <c r="CU801" s="835" t="str">
        <f t="shared" si="686"/>
        <v>-</v>
      </c>
      <c r="CV801" s="839"/>
      <c r="CW801" s="832"/>
      <c r="CX801" s="833" t="str">
        <f t="shared" si="687"/>
        <v>-</v>
      </c>
      <c r="CY801" s="840" t="str">
        <f t="shared" si="688"/>
        <v>-</v>
      </c>
      <c r="CZ801" s="833" t="str">
        <f t="shared" si="689"/>
        <v>-</v>
      </c>
      <c r="DA801" s="838" t="str">
        <f t="shared" ca="1" si="690"/>
        <v>-</v>
      </c>
      <c r="DB801" s="841"/>
      <c r="DC801" s="832"/>
    </row>
    <row r="802" spans="1:107" x14ac:dyDescent="0.25">
      <c r="A802" s="790">
        <v>805</v>
      </c>
      <c r="B802" s="791">
        <f t="shared" ca="1" si="639"/>
        <v>43134</v>
      </c>
      <c r="C802" s="792" t="s">
        <v>2547</v>
      </c>
      <c r="D802" s="793" t="s">
        <v>1635</v>
      </c>
      <c r="E802" s="794" t="s">
        <v>1563</v>
      </c>
      <c r="F802" s="795" t="s">
        <v>2845</v>
      </c>
      <c r="G802" s="845"/>
      <c r="H802" s="797" t="s">
        <v>603</v>
      </c>
      <c r="I802" s="798">
        <v>42890</v>
      </c>
      <c r="J802" s="799">
        <f t="shared" ca="1" si="640"/>
        <v>0.66849315068493154</v>
      </c>
      <c r="K802" s="799">
        <f t="shared" ca="1" si="641"/>
        <v>8.1333333333333329</v>
      </c>
      <c r="L802" s="800">
        <f t="shared" ca="1" si="642"/>
        <v>244</v>
      </c>
      <c r="M802" s="801"/>
      <c r="N802" s="802"/>
      <c r="O802" s="803" t="str">
        <f t="shared" ca="1" si="643"/>
        <v>-</v>
      </c>
      <c r="P802" s="804"/>
      <c r="Q802" s="805"/>
      <c r="R802" s="806"/>
      <c r="S802" s="807"/>
      <c r="T802" s="798"/>
      <c r="U802" s="798" t="str">
        <f t="shared" si="644"/>
        <v>-</v>
      </c>
      <c r="V802" s="804" t="str">
        <f t="shared" ca="1" si="645"/>
        <v>-</v>
      </c>
      <c r="W802" s="808">
        <v>0</v>
      </c>
      <c r="X802" s="794" t="str">
        <f t="shared" si="638"/>
        <v>-</v>
      </c>
      <c r="Y802" s="794">
        <v>0</v>
      </c>
      <c r="Z802" s="809" t="str">
        <f t="shared" ca="1" si="646"/>
        <v>-----</v>
      </c>
      <c r="AA802" s="810">
        <f t="shared" ca="1" si="647"/>
        <v>43134</v>
      </c>
      <c r="AB802" s="804"/>
      <c r="AC802" s="811" t="str">
        <f t="shared" ca="1" si="648"/>
        <v>-----</v>
      </c>
      <c r="AD802" s="798"/>
      <c r="AE802" s="794" t="str">
        <f t="shared" ca="1" si="649"/>
        <v>-</v>
      </c>
      <c r="AF802" s="798" t="str">
        <f t="shared" si="650"/>
        <v>-</v>
      </c>
      <c r="AG802" s="812" t="str">
        <f t="shared" si="651"/>
        <v>---------</v>
      </c>
      <c r="AH802" s="807"/>
      <c r="AI802" s="807" t="str">
        <f t="shared" si="652"/>
        <v>-</v>
      </c>
      <c r="AJ802" s="807" t="str">
        <f t="shared" si="653"/>
        <v>-</v>
      </c>
      <c r="AK802" s="813"/>
      <c r="AL802" s="807" t="str">
        <f t="shared" si="654"/>
        <v>-</v>
      </c>
      <c r="AM802" s="807" t="str">
        <f t="shared" si="655"/>
        <v>-</v>
      </c>
      <c r="AN802" s="814" t="str">
        <f t="shared" ca="1" si="656"/>
        <v>-</v>
      </c>
      <c r="AO802" s="815">
        <v>1</v>
      </c>
      <c r="AP802" s="816" t="str">
        <f t="shared" ca="1" si="657"/>
        <v>-</v>
      </c>
      <c r="AQ802" s="817"/>
      <c r="AR802" s="794" t="str">
        <f t="shared" si="658"/>
        <v>-</v>
      </c>
      <c r="AS802" s="818"/>
      <c r="AT802" s="794" t="str">
        <f t="shared" si="659"/>
        <v>-</v>
      </c>
      <c r="AU802" s="819"/>
      <c r="AV802" s="865"/>
      <c r="AW802" s="821"/>
      <c r="AX802" s="821"/>
      <c r="AY802" s="969" t="str">
        <f t="shared" si="660"/>
        <v>-</v>
      </c>
      <c r="AZ802" s="966" t="str">
        <f t="shared" si="661"/>
        <v>-</v>
      </c>
      <c r="BA802" s="971" t="str">
        <f t="shared" si="662"/>
        <v>-</v>
      </c>
      <c r="BB802" s="975"/>
      <c r="BC802" s="821"/>
      <c r="BD802" s="821"/>
      <c r="BE802" s="963" t="str">
        <f t="shared" si="663"/>
        <v>-</v>
      </c>
      <c r="BF802" s="984"/>
      <c r="BG802" s="988"/>
      <c r="BH802" s="982"/>
      <c r="BI802" s="991"/>
      <c r="BJ802" s="991"/>
      <c r="BK802" s="993" t="str">
        <f t="shared" si="664"/>
        <v>-</v>
      </c>
      <c r="BL802" s="865"/>
      <c r="BM802" s="821"/>
      <c r="BN802" s="822" t="str">
        <f t="shared" si="665"/>
        <v>-</v>
      </c>
      <c r="BO802" s="823" t="str">
        <f t="shared" si="666"/>
        <v>-</v>
      </c>
      <c r="BP802" s="868"/>
      <c r="BQ802" s="821"/>
      <c r="BR802" s="822" t="str">
        <f t="shared" si="667"/>
        <v>-</v>
      </c>
      <c r="BS802" s="823" t="str">
        <f t="shared" si="668"/>
        <v>-</v>
      </c>
      <c r="BT802" s="825" t="str">
        <f t="shared" ca="1" si="669"/>
        <v>-</v>
      </c>
      <c r="BU802" s="860">
        <v>42900</v>
      </c>
      <c r="BV802" s="827">
        <v>2</v>
      </c>
      <c r="BW802" s="828">
        <f t="shared" si="670"/>
        <v>10</v>
      </c>
      <c r="BX802" s="829">
        <f t="shared" ca="1" si="671"/>
        <v>234</v>
      </c>
      <c r="BY802" s="830" t="str">
        <f t="shared" ca="1" si="672"/>
        <v>-</v>
      </c>
      <c r="BZ802" s="831">
        <v>42931</v>
      </c>
      <c r="CA802" s="832">
        <v>5</v>
      </c>
      <c r="CB802" s="833">
        <f t="shared" ca="1" si="673"/>
        <v>203</v>
      </c>
      <c r="CC802" s="834" t="str">
        <f t="shared" ca="1" si="674"/>
        <v>-</v>
      </c>
      <c r="CD802" s="835">
        <f t="shared" si="675"/>
        <v>42952</v>
      </c>
      <c r="CE802" s="831">
        <v>42954</v>
      </c>
      <c r="CF802" s="832">
        <v>5</v>
      </c>
      <c r="CG802" s="833">
        <f t="shared" ca="1" si="676"/>
        <v>180</v>
      </c>
      <c r="CH802" s="836">
        <f t="shared" si="677"/>
        <v>-2</v>
      </c>
      <c r="CI802" s="837" t="str">
        <f t="shared" si="678"/>
        <v>-</v>
      </c>
      <c r="CJ802" s="838" t="str">
        <f t="shared" ca="1" si="679"/>
        <v>-</v>
      </c>
      <c r="CK802" s="831"/>
      <c r="CL802" s="832"/>
      <c r="CM802" s="833" t="str">
        <f t="shared" si="680"/>
        <v>-</v>
      </c>
      <c r="CN802" s="834" t="str">
        <f t="shared" si="681"/>
        <v>-</v>
      </c>
      <c r="CO802" s="830" t="str">
        <f t="shared" ca="1" si="682"/>
        <v>-</v>
      </c>
      <c r="CP802" s="839"/>
      <c r="CQ802" s="832"/>
      <c r="CR802" s="833" t="str">
        <f t="shared" si="683"/>
        <v>-</v>
      </c>
      <c r="CS802" s="833" t="str">
        <f t="shared" si="684"/>
        <v>-</v>
      </c>
      <c r="CT802" s="834" t="str">
        <f t="shared" si="685"/>
        <v>-</v>
      </c>
      <c r="CU802" s="835" t="str">
        <f t="shared" si="686"/>
        <v>-</v>
      </c>
      <c r="CV802" s="839"/>
      <c r="CW802" s="832"/>
      <c r="CX802" s="833" t="str">
        <f t="shared" si="687"/>
        <v>-</v>
      </c>
      <c r="CY802" s="840" t="str">
        <f t="shared" si="688"/>
        <v>-</v>
      </c>
      <c r="CZ802" s="833" t="str">
        <f t="shared" si="689"/>
        <v>-</v>
      </c>
      <c r="DA802" s="838" t="str">
        <f t="shared" ca="1" si="690"/>
        <v>-</v>
      </c>
      <c r="DB802" s="841"/>
      <c r="DC802" s="832"/>
    </row>
    <row r="803" spans="1:107" x14ac:dyDescent="0.25">
      <c r="A803" s="790">
        <v>806</v>
      </c>
      <c r="B803" s="791">
        <f t="shared" ca="1" si="639"/>
        <v>43134</v>
      </c>
      <c r="C803" s="792" t="s">
        <v>2547</v>
      </c>
      <c r="D803" s="793" t="s">
        <v>1635</v>
      </c>
      <c r="E803" s="794" t="s">
        <v>1563</v>
      </c>
      <c r="F803" s="795" t="s">
        <v>2852</v>
      </c>
      <c r="G803" s="845"/>
      <c r="H803" s="797" t="s">
        <v>603</v>
      </c>
      <c r="I803" s="798">
        <v>42895</v>
      </c>
      <c r="J803" s="799">
        <f t="shared" ca="1" si="640"/>
        <v>0.65479452054794518</v>
      </c>
      <c r="K803" s="799">
        <f t="shared" ca="1" si="641"/>
        <v>7.9666666666666668</v>
      </c>
      <c r="L803" s="800">
        <f t="shared" ca="1" si="642"/>
        <v>239</v>
      </c>
      <c r="M803" s="801"/>
      <c r="N803" s="802"/>
      <c r="O803" s="803" t="str">
        <f t="shared" ca="1" si="643"/>
        <v>-</v>
      </c>
      <c r="P803" s="804"/>
      <c r="Q803" s="805"/>
      <c r="R803" s="806"/>
      <c r="S803" s="807"/>
      <c r="T803" s="798"/>
      <c r="U803" s="798" t="str">
        <f t="shared" si="644"/>
        <v>-</v>
      </c>
      <c r="V803" s="804" t="str">
        <f t="shared" ca="1" si="645"/>
        <v>-</v>
      </c>
      <c r="W803" s="808">
        <v>0</v>
      </c>
      <c r="X803" s="794" t="str">
        <f t="shared" si="638"/>
        <v>-</v>
      </c>
      <c r="Y803" s="794">
        <v>0</v>
      </c>
      <c r="Z803" s="809" t="str">
        <f t="shared" ca="1" si="646"/>
        <v>-----</v>
      </c>
      <c r="AA803" s="810">
        <f t="shared" ca="1" si="647"/>
        <v>43134</v>
      </c>
      <c r="AB803" s="804"/>
      <c r="AC803" s="811" t="str">
        <f t="shared" ca="1" si="648"/>
        <v>-----</v>
      </c>
      <c r="AD803" s="798"/>
      <c r="AE803" s="794" t="str">
        <f t="shared" ca="1" si="649"/>
        <v>-</v>
      </c>
      <c r="AF803" s="798" t="str">
        <f t="shared" si="650"/>
        <v>-</v>
      </c>
      <c r="AG803" s="812" t="str">
        <f t="shared" si="651"/>
        <v>---------</v>
      </c>
      <c r="AH803" s="807"/>
      <c r="AI803" s="807" t="str">
        <f t="shared" si="652"/>
        <v>-</v>
      </c>
      <c r="AJ803" s="807" t="str">
        <f t="shared" si="653"/>
        <v>-</v>
      </c>
      <c r="AK803" s="813"/>
      <c r="AL803" s="807" t="str">
        <f t="shared" si="654"/>
        <v>-</v>
      </c>
      <c r="AM803" s="807" t="str">
        <f t="shared" si="655"/>
        <v>-</v>
      </c>
      <c r="AN803" s="814" t="str">
        <f t="shared" ca="1" si="656"/>
        <v>-</v>
      </c>
      <c r="AO803" s="815">
        <v>1</v>
      </c>
      <c r="AP803" s="816" t="str">
        <f t="shared" ca="1" si="657"/>
        <v>-</v>
      </c>
      <c r="AQ803" s="817"/>
      <c r="AR803" s="794" t="str">
        <f t="shared" si="658"/>
        <v>-</v>
      </c>
      <c r="AS803" s="818"/>
      <c r="AT803" s="794" t="str">
        <f t="shared" si="659"/>
        <v>-</v>
      </c>
      <c r="AU803" s="819"/>
      <c r="AV803" s="865"/>
      <c r="AW803" s="821"/>
      <c r="AX803" s="821"/>
      <c r="AY803" s="969" t="str">
        <f t="shared" si="660"/>
        <v>-</v>
      </c>
      <c r="AZ803" s="966" t="str">
        <f t="shared" si="661"/>
        <v>-</v>
      </c>
      <c r="BA803" s="971" t="str">
        <f t="shared" si="662"/>
        <v>-</v>
      </c>
      <c r="BB803" s="975"/>
      <c r="BC803" s="821"/>
      <c r="BD803" s="821"/>
      <c r="BE803" s="963" t="str">
        <f t="shared" si="663"/>
        <v>-</v>
      </c>
      <c r="BF803" s="984"/>
      <c r="BG803" s="988"/>
      <c r="BH803" s="982"/>
      <c r="BI803" s="991"/>
      <c r="BJ803" s="991"/>
      <c r="BK803" s="993" t="str">
        <f t="shared" si="664"/>
        <v>-</v>
      </c>
      <c r="BL803" s="865"/>
      <c r="BM803" s="821"/>
      <c r="BN803" s="822" t="str">
        <f t="shared" si="665"/>
        <v>-</v>
      </c>
      <c r="BO803" s="823" t="str">
        <f t="shared" si="666"/>
        <v>-</v>
      </c>
      <c r="BP803" s="868"/>
      <c r="BQ803" s="821"/>
      <c r="BR803" s="822" t="str">
        <f t="shared" si="667"/>
        <v>-</v>
      </c>
      <c r="BS803" s="823" t="str">
        <f t="shared" si="668"/>
        <v>-</v>
      </c>
      <c r="BT803" s="825" t="str">
        <f t="shared" ca="1" si="669"/>
        <v>-</v>
      </c>
      <c r="BU803" s="860">
        <v>42900</v>
      </c>
      <c r="BV803" s="827">
        <v>2</v>
      </c>
      <c r="BW803" s="828">
        <f t="shared" si="670"/>
        <v>5</v>
      </c>
      <c r="BX803" s="829">
        <f t="shared" ca="1" si="671"/>
        <v>234</v>
      </c>
      <c r="BY803" s="830" t="str">
        <f t="shared" ca="1" si="672"/>
        <v>-</v>
      </c>
      <c r="BZ803" s="831">
        <v>42988</v>
      </c>
      <c r="CA803" s="832">
        <v>5</v>
      </c>
      <c r="CB803" s="833">
        <f t="shared" ca="1" si="673"/>
        <v>146</v>
      </c>
      <c r="CC803" s="834" t="str">
        <f t="shared" ca="1" si="674"/>
        <v>-</v>
      </c>
      <c r="CD803" s="835">
        <f t="shared" si="675"/>
        <v>43009</v>
      </c>
      <c r="CE803" s="831">
        <v>43009</v>
      </c>
      <c r="CF803" s="832">
        <v>5</v>
      </c>
      <c r="CG803" s="833">
        <f t="shared" ca="1" si="676"/>
        <v>125</v>
      </c>
      <c r="CH803" s="836">
        <f t="shared" si="677"/>
        <v>0</v>
      </c>
      <c r="CI803" s="837" t="str">
        <f t="shared" si="678"/>
        <v>УСПЕШНО</v>
      </c>
      <c r="CJ803" s="838" t="str">
        <f t="shared" ca="1" si="679"/>
        <v>-</v>
      </c>
      <c r="CK803" s="831"/>
      <c r="CL803" s="832"/>
      <c r="CM803" s="833" t="str">
        <f t="shared" si="680"/>
        <v>-</v>
      </c>
      <c r="CN803" s="834" t="str">
        <f t="shared" si="681"/>
        <v>-</v>
      </c>
      <c r="CO803" s="830" t="str">
        <f t="shared" ca="1" si="682"/>
        <v>-</v>
      </c>
      <c r="CP803" s="839"/>
      <c r="CQ803" s="832"/>
      <c r="CR803" s="833" t="str">
        <f t="shared" si="683"/>
        <v>-</v>
      </c>
      <c r="CS803" s="833" t="str">
        <f t="shared" si="684"/>
        <v>-</v>
      </c>
      <c r="CT803" s="834" t="str">
        <f t="shared" si="685"/>
        <v>-</v>
      </c>
      <c r="CU803" s="835" t="str">
        <f t="shared" si="686"/>
        <v>-</v>
      </c>
      <c r="CV803" s="839"/>
      <c r="CW803" s="832"/>
      <c r="CX803" s="833" t="str">
        <f t="shared" si="687"/>
        <v>-</v>
      </c>
      <c r="CY803" s="840" t="str">
        <f t="shared" si="688"/>
        <v>-</v>
      </c>
      <c r="CZ803" s="833" t="str">
        <f t="shared" si="689"/>
        <v>-</v>
      </c>
      <c r="DA803" s="838" t="str">
        <f t="shared" ca="1" si="690"/>
        <v>-</v>
      </c>
      <c r="DB803" s="841"/>
      <c r="DC803" s="832"/>
    </row>
    <row r="804" spans="1:107" x14ac:dyDescent="0.25">
      <c r="A804" s="790">
        <v>807</v>
      </c>
      <c r="B804" s="791">
        <f t="shared" ca="1" si="639"/>
        <v>43134</v>
      </c>
      <c r="C804" s="792" t="s">
        <v>2547</v>
      </c>
      <c r="D804" s="793" t="s">
        <v>1635</v>
      </c>
      <c r="E804" s="794" t="s">
        <v>1563</v>
      </c>
      <c r="F804" s="795" t="s">
        <v>2867</v>
      </c>
      <c r="G804" s="845"/>
      <c r="H804" s="797" t="s">
        <v>603</v>
      </c>
      <c r="I804" s="798">
        <v>42903</v>
      </c>
      <c r="J804" s="799">
        <f t="shared" ca="1" si="640"/>
        <v>0.63287671232876708</v>
      </c>
      <c r="K804" s="799">
        <f t="shared" ca="1" si="641"/>
        <v>7.7</v>
      </c>
      <c r="L804" s="800">
        <f t="shared" ca="1" si="642"/>
        <v>231</v>
      </c>
      <c r="M804" s="801"/>
      <c r="N804" s="802"/>
      <c r="O804" s="803" t="str">
        <f t="shared" ca="1" si="643"/>
        <v>-</v>
      </c>
      <c r="P804" s="804"/>
      <c r="Q804" s="805"/>
      <c r="R804" s="806"/>
      <c r="S804" s="807"/>
      <c r="T804" s="798"/>
      <c r="U804" s="798" t="str">
        <f t="shared" si="644"/>
        <v>-</v>
      </c>
      <c r="V804" s="804" t="str">
        <f t="shared" ca="1" si="645"/>
        <v>-</v>
      </c>
      <c r="W804" s="808">
        <v>0</v>
      </c>
      <c r="X804" s="794" t="str">
        <f t="shared" si="638"/>
        <v>-</v>
      </c>
      <c r="Y804" s="794">
        <v>0</v>
      </c>
      <c r="Z804" s="809" t="str">
        <f t="shared" ca="1" si="646"/>
        <v>-----</v>
      </c>
      <c r="AA804" s="810">
        <f t="shared" ca="1" si="647"/>
        <v>43134</v>
      </c>
      <c r="AB804" s="804"/>
      <c r="AC804" s="811" t="str">
        <f t="shared" ca="1" si="648"/>
        <v>-----</v>
      </c>
      <c r="AD804" s="798"/>
      <c r="AE804" s="794" t="str">
        <f t="shared" ca="1" si="649"/>
        <v>-</v>
      </c>
      <c r="AF804" s="798" t="str">
        <f t="shared" si="650"/>
        <v>-</v>
      </c>
      <c r="AG804" s="812" t="str">
        <f t="shared" si="651"/>
        <v>---------</v>
      </c>
      <c r="AH804" s="807"/>
      <c r="AI804" s="807" t="str">
        <f t="shared" si="652"/>
        <v>-</v>
      </c>
      <c r="AJ804" s="807" t="str">
        <f t="shared" si="653"/>
        <v>-</v>
      </c>
      <c r="AK804" s="813"/>
      <c r="AL804" s="807" t="str">
        <f t="shared" si="654"/>
        <v>-</v>
      </c>
      <c r="AM804" s="807" t="str">
        <f t="shared" si="655"/>
        <v>-</v>
      </c>
      <c r="AN804" s="814" t="str">
        <f t="shared" ca="1" si="656"/>
        <v>-</v>
      </c>
      <c r="AO804" s="815">
        <v>1</v>
      </c>
      <c r="AP804" s="816" t="str">
        <f t="shared" ca="1" si="657"/>
        <v>-</v>
      </c>
      <c r="AQ804" s="817"/>
      <c r="AR804" s="794" t="str">
        <f t="shared" si="658"/>
        <v>-</v>
      </c>
      <c r="AS804" s="818"/>
      <c r="AT804" s="794" t="str">
        <f t="shared" si="659"/>
        <v>-</v>
      </c>
      <c r="AU804" s="819"/>
      <c r="AV804" s="865"/>
      <c r="AW804" s="821"/>
      <c r="AX804" s="821"/>
      <c r="AY804" s="969" t="str">
        <f t="shared" si="660"/>
        <v>-</v>
      </c>
      <c r="AZ804" s="966" t="str">
        <f t="shared" si="661"/>
        <v>-</v>
      </c>
      <c r="BA804" s="971" t="str">
        <f t="shared" si="662"/>
        <v>-</v>
      </c>
      <c r="BB804" s="975"/>
      <c r="BC804" s="821"/>
      <c r="BD804" s="821"/>
      <c r="BE804" s="963" t="str">
        <f t="shared" si="663"/>
        <v>-</v>
      </c>
      <c r="BF804" s="984"/>
      <c r="BG804" s="988"/>
      <c r="BH804" s="982"/>
      <c r="BI804" s="991"/>
      <c r="BJ804" s="991"/>
      <c r="BK804" s="993" t="str">
        <f t="shared" si="664"/>
        <v>-</v>
      </c>
      <c r="BL804" s="865"/>
      <c r="BM804" s="821"/>
      <c r="BN804" s="822" t="str">
        <f t="shared" si="665"/>
        <v>-</v>
      </c>
      <c r="BO804" s="823" t="str">
        <f t="shared" si="666"/>
        <v>-</v>
      </c>
      <c r="BP804" s="868"/>
      <c r="BQ804" s="821"/>
      <c r="BR804" s="822" t="str">
        <f t="shared" si="667"/>
        <v>-</v>
      </c>
      <c r="BS804" s="823" t="str">
        <f t="shared" si="668"/>
        <v>-</v>
      </c>
      <c r="BT804" s="825" t="str">
        <f t="shared" ca="1" si="669"/>
        <v>-</v>
      </c>
      <c r="BU804" s="860">
        <v>42913</v>
      </c>
      <c r="BV804" s="827">
        <v>2</v>
      </c>
      <c r="BW804" s="828">
        <f t="shared" si="670"/>
        <v>10</v>
      </c>
      <c r="BX804" s="829">
        <f t="shared" ca="1" si="671"/>
        <v>221</v>
      </c>
      <c r="BY804" s="830" t="str">
        <f t="shared" ca="1" si="672"/>
        <v>-</v>
      </c>
      <c r="BZ804" s="831">
        <v>42988</v>
      </c>
      <c r="CA804" s="832">
        <v>5</v>
      </c>
      <c r="CB804" s="833">
        <f t="shared" ca="1" si="673"/>
        <v>146</v>
      </c>
      <c r="CC804" s="834" t="str">
        <f t="shared" ca="1" si="674"/>
        <v>-</v>
      </c>
      <c r="CD804" s="835">
        <f t="shared" si="675"/>
        <v>43009</v>
      </c>
      <c r="CE804" s="831">
        <v>43009</v>
      </c>
      <c r="CF804" s="832">
        <v>5</v>
      </c>
      <c r="CG804" s="833">
        <f t="shared" ca="1" si="676"/>
        <v>125</v>
      </c>
      <c r="CH804" s="836">
        <f t="shared" si="677"/>
        <v>0</v>
      </c>
      <c r="CI804" s="837" t="str">
        <f t="shared" si="678"/>
        <v>УСПЕШНО</v>
      </c>
      <c r="CJ804" s="838" t="str">
        <f t="shared" ca="1" si="679"/>
        <v>-</v>
      </c>
      <c r="CK804" s="831"/>
      <c r="CL804" s="832"/>
      <c r="CM804" s="833" t="str">
        <f t="shared" si="680"/>
        <v>-</v>
      </c>
      <c r="CN804" s="834" t="str">
        <f t="shared" si="681"/>
        <v>-</v>
      </c>
      <c r="CO804" s="830" t="str">
        <f t="shared" ca="1" si="682"/>
        <v>-</v>
      </c>
      <c r="CP804" s="839"/>
      <c r="CQ804" s="832"/>
      <c r="CR804" s="833" t="str">
        <f t="shared" si="683"/>
        <v>-</v>
      </c>
      <c r="CS804" s="833" t="str">
        <f t="shared" si="684"/>
        <v>-</v>
      </c>
      <c r="CT804" s="834" t="str">
        <f t="shared" si="685"/>
        <v>-</v>
      </c>
      <c r="CU804" s="835" t="str">
        <f t="shared" si="686"/>
        <v>-</v>
      </c>
      <c r="CV804" s="839"/>
      <c r="CW804" s="832"/>
      <c r="CX804" s="833" t="str">
        <f t="shared" si="687"/>
        <v>-</v>
      </c>
      <c r="CY804" s="840" t="str">
        <f t="shared" si="688"/>
        <v>-</v>
      </c>
      <c r="CZ804" s="833" t="str">
        <f t="shared" si="689"/>
        <v>-</v>
      </c>
      <c r="DA804" s="838" t="str">
        <f t="shared" ca="1" si="690"/>
        <v>-</v>
      </c>
      <c r="DB804" s="841"/>
      <c r="DC804" s="832"/>
    </row>
    <row r="805" spans="1:107" x14ac:dyDescent="0.25">
      <c r="A805" s="790">
        <v>808</v>
      </c>
      <c r="B805" s="791">
        <f t="shared" ca="1" si="639"/>
        <v>43134</v>
      </c>
      <c r="C805" s="792" t="s">
        <v>2547</v>
      </c>
      <c r="D805" s="793" t="s">
        <v>1635</v>
      </c>
      <c r="E805" s="794" t="s">
        <v>1563</v>
      </c>
      <c r="F805" s="795" t="s">
        <v>2869</v>
      </c>
      <c r="G805" s="845"/>
      <c r="H805" s="797" t="s">
        <v>603</v>
      </c>
      <c r="I805" s="798">
        <v>42905</v>
      </c>
      <c r="J805" s="799">
        <f t="shared" ca="1" si="640"/>
        <v>0.62739726027397258</v>
      </c>
      <c r="K805" s="799">
        <f t="shared" ca="1" si="641"/>
        <v>7.6333333333333337</v>
      </c>
      <c r="L805" s="800">
        <f t="shared" ca="1" si="642"/>
        <v>229</v>
      </c>
      <c r="M805" s="801"/>
      <c r="N805" s="802"/>
      <c r="O805" s="803" t="str">
        <f t="shared" ca="1" si="643"/>
        <v>-</v>
      </c>
      <c r="P805" s="804"/>
      <c r="Q805" s="805"/>
      <c r="R805" s="806"/>
      <c r="S805" s="807"/>
      <c r="T805" s="798"/>
      <c r="U805" s="798" t="str">
        <f t="shared" si="644"/>
        <v>-</v>
      </c>
      <c r="V805" s="804" t="str">
        <f t="shared" ca="1" si="645"/>
        <v>-</v>
      </c>
      <c r="W805" s="808">
        <v>0</v>
      </c>
      <c r="X805" s="794" t="str">
        <f t="shared" si="638"/>
        <v>-</v>
      </c>
      <c r="Y805" s="794">
        <v>0</v>
      </c>
      <c r="Z805" s="809" t="str">
        <f t="shared" ca="1" si="646"/>
        <v>-----</v>
      </c>
      <c r="AA805" s="810">
        <f t="shared" ca="1" si="647"/>
        <v>43134</v>
      </c>
      <c r="AB805" s="804"/>
      <c r="AC805" s="811" t="str">
        <f t="shared" ca="1" si="648"/>
        <v>-----</v>
      </c>
      <c r="AD805" s="798"/>
      <c r="AE805" s="794" t="str">
        <f t="shared" ca="1" si="649"/>
        <v>-</v>
      </c>
      <c r="AF805" s="798" t="str">
        <f t="shared" si="650"/>
        <v>-</v>
      </c>
      <c r="AG805" s="812" t="str">
        <f t="shared" si="651"/>
        <v>---------</v>
      </c>
      <c r="AH805" s="807"/>
      <c r="AI805" s="807" t="str">
        <f t="shared" si="652"/>
        <v>-</v>
      </c>
      <c r="AJ805" s="807" t="str">
        <f t="shared" si="653"/>
        <v>-</v>
      </c>
      <c r="AK805" s="813"/>
      <c r="AL805" s="807" t="str">
        <f t="shared" si="654"/>
        <v>-</v>
      </c>
      <c r="AM805" s="807" t="str">
        <f t="shared" si="655"/>
        <v>-</v>
      </c>
      <c r="AN805" s="814" t="str">
        <f t="shared" ca="1" si="656"/>
        <v>-</v>
      </c>
      <c r="AO805" s="815">
        <v>1</v>
      </c>
      <c r="AP805" s="816" t="str">
        <f t="shared" ca="1" si="657"/>
        <v>-</v>
      </c>
      <c r="AQ805" s="817"/>
      <c r="AR805" s="794" t="str">
        <f t="shared" si="658"/>
        <v>-</v>
      </c>
      <c r="AS805" s="818"/>
      <c r="AT805" s="794" t="str">
        <f t="shared" si="659"/>
        <v>-</v>
      </c>
      <c r="AU805" s="819"/>
      <c r="AV805" s="865"/>
      <c r="AW805" s="821"/>
      <c r="AX805" s="821"/>
      <c r="AY805" s="969" t="str">
        <f t="shared" si="660"/>
        <v>-</v>
      </c>
      <c r="AZ805" s="966" t="str">
        <f t="shared" si="661"/>
        <v>-</v>
      </c>
      <c r="BA805" s="971" t="str">
        <f t="shared" si="662"/>
        <v>-</v>
      </c>
      <c r="BB805" s="975"/>
      <c r="BC805" s="821"/>
      <c r="BD805" s="821"/>
      <c r="BE805" s="963" t="str">
        <f t="shared" si="663"/>
        <v>-</v>
      </c>
      <c r="BF805" s="984"/>
      <c r="BG805" s="988"/>
      <c r="BH805" s="982"/>
      <c r="BI805" s="991"/>
      <c r="BJ805" s="991"/>
      <c r="BK805" s="993" t="str">
        <f t="shared" si="664"/>
        <v>-</v>
      </c>
      <c r="BL805" s="865"/>
      <c r="BM805" s="821"/>
      <c r="BN805" s="822" t="str">
        <f t="shared" si="665"/>
        <v>-</v>
      </c>
      <c r="BO805" s="823" t="str">
        <f t="shared" si="666"/>
        <v>-</v>
      </c>
      <c r="BP805" s="868"/>
      <c r="BQ805" s="821"/>
      <c r="BR805" s="822" t="str">
        <f t="shared" si="667"/>
        <v>-</v>
      </c>
      <c r="BS805" s="823" t="str">
        <f t="shared" si="668"/>
        <v>-</v>
      </c>
      <c r="BT805" s="825" t="str">
        <f t="shared" ca="1" si="669"/>
        <v>-</v>
      </c>
      <c r="BU805" s="860">
        <v>42913</v>
      </c>
      <c r="BV805" s="827">
        <v>2</v>
      </c>
      <c r="BW805" s="828">
        <f t="shared" si="670"/>
        <v>8</v>
      </c>
      <c r="BX805" s="829">
        <f t="shared" ca="1" si="671"/>
        <v>221</v>
      </c>
      <c r="BY805" s="830" t="str">
        <f t="shared" ca="1" si="672"/>
        <v>-</v>
      </c>
      <c r="BZ805" s="831">
        <v>42988</v>
      </c>
      <c r="CA805" s="832">
        <v>5</v>
      </c>
      <c r="CB805" s="833">
        <f t="shared" ca="1" si="673"/>
        <v>146</v>
      </c>
      <c r="CC805" s="834" t="str">
        <f t="shared" ca="1" si="674"/>
        <v>-</v>
      </c>
      <c r="CD805" s="835">
        <f t="shared" si="675"/>
        <v>43009</v>
      </c>
      <c r="CE805" s="831">
        <v>43009</v>
      </c>
      <c r="CF805" s="832">
        <v>5</v>
      </c>
      <c r="CG805" s="833">
        <f t="shared" ca="1" si="676"/>
        <v>125</v>
      </c>
      <c r="CH805" s="836">
        <f t="shared" si="677"/>
        <v>0</v>
      </c>
      <c r="CI805" s="837" t="str">
        <f t="shared" si="678"/>
        <v>УСПЕШНО</v>
      </c>
      <c r="CJ805" s="838" t="str">
        <f t="shared" ca="1" si="679"/>
        <v>-</v>
      </c>
      <c r="CK805" s="831"/>
      <c r="CL805" s="832"/>
      <c r="CM805" s="833" t="str">
        <f t="shared" si="680"/>
        <v>-</v>
      </c>
      <c r="CN805" s="834" t="str">
        <f t="shared" si="681"/>
        <v>-</v>
      </c>
      <c r="CO805" s="830" t="str">
        <f t="shared" ca="1" si="682"/>
        <v>-</v>
      </c>
      <c r="CP805" s="839"/>
      <c r="CQ805" s="832"/>
      <c r="CR805" s="833" t="str">
        <f t="shared" si="683"/>
        <v>-</v>
      </c>
      <c r="CS805" s="833" t="str">
        <f t="shared" si="684"/>
        <v>-</v>
      </c>
      <c r="CT805" s="834" t="str">
        <f t="shared" si="685"/>
        <v>-</v>
      </c>
      <c r="CU805" s="835" t="str">
        <f t="shared" si="686"/>
        <v>-</v>
      </c>
      <c r="CV805" s="839"/>
      <c r="CW805" s="832"/>
      <c r="CX805" s="833" t="str">
        <f t="shared" si="687"/>
        <v>-</v>
      </c>
      <c r="CY805" s="840" t="str">
        <f t="shared" si="688"/>
        <v>-</v>
      </c>
      <c r="CZ805" s="833" t="str">
        <f t="shared" si="689"/>
        <v>-</v>
      </c>
      <c r="DA805" s="838" t="str">
        <f t="shared" ca="1" si="690"/>
        <v>-</v>
      </c>
      <c r="DB805" s="841"/>
      <c r="DC805" s="832"/>
    </row>
    <row r="806" spans="1:107" x14ac:dyDescent="0.25">
      <c r="A806" s="790">
        <v>809</v>
      </c>
      <c r="B806" s="791">
        <f t="shared" ca="1" si="639"/>
        <v>43134</v>
      </c>
      <c r="C806" s="792" t="s">
        <v>2547</v>
      </c>
      <c r="D806" s="793" t="s">
        <v>1635</v>
      </c>
      <c r="E806" s="794" t="s">
        <v>1563</v>
      </c>
      <c r="F806" s="795" t="s">
        <v>2872</v>
      </c>
      <c r="G806" s="845"/>
      <c r="H806" s="797" t="s">
        <v>603</v>
      </c>
      <c r="I806" s="798">
        <v>42906</v>
      </c>
      <c r="J806" s="799">
        <f t="shared" ca="1" si="640"/>
        <v>0.62465753424657533</v>
      </c>
      <c r="K806" s="799">
        <f t="shared" ca="1" si="641"/>
        <v>7.6</v>
      </c>
      <c r="L806" s="800">
        <f t="shared" ca="1" si="642"/>
        <v>228</v>
      </c>
      <c r="M806" s="801"/>
      <c r="N806" s="802"/>
      <c r="O806" s="803" t="str">
        <f t="shared" ca="1" si="643"/>
        <v>-</v>
      </c>
      <c r="P806" s="804"/>
      <c r="Q806" s="805"/>
      <c r="R806" s="806"/>
      <c r="S806" s="807"/>
      <c r="T806" s="798"/>
      <c r="U806" s="798" t="str">
        <f t="shared" si="644"/>
        <v>-</v>
      </c>
      <c r="V806" s="804" t="str">
        <f t="shared" ca="1" si="645"/>
        <v>-</v>
      </c>
      <c r="W806" s="808">
        <v>0</v>
      </c>
      <c r="X806" s="794" t="str">
        <f t="shared" si="638"/>
        <v>-</v>
      </c>
      <c r="Y806" s="794">
        <v>0</v>
      </c>
      <c r="Z806" s="809" t="str">
        <f t="shared" ca="1" si="646"/>
        <v>-----</v>
      </c>
      <c r="AA806" s="810">
        <f t="shared" ca="1" si="647"/>
        <v>43134</v>
      </c>
      <c r="AB806" s="804"/>
      <c r="AC806" s="811" t="str">
        <f t="shared" ca="1" si="648"/>
        <v>-----</v>
      </c>
      <c r="AD806" s="798"/>
      <c r="AE806" s="794" t="str">
        <f t="shared" ca="1" si="649"/>
        <v>-</v>
      </c>
      <c r="AF806" s="798" t="str">
        <f t="shared" si="650"/>
        <v>-</v>
      </c>
      <c r="AG806" s="812" t="str">
        <f t="shared" si="651"/>
        <v>---------</v>
      </c>
      <c r="AH806" s="807"/>
      <c r="AI806" s="807" t="str">
        <f t="shared" si="652"/>
        <v>-</v>
      </c>
      <c r="AJ806" s="807" t="str">
        <f t="shared" si="653"/>
        <v>-</v>
      </c>
      <c r="AK806" s="813"/>
      <c r="AL806" s="807" t="str">
        <f t="shared" si="654"/>
        <v>-</v>
      </c>
      <c r="AM806" s="807" t="str">
        <f t="shared" si="655"/>
        <v>-</v>
      </c>
      <c r="AN806" s="814" t="str">
        <f t="shared" ca="1" si="656"/>
        <v>-</v>
      </c>
      <c r="AO806" s="815">
        <v>1</v>
      </c>
      <c r="AP806" s="816" t="str">
        <f t="shared" ca="1" si="657"/>
        <v>-</v>
      </c>
      <c r="AQ806" s="817"/>
      <c r="AR806" s="794" t="str">
        <f t="shared" si="658"/>
        <v>-</v>
      </c>
      <c r="AS806" s="818"/>
      <c r="AT806" s="794" t="str">
        <f t="shared" si="659"/>
        <v>-</v>
      </c>
      <c r="AU806" s="819"/>
      <c r="AV806" s="865"/>
      <c r="AW806" s="821"/>
      <c r="AX806" s="821"/>
      <c r="AY806" s="969" t="str">
        <f t="shared" si="660"/>
        <v>-</v>
      </c>
      <c r="AZ806" s="966" t="str">
        <f t="shared" si="661"/>
        <v>-</v>
      </c>
      <c r="BA806" s="971" t="str">
        <f t="shared" si="662"/>
        <v>-</v>
      </c>
      <c r="BB806" s="975"/>
      <c r="BC806" s="821"/>
      <c r="BD806" s="821"/>
      <c r="BE806" s="963" t="str">
        <f t="shared" si="663"/>
        <v>-</v>
      </c>
      <c r="BF806" s="984"/>
      <c r="BG806" s="988"/>
      <c r="BH806" s="982"/>
      <c r="BI806" s="991"/>
      <c r="BJ806" s="991"/>
      <c r="BK806" s="993" t="str">
        <f t="shared" si="664"/>
        <v>-</v>
      </c>
      <c r="BL806" s="865"/>
      <c r="BM806" s="821"/>
      <c r="BN806" s="822" t="str">
        <f t="shared" si="665"/>
        <v>-</v>
      </c>
      <c r="BO806" s="823" t="str">
        <f t="shared" si="666"/>
        <v>-</v>
      </c>
      <c r="BP806" s="868"/>
      <c r="BQ806" s="821"/>
      <c r="BR806" s="822" t="str">
        <f t="shared" si="667"/>
        <v>-</v>
      </c>
      <c r="BS806" s="823" t="str">
        <f t="shared" si="668"/>
        <v>-</v>
      </c>
      <c r="BT806" s="825" t="str">
        <f t="shared" ca="1" si="669"/>
        <v>-</v>
      </c>
      <c r="BU806" s="860">
        <v>42913</v>
      </c>
      <c r="BV806" s="827">
        <v>2</v>
      </c>
      <c r="BW806" s="828">
        <f t="shared" si="670"/>
        <v>7</v>
      </c>
      <c r="BX806" s="829">
        <f t="shared" ca="1" si="671"/>
        <v>221</v>
      </c>
      <c r="BY806" s="830" t="str">
        <f t="shared" ca="1" si="672"/>
        <v>-</v>
      </c>
      <c r="BZ806" s="831">
        <v>42988</v>
      </c>
      <c r="CA806" s="832">
        <v>5</v>
      </c>
      <c r="CB806" s="833">
        <f t="shared" ca="1" si="673"/>
        <v>146</v>
      </c>
      <c r="CC806" s="834" t="str">
        <f t="shared" ca="1" si="674"/>
        <v>-</v>
      </c>
      <c r="CD806" s="835">
        <f t="shared" si="675"/>
        <v>43009</v>
      </c>
      <c r="CE806" s="831">
        <v>43009</v>
      </c>
      <c r="CF806" s="832">
        <v>5</v>
      </c>
      <c r="CG806" s="833">
        <f t="shared" ca="1" si="676"/>
        <v>125</v>
      </c>
      <c r="CH806" s="836">
        <f t="shared" si="677"/>
        <v>0</v>
      </c>
      <c r="CI806" s="837" t="str">
        <f t="shared" si="678"/>
        <v>УСПЕШНО</v>
      </c>
      <c r="CJ806" s="838" t="str">
        <f t="shared" ca="1" si="679"/>
        <v>-</v>
      </c>
      <c r="CK806" s="831"/>
      <c r="CL806" s="832"/>
      <c r="CM806" s="833" t="str">
        <f t="shared" si="680"/>
        <v>-</v>
      </c>
      <c r="CN806" s="834" t="str">
        <f t="shared" si="681"/>
        <v>-</v>
      </c>
      <c r="CO806" s="830" t="str">
        <f t="shared" ca="1" si="682"/>
        <v>-</v>
      </c>
      <c r="CP806" s="839"/>
      <c r="CQ806" s="832"/>
      <c r="CR806" s="833" t="str">
        <f t="shared" si="683"/>
        <v>-</v>
      </c>
      <c r="CS806" s="833" t="str">
        <f t="shared" si="684"/>
        <v>-</v>
      </c>
      <c r="CT806" s="834" t="str">
        <f t="shared" si="685"/>
        <v>-</v>
      </c>
      <c r="CU806" s="835" t="str">
        <f t="shared" si="686"/>
        <v>-</v>
      </c>
      <c r="CV806" s="839"/>
      <c r="CW806" s="832"/>
      <c r="CX806" s="833" t="str">
        <f t="shared" si="687"/>
        <v>-</v>
      </c>
      <c r="CY806" s="840" t="str">
        <f t="shared" si="688"/>
        <v>-</v>
      </c>
      <c r="CZ806" s="833" t="str">
        <f t="shared" si="689"/>
        <v>-</v>
      </c>
      <c r="DA806" s="838" t="str">
        <f t="shared" ca="1" si="690"/>
        <v>-</v>
      </c>
      <c r="DB806" s="841"/>
      <c r="DC806" s="832"/>
    </row>
    <row r="807" spans="1:107" x14ac:dyDescent="0.25">
      <c r="A807" s="790">
        <v>810</v>
      </c>
      <c r="B807" s="791">
        <f t="shared" ca="1" si="639"/>
        <v>43134</v>
      </c>
      <c r="C807" s="792" t="s">
        <v>2547</v>
      </c>
      <c r="D807" s="793" t="s">
        <v>1635</v>
      </c>
      <c r="E807" s="794" t="s">
        <v>1563</v>
      </c>
      <c r="F807" s="795" t="s">
        <v>2882</v>
      </c>
      <c r="G807" s="845"/>
      <c r="H807" s="797" t="s">
        <v>603</v>
      </c>
      <c r="I807" s="798">
        <v>42910</v>
      </c>
      <c r="J807" s="799">
        <f t="shared" ca="1" si="640"/>
        <v>0.61369863013698633</v>
      </c>
      <c r="K807" s="799">
        <f t="shared" ca="1" si="641"/>
        <v>7.4666666666666668</v>
      </c>
      <c r="L807" s="800">
        <f t="shared" ca="1" si="642"/>
        <v>224</v>
      </c>
      <c r="M807" s="801"/>
      <c r="N807" s="802"/>
      <c r="O807" s="803" t="str">
        <f t="shared" ca="1" si="643"/>
        <v>-</v>
      </c>
      <c r="P807" s="804"/>
      <c r="Q807" s="805"/>
      <c r="R807" s="806"/>
      <c r="S807" s="807"/>
      <c r="T807" s="798"/>
      <c r="U807" s="798" t="str">
        <f t="shared" si="644"/>
        <v>-</v>
      </c>
      <c r="V807" s="804" t="str">
        <f t="shared" ca="1" si="645"/>
        <v>-</v>
      </c>
      <c r="W807" s="808">
        <v>0</v>
      </c>
      <c r="X807" s="794" t="str">
        <f t="shared" si="638"/>
        <v>-</v>
      </c>
      <c r="Y807" s="794">
        <v>0</v>
      </c>
      <c r="Z807" s="809" t="str">
        <f t="shared" ca="1" si="646"/>
        <v>-----</v>
      </c>
      <c r="AA807" s="810">
        <f t="shared" ca="1" si="647"/>
        <v>43134</v>
      </c>
      <c r="AB807" s="804"/>
      <c r="AC807" s="811" t="str">
        <f t="shared" ca="1" si="648"/>
        <v>-----</v>
      </c>
      <c r="AD807" s="798"/>
      <c r="AE807" s="794" t="str">
        <f t="shared" ca="1" si="649"/>
        <v>-</v>
      </c>
      <c r="AF807" s="798" t="str">
        <f t="shared" si="650"/>
        <v>-</v>
      </c>
      <c r="AG807" s="812" t="str">
        <f t="shared" si="651"/>
        <v>---------</v>
      </c>
      <c r="AH807" s="807"/>
      <c r="AI807" s="807" t="str">
        <f t="shared" si="652"/>
        <v>-</v>
      </c>
      <c r="AJ807" s="807" t="str">
        <f t="shared" si="653"/>
        <v>-</v>
      </c>
      <c r="AK807" s="813"/>
      <c r="AL807" s="807" t="str">
        <f t="shared" si="654"/>
        <v>-</v>
      </c>
      <c r="AM807" s="807" t="str">
        <f t="shared" si="655"/>
        <v>-</v>
      </c>
      <c r="AN807" s="814" t="str">
        <f t="shared" ca="1" si="656"/>
        <v>-</v>
      </c>
      <c r="AO807" s="815">
        <v>1</v>
      </c>
      <c r="AP807" s="816" t="str">
        <f t="shared" ca="1" si="657"/>
        <v>-</v>
      </c>
      <c r="AQ807" s="817"/>
      <c r="AR807" s="794" t="str">
        <f t="shared" si="658"/>
        <v>-</v>
      </c>
      <c r="AS807" s="818"/>
      <c r="AT807" s="794" t="str">
        <f t="shared" si="659"/>
        <v>-</v>
      </c>
      <c r="AU807" s="819"/>
      <c r="AV807" s="865"/>
      <c r="AW807" s="821"/>
      <c r="AX807" s="821"/>
      <c r="AY807" s="969" t="str">
        <f t="shared" si="660"/>
        <v>-</v>
      </c>
      <c r="AZ807" s="966" t="str">
        <f t="shared" si="661"/>
        <v>-</v>
      </c>
      <c r="BA807" s="971" t="str">
        <f t="shared" si="662"/>
        <v>-</v>
      </c>
      <c r="BB807" s="975"/>
      <c r="BC807" s="821"/>
      <c r="BD807" s="821"/>
      <c r="BE807" s="963" t="str">
        <f t="shared" si="663"/>
        <v>-</v>
      </c>
      <c r="BF807" s="984"/>
      <c r="BG807" s="988"/>
      <c r="BH807" s="982"/>
      <c r="BI807" s="991"/>
      <c r="BJ807" s="991"/>
      <c r="BK807" s="993" t="str">
        <f t="shared" si="664"/>
        <v>-</v>
      </c>
      <c r="BL807" s="865"/>
      <c r="BM807" s="821"/>
      <c r="BN807" s="822" t="str">
        <f t="shared" si="665"/>
        <v>-</v>
      </c>
      <c r="BO807" s="823" t="str">
        <f t="shared" si="666"/>
        <v>-</v>
      </c>
      <c r="BP807" s="868"/>
      <c r="BQ807" s="821"/>
      <c r="BR807" s="822" t="str">
        <f t="shared" si="667"/>
        <v>-</v>
      </c>
      <c r="BS807" s="823" t="str">
        <f t="shared" si="668"/>
        <v>-</v>
      </c>
      <c r="BT807" s="825" t="str">
        <f t="shared" ca="1" si="669"/>
        <v>-</v>
      </c>
      <c r="BU807" s="860">
        <v>42913</v>
      </c>
      <c r="BV807" s="827">
        <v>2</v>
      </c>
      <c r="BW807" s="828">
        <f t="shared" si="670"/>
        <v>3</v>
      </c>
      <c r="BX807" s="829">
        <f t="shared" ca="1" si="671"/>
        <v>221</v>
      </c>
      <c r="BY807" s="830" t="str">
        <f t="shared" ca="1" si="672"/>
        <v>-</v>
      </c>
      <c r="BZ807" s="831">
        <v>42988</v>
      </c>
      <c r="CA807" s="832">
        <v>5</v>
      </c>
      <c r="CB807" s="833">
        <f t="shared" ca="1" si="673"/>
        <v>146</v>
      </c>
      <c r="CC807" s="834" t="str">
        <f t="shared" ca="1" si="674"/>
        <v>-</v>
      </c>
      <c r="CD807" s="835">
        <f t="shared" si="675"/>
        <v>43009</v>
      </c>
      <c r="CE807" s="831">
        <v>43009</v>
      </c>
      <c r="CF807" s="832">
        <v>5</v>
      </c>
      <c r="CG807" s="833">
        <f t="shared" ca="1" si="676"/>
        <v>125</v>
      </c>
      <c r="CH807" s="836">
        <f t="shared" si="677"/>
        <v>0</v>
      </c>
      <c r="CI807" s="837" t="str">
        <f t="shared" si="678"/>
        <v>УСПЕШНО</v>
      </c>
      <c r="CJ807" s="838" t="str">
        <f t="shared" ca="1" si="679"/>
        <v>-</v>
      </c>
      <c r="CK807" s="831"/>
      <c r="CL807" s="832"/>
      <c r="CM807" s="833" t="str">
        <f t="shared" si="680"/>
        <v>-</v>
      </c>
      <c r="CN807" s="834" t="str">
        <f t="shared" si="681"/>
        <v>-</v>
      </c>
      <c r="CO807" s="830" t="str">
        <f t="shared" ca="1" si="682"/>
        <v>-</v>
      </c>
      <c r="CP807" s="839"/>
      <c r="CQ807" s="832"/>
      <c r="CR807" s="833" t="str">
        <f t="shared" si="683"/>
        <v>-</v>
      </c>
      <c r="CS807" s="833" t="str">
        <f t="shared" si="684"/>
        <v>-</v>
      </c>
      <c r="CT807" s="834" t="str">
        <f t="shared" si="685"/>
        <v>-</v>
      </c>
      <c r="CU807" s="835" t="str">
        <f t="shared" si="686"/>
        <v>-</v>
      </c>
      <c r="CV807" s="839"/>
      <c r="CW807" s="832"/>
      <c r="CX807" s="833" t="str">
        <f t="shared" si="687"/>
        <v>-</v>
      </c>
      <c r="CY807" s="840" t="str">
        <f t="shared" si="688"/>
        <v>-</v>
      </c>
      <c r="CZ807" s="833" t="str">
        <f t="shared" si="689"/>
        <v>-</v>
      </c>
      <c r="DA807" s="838" t="str">
        <f t="shared" ca="1" si="690"/>
        <v>-</v>
      </c>
      <c r="DB807" s="841"/>
      <c r="DC807" s="832"/>
    </row>
    <row r="808" spans="1:107" x14ac:dyDescent="0.25">
      <c r="A808" s="790">
        <v>811</v>
      </c>
      <c r="B808" s="791">
        <f t="shared" ca="1" si="639"/>
        <v>43134</v>
      </c>
      <c r="C808" s="792" t="s">
        <v>2547</v>
      </c>
      <c r="D808" s="793" t="s">
        <v>1635</v>
      </c>
      <c r="E808" s="794" t="s">
        <v>1563</v>
      </c>
      <c r="F808" s="795" t="s">
        <v>2895</v>
      </c>
      <c r="G808" s="845"/>
      <c r="H808" s="797" t="s">
        <v>603</v>
      </c>
      <c r="I808" s="798">
        <v>42915</v>
      </c>
      <c r="J808" s="799">
        <f t="shared" ca="1" si="640"/>
        <v>0.6</v>
      </c>
      <c r="K808" s="799">
        <f t="shared" ca="1" si="641"/>
        <v>7.3</v>
      </c>
      <c r="L808" s="800">
        <f t="shared" ca="1" si="642"/>
        <v>219</v>
      </c>
      <c r="M808" s="801"/>
      <c r="N808" s="802"/>
      <c r="O808" s="803" t="str">
        <f t="shared" ca="1" si="643"/>
        <v>-</v>
      </c>
      <c r="P808" s="804"/>
      <c r="Q808" s="805"/>
      <c r="R808" s="806"/>
      <c r="S808" s="807"/>
      <c r="T808" s="798"/>
      <c r="U808" s="798" t="str">
        <f t="shared" si="644"/>
        <v>-</v>
      </c>
      <c r="V808" s="804" t="str">
        <f t="shared" ca="1" si="645"/>
        <v>-</v>
      </c>
      <c r="W808" s="808">
        <v>0</v>
      </c>
      <c r="X808" s="794" t="str">
        <f t="shared" si="638"/>
        <v>-</v>
      </c>
      <c r="Y808" s="794">
        <v>0</v>
      </c>
      <c r="Z808" s="809" t="str">
        <f t="shared" ca="1" si="646"/>
        <v>-----</v>
      </c>
      <c r="AA808" s="810">
        <f t="shared" ca="1" si="647"/>
        <v>43134</v>
      </c>
      <c r="AB808" s="804"/>
      <c r="AC808" s="811" t="str">
        <f t="shared" ca="1" si="648"/>
        <v>-----</v>
      </c>
      <c r="AD808" s="798"/>
      <c r="AE808" s="794" t="str">
        <f t="shared" ca="1" si="649"/>
        <v>-</v>
      </c>
      <c r="AF808" s="798" t="str">
        <f t="shared" si="650"/>
        <v>-</v>
      </c>
      <c r="AG808" s="812" t="str">
        <f t="shared" si="651"/>
        <v>---------</v>
      </c>
      <c r="AH808" s="807"/>
      <c r="AI808" s="807" t="str">
        <f t="shared" si="652"/>
        <v>-</v>
      </c>
      <c r="AJ808" s="807" t="str">
        <f t="shared" si="653"/>
        <v>-</v>
      </c>
      <c r="AK808" s="813"/>
      <c r="AL808" s="807" t="str">
        <f t="shared" si="654"/>
        <v>-</v>
      </c>
      <c r="AM808" s="807" t="str">
        <f t="shared" si="655"/>
        <v>-</v>
      </c>
      <c r="AN808" s="814" t="str">
        <f t="shared" ca="1" si="656"/>
        <v>-</v>
      </c>
      <c r="AO808" s="815">
        <v>1</v>
      </c>
      <c r="AP808" s="816" t="str">
        <f t="shared" ca="1" si="657"/>
        <v>-</v>
      </c>
      <c r="AQ808" s="817"/>
      <c r="AR808" s="794" t="str">
        <f t="shared" si="658"/>
        <v>-</v>
      </c>
      <c r="AS808" s="818"/>
      <c r="AT808" s="794" t="str">
        <f t="shared" si="659"/>
        <v>-</v>
      </c>
      <c r="AU808" s="819"/>
      <c r="AV808" s="865"/>
      <c r="AW808" s="821"/>
      <c r="AX808" s="821"/>
      <c r="AY808" s="969" t="str">
        <f t="shared" si="660"/>
        <v>-</v>
      </c>
      <c r="AZ808" s="966" t="str">
        <f t="shared" si="661"/>
        <v>-</v>
      </c>
      <c r="BA808" s="971" t="str">
        <f t="shared" si="662"/>
        <v>-</v>
      </c>
      <c r="BB808" s="975"/>
      <c r="BC808" s="821"/>
      <c r="BD808" s="821"/>
      <c r="BE808" s="963" t="str">
        <f t="shared" si="663"/>
        <v>-</v>
      </c>
      <c r="BF808" s="984"/>
      <c r="BG808" s="988"/>
      <c r="BH808" s="982"/>
      <c r="BI808" s="991"/>
      <c r="BJ808" s="991"/>
      <c r="BK808" s="993" t="str">
        <f t="shared" si="664"/>
        <v>-</v>
      </c>
      <c r="BL808" s="865"/>
      <c r="BM808" s="821"/>
      <c r="BN808" s="822" t="str">
        <f t="shared" si="665"/>
        <v>-</v>
      </c>
      <c r="BO808" s="823" t="str">
        <f t="shared" si="666"/>
        <v>-</v>
      </c>
      <c r="BP808" s="868"/>
      <c r="BQ808" s="821"/>
      <c r="BR808" s="822" t="str">
        <f t="shared" si="667"/>
        <v>-</v>
      </c>
      <c r="BS808" s="823" t="str">
        <f t="shared" si="668"/>
        <v>-</v>
      </c>
      <c r="BT808" s="825" t="str">
        <f t="shared" ca="1" si="669"/>
        <v>-</v>
      </c>
      <c r="BU808" s="860">
        <v>42920</v>
      </c>
      <c r="BV808" s="827">
        <v>2</v>
      </c>
      <c r="BW808" s="828">
        <f t="shared" si="670"/>
        <v>5</v>
      </c>
      <c r="BX808" s="829">
        <f t="shared" ca="1" si="671"/>
        <v>214</v>
      </c>
      <c r="BY808" s="830" t="str">
        <f t="shared" ca="1" si="672"/>
        <v>-</v>
      </c>
      <c r="BZ808" s="831">
        <v>42988</v>
      </c>
      <c r="CA808" s="832">
        <v>5</v>
      </c>
      <c r="CB808" s="833">
        <f t="shared" ca="1" si="673"/>
        <v>146</v>
      </c>
      <c r="CC808" s="834" t="str">
        <f t="shared" ca="1" si="674"/>
        <v>-</v>
      </c>
      <c r="CD808" s="835">
        <f t="shared" si="675"/>
        <v>43009</v>
      </c>
      <c r="CE808" s="831">
        <v>43009</v>
      </c>
      <c r="CF808" s="832">
        <v>5</v>
      </c>
      <c r="CG808" s="833">
        <f t="shared" ca="1" si="676"/>
        <v>125</v>
      </c>
      <c r="CH808" s="836">
        <f t="shared" si="677"/>
        <v>0</v>
      </c>
      <c r="CI808" s="837" t="str">
        <f t="shared" si="678"/>
        <v>УСПЕШНО</v>
      </c>
      <c r="CJ808" s="838" t="str">
        <f t="shared" ca="1" si="679"/>
        <v>-</v>
      </c>
      <c r="CK808" s="831"/>
      <c r="CL808" s="832"/>
      <c r="CM808" s="833" t="str">
        <f t="shared" si="680"/>
        <v>-</v>
      </c>
      <c r="CN808" s="834" t="str">
        <f t="shared" si="681"/>
        <v>-</v>
      </c>
      <c r="CO808" s="830" t="str">
        <f t="shared" ca="1" si="682"/>
        <v>-</v>
      </c>
      <c r="CP808" s="839"/>
      <c r="CQ808" s="832"/>
      <c r="CR808" s="833" t="str">
        <f t="shared" si="683"/>
        <v>-</v>
      </c>
      <c r="CS808" s="833" t="str">
        <f t="shared" si="684"/>
        <v>-</v>
      </c>
      <c r="CT808" s="834" t="str">
        <f t="shared" si="685"/>
        <v>-</v>
      </c>
      <c r="CU808" s="835" t="str">
        <f t="shared" si="686"/>
        <v>-</v>
      </c>
      <c r="CV808" s="839"/>
      <c r="CW808" s="832"/>
      <c r="CX808" s="833" t="str">
        <f t="shared" si="687"/>
        <v>-</v>
      </c>
      <c r="CY808" s="840" t="str">
        <f t="shared" si="688"/>
        <v>-</v>
      </c>
      <c r="CZ808" s="833" t="str">
        <f t="shared" si="689"/>
        <v>-</v>
      </c>
      <c r="DA808" s="838" t="str">
        <f t="shared" ca="1" si="690"/>
        <v>-</v>
      </c>
      <c r="DB808" s="841"/>
      <c r="DC808" s="832"/>
    </row>
    <row r="809" spans="1:107" x14ac:dyDescent="0.25">
      <c r="A809" s="790">
        <v>812</v>
      </c>
      <c r="B809" s="791">
        <f t="shared" ca="1" si="639"/>
        <v>43134</v>
      </c>
      <c r="C809" s="792" t="s">
        <v>2547</v>
      </c>
      <c r="D809" s="793" t="s">
        <v>1635</v>
      </c>
      <c r="E809" s="794" t="s">
        <v>1563</v>
      </c>
      <c r="F809" s="795" t="s">
        <v>2903</v>
      </c>
      <c r="G809" s="845"/>
      <c r="H809" s="797" t="s">
        <v>603</v>
      </c>
      <c r="I809" s="798">
        <v>42916</v>
      </c>
      <c r="J809" s="799">
        <f t="shared" ca="1" si="640"/>
        <v>0.59726027397260273</v>
      </c>
      <c r="K809" s="799">
        <f t="shared" ca="1" si="641"/>
        <v>7.2666666666666666</v>
      </c>
      <c r="L809" s="800">
        <f t="shared" ca="1" si="642"/>
        <v>218</v>
      </c>
      <c r="M809" s="801"/>
      <c r="N809" s="802"/>
      <c r="O809" s="803" t="str">
        <f t="shared" ca="1" si="643"/>
        <v>-</v>
      </c>
      <c r="P809" s="804"/>
      <c r="Q809" s="805"/>
      <c r="R809" s="806"/>
      <c r="S809" s="807"/>
      <c r="T809" s="798"/>
      <c r="U809" s="798" t="str">
        <f t="shared" si="644"/>
        <v>-</v>
      </c>
      <c r="V809" s="804" t="str">
        <f t="shared" ca="1" si="645"/>
        <v>-</v>
      </c>
      <c r="W809" s="808">
        <v>0</v>
      </c>
      <c r="X809" s="794" t="str">
        <f t="shared" si="638"/>
        <v>-</v>
      </c>
      <c r="Y809" s="794">
        <v>0</v>
      </c>
      <c r="Z809" s="809" t="str">
        <f t="shared" ca="1" si="646"/>
        <v>-----</v>
      </c>
      <c r="AA809" s="810">
        <f t="shared" ca="1" si="647"/>
        <v>43134</v>
      </c>
      <c r="AB809" s="804"/>
      <c r="AC809" s="811" t="str">
        <f t="shared" ca="1" si="648"/>
        <v>-----</v>
      </c>
      <c r="AD809" s="798"/>
      <c r="AE809" s="794" t="str">
        <f t="shared" ca="1" si="649"/>
        <v>-</v>
      </c>
      <c r="AF809" s="798" t="str">
        <f t="shared" si="650"/>
        <v>-</v>
      </c>
      <c r="AG809" s="812" t="str">
        <f t="shared" si="651"/>
        <v>---------</v>
      </c>
      <c r="AH809" s="807"/>
      <c r="AI809" s="807" t="str">
        <f t="shared" si="652"/>
        <v>-</v>
      </c>
      <c r="AJ809" s="807" t="str">
        <f t="shared" si="653"/>
        <v>-</v>
      </c>
      <c r="AK809" s="813"/>
      <c r="AL809" s="807" t="str">
        <f t="shared" si="654"/>
        <v>-</v>
      </c>
      <c r="AM809" s="807" t="str">
        <f t="shared" si="655"/>
        <v>-</v>
      </c>
      <c r="AN809" s="814" t="str">
        <f t="shared" ca="1" si="656"/>
        <v>-</v>
      </c>
      <c r="AO809" s="815">
        <v>1</v>
      </c>
      <c r="AP809" s="816" t="str">
        <f t="shared" ca="1" si="657"/>
        <v>-</v>
      </c>
      <c r="AQ809" s="817"/>
      <c r="AR809" s="794" t="str">
        <f t="shared" si="658"/>
        <v>-</v>
      </c>
      <c r="AS809" s="818"/>
      <c r="AT809" s="794" t="str">
        <f t="shared" si="659"/>
        <v>-</v>
      </c>
      <c r="AU809" s="819"/>
      <c r="AV809" s="865"/>
      <c r="AW809" s="821"/>
      <c r="AX809" s="821"/>
      <c r="AY809" s="969" t="str">
        <f t="shared" si="660"/>
        <v>-</v>
      </c>
      <c r="AZ809" s="966" t="str">
        <f t="shared" si="661"/>
        <v>-</v>
      </c>
      <c r="BA809" s="971" t="str">
        <f t="shared" si="662"/>
        <v>-</v>
      </c>
      <c r="BB809" s="975"/>
      <c r="BC809" s="821"/>
      <c r="BD809" s="821"/>
      <c r="BE809" s="963" t="str">
        <f t="shared" si="663"/>
        <v>-</v>
      </c>
      <c r="BF809" s="984"/>
      <c r="BG809" s="988"/>
      <c r="BH809" s="982"/>
      <c r="BI809" s="991"/>
      <c r="BJ809" s="991"/>
      <c r="BK809" s="993" t="str">
        <f t="shared" si="664"/>
        <v>-</v>
      </c>
      <c r="BL809" s="865"/>
      <c r="BM809" s="821"/>
      <c r="BN809" s="822" t="str">
        <f t="shared" si="665"/>
        <v>-</v>
      </c>
      <c r="BO809" s="823" t="str">
        <f t="shared" si="666"/>
        <v>-</v>
      </c>
      <c r="BP809" s="868"/>
      <c r="BQ809" s="821"/>
      <c r="BR809" s="822" t="str">
        <f t="shared" si="667"/>
        <v>-</v>
      </c>
      <c r="BS809" s="823" t="str">
        <f t="shared" si="668"/>
        <v>-</v>
      </c>
      <c r="BT809" s="825" t="str">
        <f t="shared" ca="1" si="669"/>
        <v>-</v>
      </c>
      <c r="BU809" s="860">
        <v>42920</v>
      </c>
      <c r="BV809" s="827">
        <v>2</v>
      </c>
      <c r="BW809" s="828">
        <f t="shared" si="670"/>
        <v>4</v>
      </c>
      <c r="BX809" s="829">
        <f t="shared" ca="1" si="671"/>
        <v>214</v>
      </c>
      <c r="BY809" s="830" t="str">
        <f t="shared" ca="1" si="672"/>
        <v>-</v>
      </c>
      <c r="BZ809" s="831">
        <v>42988</v>
      </c>
      <c r="CA809" s="832">
        <v>5</v>
      </c>
      <c r="CB809" s="833">
        <f t="shared" ca="1" si="673"/>
        <v>146</v>
      </c>
      <c r="CC809" s="834" t="str">
        <f t="shared" ca="1" si="674"/>
        <v>-</v>
      </c>
      <c r="CD809" s="835">
        <f t="shared" si="675"/>
        <v>43009</v>
      </c>
      <c r="CE809" s="831">
        <v>43009</v>
      </c>
      <c r="CF809" s="832">
        <v>5</v>
      </c>
      <c r="CG809" s="833">
        <f t="shared" ca="1" si="676"/>
        <v>125</v>
      </c>
      <c r="CH809" s="836">
        <f t="shared" si="677"/>
        <v>0</v>
      </c>
      <c r="CI809" s="837" t="str">
        <f t="shared" si="678"/>
        <v>УСПЕШНО</v>
      </c>
      <c r="CJ809" s="838" t="str">
        <f t="shared" ca="1" si="679"/>
        <v>-</v>
      </c>
      <c r="CK809" s="831"/>
      <c r="CL809" s="832"/>
      <c r="CM809" s="833" t="str">
        <f t="shared" si="680"/>
        <v>-</v>
      </c>
      <c r="CN809" s="834" t="str">
        <f t="shared" si="681"/>
        <v>-</v>
      </c>
      <c r="CO809" s="830" t="str">
        <f t="shared" ca="1" si="682"/>
        <v>-</v>
      </c>
      <c r="CP809" s="839"/>
      <c r="CQ809" s="832"/>
      <c r="CR809" s="833" t="str">
        <f t="shared" si="683"/>
        <v>-</v>
      </c>
      <c r="CS809" s="833" t="str">
        <f t="shared" si="684"/>
        <v>-</v>
      </c>
      <c r="CT809" s="834" t="str">
        <f t="shared" si="685"/>
        <v>-</v>
      </c>
      <c r="CU809" s="835" t="str">
        <f t="shared" si="686"/>
        <v>-</v>
      </c>
      <c r="CV809" s="839"/>
      <c r="CW809" s="832"/>
      <c r="CX809" s="833" t="str">
        <f t="shared" si="687"/>
        <v>-</v>
      </c>
      <c r="CY809" s="840" t="str">
        <f t="shared" si="688"/>
        <v>-</v>
      </c>
      <c r="CZ809" s="833" t="str">
        <f t="shared" si="689"/>
        <v>-</v>
      </c>
      <c r="DA809" s="838" t="str">
        <f t="shared" ca="1" si="690"/>
        <v>-</v>
      </c>
      <c r="DB809" s="841"/>
      <c r="DC809" s="832"/>
    </row>
    <row r="810" spans="1:107" x14ac:dyDescent="0.25">
      <c r="A810" s="790">
        <v>813</v>
      </c>
      <c r="B810" s="791">
        <f t="shared" ca="1" si="639"/>
        <v>43134</v>
      </c>
      <c r="C810" s="792" t="s">
        <v>2547</v>
      </c>
      <c r="D810" s="793" t="s">
        <v>1635</v>
      </c>
      <c r="E810" s="794" t="s">
        <v>1563</v>
      </c>
      <c r="F810" s="795" t="s">
        <v>2904</v>
      </c>
      <c r="G810" s="845"/>
      <c r="H810" s="797" t="s">
        <v>603</v>
      </c>
      <c r="I810" s="798">
        <v>42916</v>
      </c>
      <c r="J810" s="799">
        <f t="shared" ca="1" si="640"/>
        <v>0.59726027397260273</v>
      </c>
      <c r="K810" s="799">
        <f t="shared" ca="1" si="641"/>
        <v>7.2666666666666666</v>
      </c>
      <c r="L810" s="800">
        <f t="shared" ca="1" si="642"/>
        <v>218</v>
      </c>
      <c r="M810" s="801"/>
      <c r="N810" s="802"/>
      <c r="O810" s="803" t="str">
        <f t="shared" ca="1" si="643"/>
        <v>-</v>
      </c>
      <c r="P810" s="804"/>
      <c r="Q810" s="805"/>
      <c r="R810" s="806"/>
      <c r="S810" s="807"/>
      <c r="T810" s="798"/>
      <c r="U810" s="798" t="str">
        <f t="shared" si="644"/>
        <v>-</v>
      </c>
      <c r="V810" s="804" t="str">
        <f t="shared" ca="1" si="645"/>
        <v>-</v>
      </c>
      <c r="W810" s="808">
        <v>0</v>
      </c>
      <c r="X810" s="794" t="str">
        <f t="shared" si="638"/>
        <v>-</v>
      </c>
      <c r="Y810" s="794">
        <v>0</v>
      </c>
      <c r="Z810" s="809" t="str">
        <f t="shared" ca="1" si="646"/>
        <v>-----</v>
      </c>
      <c r="AA810" s="810">
        <f t="shared" ca="1" si="647"/>
        <v>43134</v>
      </c>
      <c r="AB810" s="804"/>
      <c r="AC810" s="811" t="str">
        <f t="shared" ca="1" si="648"/>
        <v>-----</v>
      </c>
      <c r="AD810" s="798"/>
      <c r="AE810" s="794" t="str">
        <f t="shared" ca="1" si="649"/>
        <v>-</v>
      </c>
      <c r="AF810" s="798" t="str">
        <f t="shared" si="650"/>
        <v>-</v>
      </c>
      <c r="AG810" s="812" t="str">
        <f t="shared" si="651"/>
        <v>---------</v>
      </c>
      <c r="AH810" s="807"/>
      <c r="AI810" s="807" t="str">
        <f t="shared" si="652"/>
        <v>-</v>
      </c>
      <c r="AJ810" s="807" t="str">
        <f t="shared" si="653"/>
        <v>-</v>
      </c>
      <c r="AK810" s="813"/>
      <c r="AL810" s="807" t="str">
        <f t="shared" si="654"/>
        <v>-</v>
      </c>
      <c r="AM810" s="807" t="str">
        <f t="shared" si="655"/>
        <v>-</v>
      </c>
      <c r="AN810" s="814" t="str">
        <f t="shared" ca="1" si="656"/>
        <v>-</v>
      </c>
      <c r="AO810" s="815">
        <v>1</v>
      </c>
      <c r="AP810" s="816" t="str">
        <f t="shared" ca="1" si="657"/>
        <v>-</v>
      </c>
      <c r="AQ810" s="817"/>
      <c r="AR810" s="794" t="str">
        <f t="shared" si="658"/>
        <v>-</v>
      </c>
      <c r="AS810" s="818"/>
      <c r="AT810" s="794" t="str">
        <f t="shared" si="659"/>
        <v>-</v>
      </c>
      <c r="AU810" s="819"/>
      <c r="AV810" s="865"/>
      <c r="AW810" s="821"/>
      <c r="AX810" s="821"/>
      <c r="AY810" s="969" t="str">
        <f t="shared" si="660"/>
        <v>-</v>
      </c>
      <c r="AZ810" s="966" t="str">
        <f t="shared" si="661"/>
        <v>-</v>
      </c>
      <c r="BA810" s="971" t="str">
        <f t="shared" si="662"/>
        <v>-</v>
      </c>
      <c r="BB810" s="975"/>
      <c r="BC810" s="821"/>
      <c r="BD810" s="821"/>
      <c r="BE810" s="963" t="str">
        <f t="shared" si="663"/>
        <v>-</v>
      </c>
      <c r="BF810" s="984"/>
      <c r="BG810" s="988"/>
      <c r="BH810" s="982"/>
      <c r="BI810" s="991"/>
      <c r="BJ810" s="991"/>
      <c r="BK810" s="993" t="str">
        <f t="shared" si="664"/>
        <v>-</v>
      </c>
      <c r="BL810" s="865"/>
      <c r="BM810" s="821"/>
      <c r="BN810" s="822" t="str">
        <f t="shared" si="665"/>
        <v>-</v>
      </c>
      <c r="BO810" s="823" t="str">
        <f t="shared" si="666"/>
        <v>-</v>
      </c>
      <c r="BP810" s="868"/>
      <c r="BQ810" s="821"/>
      <c r="BR810" s="822" t="str">
        <f t="shared" si="667"/>
        <v>-</v>
      </c>
      <c r="BS810" s="823" t="str">
        <f t="shared" si="668"/>
        <v>-</v>
      </c>
      <c r="BT810" s="825" t="str">
        <f t="shared" ca="1" si="669"/>
        <v>-</v>
      </c>
      <c r="BU810" s="860">
        <v>42920</v>
      </c>
      <c r="BV810" s="827">
        <v>2</v>
      </c>
      <c r="BW810" s="828">
        <f t="shared" si="670"/>
        <v>4</v>
      </c>
      <c r="BX810" s="829">
        <f t="shared" ca="1" si="671"/>
        <v>214</v>
      </c>
      <c r="BY810" s="830" t="str">
        <f t="shared" ca="1" si="672"/>
        <v>-</v>
      </c>
      <c r="BZ810" s="831">
        <v>42988</v>
      </c>
      <c r="CA810" s="832">
        <v>5</v>
      </c>
      <c r="CB810" s="833">
        <f t="shared" ca="1" si="673"/>
        <v>146</v>
      </c>
      <c r="CC810" s="834" t="str">
        <f t="shared" ca="1" si="674"/>
        <v>-</v>
      </c>
      <c r="CD810" s="835">
        <f t="shared" si="675"/>
        <v>43009</v>
      </c>
      <c r="CE810" s="831">
        <v>43009</v>
      </c>
      <c r="CF810" s="832">
        <v>5</v>
      </c>
      <c r="CG810" s="833">
        <f t="shared" ca="1" si="676"/>
        <v>125</v>
      </c>
      <c r="CH810" s="836">
        <f t="shared" si="677"/>
        <v>0</v>
      </c>
      <c r="CI810" s="837" t="str">
        <f t="shared" si="678"/>
        <v>УСПЕШНО</v>
      </c>
      <c r="CJ810" s="838" t="str">
        <f t="shared" ca="1" si="679"/>
        <v>-</v>
      </c>
      <c r="CK810" s="831"/>
      <c r="CL810" s="832"/>
      <c r="CM810" s="833" t="str">
        <f t="shared" si="680"/>
        <v>-</v>
      </c>
      <c r="CN810" s="834" t="str">
        <f t="shared" si="681"/>
        <v>-</v>
      </c>
      <c r="CO810" s="830" t="str">
        <f t="shared" ca="1" si="682"/>
        <v>-</v>
      </c>
      <c r="CP810" s="839"/>
      <c r="CQ810" s="832"/>
      <c r="CR810" s="833" t="str">
        <f t="shared" si="683"/>
        <v>-</v>
      </c>
      <c r="CS810" s="833" t="str">
        <f t="shared" si="684"/>
        <v>-</v>
      </c>
      <c r="CT810" s="834" t="str">
        <f t="shared" si="685"/>
        <v>-</v>
      </c>
      <c r="CU810" s="835" t="str">
        <f t="shared" si="686"/>
        <v>-</v>
      </c>
      <c r="CV810" s="839"/>
      <c r="CW810" s="832"/>
      <c r="CX810" s="833" t="str">
        <f t="shared" si="687"/>
        <v>-</v>
      </c>
      <c r="CY810" s="840" t="str">
        <f t="shared" si="688"/>
        <v>-</v>
      </c>
      <c r="CZ810" s="833" t="str">
        <f t="shared" si="689"/>
        <v>-</v>
      </c>
      <c r="DA810" s="838" t="str">
        <f t="shared" ca="1" si="690"/>
        <v>-</v>
      </c>
      <c r="DB810" s="841"/>
      <c r="DC810" s="832"/>
    </row>
    <row r="811" spans="1:107" x14ac:dyDescent="0.25">
      <c r="A811" s="790">
        <v>814</v>
      </c>
      <c r="B811" s="791">
        <f t="shared" ca="1" si="639"/>
        <v>43134</v>
      </c>
      <c r="C811" s="792" t="s">
        <v>2547</v>
      </c>
      <c r="D811" s="793" t="s">
        <v>1635</v>
      </c>
      <c r="E811" s="794" t="s">
        <v>1563</v>
      </c>
      <c r="F811" s="795" t="s">
        <v>2905</v>
      </c>
      <c r="G811" s="845"/>
      <c r="H811" s="797" t="s">
        <v>603</v>
      </c>
      <c r="I811" s="798">
        <v>42916</v>
      </c>
      <c r="J811" s="799">
        <f t="shared" ca="1" si="640"/>
        <v>0.59726027397260273</v>
      </c>
      <c r="K811" s="799">
        <f t="shared" ca="1" si="641"/>
        <v>7.2666666666666666</v>
      </c>
      <c r="L811" s="800">
        <f t="shared" ca="1" si="642"/>
        <v>218</v>
      </c>
      <c r="M811" s="801"/>
      <c r="N811" s="802"/>
      <c r="O811" s="803" t="str">
        <f t="shared" ca="1" si="643"/>
        <v>-</v>
      </c>
      <c r="P811" s="804"/>
      <c r="Q811" s="805"/>
      <c r="R811" s="806"/>
      <c r="S811" s="807"/>
      <c r="T811" s="798"/>
      <c r="U811" s="798" t="str">
        <f t="shared" si="644"/>
        <v>-</v>
      </c>
      <c r="V811" s="804" t="str">
        <f t="shared" ca="1" si="645"/>
        <v>-</v>
      </c>
      <c r="W811" s="808">
        <v>0</v>
      </c>
      <c r="X811" s="794" t="str">
        <f t="shared" si="638"/>
        <v>-</v>
      </c>
      <c r="Y811" s="794">
        <v>0</v>
      </c>
      <c r="Z811" s="809" t="str">
        <f t="shared" ca="1" si="646"/>
        <v>-----</v>
      </c>
      <c r="AA811" s="810">
        <f t="shared" ca="1" si="647"/>
        <v>43134</v>
      </c>
      <c r="AB811" s="804"/>
      <c r="AC811" s="811" t="str">
        <f t="shared" ca="1" si="648"/>
        <v>-----</v>
      </c>
      <c r="AD811" s="798"/>
      <c r="AE811" s="794" t="str">
        <f t="shared" ca="1" si="649"/>
        <v>-</v>
      </c>
      <c r="AF811" s="798" t="str">
        <f t="shared" si="650"/>
        <v>-</v>
      </c>
      <c r="AG811" s="812" t="str">
        <f t="shared" si="651"/>
        <v>---------</v>
      </c>
      <c r="AH811" s="807"/>
      <c r="AI811" s="807" t="str">
        <f t="shared" si="652"/>
        <v>-</v>
      </c>
      <c r="AJ811" s="807" t="str">
        <f t="shared" si="653"/>
        <v>-</v>
      </c>
      <c r="AK811" s="813"/>
      <c r="AL811" s="807" t="str">
        <f t="shared" si="654"/>
        <v>-</v>
      </c>
      <c r="AM811" s="807" t="str">
        <f t="shared" si="655"/>
        <v>-</v>
      </c>
      <c r="AN811" s="814" t="str">
        <f t="shared" ca="1" si="656"/>
        <v>-</v>
      </c>
      <c r="AO811" s="815">
        <v>1</v>
      </c>
      <c r="AP811" s="816" t="str">
        <f t="shared" ca="1" si="657"/>
        <v>-</v>
      </c>
      <c r="AQ811" s="817"/>
      <c r="AR811" s="794" t="str">
        <f t="shared" si="658"/>
        <v>-</v>
      </c>
      <c r="AS811" s="818"/>
      <c r="AT811" s="794" t="str">
        <f t="shared" si="659"/>
        <v>-</v>
      </c>
      <c r="AU811" s="819"/>
      <c r="AV811" s="865"/>
      <c r="AW811" s="821"/>
      <c r="AX811" s="821"/>
      <c r="AY811" s="969" t="str">
        <f t="shared" si="660"/>
        <v>-</v>
      </c>
      <c r="AZ811" s="966" t="str">
        <f t="shared" si="661"/>
        <v>-</v>
      </c>
      <c r="BA811" s="971" t="str">
        <f t="shared" si="662"/>
        <v>-</v>
      </c>
      <c r="BB811" s="975"/>
      <c r="BC811" s="821"/>
      <c r="BD811" s="821"/>
      <c r="BE811" s="963" t="str">
        <f t="shared" si="663"/>
        <v>-</v>
      </c>
      <c r="BF811" s="984"/>
      <c r="BG811" s="988"/>
      <c r="BH811" s="982"/>
      <c r="BI811" s="991"/>
      <c r="BJ811" s="991"/>
      <c r="BK811" s="993" t="str">
        <f t="shared" si="664"/>
        <v>-</v>
      </c>
      <c r="BL811" s="865"/>
      <c r="BM811" s="821"/>
      <c r="BN811" s="822" t="str">
        <f t="shared" si="665"/>
        <v>-</v>
      </c>
      <c r="BO811" s="823" t="str">
        <f t="shared" si="666"/>
        <v>-</v>
      </c>
      <c r="BP811" s="868"/>
      <c r="BQ811" s="821"/>
      <c r="BR811" s="822" t="str">
        <f t="shared" si="667"/>
        <v>-</v>
      </c>
      <c r="BS811" s="823" t="str">
        <f t="shared" si="668"/>
        <v>-</v>
      </c>
      <c r="BT811" s="825" t="str">
        <f t="shared" ca="1" si="669"/>
        <v>-</v>
      </c>
      <c r="BU811" s="860">
        <v>42920</v>
      </c>
      <c r="BV811" s="827">
        <v>2</v>
      </c>
      <c r="BW811" s="828">
        <f t="shared" si="670"/>
        <v>4</v>
      </c>
      <c r="BX811" s="829">
        <f t="shared" ca="1" si="671"/>
        <v>214</v>
      </c>
      <c r="BY811" s="830" t="str">
        <f t="shared" ca="1" si="672"/>
        <v>-</v>
      </c>
      <c r="BZ811" s="831">
        <v>42988</v>
      </c>
      <c r="CA811" s="832">
        <v>5</v>
      </c>
      <c r="CB811" s="833">
        <f t="shared" ca="1" si="673"/>
        <v>146</v>
      </c>
      <c r="CC811" s="834" t="str">
        <f t="shared" ca="1" si="674"/>
        <v>-</v>
      </c>
      <c r="CD811" s="835">
        <f t="shared" si="675"/>
        <v>43009</v>
      </c>
      <c r="CE811" s="831">
        <v>43009</v>
      </c>
      <c r="CF811" s="832">
        <v>5</v>
      </c>
      <c r="CG811" s="833">
        <f t="shared" ca="1" si="676"/>
        <v>125</v>
      </c>
      <c r="CH811" s="836">
        <f t="shared" si="677"/>
        <v>0</v>
      </c>
      <c r="CI811" s="837" t="str">
        <f t="shared" si="678"/>
        <v>УСПЕШНО</v>
      </c>
      <c r="CJ811" s="838" t="str">
        <f t="shared" ca="1" si="679"/>
        <v>-</v>
      </c>
      <c r="CK811" s="831"/>
      <c r="CL811" s="832"/>
      <c r="CM811" s="833" t="str">
        <f t="shared" si="680"/>
        <v>-</v>
      </c>
      <c r="CN811" s="834" t="str">
        <f t="shared" si="681"/>
        <v>-</v>
      </c>
      <c r="CO811" s="830" t="str">
        <f t="shared" ca="1" si="682"/>
        <v>-</v>
      </c>
      <c r="CP811" s="839"/>
      <c r="CQ811" s="832"/>
      <c r="CR811" s="833" t="str">
        <f t="shared" si="683"/>
        <v>-</v>
      </c>
      <c r="CS811" s="833" t="str">
        <f t="shared" si="684"/>
        <v>-</v>
      </c>
      <c r="CT811" s="834" t="str">
        <f t="shared" si="685"/>
        <v>-</v>
      </c>
      <c r="CU811" s="835" t="str">
        <f t="shared" si="686"/>
        <v>-</v>
      </c>
      <c r="CV811" s="839"/>
      <c r="CW811" s="832"/>
      <c r="CX811" s="833" t="str">
        <f t="shared" si="687"/>
        <v>-</v>
      </c>
      <c r="CY811" s="840" t="str">
        <f t="shared" si="688"/>
        <v>-</v>
      </c>
      <c r="CZ811" s="833" t="str">
        <f t="shared" si="689"/>
        <v>-</v>
      </c>
      <c r="DA811" s="838" t="str">
        <f t="shared" ca="1" si="690"/>
        <v>-</v>
      </c>
      <c r="DB811" s="841"/>
      <c r="DC811" s="832"/>
    </row>
    <row r="812" spans="1:107" x14ac:dyDescent="0.25">
      <c r="A812" s="790">
        <v>815</v>
      </c>
      <c r="B812" s="791">
        <f t="shared" ca="1" si="639"/>
        <v>43134</v>
      </c>
      <c r="C812" s="792" t="s">
        <v>2547</v>
      </c>
      <c r="D812" s="793" t="s">
        <v>1635</v>
      </c>
      <c r="E812" s="794" t="s">
        <v>1563</v>
      </c>
      <c r="F812" s="795" t="s">
        <v>2906</v>
      </c>
      <c r="G812" s="845"/>
      <c r="H812" s="797" t="s">
        <v>603</v>
      </c>
      <c r="I812" s="798">
        <v>42916</v>
      </c>
      <c r="J812" s="799">
        <f t="shared" ca="1" si="640"/>
        <v>0.59726027397260273</v>
      </c>
      <c r="K812" s="799">
        <f t="shared" ca="1" si="641"/>
        <v>7.2666666666666666</v>
      </c>
      <c r="L812" s="800">
        <f t="shared" ca="1" si="642"/>
        <v>218</v>
      </c>
      <c r="M812" s="801"/>
      <c r="N812" s="802"/>
      <c r="O812" s="803" t="str">
        <f t="shared" ca="1" si="643"/>
        <v>-</v>
      </c>
      <c r="P812" s="804"/>
      <c r="Q812" s="805"/>
      <c r="R812" s="806"/>
      <c r="S812" s="807"/>
      <c r="T812" s="798"/>
      <c r="U812" s="798" t="str">
        <f t="shared" si="644"/>
        <v>-</v>
      </c>
      <c r="V812" s="804" t="str">
        <f t="shared" ca="1" si="645"/>
        <v>-</v>
      </c>
      <c r="W812" s="808">
        <v>0</v>
      </c>
      <c r="X812" s="794" t="str">
        <f t="shared" si="638"/>
        <v>-</v>
      </c>
      <c r="Y812" s="794">
        <v>0</v>
      </c>
      <c r="Z812" s="809" t="str">
        <f t="shared" ca="1" si="646"/>
        <v>-----</v>
      </c>
      <c r="AA812" s="810">
        <f t="shared" ca="1" si="647"/>
        <v>43134</v>
      </c>
      <c r="AB812" s="804"/>
      <c r="AC812" s="811" t="str">
        <f t="shared" ca="1" si="648"/>
        <v>-----</v>
      </c>
      <c r="AD812" s="798"/>
      <c r="AE812" s="794" t="str">
        <f t="shared" ca="1" si="649"/>
        <v>-</v>
      </c>
      <c r="AF812" s="798" t="str">
        <f t="shared" si="650"/>
        <v>-</v>
      </c>
      <c r="AG812" s="812" t="str">
        <f t="shared" si="651"/>
        <v>---------</v>
      </c>
      <c r="AH812" s="807"/>
      <c r="AI812" s="807" t="str">
        <f t="shared" si="652"/>
        <v>-</v>
      </c>
      <c r="AJ812" s="807" t="str">
        <f t="shared" si="653"/>
        <v>-</v>
      </c>
      <c r="AK812" s="813"/>
      <c r="AL812" s="807" t="str">
        <f t="shared" si="654"/>
        <v>-</v>
      </c>
      <c r="AM812" s="807" t="str">
        <f t="shared" si="655"/>
        <v>-</v>
      </c>
      <c r="AN812" s="814" t="str">
        <f t="shared" ca="1" si="656"/>
        <v>-</v>
      </c>
      <c r="AO812" s="815">
        <v>1</v>
      </c>
      <c r="AP812" s="816" t="str">
        <f t="shared" ca="1" si="657"/>
        <v>-</v>
      </c>
      <c r="AQ812" s="817"/>
      <c r="AR812" s="794" t="str">
        <f t="shared" si="658"/>
        <v>-</v>
      </c>
      <c r="AS812" s="818"/>
      <c r="AT812" s="794" t="str">
        <f t="shared" si="659"/>
        <v>-</v>
      </c>
      <c r="AU812" s="819"/>
      <c r="AV812" s="865"/>
      <c r="AW812" s="821"/>
      <c r="AX812" s="821"/>
      <c r="AY812" s="969" t="str">
        <f t="shared" si="660"/>
        <v>-</v>
      </c>
      <c r="AZ812" s="966" t="str">
        <f t="shared" si="661"/>
        <v>-</v>
      </c>
      <c r="BA812" s="971" t="str">
        <f t="shared" si="662"/>
        <v>-</v>
      </c>
      <c r="BB812" s="975"/>
      <c r="BC812" s="821"/>
      <c r="BD812" s="821"/>
      <c r="BE812" s="963" t="str">
        <f t="shared" si="663"/>
        <v>-</v>
      </c>
      <c r="BF812" s="984"/>
      <c r="BG812" s="988"/>
      <c r="BH812" s="982"/>
      <c r="BI812" s="991"/>
      <c r="BJ812" s="991"/>
      <c r="BK812" s="993" t="str">
        <f t="shared" si="664"/>
        <v>-</v>
      </c>
      <c r="BL812" s="865"/>
      <c r="BM812" s="821"/>
      <c r="BN812" s="822" t="str">
        <f t="shared" si="665"/>
        <v>-</v>
      </c>
      <c r="BO812" s="823" t="str">
        <f t="shared" si="666"/>
        <v>-</v>
      </c>
      <c r="BP812" s="868"/>
      <c r="BQ812" s="821"/>
      <c r="BR812" s="822" t="str">
        <f t="shared" si="667"/>
        <v>-</v>
      </c>
      <c r="BS812" s="823" t="str">
        <f t="shared" si="668"/>
        <v>-</v>
      </c>
      <c r="BT812" s="825" t="str">
        <f t="shared" ca="1" si="669"/>
        <v>-</v>
      </c>
      <c r="BU812" s="860">
        <v>42920</v>
      </c>
      <c r="BV812" s="827">
        <v>2</v>
      </c>
      <c r="BW812" s="828">
        <f t="shared" si="670"/>
        <v>4</v>
      </c>
      <c r="BX812" s="829">
        <f t="shared" ca="1" si="671"/>
        <v>214</v>
      </c>
      <c r="BY812" s="830" t="str">
        <f t="shared" ca="1" si="672"/>
        <v>-</v>
      </c>
      <c r="BZ812" s="831">
        <v>42988</v>
      </c>
      <c r="CA812" s="832">
        <v>5</v>
      </c>
      <c r="CB812" s="833">
        <f t="shared" ca="1" si="673"/>
        <v>146</v>
      </c>
      <c r="CC812" s="834" t="str">
        <f t="shared" ca="1" si="674"/>
        <v>-</v>
      </c>
      <c r="CD812" s="835">
        <f t="shared" si="675"/>
        <v>43009</v>
      </c>
      <c r="CE812" s="831">
        <v>43009</v>
      </c>
      <c r="CF812" s="832">
        <v>5</v>
      </c>
      <c r="CG812" s="833">
        <f t="shared" ca="1" si="676"/>
        <v>125</v>
      </c>
      <c r="CH812" s="836">
        <f t="shared" si="677"/>
        <v>0</v>
      </c>
      <c r="CI812" s="837" t="str">
        <f t="shared" si="678"/>
        <v>УСПЕШНО</v>
      </c>
      <c r="CJ812" s="838" t="str">
        <f t="shared" ca="1" si="679"/>
        <v>-</v>
      </c>
      <c r="CK812" s="831"/>
      <c r="CL812" s="832"/>
      <c r="CM812" s="833" t="str">
        <f t="shared" si="680"/>
        <v>-</v>
      </c>
      <c r="CN812" s="834" t="str">
        <f t="shared" si="681"/>
        <v>-</v>
      </c>
      <c r="CO812" s="830" t="str">
        <f t="shared" ca="1" si="682"/>
        <v>-</v>
      </c>
      <c r="CP812" s="839"/>
      <c r="CQ812" s="832"/>
      <c r="CR812" s="833" t="str">
        <f t="shared" si="683"/>
        <v>-</v>
      </c>
      <c r="CS812" s="833" t="str">
        <f t="shared" si="684"/>
        <v>-</v>
      </c>
      <c r="CT812" s="834" t="str">
        <f t="shared" si="685"/>
        <v>-</v>
      </c>
      <c r="CU812" s="835" t="str">
        <f t="shared" si="686"/>
        <v>-</v>
      </c>
      <c r="CV812" s="839"/>
      <c r="CW812" s="832"/>
      <c r="CX812" s="833" t="str">
        <f t="shared" si="687"/>
        <v>-</v>
      </c>
      <c r="CY812" s="840" t="str">
        <f t="shared" si="688"/>
        <v>-</v>
      </c>
      <c r="CZ812" s="833" t="str">
        <f t="shared" si="689"/>
        <v>-</v>
      </c>
      <c r="DA812" s="838" t="str">
        <f t="shared" ca="1" si="690"/>
        <v>-</v>
      </c>
      <c r="DB812" s="841"/>
      <c r="DC812" s="832"/>
    </row>
    <row r="813" spans="1:107" x14ac:dyDescent="0.25">
      <c r="A813" s="790">
        <v>816</v>
      </c>
      <c r="B813" s="791">
        <f t="shared" ca="1" si="639"/>
        <v>43134</v>
      </c>
      <c r="C813" s="792" t="s">
        <v>2547</v>
      </c>
      <c r="D813" s="793" t="s">
        <v>1635</v>
      </c>
      <c r="E813" s="794" t="s">
        <v>1563</v>
      </c>
      <c r="F813" s="795" t="s">
        <v>2910</v>
      </c>
      <c r="G813" s="845"/>
      <c r="H813" s="797" t="s">
        <v>603</v>
      </c>
      <c r="I813" s="798">
        <v>42917</v>
      </c>
      <c r="J813" s="799">
        <f t="shared" ca="1" si="640"/>
        <v>0.59452054794520548</v>
      </c>
      <c r="K813" s="799">
        <f t="shared" ca="1" si="641"/>
        <v>7.2333333333333334</v>
      </c>
      <c r="L813" s="800">
        <f t="shared" ca="1" si="642"/>
        <v>217</v>
      </c>
      <c r="M813" s="801"/>
      <c r="N813" s="802"/>
      <c r="O813" s="803" t="str">
        <f t="shared" ca="1" si="643"/>
        <v>-</v>
      </c>
      <c r="P813" s="804"/>
      <c r="Q813" s="805"/>
      <c r="R813" s="806"/>
      <c r="S813" s="807"/>
      <c r="T813" s="798"/>
      <c r="U813" s="798" t="str">
        <f t="shared" si="644"/>
        <v>-</v>
      </c>
      <c r="V813" s="804" t="str">
        <f t="shared" ca="1" si="645"/>
        <v>-</v>
      </c>
      <c r="W813" s="808">
        <v>0</v>
      </c>
      <c r="X813" s="794" t="str">
        <f t="shared" si="638"/>
        <v>-</v>
      </c>
      <c r="Y813" s="794">
        <v>0</v>
      </c>
      <c r="Z813" s="809" t="str">
        <f t="shared" ca="1" si="646"/>
        <v>-----</v>
      </c>
      <c r="AA813" s="810">
        <f t="shared" ca="1" si="647"/>
        <v>43134</v>
      </c>
      <c r="AB813" s="804"/>
      <c r="AC813" s="811" t="str">
        <f t="shared" ca="1" si="648"/>
        <v>-----</v>
      </c>
      <c r="AD813" s="798"/>
      <c r="AE813" s="794" t="str">
        <f t="shared" ca="1" si="649"/>
        <v>-</v>
      </c>
      <c r="AF813" s="798" t="str">
        <f t="shared" si="650"/>
        <v>-</v>
      </c>
      <c r="AG813" s="812" t="str">
        <f t="shared" si="651"/>
        <v>---------</v>
      </c>
      <c r="AH813" s="807"/>
      <c r="AI813" s="807" t="str">
        <f t="shared" si="652"/>
        <v>-</v>
      </c>
      <c r="AJ813" s="807" t="str">
        <f t="shared" si="653"/>
        <v>-</v>
      </c>
      <c r="AK813" s="813"/>
      <c r="AL813" s="807" t="str">
        <f t="shared" si="654"/>
        <v>-</v>
      </c>
      <c r="AM813" s="807" t="str">
        <f t="shared" si="655"/>
        <v>-</v>
      </c>
      <c r="AN813" s="814" t="str">
        <f t="shared" ca="1" si="656"/>
        <v>-</v>
      </c>
      <c r="AO813" s="815">
        <v>1</v>
      </c>
      <c r="AP813" s="816" t="str">
        <f t="shared" ca="1" si="657"/>
        <v>-</v>
      </c>
      <c r="AQ813" s="817"/>
      <c r="AR813" s="794" t="str">
        <f t="shared" si="658"/>
        <v>-</v>
      </c>
      <c r="AS813" s="818"/>
      <c r="AT813" s="794" t="str">
        <f t="shared" si="659"/>
        <v>-</v>
      </c>
      <c r="AU813" s="819"/>
      <c r="AV813" s="865"/>
      <c r="AW813" s="821"/>
      <c r="AX813" s="821"/>
      <c r="AY813" s="969" t="str">
        <f t="shared" si="660"/>
        <v>-</v>
      </c>
      <c r="AZ813" s="966" t="str">
        <f t="shared" si="661"/>
        <v>-</v>
      </c>
      <c r="BA813" s="971" t="str">
        <f t="shared" si="662"/>
        <v>-</v>
      </c>
      <c r="BB813" s="975"/>
      <c r="BC813" s="821"/>
      <c r="BD813" s="821"/>
      <c r="BE813" s="963" t="str">
        <f t="shared" si="663"/>
        <v>-</v>
      </c>
      <c r="BF813" s="984"/>
      <c r="BG813" s="988"/>
      <c r="BH813" s="982"/>
      <c r="BI813" s="991"/>
      <c r="BJ813" s="991"/>
      <c r="BK813" s="993" t="str">
        <f t="shared" si="664"/>
        <v>-</v>
      </c>
      <c r="BL813" s="865"/>
      <c r="BM813" s="821"/>
      <c r="BN813" s="822" t="str">
        <f t="shared" si="665"/>
        <v>-</v>
      </c>
      <c r="BO813" s="823" t="str">
        <f t="shared" si="666"/>
        <v>-</v>
      </c>
      <c r="BP813" s="868"/>
      <c r="BQ813" s="821"/>
      <c r="BR813" s="822" t="str">
        <f t="shared" si="667"/>
        <v>-</v>
      </c>
      <c r="BS813" s="823" t="str">
        <f t="shared" si="668"/>
        <v>-</v>
      </c>
      <c r="BT813" s="825" t="str">
        <f t="shared" ca="1" si="669"/>
        <v>-</v>
      </c>
      <c r="BU813" s="860">
        <v>42920</v>
      </c>
      <c r="BV813" s="827">
        <v>2</v>
      </c>
      <c r="BW813" s="828">
        <f t="shared" si="670"/>
        <v>3</v>
      </c>
      <c r="BX813" s="829">
        <f t="shared" ca="1" si="671"/>
        <v>214</v>
      </c>
      <c r="BY813" s="830" t="str">
        <f t="shared" ca="1" si="672"/>
        <v>-</v>
      </c>
      <c r="BZ813" s="831">
        <v>42988</v>
      </c>
      <c r="CA813" s="832">
        <v>5</v>
      </c>
      <c r="CB813" s="833">
        <f t="shared" ca="1" si="673"/>
        <v>146</v>
      </c>
      <c r="CC813" s="834" t="str">
        <f t="shared" ca="1" si="674"/>
        <v>-</v>
      </c>
      <c r="CD813" s="835">
        <f t="shared" si="675"/>
        <v>43009</v>
      </c>
      <c r="CE813" s="831">
        <v>43009</v>
      </c>
      <c r="CF813" s="832">
        <v>5</v>
      </c>
      <c r="CG813" s="833">
        <f t="shared" ca="1" si="676"/>
        <v>125</v>
      </c>
      <c r="CH813" s="836">
        <f t="shared" si="677"/>
        <v>0</v>
      </c>
      <c r="CI813" s="837" t="str">
        <f t="shared" si="678"/>
        <v>УСПЕШНО</v>
      </c>
      <c r="CJ813" s="838" t="str">
        <f t="shared" ca="1" si="679"/>
        <v>-</v>
      </c>
      <c r="CK813" s="831"/>
      <c r="CL813" s="832"/>
      <c r="CM813" s="833" t="str">
        <f t="shared" si="680"/>
        <v>-</v>
      </c>
      <c r="CN813" s="834" t="str">
        <f t="shared" si="681"/>
        <v>-</v>
      </c>
      <c r="CO813" s="830" t="str">
        <f t="shared" ca="1" si="682"/>
        <v>-</v>
      </c>
      <c r="CP813" s="839"/>
      <c r="CQ813" s="832"/>
      <c r="CR813" s="833" t="str">
        <f t="shared" si="683"/>
        <v>-</v>
      </c>
      <c r="CS813" s="833" t="str">
        <f t="shared" si="684"/>
        <v>-</v>
      </c>
      <c r="CT813" s="834" t="str">
        <f t="shared" si="685"/>
        <v>-</v>
      </c>
      <c r="CU813" s="835" t="str">
        <f t="shared" si="686"/>
        <v>-</v>
      </c>
      <c r="CV813" s="839"/>
      <c r="CW813" s="832"/>
      <c r="CX813" s="833" t="str">
        <f t="shared" si="687"/>
        <v>-</v>
      </c>
      <c r="CY813" s="840" t="str">
        <f t="shared" si="688"/>
        <v>-</v>
      </c>
      <c r="CZ813" s="833" t="str">
        <f t="shared" si="689"/>
        <v>-</v>
      </c>
      <c r="DA813" s="838" t="str">
        <f t="shared" ca="1" si="690"/>
        <v>-</v>
      </c>
      <c r="DB813" s="841"/>
      <c r="DC813" s="832"/>
    </row>
    <row r="814" spans="1:107" x14ac:dyDescent="0.25">
      <c r="A814" s="790">
        <v>817</v>
      </c>
      <c r="B814" s="791">
        <f t="shared" ca="1" si="639"/>
        <v>43134</v>
      </c>
      <c r="C814" s="792" t="s">
        <v>2547</v>
      </c>
      <c r="D814" s="793" t="s">
        <v>1635</v>
      </c>
      <c r="E814" s="794" t="s">
        <v>1563</v>
      </c>
      <c r="F814" s="795" t="s">
        <v>2918</v>
      </c>
      <c r="G814" s="845"/>
      <c r="H814" s="797" t="s">
        <v>603</v>
      </c>
      <c r="I814" s="798">
        <v>42920</v>
      </c>
      <c r="J814" s="799">
        <f t="shared" ca="1" si="640"/>
        <v>0.58630136986301373</v>
      </c>
      <c r="K814" s="799">
        <f t="shared" ca="1" si="641"/>
        <v>7.1333333333333337</v>
      </c>
      <c r="L814" s="800">
        <f t="shared" ca="1" si="642"/>
        <v>214</v>
      </c>
      <c r="M814" s="801"/>
      <c r="N814" s="802"/>
      <c r="O814" s="803" t="str">
        <f t="shared" ca="1" si="643"/>
        <v>-</v>
      </c>
      <c r="P814" s="804"/>
      <c r="Q814" s="805"/>
      <c r="R814" s="806"/>
      <c r="S814" s="807"/>
      <c r="T814" s="798"/>
      <c r="U814" s="798" t="str">
        <f t="shared" si="644"/>
        <v>-</v>
      </c>
      <c r="V814" s="804" t="str">
        <f t="shared" ca="1" si="645"/>
        <v>-</v>
      </c>
      <c r="W814" s="808">
        <v>0</v>
      </c>
      <c r="X814" s="794" t="str">
        <f t="shared" si="638"/>
        <v>-</v>
      </c>
      <c r="Y814" s="794">
        <v>0</v>
      </c>
      <c r="Z814" s="809" t="str">
        <f t="shared" ca="1" si="646"/>
        <v>-----</v>
      </c>
      <c r="AA814" s="810">
        <f t="shared" ca="1" si="647"/>
        <v>43134</v>
      </c>
      <c r="AB814" s="804"/>
      <c r="AC814" s="811" t="str">
        <f t="shared" ca="1" si="648"/>
        <v>-----</v>
      </c>
      <c r="AD814" s="798"/>
      <c r="AE814" s="794" t="str">
        <f t="shared" ca="1" si="649"/>
        <v>-</v>
      </c>
      <c r="AF814" s="798" t="str">
        <f t="shared" si="650"/>
        <v>-</v>
      </c>
      <c r="AG814" s="812" t="str">
        <f t="shared" si="651"/>
        <v>---------</v>
      </c>
      <c r="AH814" s="807"/>
      <c r="AI814" s="807" t="str">
        <f t="shared" si="652"/>
        <v>-</v>
      </c>
      <c r="AJ814" s="807" t="str">
        <f t="shared" si="653"/>
        <v>-</v>
      </c>
      <c r="AK814" s="813"/>
      <c r="AL814" s="807" t="str">
        <f t="shared" si="654"/>
        <v>-</v>
      </c>
      <c r="AM814" s="807" t="str">
        <f t="shared" si="655"/>
        <v>-</v>
      </c>
      <c r="AN814" s="814" t="str">
        <f t="shared" ca="1" si="656"/>
        <v>-</v>
      </c>
      <c r="AO814" s="815">
        <v>1</v>
      </c>
      <c r="AP814" s="816" t="str">
        <f t="shared" ca="1" si="657"/>
        <v>-</v>
      </c>
      <c r="AQ814" s="817"/>
      <c r="AR814" s="794" t="str">
        <f t="shared" si="658"/>
        <v>-</v>
      </c>
      <c r="AS814" s="818"/>
      <c r="AT814" s="794" t="str">
        <f t="shared" si="659"/>
        <v>-</v>
      </c>
      <c r="AU814" s="819"/>
      <c r="AV814" s="865"/>
      <c r="AW814" s="821"/>
      <c r="AX814" s="821"/>
      <c r="AY814" s="969" t="str">
        <f t="shared" si="660"/>
        <v>-</v>
      </c>
      <c r="AZ814" s="966" t="str">
        <f t="shared" si="661"/>
        <v>-</v>
      </c>
      <c r="BA814" s="971" t="str">
        <f t="shared" si="662"/>
        <v>-</v>
      </c>
      <c r="BB814" s="975"/>
      <c r="BC814" s="821"/>
      <c r="BD814" s="821"/>
      <c r="BE814" s="963" t="str">
        <f t="shared" si="663"/>
        <v>-</v>
      </c>
      <c r="BF814" s="984"/>
      <c r="BG814" s="988"/>
      <c r="BH814" s="982"/>
      <c r="BI814" s="991"/>
      <c r="BJ814" s="991"/>
      <c r="BK814" s="993" t="str">
        <f t="shared" si="664"/>
        <v>-</v>
      </c>
      <c r="BL814" s="865"/>
      <c r="BM814" s="821"/>
      <c r="BN814" s="822" t="str">
        <f t="shared" si="665"/>
        <v>-</v>
      </c>
      <c r="BO814" s="823" t="str">
        <f t="shared" si="666"/>
        <v>-</v>
      </c>
      <c r="BP814" s="868"/>
      <c r="BQ814" s="821"/>
      <c r="BR814" s="822" t="str">
        <f t="shared" si="667"/>
        <v>-</v>
      </c>
      <c r="BS814" s="823" t="str">
        <f t="shared" si="668"/>
        <v>-</v>
      </c>
      <c r="BT814" s="825" t="str">
        <f t="shared" ca="1" si="669"/>
        <v>-</v>
      </c>
      <c r="BU814" s="860">
        <v>42931</v>
      </c>
      <c r="BV814" s="827">
        <v>2</v>
      </c>
      <c r="BW814" s="828">
        <f t="shared" si="670"/>
        <v>11</v>
      </c>
      <c r="BX814" s="829">
        <f t="shared" ca="1" si="671"/>
        <v>203</v>
      </c>
      <c r="BY814" s="830" t="str">
        <f t="shared" ca="1" si="672"/>
        <v>-</v>
      </c>
      <c r="BZ814" s="831">
        <v>42988</v>
      </c>
      <c r="CA814" s="832">
        <v>5</v>
      </c>
      <c r="CB814" s="833">
        <f t="shared" ca="1" si="673"/>
        <v>146</v>
      </c>
      <c r="CC814" s="834" t="str">
        <f t="shared" ca="1" si="674"/>
        <v>-</v>
      </c>
      <c r="CD814" s="835">
        <f t="shared" si="675"/>
        <v>43009</v>
      </c>
      <c r="CE814" s="831">
        <v>43009</v>
      </c>
      <c r="CF814" s="832">
        <v>5</v>
      </c>
      <c r="CG814" s="833">
        <f t="shared" ca="1" si="676"/>
        <v>125</v>
      </c>
      <c r="CH814" s="836">
        <f t="shared" si="677"/>
        <v>0</v>
      </c>
      <c r="CI814" s="837" t="str">
        <f t="shared" si="678"/>
        <v>УСПЕШНО</v>
      </c>
      <c r="CJ814" s="838" t="str">
        <f t="shared" ca="1" si="679"/>
        <v>-</v>
      </c>
      <c r="CK814" s="831"/>
      <c r="CL814" s="832"/>
      <c r="CM814" s="833" t="str">
        <f t="shared" si="680"/>
        <v>-</v>
      </c>
      <c r="CN814" s="834" t="str">
        <f t="shared" si="681"/>
        <v>-</v>
      </c>
      <c r="CO814" s="830" t="str">
        <f t="shared" ca="1" si="682"/>
        <v>-</v>
      </c>
      <c r="CP814" s="839"/>
      <c r="CQ814" s="832"/>
      <c r="CR814" s="833" t="str">
        <f t="shared" si="683"/>
        <v>-</v>
      </c>
      <c r="CS814" s="833" t="str">
        <f t="shared" si="684"/>
        <v>-</v>
      </c>
      <c r="CT814" s="834" t="str">
        <f t="shared" si="685"/>
        <v>-</v>
      </c>
      <c r="CU814" s="835" t="str">
        <f t="shared" si="686"/>
        <v>-</v>
      </c>
      <c r="CV814" s="839"/>
      <c r="CW814" s="832"/>
      <c r="CX814" s="833" t="str">
        <f t="shared" si="687"/>
        <v>-</v>
      </c>
      <c r="CY814" s="840" t="str">
        <f t="shared" si="688"/>
        <v>-</v>
      </c>
      <c r="CZ814" s="833" t="str">
        <f t="shared" si="689"/>
        <v>-</v>
      </c>
      <c r="DA814" s="838" t="str">
        <f t="shared" ca="1" si="690"/>
        <v>-</v>
      </c>
      <c r="DB814" s="841"/>
      <c r="DC814" s="832"/>
    </row>
    <row r="815" spans="1:107" x14ac:dyDescent="0.25">
      <c r="A815" s="790">
        <v>818</v>
      </c>
      <c r="B815" s="791">
        <f t="shared" ca="1" si="639"/>
        <v>43134</v>
      </c>
      <c r="C815" s="29" t="s">
        <v>2547</v>
      </c>
      <c r="D815" s="59" t="s">
        <v>1635</v>
      </c>
      <c r="E815" s="794" t="s">
        <v>1563</v>
      </c>
      <c r="F815" s="795" t="s">
        <v>3198</v>
      </c>
      <c r="G815" s="845"/>
      <c r="H815" s="797" t="s">
        <v>603</v>
      </c>
      <c r="I815" s="798">
        <v>43011</v>
      </c>
      <c r="J815" s="799">
        <f t="shared" ca="1" si="640"/>
        <v>0.33698630136986302</v>
      </c>
      <c r="K815" s="799">
        <f t="shared" ca="1" si="641"/>
        <v>4.0999999999999996</v>
      </c>
      <c r="L815" s="800">
        <f t="shared" ca="1" si="642"/>
        <v>123</v>
      </c>
      <c r="M815" s="801"/>
      <c r="N815" s="802"/>
      <c r="O815" s="803" t="str">
        <f t="shared" ca="1" si="643"/>
        <v>-</v>
      </c>
      <c r="P815" s="804"/>
      <c r="Q815" s="805"/>
      <c r="R815" s="806"/>
      <c r="S815" s="807"/>
      <c r="T815" s="798"/>
      <c r="U815" s="798" t="str">
        <f t="shared" si="644"/>
        <v>-</v>
      </c>
      <c r="V815" s="804" t="str">
        <f t="shared" ca="1" si="645"/>
        <v>-</v>
      </c>
      <c r="W815" s="808">
        <v>0</v>
      </c>
      <c r="X815" s="794" t="str">
        <f t="shared" si="638"/>
        <v>-</v>
      </c>
      <c r="Y815" s="794">
        <v>0</v>
      </c>
      <c r="Z815" s="809" t="str">
        <f t="shared" ca="1" si="646"/>
        <v>-----</v>
      </c>
      <c r="AA815" s="810">
        <f t="shared" ca="1" si="647"/>
        <v>43134</v>
      </c>
      <c r="AB815" s="804"/>
      <c r="AC815" s="811" t="str">
        <f t="shared" ca="1" si="648"/>
        <v>-----</v>
      </c>
      <c r="AD815" s="798"/>
      <c r="AE815" s="794" t="str">
        <f t="shared" ca="1" si="649"/>
        <v>-</v>
      </c>
      <c r="AF815" s="798" t="str">
        <f t="shared" si="650"/>
        <v>-</v>
      </c>
      <c r="AG815" s="812" t="str">
        <f t="shared" si="651"/>
        <v>---------</v>
      </c>
      <c r="AH815" s="807"/>
      <c r="AI815" s="807" t="str">
        <f t="shared" si="652"/>
        <v>-</v>
      </c>
      <c r="AJ815" s="807" t="str">
        <f t="shared" si="653"/>
        <v>-</v>
      </c>
      <c r="AK815" s="813"/>
      <c r="AL815" s="807" t="str">
        <f t="shared" si="654"/>
        <v>-</v>
      </c>
      <c r="AM815" s="807" t="str">
        <f t="shared" si="655"/>
        <v>-</v>
      </c>
      <c r="AN815" s="814" t="str">
        <f t="shared" ca="1" si="656"/>
        <v>-</v>
      </c>
      <c r="AO815" s="815">
        <v>1</v>
      </c>
      <c r="AP815" s="816" t="str">
        <f t="shared" ca="1" si="657"/>
        <v>-</v>
      </c>
      <c r="AQ815" s="817"/>
      <c r="AR815" s="794" t="str">
        <f t="shared" si="658"/>
        <v>-</v>
      </c>
      <c r="AS815" s="818"/>
      <c r="AT815" s="794" t="str">
        <f t="shared" si="659"/>
        <v>-</v>
      </c>
      <c r="AU815" s="819"/>
      <c r="AV815" s="865"/>
      <c r="AW815" s="821"/>
      <c r="AX815" s="821"/>
      <c r="AY815" s="969" t="str">
        <f t="shared" si="660"/>
        <v>-</v>
      </c>
      <c r="AZ815" s="966" t="str">
        <f t="shared" si="661"/>
        <v>-</v>
      </c>
      <c r="BA815" s="971" t="str">
        <f t="shared" si="662"/>
        <v>-</v>
      </c>
      <c r="BB815" s="975"/>
      <c r="BC815" s="821"/>
      <c r="BD815" s="821"/>
      <c r="BE815" s="963" t="str">
        <f t="shared" si="663"/>
        <v>-</v>
      </c>
      <c r="BF815" s="984"/>
      <c r="BG815" s="988"/>
      <c r="BH815" s="982"/>
      <c r="BI815" s="991"/>
      <c r="BJ815" s="991"/>
      <c r="BK815" s="993" t="str">
        <f t="shared" si="664"/>
        <v>-</v>
      </c>
      <c r="BL815" s="865"/>
      <c r="BM815" s="821"/>
      <c r="BN815" s="822" t="str">
        <f t="shared" si="665"/>
        <v>-</v>
      </c>
      <c r="BO815" s="823" t="str">
        <f t="shared" si="666"/>
        <v>-</v>
      </c>
      <c r="BP815" s="868"/>
      <c r="BQ815" s="821"/>
      <c r="BR815" s="822" t="str">
        <f t="shared" si="667"/>
        <v>-</v>
      </c>
      <c r="BS815" s="823" t="str">
        <f t="shared" si="668"/>
        <v>-</v>
      </c>
      <c r="BT815" s="825" t="str">
        <f t="shared" ca="1" si="669"/>
        <v>-</v>
      </c>
      <c r="BU815" s="860">
        <v>43022</v>
      </c>
      <c r="BV815" s="827">
        <v>2</v>
      </c>
      <c r="BW815" s="828">
        <f t="shared" si="670"/>
        <v>11</v>
      </c>
      <c r="BX815" s="829">
        <f t="shared" ca="1" si="671"/>
        <v>112</v>
      </c>
      <c r="BY815" s="830" t="str">
        <f t="shared" ca="1" si="672"/>
        <v>ПОДЛЕЖИТ ВАКЦИНАЦИИ</v>
      </c>
      <c r="BZ815" s="839"/>
      <c r="CA815" s="832"/>
      <c r="CB815" s="833" t="str">
        <f t="shared" si="673"/>
        <v>-</v>
      </c>
      <c r="CC815" s="834" t="str">
        <f t="shared" si="674"/>
        <v>-</v>
      </c>
      <c r="CD815" s="835" t="str">
        <f t="shared" si="675"/>
        <v>-</v>
      </c>
      <c r="CE815" s="839"/>
      <c r="CF815" s="832"/>
      <c r="CG815" s="833" t="str">
        <f t="shared" si="676"/>
        <v>-</v>
      </c>
      <c r="CH815" s="836" t="str">
        <f t="shared" si="677"/>
        <v>-</v>
      </c>
      <c r="CI815" s="837" t="str">
        <f t="shared" si="678"/>
        <v>-</v>
      </c>
      <c r="CJ815" s="838" t="str">
        <f t="shared" si="679"/>
        <v>-</v>
      </c>
      <c r="CK815" s="831"/>
      <c r="CL815" s="832"/>
      <c r="CM815" s="833" t="str">
        <f t="shared" si="680"/>
        <v>-</v>
      </c>
      <c r="CN815" s="834" t="str">
        <f t="shared" si="681"/>
        <v>-</v>
      </c>
      <c r="CO815" s="830" t="str">
        <f t="shared" ca="1" si="682"/>
        <v>-</v>
      </c>
      <c r="CP815" s="839"/>
      <c r="CQ815" s="832"/>
      <c r="CR815" s="833" t="str">
        <f t="shared" si="683"/>
        <v>-</v>
      </c>
      <c r="CS815" s="833" t="str">
        <f t="shared" si="684"/>
        <v>-</v>
      </c>
      <c r="CT815" s="834" t="str">
        <f t="shared" si="685"/>
        <v>-</v>
      </c>
      <c r="CU815" s="835" t="str">
        <f t="shared" si="686"/>
        <v>-</v>
      </c>
      <c r="CV815" s="839"/>
      <c r="CW815" s="832"/>
      <c r="CX815" s="833" t="str">
        <f t="shared" si="687"/>
        <v>-</v>
      </c>
      <c r="CY815" s="840" t="str">
        <f t="shared" si="688"/>
        <v>-</v>
      </c>
      <c r="CZ815" s="833" t="str">
        <f t="shared" si="689"/>
        <v>-</v>
      </c>
      <c r="DA815" s="838" t="str">
        <f t="shared" ca="1" si="690"/>
        <v>-</v>
      </c>
      <c r="DB815" s="841"/>
      <c r="DC815" s="832"/>
    </row>
    <row r="816" spans="1:107" x14ac:dyDescent="0.25">
      <c r="A816" s="790">
        <v>819</v>
      </c>
      <c r="B816" s="791">
        <f t="shared" ca="1" si="639"/>
        <v>43134</v>
      </c>
      <c r="C816" s="29" t="s">
        <v>2547</v>
      </c>
      <c r="D816" s="59" t="s">
        <v>1635</v>
      </c>
      <c r="E816" s="794" t="s">
        <v>1563</v>
      </c>
      <c r="F816" s="795" t="s">
        <v>3212</v>
      </c>
      <c r="G816" s="845"/>
      <c r="H816" s="797" t="s">
        <v>603</v>
      </c>
      <c r="I816" s="798">
        <v>43013</v>
      </c>
      <c r="J816" s="799">
        <f t="shared" ca="1" si="640"/>
        <v>0.33150684931506852</v>
      </c>
      <c r="K816" s="799">
        <f t="shared" ca="1" si="641"/>
        <v>4.0333333333333332</v>
      </c>
      <c r="L816" s="800">
        <f t="shared" ca="1" si="642"/>
        <v>121</v>
      </c>
      <c r="M816" s="801"/>
      <c r="N816" s="802"/>
      <c r="O816" s="803" t="str">
        <f t="shared" ca="1" si="643"/>
        <v>-</v>
      </c>
      <c r="P816" s="804"/>
      <c r="Q816" s="805"/>
      <c r="R816" s="806"/>
      <c r="S816" s="807"/>
      <c r="T816" s="798"/>
      <c r="U816" s="798" t="str">
        <f t="shared" si="644"/>
        <v>-</v>
      </c>
      <c r="V816" s="804" t="str">
        <f t="shared" ca="1" si="645"/>
        <v>-</v>
      </c>
      <c r="W816" s="808">
        <v>0</v>
      </c>
      <c r="X816" s="794" t="str">
        <f t="shared" si="638"/>
        <v>-</v>
      </c>
      <c r="Y816" s="794">
        <v>0</v>
      </c>
      <c r="Z816" s="809" t="str">
        <f t="shared" ca="1" si="646"/>
        <v>-----</v>
      </c>
      <c r="AA816" s="810">
        <f t="shared" ca="1" si="647"/>
        <v>43134</v>
      </c>
      <c r="AB816" s="804"/>
      <c r="AC816" s="811" t="str">
        <f t="shared" ca="1" si="648"/>
        <v>-----</v>
      </c>
      <c r="AD816" s="798"/>
      <c r="AE816" s="794" t="str">
        <f t="shared" ca="1" si="649"/>
        <v>-</v>
      </c>
      <c r="AF816" s="798" t="str">
        <f t="shared" si="650"/>
        <v>-</v>
      </c>
      <c r="AG816" s="812" t="str">
        <f t="shared" si="651"/>
        <v>---------</v>
      </c>
      <c r="AH816" s="807"/>
      <c r="AI816" s="807" t="str">
        <f t="shared" si="652"/>
        <v>-</v>
      </c>
      <c r="AJ816" s="807" t="str">
        <f t="shared" si="653"/>
        <v>-</v>
      </c>
      <c r="AK816" s="813"/>
      <c r="AL816" s="807" t="str">
        <f t="shared" si="654"/>
        <v>-</v>
      </c>
      <c r="AM816" s="807" t="str">
        <f t="shared" si="655"/>
        <v>-</v>
      </c>
      <c r="AN816" s="814" t="str">
        <f t="shared" ca="1" si="656"/>
        <v>-</v>
      </c>
      <c r="AO816" s="815">
        <v>1</v>
      </c>
      <c r="AP816" s="816" t="str">
        <f t="shared" ca="1" si="657"/>
        <v>-</v>
      </c>
      <c r="AQ816" s="817"/>
      <c r="AR816" s="794" t="str">
        <f t="shared" si="658"/>
        <v>-</v>
      </c>
      <c r="AS816" s="818"/>
      <c r="AT816" s="794" t="str">
        <f t="shared" si="659"/>
        <v>-</v>
      </c>
      <c r="AU816" s="819"/>
      <c r="AV816" s="865"/>
      <c r="AW816" s="821"/>
      <c r="AX816" s="821"/>
      <c r="AY816" s="969" t="str">
        <f t="shared" si="660"/>
        <v>-</v>
      </c>
      <c r="AZ816" s="966" t="str">
        <f t="shared" si="661"/>
        <v>-</v>
      </c>
      <c r="BA816" s="971" t="str">
        <f t="shared" si="662"/>
        <v>-</v>
      </c>
      <c r="BB816" s="975"/>
      <c r="BC816" s="821"/>
      <c r="BD816" s="821"/>
      <c r="BE816" s="963" t="str">
        <f t="shared" si="663"/>
        <v>-</v>
      </c>
      <c r="BF816" s="984"/>
      <c r="BG816" s="988"/>
      <c r="BH816" s="982"/>
      <c r="BI816" s="991"/>
      <c r="BJ816" s="991"/>
      <c r="BK816" s="993" t="str">
        <f t="shared" si="664"/>
        <v>-</v>
      </c>
      <c r="BL816" s="865"/>
      <c r="BM816" s="821"/>
      <c r="BN816" s="822" t="str">
        <f t="shared" si="665"/>
        <v>-</v>
      </c>
      <c r="BO816" s="823" t="str">
        <f t="shared" si="666"/>
        <v>-</v>
      </c>
      <c r="BP816" s="868"/>
      <c r="BQ816" s="821"/>
      <c r="BR816" s="822" t="str">
        <f t="shared" si="667"/>
        <v>-</v>
      </c>
      <c r="BS816" s="823" t="str">
        <f t="shared" si="668"/>
        <v>-</v>
      </c>
      <c r="BT816" s="825" t="str">
        <f t="shared" ca="1" si="669"/>
        <v>-</v>
      </c>
      <c r="BU816" s="860">
        <v>43022</v>
      </c>
      <c r="BV816" s="827">
        <v>2</v>
      </c>
      <c r="BW816" s="828">
        <f t="shared" si="670"/>
        <v>9</v>
      </c>
      <c r="BX816" s="829">
        <f t="shared" ca="1" si="671"/>
        <v>112</v>
      </c>
      <c r="BY816" s="830" t="str">
        <f t="shared" ca="1" si="672"/>
        <v>ПОДЛЕЖИТ ВАКЦИНАЦИИ</v>
      </c>
      <c r="BZ816" s="839"/>
      <c r="CA816" s="832"/>
      <c r="CB816" s="833" t="str">
        <f t="shared" si="673"/>
        <v>-</v>
      </c>
      <c r="CC816" s="834" t="str">
        <f t="shared" si="674"/>
        <v>-</v>
      </c>
      <c r="CD816" s="835" t="str">
        <f t="shared" si="675"/>
        <v>-</v>
      </c>
      <c r="CE816" s="839"/>
      <c r="CF816" s="832"/>
      <c r="CG816" s="833" t="str">
        <f t="shared" si="676"/>
        <v>-</v>
      </c>
      <c r="CH816" s="836" t="str">
        <f t="shared" si="677"/>
        <v>-</v>
      </c>
      <c r="CI816" s="837" t="str">
        <f t="shared" si="678"/>
        <v>-</v>
      </c>
      <c r="CJ816" s="838" t="str">
        <f t="shared" si="679"/>
        <v>-</v>
      </c>
      <c r="CK816" s="831"/>
      <c r="CL816" s="832"/>
      <c r="CM816" s="833" t="str">
        <f t="shared" si="680"/>
        <v>-</v>
      </c>
      <c r="CN816" s="834" t="str">
        <f t="shared" si="681"/>
        <v>-</v>
      </c>
      <c r="CO816" s="830" t="str">
        <f t="shared" ca="1" si="682"/>
        <v>-</v>
      </c>
      <c r="CP816" s="839"/>
      <c r="CQ816" s="832"/>
      <c r="CR816" s="833" t="str">
        <f t="shared" si="683"/>
        <v>-</v>
      </c>
      <c r="CS816" s="833" t="str">
        <f t="shared" si="684"/>
        <v>-</v>
      </c>
      <c r="CT816" s="834" t="str">
        <f t="shared" si="685"/>
        <v>-</v>
      </c>
      <c r="CU816" s="835" t="str">
        <f t="shared" si="686"/>
        <v>-</v>
      </c>
      <c r="CV816" s="839"/>
      <c r="CW816" s="832"/>
      <c r="CX816" s="833" t="str">
        <f t="shared" si="687"/>
        <v>-</v>
      </c>
      <c r="CY816" s="840" t="str">
        <f t="shared" si="688"/>
        <v>-</v>
      </c>
      <c r="CZ816" s="833" t="str">
        <f t="shared" si="689"/>
        <v>-</v>
      </c>
      <c r="DA816" s="838" t="str">
        <f t="shared" ca="1" si="690"/>
        <v>-</v>
      </c>
      <c r="DB816" s="841"/>
      <c r="DC816" s="832"/>
    </row>
    <row r="817" spans="1:107" x14ac:dyDescent="0.25">
      <c r="A817" s="790">
        <v>820</v>
      </c>
      <c r="B817" s="791">
        <f t="shared" ca="1" si="639"/>
        <v>43134</v>
      </c>
      <c r="C817" s="29" t="s">
        <v>2547</v>
      </c>
      <c r="D817" s="59" t="s">
        <v>1635</v>
      </c>
      <c r="E817" s="794" t="s">
        <v>1563</v>
      </c>
      <c r="F817" s="795" t="s">
        <v>3224</v>
      </c>
      <c r="G817" s="845"/>
      <c r="H817" s="797" t="s">
        <v>603</v>
      </c>
      <c r="I817" s="798">
        <v>43014</v>
      </c>
      <c r="J817" s="799">
        <f t="shared" ca="1" si="640"/>
        <v>0.32876712328767121</v>
      </c>
      <c r="K817" s="799">
        <f t="shared" ca="1" si="641"/>
        <v>4</v>
      </c>
      <c r="L817" s="800">
        <f t="shared" ca="1" si="642"/>
        <v>120</v>
      </c>
      <c r="M817" s="801"/>
      <c r="N817" s="802"/>
      <c r="O817" s="803" t="str">
        <f t="shared" ca="1" si="643"/>
        <v>-</v>
      </c>
      <c r="P817" s="804"/>
      <c r="Q817" s="805"/>
      <c r="R817" s="806"/>
      <c r="S817" s="807"/>
      <c r="T817" s="798"/>
      <c r="U817" s="798" t="str">
        <f t="shared" si="644"/>
        <v>-</v>
      </c>
      <c r="V817" s="804" t="str">
        <f t="shared" ca="1" si="645"/>
        <v>-</v>
      </c>
      <c r="W817" s="808">
        <v>0</v>
      </c>
      <c r="X817" s="794" t="str">
        <f t="shared" si="638"/>
        <v>-</v>
      </c>
      <c r="Y817" s="794">
        <v>0</v>
      </c>
      <c r="Z817" s="809" t="str">
        <f t="shared" ca="1" si="646"/>
        <v>-----</v>
      </c>
      <c r="AA817" s="810">
        <f t="shared" ca="1" si="647"/>
        <v>43134</v>
      </c>
      <c r="AB817" s="804"/>
      <c r="AC817" s="811" t="str">
        <f t="shared" ca="1" si="648"/>
        <v>-----</v>
      </c>
      <c r="AD817" s="798"/>
      <c r="AE817" s="794" t="str">
        <f t="shared" ca="1" si="649"/>
        <v>-</v>
      </c>
      <c r="AF817" s="798" t="str">
        <f t="shared" si="650"/>
        <v>-</v>
      </c>
      <c r="AG817" s="812" t="str">
        <f t="shared" si="651"/>
        <v>---------</v>
      </c>
      <c r="AH817" s="807"/>
      <c r="AI817" s="807" t="str">
        <f t="shared" si="652"/>
        <v>-</v>
      </c>
      <c r="AJ817" s="807" t="str">
        <f t="shared" si="653"/>
        <v>-</v>
      </c>
      <c r="AK817" s="813"/>
      <c r="AL817" s="807" t="str">
        <f t="shared" si="654"/>
        <v>-</v>
      </c>
      <c r="AM817" s="807" t="str">
        <f t="shared" si="655"/>
        <v>-</v>
      </c>
      <c r="AN817" s="814" t="str">
        <f t="shared" ca="1" si="656"/>
        <v>-</v>
      </c>
      <c r="AO817" s="815">
        <v>1</v>
      </c>
      <c r="AP817" s="816" t="str">
        <f t="shared" ca="1" si="657"/>
        <v>-</v>
      </c>
      <c r="AQ817" s="817"/>
      <c r="AR817" s="794" t="str">
        <f t="shared" si="658"/>
        <v>-</v>
      </c>
      <c r="AS817" s="818"/>
      <c r="AT817" s="794" t="str">
        <f t="shared" si="659"/>
        <v>-</v>
      </c>
      <c r="AU817" s="819"/>
      <c r="AV817" s="865"/>
      <c r="AW817" s="821"/>
      <c r="AX817" s="821"/>
      <c r="AY817" s="969" t="str">
        <f t="shared" si="660"/>
        <v>-</v>
      </c>
      <c r="AZ817" s="966" t="str">
        <f t="shared" si="661"/>
        <v>-</v>
      </c>
      <c r="BA817" s="971" t="str">
        <f t="shared" si="662"/>
        <v>-</v>
      </c>
      <c r="BB817" s="975"/>
      <c r="BC817" s="821"/>
      <c r="BD817" s="821"/>
      <c r="BE817" s="963" t="str">
        <f t="shared" si="663"/>
        <v>-</v>
      </c>
      <c r="BF817" s="984"/>
      <c r="BG817" s="988"/>
      <c r="BH817" s="982"/>
      <c r="BI817" s="991"/>
      <c r="BJ817" s="991"/>
      <c r="BK817" s="993" t="str">
        <f t="shared" si="664"/>
        <v>-</v>
      </c>
      <c r="BL817" s="865"/>
      <c r="BM817" s="821"/>
      <c r="BN817" s="822" t="str">
        <f t="shared" si="665"/>
        <v>-</v>
      </c>
      <c r="BO817" s="823" t="str">
        <f t="shared" si="666"/>
        <v>-</v>
      </c>
      <c r="BP817" s="868"/>
      <c r="BQ817" s="821"/>
      <c r="BR817" s="822" t="str">
        <f t="shared" si="667"/>
        <v>-</v>
      </c>
      <c r="BS817" s="823" t="str">
        <f t="shared" si="668"/>
        <v>-</v>
      </c>
      <c r="BT817" s="825" t="str">
        <f t="shared" ca="1" si="669"/>
        <v>-</v>
      </c>
      <c r="BU817" s="860">
        <v>43022</v>
      </c>
      <c r="BV817" s="827">
        <v>2</v>
      </c>
      <c r="BW817" s="828">
        <f t="shared" si="670"/>
        <v>8</v>
      </c>
      <c r="BX817" s="829">
        <f t="shared" ca="1" si="671"/>
        <v>112</v>
      </c>
      <c r="BY817" s="830" t="str">
        <f t="shared" ca="1" si="672"/>
        <v>ПОДЛЕЖИТ ВАКЦИНАЦИИ</v>
      </c>
      <c r="BZ817" s="839"/>
      <c r="CA817" s="832"/>
      <c r="CB817" s="833" t="str">
        <f t="shared" si="673"/>
        <v>-</v>
      </c>
      <c r="CC817" s="834" t="str">
        <f t="shared" si="674"/>
        <v>-</v>
      </c>
      <c r="CD817" s="835" t="str">
        <f t="shared" si="675"/>
        <v>-</v>
      </c>
      <c r="CE817" s="839"/>
      <c r="CF817" s="832"/>
      <c r="CG817" s="833" t="str">
        <f t="shared" si="676"/>
        <v>-</v>
      </c>
      <c r="CH817" s="836" t="str">
        <f t="shared" si="677"/>
        <v>-</v>
      </c>
      <c r="CI817" s="837" t="str">
        <f t="shared" si="678"/>
        <v>-</v>
      </c>
      <c r="CJ817" s="838" t="str">
        <f t="shared" si="679"/>
        <v>-</v>
      </c>
      <c r="CK817" s="831"/>
      <c r="CL817" s="832"/>
      <c r="CM817" s="833" t="str">
        <f t="shared" si="680"/>
        <v>-</v>
      </c>
      <c r="CN817" s="834" t="str">
        <f t="shared" si="681"/>
        <v>-</v>
      </c>
      <c r="CO817" s="830" t="str">
        <f t="shared" ca="1" si="682"/>
        <v>-</v>
      </c>
      <c r="CP817" s="839"/>
      <c r="CQ817" s="832"/>
      <c r="CR817" s="833" t="str">
        <f t="shared" si="683"/>
        <v>-</v>
      </c>
      <c r="CS817" s="833" t="str">
        <f t="shared" si="684"/>
        <v>-</v>
      </c>
      <c r="CT817" s="834" t="str">
        <f t="shared" si="685"/>
        <v>-</v>
      </c>
      <c r="CU817" s="835" t="str">
        <f t="shared" si="686"/>
        <v>-</v>
      </c>
      <c r="CV817" s="839"/>
      <c r="CW817" s="832"/>
      <c r="CX817" s="833" t="str">
        <f t="shared" si="687"/>
        <v>-</v>
      </c>
      <c r="CY817" s="840" t="str">
        <f t="shared" si="688"/>
        <v>-</v>
      </c>
      <c r="CZ817" s="833" t="str">
        <f t="shared" si="689"/>
        <v>-</v>
      </c>
      <c r="DA817" s="838" t="str">
        <f t="shared" ca="1" si="690"/>
        <v>-</v>
      </c>
      <c r="DB817" s="841"/>
      <c r="DC817" s="832"/>
    </row>
    <row r="818" spans="1:107" x14ac:dyDescent="0.25">
      <c r="A818" s="790">
        <v>821</v>
      </c>
      <c r="B818" s="791">
        <f t="shared" ca="1" si="639"/>
        <v>43134</v>
      </c>
      <c r="C818" s="29" t="s">
        <v>2547</v>
      </c>
      <c r="D818" s="59" t="s">
        <v>1635</v>
      </c>
      <c r="E818" s="794" t="s">
        <v>1563</v>
      </c>
      <c r="F818" s="795" t="s">
        <v>3232</v>
      </c>
      <c r="G818" s="845"/>
      <c r="H818" s="797" t="s">
        <v>603</v>
      </c>
      <c r="I818" s="798">
        <v>43018</v>
      </c>
      <c r="J818" s="799">
        <f t="shared" ca="1" si="640"/>
        <v>0.31780821917808222</v>
      </c>
      <c r="K818" s="799">
        <f t="shared" ca="1" si="641"/>
        <v>3.8666666666666667</v>
      </c>
      <c r="L818" s="800">
        <f t="shared" ca="1" si="642"/>
        <v>116</v>
      </c>
      <c r="M818" s="801"/>
      <c r="N818" s="802"/>
      <c r="O818" s="803" t="str">
        <f t="shared" ca="1" si="643"/>
        <v>-</v>
      </c>
      <c r="P818" s="804"/>
      <c r="Q818" s="805"/>
      <c r="R818" s="806"/>
      <c r="S818" s="807"/>
      <c r="T818" s="798"/>
      <c r="U818" s="798" t="str">
        <f t="shared" si="644"/>
        <v>-</v>
      </c>
      <c r="V818" s="804" t="str">
        <f t="shared" ca="1" si="645"/>
        <v>-</v>
      </c>
      <c r="W818" s="808">
        <v>0</v>
      </c>
      <c r="X818" s="794" t="str">
        <f t="shared" si="638"/>
        <v>-</v>
      </c>
      <c r="Y818" s="794">
        <v>0</v>
      </c>
      <c r="Z818" s="809" t="str">
        <f t="shared" ca="1" si="646"/>
        <v>-----</v>
      </c>
      <c r="AA818" s="810">
        <f t="shared" ca="1" si="647"/>
        <v>43134</v>
      </c>
      <c r="AB818" s="804"/>
      <c r="AC818" s="811" t="str">
        <f t="shared" ca="1" si="648"/>
        <v>-----</v>
      </c>
      <c r="AD818" s="798"/>
      <c r="AE818" s="794" t="str">
        <f t="shared" ca="1" si="649"/>
        <v>-</v>
      </c>
      <c r="AF818" s="798" t="str">
        <f t="shared" si="650"/>
        <v>-</v>
      </c>
      <c r="AG818" s="812" t="str">
        <f t="shared" si="651"/>
        <v>---------</v>
      </c>
      <c r="AH818" s="807"/>
      <c r="AI818" s="807" t="str">
        <f t="shared" si="652"/>
        <v>-</v>
      </c>
      <c r="AJ818" s="807" t="str">
        <f t="shared" si="653"/>
        <v>-</v>
      </c>
      <c r="AK818" s="813"/>
      <c r="AL818" s="807" t="str">
        <f t="shared" si="654"/>
        <v>-</v>
      </c>
      <c r="AM818" s="807" t="str">
        <f t="shared" si="655"/>
        <v>-</v>
      </c>
      <c r="AN818" s="814" t="str">
        <f t="shared" ca="1" si="656"/>
        <v>-</v>
      </c>
      <c r="AO818" s="815">
        <v>1</v>
      </c>
      <c r="AP818" s="816" t="str">
        <f t="shared" ca="1" si="657"/>
        <v>-</v>
      </c>
      <c r="AQ818" s="817"/>
      <c r="AR818" s="794" t="str">
        <f t="shared" si="658"/>
        <v>-</v>
      </c>
      <c r="AS818" s="818"/>
      <c r="AT818" s="794" t="str">
        <f t="shared" si="659"/>
        <v>-</v>
      </c>
      <c r="AU818" s="819"/>
      <c r="AV818" s="865"/>
      <c r="AW818" s="821"/>
      <c r="AX818" s="821"/>
      <c r="AY818" s="969" t="str">
        <f t="shared" si="660"/>
        <v>-</v>
      </c>
      <c r="AZ818" s="966" t="str">
        <f t="shared" si="661"/>
        <v>-</v>
      </c>
      <c r="BA818" s="971" t="str">
        <f t="shared" si="662"/>
        <v>-</v>
      </c>
      <c r="BB818" s="975"/>
      <c r="BC818" s="821"/>
      <c r="BD818" s="821"/>
      <c r="BE818" s="963" t="str">
        <f t="shared" si="663"/>
        <v>-</v>
      </c>
      <c r="BF818" s="984"/>
      <c r="BG818" s="988"/>
      <c r="BH818" s="982"/>
      <c r="BI818" s="991"/>
      <c r="BJ818" s="991"/>
      <c r="BK818" s="993" t="str">
        <f t="shared" si="664"/>
        <v>-</v>
      </c>
      <c r="BL818" s="865"/>
      <c r="BM818" s="821"/>
      <c r="BN818" s="822" t="str">
        <f t="shared" si="665"/>
        <v>-</v>
      </c>
      <c r="BO818" s="823" t="str">
        <f t="shared" si="666"/>
        <v>-</v>
      </c>
      <c r="BP818" s="868"/>
      <c r="BQ818" s="821"/>
      <c r="BR818" s="822" t="str">
        <f t="shared" si="667"/>
        <v>-</v>
      </c>
      <c r="BS818" s="823" t="str">
        <f t="shared" si="668"/>
        <v>-</v>
      </c>
      <c r="BT818" s="825" t="str">
        <f t="shared" ca="1" si="669"/>
        <v>-</v>
      </c>
      <c r="BU818" s="860">
        <v>43022</v>
      </c>
      <c r="BV818" s="827">
        <v>2</v>
      </c>
      <c r="BW818" s="828">
        <f t="shared" si="670"/>
        <v>4</v>
      </c>
      <c r="BX818" s="829">
        <f t="shared" ca="1" si="671"/>
        <v>112</v>
      </c>
      <c r="BY818" s="830" t="str">
        <f t="shared" ca="1" si="672"/>
        <v>ПОДЛЕЖИТ ВАКЦИНАЦИИ</v>
      </c>
      <c r="BZ818" s="839"/>
      <c r="CA818" s="832"/>
      <c r="CB818" s="833" t="str">
        <f t="shared" si="673"/>
        <v>-</v>
      </c>
      <c r="CC818" s="834" t="str">
        <f t="shared" si="674"/>
        <v>-</v>
      </c>
      <c r="CD818" s="835" t="str">
        <f t="shared" si="675"/>
        <v>-</v>
      </c>
      <c r="CE818" s="839"/>
      <c r="CF818" s="832"/>
      <c r="CG818" s="833" t="str">
        <f t="shared" si="676"/>
        <v>-</v>
      </c>
      <c r="CH818" s="836" t="str">
        <f t="shared" si="677"/>
        <v>-</v>
      </c>
      <c r="CI818" s="837" t="str">
        <f t="shared" si="678"/>
        <v>-</v>
      </c>
      <c r="CJ818" s="838" t="str">
        <f t="shared" si="679"/>
        <v>-</v>
      </c>
      <c r="CK818" s="831"/>
      <c r="CL818" s="832"/>
      <c r="CM818" s="833" t="str">
        <f t="shared" si="680"/>
        <v>-</v>
      </c>
      <c r="CN818" s="834" t="str">
        <f t="shared" si="681"/>
        <v>-</v>
      </c>
      <c r="CO818" s="830" t="str">
        <f t="shared" ca="1" si="682"/>
        <v>-</v>
      </c>
      <c r="CP818" s="839"/>
      <c r="CQ818" s="832"/>
      <c r="CR818" s="833" t="str">
        <f t="shared" si="683"/>
        <v>-</v>
      </c>
      <c r="CS818" s="833" t="str">
        <f t="shared" si="684"/>
        <v>-</v>
      </c>
      <c r="CT818" s="834" t="str">
        <f t="shared" si="685"/>
        <v>-</v>
      </c>
      <c r="CU818" s="835" t="str">
        <f t="shared" si="686"/>
        <v>-</v>
      </c>
      <c r="CV818" s="839"/>
      <c r="CW818" s="832"/>
      <c r="CX818" s="833" t="str">
        <f t="shared" si="687"/>
        <v>-</v>
      </c>
      <c r="CY818" s="840" t="str">
        <f t="shared" si="688"/>
        <v>-</v>
      </c>
      <c r="CZ818" s="833" t="str">
        <f t="shared" si="689"/>
        <v>-</v>
      </c>
      <c r="DA818" s="838" t="str">
        <f t="shared" ca="1" si="690"/>
        <v>-</v>
      </c>
      <c r="DB818" s="841"/>
      <c r="DC818" s="832"/>
    </row>
    <row r="819" spans="1:107" x14ac:dyDescent="0.25">
      <c r="A819" s="790">
        <v>822</v>
      </c>
      <c r="B819" s="791">
        <f t="shared" ca="1" si="639"/>
        <v>43134</v>
      </c>
      <c r="C819" s="29" t="s">
        <v>2547</v>
      </c>
      <c r="D819" s="59" t="s">
        <v>1635</v>
      </c>
      <c r="E819" s="794" t="s">
        <v>1563</v>
      </c>
      <c r="F819" s="795" t="s">
        <v>3272</v>
      </c>
      <c r="G819" s="845"/>
      <c r="H819" s="797" t="s">
        <v>603</v>
      </c>
      <c r="I819" s="798">
        <v>43019</v>
      </c>
      <c r="J819" s="799">
        <f t="shared" ca="1" si="640"/>
        <v>0.31506849315068491</v>
      </c>
      <c r="K819" s="799">
        <f t="shared" ca="1" si="641"/>
        <v>3.8333333333333335</v>
      </c>
      <c r="L819" s="800">
        <f t="shared" ca="1" si="642"/>
        <v>115</v>
      </c>
      <c r="M819" s="801"/>
      <c r="N819" s="802"/>
      <c r="O819" s="803" t="str">
        <f t="shared" ca="1" si="643"/>
        <v>-</v>
      </c>
      <c r="P819" s="804"/>
      <c r="Q819" s="805"/>
      <c r="R819" s="806"/>
      <c r="S819" s="807"/>
      <c r="T819" s="798"/>
      <c r="U819" s="798" t="str">
        <f t="shared" si="644"/>
        <v>-</v>
      </c>
      <c r="V819" s="804" t="str">
        <f t="shared" ca="1" si="645"/>
        <v>-</v>
      </c>
      <c r="W819" s="808">
        <v>0</v>
      </c>
      <c r="X819" s="794" t="str">
        <f t="shared" si="638"/>
        <v>-</v>
      </c>
      <c r="Y819" s="794">
        <v>0</v>
      </c>
      <c r="Z819" s="809" t="str">
        <f t="shared" ca="1" si="646"/>
        <v>-----</v>
      </c>
      <c r="AA819" s="810">
        <f t="shared" ca="1" si="647"/>
        <v>43134</v>
      </c>
      <c r="AB819" s="804"/>
      <c r="AC819" s="811" t="str">
        <f t="shared" ca="1" si="648"/>
        <v>-----</v>
      </c>
      <c r="AD819" s="798"/>
      <c r="AE819" s="794" t="str">
        <f t="shared" ca="1" si="649"/>
        <v>-</v>
      </c>
      <c r="AF819" s="798" t="str">
        <f t="shared" si="650"/>
        <v>-</v>
      </c>
      <c r="AG819" s="812" t="str">
        <f t="shared" si="651"/>
        <v>---------</v>
      </c>
      <c r="AH819" s="807"/>
      <c r="AI819" s="807" t="str">
        <f t="shared" si="652"/>
        <v>-</v>
      </c>
      <c r="AJ819" s="807" t="str">
        <f t="shared" si="653"/>
        <v>-</v>
      </c>
      <c r="AK819" s="813"/>
      <c r="AL819" s="807" t="str">
        <f t="shared" si="654"/>
        <v>-</v>
      </c>
      <c r="AM819" s="807" t="str">
        <f t="shared" si="655"/>
        <v>-</v>
      </c>
      <c r="AN819" s="814" t="str">
        <f t="shared" ca="1" si="656"/>
        <v>-</v>
      </c>
      <c r="AO819" s="815">
        <v>1</v>
      </c>
      <c r="AP819" s="816" t="str">
        <f t="shared" ca="1" si="657"/>
        <v>-</v>
      </c>
      <c r="AQ819" s="817"/>
      <c r="AR819" s="794" t="str">
        <f t="shared" si="658"/>
        <v>-</v>
      </c>
      <c r="AS819" s="818"/>
      <c r="AT819" s="794" t="str">
        <f t="shared" si="659"/>
        <v>-</v>
      </c>
      <c r="AU819" s="819"/>
      <c r="AV819" s="865"/>
      <c r="AW819" s="821"/>
      <c r="AX819" s="821"/>
      <c r="AY819" s="969" t="str">
        <f t="shared" si="660"/>
        <v>-</v>
      </c>
      <c r="AZ819" s="966" t="str">
        <f t="shared" si="661"/>
        <v>-</v>
      </c>
      <c r="BA819" s="971" t="str">
        <f t="shared" si="662"/>
        <v>-</v>
      </c>
      <c r="BB819" s="975"/>
      <c r="BC819" s="821"/>
      <c r="BD819" s="821"/>
      <c r="BE819" s="963" t="str">
        <f t="shared" si="663"/>
        <v>-</v>
      </c>
      <c r="BF819" s="984"/>
      <c r="BG819" s="988"/>
      <c r="BH819" s="982"/>
      <c r="BI819" s="991"/>
      <c r="BJ819" s="991"/>
      <c r="BK819" s="993" t="str">
        <f t="shared" si="664"/>
        <v>-</v>
      </c>
      <c r="BL819" s="865"/>
      <c r="BM819" s="821"/>
      <c r="BN819" s="822" t="str">
        <f t="shared" si="665"/>
        <v>-</v>
      </c>
      <c r="BO819" s="823" t="str">
        <f t="shared" si="666"/>
        <v>-</v>
      </c>
      <c r="BP819" s="868"/>
      <c r="BQ819" s="821"/>
      <c r="BR819" s="822" t="str">
        <f t="shared" si="667"/>
        <v>-</v>
      </c>
      <c r="BS819" s="823" t="str">
        <f t="shared" si="668"/>
        <v>-</v>
      </c>
      <c r="BT819" s="825" t="str">
        <f t="shared" ca="1" si="669"/>
        <v>-</v>
      </c>
      <c r="BU819" s="860">
        <v>43022</v>
      </c>
      <c r="BV819" s="827">
        <v>2</v>
      </c>
      <c r="BW819" s="828">
        <f t="shared" si="670"/>
        <v>3</v>
      </c>
      <c r="BX819" s="829">
        <f t="shared" ca="1" si="671"/>
        <v>112</v>
      </c>
      <c r="BY819" s="830" t="str">
        <f t="shared" ca="1" si="672"/>
        <v>ПОДЛЕЖИТ ВАКЦИНАЦИИ</v>
      </c>
      <c r="BZ819" s="839"/>
      <c r="CA819" s="832"/>
      <c r="CB819" s="833" t="str">
        <f t="shared" si="673"/>
        <v>-</v>
      </c>
      <c r="CC819" s="834" t="str">
        <f t="shared" si="674"/>
        <v>-</v>
      </c>
      <c r="CD819" s="835" t="str">
        <f t="shared" si="675"/>
        <v>-</v>
      </c>
      <c r="CE819" s="839"/>
      <c r="CF819" s="832"/>
      <c r="CG819" s="833" t="str">
        <f t="shared" si="676"/>
        <v>-</v>
      </c>
      <c r="CH819" s="836" t="str">
        <f t="shared" si="677"/>
        <v>-</v>
      </c>
      <c r="CI819" s="837" t="str">
        <f t="shared" si="678"/>
        <v>-</v>
      </c>
      <c r="CJ819" s="838" t="str">
        <f t="shared" si="679"/>
        <v>-</v>
      </c>
      <c r="CK819" s="831"/>
      <c r="CL819" s="832"/>
      <c r="CM819" s="833" t="str">
        <f t="shared" si="680"/>
        <v>-</v>
      </c>
      <c r="CN819" s="834" t="str">
        <f t="shared" si="681"/>
        <v>-</v>
      </c>
      <c r="CO819" s="830" t="str">
        <f t="shared" ca="1" si="682"/>
        <v>-</v>
      </c>
      <c r="CP819" s="839"/>
      <c r="CQ819" s="832"/>
      <c r="CR819" s="833" t="str">
        <f t="shared" si="683"/>
        <v>-</v>
      </c>
      <c r="CS819" s="833" t="str">
        <f t="shared" si="684"/>
        <v>-</v>
      </c>
      <c r="CT819" s="834" t="str">
        <f t="shared" si="685"/>
        <v>-</v>
      </c>
      <c r="CU819" s="835" t="str">
        <f t="shared" si="686"/>
        <v>-</v>
      </c>
      <c r="CV819" s="839"/>
      <c r="CW819" s="832"/>
      <c r="CX819" s="833" t="str">
        <f t="shared" si="687"/>
        <v>-</v>
      </c>
      <c r="CY819" s="840" t="str">
        <f t="shared" si="688"/>
        <v>-</v>
      </c>
      <c r="CZ819" s="833" t="str">
        <f t="shared" si="689"/>
        <v>-</v>
      </c>
      <c r="DA819" s="838" t="str">
        <f t="shared" ca="1" si="690"/>
        <v>-</v>
      </c>
      <c r="DB819" s="841"/>
      <c r="DC819" s="832"/>
    </row>
    <row r="820" spans="1:107" x14ac:dyDescent="0.25">
      <c r="A820" s="790">
        <v>823</v>
      </c>
      <c r="B820" s="791">
        <f t="shared" ca="1" si="639"/>
        <v>43134</v>
      </c>
      <c r="C820" s="29" t="s">
        <v>2547</v>
      </c>
      <c r="D820" s="59" t="s">
        <v>1635</v>
      </c>
      <c r="E820" s="794" t="s">
        <v>1563</v>
      </c>
      <c r="F820" s="795" t="s">
        <v>3273</v>
      </c>
      <c r="G820" s="845"/>
      <c r="H820" s="797" t="s">
        <v>603</v>
      </c>
      <c r="I820" s="798">
        <v>43019</v>
      </c>
      <c r="J820" s="799">
        <f t="shared" ca="1" si="640"/>
        <v>0.31506849315068491</v>
      </c>
      <c r="K820" s="799">
        <f t="shared" ca="1" si="641"/>
        <v>3.8333333333333335</v>
      </c>
      <c r="L820" s="800">
        <f t="shared" ca="1" si="642"/>
        <v>115</v>
      </c>
      <c r="M820" s="801"/>
      <c r="N820" s="802"/>
      <c r="O820" s="803" t="str">
        <f t="shared" ca="1" si="643"/>
        <v>-</v>
      </c>
      <c r="P820" s="804"/>
      <c r="Q820" s="805"/>
      <c r="R820" s="806"/>
      <c r="S820" s="807"/>
      <c r="T820" s="798"/>
      <c r="U820" s="798" t="str">
        <f t="shared" si="644"/>
        <v>-</v>
      </c>
      <c r="V820" s="804" t="str">
        <f t="shared" ca="1" si="645"/>
        <v>-</v>
      </c>
      <c r="W820" s="808">
        <v>0</v>
      </c>
      <c r="X820" s="794" t="str">
        <f t="shared" si="638"/>
        <v>-</v>
      </c>
      <c r="Y820" s="794">
        <v>0</v>
      </c>
      <c r="Z820" s="809" t="str">
        <f t="shared" ca="1" si="646"/>
        <v>-----</v>
      </c>
      <c r="AA820" s="810">
        <f t="shared" ca="1" si="647"/>
        <v>43134</v>
      </c>
      <c r="AB820" s="804"/>
      <c r="AC820" s="811" t="str">
        <f t="shared" ca="1" si="648"/>
        <v>-----</v>
      </c>
      <c r="AD820" s="798"/>
      <c r="AE820" s="794" t="str">
        <f t="shared" ca="1" si="649"/>
        <v>-</v>
      </c>
      <c r="AF820" s="798" t="str">
        <f t="shared" si="650"/>
        <v>-</v>
      </c>
      <c r="AG820" s="812" t="str">
        <f t="shared" si="651"/>
        <v>---------</v>
      </c>
      <c r="AH820" s="807"/>
      <c r="AI820" s="807" t="str">
        <f t="shared" si="652"/>
        <v>-</v>
      </c>
      <c r="AJ820" s="807" t="str">
        <f t="shared" si="653"/>
        <v>-</v>
      </c>
      <c r="AK820" s="813"/>
      <c r="AL820" s="807" t="str">
        <f t="shared" si="654"/>
        <v>-</v>
      </c>
      <c r="AM820" s="807" t="str">
        <f t="shared" si="655"/>
        <v>-</v>
      </c>
      <c r="AN820" s="814" t="str">
        <f t="shared" ca="1" si="656"/>
        <v>-</v>
      </c>
      <c r="AO820" s="815">
        <v>1</v>
      </c>
      <c r="AP820" s="816" t="str">
        <f t="shared" ca="1" si="657"/>
        <v>-</v>
      </c>
      <c r="AQ820" s="817"/>
      <c r="AR820" s="794" t="str">
        <f t="shared" si="658"/>
        <v>-</v>
      </c>
      <c r="AS820" s="818"/>
      <c r="AT820" s="794" t="str">
        <f t="shared" si="659"/>
        <v>-</v>
      </c>
      <c r="AU820" s="819"/>
      <c r="AV820" s="865"/>
      <c r="AW820" s="821"/>
      <c r="AX820" s="821"/>
      <c r="AY820" s="969" t="str">
        <f t="shared" si="660"/>
        <v>-</v>
      </c>
      <c r="AZ820" s="966" t="str">
        <f t="shared" si="661"/>
        <v>-</v>
      </c>
      <c r="BA820" s="971" t="str">
        <f t="shared" si="662"/>
        <v>-</v>
      </c>
      <c r="BB820" s="975"/>
      <c r="BC820" s="821"/>
      <c r="BD820" s="821"/>
      <c r="BE820" s="963" t="str">
        <f t="shared" si="663"/>
        <v>-</v>
      </c>
      <c r="BF820" s="984"/>
      <c r="BG820" s="988"/>
      <c r="BH820" s="982"/>
      <c r="BI820" s="991"/>
      <c r="BJ820" s="991"/>
      <c r="BK820" s="993" t="str">
        <f t="shared" si="664"/>
        <v>-</v>
      </c>
      <c r="BL820" s="865"/>
      <c r="BM820" s="821"/>
      <c r="BN820" s="822" t="str">
        <f t="shared" si="665"/>
        <v>-</v>
      </c>
      <c r="BO820" s="823" t="str">
        <f t="shared" si="666"/>
        <v>-</v>
      </c>
      <c r="BP820" s="868"/>
      <c r="BQ820" s="821"/>
      <c r="BR820" s="822" t="str">
        <f t="shared" si="667"/>
        <v>-</v>
      </c>
      <c r="BS820" s="823" t="str">
        <f t="shared" si="668"/>
        <v>-</v>
      </c>
      <c r="BT820" s="825" t="str">
        <f t="shared" ca="1" si="669"/>
        <v>-</v>
      </c>
      <c r="BU820" s="860">
        <v>43022</v>
      </c>
      <c r="BV820" s="827">
        <v>2</v>
      </c>
      <c r="BW820" s="828">
        <f t="shared" si="670"/>
        <v>3</v>
      </c>
      <c r="BX820" s="829">
        <f t="shared" ca="1" si="671"/>
        <v>112</v>
      </c>
      <c r="BY820" s="830" t="str">
        <f t="shared" ca="1" si="672"/>
        <v>ПОДЛЕЖИТ ВАКЦИНАЦИИ</v>
      </c>
      <c r="BZ820" s="839"/>
      <c r="CA820" s="832"/>
      <c r="CB820" s="833" t="str">
        <f t="shared" si="673"/>
        <v>-</v>
      </c>
      <c r="CC820" s="834" t="str">
        <f t="shared" si="674"/>
        <v>-</v>
      </c>
      <c r="CD820" s="835" t="str">
        <f t="shared" si="675"/>
        <v>-</v>
      </c>
      <c r="CE820" s="839"/>
      <c r="CF820" s="832"/>
      <c r="CG820" s="833" t="str">
        <f t="shared" si="676"/>
        <v>-</v>
      </c>
      <c r="CH820" s="836" t="str">
        <f t="shared" si="677"/>
        <v>-</v>
      </c>
      <c r="CI820" s="837" t="str">
        <f t="shared" si="678"/>
        <v>-</v>
      </c>
      <c r="CJ820" s="838" t="str">
        <f t="shared" si="679"/>
        <v>-</v>
      </c>
      <c r="CK820" s="831"/>
      <c r="CL820" s="832"/>
      <c r="CM820" s="833" t="str">
        <f t="shared" si="680"/>
        <v>-</v>
      </c>
      <c r="CN820" s="834" t="str">
        <f t="shared" si="681"/>
        <v>-</v>
      </c>
      <c r="CO820" s="830" t="str">
        <f t="shared" ca="1" si="682"/>
        <v>-</v>
      </c>
      <c r="CP820" s="839"/>
      <c r="CQ820" s="832"/>
      <c r="CR820" s="833" t="str">
        <f t="shared" si="683"/>
        <v>-</v>
      </c>
      <c r="CS820" s="833" t="str">
        <f t="shared" si="684"/>
        <v>-</v>
      </c>
      <c r="CT820" s="834" t="str">
        <f t="shared" si="685"/>
        <v>-</v>
      </c>
      <c r="CU820" s="835" t="str">
        <f t="shared" si="686"/>
        <v>-</v>
      </c>
      <c r="CV820" s="839"/>
      <c r="CW820" s="832"/>
      <c r="CX820" s="833" t="str">
        <f t="shared" si="687"/>
        <v>-</v>
      </c>
      <c r="CY820" s="840" t="str">
        <f t="shared" si="688"/>
        <v>-</v>
      </c>
      <c r="CZ820" s="833" t="str">
        <f t="shared" si="689"/>
        <v>-</v>
      </c>
      <c r="DA820" s="838" t="str">
        <f t="shared" ca="1" si="690"/>
        <v>-</v>
      </c>
      <c r="DB820" s="841"/>
      <c r="DC820" s="832"/>
    </row>
    <row r="821" spans="1:107" x14ac:dyDescent="0.25">
      <c r="A821" s="790">
        <v>824</v>
      </c>
      <c r="B821" s="791">
        <f t="shared" ca="1" si="639"/>
        <v>43134</v>
      </c>
      <c r="C821" s="29" t="s">
        <v>2547</v>
      </c>
      <c r="D821" s="59" t="s">
        <v>1635</v>
      </c>
      <c r="E821" s="794" t="s">
        <v>1563</v>
      </c>
      <c r="F821" s="795" t="s">
        <v>3315</v>
      </c>
      <c r="G821" s="845"/>
      <c r="H821" s="797" t="s">
        <v>603</v>
      </c>
      <c r="I821" s="798">
        <v>43024</v>
      </c>
      <c r="J821" s="799">
        <f t="shared" ca="1" si="640"/>
        <v>0.30136986301369861</v>
      </c>
      <c r="K821" s="799">
        <f t="shared" ca="1" si="641"/>
        <v>3.6666666666666665</v>
      </c>
      <c r="L821" s="800">
        <f t="shared" ca="1" si="642"/>
        <v>110</v>
      </c>
      <c r="M821" s="801"/>
      <c r="N821" s="802"/>
      <c r="O821" s="803" t="str">
        <f t="shared" ca="1" si="643"/>
        <v>-</v>
      </c>
      <c r="P821" s="804"/>
      <c r="Q821" s="805"/>
      <c r="R821" s="806"/>
      <c r="S821" s="807"/>
      <c r="T821" s="798"/>
      <c r="U821" s="798" t="str">
        <f t="shared" si="644"/>
        <v>-</v>
      </c>
      <c r="V821" s="804" t="str">
        <f t="shared" ca="1" si="645"/>
        <v>-</v>
      </c>
      <c r="W821" s="808">
        <v>0</v>
      </c>
      <c r="X821" s="794" t="str">
        <f t="shared" si="638"/>
        <v>-</v>
      </c>
      <c r="Y821" s="794">
        <v>0</v>
      </c>
      <c r="Z821" s="809" t="str">
        <f t="shared" ca="1" si="646"/>
        <v>-----</v>
      </c>
      <c r="AA821" s="810">
        <f t="shared" ca="1" si="647"/>
        <v>43134</v>
      </c>
      <c r="AB821" s="804"/>
      <c r="AC821" s="811" t="str">
        <f t="shared" ca="1" si="648"/>
        <v>-----</v>
      </c>
      <c r="AD821" s="798"/>
      <c r="AE821" s="794" t="str">
        <f t="shared" ca="1" si="649"/>
        <v>-</v>
      </c>
      <c r="AF821" s="798" t="str">
        <f t="shared" si="650"/>
        <v>-</v>
      </c>
      <c r="AG821" s="812" t="str">
        <f t="shared" si="651"/>
        <v>---------</v>
      </c>
      <c r="AH821" s="807"/>
      <c r="AI821" s="807" t="str">
        <f t="shared" si="652"/>
        <v>-</v>
      </c>
      <c r="AJ821" s="807" t="str">
        <f t="shared" si="653"/>
        <v>-</v>
      </c>
      <c r="AK821" s="813"/>
      <c r="AL821" s="807" t="str">
        <f t="shared" si="654"/>
        <v>-</v>
      </c>
      <c r="AM821" s="807" t="str">
        <f t="shared" si="655"/>
        <v>-</v>
      </c>
      <c r="AN821" s="814" t="str">
        <f t="shared" ca="1" si="656"/>
        <v>-</v>
      </c>
      <c r="AO821" s="815">
        <v>1</v>
      </c>
      <c r="AP821" s="816" t="str">
        <f t="shared" ca="1" si="657"/>
        <v>-</v>
      </c>
      <c r="AQ821" s="817"/>
      <c r="AR821" s="794" t="str">
        <f t="shared" si="658"/>
        <v>-</v>
      </c>
      <c r="AS821" s="818"/>
      <c r="AT821" s="794" t="str">
        <f t="shared" si="659"/>
        <v>-</v>
      </c>
      <c r="AU821" s="819"/>
      <c r="AV821" s="865"/>
      <c r="AW821" s="821"/>
      <c r="AX821" s="821"/>
      <c r="AY821" s="969" t="str">
        <f t="shared" si="660"/>
        <v>-</v>
      </c>
      <c r="AZ821" s="966" t="str">
        <f t="shared" si="661"/>
        <v>-</v>
      </c>
      <c r="BA821" s="971" t="str">
        <f t="shared" si="662"/>
        <v>-</v>
      </c>
      <c r="BB821" s="975"/>
      <c r="BC821" s="821"/>
      <c r="BD821" s="821"/>
      <c r="BE821" s="963" t="str">
        <f t="shared" si="663"/>
        <v>-</v>
      </c>
      <c r="BF821" s="984"/>
      <c r="BG821" s="988"/>
      <c r="BH821" s="982"/>
      <c r="BI821" s="991"/>
      <c r="BJ821" s="991"/>
      <c r="BK821" s="993" t="str">
        <f t="shared" si="664"/>
        <v>-</v>
      </c>
      <c r="BL821" s="865"/>
      <c r="BM821" s="821"/>
      <c r="BN821" s="822" t="str">
        <f t="shared" si="665"/>
        <v>-</v>
      </c>
      <c r="BO821" s="823" t="str">
        <f t="shared" si="666"/>
        <v>-</v>
      </c>
      <c r="BP821" s="868"/>
      <c r="BQ821" s="821"/>
      <c r="BR821" s="822" t="str">
        <f t="shared" si="667"/>
        <v>-</v>
      </c>
      <c r="BS821" s="823" t="str">
        <f t="shared" si="668"/>
        <v>-</v>
      </c>
      <c r="BT821" s="825" t="str">
        <f t="shared" ca="1" si="669"/>
        <v>-</v>
      </c>
      <c r="BU821" s="860">
        <v>43045</v>
      </c>
      <c r="BV821" s="827">
        <v>2</v>
      </c>
      <c r="BW821" s="828">
        <f t="shared" si="670"/>
        <v>21</v>
      </c>
      <c r="BX821" s="829">
        <f t="shared" ca="1" si="671"/>
        <v>89</v>
      </c>
      <c r="BY821" s="830" t="str">
        <f t="shared" ca="1" si="672"/>
        <v>ПОДЛЕЖИТ ВАКЦИНАЦИИ</v>
      </c>
      <c r="BZ821" s="839"/>
      <c r="CA821" s="832"/>
      <c r="CB821" s="833" t="str">
        <f t="shared" si="673"/>
        <v>-</v>
      </c>
      <c r="CC821" s="834" t="str">
        <f t="shared" si="674"/>
        <v>-</v>
      </c>
      <c r="CD821" s="835" t="str">
        <f t="shared" si="675"/>
        <v>-</v>
      </c>
      <c r="CE821" s="839"/>
      <c r="CF821" s="832"/>
      <c r="CG821" s="833" t="str">
        <f t="shared" si="676"/>
        <v>-</v>
      </c>
      <c r="CH821" s="836" t="str">
        <f t="shared" si="677"/>
        <v>-</v>
      </c>
      <c r="CI821" s="837" t="str">
        <f t="shared" si="678"/>
        <v>-</v>
      </c>
      <c r="CJ821" s="838" t="str">
        <f t="shared" si="679"/>
        <v>-</v>
      </c>
      <c r="CK821" s="831"/>
      <c r="CL821" s="832"/>
      <c r="CM821" s="833" t="str">
        <f t="shared" si="680"/>
        <v>-</v>
      </c>
      <c r="CN821" s="834" t="str">
        <f t="shared" si="681"/>
        <v>-</v>
      </c>
      <c r="CO821" s="830" t="str">
        <f t="shared" ca="1" si="682"/>
        <v>-</v>
      </c>
      <c r="CP821" s="839"/>
      <c r="CQ821" s="832"/>
      <c r="CR821" s="833" t="str">
        <f t="shared" si="683"/>
        <v>-</v>
      </c>
      <c r="CS821" s="833" t="str">
        <f t="shared" si="684"/>
        <v>-</v>
      </c>
      <c r="CT821" s="834" t="str">
        <f t="shared" si="685"/>
        <v>-</v>
      </c>
      <c r="CU821" s="835" t="str">
        <f t="shared" si="686"/>
        <v>-</v>
      </c>
      <c r="CV821" s="839"/>
      <c r="CW821" s="832"/>
      <c r="CX821" s="833" t="str">
        <f t="shared" si="687"/>
        <v>-</v>
      </c>
      <c r="CY821" s="840" t="str">
        <f t="shared" si="688"/>
        <v>-</v>
      </c>
      <c r="CZ821" s="833" t="str">
        <f t="shared" si="689"/>
        <v>-</v>
      </c>
      <c r="DA821" s="838" t="str">
        <f t="shared" ca="1" si="690"/>
        <v>-</v>
      </c>
      <c r="DB821" s="841"/>
      <c r="DC821" s="832"/>
    </row>
    <row r="822" spans="1:107" x14ac:dyDescent="0.25">
      <c r="A822" s="790">
        <v>825</v>
      </c>
      <c r="B822" s="791">
        <f t="shared" ca="1" si="639"/>
        <v>43134</v>
      </c>
      <c r="C822" s="29" t="s">
        <v>2547</v>
      </c>
      <c r="D822" s="59" t="s">
        <v>1635</v>
      </c>
      <c r="E822" s="794" t="s">
        <v>1563</v>
      </c>
      <c r="F822" s="795" t="s">
        <v>3317</v>
      </c>
      <c r="G822" s="845"/>
      <c r="H822" s="797" t="s">
        <v>603</v>
      </c>
      <c r="I822" s="798">
        <v>43024</v>
      </c>
      <c r="J822" s="799">
        <f t="shared" ca="1" si="640"/>
        <v>0.30136986301369861</v>
      </c>
      <c r="K822" s="799">
        <f t="shared" ca="1" si="641"/>
        <v>3.6666666666666665</v>
      </c>
      <c r="L822" s="800">
        <f t="shared" ca="1" si="642"/>
        <v>110</v>
      </c>
      <c r="M822" s="801"/>
      <c r="N822" s="802"/>
      <c r="O822" s="803" t="str">
        <f t="shared" ca="1" si="643"/>
        <v>-</v>
      </c>
      <c r="P822" s="804"/>
      <c r="Q822" s="805"/>
      <c r="R822" s="806"/>
      <c r="S822" s="807"/>
      <c r="T822" s="798"/>
      <c r="U822" s="798" t="str">
        <f t="shared" si="644"/>
        <v>-</v>
      </c>
      <c r="V822" s="804" t="str">
        <f t="shared" ca="1" si="645"/>
        <v>-</v>
      </c>
      <c r="W822" s="808">
        <v>0</v>
      </c>
      <c r="X822" s="794" t="str">
        <f t="shared" ref="X822:X885" si="691">IF(AND(N822&gt;0,T822&gt;0),T822-N822,"-")</f>
        <v>-</v>
      </c>
      <c r="Y822" s="794">
        <v>0</v>
      </c>
      <c r="Z822" s="809" t="str">
        <f t="shared" ca="1" si="646"/>
        <v>-----</v>
      </c>
      <c r="AA822" s="810">
        <f t="shared" ca="1" si="647"/>
        <v>43134</v>
      </c>
      <c r="AB822" s="804"/>
      <c r="AC822" s="811" t="str">
        <f t="shared" ca="1" si="648"/>
        <v>-----</v>
      </c>
      <c r="AD822" s="798"/>
      <c r="AE822" s="794" t="str">
        <f t="shared" ca="1" si="649"/>
        <v>-</v>
      </c>
      <c r="AF822" s="798" t="str">
        <f t="shared" si="650"/>
        <v>-</v>
      </c>
      <c r="AG822" s="812" t="str">
        <f t="shared" si="651"/>
        <v>---------</v>
      </c>
      <c r="AH822" s="807"/>
      <c r="AI822" s="807" t="str">
        <f t="shared" si="652"/>
        <v>-</v>
      </c>
      <c r="AJ822" s="807" t="str">
        <f t="shared" si="653"/>
        <v>-</v>
      </c>
      <c r="AK822" s="813"/>
      <c r="AL822" s="807" t="str">
        <f t="shared" si="654"/>
        <v>-</v>
      </c>
      <c r="AM822" s="807" t="str">
        <f t="shared" si="655"/>
        <v>-</v>
      </c>
      <c r="AN822" s="814" t="str">
        <f t="shared" ca="1" si="656"/>
        <v>-</v>
      </c>
      <c r="AO822" s="815">
        <v>1</v>
      </c>
      <c r="AP822" s="816" t="str">
        <f t="shared" ca="1" si="657"/>
        <v>-</v>
      </c>
      <c r="AQ822" s="817"/>
      <c r="AR822" s="794" t="str">
        <f t="shared" si="658"/>
        <v>-</v>
      </c>
      <c r="AS822" s="818"/>
      <c r="AT822" s="794" t="str">
        <f t="shared" si="659"/>
        <v>-</v>
      </c>
      <c r="AU822" s="819"/>
      <c r="AV822" s="865"/>
      <c r="AW822" s="821"/>
      <c r="AX822" s="821"/>
      <c r="AY822" s="969" t="str">
        <f t="shared" si="660"/>
        <v>-</v>
      </c>
      <c r="AZ822" s="966" t="str">
        <f t="shared" si="661"/>
        <v>-</v>
      </c>
      <c r="BA822" s="971" t="str">
        <f t="shared" si="662"/>
        <v>-</v>
      </c>
      <c r="BB822" s="975"/>
      <c r="BC822" s="821"/>
      <c r="BD822" s="821"/>
      <c r="BE822" s="963" t="str">
        <f t="shared" si="663"/>
        <v>-</v>
      </c>
      <c r="BF822" s="984"/>
      <c r="BG822" s="988"/>
      <c r="BH822" s="982"/>
      <c r="BI822" s="991"/>
      <c r="BJ822" s="991"/>
      <c r="BK822" s="993" t="str">
        <f t="shared" si="664"/>
        <v>-</v>
      </c>
      <c r="BL822" s="865"/>
      <c r="BM822" s="821"/>
      <c r="BN822" s="822" t="str">
        <f t="shared" si="665"/>
        <v>-</v>
      </c>
      <c r="BO822" s="823" t="str">
        <f t="shared" si="666"/>
        <v>-</v>
      </c>
      <c r="BP822" s="868"/>
      <c r="BQ822" s="821"/>
      <c r="BR822" s="822" t="str">
        <f t="shared" si="667"/>
        <v>-</v>
      </c>
      <c r="BS822" s="823" t="str">
        <f t="shared" si="668"/>
        <v>-</v>
      </c>
      <c r="BT822" s="825" t="str">
        <f t="shared" ca="1" si="669"/>
        <v>-</v>
      </c>
      <c r="BU822" s="860">
        <v>43045</v>
      </c>
      <c r="BV822" s="827">
        <v>2</v>
      </c>
      <c r="BW822" s="828">
        <f t="shared" si="670"/>
        <v>21</v>
      </c>
      <c r="BX822" s="829">
        <f t="shared" ca="1" si="671"/>
        <v>89</v>
      </c>
      <c r="BY822" s="830" t="str">
        <f t="shared" ca="1" si="672"/>
        <v>ПОДЛЕЖИТ ВАКЦИНАЦИИ</v>
      </c>
      <c r="BZ822" s="839"/>
      <c r="CA822" s="832"/>
      <c r="CB822" s="833" t="str">
        <f t="shared" si="673"/>
        <v>-</v>
      </c>
      <c r="CC822" s="834" t="str">
        <f t="shared" si="674"/>
        <v>-</v>
      </c>
      <c r="CD822" s="835" t="str">
        <f t="shared" si="675"/>
        <v>-</v>
      </c>
      <c r="CE822" s="839"/>
      <c r="CF822" s="832"/>
      <c r="CG822" s="833" t="str">
        <f t="shared" si="676"/>
        <v>-</v>
      </c>
      <c r="CH822" s="836" t="str">
        <f t="shared" si="677"/>
        <v>-</v>
      </c>
      <c r="CI822" s="837" t="str">
        <f t="shared" si="678"/>
        <v>-</v>
      </c>
      <c r="CJ822" s="838" t="str">
        <f t="shared" si="679"/>
        <v>-</v>
      </c>
      <c r="CK822" s="831"/>
      <c r="CL822" s="832"/>
      <c r="CM822" s="833" t="str">
        <f t="shared" si="680"/>
        <v>-</v>
      </c>
      <c r="CN822" s="834" t="str">
        <f t="shared" si="681"/>
        <v>-</v>
      </c>
      <c r="CO822" s="830" t="str">
        <f t="shared" ca="1" si="682"/>
        <v>-</v>
      </c>
      <c r="CP822" s="839"/>
      <c r="CQ822" s="832"/>
      <c r="CR822" s="833" t="str">
        <f t="shared" si="683"/>
        <v>-</v>
      </c>
      <c r="CS822" s="833" t="str">
        <f t="shared" si="684"/>
        <v>-</v>
      </c>
      <c r="CT822" s="834" t="str">
        <f t="shared" si="685"/>
        <v>-</v>
      </c>
      <c r="CU822" s="835" t="str">
        <f t="shared" si="686"/>
        <v>-</v>
      </c>
      <c r="CV822" s="839"/>
      <c r="CW822" s="832"/>
      <c r="CX822" s="833" t="str">
        <f t="shared" si="687"/>
        <v>-</v>
      </c>
      <c r="CY822" s="840" t="str">
        <f t="shared" si="688"/>
        <v>-</v>
      </c>
      <c r="CZ822" s="833" t="str">
        <f t="shared" si="689"/>
        <v>-</v>
      </c>
      <c r="DA822" s="838" t="str">
        <f t="shared" ca="1" si="690"/>
        <v>-</v>
      </c>
      <c r="DB822" s="841"/>
      <c r="DC822" s="832"/>
    </row>
    <row r="823" spans="1:107" x14ac:dyDescent="0.25">
      <c r="A823" s="790">
        <v>826</v>
      </c>
      <c r="B823" s="791">
        <f t="shared" ca="1" si="639"/>
        <v>43134</v>
      </c>
      <c r="C823" s="29" t="s">
        <v>2547</v>
      </c>
      <c r="D823" s="59" t="s">
        <v>1635</v>
      </c>
      <c r="E823" s="22" t="s">
        <v>1563</v>
      </c>
      <c r="F823" s="27" t="s">
        <v>3323</v>
      </c>
      <c r="G823" s="871"/>
      <c r="H823" s="797" t="s">
        <v>603</v>
      </c>
      <c r="I823" s="798">
        <v>43027</v>
      </c>
      <c r="J823" s="799">
        <f t="shared" ca="1" si="640"/>
        <v>0.29315068493150687</v>
      </c>
      <c r="K823" s="799">
        <f t="shared" ca="1" si="641"/>
        <v>3.5666666666666669</v>
      </c>
      <c r="L823" s="800">
        <f t="shared" ca="1" si="642"/>
        <v>107</v>
      </c>
      <c r="M823" s="801"/>
      <c r="N823" s="802"/>
      <c r="O823" s="803" t="str">
        <f t="shared" ca="1" si="643"/>
        <v>-</v>
      </c>
      <c r="P823" s="804"/>
      <c r="Q823" s="805"/>
      <c r="R823" s="806"/>
      <c r="S823" s="807"/>
      <c r="T823" s="798"/>
      <c r="U823" s="798" t="str">
        <f t="shared" si="644"/>
        <v>-</v>
      </c>
      <c r="V823" s="804" t="str">
        <f t="shared" ca="1" si="645"/>
        <v>-</v>
      </c>
      <c r="W823" s="808">
        <v>0</v>
      </c>
      <c r="X823" s="794" t="str">
        <f t="shared" si="691"/>
        <v>-</v>
      </c>
      <c r="Y823" s="794">
        <v>0</v>
      </c>
      <c r="Z823" s="809" t="str">
        <f t="shared" ca="1" si="646"/>
        <v>-----</v>
      </c>
      <c r="AA823" s="810">
        <f t="shared" ca="1" si="647"/>
        <v>43134</v>
      </c>
      <c r="AB823" s="804"/>
      <c r="AC823" s="811" t="str">
        <f t="shared" ca="1" si="648"/>
        <v>-----</v>
      </c>
      <c r="AD823" s="798"/>
      <c r="AE823" s="794" t="str">
        <f t="shared" ca="1" si="649"/>
        <v>-</v>
      </c>
      <c r="AF823" s="798" t="str">
        <f t="shared" si="650"/>
        <v>-</v>
      </c>
      <c r="AG823" s="812" t="str">
        <f t="shared" si="651"/>
        <v>---------</v>
      </c>
      <c r="AH823" s="807"/>
      <c r="AI823" s="807" t="str">
        <f t="shared" si="652"/>
        <v>-</v>
      </c>
      <c r="AJ823" s="807" t="str">
        <f t="shared" si="653"/>
        <v>-</v>
      </c>
      <c r="AK823" s="813"/>
      <c r="AL823" s="807" t="str">
        <f t="shared" si="654"/>
        <v>-</v>
      </c>
      <c r="AM823" s="807" t="str">
        <f t="shared" si="655"/>
        <v>-</v>
      </c>
      <c r="AN823" s="814" t="str">
        <f t="shared" ca="1" si="656"/>
        <v>-</v>
      </c>
      <c r="AO823" s="815">
        <v>1</v>
      </c>
      <c r="AP823" s="816" t="str">
        <f t="shared" ca="1" si="657"/>
        <v>-</v>
      </c>
      <c r="AQ823" s="817"/>
      <c r="AR823" s="794" t="str">
        <f t="shared" si="658"/>
        <v>-</v>
      </c>
      <c r="AS823" s="818"/>
      <c r="AT823" s="794" t="str">
        <f t="shared" si="659"/>
        <v>-</v>
      </c>
      <c r="AU823" s="819"/>
      <c r="AV823" s="865"/>
      <c r="AW823" s="821"/>
      <c r="AX823" s="821"/>
      <c r="AY823" s="969" t="str">
        <f t="shared" si="660"/>
        <v>-</v>
      </c>
      <c r="AZ823" s="966" t="str">
        <f t="shared" si="661"/>
        <v>-</v>
      </c>
      <c r="BA823" s="971" t="str">
        <f t="shared" si="662"/>
        <v>-</v>
      </c>
      <c r="BB823" s="975"/>
      <c r="BC823" s="821"/>
      <c r="BD823" s="821"/>
      <c r="BE823" s="963" t="str">
        <f t="shared" si="663"/>
        <v>-</v>
      </c>
      <c r="BF823" s="984"/>
      <c r="BG823" s="988"/>
      <c r="BH823" s="982"/>
      <c r="BI823" s="991"/>
      <c r="BJ823" s="991"/>
      <c r="BK823" s="993" t="str">
        <f t="shared" si="664"/>
        <v>-</v>
      </c>
      <c r="BL823" s="865"/>
      <c r="BM823" s="821"/>
      <c r="BN823" s="822" t="str">
        <f t="shared" si="665"/>
        <v>-</v>
      </c>
      <c r="BO823" s="823" t="str">
        <f t="shared" si="666"/>
        <v>-</v>
      </c>
      <c r="BP823" s="868"/>
      <c r="BQ823" s="821"/>
      <c r="BR823" s="822" t="str">
        <f t="shared" si="667"/>
        <v>-</v>
      </c>
      <c r="BS823" s="823" t="str">
        <f t="shared" si="668"/>
        <v>-</v>
      </c>
      <c r="BT823" s="825" t="str">
        <f t="shared" ca="1" si="669"/>
        <v>-</v>
      </c>
      <c r="BU823" s="860">
        <v>43045</v>
      </c>
      <c r="BV823" s="827">
        <v>2</v>
      </c>
      <c r="BW823" s="828">
        <f t="shared" si="670"/>
        <v>18</v>
      </c>
      <c r="BX823" s="829">
        <f t="shared" ca="1" si="671"/>
        <v>89</v>
      </c>
      <c r="BY823" s="830" t="str">
        <f t="shared" ca="1" si="672"/>
        <v>ПОДЛЕЖИТ ВАКЦИНАЦИИ</v>
      </c>
      <c r="BZ823" s="839"/>
      <c r="CA823" s="832"/>
      <c r="CB823" s="833" t="str">
        <f t="shared" si="673"/>
        <v>-</v>
      </c>
      <c r="CC823" s="834" t="str">
        <f t="shared" si="674"/>
        <v>-</v>
      </c>
      <c r="CD823" s="835" t="str">
        <f t="shared" si="675"/>
        <v>-</v>
      </c>
      <c r="CE823" s="839"/>
      <c r="CF823" s="832"/>
      <c r="CG823" s="833" t="str">
        <f t="shared" si="676"/>
        <v>-</v>
      </c>
      <c r="CH823" s="836" t="str">
        <f t="shared" si="677"/>
        <v>-</v>
      </c>
      <c r="CI823" s="837" t="str">
        <f t="shared" si="678"/>
        <v>-</v>
      </c>
      <c r="CJ823" s="838" t="str">
        <f t="shared" si="679"/>
        <v>-</v>
      </c>
      <c r="CK823" s="831"/>
      <c r="CL823" s="832"/>
      <c r="CM823" s="833" t="str">
        <f t="shared" si="680"/>
        <v>-</v>
      </c>
      <c r="CN823" s="834" t="str">
        <f t="shared" si="681"/>
        <v>-</v>
      </c>
      <c r="CO823" s="830" t="str">
        <f t="shared" ca="1" si="682"/>
        <v>-</v>
      </c>
      <c r="CP823" s="839"/>
      <c r="CQ823" s="832"/>
      <c r="CR823" s="833" t="str">
        <f t="shared" si="683"/>
        <v>-</v>
      </c>
      <c r="CS823" s="833" t="str">
        <f t="shared" si="684"/>
        <v>-</v>
      </c>
      <c r="CT823" s="834" t="str">
        <f t="shared" si="685"/>
        <v>-</v>
      </c>
      <c r="CU823" s="835" t="str">
        <f t="shared" si="686"/>
        <v>-</v>
      </c>
      <c r="CV823" s="839"/>
      <c r="CW823" s="832"/>
      <c r="CX823" s="833" t="str">
        <f t="shared" si="687"/>
        <v>-</v>
      </c>
      <c r="CY823" s="840" t="str">
        <f t="shared" si="688"/>
        <v>-</v>
      </c>
      <c r="CZ823" s="833" t="str">
        <f t="shared" si="689"/>
        <v>-</v>
      </c>
      <c r="DA823" s="838" t="str">
        <f t="shared" ca="1" si="690"/>
        <v>-</v>
      </c>
      <c r="DB823" s="841"/>
      <c r="DC823" s="832"/>
    </row>
    <row r="824" spans="1:107" x14ac:dyDescent="0.25">
      <c r="A824" s="790">
        <v>827</v>
      </c>
      <c r="B824" s="791">
        <f t="shared" ca="1" si="639"/>
        <v>43134</v>
      </c>
      <c r="C824" s="29" t="s">
        <v>2547</v>
      </c>
      <c r="D824" s="59" t="s">
        <v>1635</v>
      </c>
      <c r="E824" s="22" t="s">
        <v>1563</v>
      </c>
      <c r="F824" s="27" t="s">
        <v>3326</v>
      </c>
      <c r="G824" s="871"/>
      <c r="H824" s="797" t="s">
        <v>603</v>
      </c>
      <c r="I824" s="798">
        <v>43028</v>
      </c>
      <c r="J824" s="799">
        <f t="shared" ca="1" si="640"/>
        <v>0.29041095890410956</v>
      </c>
      <c r="K824" s="799">
        <f t="shared" ca="1" si="641"/>
        <v>3.5333333333333332</v>
      </c>
      <c r="L824" s="800">
        <f t="shared" ca="1" si="642"/>
        <v>106</v>
      </c>
      <c r="M824" s="801"/>
      <c r="N824" s="802"/>
      <c r="O824" s="803" t="str">
        <f t="shared" ca="1" si="643"/>
        <v>-</v>
      </c>
      <c r="P824" s="804"/>
      <c r="Q824" s="805"/>
      <c r="R824" s="806"/>
      <c r="S824" s="807"/>
      <c r="T824" s="798"/>
      <c r="U824" s="798" t="str">
        <f t="shared" si="644"/>
        <v>-</v>
      </c>
      <c r="V824" s="804" t="str">
        <f t="shared" ca="1" si="645"/>
        <v>-</v>
      </c>
      <c r="W824" s="808">
        <v>0</v>
      </c>
      <c r="X824" s="794" t="str">
        <f t="shared" si="691"/>
        <v>-</v>
      </c>
      <c r="Y824" s="794">
        <v>0</v>
      </c>
      <c r="Z824" s="809" t="str">
        <f t="shared" ca="1" si="646"/>
        <v>-----</v>
      </c>
      <c r="AA824" s="810">
        <f t="shared" ca="1" si="647"/>
        <v>43134</v>
      </c>
      <c r="AB824" s="804"/>
      <c r="AC824" s="811" t="str">
        <f t="shared" ca="1" si="648"/>
        <v>-----</v>
      </c>
      <c r="AD824" s="798"/>
      <c r="AE824" s="794" t="str">
        <f t="shared" ca="1" si="649"/>
        <v>-</v>
      </c>
      <c r="AF824" s="798" t="str">
        <f t="shared" si="650"/>
        <v>-</v>
      </c>
      <c r="AG824" s="812" t="str">
        <f t="shared" si="651"/>
        <v>---------</v>
      </c>
      <c r="AH824" s="807"/>
      <c r="AI824" s="807" t="str">
        <f t="shared" si="652"/>
        <v>-</v>
      </c>
      <c r="AJ824" s="807" t="str">
        <f t="shared" si="653"/>
        <v>-</v>
      </c>
      <c r="AK824" s="813"/>
      <c r="AL824" s="807" t="str">
        <f t="shared" si="654"/>
        <v>-</v>
      </c>
      <c r="AM824" s="807" t="str">
        <f t="shared" si="655"/>
        <v>-</v>
      </c>
      <c r="AN824" s="814" t="str">
        <f t="shared" ca="1" si="656"/>
        <v>-</v>
      </c>
      <c r="AO824" s="815">
        <v>1</v>
      </c>
      <c r="AP824" s="816" t="str">
        <f t="shared" ca="1" si="657"/>
        <v>-</v>
      </c>
      <c r="AQ824" s="817"/>
      <c r="AR824" s="794" t="str">
        <f t="shared" si="658"/>
        <v>-</v>
      </c>
      <c r="AS824" s="818"/>
      <c r="AT824" s="794" t="str">
        <f t="shared" si="659"/>
        <v>-</v>
      </c>
      <c r="AU824" s="819"/>
      <c r="AV824" s="865"/>
      <c r="AW824" s="821"/>
      <c r="AX824" s="821"/>
      <c r="AY824" s="969" t="str">
        <f t="shared" si="660"/>
        <v>-</v>
      </c>
      <c r="AZ824" s="966" t="str">
        <f t="shared" si="661"/>
        <v>-</v>
      </c>
      <c r="BA824" s="971" t="str">
        <f t="shared" si="662"/>
        <v>-</v>
      </c>
      <c r="BB824" s="975"/>
      <c r="BC824" s="821"/>
      <c r="BD824" s="821"/>
      <c r="BE824" s="963" t="str">
        <f t="shared" si="663"/>
        <v>-</v>
      </c>
      <c r="BF824" s="984"/>
      <c r="BG824" s="988"/>
      <c r="BH824" s="982"/>
      <c r="BI824" s="991"/>
      <c r="BJ824" s="991"/>
      <c r="BK824" s="993" t="str">
        <f t="shared" si="664"/>
        <v>-</v>
      </c>
      <c r="BL824" s="865"/>
      <c r="BM824" s="821"/>
      <c r="BN824" s="822" t="str">
        <f t="shared" si="665"/>
        <v>-</v>
      </c>
      <c r="BO824" s="823" t="str">
        <f t="shared" si="666"/>
        <v>-</v>
      </c>
      <c r="BP824" s="868"/>
      <c r="BQ824" s="821"/>
      <c r="BR824" s="822" t="str">
        <f t="shared" si="667"/>
        <v>-</v>
      </c>
      <c r="BS824" s="823" t="str">
        <f t="shared" si="668"/>
        <v>-</v>
      </c>
      <c r="BT824" s="825" t="str">
        <f t="shared" ca="1" si="669"/>
        <v>-</v>
      </c>
      <c r="BU824" s="860">
        <v>43045</v>
      </c>
      <c r="BV824" s="827">
        <v>2</v>
      </c>
      <c r="BW824" s="828">
        <f t="shared" si="670"/>
        <v>17</v>
      </c>
      <c r="BX824" s="829">
        <f t="shared" ca="1" si="671"/>
        <v>89</v>
      </c>
      <c r="BY824" s="830" t="str">
        <f t="shared" ca="1" si="672"/>
        <v>ПОДЛЕЖИТ ВАКЦИНАЦИИ</v>
      </c>
      <c r="BZ824" s="839"/>
      <c r="CA824" s="832"/>
      <c r="CB824" s="833" t="str">
        <f t="shared" si="673"/>
        <v>-</v>
      </c>
      <c r="CC824" s="834" t="str">
        <f t="shared" si="674"/>
        <v>-</v>
      </c>
      <c r="CD824" s="835" t="str">
        <f t="shared" si="675"/>
        <v>-</v>
      </c>
      <c r="CE824" s="839"/>
      <c r="CF824" s="832"/>
      <c r="CG824" s="833" t="str">
        <f t="shared" si="676"/>
        <v>-</v>
      </c>
      <c r="CH824" s="836" t="str">
        <f t="shared" si="677"/>
        <v>-</v>
      </c>
      <c r="CI824" s="837" t="str">
        <f t="shared" si="678"/>
        <v>-</v>
      </c>
      <c r="CJ824" s="838" t="str">
        <f t="shared" si="679"/>
        <v>-</v>
      </c>
      <c r="CK824" s="831"/>
      <c r="CL824" s="832"/>
      <c r="CM824" s="833" t="str">
        <f t="shared" si="680"/>
        <v>-</v>
      </c>
      <c r="CN824" s="834" t="str">
        <f t="shared" si="681"/>
        <v>-</v>
      </c>
      <c r="CO824" s="830" t="str">
        <f t="shared" ca="1" si="682"/>
        <v>-</v>
      </c>
      <c r="CP824" s="839"/>
      <c r="CQ824" s="832"/>
      <c r="CR824" s="833" t="str">
        <f t="shared" si="683"/>
        <v>-</v>
      </c>
      <c r="CS824" s="833" t="str">
        <f t="shared" si="684"/>
        <v>-</v>
      </c>
      <c r="CT824" s="834" t="str">
        <f t="shared" si="685"/>
        <v>-</v>
      </c>
      <c r="CU824" s="835" t="str">
        <f t="shared" si="686"/>
        <v>-</v>
      </c>
      <c r="CV824" s="839"/>
      <c r="CW824" s="832"/>
      <c r="CX824" s="833" t="str">
        <f t="shared" si="687"/>
        <v>-</v>
      </c>
      <c r="CY824" s="840" t="str">
        <f t="shared" si="688"/>
        <v>-</v>
      </c>
      <c r="CZ824" s="833" t="str">
        <f t="shared" si="689"/>
        <v>-</v>
      </c>
      <c r="DA824" s="838" t="str">
        <f t="shared" ca="1" si="690"/>
        <v>-</v>
      </c>
      <c r="DB824" s="841"/>
      <c r="DC824" s="832"/>
    </row>
    <row r="825" spans="1:107" x14ac:dyDescent="0.25">
      <c r="A825" s="790">
        <v>828</v>
      </c>
      <c r="B825" s="791">
        <f t="shared" ca="1" si="639"/>
        <v>43134</v>
      </c>
      <c r="C825" s="29" t="s">
        <v>2547</v>
      </c>
      <c r="D825" s="59" t="s">
        <v>1635</v>
      </c>
      <c r="E825" s="794" t="s">
        <v>1563</v>
      </c>
      <c r="F825" s="27" t="s">
        <v>3327</v>
      </c>
      <c r="G825" s="845"/>
      <c r="H825" s="28" t="s">
        <v>603</v>
      </c>
      <c r="I825" s="798">
        <v>43028</v>
      </c>
      <c r="J825" s="799">
        <f t="shared" ca="1" si="640"/>
        <v>0.29041095890410956</v>
      </c>
      <c r="K825" s="799">
        <f t="shared" ca="1" si="641"/>
        <v>3.5333333333333332</v>
      </c>
      <c r="L825" s="800">
        <f t="shared" ca="1" si="642"/>
        <v>106</v>
      </c>
      <c r="M825" s="801"/>
      <c r="N825" s="802"/>
      <c r="O825" s="803" t="str">
        <f t="shared" ca="1" si="643"/>
        <v>-</v>
      </c>
      <c r="P825" s="804"/>
      <c r="Q825" s="805"/>
      <c r="R825" s="806"/>
      <c r="S825" s="807"/>
      <c r="T825" s="798"/>
      <c r="U825" s="798" t="str">
        <f t="shared" si="644"/>
        <v>-</v>
      </c>
      <c r="V825" s="804" t="str">
        <f t="shared" ca="1" si="645"/>
        <v>-</v>
      </c>
      <c r="W825" s="808">
        <v>0</v>
      </c>
      <c r="X825" s="794" t="str">
        <f t="shared" si="691"/>
        <v>-</v>
      </c>
      <c r="Y825" s="794">
        <v>0</v>
      </c>
      <c r="Z825" s="809" t="str">
        <f t="shared" ca="1" si="646"/>
        <v>-----</v>
      </c>
      <c r="AA825" s="810">
        <f t="shared" ca="1" si="647"/>
        <v>43134</v>
      </c>
      <c r="AB825" s="804"/>
      <c r="AC825" s="811" t="str">
        <f t="shared" ca="1" si="648"/>
        <v>-----</v>
      </c>
      <c r="AD825" s="798"/>
      <c r="AE825" s="794" t="str">
        <f t="shared" ca="1" si="649"/>
        <v>-</v>
      </c>
      <c r="AF825" s="798" t="str">
        <f t="shared" si="650"/>
        <v>-</v>
      </c>
      <c r="AG825" s="812" t="str">
        <f t="shared" si="651"/>
        <v>---------</v>
      </c>
      <c r="AH825" s="807"/>
      <c r="AI825" s="807" t="str">
        <f t="shared" si="652"/>
        <v>-</v>
      </c>
      <c r="AJ825" s="807" t="str">
        <f t="shared" si="653"/>
        <v>-</v>
      </c>
      <c r="AK825" s="813"/>
      <c r="AL825" s="807" t="str">
        <f t="shared" si="654"/>
        <v>-</v>
      </c>
      <c r="AM825" s="807" t="str">
        <f t="shared" si="655"/>
        <v>-</v>
      </c>
      <c r="AN825" s="814" t="str">
        <f t="shared" ca="1" si="656"/>
        <v>-</v>
      </c>
      <c r="AO825" s="815">
        <v>1</v>
      </c>
      <c r="AP825" s="816" t="str">
        <f t="shared" ca="1" si="657"/>
        <v>-</v>
      </c>
      <c r="AQ825" s="817"/>
      <c r="AR825" s="794" t="str">
        <f t="shared" si="658"/>
        <v>-</v>
      </c>
      <c r="AS825" s="818"/>
      <c r="AT825" s="794" t="str">
        <f t="shared" si="659"/>
        <v>-</v>
      </c>
      <c r="AU825" s="819"/>
      <c r="AV825" s="865"/>
      <c r="AW825" s="821"/>
      <c r="AX825" s="821"/>
      <c r="AY825" s="969" t="str">
        <f t="shared" si="660"/>
        <v>-</v>
      </c>
      <c r="AZ825" s="966" t="str">
        <f t="shared" si="661"/>
        <v>-</v>
      </c>
      <c r="BA825" s="971" t="str">
        <f t="shared" si="662"/>
        <v>-</v>
      </c>
      <c r="BB825" s="975"/>
      <c r="BC825" s="821"/>
      <c r="BD825" s="821"/>
      <c r="BE825" s="963" t="str">
        <f t="shared" si="663"/>
        <v>-</v>
      </c>
      <c r="BF825" s="984"/>
      <c r="BG825" s="988"/>
      <c r="BH825" s="982"/>
      <c r="BI825" s="991"/>
      <c r="BJ825" s="991"/>
      <c r="BK825" s="993" t="str">
        <f t="shared" si="664"/>
        <v>-</v>
      </c>
      <c r="BL825" s="865"/>
      <c r="BM825" s="821"/>
      <c r="BN825" s="822" t="str">
        <f t="shared" si="665"/>
        <v>-</v>
      </c>
      <c r="BO825" s="823" t="str">
        <f t="shared" si="666"/>
        <v>-</v>
      </c>
      <c r="BP825" s="868"/>
      <c r="BQ825" s="821"/>
      <c r="BR825" s="822" t="str">
        <f t="shared" si="667"/>
        <v>-</v>
      </c>
      <c r="BS825" s="823" t="str">
        <f t="shared" si="668"/>
        <v>-</v>
      </c>
      <c r="BT825" s="825" t="str">
        <f t="shared" ca="1" si="669"/>
        <v>-</v>
      </c>
      <c r="BU825" s="860">
        <v>43045</v>
      </c>
      <c r="BV825" s="827">
        <v>2</v>
      </c>
      <c r="BW825" s="828">
        <f t="shared" si="670"/>
        <v>17</v>
      </c>
      <c r="BX825" s="829">
        <f t="shared" ca="1" si="671"/>
        <v>89</v>
      </c>
      <c r="BY825" s="830" t="str">
        <f t="shared" ca="1" si="672"/>
        <v>ПОДЛЕЖИТ ВАКЦИНАЦИИ</v>
      </c>
      <c r="BZ825" s="839"/>
      <c r="CA825" s="832"/>
      <c r="CB825" s="833" t="str">
        <f t="shared" si="673"/>
        <v>-</v>
      </c>
      <c r="CC825" s="834" t="str">
        <f t="shared" si="674"/>
        <v>-</v>
      </c>
      <c r="CD825" s="835" t="str">
        <f t="shared" si="675"/>
        <v>-</v>
      </c>
      <c r="CE825" s="839"/>
      <c r="CF825" s="832"/>
      <c r="CG825" s="833" t="str">
        <f t="shared" si="676"/>
        <v>-</v>
      </c>
      <c r="CH825" s="836" t="str">
        <f t="shared" si="677"/>
        <v>-</v>
      </c>
      <c r="CI825" s="837" t="str">
        <f t="shared" si="678"/>
        <v>-</v>
      </c>
      <c r="CJ825" s="838" t="str">
        <f t="shared" si="679"/>
        <v>-</v>
      </c>
      <c r="CK825" s="831"/>
      <c r="CL825" s="832"/>
      <c r="CM825" s="833" t="str">
        <f t="shared" si="680"/>
        <v>-</v>
      </c>
      <c r="CN825" s="834" t="str">
        <f t="shared" si="681"/>
        <v>-</v>
      </c>
      <c r="CO825" s="830" t="str">
        <f t="shared" ca="1" si="682"/>
        <v>-</v>
      </c>
      <c r="CP825" s="839"/>
      <c r="CQ825" s="832"/>
      <c r="CR825" s="833" t="str">
        <f t="shared" si="683"/>
        <v>-</v>
      </c>
      <c r="CS825" s="833" t="str">
        <f t="shared" si="684"/>
        <v>-</v>
      </c>
      <c r="CT825" s="834" t="str">
        <f t="shared" si="685"/>
        <v>-</v>
      </c>
      <c r="CU825" s="835" t="str">
        <f t="shared" si="686"/>
        <v>-</v>
      </c>
      <c r="CV825" s="839"/>
      <c r="CW825" s="832"/>
      <c r="CX825" s="833" t="str">
        <f t="shared" si="687"/>
        <v>-</v>
      </c>
      <c r="CY825" s="840" t="str">
        <f t="shared" si="688"/>
        <v>-</v>
      </c>
      <c r="CZ825" s="833" t="str">
        <f t="shared" si="689"/>
        <v>-</v>
      </c>
      <c r="DA825" s="838" t="str">
        <f t="shared" ca="1" si="690"/>
        <v>-</v>
      </c>
      <c r="DB825" s="841"/>
      <c r="DC825" s="832"/>
    </row>
    <row r="826" spans="1:107" x14ac:dyDescent="0.25">
      <c r="A826" s="790">
        <v>829</v>
      </c>
      <c r="B826" s="791">
        <f t="shared" ca="1" si="639"/>
        <v>43134</v>
      </c>
      <c r="C826" s="29" t="s">
        <v>2547</v>
      </c>
      <c r="D826" s="59" t="s">
        <v>1635</v>
      </c>
      <c r="E826" s="22" t="s">
        <v>1563</v>
      </c>
      <c r="F826" s="27" t="s">
        <v>3332</v>
      </c>
      <c r="G826" s="871"/>
      <c r="H826" s="797" t="s">
        <v>603</v>
      </c>
      <c r="I826" s="798">
        <v>43030</v>
      </c>
      <c r="J826" s="799">
        <f t="shared" ca="1" si="640"/>
        <v>0.28493150684931506</v>
      </c>
      <c r="K826" s="799">
        <f t="shared" ca="1" si="641"/>
        <v>3.4666666666666668</v>
      </c>
      <c r="L826" s="800">
        <f t="shared" ca="1" si="642"/>
        <v>104</v>
      </c>
      <c r="M826" s="801"/>
      <c r="N826" s="802"/>
      <c r="O826" s="803" t="str">
        <f t="shared" ca="1" si="643"/>
        <v>-</v>
      </c>
      <c r="P826" s="804"/>
      <c r="Q826" s="805"/>
      <c r="R826" s="806"/>
      <c r="S826" s="807"/>
      <c r="T826" s="798"/>
      <c r="U826" s="798" t="str">
        <f t="shared" si="644"/>
        <v>-</v>
      </c>
      <c r="V826" s="804" t="str">
        <f t="shared" ca="1" si="645"/>
        <v>-</v>
      </c>
      <c r="W826" s="808">
        <v>0</v>
      </c>
      <c r="X826" s="794" t="str">
        <f t="shared" si="691"/>
        <v>-</v>
      </c>
      <c r="Y826" s="794">
        <v>0</v>
      </c>
      <c r="Z826" s="809" t="str">
        <f t="shared" ca="1" si="646"/>
        <v>-----</v>
      </c>
      <c r="AA826" s="810">
        <f t="shared" ca="1" si="647"/>
        <v>43134</v>
      </c>
      <c r="AB826" s="804"/>
      <c r="AC826" s="811" t="str">
        <f t="shared" ca="1" si="648"/>
        <v>-----</v>
      </c>
      <c r="AD826" s="798"/>
      <c r="AE826" s="794" t="str">
        <f t="shared" ca="1" si="649"/>
        <v>-</v>
      </c>
      <c r="AF826" s="798" t="str">
        <f t="shared" si="650"/>
        <v>-</v>
      </c>
      <c r="AG826" s="812" t="str">
        <f t="shared" si="651"/>
        <v>---------</v>
      </c>
      <c r="AH826" s="807"/>
      <c r="AI826" s="807" t="str">
        <f t="shared" si="652"/>
        <v>-</v>
      </c>
      <c r="AJ826" s="807" t="str">
        <f t="shared" si="653"/>
        <v>-</v>
      </c>
      <c r="AK826" s="813"/>
      <c r="AL826" s="807" t="str">
        <f t="shared" si="654"/>
        <v>-</v>
      </c>
      <c r="AM826" s="807" t="str">
        <f t="shared" si="655"/>
        <v>-</v>
      </c>
      <c r="AN826" s="814" t="str">
        <f t="shared" ca="1" si="656"/>
        <v>-</v>
      </c>
      <c r="AO826" s="815">
        <v>1</v>
      </c>
      <c r="AP826" s="816" t="str">
        <f t="shared" ca="1" si="657"/>
        <v>-</v>
      </c>
      <c r="AQ826" s="817"/>
      <c r="AR826" s="794" t="str">
        <f t="shared" si="658"/>
        <v>-</v>
      </c>
      <c r="AS826" s="818"/>
      <c r="AT826" s="794" t="str">
        <f t="shared" si="659"/>
        <v>-</v>
      </c>
      <c r="AU826" s="819"/>
      <c r="AV826" s="865"/>
      <c r="AW826" s="821"/>
      <c r="AX826" s="821"/>
      <c r="AY826" s="969" t="str">
        <f t="shared" si="660"/>
        <v>-</v>
      </c>
      <c r="AZ826" s="966" t="str">
        <f t="shared" si="661"/>
        <v>-</v>
      </c>
      <c r="BA826" s="971" t="str">
        <f t="shared" si="662"/>
        <v>-</v>
      </c>
      <c r="BB826" s="975"/>
      <c r="BC826" s="821"/>
      <c r="BD826" s="821"/>
      <c r="BE826" s="963" t="str">
        <f t="shared" si="663"/>
        <v>-</v>
      </c>
      <c r="BF826" s="984"/>
      <c r="BG826" s="988"/>
      <c r="BH826" s="982"/>
      <c r="BI826" s="991"/>
      <c r="BJ826" s="991"/>
      <c r="BK826" s="993" t="str">
        <f t="shared" si="664"/>
        <v>-</v>
      </c>
      <c r="BL826" s="865"/>
      <c r="BM826" s="821"/>
      <c r="BN826" s="822" t="str">
        <f t="shared" si="665"/>
        <v>-</v>
      </c>
      <c r="BO826" s="823" t="str">
        <f t="shared" si="666"/>
        <v>-</v>
      </c>
      <c r="BP826" s="868"/>
      <c r="BQ826" s="821"/>
      <c r="BR826" s="822" t="str">
        <f t="shared" si="667"/>
        <v>-</v>
      </c>
      <c r="BS826" s="823" t="str">
        <f t="shared" si="668"/>
        <v>-</v>
      </c>
      <c r="BT826" s="825" t="str">
        <f t="shared" ca="1" si="669"/>
        <v>-</v>
      </c>
      <c r="BU826" s="860">
        <v>43045</v>
      </c>
      <c r="BV826" s="827">
        <v>2</v>
      </c>
      <c r="BW826" s="828">
        <f t="shared" si="670"/>
        <v>15</v>
      </c>
      <c r="BX826" s="829">
        <f t="shared" ca="1" si="671"/>
        <v>89</v>
      </c>
      <c r="BY826" s="830" t="str">
        <f t="shared" ca="1" si="672"/>
        <v>ПОДЛЕЖИТ ВАКЦИНАЦИИ</v>
      </c>
      <c r="BZ826" s="839"/>
      <c r="CA826" s="832"/>
      <c r="CB826" s="833" t="str">
        <f t="shared" si="673"/>
        <v>-</v>
      </c>
      <c r="CC826" s="834" t="str">
        <f t="shared" si="674"/>
        <v>-</v>
      </c>
      <c r="CD826" s="835" t="str">
        <f t="shared" si="675"/>
        <v>-</v>
      </c>
      <c r="CE826" s="839"/>
      <c r="CF826" s="832"/>
      <c r="CG826" s="833" t="str">
        <f t="shared" si="676"/>
        <v>-</v>
      </c>
      <c r="CH826" s="836" t="str">
        <f t="shared" si="677"/>
        <v>-</v>
      </c>
      <c r="CI826" s="837" t="str">
        <f t="shared" si="678"/>
        <v>-</v>
      </c>
      <c r="CJ826" s="838" t="str">
        <f t="shared" si="679"/>
        <v>-</v>
      </c>
      <c r="CK826" s="831"/>
      <c r="CL826" s="832"/>
      <c r="CM826" s="833" t="str">
        <f t="shared" si="680"/>
        <v>-</v>
      </c>
      <c r="CN826" s="834" t="str">
        <f t="shared" si="681"/>
        <v>-</v>
      </c>
      <c r="CO826" s="830" t="str">
        <f t="shared" ca="1" si="682"/>
        <v>-</v>
      </c>
      <c r="CP826" s="839"/>
      <c r="CQ826" s="832"/>
      <c r="CR826" s="833" t="str">
        <f t="shared" si="683"/>
        <v>-</v>
      </c>
      <c r="CS826" s="833" t="str">
        <f t="shared" si="684"/>
        <v>-</v>
      </c>
      <c r="CT826" s="834" t="str">
        <f t="shared" si="685"/>
        <v>-</v>
      </c>
      <c r="CU826" s="835" t="str">
        <f t="shared" si="686"/>
        <v>-</v>
      </c>
      <c r="CV826" s="839"/>
      <c r="CW826" s="832"/>
      <c r="CX826" s="833" t="str">
        <f t="shared" si="687"/>
        <v>-</v>
      </c>
      <c r="CY826" s="840" t="str">
        <f t="shared" si="688"/>
        <v>-</v>
      </c>
      <c r="CZ826" s="833" t="str">
        <f t="shared" si="689"/>
        <v>-</v>
      </c>
      <c r="DA826" s="838" t="str">
        <f t="shared" ca="1" si="690"/>
        <v>-</v>
      </c>
      <c r="DB826" s="841"/>
      <c r="DC826" s="832"/>
    </row>
    <row r="827" spans="1:107" x14ac:dyDescent="0.25">
      <c r="A827" s="790">
        <v>830</v>
      </c>
      <c r="B827" s="791">
        <f t="shared" ca="1" si="639"/>
        <v>43134</v>
      </c>
      <c r="C827" s="29" t="s">
        <v>2547</v>
      </c>
      <c r="D827" s="59" t="s">
        <v>1635</v>
      </c>
      <c r="E827" s="22" t="s">
        <v>1563</v>
      </c>
      <c r="F827" s="27" t="s">
        <v>3360</v>
      </c>
      <c r="G827" s="871"/>
      <c r="H827" s="797" t="s">
        <v>603</v>
      </c>
      <c r="I827" s="798">
        <v>43036</v>
      </c>
      <c r="J827" s="799">
        <f t="shared" ca="1" si="640"/>
        <v>0.26849315068493151</v>
      </c>
      <c r="K827" s="799">
        <f t="shared" ca="1" si="641"/>
        <v>3.2666666666666666</v>
      </c>
      <c r="L827" s="800">
        <f t="shared" ca="1" si="642"/>
        <v>98</v>
      </c>
      <c r="M827" s="801"/>
      <c r="N827" s="802"/>
      <c r="O827" s="803" t="str">
        <f t="shared" ca="1" si="643"/>
        <v>-</v>
      </c>
      <c r="P827" s="804"/>
      <c r="Q827" s="805"/>
      <c r="R827" s="806"/>
      <c r="S827" s="807"/>
      <c r="T827" s="798"/>
      <c r="U827" s="798" t="str">
        <f t="shared" si="644"/>
        <v>-</v>
      </c>
      <c r="V827" s="804" t="str">
        <f t="shared" ca="1" si="645"/>
        <v>-</v>
      </c>
      <c r="W827" s="808">
        <v>0</v>
      </c>
      <c r="X827" s="794" t="str">
        <f t="shared" si="691"/>
        <v>-</v>
      </c>
      <c r="Y827" s="794">
        <v>0</v>
      </c>
      <c r="Z827" s="809" t="str">
        <f t="shared" ca="1" si="646"/>
        <v>-----</v>
      </c>
      <c r="AA827" s="810">
        <f t="shared" ca="1" si="647"/>
        <v>43134</v>
      </c>
      <c r="AB827" s="804"/>
      <c r="AC827" s="811" t="str">
        <f t="shared" ca="1" si="648"/>
        <v>-----</v>
      </c>
      <c r="AD827" s="798"/>
      <c r="AE827" s="794" t="str">
        <f t="shared" ca="1" si="649"/>
        <v>-</v>
      </c>
      <c r="AF827" s="798" t="str">
        <f t="shared" si="650"/>
        <v>-</v>
      </c>
      <c r="AG827" s="812" t="str">
        <f t="shared" si="651"/>
        <v>---------</v>
      </c>
      <c r="AH827" s="807"/>
      <c r="AI827" s="807" t="str">
        <f t="shared" si="652"/>
        <v>-</v>
      </c>
      <c r="AJ827" s="807" t="str">
        <f t="shared" si="653"/>
        <v>-</v>
      </c>
      <c r="AK827" s="813"/>
      <c r="AL827" s="807" t="str">
        <f t="shared" si="654"/>
        <v>-</v>
      </c>
      <c r="AM827" s="807" t="str">
        <f t="shared" si="655"/>
        <v>-</v>
      </c>
      <c r="AN827" s="814" t="str">
        <f t="shared" ca="1" si="656"/>
        <v>-</v>
      </c>
      <c r="AO827" s="815">
        <v>1</v>
      </c>
      <c r="AP827" s="816" t="str">
        <f t="shared" ca="1" si="657"/>
        <v>-</v>
      </c>
      <c r="AQ827" s="817"/>
      <c r="AR827" s="794" t="str">
        <f t="shared" si="658"/>
        <v>-</v>
      </c>
      <c r="AS827" s="818"/>
      <c r="AT827" s="794" t="str">
        <f t="shared" si="659"/>
        <v>-</v>
      </c>
      <c r="AU827" s="819"/>
      <c r="AV827" s="865"/>
      <c r="AW827" s="821"/>
      <c r="AX827" s="821"/>
      <c r="AY827" s="969" t="str">
        <f t="shared" si="660"/>
        <v>-</v>
      </c>
      <c r="AZ827" s="966" t="str">
        <f t="shared" si="661"/>
        <v>-</v>
      </c>
      <c r="BA827" s="971" t="str">
        <f t="shared" si="662"/>
        <v>-</v>
      </c>
      <c r="BB827" s="975"/>
      <c r="BC827" s="821"/>
      <c r="BD827" s="821"/>
      <c r="BE827" s="963" t="str">
        <f t="shared" si="663"/>
        <v>-</v>
      </c>
      <c r="BF827" s="984"/>
      <c r="BG827" s="988"/>
      <c r="BH827" s="982"/>
      <c r="BI827" s="991"/>
      <c r="BJ827" s="991"/>
      <c r="BK827" s="993" t="str">
        <f t="shared" si="664"/>
        <v>-</v>
      </c>
      <c r="BL827" s="865"/>
      <c r="BM827" s="821"/>
      <c r="BN827" s="822" t="str">
        <f t="shared" si="665"/>
        <v>-</v>
      </c>
      <c r="BO827" s="823" t="str">
        <f t="shared" si="666"/>
        <v>-</v>
      </c>
      <c r="BP827" s="868"/>
      <c r="BQ827" s="821"/>
      <c r="BR827" s="822" t="str">
        <f t="shared" si="667"/>
        <v>-</v>
      </c>
      <c r="BS827" s="823" t="str">
        <f t="shared" si="668"/>
        <v>-</v>
      </c>
      <c r="BT827" s="825" t="str">
        <f t="shared" ca="1" si="669"/>
        <v>-</v>
      </c>
      <c r="BU827" s="860">
        <v>43045</v>
      </c>
      <c r="BV827" s="827">
        <v>2</v>
      </c>
      <c r="BW827" s="828">
        <f t="shared" si="670"/>
        <v>9</v>
      </c>
      <c r="BX827" s="829">
        <f t="shared" ca="1" si="671"/>
        <v>89</v>
      </c>
      <c r="BY827" s="830" t="str">
        <f t="shared" ca="1" si="672"/>
        <v>ПОДЛЕЖИТ ВАКЦИНАЦИИ</v>
      </c>
      <c r="BZ827" s="839"/>
      <c r="CA827" s="832"/>
      <c r="CB827" s="833" t="str">
        <f t="shared" si="673"/>
        <v>-</v>
      </c>
      <c r="CC827" s="834" t="str">
        <f t="shared" si="674"/>
        <v>-</v>
      </c>
      <c r="CD827" s="835" t="str">
        <f t="shared" si="675"/>
        <v>-</v>
      </c>
      <c r="CE827" s="839"/>
      <c r="CF827" s="832"/>
      <c r="CG827" s="833" t="str">
        <f t="shared" si="676"/>
        <v>-</v>
      </c>
      <c r="CH827" s="836" t="str">
        <f t="shared" si="677"/>
        <v>-</v>
      </c>
      <c r="CI827" s="837" t="str">
        <f t="shared" si="678"/>
        <v>-</v>
      </c>
      <c r="CJ827" s="838" t="str">
        <f t="shared" si="679"/>
        <v>-</v>
      </c>
      <c r="CK827" s="831"/>
      <c r="CL827" s="832"/>
      <c r="CM827" s="833" t="str">
        <f t="shared" si="680"/>
        <v>-</v>
      </c>
      <c r="CN827" s="834" t="str">
        <f t="shared" si="681"/>
        <v>-</v>
      </c>
      <c r="CO827" s="830" t="str">
        <f t="shared" ca="1" si="682"/>
        <v>-</v>
      </c>
      <c r="CP827" s="839"/>
      <c r="CQ827" s="832"/>
      <c r="CR827" s="833" t="str">
        <f t="shared" si="683"/>
        <v>-</v>
      </c>
      <c r="CS827" s="833" t="str">
        <f t="shared" si="684"/>
        <v>-</v>
      </c>
      <c r="CT827" s="834" t="str">
        <f t="shared" si="685"/>
        <v>-</v>
      </c>
      <c r="CU827" s="835" t="str">
        <f t="shared" si="686"/>
        <v>-</v>
      </c>
      <c r="CV827" s="839"/>
      <c r="CW827" s="832"/>
      <c r="CX827" s="833" t="str">
        <f t="shared" si="687"/>
        <v>-</v>
      </c>
      <c r="CY827" s="840" t="str">
        <f t="shared" si="688"/>
        <v>-</v>
      </c>
      <c r="CZ827" s="833" t="str">
        <f t="shared" si="689"/>
        <v>-</v>
      </c>
      <c r="DA827" s="838" t="str">
        <f t="shared" ca="1" si="690"/>
        <v>-</v>
      </c>
      <c r="DB827" s="841"/>
      <c r="DC827" s="832"/>
    </row>
    <row r="828" spans="1:107" x14ac:dyDescent="0.25">
      <c r="A828" s="790">
        <v>831</v>
      </c>
      <c r="B828" s="791">
        <f t="shared" ca="1" si="639"/>
        <v>43134</v>
      </c>
      <c r="C828" s="29" t="s">
        <v>2547</v>
      </c>
      <c r="D828" s="59" t="s">
        <v>1635</v>
      </c>
      <c r="E828" s="22" t="s">
        <v>1563</v>
      </c>
      <c r="F828" s="27" t="s">
        <v>3361</v>
      </c>
      <c r="G828" s="871"/>
      <c r="H828" s="797" t="s">
        <v>603</v>
      </c>
      <c r="I828" s="798">
        <v>43036</v>
      </c>
      <c r="J828" s="799">
        <f t="shared" ca="1" si="640"/>
        <v>0.26849315068493151</v>
      </c>
      <c r="K828" s="799">
        <f t="shared" ca="1" si="641"/>
        <v>3.2666666666666666</v>
      </c>
      <c r="L828" s="800">
        <f t="shared" ca="1" si="642"/>
        <v>98</v>
      </c>
      <c r="M828" s="801"/>
      <c r="N828" s="802"/>
      <c r="O828" s="803" t="str">
        <f t="shared" ca="1" si="643"/>
        <v>-</v>
      </c>
      <c r="P828" s="804"/>
      <c r="Q828" s="805"/>
      <c r="R828" s="806"/>
      <c r="S828" s="807"/>
      <c r="T828" s="798"/>
      <c r="U828" s="798" t="str">
        <f t="shared" si="644"/>
        <v>-</v>
      </c>
      <c r="V828" s="804" t="str">
        <f t="shared" ca="1" si="645"/>
        <v>-</v>
      </c>
      <c r="W828" s="808">
        <v>0</v>
      </c>
      <c r="X828" s="794" t="str">
        <f t="shared" si="691"/>
        <v>-</v>
      </c>
      <c r="Y828" s="794">
        <v>0</v>
      </c>
      <c r="Z828" s="809" t="str">
        <f t="shared" ca="1" si="646"/>
        <v>-----</v>
      </c>
      <c r="AA828" s="810">
        <f t="shared" ca="1" si="647"/>
        <v>43134</v>
      </c>
      <c r="AB828" s="804"/>
      <c r="AC828" s="811" t="str">
        <f t="shared" ca="1" si="648"/>
        <v>-----</v>
      </c>
      <c r="AD828" s="798"/>
      <c r="AE828" s="794" t="str">
        <f t="shared" ca="1" si="649"/>
        <v>-</v>
      </c>
      <c r="AF828" s="798" t="str">
        <f t="shared" si="650"/>
        <v>-</v>
      </c>
      <c r="AG828" s="812" t="str">
        <f t="shared" si="651"/>
        <v>---------</v>
      </c>
      <c r="AH828" s="807"/>
      <c r="AI828" s="807" t="str">
        <f t="shared" si="652"/>
        <v>-</v>
      </c>
      <c r="AJ828" s="807" t="str">
        <f t="shared" si="653"/>
        <v>-</v>
      </c>
      <c r="AK828" s="813"/>
      <c r="AL828" s="807" t="str">
        <f t="shared" si="654"/>
        <v>-</v>
      </c>
      <c r="AM828" s="807" t="str">
        <f t="shared" si="655"/>
        <v>-</v>
      </c>
      <c r="AN828" s="814" t="str">
        <f t="shared" ca="1" si="656"/>
        <v>-</v>
      </c>
      <c r="AO828" s="815">
        <v>1</v>
      </c>
      <c r="AP828" s="816" t="str">
        <f t="shared" ca="1" si="657"/>
        <v>-</v>
      </c>
      <c r="AQ828" s="817"/>
      <c r="AR828" s="794" t="str">
        <f t="shared" si="658"/>
        <v>-</v>
      </c>
      <c r="AS828" s="818"/>
      <c r="AT828" s="794" t="str">
        <f t="shared" si="659"/>
        <v>-</v>
      </c>
      <c r="AU828" s="819"/>
      <c r="AV828" s="865"/>
      <c r="AW828" s="821"/>
      <c r="AX828" s="821"/>
      <c r="AY828" s="969" t="str">
        <f t="shared" si="660"/>
        <v>-</v>
      </c>
      <c r="AZ828" s="966" t="str">
        <f t="shared" si="661"/>
        <v>-</v>
      </c>
      <c r="BA828" s="971" t="str">
        <f t="shared" si="662"/>
        <v>-</v>
      </c>
      <c r="BB828" s="975"/>
      <c r="BC828" s="821"/>
      <c r="BD828" s="821"/>
      <c r="BE828" s="963" t="str">
        <f t="shared" si="663"/>
        <v>-</v>
      </c>
      <c r="BF828" s="984"/>
      <c r="BG828" s="988"/>
      <c r="BH828" s="982"/>
      <c r="BI828" s="991"/>
      <c r="BJ828" s="991"/>
      <c r="BK828" s="993" t="str">
        <f t="shared" si="664"/>
        <v>-</v>
      </c>
      <c r="BL828" s="865"/>
      <c r="BM828" s="821"/>
      <c r="BN828" s="822" t="str">
        <f t="shared" si="665"/>
        <v>-</v>
      </c>
      <c r="BO828" s="823" t="str">
        <f t="shared" si="666"/>
        <v>-</v>
      </c>
      <c r="BP828" s="868"/>
      <c r="BQ828" s="821"/>
      <c r="BR828" s="822" t="str">
        <f t="shared" si="667"/>
        <v>-</v>
      </c>
      <c r="BS828" s="823" t="str">
        <f t="shared" si="668"/>
        <v>-</v>
      </c>
      <c r="BT828" s="825" t="str">
        <f t="shared" ca="1" si="669"/>
        <v>-</v>
      </c>
      <c r="BU828" s="860">
        <v>43045</v>
      </c>
      <c r="BV828" s="827">
        <v>2</v>
      </c>
      <c r="BW828" s="828">
        <f t="shared" si="670"/>
        <v>9</v>
      </c>
      <c r="BX828" s="829">
        <f t="shared" ca="1" si="671"/>
        <v>89</v>
      </c>
      <c r="BY828" s="830" t="str">
        <f t="shared" ca="1" si="672"/>
        <v>ПОДЛЕЖИТ ВАКЦИНАЦИИ</v>
      </c>
      <c r="BZ828" s="839"/>
      <c r="CA828" s="832"/>
      <c r="CB828" s="833" t="str">
        <f t="shared" si="673"/>
        <v>-</v>
      </c>
      <c r="CC828" s="834" t="str">
        <f t="shared" si="674"/>
        <v>-</v>
      </c>
      <c r="CD828" s="835" t="str">
        <f t="shared" si="675"/>
        <v>-</v>
      </c>
      <c r="CE828" s="839"/>
      <c r="CF828" s="832"/>
      <c r="CG828" s="833" t="str">
        <f t="shared" si="676"/>
        <v>-</v>
      </c>
      <c r="CH828" s="836" t="str">
        <f t="shared" si="677"/>
        <v>-</v>
      </c>
      <c r="CI828" s="837" t="str">
        <f t="shared" si="678"/>
        <v>-</v>
      </c>
      <c r="CJ828" s="838" t="str">
        <f t="shared" si="679"/>
        <v>-</v>
      </c>
      <c r="CK828" s="831"/>
      <c r="CL828" s="832"/>
      <c r="CM828" s="833" t="str">
        <f t="shared" si="680"/>
        <v>-</v>
      </c>
      <c r="CN828" s="834" t="str">
        <f t="shared" si="681"/>
        <v>-</v>
      </c>
      <c r="CO828" s="830" t="str">
        <f t="shared" ca="1" si="682"/>
        <v>-</v>
      </c>
      <c r="CP828" s="839"/>
      <c r="CQ828" s="832"/>
      <c r="CR828" s="833" t="str">
        <f t="shared" si="683"/>
        <v>-</v>
      </c>
      <c r="CS828" s="833" t="str">
        <f t="shared" si="684"/>
        <v>-</v>
      </c>
      <c r="CT828" s="834" t="str">
        <f t="shared" si="685"/>
        <v>-</v>
      </c>
      <c r="CU828" s="835" t="str">
        <f t="shared" si="686"/>
        <v>-</v>
      </c>
      <c r="CV828" s="839"/>
      <c r="CW828" s="832"/>
      <c r="CX828" s="833" t="str">
        <f t="shared" si="687"/>
        <v>-</v>
      </c>
      <c r="CY828" s="840" t="str">
        <f t="shared" si="688"/>
        <v>-</v>
      </c>
      <c r="CZ828" s="833" t="str">
        <f t="shared" si="689"/>
        <v>-</v>
      </c>
      <c r="DA828" s="838" t="str">
        <f t="shared" ca="1" si="690"/>
        <v>-</v>
      </c>
      <c r="DB828" s="841"/>
      <c r="DC828" s="832"/>
    </row>
    <row r="829" spans="1:107" x14ac:dyDescent="0.25">
      <c r="A829" s="790">
        <v>832</v>
      </c>
      <c r="B829" s="791">
        <f t="shared" ca="1" si="639"/>
        <v>43134</v>
      </c>
      <c r="C829" s="29" t="s">
        <v>3339</v>
      </c>
      <c r="D829" s="59" t="s">
        <v>1635</v>
      </c>
      <c r="E829" s="794" t="s">
        <v>1563</v>
      </c>
      <c r="F829" s="872" t="s">
        <v>2645</v>
      </c>
      <c r="G829" s="845"/>
      <c r="H829" s="797" t="s">
        <v>603</v>
      </c>
      <c r="I829" s="798">
        <v>42837</v>
      </c>
      <c r="J829" s="799">
        <f t="shared" ca="1" si="640"/>
        <v>0.81369863013698629</v>
      </c>
      <c r="K829" s="799">
        <f t="shared" ca="1" si="641"/>
        <v>9.9</v>
      </c>
      <c r="L829" s="800">
        <f t="shared" ca="1" si="642"/>
        <v>297</v>
      </c>
      <c r="M829" s="801"/>
      <c r="N829" s="802"/>
      <c r="O829" s="803" t="str">
        <f t="shared" ca="1" si="643"/>
        <v>-</v>
      </c>
      <c r="P829" s="804"/>
      <c r="Q829" s="805"/>
      <c r="R829" s="806"/>
      <c r="S829" s="807"/>
      <c r="T829" s="798"/>
      <c r="U829" s="798" t="str">
        <f t="shared" si="644"/>
        <v>-</v>
      </c>
      <c r="V829" s="804" t="str">
        <f t="shared" ca="1" si="645"/>
        <v>-</v>
      </c>
      <c r="W829" s="808">
        <v>0</v>
      </c>
      <c r="X829" s="794" t="str">
        <f t="shared" si="691"/>
        <v>-</v>
      </c>
      <c r="Y829" s="794">
        <v>0</v>
      </c>
      <c r="Z829" s="809" t="str">
        <f t="shared" ca="1" si="646"/>
        <v>-----</v>
      </c>
      <c r="AA829" s="810">
        <f t="shared" ca="1" si="647"/>
        <v>43134</v>
      </c>
      <c r="AB829" s="804"/>
      <c r="AC829" s="811" t="str">
        <f t="shared" ca="1" si="648"/>
        <v>-----</v>
      </c>
      <c r="AD829" s="798"/>
      <c r="AE829" s="794" t="str">
        <f t="shared" ca="1" si="649"/>
        <v>-</v>
      </c>
      <c r="AF829" s="798" t="str">
        <f t="shared" si="650"/>
        <v>-</v>
      </c>
      <c r="AG829" s="812" t="str">
        <f t="shared" si="651"/>
        <v>---------</v>
      </c>
      <c r="AH829" s="807"/>
      <c r="AI829" s="807" t="str">
        <f t="shared" si="652"/>
        <v>-</v>
      </c>
      <c r="AJ829" s="807" t="str">
        <f t="shared" si="653"/>
        <v>-</v>
      </c>
      <c r="AK829" s="813"/>
      <c r="AL829" s="807" t="str">
        <f t="shared" si="654"/>
        <v>-</v>
      </c>
      <c r="AM829" s="807" t="str">
        <f t="shared" si="655"/>
        <v>-</v>
      </c>
      <c r="AN829" s="814" t="str">
        <f t="shared" ca="1" si="656"/>
        <v>-</v>
      </c>
      <c r="AO829" s="815">
        <v>1</v>
      </c>
      <c r="AP829" s="816" t="str">
        <f t="shared" ca="1" si="657"/>
        <v>-</v>
      </c>
      <c r="AQ829" s="817"/>
      <c r="AR829" s="794" t="str">
        <f t="shared" si="658"/>
        <v>-</v>
      </c>
      <c r="AS829" s="818"/>
      <c r="AT829" s="794" t="str">
        <f t="shared" si="659"/>
        <v>-</v>
      </c>
      <c r="AU829" s="819" t="s">
        <v>2696</v>
      </c>
      <c r="AV829" s="865"/>
      <c r="AW829" s="821"/>
      <c r="AX829" s="821"/>
      <c r="AY829" s="969" t="str">
        <f t="shared" si="660"/>
        <v>-</v>
      </c>
      <c r="AZ829" s="966" t="str">
        <f t="shared" si="661"/>
        <v>-</v>
      </c>
      <c r="BA829" s="971" t="str">
        <f t="shared" si="662"/>
        <v>-</v>
      </c>
      <c r="BB829" s="975"/>
      <c r="BC829" s="821"/>
      <c r="BD829" s="821"/>
      <c r="BE829" s="963" t="str">
        <f t="shared" si="663"/>
        <v>-</v>
      </c>
      <c r="BF829" s="984"/>
      <c r="BG829" s="988"/>
      <c r="BH829" s="982"/>
      <c r="BI829" s="991"/>
      <c r="BJ829" s="991"/>
      <c r="BK829" s="993" t="str">
        <f t="shared" si="664"/>
        <v>-</v>
      </c>
      <c r="BL829" s="865"/>
      <c r="BM829" s="821"/>
      <c r="BN829" s="822" t="str">
        <f t="shared" si="665"/>
        <v>-</v>
      </c>
      <c r="BO829" s="823" t="str">
        <f t="shared" si="666"/>
        <v>-</v>
      </c>
      <c r="BP829" s="868"/>
      <c r="BQ829" s="821"/>
      <c r="BR829" s="822" t="str">
        <f t="shared" si="667"/>
        <v>-</v>
      </c>
      <c r="BS829" s="823" t="str">
        <f t="shared" si="668"/>
        <v>-</v>
      </c>
      <c r="BT829" s="825" t="str">
        <f t="shared" ca="1" si="669"/>
        <v>-</v>
      </c>
      <c r="BU829" s="860">
        <v>42886</v>
      </c>
      <c r="BV829" s="827">
        <v>2</v>
      </c>
      <c r="BW829" s="828">
        <f t="shared" si="670"/>
        <v>49</v>
      </c>
      <c r="BX829" s="829">
        <f t="shared" ca="1" si="671"/>
        <v>248</v>
      </c>
      <c r="BY829" s="830" t="str">
        <f t="shared" ca="1" si="672"/>
        <v>-</v>
      </c>
      <c r="BZ829" s="831">
        <v>42915</v>
      </c>
      <c r="CA829" s="832">
        <v>5</v>
      </c>
      <c r="CB829" s="833">
        <f t="shared" ca="1" si="673"/>
        <v>219</v>
      </c>
      <c r="CC829" s="834" t="str">
        <f t="shared" ca="1" si="674"/>
        <v>-</v>
      </c>
      <c r="CD829" s="835">
        <f t="shared" si="675"/>
        <v>42936</v>
      </c>
      <c r="CE829" s="831">
        <v>42936</v>
      </c>
      <c r="CF829" s="832">
        <v>5</v>
      </c>
      <c r="CG829" s="833">
        <f t="shared" ca="1" si="676"/>
        <v>198</v>
      </c>
      <c r="CH829" s="836">
        <f t="shared" si="677"/>
        <v>0</v>
      </c>
      <c r="CI829" s="837" t="str">
        <f t="shared" si="678"/>
        <v>УСПЕШНО</v>
      </c>
      <c r="CJ829" s="838" t="str">
        <f t="shared" ca="1" si="679"/>
        <v>-</v>
      </c>
      <c r="CK829" s="831"/>
      <c r="CL829" s="832"/>
      <c r="CM829" s="833" t="str">
        <f t="shared" si="680"/>
        <v>-</v>
      </c>
      <c r="CN829" s="834" t="str">
        <f t="shared" si="681"/>
        <v>-</v>
      </c>
      <c r="CO829" s="830" t="str">
        <f t="shared" ca="1" si="682"/>
        <v>-</v>
      </c>
      <c r="CP829" s="839"/>
      <c r="CQ829" s="832"/>
      <c r="CR829" s="833" t="str">
        <f t="shared" si="683"/>
        <v>-</v>
      </c>
      <c r="CS829" s="833" t="str">
        <f t="shared" si="684"/>
        <v>-</v>
      </c>
      <c r="CT829" s="834" t="str">
        <f t="shared" si="685"/>
        <v>-</v>
      </c>
      <c r="CU829" s="835" t="str">
        <f t="shared" si="686"/>
        <v>-</v>
      </c>
      <c r="CV829" s="839"/>
      <c r="CW829" s="832"/>
      <c r="CX829" s="833" t="str">
        <f t="shared" si="687"/>
        <v>-</v>
      </c>
      <c r="CY829" s="840" t="str">
        <f t="shared" si="688"/>
        <v>-</v>
      </c>
      <c r="CZ829" s="833" t="str">
        <f t="shared" si="689"/>
        <v>-</v>
      </c>
      <c r="DA829" s="838" t="str">
        <f t="shared" ca="1" si="690"/>
        <v>-</v>
      </c>
      <c r="DB829" s="841"/>
      <c r="DC829" s="832"/>
    </row>
    <row r="830" spans="1:107" x14ac:dyDescent="0.25">
      <c r="A830" s="790">
        <v>833</v>
      </c>
      <c r="B830" s="791">
        <f t="shared" ca="1" si="639"/>
        <v>43134</v>
      </c>
      <c r="C830" s="29" t="s">
        <v>3339</v>
      </c>
      <c r="D830" s="59" t="s">
        <v>1635</v>
      </c>
      <c r="E830" s="794" t="s">
        <v>1563</v>
      </c>
      <c r="F830" s="872" t="s">
        <v>2649</v>
      </c>
      <c r="G830" s="845"/>
      <c r="H830" s="797" t="s">
        <v>603</v>
      </c>
      <c r="I830" s="798">
        <v>42839</v>
      </c>
      <c r="J830" s="799">
        <f t="shared" ca="1" si="640"/>
        <v>0.80821917808219179</v>
      </c>
      <c r="K830" s="799">
        <f t="shared" ca="1" si="641"/>
        <v>9.8333333333333339</v>
      </c>
      <c r="L830" s="800">
        <f t="shared" ca="1" si="642"/>
        <v>295</v>
      </c>
      <c r="M830" s="801"/>
      <c r="N830" s="802"/>
      <c r="O830" s="803" t="str">
        <f t="shared" ca="1" si="643"/>
        <v>-</v>
      </c>
      <c r="P830" s="804"/>
      <c r="Q830" s="805"/>
      <c r="R830" s="806"/>
      <c r="S830" s="807"/>
      <c r="T830" s="798"/>
      <c r="U830" s="798" t="str">
        <f t="shared" si="644"/>
        <v>-</v>
      </c>
      <c r="V830" s="804" t="str">
        <f t="shared" ca="1" si="645"/>
        <v>-</v>
      </c>
      <c r="W830" s="808">
        <v>0</v>
      </c>
      <c r="X830" s="794" t="str">
        <f t="shared" si="691"/>
        <v>-</v>
      </c>
      <c r="Y830" s="794">
        <v>0</v>
      </c>
      <c r="Z830" s="809" t="str">
        <f t="shared" ca="1" si="646"/>
        <v>-----</v>
      </c>
      <c r="AA830" s="810">
        <f t="shared" ca="1" si="647"/>
        <v>43134</v>
      </c>
      <c r="AB830" s="804"/>
      <c r="AC830" s="811" t="str">
        <f t="shared" ca="1" si="648"/>
        <v>-----</v>
      </c>
      <c r="AD830" s="798"/>
      <c r="AE830" s="794" t="str">
        <f t="shared" ca="1" si="649"/>
        <v>-</v>
      </c>
      <c r="AF830" s="798" t="str">
        <f t="shared" si="650"/>
        <v>-</v>
      </c>
      <c r="AG830" s="812" t="str">
        <f t="shared" si="651"/>
        <v>---------</v>
      </c>
      <c r="AH830" s="807"/>
      <c r="AI830" s="807" t="str">
        <f t="shared" si="652"/>
        <v>-</v>
      </c>
      <c r="AJ830" s="807" t="str">
        <f t="shared" si="653"/>
        <v>-</v>
      </c>
      <c r="AK830" s="813"/>
      <c r="AL830" s="807" t="str">
        <f t="shared" si="654"/>
        <v>-</v>
      </c>
      <c r="AM830" s="807" t="str">
        <f t="shared" si="655"/>
        <v>-</v>
      </c>
      <c r="AN830" s="814" t="str">
        <f t="shared" ca="1" si="656"/>
        <v>-</v>
      </c>
      <c r="AO830" s="815">
        <v>1</v>
      </c>
      <c r="AP830" s="816" t="str">
        <f t="shared" ca="1" si="657"/>
        <v>-</v>
      </c>
      <c r="AQ830" s="817"/>
      <c r="AR830" s="794" t="str">
        <f t="shared" si="658"/>
        <v>-</v>
      </c>
      <c r="AS830" s="818"/>
      <c r="AT830" s="794" t="str">
        <f t="shared" si="659"/>
        <v>-</v>
      </c>
      <c r="AU830" s="819" t="s">
        <v>2696</v>
      </c>
      <c r="AV830" s="865"/>
      <c r="AW830" s="821"/>
      <c r="AX830" s="821"/>
      <c r="AY830" s="969" t="str">
        <f t="shared" si="660"/>
        <v>-</v>
      </c>
      <c r="AZ830" s="966" t="str">
        <f t="shared" si="661"/>
        <v>-</v>
      </c>
      <c r="BA830" s="971" t="str">
        <f t="shared" si="662"/>
        <v>-</v>
      </c>
      <c r="BB830" s="975"/>
      <c r="BC830" s="821"/>
      <c r="BD830" s="821"/>
      <c r="BE830" s="963" t="str">
        <f t="shared" si="663"/>
        <v>-</v>
      </c>
      <c r="BF830" s="984"/>
      <c r="BG830" s="988"/>
      <c r="BH830" s="982"/>
      <c r="BI830" s="991"/>
      <c r="BJ830" s="991"/>
      <c r="BK830" s="993" t="str">
        <f t="shared" si="664"/>
        <v>-</v>
      </c>
      <c r="BL830" s="865"/>
      <c r="BM830" s="821"/>
      <c r="BN830" s="822" t="str">
        <f t="shared" si="665"/>
        <v>-</v>
      </c>
      <c r="BO830" s="823" t="str">
        <f t="shared" si="666"/>
        <v>-</v>
      </c>
      <c r="BP830" s="868"/>
      <c r="BQ830" s="821"/>
      <c r="BR830" s="822" t="str">
        <f t="shared" si="667"/>
        <v>-</v>
      </c>
      <c r="BS830" s="823" t="str">
        <f t="shared" si="668"/>
        <v>-</v>
      </c>
      <c r="BT830" s="825" t="str">
        <f t="shared" ca="1" si="669"/>
        <v>-</v>
      </c>
      <c r="BU830" s="860">
        <v>42886</v>
      </c>
      <c r="BV830" s="827">
        <v>2</v>
      </c>
      <c r="BW830" s="828">
        <f t="shared" si="670"/>
        <v>47</v>
      </c>
      <c r="BX830" s="829">
        <f t="shared" ca="1" si="671"/>
        <v>248</v>
      </c>
      <c r="BY830" s="830" t="str">
        <f t="shared" ca="1" si="672"/>
        <v>-</v>
      </c>
      <c r="BZ830" s="831">
        <v>42915</v>
      </c>
      <c r="CA830" s="832">
        <v>5</v>
      </c>
      <c r="CB830" s="833">
        <f t="shared" ca="1" si="673"/>
        <v>219</v>
      </c>
      <c r="CC830" s="834" t="str">
        <f t="shared" ca="1" si="674"/>
        <v>-</v>
      </c>
      <c r="CD830" s="835">
        <f t="shared" si="675"/>
        <v>42936</v>
      </c>
      <c r="CE830" s="831">
        <v>42936</v>
      </c>
      <c r="CF830" s="832">
        <v>5</v>
      </c>
      <c r="CG830" s="833">
        <f t="shared" ca="1" si="676"/>
        <v>198</v>
      </c>
      <c r="CH830" s="836">
        <f t="shared" si="677"/>
        <v>0</v>
      </c>
      <c r="CI830" s="837" t="str">
        <f t="shared" si="678"/>
        <v>УСПЕШНО</v>
      </c>
      <c r="CJ830" s="838" t="str">
        <f t="shared" ca="1" si="679"/>
        <v>-</v>
      </c>
      <c r="CK830" s="831"/>
      <c r="CL830" s="832"/>
      <c r="CM830" s="833" t="str">
        <f t="shared" si="680"/>
        <v>-</v>
      </c>
      <c r="CN830" s="834" t="str">
        <f t="shared" si="681"/>
        <v>-</v>
      </c>
      <c r="CO830" s="830" t="str">
        <f t="shared" ca="1" si="682"/>
        <v>-</v>
      </c>
      <c r="CP830" s="839"/>
      <c r="CQ830" s="832"/>
      <c r="CR830" s="833" t="str">
        <f t="shared" si="683"/>
        <v>-</v>
      </c>
      <c r="CS830" s="833" t="str">
        <f t="shared" si="684"/>
        <v>-</v>
      </c>
      <c r="CT830" s="834" t="str">
        <f t="shared" si="685"/>
        <v>-</v>
      </c>
      <c r="CU830" s="835" t="str">
        <f t="shared" si="686"/>
        <v>-</v>
      </c>
      <c r="CV830" s="839"/>
      <c r="CW830" s="832"/>
      <c r="CX830" s="833" t="str">
        <f t="shared" si="687"/>
        <v>-</v>
      </c>
      <c r="CY830" s="840" t="str">
        <f t="shared" si="688"/>
        <v>-</v>
      </c>
      <c r="CZ830" s="833" t="str">
        <f t="shared" si="689"/>
        <v>-</v>
      </c>
      <c r="DA830" s="838" t="str">
        <f t="shared" ca="1" si="690"/>
        <v>-</v>
      </c>
      <c r="DB830" s="841"/>
      <c r="DC830" s="832"/>
    </row>
    <row r="831" spans="1:107" x14ac:dyDescent="0.25">
      <c r="A831" s="790">
        <v>834</v>
      </c>
      <c r="B831" s="791">
        <f t="shared" ca="1" si="639"/>
        <v>43134</v>
      </c>
      <c r="C831" s="29" t="s">
        <v>3339</v>
      </c>
      <c r="D831" s="59" t="s">
        <v>1635</v>
      </c>
      <c r="E831" s="794" t="s">
        <v>1563</v>
      </c>
      <c r="F831" s="872" t="s">
        <v>2674</v>
      </c>
      <c r="G831" s="845"/>
      <c r="H831" s="797" t="s">
        <v>603</v>
      </c>
      <c r="I831" s="798">
        <v>42847</v>
      </c>
      <c r="J831" s="799">
        <f t="shared" ca="1" si="640"/>
        <v>0.78630136986301369</v>
      </c>
      <c r="K831" s="799">
        <f t="shared" ca="1" si="641"/>
        <v>9.5666666666666664</v>
      </c>
      <c r="L831" s="800">
        <f t="shared" ca="1" si="642"/>
        <v>287</v>
      </c>
      <c r="M831" s="801"/>
      <c r="N831" s="802"/>
      <c r="O831" s="803" t="str">
        <f t="shared" ca="1" si="643"/>
        <v>-</v>
      </c>
      <c r="P831" s="804"/>
      <c r="Q831" s="805"/>
      <c r="R831" s="806"/>
      <c r="S831" s="807"/>
      <c r="T831" s="798"/>
      <c r="U831" s="798" t="str">
        <f t="shared" si="644"/>
        <v>-</v>
      </c>
      <c r="V831" s="804" t="str">
        <f t="shared" ca="1" si="645"/>
        <v>-</v>
      </c>
      <c r="W831" s="808">
        <v>0</v>
      </c>
      <c r="X831" s="794" t="str">
        <f t="shared" si="691"/>
        <v>-</v>
      </c>
      <c r="Y831" s="794">
        <v>0</v>
      </c>
      <c r="Z831" s="809" t="str">
        <f t="shared" ca="1" si="646"/>
        <v>-----</v>
      </c>
      <c r="AA831" s="810">
        <f t="shared" ca="1" si="647"/>
        <v>43134</v>
      </c>
      <c r="AB831" s="804"/>
      <c r="AC831" s="811" t="str">
        <f t="shared" ca="1" si="648"/>
        <v>-----</v>
      </c>
      <c r="AD831" s="798"/>
      <c r="AE831" s="794" t="str">
        <f t="shared" ca="1" si="649"/>
        <v>-</v>
      </c>
      <c r="AF831" s="798" t="str">
        <f t="shared" si="650"/>
        <v>-</v>
      </c>
      <c r="AG831" s="812" t="str">
        <f t="shared" si="651"/>
        <v>---------</v>
      </c>
      <c r="AH831" s="807"/>
      <c r="AI831" s="807" t="str">
        <f t="shared" si="652"/>
        <v>-</v>
      </c>
      <c r="AJ831" s="807" t="str">
        <f t="shared" si="653"/>
        <v>-</v>
      </c>
      <c r="AK831" s="813"/>
      <c r="AL831" s="807" t="str">
        <f t="shared" si="654"/>
        <v>-</v>
      </c>
      <c r="AM831" s="807" t="str">
        <f t="shared" si="655"/>
        <v>-</v>
      </c>
      <c r="AN831" s="814" t="str">
        <f t="shared" ca="1" si="656"/>
        <v>-</v>
      </c>
      <c r="AO831" s="815">
        <v>1</v>
      </c>
      <c r="AP831" s="816" t="str">
        <f t="shared" ca="1" si="657"/>
        <v>-</v>
      </c>
      <c r="AQ831" s="817"/>
      <c r="AR831" s="794" t="str">
        <f t="shared" si="658"/>
        <v>-</v>
      </c>
      <c r="AS831" s="818"/>
      <c r="AT831" s="794" t="str">
        <f t="shared" si="659"/>
        <v>-</v>
      </c>
      <c r="AU831" s="819" t="s">
        <v>2696</v>
      </c>
      <c r="AV831" s="865"/>
      <c r="AW831" s="821"/>
      <c r="AX831" s="821"/>
      <c r="AY831" s="969" t="str">
        <f t="shared" si="660"/>
        <v>-</v>
      </c>
      <c r="AZ831" s="966" t="str">
        <f t="shared" si="661"/>
        <v>-</v>
      </c>
      <c r="BA831" s="971" t="str">
        <f t="shared" si="662"/>
        <v>-</v>
      </c>
      <c r="BB831" s="975"/>
      <c r="BC831" s="821"/>
      <c r="BD831" s="821"/>
      <c r="BE831" s="963" t="str">
        <f t="shared" si="663"/>
        <v>-</v>
      </c>
      <c r="BF831" s="984"/>
      <c r="BG831" s="988"/>
      <c r="BH831" s="982"/>
      <c r="BI831" s="991"/>
      <c r="BJ831" s="991"/>
      <c r="BK831" s="993" t="str">
        <f t="shared" si="664"/>
        <v>-</v>
      </c>
      <c r="BL831" s="865"/>
      <c r="BM831" s="821"/>
      <c r="BN831" s="822" t="str">
        <f t="shared" si="665"/>
        <v>-</v>
      </c>
      <c r="BO831" s="823" t="str">
        <f t="shared" si="666"/>
        <v>-</v>
      </c>
      <c r="BP831" s="868"/>
      <c r="BQ831" s="821"/>
      <c r="BR831" s="822" t="str">
        <f t="shared" si="667"/>
        <v>-</v>
      </c>
      <c r="BS831" s="823" t="str">
        <f t="shared" si="668"/>
        <v>-</v>
      </c>
      <c r="BT831" s="825" t="str">
        <f t="shared" ca="1" si="669"/>
        <v>-</v>
      </c>
      <c r="BU831" s="860">
        <v>42886</v>
      </c>
      <c r="BV831" s="827">
        <v>2</v>
      </c>
      <c r="BW831" s="828">
        <f t="shared" si="670"/>
        <v>39</v>
      </c>
      <c r="BX831" s="829">
        <f t="shared" ca="1" si="671"/>
        <v>248</v>
      </c>
      <c r="BY831" s="830" t="str">
        <f t="shared" ca="1" si="672"/>
        <v>-</v>
      </c>
      <c r="BZ831" s="831">
        <v>42931</v>
      </c>
      <c r="CA831" s="832">
        <v>5</v>
      </c>
      <c r="CB831" s="833">
        <f t="shared" ca="1" si="673"/>
        <v>203</v>
      </c>
      <c r="CC831" s="834" t="str">
        <f t="shared" ca="1" si="674"/>
        <v>-</v>
      </c>
      <c r="CD831" s="835">
        <f t="shared" si="675"/>
        <v>42952</v>
      </c>
      <c r="CE831" s="831">
        <v>42954</v>
      </c>
      <c r="CF831" s="832">
        <v>5</v>
      </c>
      <c r="CG831" s="833">
        <f t="shared" ca="1" si="676"/>
        <v>180</v>
      </c>
      <c r="CH831" s="836">
        <f t="shared" si="677"/>
        <v>-2</v>
      </c>
      <c r="CI831" s="837" t="str">
        <f t="shared" si="678"/>
        <v>-</v>
      </c>
      <c r="CJ831" s="838" t="str">
        <f t="shared" ca="1" si="679"/>
        <v>-</v>
      </c>
      <c r="CK831" s="831"/>
      <c r="CL831" s="832"/>
      <c r="CM831" s="833" t="str">
        <f t="shared" si="680"/>
        <v>-</v>
      </c>
      <c r="CN831" s="834" t="str">
        <f t="shared" si="681"/>
        <v>-</v>
      </c>
      <c r="CO831" s="830" t="str">
        <f t="shared" ca="1" si="682"/>
        <v>-</v>
      </c>
      <c r="CP831" s="839"/>
      <c r="CQ831" s="832"/>
      <c r="CR831" s="833" t="str">
        <f t="shared" si="683"/>
        <v>-</v>
      </c>
      <c r="CS831" s="833" t="str">
        <f t="shared" si="684"/>
        <v>-</v>
      </c>
      <c r="CT831" s="834" t="str">
        <f t="shared" si="685"/>
        <v>-</v>
      </c>
      <c r="CU831" s="835" t="str">
        <f t="shared" si="686"/>
        <v>-</v>
      </c>
      <c r="CV831" s="839"/>
      <c r="CW831" s="832"/>
      <c r="CX831" s="833" t="str">
        <f t="shared" si="687"/>
        <v>-</v>
      </c>
      <c r="CY831" s="840" t="str">
        <f t="shared" si="688"/>
        <v>-</v>
      </c>
      <c r="CZ831" s="833" t="str">
        <f t="shared" si="689"/>
        <v>-</v>
      </c>
      <c r="DA831" s="838" t="str">
        <f t="shared" ca="1" si="690"/>
        <v>-</v>
      </c>
      <c r="DB831" s="841"/>
      <c r="DC831" s="832"/>
    </row>
    <row r="832" spans="1:107" x14ac:dyDescent="0.25">
      <c r="A832" s="790">
        <v>835</v>
      </c>
      <c r="B832" s="791">
        <f t="shared" ca="1" si="639"/>
        <v>43134</v>
      </c>
      <c r="C832" s="29" t="s">
        <v>3339</v>
      </c>
      <c r="D832" s="59" t="s">
        <v>1635</v>
      </c>
      <c r="E832" s="794" t="s">
        <v>1563</v>
      </c>
      <c r="F832" s="872" t="s">
        <v>2702</v>
      </c>
      <c r="G832" s="845"/>
      <c r="H832" s="797" t="s">
        <v>603</v>
      </c>
      <c r="I832" s="798">
        <v>42862</v>
      </c>
      <c r="J832" s="799">
        <f t="shared" ca="1" si="640"/>
        <v>0.74520547945205484</v>
      </c>
      <c r="K832" s="799">
        <f t="shared" ca="1" si="641"/>
        <v>9.0666666666666664</v>
      </c>
      <c r="L832" s="800">
        <f t="shared" ca="1" si="642"/>
        <v>272</v>
      </c>
      <c r="M832" s="801"/>
      <c r="N832" s="802"/>
      <c r="O832" s="803" t="str">
        <f t="shared" ca="1" si="643"/>
        <v>-</v>
      </c>
      <c r="P832" s="804"/>
      <c r="Q832" s="805"/>
      <c r="R832" s="806"/>
      <c r="S832" s="807"/>
      <c r="T832" s="798"/>
      <c r="U832" s="798" t="str">
        <f t="shared" si="644"/>
        <v>-</v>
      </c>
      <c r="V832" s="804" t="str">
        <f t="shared" ca="1" si="645"/>
        <v>-</v>
      </c>
      <c r="W832" s="808">
        <v>0</v>
      </c>
      <c r="X832" s="794" t="str">
        <f t="shared" si="691"/>
        <v>-</v>
      </c>
      <c r="Y832" s="794">
        <v>0</v>
      </c>
      <c r="Z832" s="809" t="str">
        <f t="shared" ca="1" si="646"/>
        <v>-----</v>
      </c>
      <c r="AA832" s="810">
        <f t="shared" ca="1" si="647"/>
        <v>43134</v>
      </c>
      <c r="AB832" s="804"/>
      <c r="AC832" s="811" t="str">
        <f t="shared" ca="1" si="648"/>
        <v>-----</v>
      </c>
      <c r="AD832" s="798"/>
      <c r="AE832" s="794" t="str">
        <f t="shared" ca="1" si="649"/>
        <v>-</v>
      </c>
      <c r="AF832" s="798" t="str">
        <f t="shared" si="650"/>
        <v>-</v>
      </c>
      <c r="AG832" s="812" t="str">
        <f t="shared" si="651"/>
        <v>---------</v>
      </c>
      <c r="AH832" s="807"/>
      <c r="AI832" s="807" t="str">
        <f t="shared" si="652"/>
        <v>-</v>
      </c>
      <c r="AJ832" s="807" t="str">
        <f t="shared" si="653"/>
        <v>-</v>
      </c>
      <c r="AK832" s="813"/>
      <c r="AL832" s="807" t="str">
        <f t="shared" si="654"/>
        <v>-</v>
      </c>
      <c r="AM832" s="807" t="str">
        <f t="shared" si="655"/>
        <v>-</v>
      </c>
      <c r="AN832" s="814" t="str">
        <f t="shared" ca="1" si="656"/>
        <v>-</v>
      </c>
      <c r="AO832" s="815">
        <v>1</v>
      </c>
      <c r="AP832" s="816" t="str">
        <f t="shared" ca="1" si="657"/>
        <v>-</v>
      </c>
      <c r="AQ832" s="817"/>
      <c r="AR832" s="794" t="str">
        <f t="shared" si="658"/>
        <v>-</v>
      </c>
      <c r="AS832" s="818"/>
      <c r="AT832" s="794" t="str">
        <f t="shared" si="659"/>
        <v>-</v>
      </c>
      <c r="AU832" s="819" t="s">
        <v>2696</v>
      </c>
      <c r="AV832" s="865"/>
      <c r="AW832" s="821"/>
      <c r="AX832" s="821"/>
      <c r="AY832" s="969" t="str">
        <f t="shared" si="660"/>
        <v>-</v>
      </c>
      <c r="AZ832" s="966" t="str">
        <f t="shared" si="661"/>
        <v>-</v>
      </c>
      <c r="BA832" s="971" t="str">
        <f t="shared" si="662"/>
        <v>-</v>
      </c>
      <c r="BB832" s="975"/>
      <c r="BC832" s="821"/>
      <c r="BD832" s="821"/>
      <c r="BE832" s="963" t="str">
        <f t="shared" si="663"/>
        <v>-</v>
      </c>
      <c r="BF832" s="984"/>
      <c r="BG832" s="988"/>
      <c r="BH832" s="982"/>
      <c r="BI832" s="991"/>
      <c r="BJ832" s="991"/>
      <c r="BK832" s="993" t="str">
        <f t="shared" si="664"/>
        <v>-</v>
      </c>
      <c r="BL832" s="865"/>
      <c r="BM832" s="821"/>
      <c r="BN832" s="822" t="str">
        <f t="shared" si="665"/>
        <v>-</v>
      </c>
      <c r="BO832" s="823" t="str">
        <f t="shared" si="666"/>
        <v>-</v>
      </c>
      <c r="BP832" s="868"/>
      <c r="BQ832" s="821"/>
      <c r="BR832" s="822" t="str">
        <f t="shared" si="667"/>
        <v>-</v>
      </c>
      <c r="BS832" s="823" t="str">
        <f t="shared" si="668"/>
        <v>-</v>
      </c>
      <c r="BT832" s="825" t="str">
        <f t="shared" ca="1" si="669"/>
        <v>-</v>
      </c>
      <c r="BU832" s="860">
        <v>42886</v>
      </c>
      <c r="BV832" s="827">
        <v>2</v>
      </c>
      <c r="BW832" s="828">
        <f t="shared" si="670"/>
        <v>24</v>
      </c>
      <c r="BX832" s="829">
        <f t="shared" ca="1" si="671"/>
        <v>248</v>
      </c>
      <c r="BY832" s="830" t="str">
        <f t="shared" ca="1" si="672"/>
        <v>-</v>
      </c>
      <c r="BZ832" s="831">
        <v>42931</v>
      </c>
      <c r="CA832" s="832">
        <v>5</v>
      </c>
      <c r="CB832" s="833">
        <f t="shared" ca="1" si="673"/>
        <v>203</v>
      </c>
      <c r="CC832" s="834" t="str">
        <f t="shared" ca="1" si="674"/>
        <v>-</v>
      </c>
      <c r="CD832" s="835">
        <f t="shared" si="675"/>
        <v>42952</v>
      </c>
      <c r="CE832" s="831">
        <v>42954</v>
      </c>
      <c r="CF832" s="832">
        <v>5</v>
      </c>
      <c r="CG832" s="833">
        <f t="shared" ca="1" si="676"/>
        <v>180</v>
      </c>
      <c r="CH832" s="836">
        <f t="shared" si="677"/>
        <v>-2</v>
      </c>
      <c r="CI832" s="837" t="str">
        <f t="shared" si="678"/>
        <v>-</v>
      </c>
      <c r="CJ832" s="838" t="str">
        <f t="shared" ca="1" si="679"/>
        <v>-</v>
      </c>
      <c r="CK832" s="831"/>
      <c r="CL832" s="832"/>
      <c r="CM832" s="833" t="str">
        <f t="shared" si="680"/>
        <v>-</v>
      </c>
      <c r="CN832" s="834" t="str">
        <f t="shared" si="681"/>
        <v>-</v>
      </c>
      <c r="CO832" s="830" t="str">
        <f t="shared" ca="1" si="682"/>
        <v>-</v>
      </c>
      <c r="CP832" s="839"/>
      <c r="CQ832" s="832"/>
      <c r="CR832" s="833" t="str">
        <f t="shared" si="683"/>
        <v>-</v>
      </c>
      <c r="CS832" s="833" t="str">
        <f t="shared" si="684"/>
        <v>-</v>
      </c>
      <c r="CT832" s="834" t="str">
        <f t="shared" si="685"/>
        <v>-</v>
      </c>
      <c r="CU832" s="835" t="str">
        <f t="shared" si="686"/>
        <v>-</v>
      </c>
      <c r="CV832" s="839"/>
      <c r="CW832" s="832"/>
      <c r="CX832" s="833" t="str">
        <f t="shared" si="687"/>
        <v>-</v>
      </c>
      <c r="CY832" s="840" t="str">
        <f t="shared" si="688"/>
        <v>-</v>
      </c>
      <c r="CZ832" s="833" t="str">
        <f t="shared" si="689"/>
        <v>-</v>
      </c>
      <c r="DA832" s="838" t="str">
        <f t="shared" ca="1" si="690"/>
        <v>-</v>
      </c>
      <c r="DB832" s="841"/>
      <c r="DC832" s="832"/>
    </row>
    <row r="833" spans="1:107" x14ac:dyDescent="0.25">
      <c r="A833" s="790">
        <v>836</v>
      </c>
      <c r="B833" s="791">
        <f t="shared" ca="1" si="639"/>
        <v>43134</v>
      </c>
      <c r="C833" s="29" t="s">
        <v>3339</v>
      </c>
      <c r="D833" s="793" t="s">
        <v>1635</v>
      </c>
      <c r="E833" s="794" t="s">
        <v>1563</v>
      </c>
      <c r="F833" s="872" t="s">
        <v>2744</v>
      </c>
      <c r="G833" s="845"/>
      <c r="H833" s="797" t="s">
        <v>603</v>
      </c>
      <c r="I833" s="798">
        <v>42873</v>
      </c>
      <c r="J833" s="799">
        <f t="shared" ca="1" si="640"/>
        <v>0.71506849315068488</v>
      </c>
      <c r="K833" s="799">
        <f t="shared" ca="1" si="641"/>
        <v>8.6999999999999993</v>
      </c>
      <c r="L833" s="800">
        <f t="shared" ca="1" si="642"/>
        <v>261</v>
      </c>
      <c r="M833" s="801"/>
      <c r="N833" s="802"/>
      <c r="O833" s="803" t="str">
        <f t="shared" ca="1" si="643"/>
        <v>-</v>
      </c>
      <c r="P833" s="804"/>
      <c r="Q833" s="805"/>
      <c r="R833" s="806"/>
      <c r="S833" s="807"/>
      <c r="T833" s="798"/>
      <c r="U833" s="798" t="str">
        <f t="shared" si="644"/>
        <v>-</v>
      </c>
      <c r="V833" s="804" t="str">
        <f t="shared" ca="1" si="645"/>
        <v>-</v>
      </c>
      <c r="W833" s="808">
        <v>0</v>
      </c>
      <c r="X833" s="794" t="str">
        <f t="shared" si="691"/>
        <v>-</v>
      </c>
      <c r="Y833" s="794">
        <v>0</v>
      </c>
      <c r="Z833" s="809" t="str">
        <f t="shared" ca="1" si="646"/>
        <v>-----</v>
      </c>
      <c r="AA833" s="810">
        <f t="shared" ca="1" si="647"/>
        <v>43134</v>
      </c>
      <c r="AB833" s="804"/>
      <c r="AC833" s="811" t="str">
        <f t="shared" ca="1" si="648"/>
        <v>-----</v>
      </c>
      <c r="AD833" s="798"/>
      <c r="AE833" s="794" t="str">
        <f t="shared" ca="1" si="649"/>
        <v>-</v>
      </c>
      <c r="AF833" s="798" t="str">
        <f t="shared" si="650"/>
        <v>-</v>
      </c>
      <c r="AG833" s="812" t="str">
        <f t="shared" si="651"/>
        <v>---------</v>
      </c>
      <c r="AH833" s="807"/>
      <c r="AI833" s="807" t="str">
        <f t="shared" si="652"/>
        <v>-</v>
      </c>
      <c r="AJ833" s="807" t="str">
        <f t="shared" si="653"/>
        <v>-</v>
      </c>
      <c r="AK833" s="813"/>
      <c r="AL833" s="807" t="str">
        <f t="shared" si="654"/>
        <v>-</v>
      </c>
      <c r="AM833" s="807" t="str">
        <f t="shared" si="655"/>
        <v>-</v>
      </c>
      <c r="AN833" s="814" t="str">
        <f t="shared" ca="1" si="656"/>
        <v>-</v>
      </c>
      <c r="AO833" s="815">
        <v>1</v>
      </c>
      <c r="AP833" s="816" t="str">
        <f t="shared" ca="1" si="657"/>
        <v>-</v>
      </c>
      <c r="AQ833" s="817"/>
      <c r="AR833" s="794" t="str">
        <f t="shared" si="658"/>
        <v>-</v>
      </c>
      <c r="AS833" s="818"/>
      <c r="AT833" s="794" t="str">
        <f t="shared" si="659"/>
        <v>-</v>
      </c>
      <c r="AU833" s="819" t="s">
        <v>2696</v>
      </c>
      <c r="AV833" s="865"/>
      <c r="AW833" s="821"/>
      <c r="AX833" s="821"/>
      <c r="AY833" s="969" t="str">
        <f t="shared" si="660"/>
        <v>-</v>
      </c>
      <c r="AZ833" s="966" t="str">
        <f t="shared" si="661"/>
        <v>-</v>
      </c>
      <c r="BA833" s="971" t="str">
        <f t="shared" si="662"/>
        <v>-</v>
      </c>
      <c r="BB833" s="975"/>
      <c r="BC833" s="821"/>
      <c r="BD833" s="821"/>
      <c r="BE833" s="963" t="str">
        <f t="shared" si="663"/>
        <v>-</v>
      </c>
      <c r="BF833" s="984"/>
      <c r="BG833" s="988"/>
      <c r="BH833" s="982"/>
      <c r="BI833" s="991"/>
      <c r="BJ833" s="991"/>
      <c r="BK833" s="993" t="str">
        <f t="shared" si="664"/>
        <v>-</v>
      </c>
      <c r="BL833" s="865"/>
      <c r="BM833" s="821"/>
      <c r="BN833" s="822" t="str">
        <f t="shared" si="665"/>
        <v>-</v>
      </c>
      <c r="BO833" s="823" t="str">
        <f t="shared" si="666"/>
        <v>-</v>
      </c>
      <c r="BP833" s="868"/>
      <c r="BQ833" s="821"/>
      <c r="BR833" s="822" t="str">
        <f t="shared" si="667"/>
        <v>-</v>
      </c>
      <c r="BS833" s="823" t="str">
        <f t="shared" si="668"/>
        <v>-</v>
      </c>
      <c r="BT833" s="825" t="str">
        <f t="shared" ca="1" si="669"/>
        <v>-</v>
      </c>
      <c r="BU833" s="860">
        <v>42886</v>
      </c>
      <c r="BV833" s="827">
        <v>2</v>
      </c>
      <c r="BW833" s="828">
        <f t="shared" si="670"/>
        <v>13</v>
      </c>
      <c r="BX833" s="829">
        <f t="shared" ca="1" si="671"/>
        <v>248</v>
      </c>
      <c r="BY833" s="830" t="str">
        <f t="shared" ca="1" si="672"/>
        <v>-</v>
      </c>
      <c r="BZ833" s="831">
        <v>42931</v>
      </c>
      <c r="CA833" s="832">
        <v>5</v>
      </c>
      <c r="CB833" s="833">
        <f t="shared" ca="1" si="673"/>
        <v>203</v>
      </c>
      <c r="CC833" s="834" t="str">
        <f t="shared" ca="1" si="674"/>
        <v>-</v>
      </c>
      <c r="CD833" s="835">
        <f t="shared" si="675"/>
        <v>42952</v>
      </c>
      <c r="CE833" s="831">
        <v>42954</v>
      </c>
      <c r="CF833" s="832">
        <v>5</v>
      </c>
      <c r="CG833" s="833">
        <f t="shared" ca="1" si="676"/>
        <v>180</v>
      </c>
      <c r="CH833" s="836">
        <f t="shared" si="677"/>
        <v>-2</v>
      </c>
      <c r="CI833" s="837" t="str">
        <f t="shared" si="678"/>
        <v>-</v>
      </c>
      <c r="CJ833" s="838" t="str">
        <f t="shared" ca="1" si="679"/>
        <v>-</v>
      </c>
      <c r="CK833" s="831"/>
      <c r="CL833" s="832"/>
      <c r="CM833" s="833" t="str">
        <f t="shared" si="680"/>
        <v>-</v>
      </c>
      <c r="CN833" s="834" t="str">
        <f t="shared" si="681"/>
        <v>-</v>
      </c>
      <c r="CO833" s="830" t="str">
        <f t="shared" ca="1" si="682"/>
        <v>-</v>
      </c>
      <c r="CP833" s="839"/>
      <c r="CQ833" s="832"/>
      <c r="CR833" s="833" t="str">
        <f t="shared" si="683"/>
        <v>-</v>
      </c>
      <c r="CS833" s="833" t="str">
        <f t="shared" si="684"/>
        <v>-</v>
      </c>
      <c r="CT833" s="834" t="str">
        <f t="shared" si="685"/>
        <v>-</v>
      </c>
      <c r="CU833" s="835" t="str">
        <f t="shared" si="686"/>
        <v>-</v>
      </c>
      <c r="CV833" s="839"/>
      <c r="CW833" s="832"/>
      <c r="CX833" s="833" t="str">
        <f t="shared" si="687"/>
        <v>-</v>
      </c>
      <c r="CY833" s="840" t="str">
        <f t="shared" si="688"/>
        <v>-</v>
      </c>
      <c r="CZ833" s="833" t="str">
        <f t="shared" si="689"/>
        <v>-</v>
      </c>
      <c r="DA833" s="838" t="str">
        <f t="shared" ca="1" si="690"/>
        <v>-</v>
      </c>
      <c r="DB833" s="841"/>
      <c r="DC833" s="832"/>
    </row>
    <row r="834" spans="1:107" x14ac:dyDescent="0.25">
      <c r="A834" s="790">
        <v>837</v>
      </c>
      <c r="B834" s="791">
        <f t="shared" ca="1" si="639"/>
        <v>43134</v>
      </c>
      <c r="C834" s="29" t="s">
        <v>3339</v>
      </c>
      <c r="D834" s="793" t="s">
        <v>1635</v>
      </c>
      <c r="E834" s="794" t="s">
        <v>1563</v>
      </c>
      <c r="F834" s="872" t="s">
        <v>2796</v>
      </c>
      <c r="G834" s="845"/>
      <c r="H834" s="797" t="s">
        <v>603</v>
      </c>
      <c r="I834" s="798">
        <v>42885</v>
      </c>
      <c r="J834" s="799">
        <f t="shared" ca="1" si="640"/>
        <v>0.68219178082191778</v>
      </c>
      <c r="K834" s="799">
        <f t="shared" ca="1" si="641"/>
        <v>8.3000000000000007</v>
      </c>
      <c r="L834" s="800">
        <f t="shared" ca="1" si="642"/>
        <v>249</v>
      </c>
      <c r="M834" s="801"/>
      <c r="N834" s="802"/>
      <c r="O834" s="803" t="str">
        <f t="shared" ca="1" si="643"/>
        <v>-</v>
      </c>
      <c r="P834" s="804"/>
      <c r="Q834" s="805"/>
      <c r="R834" s="806"/>
      <c r="S834" s="807"/>
      <c r="T834" s="798"/>
      <c r="U834" s="798" t="str">
        <f t="shared" si="644"/>
        <v>-</v>
      </c>
      <c r="V834" s="804" t="str">
        <f t="shared" ca="1" si="645"/>
        <v>-</v>
      </c>
      <c r="W834" s="808">
        <v>0</v>
      </c>
      <c r="X834" s="794" t="str">
        <f t="shared" si="691"/>
        <v>-</v>
      </c>
      <c r="Y834" s="794">
        <v>0</v>
      </c>
      <c r="Z834" s="809" t="str">
        <f t="shared" ca="1" si="646"/>
        <v>-----</v>
      </c>
      <c r="AA834" s="810">
        <f t="shared" ca="1" si="647"/>
        <v>43134</v>
      </c>
      <c r="AB834" s="804"/>
      <c r="AC834" s="811" t="str">
        <f t="shared" ca="1" si="648"/>
        <v>-----</v>
      </c>
      <c r="AD834" s="798"/>
      <c r="AE834" s="794" t="str">
        <f t="shared" ca="1" si="649"/>
        <v>-</v>
      </c>
      <c r="AF834" s="798" t="str">
        <f t="shared" si="650"/>
        <v>-</v>
      </c>
      <c r="AG834" s="812" t="str">
        <f t="shared" si="651"/>
        <v>---------</v>
      </c>
      <c r="AH834" s="807"/>
      <c r="AI834" s="807" t="str">
        <f t="shared" si="652"/>
        <v>-</v>
      </c>
      <c r="AJ834" s="807" t="str">
        <f t="shared" si="653"/>
        <v>-</v>
      </c>
      <c r="AK834" s="813"/>
      <c r="AL834" s="807" t="str">
        <f t="shared" si="654"/>
        <v>-</v>
      </c>
      <c r="AM834" s="807" t="str">
        <f t="shared" si="655"/>
        <v>-</v>
      </c>
      <c r="AN834" s="814" t="str">
        <f t="shared" ca="1" si="656"/>
        <v>-</v>
      </c>
      <c r="AO834" s="815">
        <v>1</v>
      </c>
      <c r="AP834" s="816" t="str">
        <f t="shared" ca="1" si="657"/>
        <v>-</v>
      </c>
      <c r="AQ834" s="817"/>
      <c r="AR834" s="794" t="str">
        <f t="shared" si="658"/>
        <v>-</v>
      </c>
      <c r="AS834" s="818"/>
      <c r="AT834" s="794" t="str">
        <f t="shared" si="659"/>
        <v>-</v>
      </c>
      <c r="AU834" s="819" t="s">
        <v>2696</v>
      </c>
      <c r="AV834" s="865"/>
      <c r="AW834" s="821"/>
      <c r="AX834" s="821"/>
      <c r="AY834" s="969" t="str">
        <f t="shared" si="660"/>
        <v>-</v>
      </c>
      <c r="AZ834" s="966" t="str">
        <f t="shared" si="661"/>
        <v>-</v>
      </c>
      <c r="BA834" s="971" t="str">
        <f t="shared" si="662"/>
        <v>-</v>
      </c>
      <c r="BB834" s="975"/>
      <c r="BC834" s="821"/>
      <c r="BD834" s="821"/>
      <c r="BE834" s="963" t="str">
        <f t="shared" si="663"/>
        <v>-</v>
      </c>
      <c r="BF834" s="984"/>
      <c r="BG834" s="988"/>
      <c r="BH834" s="982"/>
      <c r="BI834" s="991"/>
      <c r="BJ834" s="991"/>
      <c r="BK834" s="993" t="str">
        <f t="shared" si="664"/>
        <v>-</v>
      </c>
      <c r="BL834" s="865"/>
      <c r="BM834" s="821"/>
      <c r="BN834" s="822" t="str">
        <f t="shared" si="665"/>
        <v>-</v>
      </c>
      <c r="BO834" s="823" t="str">
        <f t="shared" si="666"/>
        <v>-</v>
      </c>
      <c r="BP834" s="868"/>
      <c r="BQ834" s="821"/>
      <c r="BR834" s="822" t="str">
        <f t="shared" si="667"/>
        <v>-</v>
      </c>
      <c r="BS834" s="823" t="str">
        <f t="shared" si="668"/>
        <v>-</v>
      </c>
      <c r="BT834" s="825" t="str">
        <f t="shared" ca="1" si="669"/>
        <v>-</v>
      </c>
      <c r="BU834" s="860">
        <v>42900</v>
      </c>
      <c r="BV834" s="827">
        <v>2</v>
      </c>
      <c r="BW834" s="828">
        <f t="shared" si="670"/>
        <v>15</v>
      </c>
      <c r="BX834" s="829">
        <f t="shared" ca="1" si="671"/>
        <v>234</v>
      </c>
      <c r="BY834" s="830" t="str">
        <f t="shared" ca="1" si="672"/>
        <v>-</v>
      </c>
      <c r="BZ834" s="831">
        <v>42931</v>
      </c>
      <c r="CA834" s="832">
        <v>5</v>
      </c>
      <c r="CB834" s="833">
        <f t="shared" ca="1" si="673"/>
        <v>203</v>
      </c>
      <c r="CC834" s="834" t="str">
        <f t="shared" ca="1" si="674"/>
        <v>-</v>
      </c>
      <c r="CD834" s="835">
        <f t="shared" si="675"/>
        <v>42952</v>
      </c>
      <c r="CE834" s="831">
        <v>42954</v>
      </c>
      <c r="CF834" s="832">
        <v>5</v>
      </c>
      <c r="CG834" s="833">
        <f t="shared" ca="1" si="676"/>
        <v>180</v>
      </c>
      <c r="CH834" s="836">
        <f t="shared" si="677"/>
        <v>-2</v>
      </c>
      <c r="CI834" s="837" t="str">
        <f t="shared" si="678"/>
        <v>-</v>
      </c>
      <c r="CJ834" s="838" t="str">
        <f t="shared" ca="1" si="679"/>
        <v>-</v>
      </c>
      <c r="CK834" s="831"/>
      <c r="CL834" s="832"/>
      <c r="CM834" s="833" t="str">
        <f t="shared" si="680"/>
        <v>-</v>
      </c>
      <c r="CN834" s="834" t="str">
        <f t="shared" si="681"/>
        <v>-</v>
      </c>
      <c r="CO834" s="830" t="str">
        <f t="shared" ca="1" si="682"/>
        <v>-</v>
      </c>
      <c r="CP834" s="839"/>
      <c r="CQ834" s="832"/>
      <c r="CR834" s="833" t="str">
        <f t="shared" si="683"/>
        <v>-</v>
      </c>
      <c r="CS834" s="833" t="str">
        <f t="shared" si="684"/>
        <v>-</v>
      </c>
      <c r="CT834" s="834" t="str">
        <f t="shared" si="685"/>
        <v>-</v>
      </c>
      <c r="CU834" s="835" t="str">
        <f t="shared" si="686"/>
        <v>-</v>
      </c>
      <c r="CV834" s="839"/>
      <c r="CW834" s="832"/>
      <c r="CX834" s="833" t="str">
        <f t="shared" si="687"/>
        <v>-</v>
      </c>
      <c r="CY834" s="840" t="str">
        <f t="shared" si="688"/>
        <v>-</v>
      </c>
      <c r="CZ834" s="833" t="str">
        <f t="shared" si="689"/>
        <v>-</v>
      </c>
      <c r="DA834" s="838" t="str">
        <f t="shared" ca="1" si="690"/>
        <v>-</v>
      </c>
      <c r="DB834" s="841"/>
      <c r="DC834" s="832"/>
    </row>
    <row r="835" spans="1:107" x14ac:dyDescent="0.25">
      <c r="A835" s="790">
        <v>838</v>
      </c>
      <c r="B835" s="791">
        <f t="shared" ref="B835:B898" ca="1" si="692">TODAY()</f>
        <v>43134</v>
      </c>
      <c r="C835" s="29" t="s">
        <v>3339</v>
      </c>
      <c r="D835" s="793" t="s">
        <v>1635</v>
      </c>
      <c r="E835" s="794" t="s">
        <v>1563</v>
      </c>
      <c r="F835" s="872" t="s">
        <v>2859</v>
      </c>
      <c r="G835" s="845"/>
      <c r="H835" s="797" t="s">
        <v>603</v>
      </c>
      <c r="I835" s="798">
        <v>42898</v>
      </c>
      <c r="J835" s="799">
        <f t="shared" ref="J835:J898" ca="1" si="693">(B835-I835)/365</f>
        <v>0.64657534246575343</v>
      </c>
      <c r="K835" s="799">
        <f t="shared" ref="K835:K898" ca="1" si="694">(B835-I835)/30</f>
        <v>7.8666666666666663</v>
      </c>
      <c r="L835" s="800">
        <f t="shared" ref="L835:L898" ca="1" si="695">B835-I835</f>
        <v>236</v>
      </c>
      <c r="M835" s="801"/>
      <c r="N835" s="802"/>
      <c r="O835" s="803" t="str">
        <f t="shared" ref="O835:O898" ca="1" si="696">IF(AND(B835&gt;0,N835&gt;0),B835-N835,"-")</f>
        <v>-</v>
      </c>
      <c r="P835" s="804"/>
      <c r="Q835" s="805"/>
      <c r="R835" s="806"/>
      <c r="S835" s="807"/>
      <c r="T835" s="798"/>
      <c r="U835" s="798" t="str">
        <f t="shared" ref="U835:U898" si="697">IF(AND(Y835&gt;1,T835&gt;0),T835+18,"-")</f>
        <v>-</v>
      </c>
      <c r="V835" s="804" t="str">
        <f t="shared" ref="V835:V898" ca="1" si="698">IF(AND(U835&gt;0,B835&gt;0,Y835&gt;1),B835-U835,"-")</f>
        <v>-</v>
      </c>
      <c r="W835" s="808">
        <v>0</v>
      </c>
      <c r="X835" s="794" t="str">
        <f t="shared" si="691"/>
        <v>-</v>
      </c>
      <c r="Y835" s="794">
        <v>0</v>
      </c>
      <c r="Z835" s="809" t="str">
        <f t="shared" ref="Z835:Z898" ca="1" si="699">IF(AND(Y835=1,AA835&gt;71,OR(ISBLANK(AB835),AB835=2)),"ПОДЛЕЖИТ ПЕРЕПРОВЕРКЕ","-----")</f>
        <v>-----</v>
      </c>
      <c r="AA835" s="810">
        <f t="shared" ref="AA835:AA898" ca="1" si="700">IF(AND(O835&gt;-1,W835&gt;0,Y835=1,AB835=1),"-----",B835-T835)</f>
        <v>43134</v>
      </c>
      <c r="AB835" s="804"/>
      <c r="AC835" s="811" t="str">
        <f t="shared" ref="AC835:AC898" ca="1" si="701">IF(AND(AB835&lt;1,Z835="ПОДЛЕЖИТ ПЕРЕПРОВЕРКЕ",Y835=1),T835+72,"-----")</f>
        <v>-----</v>
      </c>
      <c r="AD835" s="798"/>
      <c r="AE835" s="794" t="str">
        <f t="shared" ref="AE835:AE898" ca="1" si="702">IF(AND(O835&gt;120,Y835=0,N835&gt;0),"яловая","-")</f>
        <v>-</v>
      </c>
      <c r="AF835" s="798" t="str">
        <f t="shared" ref="AF835:AF898" si="703">IF(AND(T835&gt;0,OR(Y835=3,Y835=2)),T835+35,"-")</f>
        <v>-</v>
      </c>
      <c r="AG835" s="812" t="str">
        <f t="shared" ref="AG835:AG898" si="704">IF(AND(T835&gt;0,W835&gt;0,Q835&gt;0,OR(Y835=3,Y835=2)),B835-AF835,"---------")</f>
        <v>---------</v>
      </c>
      <c r="AH835" s="807"/>
      <c r="AI835" s="807" t="str">
        <f t="shared" ref="AI835:AI898" si="705">IF(AND($T835&gt;0,$N835&gt;0,$Y835=1),$T835+280-90,"-")</f>
        <v>-</v>
      </c>
      <c r="AJ835" s="807" t="str">
        <f t="shared" ref="AJ835:AJ898" si="706">IF(AND(T835&gt;0,Y835=1,N835&gt;0),T835+280-60,"-")</f>
        <v>-</v>
      </c>
      <c r="AK835" s="813"/>
      <c r="AL835" s="807" t="str">
        <f t="shared" ref="AL835:AL898" si="707">IF(AND($T835&gt;0,$Y835=1),$T835+280-21,"-")</f>
        <v>-</v>
      </c>
      <c r="AM835" s="807" t="str">
        <f t="shared" ref="AM835:AM898" si="708">IF(AND(T835&gt;0,Y835=1),T835+280,"-")</f>
        <v>-</v>
      </c>
      <c r="AN835" s="814" t="str">
        <f t="shared" ref="AN835:AN898" ca="1" si="709">IF(AND(B835&gt;0,AM835&gt;0,AH835&gt;0,Y835=1),B835-AM835,"-")</f>
        <v>-</v>
      </c>
      <c r="AO835" s="815">
        <v>1</v>
      </c>
      <c r="AP835" s="816" t="str">
        <f t="shared" ref="AP835:AP898" ca="1" si="710">IF(AND(AE835="яловая",O835&gt;300),"БРАК","-")</f>
        <v>-</v>
      </c>
      <c r="AQ835" s="817"/>
      <c r="AR835" s="794" t="str">
        <f t="shared" ref="AR835:AR898" si="711">IF(AND(Y835=1,P835=0),"НЕТЕЛЬ","-")</f>
        <v>-</v>
      </c>
      <c r="AS835" s="818"/>
      <c r="AT835" s="794" t="str">
        <f t="shared" ref="AT835:AT898" si="712">IF(AND(N835&gt;0,T835&gt;0,W835&gt;0,Y835=1,AH835&gt;0,AK835&gt;0),"DRY COW","-")</f>
        <v>-</v>
      </c>
      <c r="AU835" s="819" t="s">
        <v>2696</v>
      </c>
      <c r="AV835" s="865"/>
      <c r="AW835" s="821"/>
      <c r="AX835" s="821"/>
      <c r="AY835" s="969" t="str">
        <f t="shared" ref="AY835:AY898" si="713">IF(AND(AV835&gt;0,AW835&gt;0,AX835&gt;0),B835-AV835,"-")</f>
        <v>-</v>
      </c>
      <c r="AZ835" s="966" t="str">
        <f t="shared" ref="AZ835:AZ898" si="714">IF(AND(AV835&gt;0,AW835&gt;0,AX835&gt;0,AY835&gt;10,BB835=0,BC835=0,BD835=0),"РЕВАКЦИНАЦИЯ","-")</f>
        <v>-</v>
      </c>
      <c r="BA835" s="971" t="str">
        <f t="shared" ref="BA835:BA898" si="715">IF(AND(AV835&gt;0,AW835&gt;0,AX835&gt;0),AV835+10,"-")</f>
        <v>-</v>
      </c>
      <c r="BB835" s="975"/>
      <c r="BC835" s="821"/>
      <c r="BD835" s="821"/>
      <c r="BE835" s="963" t="str">
        <f t="shared" ref="BE835:BE898" si="716">IF(AND(BB835&gt;0,BC835&gt;0,BD835&gt;0),B835-BB835,"-")</f>
        <v>-</v>
      </c>
      <c r="BF835" s="984"/>
      <c r="BG835" s="988"/>
      <c r="BH835" s="982"/>
      <c r="BI835" s="991"/>
      <c r="BJ835" s="991"/>
      <c r="BK835" s="993" t="str">
        <f t="shared" ref="BK835:BK898" si="717">IF(AND(BF835&gt;0,BG835&gt;0,BH835&gt;0,BI835&gt;0,BJ835&gt;0),B835-BF835,"-")</f>
        <v>-</v>
      </c>
      <c r="BL835" s="865"/>
      <c r="BM835" s="821"/>
      <c r="BN835" s="822" t="str">
        <f t="shared" ref="BN835:BN898" si="718">IF(AND(BL835&gt;0,BM835&gt;0),B835-BL835,"-")</f>
        <v>-</v>
      </c>
      <c r="BO835" s="823" t="str">
        <f t="shared" ref="BO835:BO898" si="719">IF(AND(BL835&gt;0,BM835&gt;0),(BL835-I835)/30,"-")</f>
        <v>-</v>
      </c>
      <c r="BP835" s="868"/>
      <c r="BQ835" s="821"/>
      <c r="BR835" s="822" t="str">
        <f t="shared" ref="BR835:BR898" si="720">IF(AND(BP835&gt;0,BQ835&gt;0),B835-BP835,"-")</f>
        <v>-</v>
      </c>
      <c r="BS835" s="823" t="str">
        <f t="shared" ref="BS835:BS898" si="721">IF(AND(BP835&gt;0,BQ835&gt;0),(BP835-M835)/30,"-")</f>
        <v>-</v>
      </c>
      <c r="BT835" s="825" t="str">
        <f t="shared" ref="BT835:BT898" ca="1" si="722">IF(AND(OR(E835="тёлочка",E835="бычок"),L835&gt;0,BV835&lt;2,L835&lt;60),"ПОДЛЕЖИТ ВАКЦИНАЦИИ","-")</f>
        <v>-</v>
      </c>
      <c r="BU835" s="860">
        <v>42913</v>
      </c>
      <c r="BV835" s="827">
        <v>2</v>
      </c>
      <c r="BW835" s="828">
        <f t="shared" ref="BW835:BW898" si="723">IF(AND(BU835&gt;0,BV835=2),BU835-I835,"Ж-Е НЕ ВАКЦ.")</f>
        <v>15</v>
      </c>
      <c r="BX835" s="829">
        <f t="shared" ref="BX835:BX898" ca="1" si="724">IF(AND(BU835&gt;0,BV835=2),B835-BU835,"-")</f>
        <v>221</v>
      </c>
      <c r="BY835" s="830" t="str">
        <f t="shared" ref="BY835:BY898" ca="1" si="725">IF(AND(L835&gt;42,CA835&lt;5),"ПОДЛЕЖИТ ВАКЦИНАЦИИ","-")</f>
        <v>-</v>
      </c>
      <c r="BZ835" s="831">
        <v>42988</v>
      </c>
      <c r="CA835" s="832">
        <v>5</v>
      </c>
      <c r="CB835" s="833">
        <f t="shared" ref="CB835:CB898" ca="1" si="726">IF(AND(BZ835&gt;0,CA835=5),B835-BZ835,"-")</f>
        <v>146</v>
      </c>
      <c r="CC835" s="834" t="str">
        <f t="shared" ref="CC835:CC898" ca="1" si="727">IF(AND(CA835=5,CB835&gt;20,CF835&lt;5),"ТРЕБУЕТСЯ БУСТЕРНАЯ ДОЗА","-")</f>
        <v>-</v>
      </c>
      <c r="CD835" s="835">
        <f t="shared" ref="CD835:CD898" si="728">IF(AND(BZ835&gt;0,CA835=5),BZ835+21,"-")</f>
        <v>43009</v>
      </c>
      <c r="CE835" s="831">
        <v>43009</v>
      </c>
      <c r="CF835" s="832">
        <v>5</v>
      </c>
      <c r="CG835" s="833">
        <f t="shared" ref="CG835:CG898" ca="1" si="729">IF(AND(CE835&gt;0,CF835=5),B835-CE835,"-")</f>
        <v>125</v>
      </c>
      <c r="CH835" s="836">
        <f t="shared" ref="CH835:CH898" si="730">IF(AND(CD835&gt;0,CE835&gt;0,CF835=5),CD835-CE835,"-")</f>
        <v>0</v>
      </c>
      <c r="CI835" s="837" t="str">
        <f t="shared" ref="CI835:CI898" si="731">IF(AND(CF835=5,CH835=0),"УСПЕШНО","-")</f>
        <v>УСПЕШНО</v>
      </c>
      <c r="CJ835" s="838" t="str">
        <f t="shared" ref="CJ835:CJ898" ca="1" si="732">IF(AND(BZ835&gt;0,CA835=5,CE835&gt;0,CF835=5,CG835&gt;240,CL835&lt;5),"НЕОБХОДИМА РЕВАКЦИНАЦИЯ","-")</f>
        <v>-</v>
      </c>
      <c r="CK835" s="831"/>
      <c r="CL835" s="832"/>
      <c r="CM835" s="833" t="str">
        <f t="shared" ref="CM835:CM898" si="733">IF(AND(CK835&gt;0,CL835=5),N835-CK835,"-")</f>
        <v>-</v>
      </c>
      <c r="CN835" s="834" t="str">
        <f t="shared" ref="CN835:CN898" si="734">IF(AND(CK835&gt;0,CL835=5,CM835&gt;240),"НЕОБХОДИМА РЕВАКЦИНАЦИЯ","-")</f>
        <v>-</v>
      </c>
      <c r="CO835" s="830" t="str">
        <f t="shared" ref="CO835:CO898" ca="1" si="735">IF(AND(Y835=1,AN835&gt;-70,CQ835&lt;2),"ТРЕБУЕТСЯ ВАКЦИНАЦИЯ","-")</f>
        <v>-</v>
      </c>
      <c r="CP835" s="839"/>
      <c r="CQ835" s="832"/>
      <c r="CR835" s="833" t="str">
        <f t="shared" ref="CR835:CR898" si="736">IF(AND(CP835&gt;0,CQ835=2),CP835-T835,"-")</f>
        <v>-</v>
      </c>
      <c r="CS835" s="833" t="str">
        <f t="shared" ref="CS835:CS898" si="737">IF(AND(CP835&gt;0,CQ835=2),B835-CP835,"-")</f>
        <v>-</v>
      </c>
      <c r="CT835" s="834" t="str">
        <f t="shared" ref="CT835:CT898" si="738">IF(AND(CQ835=2,CS835&gt;20,CW835&lt;2),"ТРЕБУЕТСЯ БУСТЕРНАЯ ДОЗА","-")</f>
        <v>-</v>
      </c>
      <c r="CU835" s="835" t="str">
        <f t="shared" ref="CU835:CU898" si="739">IF(AND(CP835&gt;0,CQ835=2),CP835+21,"-")</f>
        <v>-</v>
      </c>
      <c r="CV835" s="839"/>
      <c r="CW835" s="832"/>
      <c r="CX835" s="833" t="str">
        <f t="shared" ref="CX835:CX898" si="740">IF(AND(CU835&gt;0,CV835&gt;0,CW835=2),CV835-CU835,"-")</f>
        <v>-</v>
      </c>
      <c r="CY835" s="840" t="str">
        <f t="shared" ref="CY835:CY898" si="741">IF(AND(CW835=2,CX835=0),"УСПЕШНО","-")</f>
        <v>-</v>
      </c>
      <c r="CZ835" s="833" t="str">
        <f t="shared" ref="CZ835:CZ898" si="742">IF(AND(CV835&gt;0,CW835=2),CV835-T835,"-")</f>
        <v>-</v>
      </c>
      <c r="DA835" s="838" t="str">
        <f t="shared" ref="DA835:DA898" ca="1" si="743">IF(AND(CP835&gt;0,CQ835=2,CV835&gt;0,CW835=2,Y835=1,AN835&gt;-50,DC835&lt;2),"ТРЕБУЕТСЯ РЕВАКЦИНАЦИЯ","-")</f>
        <v>-</v>
      </c>
      <c r="DB835" s="841"/>
      <c r="DC835" s="832"/>
    </row>
    <row r="836" spans="1:107" x14ac:dyDescent="0.25">
      <c r="A836" s="790">
        <v>839</v>
      </c>
      <c r="B836" s="791">
        <f t="shared" ca="1" si="692"/>
        <v>43134</v>
      </c>
      <c r="C836" s="29" t="s">
        <v>3339</v>
      </c>
      <c r="D836" s="793" t="s">
        <v>1635</v>
      </c>
      <c r="E836" s="794" t="s">
        <v>1563</v>
      </c>
      <c r="F836" s="872" t="s">
        <v>2890</v>
      </c>
      <c r="G836" s="845"/>
      <c r="H836" s="797" t="s">
        <v>603</v>
      </c>
      <c r="I836" s="798">
        <v>42914</v>
      </c>
      <c r="J836" s="799">
        <f t="shared" ca="1" si="693"/>
        <v>0.60273972602739723</v>
      </c>
      <c r="K836" s="799">
        <f t="shared" ca="1" si="694"/>
        <v>7.333333333333333</v>
      </c>
      <c r="L836" s="800">
        <f t="shared" ca="1" si="695"/>
        <v>220</v>
      </c>
      <c r="M836" s="801"/>
      <c r="N836" s="802"/>
      <c r="O836" s="803" t="str">
        <f t="shared" ca="1" si="696"/>
        <v>-</v>
      </c>
      <c r="P836" s="804"/>
      <c r="Q836" s="805"/>
      <c r="R836" s="806"/>
      <c r="S836" s="807"/>
      <c r="T836" s="798"/>
      <c r="U836" s="798" t="str">
        <f t="shared" si="697"/>
        <v>-</v>
      </c>
      <c r="V836" s="804" t="str">
        <f t="shared" ca="1" si="698"/>
        <v>-</v>
      </c>
      <c r="W836" s="808">
        <v>0</v>
      </c>
      <c r="X836" s="794" t="str">
        <f t="shared" si="691"/>
        <v>-</v>
      </c>
      <c r="Y836" s="794">
        <v>0</v>
      </c>
      <c r="Z836" s="809" t="str">
        <f t="shared" ca="1" si="699"/>
        <v>-----</v>
      </c>
      <c r="AA836" s="810">
        <f t="shared" ca="1" si="700"/>
        <v>43134</v>
      </c>
      <c r="AB836" s="804"/>
      <c r="AC836" s="811" t="str">
        <f t="shared" ca="1" si="701"/>
        <v>-----</v>
      </c>
      <c r="AD836" s="798"/>
      <c r="AE836" s="794" t="str">
        <f t="shared" ca="1" si="702"/>
        <v>-</v>
      </c>
      <c r="AF836" s="798" t="str">
        <f t="shared" si="703"/>
        <v>-</v>
      </c>
      <c r="AG836" s="812" t="str">
        <f t="shared" si="704"/>
        <v>---------</v>
      </c>
      <c r="AH836" s="807"/>
      <c r="AI836" s="807" t="str">
        <f t="shared" si="705"/>
        <v>-</v>
      </c>
      <c r="AJ836" s="807" t="str">
        <f t="shared" si="706"/>
        <v>-</v>
      </c>
      <c r="AK836" s="813"/>
      <c r="AL836" s="807" t="str">
        <f t="shared" si="707"/>
        <v>-</v>
      </c>
      <c r="AM836" s="807" t="str">
        <f t="shared" si="708"/>
        <v>-</v>
      </c>
      <c r="AN836" s="814" t="str">
        <f t="shared" ca="1" si="709"/>
        <v>-</v>
      </c>
      <c r="AO836" s="815">
        <v>1</v>
      </c>
      <c r="AP836" s="816" t="str">
        <f t="shared" ca="1" si="710"/>
        <v>-</v>
      </c>
      <c r="AQ836" s="817"/>
      <c r="AR836" s="794" t="str">
        <f t="shared" si="711"/>
        <v>-</v>
      </c>
      <c r="AS836" s="818"/>
      <c r="AT836" s="794" t="str">
        <f t="shared" si="712"/>
        <v>-</v>
      </c>
      <c r="AU836" s="819" t="s">
        <v>2696</v>
      </c>
      <c r="AV836" s="865"/>
      <c r="AW836" s="821"/>
      <c r="AX836" s="821"/>
      <c r="AY836" s="969" t="str">
        <f t="shared" si="713"/>
        <v>-</v>
      </c>
      <c r="AZ836" s="966" t="str">
        <f t="shared" si="714"/>
        <v>-</v>
      </c>
      <c r="BA836" s="971" t="str">
        <f t="shared" si="715"/>
        <v>-</v>
      </c>
      <c r="BB836" s="975"/>
      <c r="BC836" s="821"/>
      <c r="BD836" s="821"/>
      <c r="BE836" s="963" t="str">
        <f t="shared" si="716"/>
        <v>-</v>
      </c>
      <c r="BF836" s="984"/>
      <c r="BG836" s="988"/>
      <c r="BH836" s="982"/>
      <c r="BI836" s="991"/>
      <c r="BJ836" s="991"/>
      <c r="BK836" s="993" t="str">
        <f t="shared" si="717"/>
        <v>-</v>
      </c>
      <c r="BL836" s="865"/>
      <c r="BM836" s="821"/>
      <c r="BN836" s="822" t="str">
        <f t="shared" si="718"/>
        <v>-</v>
      </c>
      <c r="BO836" s="823" t="str">
        <f t="shared" si="719"/>
        <v>-</v>
      </c>
      <c r="BP836" s="868"/>
      <c r="BQ836" s="821"/>
      <c r="BR836" s="822" t="str">
        <f t="shared" si="720"/>
        <v>-</v>
      </c>
      <c r="BS836" s="823" t="str">
        <f t="shared" si="721"/>
        <v>-</v>
      </c>
      <c r="BT836" s="825" t="str">
        <f t="shared" ca="1" si="722"/>
        <v>-</v>
      </c>
      <c r="BU836" s="860">
        <v>42920</v>
      </c>
      <c r="BV836" s="827">
        <v>2</v>
      </c>
      <c r="BW836" s="828">
        <f t="shared" si="723"/>
        <v>6</v>
      </c>
      <c r="BX836" s="829">
        <f t="shared" ca="1" si="724"/>
        <v>214</v>
      </c>
      <c r="BY836" s="830" t="str">
        <f t="shared" ca="1" si="725"/>
        <v>-</v>
      </c>
      <c r="BZ836" s="831">
        <v>42988</v>
      </c>
      <c r="CA836" s="832">
        <v>5</v>
      </c>
      <c r="CB836" s="833">
        <f t="shared" ca="1" si="726"/>
        <v>146</v>
      </c>
      <c r="CC836" s="834" t="str">
        <f t="shared" ca="1" si="727"/>
        <v>-</v>
      </c>
      <c r="CD836" s="835">
        <f t="shared" si="728"/>
        <v>43009</v>
      </c>
      <c r="CE836" s="831">
        <v>43009</v>
      </c>
      <c r="CF836" s="832">
        <v>5</v>
      </c>
      <c r="CG836" s="833">
        <f t="shared" ca="1" si="729"/>
        <v>125</v>
      </c>
      <c r="CH836" s="836">
        <f t="shared" si="730"/>
        <v>0</v>
      </c>
      <c r="CI836" s="837" t="str">
        <f t="shared" si="731"/>
        <v>УСПЕШНО</v>
      </c>
      <c r="CJ836" s="838" t="str">
        <f t="shared" ca="1" si="732"/>
        <v>-</v>
      </c>
      <c r="CK836" s="831"/>
      <c r="CL836" s="832"/>
      <c r="CM836" s="833" t="str">
        <f t="shared" si="733"/>
        <v>-</v>
      </c>
      <c r="CN836" s="834" t="str">
        <f t="shared" si="734"/>
        <v>-</v>
      </c>
      <c r="CO836" s="830" t="str">
        <f t="shared" ca="1" si="735"/>
        <v>-</v>
      </c>
      <c r="CP836" s="839"/>
      <c r="CQ836" s="832"/>
      <c r="CR836" s="833" t="str">
        <f t="shared" si="736"/>
        <v>-</v>
      </c>
      <c r="CS836" s="833" t="str">
        <f t="shared" si="737"/>
        <v>-</v>
      </c>
      <c r="CT836" s="834" t="str">
        <f t="shared" si="738"/>
        <v>-</v>
      </c>
      <c r="CU836" s="835" t="str">
        <f t="shared" si="739"/>
        <v>-</v>
      </c>
      <c r="CV836" s="839"/>
      <c r="CW836" s="832"/>
      <c r="CX836" s="833" t="str">
        <f t="shared" si="740"/>
        <v>-</v>
      </c>
      <c r="CY836" s="840" t="str">
        <f t="shared" si="741"/>
        <v>-</v>
      </c>
      <c r="CZ836" s="833" t="str">
        <f t="shared" si="742"/>
        <v>-</v>
      </c>
      <c r="DA836" s="838" t="str">
        <f t="shared" ca="1" si="743"/>
        <v>-</v>
      </c>
      <c r="DB836" s="841"/>
      <c r="DC836" s="832"/>
    </row>
    <row r="837" spans="1:107" ht="15.95" customHeight="1" x14ac:dyDescent="0.25">
      <c r="A837" s="790">
        <v>840</v>
      </c>
      <c r="B837" s="791">
        <f t="shared" ca="1" si="692"/>
        <v>43134</v>
      </c>
      <c r="C837" s="29" t="s">
        <v>3339</v>
      </c>
      <c r="D837" s="793" t="s">
        <v>1635</v>
      </c>
      <c r="E837" s="794" t="s">
        <v>1563</v>
      </c>
      <c r="F837" s="872" t="s">
        <v>2931</v>
      </c>
      <c r="G837" s="845"/>
      <c r="H837" s="797" t="s">
        <v>603</v>
      </c>
      <c r="I837" s="798">
        <v>42924</v>
      </c>
      <c r="J837" s="799">
        <f t="shared" ca="1" si="693"/>
        <v>0.57534246575342463</v>
      </c>
      <c r="K837" s="799">
        <f t="shared" ca="1" si="694"/>
        <v>7</v>
      </c>
      <c r="L837" s="800">
        <f t="shared" ca="1" si="695"/>
        <v>210</v>
      </c>
      <c r="M837" s="801"/>
      <c r="N837" s="802"/>
      <c r="O837" s="803" t="str">
        <f t="shared" ca="1" si="696"/>
        <v>-</v>
      </c>
      <c r="P837" s="804"/>
      <c r="Q837" s="805"/>
      <c r="R837" s="806"/>
      <c r="S837" s="807"/>
      <c r="T837" s="798"/>
      <c r="U837" s="798" t="str">
        <f t="shared" si="697"/>
        <v>-</v>
      </c>
      <c r="V837" s="804" t="str">
        <f t="shared" ca="1" si="698"/>
        <v>-</v>
      </c>
      <c r="W837" s="808">
        <v>0</v>
      </c>
      <c r="X837" s="794" t="str">
        <f t="shared" si="691"/>
        <v>-</v>
      </c>
      <c r="Y837" s="794">
        <v>0</v>
      </c>
      <c r="Z837" s="809" t="str">
        <f t="shared" ca="1" si="699"/>
        <v>-----</v>
      </c>
      <c r="AA837" s="810">
        <f t="shared" ca="1" si="700"/>
        <v>43134</v>
      </c>
      <c r="AB837" s="804"/>
      <c r="AC837" s="811" t="str">
        <f t="shared" ca="1" si="701"/>
        <v>-----</v>
      </c>
      <c r="AD837" s="798"/>
      <c r="AE837" s="794" t="str">
        <f t="shared" ca="1" si="702"/>
        <v>-</v>
      </c>
      <c r="AF837" s="798" t="str">
        <f t="shared" si="703"/>
        <v>-</v>
      </c>
      <c r="AG837" s="812" t="str">
        <f t="shared" si="704"/>
        <v>---------</v>
      </c>
      <c r="AH837" s="807"/>
      <c r="AI837" s="807" t="str">
        <f t="shared" si="705"/>
        <v>-</v>
      </c>
      <c r="AJ837" s="807" t="str">
        <f t="shared" si="706"/>
        <v>-</v>
      </c>
      <c r="AK837" s="813"/>
      <c r="AL837" s="807" t="str">
        <f t="shared" si="707"/>
        <v>-</v>
      </c>
      <c r="AM837" s="807" t="str">
        <f t="shared" si="708"/>
        <v>-</v>
      </c>
      <c r="AN837" s="814" t="str">
        <f t="shared" ca="1" si="709"/>
        <v>-</v>
      </c>
      <c r="AO837" s="815">
        <v>1</v>
      </c>
      <c r="AP837" s="816" t="str">
        <f t="shared" ca="1" si="710"/>
        <v>-</v>
      </c>
      <c r="AQ837" s="817"/>
      <c r="AR837" s="794" t="str">
        <f t="shared" si="711"/>
        <v>-</v>
      </c>
      <c r="AS837" s="818"/>
      <c r="AT837" s="794" t="str">
        <f t="shared" si="712"/>
        <v>-</v>
      </c>
      <c r="AU837" s="819" t="s">
        <v>2696</v>
      </c>
      <c r="AV837" s="865"/>
      <c r="AW837" s="821"/>
      <c r="AX837" s="821"/>
      <c r="AY837" s="969" t="str">
        <f t="shared" si="713"/>
        <v>-</v>
      </c>
      <c r="AZ837" s="966" t="str">
        <f t="shared" si="714"/>
        <v>-</v>
      </c>
      <c r="BA837" s="971" t="str">
        <f t="shared" si="715"/>
        <v>-</v>
      </c>
      <c r="BB837" s="975"/>
      <c r="BC837" s="821"/>
      <c r="BD837" s="821"/>
      <c r="BE837" s="963" t="str">
        <f t="shared" si="716"/>
        <v>-</v>
      </c>
      <c r="BF837" s="984"/>
      <c r="BG837" s="988"/>
      <c r="BH837" s="982"/>
      <c r="BI837" s="991"/>
      <c r="BJ837" s="991"/>
      <c r="BK837" s="993" t="str">
        <f t="shared" si="717"/>
        <v>-</v>
      </c>
      <c r="BL837" s="865"/>
      <c r="BM837" s="821"/>
      <c r="BN837" s="822" t="str">
        <f t="shared" si="718"/>
        <v>-</v>
      </c>
      <c r="BO837" s="823" t="str">
        <f t="shared" si="719"/>
        <v>-</v>
      </c>
      <c r="BP837" s="868"/>
      <c r="BQ837" s="821"/>
      <c r="BR837" s="822" t="str">
        <f t="shared" si="720"/>
        <v>-</v>
      </c>
      <c r="BS837" s="823" t="str">
        <f t="shared" si="721"/>
        <v>-</v>
      </c>
      <c r="BT837" s="825" t="str">
        <f t="shared" ca="1" si="722"/>
        <v>-</v>
      </c>
      <c r="BU837" s="860">
        <v>42931</v>
      </c>
      <c r="BV837" s="827">
        <v>2</v>
      </c>
      <c r="BW837" s="828">
        <f t="shared" si="723"/>
        <v>7</v>
      </c>
      <c r="BX837" s="829">
        <f t="shared" ca="1" si="724"/>
        <v>203</v>
      </c>
      <c r="BY837" s="830" t="str">
        <f t="shared" ca="1" si="725"/>
        <v>-</v>
      </c>
      <c r="BZ837" s="831">
        <v>42988</v>
      </c>
      <c r="CA837" s="832">
        <v>5</v>
      </c>
      <c r="CB837" s="833">
        <f t="shared" ca="1" si="726"/>
        <v>146</v>
      </c>
      <c r="CC837" s="834" t="str">
        <f t="shared" ca="1" si="727"/>
        <v>-</v>
      </c>
      <c r="CD837" s="835">
        <f t="shared" si="728"/>
        <v>43009</v>
      </c>
      <c r="CE837" s="831">
        <v>43009</v>
      </c>
      <c r="CF837" s="832">
        <v>5</v>
      </c>
      <c r="CG837" s="833">
        <f t="shared" ca="1" si="729"/>
        <v>125</v>
      </c>
      <c r="CH837" s="836">
        <f t="shared" si="730"/>
        <v>0</v>
      </c>
      <c r="CI837" s="837" t="str">
        <f t="shared" si="731"/>
        <v>УСПЕШНО</v>
      </c>
      <c r="CJ837" s="838" t="str">
        <f t="shared" ca="1" si="732"/>
        <v>-</v>
      </c>
      <c r="CK837" s="831"/>
      <c r="CL837" s="832"/>
      <c r="CM837" s="833" t="str">
        <f t="shared" si="733"/>
        <v>-</v>
      </c>
      <c r="CN837" s="834" t="str">
        <f t="shared" si="734"/>
        <v>-</v>
      </c>
      <c r="CO837" s="830" t="str">
        <f t="shared" ca="1" si="735"/>
        <v>-</v>
      </c>
      <c r="CP837" s="839"/>
      <c r="CQ837" s="832"/>
      <c r="CR837" s="833" t="str">
        <f t="shared" si="736"/>
        <v>-</v>
      </c>
      <c r="CS837" s="833" t="str">
        <f t="shared" si="737"/>
        <v>-</v>
      </c>
      <c r="CT837" s="834" t="str">
        <f t="shared" si="738"/>
        <v>-</v>
      </c>
      <c r="CU837" s="835" t="str">
        <f t="shared" si="739"/>
        <v>-</v>
      </c>
      <c r="CV837" s="839"/>
      <c r="CW837" s="832"/>
      <c r="CX837" s="833" t="str">
        <f t="shared" si="740"/>
        <v>-</v>
      </c>
      <c r="CY837" s="840" t="str">
        <f t="shared" si="741"/>
        <v>-</v>
      </c>
      <c r="CZ837" s="833" t="str">
        <f t="shared" si="742"/>
        <v>-</v>
      </c>
      <c r="DA837" s="838" t="str">
        <f t="shared" ca="1" si="743"/>
        <v>-</v>
      </c>
      <c r="DB837" s="841"/>
      <c r="DC837" s="832"/>
    </row>
    <row r="838" spans="1:107" ht="15.95" customHeight="1" x14ac:dyDescent="0.25">
      <c r="A838" s="790">
        <v>842</v>
      </c>
      <c r="B838" s="791">
        <f t="shared" ca="1" si="692"/>
        <v>43134</v>
      </c>
      <c r="C838" s="29" t="s">
        <v>3340</v>
      </c>
      <c r="D838" s="59" t="s">
        <v>1635</v>
      </c>
      <c r="E838" s="794" t="s">
        <v>1563</v>
      </c>
      <c r="F838" s="795" t="s">
        <v>3180</v>
      </c>
      <c r="G838" s="845"/>
      <c r="H838" s="797" t="s">
        <v>603</v>
      </c>
      <c r="I838" s="798">
        <v>42990</v>
      </c>
      <c r="J838" s="799">
        <f t="shared" ca="1" si="693"/>
        <v>0.39452054794520547</v>
      </c>
      <c r="K838" s="799">
        <f t="shared" ca="1" si="694"/>
        <v>4.8</v>
      </c>
      <c r="L838" s="800">
        <f t="shared" ca="1" si="695"/>
        <v>144</v>
      </c>
      <c r="M838" s="801"/>
      <c r="N838" s="802"/>
      <c r="O838" s="803" t="str">
        <f t="shared" ca="1" si="696"/>
        <v>-</v>
      </c>
      <c r="P838" s="804"/>
      <c r="Q838" s="805"/>
      <c r="R838" s="806"/>
      <c r="S838" s="807"/>
      <c r="T838" s="798"/>
      <c r="U838" s="798" t="str">
        <f t="shared" si="697"/>
        <v>-</v>
      </c>
      <c r="V838" s="804" t="str">
        <f t="shared" ca="1" si="698"/>
        <v>-</v>
      </c>
      <c r="W838" s="808">
        <v>0</v>
      </c>
      <c r="X838" s="794" t="str">
        <f t="shared" si="691"/>
        <v>-</v>
      </c>
      <c r="Y838" s="808">
        <v>0</v>
      </c>
      <c r="Z838" s="809" t="str">
        <f t="shared" ca="1" si="699"/>
        <v>-----</v>
      </c>
      <c r="AA838" s="810">
        <f t="shared" ca="1" si="700"/>
        <v>43134</v>
      </c>
      <c r="AB838" s="804"/>
      <c r="AC838" s="811" t="str">
        <f t="shared" ca="1" si="701"/>
        <v>-----</v>
      </c>
      <c r="AD838" s="798"/>
      <c r="AE838" s="794" t="str">
        <f t="shared" ca="1" si="702"/>
        <v>-</v>
      </c>
      <c r="AF838" s="798" t="str">
        <f t="shared" si="703"/>
        <v>-</v>
      </c>
      <c r="AG838" s="812" t="str">
        <f t="shared" si="704"/>
        <v>---------</v>
      </c>
      <c r="AH838" s="807"/>
      <c r="AI838" s="807" t="str">
        <f t="shared" si="705"/>
        <v>-</v>
      </c>
      <c r="AJ838" s="807" t="str">
        <f t="shared" si="706"/>
        <v>-</v>
      </c>
      <c r="AK838" s="813"/>
      <c r="AL838" s="807" t="str">
        <f t="shared" si="707"/>
        <v>-</v>
      </c>
      <c r="AM838" s="807" t="str">
        <f t="shared" si="708"/>
        <v>-</v>
      </c>
      <c r="AN838" s="814" t="str">
        <f t="shared" ca="1" si="709"/>
        <v>-</v>
      </c>
      <c r="AO838" s="815">
        <v>1</v>
      </c>
      <c r="AP838" s="816" t="str">
        <f t="shared" ca="1" si="710"/>
        <v>-</v>
      </c>
      <c r="AQ838" s="817"/>
      <c r="AR838" s="794" t="str">
        <f t="shared" si="711"/>
        <v>-</v>
      </c>
      <c r="AS838" s="818"/>
      <c r="AT838" s="794" t="str">
        <f t="shared" si="712"/>
        <v>-</v>
      </c>
      <c r="AU838" s="819"/>
      <c r="AV838" s="865"/>
      <c r="AW838" s="821"/>
      <c r="AX838" s="821"/>
      <c r="AY838" s="969" t="str">
        <f t="shared" si="713"/>
        <v>-</v>
      </c>
      <c r="AZ838" s="966" t="str">
        <f t="shared" si="714"/>
        <v>-</v>
      </c>
      <c r="BA838" s="971" t="str">
        <f t="shared" si="715"/>
        <v>-</v>
      </c>
      <c r="BB838" s="975"/>
      <c r="BC838" s="821"/>
      <c r="BD838" s="821"/>
      <c r="BE838" s="963" t="str">
        <f t="shared" si="716"/>
        <v>-</v>
      </c>
      <c r="BF838" s="984"/>
      <c r="BG838" s="988"/>
      <c r="BH838" s="982"/>
      <c r="BI838" s="991"/>
      <c r="BJ838" s="991"/>
      <c r="BK838" s="993" t="str">
        <f t="shared" si="717"/>
        <v>-</v>
      </c>
      <c r="BL838" s="865"/>
      <c r="BM838" s="821"/>
      <c r="BN838" s="822" t="str">
        <f t="shared" si="718"/>
        <v>-</v>
      </c>
      <c r="BO838" s="823" t="str">
        <f t="shared" si="719"/>
        <v>-</v>
      </c>
      <c r="BP838" s="868"/>
      <c r="BQ838" s="821"/>
      <c r="BR838" s="822" t="str">
        <f t="shared" si="720"/>
        <v>-</v>
      </c>
      <c r="BS838" s="823" t="str">
        <f t="shared" si="721"/>
        <v>-</v>
      </c>
      <c r="BT838" s="825" t="str">
        <f t="shared" ca="1" si="722"/>
        <v>-</v>
      </c>
      <c r="BU838" s="860">
        <v>43003</v>
      </c>
      <c r="BV838" s="827">
        <v>2</v>
      </c>
      <c r="BW838" s="828">
        <f t="shared" si="723"/>
        <v>13</v>
      </c>
      <c r="BX838" s="829">
        <f t="shared" ca="1" si="724"/>
        <v>131</v>
      </c>
      <c r="BY838" s="830" t="str">
        <f t="shared" ca="1" si="725"/>
        <v>-</v>
      </c>
      <c r="BZ838" s="831">
        <v>43050</v>
      </c>
      <c r="CA838" s="832">
        <v>5</v>
      </c>
      <c r="CB838" s="833">
        <f t="shared" ca="1" si="726"/>
        <v>84</v>
      </c>
      <c r="CC838" s="834" t="str">
        <f t="shared" ca="1" si="727"/>
        <v>ТРЕБУЕТСЯ БУСТЕРНАЯ ДОЗА</v>
      </c>
      <c r="CD838" s="835">
        <f t="shared" si="728"/>
        <v>43071</v>
      </c>
      <c r="CE838" s="839"/>
      <c r="CF838" s="832"/>
      <c r="CG838" s="833" t="str">
        <f t="shared" si="729"/>
        <v>-</v>
      </c>
      <c r="CH838" s="836" t="str">
        <f t="shared" si="730"/>
        <v>-</v>
      </c>
      <c r="CI838" s="837" t="str">
        <f t="shared" si="731"/>
        <v>-</v>
      </c>
      <c r="CJ838" s="838" t="str">
        <f t="shared" si="732"/>
        <v>-</v>
      </c>
      <c r="CK838" s="831"/>
      <c r="CL838" s="832"/>
      <c r="CM838" s="833" t="str">
        <f t="shared" si="733"/>
        <v>-</v>
      </c>
      <c r="CN838" s="834" t="str">
        <f t="shared" si="734"/>
        <v>-</v>
      </c>
      <c r="CO838" s="830" t="str">
        <f t="shared" ca="1" si="735"/>
        <v>-</v>
      </c>
      <c r="CP838" s="839"/>
      <c r="CQ838" s="832"/>
      <c r="CR838" s="833" t="str">
        <f t="shared" si="736"/>
        <v>-</v>
      </c>
      <c r="CS838" s="833" t="str">
        <f t="shared" si="737"/>
        <v>-</v>
      </c>
      <c r="CT838" s="834" t="str">
        <f t="shared" si="738"/>
        <v>-</v>
      </c>
      <c r="CU838" s="835" t="str">
        <f t="shared" si="739"/>
        <v>-</v>
      </c>
      <c r="CV838" s="839"/>
      <c r="CW838" s="832"/>
      <c r="CX838" s="833" t="str">
        <f t="shared" si="740"/>
        <v>-</v>
      </c>
      <c r="CY838" s="840" t="str">
        <f t="shared" si="741"/>
        <v>-</v>
      </c>
      <c r="CZ838" s="833" t="str">
        <f t="shared" si="742"/>
        <v>-</v>
      </c>
      <c r="DA838" s="838" t="str">
        <f t="shared" ca="1" si="743"/>
        <v>-</v>
      </c>
      <c r="DB838" s="841"/>
      <c r="DC838" s="832"/>
    </row>
    <row r="839" spans="1:107" ht="15.95" customHeight="1" x14ac:dyDescent="0.25">
      <c r="A839" s="790">
        <v>843</v>
      </c>
      <c r="B839" s="791">
        <f t="shared" ca="1" si="692"/>
        <v>43134</v>
      </c>
      <c r="C839" s="29" t="s">
        <v>3340</v>
      </c>
      <c r="D839" s="59" t="s">
        <v>1635</v>
      </c>
      <c r="E839" s="794" t="s">
        <v>1563</v>
      </c>
      <c r="F839" s="795" t="s">
        <v>3140</v>
      </c>
      <c r="G839" s="845"/>
      <c r="H839" s="797" t="s">
        <v>603</v>
      </c>
      <c r="I839" s="798">
        <v>42991</v>
      </c>
      <c r="J839" s="799">
        <f t="shared" ca="1" si="693"/>
        <v>0.39178082191780822</v>
      </c>
      <c r="K839" s="799">
        <f t="shared" ca="1" si="694"/>
        <v>4.7666666666666666</v>
      </c>
      <c r="L839" s="800">
        <f t="shared" ca="1" si="695"/>
        <v>143</v>
      </c>
      <c r="M839" s="801"/>
      <c r="N839" s="802"/>
      <c r="O839" s="803" t="str">
        <f t="shared" ca="1" si="696"/>
        <v>-</v>
      </c>
      <c r="P839" s="804"/>
      <c r="Q839" s="805"/>
      <c r="R839" s="806"/>
      <c r="S839" s="807"/>
      <c r="T839" s="798"/>
      <c r="U839" s="798" t="str">
        <f t="shared" si="697"/>
        <v>-</v>
      </c>
      <c r="V839" s="804" t="str">
        <f t="shared" ca="1" si="698"/>
        <v>-</v>
      </c>
      <c r="W839" s="808">
        <v>0</v>
      </c>
      <c r="X839" s="794" t="str">
        <f t="shared" si="691"/>
        <v>-</v>
      </c>
      <c r="Y839" s="808">
        <v>0</v>
      </c>
      <c r="Z839" s="809" t="str">
        <f t="shared" ca="1" si="699"/>
        <v>-----</v>
      </c>
      <c r="AA839" s="810">
        <f t="shared" ca="1" si="700"/>
        <v>43134</v>
      </c>
      <c r="AB839" s="804"/>
      <c r="AC839" s="811" t="str">
        <f t="shared" ca="1" si="701"/>
        <v>-----</v>
      </c>
      <c r="AD839" s="798"/>
      <c r="AE839" s="794" t="str">
        <f t="shared" ca="1" si="702"/>
        <v>-</v>
      </c>
      <c r="AF839" s="798" t="str">
        <f t="shared" si="703"/>
        <v>-</v>
      </c>
      <c r="AG839" s="812" t="str">
        <f t="shared" si="704"/>
        <v>---------</v>
      </c>
      <c r="AH839" s="807"/>
      <c r="AI839" s="807" t="str">
        <f t="shared" si="705"/>
        <v>-</v>
      </c>
      <c r="AJ839" s="807" t="str">
        <f t="shared" si="706"/>
        <v>-</v>
      </c>
      <c r="AK839" s="813"/>
      <c r="AL839" s="807" t="str">
        <f t="shared" si="707"/>
        <v>-</v>
      </c>
      <c r="AM839" s="807" t="str">
        <f t="shared" si="708"/>
        <v>-</v>
      </c>
      <c r="AN839" s="814" t="str">
        <f t="shared" ca="1" si="709"/>
        <v>-</v>
      </c>
      <c r="AO839" s="815">
        <v>1</v>
      </c>
      <c r="AP839" s="816" t="str">
        <f t="shared" ca="1" si="710"/>
        <v>-</v>
      </c>
      <c r="AQ839" s="817"/>
      <c r="AR839" s="794" t="str">
        <f t="shared" si="711"/>
        <v>-</v>
      </c>
      <c r="AS839" s="818"/>
      <c r="AT839" s="794" t="str">
        <f t="shared" si="712"/>
        <v>-</v>
      </c>
      <c r="AU839" s="819"/>
      <c r="AV839" s="865"/>
      <c r="AW839" s="821"/>
      <c r="AX839" s="821"/>
      <c r="AY839" s="969" t="str">
        <f t="shared" si="713"/>
        <v>-</v>
      </c>
      <c r="AZ839" s="966" t="str">
        <f t="shared" si="714"/>
        <v>-</v>
      </c>
      <c r="BA839" s="971" t="str">
        <f t="shared" si="715"/>
        <v>-</v>
      </c>
      <c r="BB839" s="975"/>
      <c r="BC839" s="821"/>
      <c r="BD839" s="821"/>
      <c r="BE839" s="963" t="str">
        <f t="shared" si="716"/>
        <v>-</v>
      </c>
      <c r="BF839" s="984"/>
      <c r="BG839" s="988"/>
      <c r="BH839" s="982"/>
      <c r="BI839" s="991"/>
      <c r="BJ839" s="991"/>
      <c r="BK839" s="993" t="str">
        <f t="shared" si="717"/>
        <v>-</v>
      </c>
      <c r="BL839" s="865"/>
      <c r="BM839" s="821"/>
      <c r="BN839" s="822" t="str">
        <f t="shared" si="718"/>
        <v>-</v>
      </c>
      <c r="BO839" s="823" t="str">
        <f t="shared" si="719"/>
        <v>-</v>
      </c>
      <c r="BP839" s="868"/>
      <c r="BQ839" s="821"/>
      <c r="BR839" s="822" t="str">
        <f t="shared" si="720"/>
        <v>-</v>
      </c>
      <c r="BS839" s="823" t="str">
        <f t="shared" si="721"/>
        <v>-</v>
      </c>
      <c r="BT839" s="825" t="str">
        <f t="shared" ca="1" si="722"/>
        <v>-</v>
      </c>
      <c r="BU839" s="860">
        <v>43003</v>
      </c>
      <c r="BV839" s="827">
        <v>2</v>
      </c>
      <c r="BW839" s="828">
        <f t="shared" si="723"/>
        <v>12</v>
      </c>
      <c r="BX839" s="829">
        <f t="shared" ca="1" si="724"/>
        <v>131</v>
      </c>
      <c r="BY839" s="830" t="str">
        <f t="shared" ca="1" si="725"/>
        <v>-</v>
      </c>
      <c r="BZ839" s="831">
        <v>43050</v>
      </c>
      <c r="CA839" s="832">
        <v>5</v>
      </c>
      <c r="CB839" s="833">
        <f t="shared" ca="1" si="726"/>
        <v>84</v>
      </c>
      <c r="CC839" s="834" t="str">
        <f t="shared" ca="1" si="727"/>
        <v>ТРЕБУЕТСЯ БУСТЕРНАЯ ДОЗА</v>
      </c>
      <c r="CD839" s="835">
        <f t="shared" si="728"/>
        <v>43071</v>
      </c>
      <c r="CE839" s="839"/>
      <c r="CF839" s="832"/>
      <c r="CG839" s="833" t="str">
        <f t="shared" si="729"/>
        <v>-</v>
      </c>
      <c r="CH839" s="836" t="str">
        <f t="shared" si="730"/>
        <v>-</v>
      </c>
      <c r="CI839" s="837" t="str">
        <f t="shared" si="731"/>
        <v>-</v>
      </c>
      <c r="CJ839" s="838" t="str">
        <f t="shared" si="732"/>
        <v>-</v>
      </c>
      <c r="CK839" s="831"/>
      <c r="CL839" s="832"/>
      <c r="CM839" s="833" t="str">
        <f t="shared" si="733"/>
        <v>-</v>
      </c>
      <c r="CN839" s="834" t="str">
        <f t="shared" si="734"/>
        <v>-</v>
      </c>
      <c r="CO839" s="830" t="str">
        <f t="shared" ca="1" si="735"/>
        <v>-</v>
      </c>
      <c r="CP839" s="839"/>
      <c r="CQ839" s="832"/>
      <c r="CR839" s="833" t="str">
        <f t="shared" si="736"/>
        <v>-</v>
      </c>
      <c r="CS839" s="833" t="str">
        <f t="shared" si="737"/>
        <v>-</v>
      </c>
      <c r="CT839" s="834" t="str">
        <f t="shared" si="738"/>
        <v>-</v>
      </c>
      <c r="CU839" s="835" t="str">
        <f t="shared" si="739"/>
        <v>-</v>
      </c>
      <c r="CV839" s="839"/>
      <c r="CW839" s="832"/>
      <c r="CX839" s="833" t="str">
        <f t="shared" si="740"/>
        <v>-</v>
      </c>
      <c r="CY839" s="840" t="str">
        <f t="shared" si="741"/>
        <v>-</v>
      </c>
      <c r="CZ839" s="833" t="str">
        <f t="shared" si="742"/>
        <v>-</v>
      </c>
      <c r="DA839" s="838" t="str">
        <f t="shared" ca="1" si="743"/>
        <v>-</v>
      </c>
      <c r="DB839" s="841"/>
      <c r="DC839" s="832"/>
    </row>
    <row r="840" spans="1:107" ht="15.95" customHeight="1" x14ac:dyDescent="0.25">
      <c r="A840" s="790">
        <v>844</v>
      </c>
      <c r="B840" s="791">
        <f t="shared" ca="1" si="692"/>
        <v>43134</v>
      </c>
      <c r="C840" s="29" t="s">
        <v>3340</v>
      </c>
      <c r="D840" s="59" t="s">
        <v>1635</v>
      </c>
      <c r="E840" s="794" t="s">
        <v>1563</v>
      </c>
      <c r="F840" s="795" t="s">
        <v>3141</v>
      </c>
      <c r="G840" s="845"/>
      <c r="H840" s="797" t="s">
        <v>603</v>
      </c>
      <c r="I840" s="798">
        <v>42992</v>
      </c>
      <c r="J840" s="799">
        <f t="shared" ca="1" si="693"/>
        <v>0.38904109589041097</v>
      </c>
      <c r="K840" s="799">
        <f t="shared" ca="1" si="694"/>
        <v>4.7333333333333334</v>
      </c>
      <c r="L840" s="800">
        <f t="shared" ca="1" si="695"/>
        <v>142</v>
      </c>
      <c r="M840" s="801"/>
      <c r="N840" s="802"/>
      <c r="O840" s="803" t="str">
        <f t="shared" ca="1" si="696"/>
        <v>-</v>
      </c>
      <c r="P840" s="804"/>
      <c r="Q840" s="805"/>
      <c r="R840" s="806"/>
      <c r="S840" s="807"/>
      <c r="T840" s="798"/>
      <c r="U840" s="798" t="str">
        <f t="shared" si="697"/>
        <v>-</v>
      </c>
      <c r="V840" s="804" t="str">
        <f t="shared" ca="1" si="698"/>
        <v>-</v>
      </c>
      <c r="W840" s="808">
        <v>0</v>
      </c>
      <c r="X840" s="794" t="str">
        <f t="shared" si="691"/>
        <v>-</v>
      </c>
      <c r="Y840" s="808">
        <v>0</v>
      </c>
      <c r="Z840" s="809" t="str">
        <f t="shared" ca="1" si="699"/>
        <v>-----</v>
      </c>
      <c r="AA840" s="810">
        <f t="shared" ca="1" si="700"/>
        <v>43134</v>
      </c>
      <c r="AB840" s="804"/>
      <c r="AC840" s="811" t="str">
        <f t="shared" ca="1" si="701"/>
        <v>-----</v>
      </c>
      <c r="AD840" s="798"/>
      <c r="AE840" s="794" t="str">
        <f t="shared" ca="1" si="702"/>
        <v>-</v>
      </c>
      <c r="AF840" s="798" t="str">
        <f t="shared" si="703"/>
        <v>-</v>
      </c>
      <c r="AG840" s="812" t="str">
        <f t="shared" si="704"/>
        <v>---------</v>
      </c>
      <c r="AH840" s="807"/>
      <c r="AI840" s="807" t="str">
        <f t="shared" si="705"/>
        <v>-</v>
      </c>
      <c r="AJ840" s="807" t="str">
        <f t="shared" si="706"/>
        <v>-</v>
      </c>
      <c r="AK840" s="813"/>
      <c r="AL840" s="807" t="str">
        <f t="shared" si="707"/>
        <v>-</v>
      </c>
      <c r="AM840" s="807" t="str">
        <f t="shared" si="708"/>
        <v>-</v>
      </c>
      <c r="AN840" s="814" t="str">
        <f t="shared" ca="1" si="709"/>
        <v>-</v>
      </c>
      <c r="AO840" s="815">
        <v>1</v>
      </c>
      <c r="AP840" s="816" t="str">
        <f t="shared" ca="1" si="710"/>
        <v>-</v>
      </c>
      <c r="AQ840" s="817"/>
      <c r="AR840" s="794" t="str">
        <f t="shared" si="711"/>
        <v>-</v>
      </c>
      <c r="AS840" s="818"/>
      <c r="AT840" s="794" t="str">
        <f t="shared" si="712"/>
        <v>-</v>
      </c>
      <c r="AU840" s="819"/>
      <c r="AV840" s="865"/>
      <c r="AW840" s="821"/>
      <c r="AX840" s="821"/>
      <c r="AY840" s="969" t="str">
        <f t="shared" si="713"/>
        <v>-</v>
      </c>
      <c r="AZ840" s="966" t="str">
        <f t="shared" si="714"/>
        <v>-</v>
      </c>
      <c r="BA840" s="971" t="str">
        <f t="shared" si="715"/>
        <v>-</v>
      </c>
      <c r="BB840" s="975"/>
      <c r="BC840" s="821"/>
      <c r="BD840" s="821"/>
      <c r="BE840" s="963" t="str">
        <f t="shared" si="716"/>
        <v>-</v>
      </c>
      <c r="BF840" s="984"/>
      <c r="BG840" s="988"/>
      <c r="BH840" s="982"/>
      <c r="BI840" s="991"/>
      <c r="BJ840" s="991"/>
      <c r="BK840" s="993" t="str">
        <f t="shared" si="717"/>
        <v>-</v>
      </c>
      <c r="BL840" s="865"/>
      <c r="BM840" s="821"/>
      <c r="BN840" s="822" t="str">
        <f t="shared" si="718"/>
        <v>-</v>
      </c>
      <c r="BO840" s="823" t="str">
        <f t="shared" si="719"/>
        <v>-</v>
      </c>
      <c r="BP840" s="868"/>
      <c r="BQ840" s="821"/>
      <c r="BR840" s="822" t="str">
        <f t="shared" si="720"/>
        <v>-</v>
      </c>
      <c r="BS840" s="823" t="str">
        <f t="shared" si="721"/>
        <v>-</v>
      </c>
      <c r="BT840" s="825" t="str">
        <f t="shared" ca="1" si="722"/>
        <v>-</v>
      </c>
      <c r="BU840" s="860">
        <v>43003</v>
      </c>
      <c r="BV840" s="827">
        <v>2</v>
      </c>
      <c r="BW840" s="828">
        <f t="shared" si="723"/>
        <v>11</v>
      </c>
      <c r="BX840" s="829">
        <f t="shared" ca="1" si="724"/>
        <v>131</v>
      </c>
      <c r="BY840" s="830" t="str">
        <f t="shared" ca="1" si="725"/>
        <v>ПОДЛЕЖИТ ВАКЦИНАЦИИ</v>
      </c>
      <c r="BZ840" s="999" t="s">
        <v>3455</v>
      </c>
      <c r="CA840" s="832"/>
      <c r="CB840" s="833" t="str">
        <f t="shared" si="726"/>
        <v>-</v>
      </c>
      <c r="CC840" s="834" t="str">
        <f t="shared" si="727"/>
        <v>-</v>
      </c>
      <c r="CD840" s="835" t="str">
        <f t="shared" si="728"/>
        <v>-</v>
      </c>
      <c r="CE840" s="839"/>
      <c r="CF840" s="832"/>
      <c r="CG840" s="833" t="str">
        <f t="shared" si="729"/>
        <v>-</v>
      </c>
      <c r="CH840" s="836" t="str">
        <f t="shared" si="730"/>
        <v>-</v>
      </c>
      <c r="CI840" s="837" t="str">
        <f t="shared" si="731"/>
        <v>-</v>
      </c>
      <c r="CJ840" s="838" t="str">
        <f t="shared" si="732"/>
        <v>-</v>
      </c>
      <c r="CK840" s="831"/>
      <c r="CL840" s="832"/>
      <c r="CM840" s="833" t="str">
        <f t="shared" si="733"/>
        <v>-</v>
      </c>
      <c r="CN840" s="834" t="str">
        <f t="shared" si="734"/>
        <v>-</v>
      </c>
      <c r="CO840" s="830" t="str">
        <f t="shared" ca="1" si="735"/>
        <v>-</v>
      </c>
      <c r="CP840" s="839"/>
      <c r="CQ840" s="832"/>
      <c r="CR840" s="833" t="str">
        <f t="shared" si="736"/>
        <v>-</v>
      </c>
      <c r="CS840" s="833" t="str">
        <f t="shared" si="737"/>
        <v>-</v>
      </c>
      <c r="CT840" s="834" t="str">
        <f t="shared" si="738"/>
        <v>-</v>
      </c>
      <c r="CU840" s="835" t="str">
        <f t="shared" si="739"/>
        <v>-</v>
      </c>
      <c r="CV840" s="839"/>
      <c r="CW840" s="832"/>
      <c r="CX840" s="833" t="str">
        <f t="shared" si="740"/>
        <v>-</v>
      </c>
      <c r="CY840" s="840" t="str">
        <f t="shared" si="741"/>
        <v>-</v>
      </c>
      <c r="CZ840" s="833" t="str">
        <f t="shared" si="742"/>
        <v>-</v>
      </c>
      <c r="DA840" s="838" t="str">
        <f t="shared" ca="1" si="743"/>
        <v>-</v>
      </c>
      <c r="DB840" s="841"/>
      <c r="DC840" s="832"/>
    </row>
    <row r="841" spans="1:107" ht="15.95" customHeight="1" x14ac:dyDescent="0.25">
      <c r="A841" s="790">
        <v>845</v>
      </c>
      <c r="B841" s="791">
        <f t="shared" ca="1" si="692"/>
        <v>43134</v>
      </c>
      <c r="C841" s="29" t="s">
        <v>3340</v>
      </c>
      <c r="D841" s="59" t="s">
        <v>1635</v>
      </c>
      <c r="E841" s="794" t="s">
        <v>1563</v>
      </c>
      <c r="F841" s="795" t="s">
        <v>3143</v>
      </c>
      <c r="G841" s="845"/>
      <c r="H841" s="797" t="s">
        <v>603</v>
      </c>
      <c r="I841" s="798">
        <v>42993</v>
      </c>
      <c r="J841" s="799">
        <f t="shared" ca="1" si="693"/>
        <v>0.38630136986301372</v>
      </c>
      <c r="K841" s="799">
        <f t="shared" ca="1" si="694"/>
        <v>4.7</v>
      </c>
      <c r="L841" s="800">
        <f t="shared" ca="1" si="695"/>
        <v>141</v>
      </c>
      <c r="M841" s="801"/>
      <c r="N841" s="802"/>
      <c r="O841" s="803" t="str">
        <f t="shared" ca="1" si="696"/>
        <v>-</v>
      </c>
      <c r="P841" s="804"/>
      <c r="Q841" s="805"/>
      <c r="R841" s="806"/>
      <c r="S841" s="807"/>
      <c r="T841" s="798"/>
      <c r="U841" s="798" t="str">
        <f t="shared" si="697"/>
        <v>-</v>
      </c>
      <c r="V841" s="804" t="str">
        <f t="shared" ca="1" si="698"/>
        <v>-</v>
      </c>
      <c r="W841" s="808">
        <v>0</v>
      </c>
      <c r="X841" s="794" t="str">
        <f t="shared" si="691"/>
        <v>-</v>
      </c>
      <c r="Y841" s="808">
        <v>0</v>
      </c>
      <c r="Z841" s="809" t="str">
        <f t="shared" ca="1" si="699"/>
        <v>-----</v>
      </c>
      <c r="AA841" s="810">
        <f t="shared" ca="1" si="700"/>
        <v>43134</v>
      </c>
      <c r="AB841" s="804"/>
      <c r="AC841" s="811" t="str">
        <f t="shared" ca="1" si="701"/>
        <v>-----</v>
      </c>
      <c r="AD841" s="798"/>
      <c r="AE841" s="794" t="str">
        <f t="shared" ca="1" si="702"/>
        <v>-</v>
      </c>
      <c r="AF841" s="798" t="str">
        <f t="shared" si="703"/>
        <v>-</v>
      </c>
      <c r="AG841" s="812" t="str">
        <f t="shared" si="704"/>
        <v>---------</v>
      </c>
      <c r="AH841" s="807"/>
      <c r="AI841" s="807" t="str">
        <f t="shared" si="705"/>
        <v>-</v>
      </c>
      <c r="AJ841" s="807" t="str">
        <f t="shared" si="706"/>
        <v>-</v>
      </c>
      <c r="AK841" s="813"/>
      <c r="AL841" s="807" t="str">
        <f t="shared" si="707"/>
        <v>-</v>
      </c>
      <c r="AM841" s="807" t="str">
        <f t="shared" si="708"/>
        <v>-</v>
      </c>
      <c r="AN841" s="814" t="str">
        <f t="shared" ca="1" si="709"/>
        <v>-</v>
      </c>
      <c r="AO841" s="815">
        <v>1</v>
      </c>
      <c r="AP841" s="816" t="str">
        <f t="shared" ca="1" si="710"/>
        <v>-</v>
      </c>
      <c r="AQ841" s="817"/>
      <c r="AR841" s="794" t="str">
        <f t="shared" si="711"/>
        <v>-</v>
      </c>
      <c r="AS841" s="818"/>
      <c r="AT841" s="794" t="str">
        <f t="shared" si="712"/>
        <v>-</v>
      </c>
      <c r="AU841" s="819"/>
      <c r="AV841" s="865"/>
      <c r="AW841" s="821"/>
      <c r="AX841" s="821"/>
      <c r="AY841" s="969" t="str">
        <f t="shared" si="713"/>
        <v>-</v>
      </c>
      <c r="AZ841" s="966" t="str">
        <f t="shared" si="714"/>
        <v>-</v>
      </c>
      <c r="BA841" s="971" t="str">
        <f t="shared" si="715"/>
        <v>-</v>
      </c>
      <c r="BB841" s="975"/>
      <c r="BC841" s="821"/>
      <c r="BD841" s="821"/>
      <c r="BE841" s="963" t="str">
        <f t="shared" si="716"/>
        <v>-</v>
      </c>
      <c r="BF841" s="984"/>
      <c r="BG841" s="988"/>
      <c r="BH841" s="982"/>
      <c r="BI841" s="991"/>
      <c r="BJ841" s="991"/>
      <c r="BK841" s="993" t="str">
        <f t="shared" si="717"/>
        <v>-</v>
      </c>
      <c r="BL841" s="865"/>
      <c r="BM841" s="821"/>
      <c r="BN841" s="822" t="str">
        <f t="shared" si="718"/>
        <v>-</v>
      </c>
      <c r="BO841" s="823" t="str">
        <f t="shared" si="719"/>
        <v>-</v>
      </c>
      <c r="BP841" s="868"/>
      <c r="BQ841" s="821"/>
      <c r="BR841" s="822" t="str">
        <f t="shared" si="720"/>
        <v>-</v>
      </c>
      <c r="BS841" s="823" t="str">
        <f t="shared" si="721"/>
        <v>-</v>
      </c>
      <c r="BT841" s="825" t="str">
        <f t="shared" ca="1" si="722"/>
        <v>-</v>
      </c>
      <c r="BU841" s="860">
        <v>43003</v>
      </c>
      <c r="BV841" s="827">
        <v>2</v>
      </c>
      <c r="BW841" s="828">
        <f t="shared" si="723"/>
        <v>10</v>
      </c>
      <c r="BX841" s="829">
        <f t="shared" ca="1" si="724"/>
        <v>131</v>
      </c>
      <c r="BY841" s="830" t="str">
        <f t="shared" ca="1" si="725"/>
        <v>-</v>
      </c>
      <c r="BZ841" s="831">
        <v>43050</v>
      </c>
      <c r="CA841" s="832">
        <v>5</v>
      </c>
      <c r="CB841" s="833">
        <f t="shared" ca="1" si="726"/>
        <v>84</v>
      </c>
      <c r="CC841" s="834" t="str">
        <f t="shared" ca="1" si="727"/>
        <v>ТРЕБУЕТСЯ БУСТЕРНАЯ ДОЗА</v>
      </c>
      <c r="CD841" s="835">
        <f t="shared" si="728"/>
        <v>43071</v>
      </c>
      <c r="CE841" s="839"/>
      <c r="CF841" s="832"/>
      <c r="CG841" s="833" t="str">
        <f t="shared" si="729"/>
        <v>-</v>
      </c>
      <c r="CH841" s="836" t="str">
        <f t="shared" si="730"/>
        <v>-</v>
      </c>
      <c r="CI841" s="837" t="str">
        <f t="shared" si="731"/>
        <v>-</v>
      </c>
      <c r="CJ841" s="838" t="str">
        <f t="shared" si="732"/>
        <v>-</v>
      </c>
      <c r="CK841" s="831"/>
      <c r="CL841" s="832"/>
      <c r="CM841" s="833" t="str">
        <f t="shared" si="733"/>
        <v>-</v>
      </c>
      <c r="CN841" s="834" t="str">
        <f t="shared" si="734"/>
        <v>-</v>
      </c>
      <c r="CO841" s="830" t="str">
        <f t="shared" ca="1" si="735"/>
        <v>-</v>
      </c>
      <c r="CP841" s="839"/>
      <c r="CQ841" s="832"/>
      <c r="CR841" s="833" t="str">
        <f t="shared" si="736"/>
        <v>-</v>
      </c>
      <c r="CS841" s="833" t="str">
        <f t="shared" si="737"/>
        <v>-</v>
      </c>
      <c r="CT841" s="834" t="str">
        <f t="shared" si="738"/>
        <v>-</v>
      </c>
      <c r="CU841" s="835" t="str">
        <f t="shared" si="739"/>
        <v>-</v>
      </c>
      <c r="CV841" s="839"/>
      <c r="CW841" s="832"/>
      <c r="CX841" s="833" t="str">
        <f t="shared" si="740"/>
        <v>-</v>
      </c>
      <c r="CY841" s="840" t="str">
        <f t="shared" si="741"/>
        <v>-</v>
      </c>
      <c r="CZ841" s="833" t="str">
        <f t="shared" si="742"/>
        <v>-</v>
      </c>
      <c r="DA841" s="838" t="str">
        <f t="shared" ca="1" si="743"/>
        <v>-</v>
      </c>
      <c r="DB841" s="841"/>
      <c r="DC841" s="832"/>
    </row>
    <row r="842" spans="1:107" ht="15.95" customHeight="1" x14ac:dyDescent="0.25">
      <c r="A842" s="790">
        <v>846</v>
      </c>
      <c r="B842" s="791">
        <f t="shared" ca="1" si="692"/>
        <v>43134</v>
      </c>
      <c r="C842" s="29" t="s">
        <v>3340</v>
      </c>
      <c r="D842" s="59" t="s">
        <v>1635</v>
      </c>
      <c r="E842" s="794" t="s">
        <v>1563</v>
      </c>
      <c r="F842" s="795" t="s">
        <v>3146</v>
      </c>
      <c r="G842" s="845"/>
      <c r="H842" s="797" t="s">
        <v>603</v>
      </c>
      <c r="I842" s="798">
        <v>42994</v>
      </c>
      <c r="J842" s="799">
        <f t="shared" ca="1" si="693"/>
        <v>0.38356164383561642</v>
      </c>
      <c r="K842" s="799">
        <f t="shared" ca="1" si="694"/>
        <v>4.666666666666667</v>
      </c>
      <c r="L842" s="800">
        <f t="shared" ca="1" si="695"/>
        <v>140</v>
      </c>
      <c r="M842" s="801"/>
      <c r="N842" s="802"/>
      <c r="O842" s="803" t="str">
        <f t="shared" ca="1" si="696"/>
        <v>-</v>
      </c>
      <c r="P842" s="804"/>
      <c r="Q842" s="805"/>
      <c r="R842" s="806"/>
      <c r="S842" s="807"/>
      <c r="T842" s="798"/>
      <c r="U842" s="798" t="str">
        <f t="shared" si="697"/>
        <v>-</v>
      </c>
      <c r="V842" s="804" t="str">
        <f t="shared" ca="1" si="698"/>
        <v>-</v>
      </c>
      <c r="W842" s="808">
        <v>0</v>
      </c>
      <c r="X842" s="794" t="str">
        <f t="shared" si="691"/>
        <v>-</v>
      </c>
      <c r="Y842" s="808">
        <v>0</v>
      </c>
      <c r="Z842" s="809" t="str">
        <f t="shared" ca="1" si="699"/>
        <v>-----</v>
      </c>
      <c r="AA842" s="810">
        <f t="shared" ca="1" si="700"/>
        <v>43134</v>
      </c>
      <c r="AB842" s="804"/>
      <c r="AC842" s="811" t="str">
        <f t="shared" ca="1" si="701"/>
        <v>-----</v>
      </c>
      <c r="AD842" s="798"/>
      <c r="AE842" s="794" t="str">
        <f t="shared" ca="1" si="702"/>
        <v>-</v>
      </c>
      <c r="AF842" s="798" t="str">
        <f t="shared" si="703"/>
        <v>-</v>
      </c>
      <c r="AG842" s="812" t="str">
        <f t="shared" si="704"/>
        <v>---------</v>
      </c>
      <c r="AH842" s="807"/>
      <c r="AI842" s="807" t="str">
        <f t="shared" si="705"/>
        <v>-</v>
      </c>
      <c r="AJ842" s="807" t="str">
        <f t="shared" si="706"/>
        <v>-</v>
      </c>
      <c r="AK842" s="813"/>
      <c r="AL842" s="807" t="str">
        <f t="shared" si="707"/>
        <v>-</v>
      </c>
      <c r="AM842" s="807" t="str">
        <f t="shared" si="708"/>
        <v>-</v>
      </c>
      <c r="AN842" s="814" t="str">
        <f t="shared" ca="1" si="709"/>
        <v>-</v>
      </c>
      <c r="AO842" s="815">
        <v>1</v>
      </c>
      <c r="AP842" s="816" t="str">
        <f t="shared" ca="1" si="710"/>
        <v>-</v>
      </c>
      <c r="AQ842" s="817"/>
      <c r="AR842" s="794" t="str">
        <f t="shared" si="711"/>
        <v>-</v>
      </c>
      <c r="AS842" s="818"/>
      <c r="AT842" s="794" t="str">
        <f t="shared" si="712"/>
        <v>-</v>
      </c>
      <c r="AU842" s="819"/>
      <c r="AV842" s="865"/>
      <c r="AW842" s="821"/>
      <c r="AX842" s="821"/>
      <c r="AY842" s="969" t="str">
        <f t="shared" si="713"/>
        <v>-</v>
      </c>
      <c r="AZ842" s="966" t="str">
        <f t="shared" si="714"/>
        <v>-</v>
      </c>
      <c r="BA842" s="971" t="str">
        <f t="shared" si="715"/>
        <v>-</v>
      </c>
      <c r="BB842" s="975"/>
      <c r="BC842" s="821"/>
      <c r="BD842" s="821"/>
      <c r="BE842" s="963" t="str">
        <f t="shared" si="716"/>
        <v>-</v>
      </c>
      <c r="BF842" s="984"/>
      <c r="BG842" s="988"/>
      <c r="BH842" s="982"/>
      <c r="BI842" s="991"/>
      <c r="BJ842" s="991"/>
      <c r="BK842" s="993" t="str">
        <f t="shared" si="717"/>
        <v>-</v>
      </c>
      <c r="BL842" s="865"/>
      <c r="BM842" s="821"/>
      <c r="BN842" s="822" t="str">
        <f t="shared" si="718"/>
        <v>-</v>
      </c>
      <c r="BO842" s="823" t="str">
        <f t="shared" si="719"/>
        <v>-</v>
      </c>
      <c r="BP842" s="868"/>
      <c r="BQ842" s="821"/>
      <c r="BR842" s="822" t="str">
        <f t="shared" si="720"/>
        <v>-</v>
      </c>
      <c r="BS842" s="823" t="str">
        <f t="shared" si="721"/>
        <v>-</v>
      </c>
      <c r="BT842" s="825" t="str">
        <f t="shared" ca="1" si="722"/>
        <v>-</v>
      </c>
      <c r="BU842" s="860">
        <v>43003</v>
      </c>
      <c r="BV842" s="827">
        <v>2</v>
      </c>
      <c r="BW842" s="828">
        <f t="shared" si="723"/>
        <v>9</v>
      </c>
      <c r="BX842" s="829">
        <f t="shared" ca="1" si="724"/>
        <v>131</v>
      </c>
      <c r="BY842" s="830" t="str">
        <f t="shared" ca="1" si="725"/>
        <v>-</v>
      </c>
      <c r="BZ842" s="831">
        <v>43050</v>
      </c>
      <c r="CA842" s="832">
        <v>5</v>
      </c>
      <c r="CB842" s="833">
        <f t="shared" ca="1" si="726"/>
        <v>84</v>
      </c>
      <c r="CC842" s="834" t="str">
        <f t="shared" ca="1" si="727"/>
        <v>ТРЕБУЕТСЯ БУСТЕРНАЯ ДОЗА</v>
      </c>
      <c r="CD842" s="835">
        <f t="shared" si="728"/>
        <v>43071</v>
      </c>
      <c r="CE842" s="839"/>
      <c r="CF842" s="832"/>
      <c r="CG842" s="833" t="str">
        <f t="shared" si="729"/>
        <v>-</v>
      </c>
      <c r="CH842" s="836" t="str">
        <f t="shared" si="730"/>
        <v>-</v>
      </c>
      <c r="CI842" s="837" t="str">
        <f t="shared" si="731"/>
        <v>-</v>
      </c>
      <c r="CJ842" s="838" t="str">
        <f t="shared" si="732"/>
        <v>-</v>
      </c>
      <c r="CK842" s="831"/>
      <c r="CL842" s="832"/>
      <c r="CM842" s="833" t="str">
        <f t="shared" si="733"/>
        <v>-</v>
      </c>
      <c r="CN842" s="834" t="str">
        <f t="shared" si="734"/>
        <v>-</v>
      </c>
      <c r="CO842" s="830" t="str">
        <f t="shared" ca="1" si="735"/>
        <v>-</v>
      </c>
      <c r="CP842" s="839"/>
      <c r="CQ842" s="832"/>
      <c r="CR842" s="833" t="str">
        <f t="shared" si="736"/>
        <v>-</v>
      </c>
      <c r="CS842" s="833" t="str">
        <f t="shared" si="737"/>
        <v>-</v>
      </c>
      <c r="CT842" s="834" t="str">
        <f t="shared" si="738"/>
        <v>-</v>
      </c>
      <c r="CU842" s="835" t="str">
        <f t="shared" si="739"/>
        <v>-</v>
      </c>
      <c r="CV842" s="839"/>
      <c r="CW842" s="832"/>
      <c r="CX842" s="833" t="str">
        <f t="shared" si="740"/>
        <v>-</v>
      </c>
      <c r="CY842" s="840" t="str">
        <f t="shared" si="741"/>
        <v>-</v>
      </c>
      <c r="CZ842" s="833" t="str">
        <f t="shared" si="742"/>
        <v>-</v>
      </c>
      <c r="DA842" s="838" t="str">
        <f t="shared" ca="1" si="743"/>
        <v>-</v>
      </c>
      <c r="DB842" s="841"/>
      <c r="DC842" s="832"/>
    </row>
    <row r="843" spans="1:107" ht="15.95" customHeight="1" x14ac:dyDescent="0.25">
      <c r="A843" s="790">
        <v>847</v>
      </c>
      <c r="B843" s="791">
        <f t="shared" ca="1" si="692"/>
        <v>43134</v>
      </c>
      <c r="C843" s="29" t="s">
        <v>3340</v>
      </c>
      <c r="D843" s="59" t="s">
        <v>1635</v>
      </c>
      <c r="E843" s="794" t="s">
        <v>1563</v>
      </c>
      <c r="F843" s="795" t="s">
        <v>3149</v>
      </c>
      <c r="G843" s="845"/>
      <c r="H843" s="797" t="s">
        <v>603</v>
      </c>
      <c r="I843" s="798">
        <v>42995</v>
      </c>
      <c r="J843" s="799">
        <f t="shared" ca="1" si="693"/>
        <v>0.38082191780821917</v>
      </c>
      <c r="K843" s="799">
        <f t="shared" ca="1" si="694"/>
        <v>4.6333333333333337</v>
      </c>
      <c r="L843" s="800">
        <f t="shared" ca="1" si="695"/>
        <v>139</v>
      </c>
      <c r="M843" s="801"/>
      <c r="N843" s="802"/>
      <c r="O843" s="803" t="str">
        <f t="shared" ca="1" si="696"/>
        <v>-</v>
      </c>
      <c r="P843" s="804"/>
      <c r="Q843" s="805"/>
      <c r="R843" s="806"/>
      <c r="S843" s="807"/>
      <c r="T843" s="798"/>
      <c r="U843" s="798" t="str">
        <f t="shared" si="697"/>
        <v>-</v>
      </c>
      <c r="V843" s="804" t="str">
        <f t="shared" ca="1" si="698"/>
        <v>-</v>
      </c>
      <c r="W843" s="808">
        <v>0</v>
      </c>
      <c r="X843" s="794" t="str">
        <f t="shared" si="691"/>
        <v>-</v>
      </c>
      <c r="Y843" s="808">
        <v>0</v>
      </c>
      <c r="Z843" s="809" t="str">
        <f t="shared" ca="1" si="699"/>
        <v>-----</v>
      </c>
      <c r="AA843" s="810">
        <f t="shared" ca="1" si="700"/>
        <v>43134</v>
      </c>
      <c r="AB843" s="804"/>
      <c r="AC843" s="811" t="str">
        <f t="shared" ca="1" si="701"/>
        <v>-----</v>
      </c>
      <c r="AD843" s="798"/>
      <c r="AE843" s="794" t="str">
        <f t="shared" ca="1" si="702"/>
        <v>-</v>
      </c>
      <c r="AF843" s="798" t="str">
        <f t="shared" si="703"/>
        <v>-</v>
      </c>
      <c r="AG843" s="812" t="str">
        <f t="shared" si="704"/>
        <v>---------</v>
      </c>
      <c r="AH843" s="807"/>
      <c r="AI843" s="807" t="str">
        <f t="shared" si="705"/>
        <v>-</v>
      </c>
      <c r="AJ843" s="807" t="str">
        <f t="shared" si="706"/>
        <v>-</v>
      </c>
      <c r="AK843" s="813"/>
      <c r="AL843" s="807" t="str">
        <f t="shared" si="707"/>
        <v>-</v>
      </c>
      <c r="AM843" s="807" t="str">
        <f t="shared" si="708"/>
        <v>-</v>
      </c>
      <c r="AN843" s="814" t="str">
        <f t="shared" ca="1" si="709"/>
        <v>-</v>
      </c>
      <c r="AO843" s="815">
        <v>1</v>
      </c>
      <c r="AP843" s="816" t="str">
        <f t="shared" ca="1" si="710"/>
        <v>-</v>
      </c>
      <c r="AQ843" s="817"/>
      <c r="AR843" s="794" t="str">
        <f t="shared" si="711"/>
        <v>-</v>
      </c>
      <c r="AS843" s="818"/>
      <c r="AT843" s="794" t="str">
        <f t="shared" si="712"/>
        <v>-</v>
      </c>
      <c r="AU843" s="819"/>
      <c r="AV843" s="865"/>
      <c r="AW843" s="821"/>
      <c r="AX843" s="821"/>
      <c r="AY843" s="969" t="str">
        <f t="shared" si="713"/>
        <v>-</v>
      </c>
      <c r="AZ843" s="966" t="str">
        <f t="shared" si="714"/>
        <v>-</v>
      </c>
      <c r="BA843" s="971" t="str">
        <f t="shared" si="715"/>
        <v>-</v>
      </c>
      <c r="BB843" s="975"/>
      <c r="BC843" s="821"/>
      <c r="BD843" s="821"/>
      <c r="BE843" s="963" t="str">
        <f t="shared" si="716"/>
        <v>-</v>
      </c>
      <c r="BF843" s="984"/>
      <c r="BG843" s="988"/>
      <c r="BH843" s="982"/>
      <c r="BI843" s="991"/>
      <c r="BJ843" s="991"/>
      <c r="BK843" s="993" t="str">
        <f t="shared" si="717"/>
        <v>-</v>
      </c>
      <c r="BL843" s="865"/>
      <c r="BM843" s="821"/>
      <c r="BN843" s="822" t="str">
        <f t="shared" si="718"/>
        <v>-</v>
      </c>
      <c r="BO843" s="823" t="str">
        <f t="shared" si="719"/>
        <v>-</v>
      </c>
      <c r="BP843" s="868"/>
      <c r="BQ843" s="821"/>
      <c r="BR843" s="822" t="str">
        <f t="shared" si="720"/>
        <v>-</v>
      </c>
      <c r="BS843" s="823" t="str">
        <f t="shared" si="721"/>
        <v>-</v>
      </c>
      <c r="BT843" s="825" t="str">
        <f t="shared" ca="1" si="722"/>
        <v>-</v>
      </c>
      <c r="BU843" s="860">
        <v>43003</v>
      </c>
      <c r="BV843" s="827">
        <v>2</v>
      </c>
      <c r="BW843" s="828">
        <f t="shared" si="723"/>
        <v>8</v>
      </c>
      <c r="BX843" s="829">
        <f t="shared" ca="1" si="724"/>
        <v>131</v>
      </c>
      <c r="BY843" s="830" t="str">
        <f t="shared" ca="1" si="725"/>
        <v>-</v>
      </c>
      <c r="BZ843" s="831">
        <v>43050</v>
      </c>
      <c r="CA843" s="832">
        <v>5</v>
      </c>
      <c r="CB843" s="833">
        <f t="shared" ca="1" si="726"/>
        <v>84</v>
      </c>
      <c r="CC843" s="834" t="str">
        <f t="shared" ca="1" si="727"/>
        <v>ТРЕБУЕТСЯ БУСТЕРНАЯ ДОЗА</v>
      </c>
      <c r="CD843" s="835">
        <f t="shared" si="728"/>
        <v>43071</v>
      </c>
      <c r="CE843" s="839"/>
      <c r="CF843" s="832"/>
      <c r="CG843" s="833" t="str">
        <f t="shared" si="729"/>
        <v>-</v>
      </c>
      <c r="CH843" s="836" t="str">
        <f t="shared" si="730"/>
        <v>-</v>
      </c>
      <c r="CI843" s="837" t="str">
        <f t="shared" si="731"/>
        <v>-</v>
      </c>
      <c r="CJ843" s="838" t="str">
        <f t="shared" si="732"/>
        <v>-</v>
      </c>
      <c r="CK843" s="831"/>
      <c r="CL843" s="832"/>
      <c r="CM843" s="833" t="str">
        <f t="shared" si="733"/>
        <v>-</v>
      </c>
      <c r="CN843" s="834" t="str">
        <f t="shared" si="734"/>
        <v>-</v>
      </c>
      <c r="CO843" s="830" t="str">
        <f t="shared" ca="1" si="735"/>
        <v>-</v>
      </c>
      <c r="CP843" s="839"/>
      <c r="CQ843" s="832"/>
      <c r="CR843" s="833" t="str">
        <f t="shared" si="736"/>
        <v>-</v>
      </c>
      <c r="CS843" s="833" t="str">
        <f t="shared" si="737"/>
        <v>-</v>
      </c>
      <c r="CT843" s="834" t="str">
        <f t="shared" si="738"/>
        <v>-</v>
      </c>
      <c r="CU843" s="835" t="str">
        <f t="shared" si="739"/>
        <v>-</v>
      </c>
      <c r="CV843" s="839"/>
      <c r="CW843" s="832"/>
      <c r="CX843" s="833" t="str">
        <f t="shared" si="740"/>
        <v>-</v>
      </c>
      <c r="CY843" s="840" t="str">
        <f t="shared" si="741"/>
        <v>-</v>
      </c>
      <c r="CZ843" s="833" t="str">
        <f t="shared" si="742"/>
        <v>-</v>
      </c>
      <c r="DA843" s="838" t="str">
        <f t="shared" ca="1" si="743"/>
        <v>-</v>
      </c>
      <c r="DB843" s="841"/>
      <c r="DC843" s="832"/>
    </row>
    <row r="844" spans="1:107" ht="15" customHeight="1" x14ac:dyDescent="0.25">
      <c r="A844" s="790">
        <v>848</v>
      </c>
      <c r="B844" s="791">
        <f t="shared" ca="1" si="692"/>
        <v>43134</v>
      </c>
      <c r="C844" s="29" t="s">
        <v>3340</v>
      </c>
      <c r="D844" s="59" t="s">
        <v>1635</v>
      </c>
      <c r="E844" s="794" t="s">
        <v>1563</v>
      </c>
      <c r="F844" s="795" t="s">
        <v>3150</v>
      </c>
      <c r="G844" s="845"/>
      <c r="H844" s="797" t="s">
        <v>603</v>
      </c>
      <c r="I844" s="798">
        <v>42996</v>
      </c>
      <c r="J844" s="799">
        <f t="shared" ca="1" si="693"/>
        <v>0.37808219178082192</v>
      </c>
      <c r="K844" s="799">
        <f t="shared" ca="1" si="694"/>
        <v>4.5999999999999996</v>
      </c>
      <c r="L844" s="800">
        <f t="shared" ca="1" si="695"/>
        <v>138</v>
      </c>
      <c r="M844" s="801"/>
      <c r="N844" s="802"/>
      <c r="O844" s="803" t="str">
        <f t="shared" ca="1" si="696"/>
        <v>-</v>
      </c>
      <c r="P844" s="804"/>
      <c r="Q844" s="805"/>
      <c r="R844" s="806"/>
      <c r="S844" s="807"/>
      <c r="T844" s="798"/>
      <c r="U844" s="798" t="str">
        <f t="shared" si="697"/>
        <v>-</v>
      </c>
      <c r="V844" s="804" t="str">
        <f t="shared" ca="1" si="698"/>
        <v>-</v>
      </c>
      <c r="W844" s="808">
        <v>0</v>
      </c>
      <c r="X844" s="794" t="str">
        <f t="shared" si="691"/>
        <v>-</v>
      </c>
      <c r="Y844" s="808">
        <v>0</v>
      </c>
      <c r="Z844" s="809" t="str">
        <f t="shared" ca="1" si="699"/>
        <v>-----</v>
      </c>
      <c r="AA844" s="810">
        <f t="shared" ca="1" si="700"/>
        <v>43134</v>
      </c>
      <c r="AB844" s="804"/>
      <c r="AC844" s="811" t="str">
        <f t="shared" ca="1" si="701"/>
        <v>-----</v>
      </c>
      <c r="AD844" s="798"/>
      <c r="AE844" s="794" t="str">
        <f t="shared" ca="1" si="702"/>
        <v>-</v>
      </c>
      <c r="AF844" s="798" t="str">
        <f t="shared" si="703"/>
        <v>-</v>
      </c>
      <c r="AG844" s="812" t="str">
        <f t="shared" si="704"/>
        <v>---------</v>
      </c>
      <c r="AH844" s="807"/>
      <c r="AI844" s="807" t="str">
        <f t="shared" si="705"/>
        <v>-</v>
      </c>
      <c r="AJ844" s="807" t="str">
        <f t="shared" si="706"/>
        <v>-</v>
      </c>
      <c r="AK844" s="813"/>
      <c r="AL844" s="807" t="str">
        <f t="shared" si="707"/>
        <v>-</v>
      </c>
      <c r="AM844" s="807" t="str">
        <f t="shared" si="708"/>
        <v>-</v>
      </c>
      <c r="AN844" s="814" t="str">
        <f t="shared" ca="1" si="709"/>
        <v>-</v>
      </c>
      <c r="AO844" s="815">
        <v>1</v>
      </c>
      <c r="AP844" s="816" t="str">
        <f t="shared" ca="1" si="710"/>
        <v>-</v>
      </c>
      <c r="AQ844" s="817"/>
      <c r="AR844" s="794" t="str">
        <f t="shared" si="711"/>
        <v>-</v>
      </c>
      <c r="AS844" s="818"/>
      <c r="AT844" s="794" t="str">
        <f t="shared" si="712"/>
        <v>-</v>
      </c>
      <c r="AU844" s="819"/>
      <c r="AV844" s="865"/>
      <c r="AW844" s="821"/>
      <c r="AX844" s="821"/>
      <c r="AY844" s="969" t="str">
        <f t="shared" si="713"/>
        <v>-</v>
      </c>
      <c r="AZ844" s="966" t="str">
        <f t="shared" si="714"/>
        <v>-</v>
      </c>
      <c r="BA844" s="971" t="str">
        <f t="shared" si="715"/>
        <v>-</v>
      </c>
      <c r="BB844" s="975"/>
      <c r="BC844" s="821"/>
      <c r="BD844" s="821"/>
      <c r="BE844" s="963" t="str">
        <f t="shared" si="716"/>
        <v>-</v>
      </c>
      <c r="BF844" s="984"/>
      <c r="BG844" s="988"/>
      <c r="BH844" s="982"/>
      <c r="BI844" s="991"/>
      <c r="BJ844" s="991"/>
      <c r="BK844" s="993" t="str">
        <f t="shared" si="717"/>
        <v>-</v>
      </c>
      <c r="BL844" s="865"/>
      <c r="BM844" s="821"/>
      <c r="BN844" s="822" t="str">
        <f t="shared" si="718"/>
        <v>-</v>
      </c>
      <c r="BO844" s="823" t="str">
        <f t="shared" si="719"/>
        <v>-</v>
      </c>
      <c r="BP844" s="868"/>
      <c r="BQ844" s="821"/>
      <c r="BR844" s="822" t="str">
        <f t="shared" si="720"/>
        <v>-</v>
      </c>
      <c r="BS844" s="823" t="str">
        <f t="shared" si="721"/>
        <v>-</v>
      </c>
      <c r="BT844" s="825" t="str">
        <f t="shared" ca="1" si="722"/>
        <v>-</v>
      </c>
      <c r="BU844" s="860">
        <v>43003</v>
      </c>
      <c r="BV844" s="827">
        <v>2</v>
      </c>
      <c r="BW844" s="828">
        <f t="shared" si="723"/>
        <v>7</v>
      </c>
      <c r="BX844" s="829">
        <f t="shared" ca="1" si="724"/>
        <v>131</v>
      </c>
      <c r="BY844" s="830" t="str">
        <f t="shared" ca="1" si="725"/>
        <v>-</v>
      </c>
      <c r="BZ844" s="831">
        <v>43050</v>
      </c>
      <c r="CA844" s="832">
        <v>5</v>
      </c>
      <c r="CB844" s="833">
        <f t="shared" ca="1" si="726"/>
        <v>84</v>
      </c>
      <c r="CC844" s="834" t="str">
        <f t="shared" ca="1" si="727"/>
        <v>ТРЕБУЕТСЯ БУСТЕРНАЯ ДОЗА</v>
      </c>
      <c r="CD844" s="835">
        <f t="shared" si="728"/>
        <v>43071</v>
      </c>
      <c r="CE844" s="839"/>
      <c r="CF844" s="832"/>
      <c r="CG844" s="833" t="str">
        <f t="shared" si="729"/>
        <v>-</v>
      </c>
      <c r="CH844" s="836" t="str">
        <f t="shared" si="730"/>
        <v>-</v>
      </c>
      <c r="CI844" s="837" t="str">
        <f t="shared" si="731"/>
        <v>-</v>
      </c>
      <c r="CJ844" s="838" t="str">
        <f t="shared" si="732"/>
        <v>-</v>
      </c>
      <c r="CK844" s="831"/>
      <c r="CL844" s="832"/>
      <c r="CM844" s="833" t="str">
        <f t="shared" si="733"/>
        <v>-</v>
      </c>
      <c r="CN844" s="834" t="str">
        <f t="shared" si="734"/>
        <v>-</v>
      </c>
      <c r="CO844" s="830" t="str">
        <f t="shared" ca="1" si="735"/>
        <v>-</v>
      </c>
      <c r="CP844" s="839"/>
      <c r="CQ844" s="832"/>
      <c r="CR844" s="833" t="str">
        <f t="shared" si="736"/>
        <v>-</v>
      </c>
      <c r="CS844" s="833" t="str">
        <f t="shared" si="737"/>
        <v>-</v>
      </c>
      <c r="CT844" s="834" t="str">
        <f t="shared" si="738"/>
        <v>-</v>
      </c>
      <c r="CU844" s="835" t="str">
        <f t="shared" si="739"/>
        <v>-</v>
      </c>
      <c r="CV844" s="839"/>
      <c r="CW844" s="832"/>
      <c r="CX844" s="833" t="str">
        <f t="shared" si="740"/>
        <v>-</v>
      </c>
      <c r="CY844" s="840" t="str">
        <f t="shared" si="741"/>
        <v>-</v>
      </c>
      <c r="CZ844" s="833" t="str">
        <f t="shared" si="742"/>
        <v>-</v>
      </c>
      <c r="DA844" s="838" t="str">
        <f t="shared" ca="1" si="743"/>
        <v>-</v>
      </c>
      <c r="DB844" s="841"/>
      <c r="DC844" s="832"/>
    </row>
    <row r="845" spans="1:107" ht="15" customHeight="1" x14ac:dyDescent="0.25">
      <c r="A845" s="790">
        <v>849</v>
      </c>
      <c r="B845" s="791">
        <f t="shared" ca="1" si="692"/>
        <v>43134</v>
      </c>
      <c r="C845" s="29" t="s">
        <v>3340</v>
      </c>
      <c r="D845" s="59" t="s">
        <v>1635</v>
      </c>
      <c r="E845" s="794" t="s">
        <v>1563</v>
      </c>
      <c r="F845" s="795" t="s">
        <v>3153</v>
      </c>
      <c r="G845" s="845"/>
      <c r="H845" s="797" t="s">
        <v>603</v>
      </c>
      <c r="I845" s="798">
        <v>42996</v>
      </c>
      <c r="J845" s="799">
        <f t="shared" ca="1" si="693"/>
        <v>0.37808219178082192</v>
      </c>
      <c r="K845" s="799">
        <f t="shared" ca="1" si="694"/>
        <v>4.5999999999999996</v>
      </c>
      <c r="L845" s="800">
        <f t="shared" ca="1" si="695"/>
        <v>138</v>
      </c>
      <c r="M845" s="801"/>
      <c r="N845" s="802"/>
      <c r="O845" s="803" t="str">
        <f t="shared" ca="1" si="696"/>
        <v>-</v>
      </c>
      <c r="P845" s="804"/>
      <c r="Q845" s="805"/>
      <c r="R845" s="806"/>
      <c r="S845" s="807"/>
      <c r="T845" s="798"/>
      <c r="U845" s="798" t="str">
        <f t="shared" si="697"/>
        <v>-</v>
      </c>
      <c r="V845" s="804" t="str">
        <f t="shared" ca="1" si="698"/>
        <v>-</v>
      </c>
      <c r="W845" s="808">
        <v>0</v>
      </c>
      <c r="X845" s="794" t="str">
        <f t="shared" si="691"/>
        <v>-</v>
      </c>
      <c r="Y845" s="808">
        <v>0</v>
      </c>
      <c r="Z845" s="809" t="str">
        <f t="shared" ca="1" si="699"/>
        <v>-----</v>
      </c>
      <c r="AA845" s="810">
        <f t="shared" ca="1" si="700"/>
        <v>43134</v>
      </c>
      <c r="AB845" s="804"/>
      <c r="AC845" s="811" t="str">
        <f t="shared" ca="1" si="701"/>
        <v>-----</v>
      </c>
      <c r="AD845" s="798"/>
      <c r="AE845" s="794" t="str">
        <f t="shared" ca="1" si="702"/>
        <v>-</v>
      </c>
      <c r="AF845" s="798" t="str">
        <f t="shared" si="703"/>
        <v>-</v>
      </c>
      <c r="AG845" s="812" t="str">
        <f t="shared" si="704"/>
        <v>---------</v>
      </c>
      <c r="AH845" s="807"/>
      <c r="AI845" s="807" t="str">
        <f t="shared" si="705"/>
        <v>-</v>
      </c>
      <c r="AJ845" s="807" t="str">
        <f t="shared" si="706"/>
        <v>-</v>
      </c>
      <c r="AK845" s="813"/>
      <c r="AL845" s="807" t="str">
        <f t="shared" si="707"/>
        <v>-</v>
      </c>
      <c r="AM845" s="807" t="str">
        <f t="shared" si="708"/>
        <v>-</v>
      </c>
      <c r="AN845" s="814" t="str">
        <f t="shared" ca="1" si="709"/>
        <v>-</v>
      </c>
      <c r="AO845" s="815">
        <v>1</v>
      </c>
      <c r="AP845" s="816" t="str">
        <f t="shared" ca="1" si="710"/>
        <v>-</v>
      </c>
      <c r="AQ845" s="817"/>
      <c r="AR845" s="794" t="str">
        <f t="shared" si="711"/>
        <v>-</v>
      </c>
      <c r="AS845" s="818"/>
      <c r="AT845" s="794" t="str">
        <f t="shared" si="712"/>
        <v>-</v>
      </c>
      <c r="AU845" s="819"/>
      <c r="AV845" s="865"/>
      <c r="AW845" s="821"/>
      <c r="AX845" s="821"/>
      <c r="AY845" s="969" t="str">
        <f t="shared" si="713"/>
        <v>-</v>
      </c>
      <c r="AZ845" s="966" t="str">
        <f t="shared" si="714"/>
        <v>-</v>
      </c>
      <c r="BA845" s="971" t="str">
        <f t="shared" si="715"/>
        <v>-</v>
      </c>
      <c r="BB845" s="975"/>
      <c r="BC845" s="821"/>
      <c r="BD845" s="821"/>
      <c r="BE845" s="963" t="str">
        <f t="shared" si="716"/>
        <v>-</v>
      </c>
      <c r="BF845" s="984"/>
      <c r="BG845" s="988"/>
      <c r="BH845" s="982"/>
      <c r="BI845" s="991"/>
      <c r="BJ845" s="991"/>
      <c r="BK845" s="993" t="str">
        <f t="shared" si="717"/>
        <v>-</v>
      </c>
      <c r="BL845" s="865"/>
      <c r="BM845" s="821"/>
      <c r="BN845" s="822" t="str">
        <f t="shared" si="718"/>
        <v>-</v>
      </c>
      <c r="BO845" s="823" t="str">
        <f t="shared" si="719"/>
        <v>-</v>
      </c>
      <c r="BP845" s="868"/>
      <c r="BQ845" s="821"/>
      <c r="BR845" s="822" t="str">
        <f t="shared" si="720"/>
        <v>-</v>
      </c>
      <c r="BS845" s="823" t="str">
        <f t="shared" si="721"/>
        <v>-</v>
      </c>
      <c r="BT845" s="825" t="str">
        <f t="shared" ca="1" si="722"/>
        <v>-</v>
      </c>
      <c r="BU845" s="860">
        <v>43003</v>
      </c>
      <c r="BV845" s="827">
        <v>2</v>
      </c>
      <c r="BW845" s="828">
        <f t="shared" si="723"/>
        <v>7</v>
      </c>
      <c r="BX845" s="829">
        <f t="shared" ca="1" si="724"/>
        <v>131</v>
      </c>
      <c r="BY845" s="830" t="str">
        <f t="shared" ca="1" si="725"/>
        <v>-</v>
      </c>
      <c r="BZ845" s="831">
        <v>43050</v>
      </c>
      <c r="CA845" s="832">
        <v>5</v>
      </c>
      <c r="CB845" s="833">
        <f t="shared" ca="1" si="726"/>
        <v>84</v>
      </c>
      <c r="CC845" s="834" t="str">
        <f t="shared" ca="1" si="727"/>
        <v>ТРЕБУЕТСЯ БУСТЕРНАЯ ДОЗА</v>
      </c>
      <c r="CD845" s="835">
        <f t="shared" si="728"/>
        <v>43071</v>
      </c>
      <c r="CE845" s="839"/>
      <c r="CF845" s="832"/>
      <c r="CG845" s="833" t="str">
        <f t="shared" si="729"/>
        <v>-</v>
      </c>
      <c r="CH845" s="836" t="str">
        <f t="shared" si="730"/>
        <v>-</v>
      </c>
      <c r="CI845" s="837" t="str">
        <f t="shared" si="731"/>
        <v>-</v>
      </c>
      <c r="CJ845" s="838" t="str">
        <f t="shared" si="732"/>
        <v>-</v>
      </c>
      <c r="CK845" s="831"/>
      <c r="CL845" s="832"/>
      <c r="CM845" s="833" t="str">
        <f t="shared" si="733"/>
        <v>-</v>
      </c>
      <c r="CN845" s="834" t="str">
        <f t="shared" si="734"/>
        <v>-</v>
      </c>
      <c r="CO845" s="830" t="str">
        <f t="shared" ca="1" si="735"/>
        <v>-</v>
      </c>
      <c r="CP845" s="839"/>
      <c r="CQ845" s="832"/>
      <c r="CR845" s="833" t="str">
        <f t="shared" si="736"/>
        <v>-</v>
      </c>
      <c r="CS845" s="833" t="str">
        <f t="shared" si="737"/>
        <v>-</v>
      </c>
      <c r="CT845" s="834" t="str">
        <f t="shared" si="738"/>
        <v>-</v>
      </c>
      <c r="CU845" s="835" t="str">
        <f t="shared" si="739"/>
        <v>-</v>
      </c>
      <c r="CV845" s="839"/>
      <c r="CW845" s="832"/>
      <c r="CX845" s="833" t="str">
        <f t="shared" si="740"/>
        <v>-</v>
      </c>
      <c r="CY845" s="840" t="str">
        <f t="shared" si="741"/>
        <v>-</v>
      </c>
      <c r="CZ845" s="833" t="str">
        <f t="shared" si="742"/>
        <v>-</v>
      </c>
      <c r="DA845" s="838" t="str">
        <f t="shared" ca="1" si="743"/>
        <v>-</v>
      </c>
      <c r="DB845" s="841"/>
      <c r="DC845" s="832"/>
    </row>
    <row r="846" spans="1:107" ht="15" customHeight="1" x14ac:dyDescent="0.25">
      <c r="A846" s="790">
        <v>850</v>
      </c>
      <c r="B846" s="791">
        <f t="shared" ca="1" si="692"/>
        <v>43134</v>
      </c>
      <c r="C846" s="29" t="s">
        <v>3340</v>
      </c>
      <c r="D846" s="59" t="s">
        <v>1635</v>
      </c>
      <c r="E846" s="794" t="s">
        <v>1563</v>
      </c>
      <c r="F846" s="795" t="s">
        <v>3157</v>
      </c>
      <c r="G846" s="845"/>
      <c r="H846" s="797" t="s">
        <v>603</v>
      </c>
      <c r="I846" s="798">
        <v>42997</v>
      </c>
      <c r="J846" s="799">
        <f t="shared" ca="1" si="693"/>
        <v>0.37534246575342467</v>
      </c>
      <c r="K846" s="799">
        <f t="shared" ca="1" si="694"/>
        <v>4.5666666666666664</v>
      </c>
      <c r="L846" s="800">
        <f t="shared" ca="1" si="695"/>
        <v>137</v>
      </c>
      <c r="M846" s="801"/>
      <c r="N846" s="802"/>
      <c r="O846" s="803" t="str">
        <f t="shared" ca="1" si="696"/>
        <v>-</v>
      </c>
      <c r="P846" s="804"/>
      <c r="Q846" s="805"/>
      <c r="R846" s="806"/>
      <c r="S846" s="807"/>
      <c r="T846" s="798"/>
      <c r="U846" s="798" t="str">
        <f t="shared" si="697"/>
        <v>-</v>
      </c>
      <c r="V846" s="804" t="str">
        <f t="shared" ca="1" si="698"/>
        <v>-</v>
      </c>
      <c r="W846" s="808">
        <v>0</v>
      </c>
      <c r="X846" s="794" t="str">
        <f t="shared" si="691"/>
        <v>-</v>
      </c>
      <c r="Y846" s="808">
        <v>0</v>
      </c>
      <c r="Z846" s="809" t="str">
        <f t="shared" ca="1" si="699"/>
        <v>-----</v>
      </c>
      <c r="AA846" s="810">
        <f t="shared" ca="1" si="700"/>
        <v>43134</v>
      </c>
      <c r="AB846" s="804"/>
      <c r="AC846" s="811" t="str">
        <f t="shared" ca="1" si="701"/>
        <v>-----</v>
      </c>
      <c r="AD846" s="798"/>
      <c r="AE846" s="794" t="str">
        <f t="shared" ca="1" si="702"/>
        <v>-</v>
      </c>
      <c r="AF846" s="798" t="str">
        <f t="shared" si="703"/>
        <v>-</v>
      </c>
      <c r="AG846" s="812" t="str">
        <f t="shared" si="704"/>
        <v>---------</v>
      </c>
      <c r="AH846" s="807"/>
      <c r="AI846" s="807" t="str">
        <f t="shared" si="705"/>
        <v>-</v>
      </c>
      <c r="AJ846" s="807" t="str">
        <f t="shared" si="706"/>
        <v>-</v>
      </c>
      <c r="AK846" s="813"/>
      <c r="AL846" s="807" t="str">
        <f t="shared" si="707"/>
        <v>-</v>
      </c>
      <c r="AM846" s="807" t="str">
        <f t="shared" si="708"/>
        <v>-</v>
      </c>
      <c r="AN846" s="814" t="str">
        <f t="shared" ca="1" si="709"/>
        <v>-</v>
      </c>
      <c r="AO846" s="815">
        <v>1</v>
      </c>
      <c r="AP846" s="816" t="str">
        <f t="shared" ca="1" si="710"/>
        <v>-</v>
      </c>
      <c r="AQ846" s="817"/>
      <c r="AR846" s="794" t="str">
        <f t="shared" si="711"/>
        <v>-</v>
      </c>
      <c r="AS846" s="818"/>
      <c r="AT846" s="794" t="str">
        <f t="shared" si="712"/>
        <v>-</v>
      </c>
      <c r="AU846" s="819"/>
      <c r="AV846" s="865"/>
      <c r="AW846" s="821"/>
      <c r="AX846" s="821"/>
      <c r="AY846" s="969" t="str">
        <f t="shared" si="713"/>
        <v>-</v>
      </c>
      <c r="AZ846" s="966" t="str">
        <f t="shared" si="714"/>
        <v>-</v>
      </c>
      <c r="BA846" s="971" t="str">
        <f t="shared" si="715"/>
        <v>-</v>
      </c>
      <c r="BB846" s="975"/>
      <c r="BC846" s="821"/>
      <c r="BD846" s="821"/>
      <c r="BE846" s="963" t="str">
        <f t="shared" si="716"/>
        <v>-</v>
      </c>
      <c r="BF846" s="984"/>
      <c r="BG846" s="988"/>
      <c r="BH846" s="982"/>
      <c r="BI846" s="991"/>
      <c r="BJ846" s="991"/>
      <c r="BK846" s="993" t="str">
        <f t="shared" si="717"/>
        <v>-</v>
      </c>
      <c r="BL846" s="865"/>
      <c r="BM846" s="821"/>
      <c r="BN846" s="822" t="str">
        <f t="shared" si="718"/>
        <v>-</v>
      </c>
      <c r="BO846" s="823" t="str">
        <f t="shared" si="719"/>
        <v>-</v>
      </c>
      <c r="BP846" s="868"/>
      <c r="BQ846" s="821"/>
      <c r="BR846" s="822" t="str">
        <f t="shared" si="720"/>
        <v>-</v>
      </c>
      <c r="BS846" s="823" t="str">
        <f t="shared" si="721"/>
        <v>-</v>
      </c>
      <c r="BT846" s="825" t="str">
        <f t="shared" ca="1" si="722"/>
        <v>-</v>
      </c>
      <c r="BU846" s="860">
        <v>43003</v>
      </c>
      <c r="BV846" s="827">
        <v>2</v>
      </c>
      <c r="BW846" s="828">
        <f t="shared" si="723"/>
        <v>6</v>
      </c>
      <c r="BX846" s="829">
        <f t="shared" ca="1" si="724"/>
        <v>131</v>
      </c>
      <c r="BY846" s="830" t="str">
        <f t="shared" ca="1" si="725"/>
        <v>-</v>
      </c>
      <c r="BZ846" s="831">
        <v>43050</v>
      </c>
      <c r="CA846" s="832">
        <v>5</v>
      </c>
      <c r="CB846" s="833">
        <f t="shared" ca="1" si="726"/>
        <v>84</v>
      </c>
      <c r="CC846" s="834" t="str">
        <f t="shared" ca="1" si="727"/>
        <v>ТРЕБУЕТСЯ БУСТЕРНАЯ ДОЗА</v>
      </c>
      <c r="CD846" s="835">
        <f t="shared" si="728"/>
        <v>43071</v>
      </c>
      <c r="CE846" s="839"/>
      <c r="CF846" s="832"/>
      <c r="CG846" s="833" t="str">
        <f t="shared" si="729"/>
        <v>-</v>
      </c>
      <c r="CH846" s="836" t="str">
        <f t="shared" si="730"/>
        <v>-</v>
      </c>
      <c r="CI846" s="837" t="str">
        <f t="shared" si="731"/>
        <v>-</v>
      </c>
      <c r="CJ846" s="838" t="str">
        <f t="shared" si="732"/>
        <v>-</v>
      </c>
      <c r="CK846" s="831"/>
      <c r="CL846" s="832"/>
      <c r="CM846" s="833" t="str">
        <f t="shared" si="733"/>
        <v>-</v>
      </c>
      <c r="CN846" s="834" t="str">
        <f t="shared" si="734"/>
        <v>-</v>
      </c>
      <c r="CO846" s="830" t="str">
        <f t="shared" ca="1" si="735"/>
        <v>-</v>
      </c>
      <c r="CP846" s="839"/>
      <c r="CQ846" s="832"/>
      <c r="CR846" s="833" t="str">
        <f t="shared" si="736"/>
        <v>-</v>
      </c>
      <c r="CS846" s="833" t="str">
        <f t="shared" si="737"/>
        <v>-</v>
      </c>
      <c r="CT846" s="834" t="str">
        <f t="shared" si="738"/>
        <v>-</v>
      </c>
      <c r="CU846" s="835" t="str">
        <f t="shared" si="739"/>
        <v>-</v>
      </c>
      <c r="CV846" s="839"/>
      <c r="CW846" s="832"/>
      <c r="CX846" s="833" t="str">
        <f t="shared" si="740"/>
        <v>-</v>
      </c>
      <c r="CY846" s="840" t="str">
        <f t="shared" si="741"/>
        <v>-</v>
      </c>
      <c r="CZ846" s="833" t="str">
        <f t="shared" si="742"/>
        <v>-</v>
      </c>
      <c r="DA846" s="838" t="str">
        <f t="shared" ca="1" si="743"/>
        <v>-</v>
      </c>
      <c r="DB846" s="841"/>
      <c r="DC846" s="832"/>
    </row>
    <row r="847" spans="1:107" ht="15" customHeight="1" x14ac:dyDescent="0.25">
      <c r="A847" s="790">
        <v>851</v>
      </c>
      <c r="B847" s="791">
        <f t="shared" ca="1" si="692"/>
        <v>43134</v>
      </c>
      <c r="C847" s="29" t="s">
        <v>3340</v>
      </c>
      <c r="D847" s="59" t="s">
        <v>1635</v>
      </c>
      <c r="E847" s="794" t="s">
        <v>1563</v>
      </c>
      <c r="F847" s="795" t="s">
        <v>3159</v>
      </c>
      <c r="G847" s="845"/>
      <c r="H847" s="797" t="s">
        <v>603</v>
      </c>
      <c r="I847" s="798">
        <v>42998</v>
      </c>
      <c r="J847" s="799">
        <f t="shared" ca="1" si="693"/>
        <v>0.37260273972602742</v>
      </c>
      <c r="K847" s="799">
        <f t="shared" ca="1" si="694"/>
        <v>4.5333333333333332</v>
      </c>
      <c r="L847" s="800">
        <f t="shared" ca="1" si="695"/>
        <v>136</v>
      </c>
      <c r="M847" s="801"/>
      <c r="N847" s="802"/>
      <c r="O847" s="803" t="str">
        <f t="shared" ca="1" si="696"/>
        <v>-</v>
      </c>
      <c r="P847" s="804"/>
      <c r="Q847" s="805"/>
      <c r="R847" s="806"/>
      <c r="S847" s="807"/>
      <c r="T847" s="798"/>
      <c r="U847" s="798" t="str">
        <f t="shared" si="697"/>
        <v>-</v>
      </c>
      <c r="V847" s="804" t="str">
        <f t="shared" ca="1" si="698"/>
        <v>-</v>
      </c>
      <c r="W847" s="808">
        <v>0</v>
      </c>
      <c r="X847" s="794" t="str">
        <f t="shared" si="691"/>
        <v>-</v>
      </c>
      <c r="Y847" s="808">
        <v>0</v>
      </c>
      <c r="Z847" s="809" t="str">
        <f t="shared" ca="1" si="699"/>
        <v>-----</v>
      </c>
      <c r="AA847" s="810">
        <f t="shared" ca="1" si="700"/>
        <v>43134</v>
      </c>
      <c r="AB847" s="804"/>
      <c r="AC847" s="811" t="str">
        <f t="shared" ca="1" si="701"/>
        <v>-----</v>
      </c>
      <c r="AD847" s="798"/>
      <c r="AE847" s="794" t="str">
        <f t="shared" ca="1" si="702"/>
        <v>-</v>
      </c>
      <c r="AF847" s="798" t="str">
        <f t="shared" si="703"/>
        <v>-</v>
      </c>
      <c r="AG847" s="812" t="str">
        <f t="shared" si="704"/>
        <v>---------</v>
      </c>
      <c r="AH847" s="807"/>
      <c r="AI847" s="807" t="str">
        <f t="shared" si="705"/>
        <v>-</v>
      </c>
      <c r="AJ847" s="807" t="str">
        <f t="shared" si="706"/>
        <v>-</v>
      </c>
      <c r="AK847" s="813"/>
      <c r="AL847" s="807" t="str">
        <f t="shared" si="707"/>
        <v>-</v>
      </c>
      <c r="AM847" s="807" t="str">
        <f t="shared" si="708"/>
        <v>-</v>
      </c>
      <c r="AN847" s="814" t="str">
        <f t="shared" ca="1" si="709"/>
        <v>-</v>
      </c>
      <c r="AO847" s="815">
        <v>1</v>
      </c>
      <c r="AP847" s="816" t="str">
        <f t="shared" ca="1" si="710"/>
        <v>-</v>
      </c>
      <c r="AQ847" s="817"/>
      <c r="AR847" s="794" t="str">
        <f t="shared" si="711"/>
        <v>-</v>
      </c>
      <c r="AS847" s="818"/>
      <c r="AT847" s="794" t="str">
        <f t="shared" si="712"/>
        <v>-</v>
      </c>
      <c r="AU847" s="819"/>
      <c r="AV847" s="865"/>
      <c r="AW847" s="821"/>
      <c r="AX847" s="821"/>
      <c r="AY847" s="969" t="str">
        <f t="shared" si="713"/>
        <v>-</v>
      </c>
      <c r="AZ847" s="966" t="str">
        <f t="shared" si="714"/>
        <v>-</v>
      </c>
      <c r="BA847" s="971" t="str">
        <f t="shared" si="715"/>
        <v>-</v>
      </c>
      <c r="BB847" s="975"/>
      <c r="BC847" s="821"/>
      <c r="BD847" s="821"/>
      <c r="BE847" s="963" t="str">
        <f t="shared" si="716"/>
        <v>-</v>
      </c>
      <c r="BF847" s="984"/>
      <c r="BG847" s="988"/>
      <c r="BH847" s="982"/>
      <c r="BI847" s="991"/>
      <c r="BJ847" s="991"/>
      <c r="BK847" s="993" t="str">
        <f t="shared" si="717"/>
        <v>-</v>
      </c>
      <c r="BL847" s="865"/>
      <c r="BM847" s="821"/>
      <c r="BN847" s="822" t="str">
        <f t="shared" si="718"/>
        <v>-</v>
      </c>
      <c r="BO847" s="823" t="str">
        <f t="shared" si="719"/>
        <v>-</v>
      </c>
      <c r="BP847" s="868"/>
      <c r="BQ847" s="821"/>
      <c r="BR847" s="822" t="str">
        <f t="shared" si="720"/>
        <v>-</v>
      </c>
      <c r="BS847" s="823" t="str">
        <f t="shared" si="721"/>
        <v>-</v>
      </c>
      <c r="BT847" s="825" t="str">
        <f t="shared" ca="1" si="722"/>
        <v>-</v>
      </c>
      <c r="BU847" s="860">
        <v>43003</v>
      </c>
      <c r="BV847" s="827">
        <v>2</v>
      </c>
      <c r="BW847" s="828">
        <f t="shared" si="723"/>
        <v>5</v>
      </c>
      <c r="BX847" s="829">
        <f t="shared" ca="1" si="724"/>
        <v>131</v>
      </c>
      <c r="BY847" s="830" t="str">
        <f t="shared" ca="1" si="725"/>
        <v>-</v>
      </c>
      <c r="BZ847" s="831">
        <v>43050</v>
      </c>
      <c r="CA847" s="832">
        <v>5</v>
      </c>
      <c r="CB847" s="833">
        <f t="shared" ca="1" si="726"/>
        <v>84</v>
      </c>
      <c r="CC847" s="834" t="str">
        <f t="shared" ca="1" si="727"/>
        <v>ТРЕБУЕТСЯ БУСТЕРНАЯ ДОЗА</v>
      </c>
      <c r="CD847" s="835">
        <f t="shared" si="728"/>
        <v>43071</v>
      </c>
      <c r="CE847" s="839"/>
      <c r="CF847" s="832"/>
      <c r="CG847" s="833" t="str">
        <f t="shared" si="729"/>
        <v>-</v>
      </c>
      <c r="CH847" s="836" t="str">
        <f t="shared" si="730"/>
        <v>-</v>
      </c>
      <c r="CI847" s="837" t="str">
        <f t="shared" si="731"/>
        <v>-</v>
      </c>
      <c r="CJ847" s="838" t="str">
        <f t="shared" si="732"/>
        <v>-</v>
      </c>
      <c r="CK847" s="831"/>
      <c r="CL847" s="832"/>
      <c r="CM847" s="833" t="str">
        <f t="shared" si="733"/>
        <v>-</v>
      </c>
      <c r="CN847" s="834" t="str">
        <f t="shared" si="734"/>
        <v>-</v>
      </c>
      <c r="CO847" s="830" t="str">
        <f t="shared" ca="1" si="735"/>
        <v>-</v>
      </c>
      <c r="CP847" s="839"/>
      <c r="CQ847" s="832"/>
      <c r="CR847" s="833" t="str">
        <f t="shared" si="736"/>
        <v>-</v>
      </c>
      <c r="CS847" s="833" t="str">
        <f t="shared" si="737"/>
        <v>-</v>
      </c>
      <c r="CT847" s="834" t="str">
        <f t="shared" si="738"/>
        <v>-</v>
      </c>
      <c r="CU847" s="835" t="str">
        <f t="shared" si="739"/>
        <v>-</v>
      </c>
      <c r="CV847" s="839"/>
      <c r="CW847" s="832"/>
      <c r="CX847" s="833" t="str">
        <f t="shared" si="740"/>
        <v>-</v>
      </c>
      <c r="CY847" s="840" t="str">
        <f t="shared" si="741"/>
        <v>-</v>
      </c>
      <c r="CZ847" s="833" t="str">
        <f t="shared" si="742"/>
        <v>-</v>
      </c>
      <c r="DA847" s="838" t="str">
        <f t="shared" ca="1" si="743"/>
        <v>-</v>
      </c>
      <c r="DB847" s="841"/>
      <c r="DC847" s="832"/>
    </row>
    <row r="848" spans="1:107" x14ac:dyDescent="0.25">
      <c r="A848" s="790">
        <v>852</v>
      </c>
      <c r="B848" s="791">
        <f t="shared" ca="1" si="692"/>
        <v>43134</v>
      </c>
      <c r="C848" s="29" t="s">
        <v>3340</v>
      </c>
      <c r="D848" s="59" t="s">
        <v>1635</v>
      </c>
      <c r="E848" s="794" t="s">
        <v>1563</v>
      </c>
      <c r="F848" s="795" t="s">
        <v>3160</v>
      </c>
      <c r="G848" s="845"/>
      <c r="H848" s="797" t="s">
        <v>603</v>
      </c>
      <c r="I848" s="798">
        <v>42998</v>
      </c>
      <c r="J848" s="799">
        <f t="shared" ca="1" si="693"/>
        <v>0.37260273972602742</v>
      </c>
      <c r="K848" s="799">
        <f t="shared" ca="1" si="694"/>
        <v>4.5333333333333332</v>
      </c>
      <c r="L848" s="800">
        <f t="shared" ca="1" si="695"/>
        <v>136</v>
      </c>
      <c r="M848" s="801"/>
      <c r="N848" s="802"/>
      <c r="O848" s="803" t="str">
        <f t="shared" ca="1" si="696"/>
        <v>-</v>
      </c>
      <c r="P848" s="804"/>
      <c r="Q848" s="805"/>
      <c r="R848" s="806"/>
      <c r="S848" s="807"/>
      <c r="T848" s="798"/>
      <c r="U848" s="798" t="str">
        <f t="shared" si="697"/>
        <v>-</v>
      </c>
      <c r="V848" s="804" t="str">
        <f t="shared" ca="1" si="698"/>
        <v>-</v>
      </c>
      <c r="W848" s="808">
        <v>0</v>
      </c>
      <c r="X848" s="794" t="str">
        <f t="shared" si="691"/>
        <v>-</v>
      </c>
      <c r="Y848" s="808">
        <v>0</v>
      </c>
      <c r="Z848" s="809" t="str">
        <f t="shared" ca="1" si="699"/>
        <v>-----</v>
      </c>
      <c r="AA848" s="810">
        <f t="shared" ca="1" si="700"/>
        <v>43134</v>
      </c>
      <c r="AB848" s="804"/>
      <c r="AC848" s="811" t="str">
        <f t="shared" ca="1" si="701"/>
        <v>-----</v>
      </c>
      <c r="AD848" s="798"/>
      <c r="AE848" s="794" t="str">
        <f t="shared" ca="1" si="702"/>
        <v>-</v>
      </c>
      <c r="AF848" s="798" t="str">
        <f t="shared" si="703"/>
        <v>-</v>
      </c>
      <c r="AG848" s="812" t="str">
        <f t="shared" si="704"/>
        <v>---------</v>
      </c>
      <c r="AH848" s="807"/>
      <c r="AI848" s="807" t="str">
        <f t="shared" si="705"/>
        <v>-</v>
      </c>
      <c r="AJ848" s="807" t="str">
        <f t="shared" si="706"/>
        <v>-</v>
      </c>
      <c r="AK848" s="813"/>
      <c r="AL848" s="807" t="str">
        <f t="shared" si="707"/>
        <v>-</v>
      </c>
      <c r="AM848" s="807" t="str">
        <f t="shared" si="708"/>
        <v>-</v>
      </c>
      <c r="AN848" s="814" t="str">
        <f t="shared" ca="1" si="709"/>
        <v>-</v>
      </c>
      <c r="AO848" s="815">
        <v>1</v>
      </c>
      <c r="AP848" s="816" t="str">
        <f t="shared" ca="1" si="710"/>
        <v>-</v>
      </c>
      <c r="AQ848" s="817"/>
      <c r="AR848" s="794" t="str">
        <f t="shared" si="711"/>
        <v>-</v>
      </c>
      <c r="AS848" s="818"/>
      <c r="AT848" s="794" t="str">
        <f t="shared" si="712"/>
        <v>-</v>
      </c>
      <c r="AU848" s="819"/>
      <c r="AV848" s="865"/>
      <c r="AW848" s="821"/>
      <c r="AX848" s="821"/>
      <c r="AY848" s="969" t="str">
        <f t="shared" si="713"/>
        <v>-</v>
      </c>
      <c r="AZ848" s="966" t="str">
        <f t="shared" si="714"/>
        <v>-</v>
      </c>
      <c r="BA848" s="971" t="str">
        <f t="shared" si="715"/>
        <v>-</v>
      </c>
      <c r="BB848" s="975"/>
      <c r="BC848" s="821"/>
      <c r="BD848" s="821"/>
      <c r="BE848" s="963" t="str">
        <f t="shared" si="716"/>
        <v>-</v>
      </c>
      <c r="BF848" s="984"/>
      <c r="BG848" s="988"/>
      <c r="BH848" s="982"/>
      <c r="BI848" s="991"/>
      <c r="BJ848" s="991"/>
      <c r="BK848" s="993" t="str">
        <f t="shared" si="717"/>
        <v>-</v>
      </c>
      <c r="BL848" s="865"/>
      <c r="BM848" s="821"/>
      <c r="BN848" s="822" t="str">
        <f t="shared" si="718"/>
        <v>-</v>
      </c>
      <c r="BO848" s="823" t="str">
        <f t="shared" si="719"/>
        <v>-</v>
      </c>
      <c r="BP848" s="868"/>
      <c r="BQ848" s="821"/>
      <c r="BR848" s="822" t="str">
        <f t="shared" si="720"/>
        <v>-</v>
      </c>
      <c r="BS848" s="823" t="str">
        <f t="shared" si="721"/>
        <v>-</v>
      </c>
      <c r="BT848" s="825" t="str">
        <f t="shared" ca="1" si="722"/>
        <v>-</v>
      </c>
      <c r="BU848" s="860">
        <v>43003</v>
      </c>
      <c r="BV848" s="827">
        <v>2</v>
      </c>
      <c r="BW848" s="828">
        <f t="shared" si="723"/>
        <v>5</v>
      </c>
      <c r="BX848" s="829">
        <f t="shared" ca="1" si="724"/>
        <v>131</v>
      </c>
      <c r="BY848" s="830" t="str">
        <f t="shared" ca="1" si="725"/>
        <v>-</v>
      </c>
      <c r="BZ848" s="831">
        <v>43050</v>
      </c>
      <c r="CA848" s="832">
        <v>5</v>
      </c>
      <c r="CB848" s="833">
        <f t="shared" ca="1" si="726"/>
        <v>84</v>
      </c>
      <c r="CC848" s="834" t="str">
        <f t="shared" ca="1" si="727"/>
        <v>ТРЕБУЕТСЯ БУСТЕРНАЯ ДОЗА</v>
      </c>
      <c r="CD848" s="835">
        <f t="shared" si="728"/>
        <v>43071</v>
      </c>
      <c r="CE848" s="839"/>
      <c r="CF848" s="832"/>
      <c r="CG848" s="833" t="str">
        <f t="shared" si="729"/>
        <v>-</v>
      </c>
      <c r="CH848" s="836" t="str">
        <f t="shared" si="730"/>
        <v>-</v>
      </c>
      <c r="CI848" s="837" t="str">
        <f t="shared" si="731"/>
        <v>-</v>
      </c>
      <c r="CJ848" s="838" t="str">
        <f t="shared" si="732"/>
        <v>-</v>
      </c>
      <c r="CK848" s="831"/>
      <c r="CL848" s="832"/>
      <c r="CM848" s="833" t="str">
        <f t="shared" si="733"/>
        <v>-</v>
      </c>
      <c r="CN848" s="834" t="str">
        <f t="shared" si="734"/>
        <v>-</v>
      </c>
      <c r="CO848" s="830" t="str">
        <f t="shared" ca="1" si="735"/>
        <v>-</v>
      </c>
      <c r="CP848" s="839"/>
      <c r="CQ848" s="832"/>
      <c r="CR848" s="833" t="str">
        <f t="shared" si="736"/>
        <v>-</v>
      </c>
      <c r="CS848" s="833" t="str">
        <f t="shared" si="737"/>
        <v>-</v>
      </c>
      <c r="CT848" s="834" t="str">
        <f t="shared" si="738"/>
        <v>-</v>
      </c>
      <c r="CU848" s="835" t="str">
        <f t="shared" si="739"/>
        <v>-</v>
      </c>
      <c r="CV848" s="839"/>
      <c r="CW848" s="832"/>
      <c r="CX848" s="833" t="str">
        <f t="shared" si="740"/>
        <v>-</v>
      </c>
      <c r="CY848" s="840" t="str">
        <f t="shared" si="741"/>
        <v>-</v>
      </c>
      <c r="CZ848" s="833" t="str">
        <f t="shared" si="742"/>
        <v>-</v>
      </c>
      <c r="DA848" s="838" t="str">
        <f t="shared" ca="1" si="743"/>
        <v>-</v>
      </c>
      <c r="DB848" s="841"/>
      <c r="DC848" s="832"/>
    </row>
    <row r="849" spans="1:107" x14ac:dyDescent="0.25">
      <c r="A849" s="790">
        <v>853</v>
      </c>
      <c r="B849" s="791">
        <f t="shared" ca="1" si="692"/>
        <v>43134</v>
      </c>
      <c r="C849" s="29" t="s">
        <v>3340</v>
      </c>
      <c r="D849" s="59" t="s">
        <v>1635</v>
      </c>
      <c r="E849" s="794" t="s">
        <v>1563</v>
      </c>
      <c r="F849" s="795" t="s">
        <v>3165</v>
      </c>
      <c r="G849" s="845"/>
      <c r="H849" s="797" t="s">
        <v>603</v>
      </c>
      <c r="I849" s="798">
        <v>43000</v>
      </c>
      <c r="J849" s="799">
        <f t="shared" ca="1" si="693"/>
        <v>0.36712328767123287</v>
      </c>
      <c r="K849" s="799">
        <f t="shared" ca="1" si="694"/>
        <v>4.4666666666666668</v>
      </c>
      <c r="L849" s="800">
        <f t="shared" ca="1" si="695"/>
        <v>134</v>
      </c>
      <c r="M849" s="801"/>
      <c r="N849" s="802"/>
      <c r="O849" s="803" t="str">
        <f t="shared" ca="1" si="696"/>
        <v>-</v>
      </c>
      <c r="P849" s="804"/>
      <c r="Q849" s="805"/>
      <c r="R849" s="806"/>
      <c r="S849" s="807"/>
      <c r="T849" s="798"/>
      <c r="U849" s="798" t="str">
        <f t="shared" si="697"/>
        <v>-</v>
      </c>
      <c r="V849" s="804" t="str">
        <f t="shared" ca="1" si="698"/>
        <v>-</v>
      </c>
      <c r="W849" s="808">
        <v>0</v>
      </c>
      <c r="X849" s="794" t="str">
        <f t="shared" si="691"/>
        <v>-</v>
      </c>
      <c r="Y849" s="808">
        <v>0</v>
      </c>
      <c r="Z849" s="809" t="str">
        <f t="shared" ca="1" si="699"/>
        <v>-----</v>
      </c>
      <c r="AA849" s="810">
        <f t="shared" ca="1" si="700"/>
        <v>43134</v>
      </c>
      <c r="AB849" s="804"/>
      <c r="AC849" s="811" t="str">
        <f t="shared" ca="1" si="701"/>
        <v>-----</v>
      </c>
      <c r="AD849" s="798"/>
      <c r="AE849" s="794" t="str">
        <f t="shared" ca="1" si="702"/>
        <v>-</v>
      </c>
      <c r="AF849" s="798" t="str">
        <f t="shared" si="703"/>
        <v>-</v>
      </c>
      <c r="AG849" s="812" t="str">
        <f t="shared" si="704"/>
        <v>---------</v>
      </c>
      <c r="AH849" s="807"/>
      <c r="AI849" s="807" t="str">
        <f t="shared" si="705"/>
        <v>-</v>
      </c>
      <c r="AJ849" s="807" t="str">
        <f t="shared" si="706"/>
        <v>-</v>
      </c>
      <c r="AK849" s="813"/>
      <c r="AL849" s="807" t="str">
        <f t="shared" si="707"/>
        <v>-</v>
      </c>
      <c r="AM849" s="807" t="str">
        <f t="shared" si="708"/>
        <v>-</v>
      </c>
      <c r="AN849" s="814" t="str">
        <f t="shared" ca="1" si="709"/>
        <v>-</v>
      </c>
      <c r="AO849" s="815">
        <v>1</v>
      </c>
      <c r="AP849" s="816" t="str">
        <f t="shared" ca="1" si="710"/>
        <v>-</v>
      </c>
      <c r="AQ849" s="817"/>
      <c r="AR849" s="794" t="str">
        <f t="shared" si="711"/>
        <v>-</v>
      </c>
      <c r="AS849" s="818"/>
      <c r="AT849" s="794" t="str">
        <f t="shared" si="712"/>
        <v>-</v>
      </c>
      <c r="AU849" s="819"/>
      <c r="AV849" s="865"/>
      <c r="AW849" s="821"/>
      <c r="AX849" s="821"/>
      <c r="AY849" s="969" t="str">
        <f t="shared" si="713"/>
        <v>-</v>
      </c>
      <c r="AZ849" s="966" t="str">
        <f t="shared" si="714"/>
        <v>-</v>
      </c>
      <c r="BA849" s="971" t="str">
        <f t="shared" si="715"/>
        <v>-</v>
      </c>
      <c r="BB849" s="975"/>
      <c r="BC849" s="821"/>
      <c r="BD849" s="821"/>
      <c r="BE849" s="963" t="str">
        <f t="shared" si="716"/>
        <v>-</v>
      </c>
      <c r="BF849" s="984"/>
      <c r="BG849" s="988"/>
      <c r="BH849" s="982"/>
      <c r="BI849" s="991"/>
      <c r="BJ849" s="991"/>
      <c r="BK849" s="993" t="str">
        <f t="shared" si="717"/>
        <v>-</v>
      </c>
      <c r="BL849" s="865"/>
      <c r="BM849" s="821"/>
      <c r="BN849" s="822" t="str">
        <f t="shared" si="718"/>
        <v>-</v>
      </c>
      <c r="BO849" s="823" t="str">
        <f t="shared" si="719"/>
        <v>-</v>
      </c>
      <c r="BP849" s="868"/>
      <c r="BQ849" s="821"/>
      <c r="BR849" s="822" t="str">
        <f t="shared" si="720"/>
        <v>-</v>
      </c>
      <c r="BS849" s="823" t="str">
        <f t="shared" si="721"/>
        <v>-</v>
      </c>
      <c r="BT849" s="825" t="str">
        <f t="shared" ca="1" si="722"/>
        <v>-</v>
      </c>
      <c r="BU849" s="860">
        <v>43003</v>
      </c>
      <c r="BV849" s="827">
        <v>2</v>
      </c>
      <c r="BW849" s="828">
        <f t="shared" si="723"/>
        <v>3</v>
      </c>
      <c r="BX849" s="829">
        <f t="shared" ca="1" si="724"/>
        <v>131</v>
      </c>
      <c r="BY849" s="830" t="str">
        <f t="shared" ca="1" si="725"/>
        <v>-</v>
      </c>
      <c r="BZ849" s="831">
        <v>43050</v>
      </c>
      <c r="CA849" s="832">
        <v>5</v>
      </c>
      <c r="CB849" s="833">
        <f t="shared" ca="1" si="726"/>
        <v>84</v>
      </c>
      <c r="CC849" s="834" t="str">
        <f t="shared" ca="1" si="727"/>
        <v>ТРЕБУЕТСЯ БУСТЕРНАЯ ДОЗА</v>
      </c>
      <c r="CD849" s="835">
        <f t="shared" si="728"/>
        <v>43071</v>
      </c>
      <c r="CE849" s="839"/>
      <c r="CF849" s="832"/>
      <c r="CG849" s="833" t="str">
        <f t="shared" si="729"/>
        <v>-</v>
      </c>
      <c r="CH849" s="836" t="str">
        <f t="shared" si="730"/>
        <v>-</v>
      </c>
      <c r="CI849" s="837" t="str">
        <f t="shared" si="731"/>
        <v>-</v>
      </c>
      <c r="CJ849" s="838" t="str">
        <f t="shared" si="732"/>
        <v>-</v>
      </c>
      <c r="CK849" s="831"/>
      <c r="CL849" s="832"/>
      <c r="CM849" s="833" t="str">
        <f t="shared" si="733"/>
        <v>-</v>
      </c>
      <c r="CN849" s="834" t="str">
        <f t="shared" si="734"/>
        <v>-</v>
      </c>
      <c r="CO849" s="830" t="str">
        <f t="shared" ca="1" si="735"/>
        <v>-</v>
      </c>
      <c r="CP849" s="839"/>
      <c r="CQ849" s="832"/>
      <c r="CR849" s="833" t="str">
        <f t="shared" si="736"/>
        <v>-</v>
      </c>
      <c r="CS849" s="833" t="str">
        <f t="shared" si="737"/>
        <v>-</v>
      </c>
      <c r="CT849" s="834" t="str">
        <f t="shared" si="738"/>
        <v>-</v>
      </c>
      <c r="CU849" s="835" t="str">
        <f t="shared" si="739"/>
        <v>-</v>
      </c>
      <c r="CV849" s="839"/>
      <c r="CW849" s="832"/>
      <c r="CX849" s="833" t="str">
        <f t="shared" si="740"/>
        <v>-</v>
      </c>
      <c r="CY849" s="840" t="str">
        <f t="shared" si="741"/>
        <v>-</v>
      </c>
      <c r="CZ849" s="833" t="str">
        <f t="shared" si="742"/>
        <v>-</v>
      </c>
      <c r="DA849" s="838" t="str">
        <f t="shared" ca="1" si="743"/>
        <v>-</v>
      </c>
      <c r="DB849" s="841"/>
      <c r="DC849" s="832"/>
    </row>
    <row r="850" spans="1:107" x14ac:dyDescent="0.25">
      <c r="A850" s="790">
        <v>854</v>
      </c>
      <c r="B850" s="791">
        <f t="shared" ca="1" si="692"/>
        <v>43134</v>
      </c>
      <c r="C850" s="29" t="s">
        <v>3340</v>
      </c>
      <c r="D850" s="59" t="s">
        <v>1635</v>
      </c>
      <c r="E850" s="794" t="s">
        <v>1563</v>
      </c>
      <c r="F850" s="795" t="s">
        <v>3168</v>
      </c>
      <c r="G850" s="845"/>
      <c r="H850" s="797" t="s">
        <v>603</v>
      </c>
      <c r="I850" s="798">
        <v>43001</v>
      </c>
      <c r="J850" s="799">
        <f t="shared" ca="1" si="693"/>
        <v>0.36438356164383562</v>
      </c>
      <c r="K850" s="799">
        <f t="shared" ca="1" si="694"/>
        <v>4.4333333333333336</v>
      </c>
      <c r="L850" s="800">
        <f t="shared" ca="1" si="695"/>
        <v>133</v>
      </c>
      <c r="M850" s="801"/>
      <c r="N850" s="802"/>
      <c r="O850" s="803" t="str">
        <f t="shared" ca="1" si="696"/>
        <v>-</v>
      </c>
      <c r="P850" s="804"/>
      <c r="Q850" s="805"/>
      <c r="R850" s="806"/>
      <c r="S850" s="807"/>
      <c r="T850" s="798"/>
      <c r="U850" s="798" t="str">
        <f t="shared" si="697"/>
        <v>-</v>
      </c>
      <c r="V850" s="804" t="str">
        <f t="shared" ca="1" si="698"/>
        <v>-</v>
      </c>
      <c r="W850" s="808">
        <v>0</v>
      </c>
      <c r="X850" s="794" t="str">
        <f t="shared" si="691"/>
        <v>-</v>
      </c>
      <c r="Y850" s="808">
        <v>0</v>
      </c>
      <c r="Z850" s="809" t="str">
        <f t="shared" ca="1" si="699"/>
        <v>-----</v>
      </c>
      <c r="AA850" s="810">
        <f t="shared" ca="1" si="700"/>
        <v>43134</v>
      </c>
      <c r="AB850" s="804"/>
      <c r="AC850" s="811" t="str">
        <f t="shared" ca="1" si="701"/>
        <v>-----</v>
      </c>
      <c r="AD850" s="798"/>
      <c r="AE850" s="794" t="str">
        <f t="shared" ca="1" si="702"/>
        <v>-</v>
      </c>
      <c r="AF850" s="798" t="str">
        <f t="shared" si="703"/>
        <v>-</v>
      </c>
      <c r="AG850" s="812" t="str">
        <f t="shared" si="704"/>
        <v>---------</v>
      </c>
      <c r="AH850" s="807"/>
      <c r="AI850" s="807" t="str">
        <f t="shared" si="705"/>
        <v>-</v>
      </c>
      <c r="AJ850" s="807" t="str">
        <f t="shared" si="706"/>
        <v>-</v>
      </c>
      <c r="AK850" s="813"/>
      <c r="AL850" s="807" t="str">
        <f t="shared" si="707"/>
        <v>-</v>
      </c>
      <c r="AM850" s="807" t="str">
        <f t="shared" si="708"/>
        <v>-</v>
      </c>
      <c r="AN850" s="814" t="str">
        <f t="shared" ca="1" si="709"/>
        <v>-</v>
      </c>
      <c r="AO850" s="815">
        <v>1</v>
      </c>
      <c r="AP850" s="816" t="str">
        <f t="shared" ca="1" si="710"/>
        <v>-</v>
      </c>
      <c r="AQ850" s="817"/>
      <c r="AR850" s="794" t="str">
        <f t="shared" si="711"/>
        <v>-</v>
      </c>
      <c r="AS850" s="818"/>
      <c r="AT850" s="794" t="str">
        <f t="shared" si="712"/>
        <v>-</v>
      </c>
      <c r="AU850" s="819"/>
      <c r="AV850" s="865"/>
      <c r="AW850" s="821"/>
      <c r="AX850" s="821"/>
      <c r="AY850" s="969" t="str">
        <f t="shared" si="713"/>
        <v>-</v>
      </c>
      <c r="AZ850" s="966" t="str">
        <f t="shared" si="714"/>
        <v>-</v>
      </c>
      <c r="BA850" s="971" t="str">
        <f t="shared" si="715"/>
        <v>-</v>
      </c>
      <c r="BB850" s="975"/>
      <c r="BC850" s="821"/>
      <c r="BD850" s="821"/>
      <c r="BE850" s="963" t="str">
        <f t="shared" si="716"/>
        <v>-</v>
      </c>
      <c r="BF850" s="984"/>
      <c r="BG850" s="988"/>
      <c r="BH850" s="982"/>
      <c r="BI850" s="991"/>
      <c r="BJ850" s="991"/>
      <c r="BK850" s="993" t="str">
        <f t="shared" si="717"/>
        <v>-</v>
      </c>
      <c r="BL850" s="865"/>
      <c r="BM850" s="821"/>
      <c r="BN850" s="822" t="str">
        <f t="shared" si="718"/>
        <v>-</v>
      </c>
      <c r="BO850" s="823" t="str">
        <f t="shared" si="719"/>
        <v>-</v>
      </c>
      <c r="BP850" s="868"/>
      <c r="BQ850" s="821"/>
      <c r="BR850" s="822" t="str">
        <f t="shared" si="720"/>
        <v>-</v>
      </c>
      <c r="BS850" s="823" t="str">
        <f t="shared" si="721"/>
        <v>-</v>
      </c>
      <c r="BT850" s="825" t="str">
        <f t="shared" ca="1" si="722"/>
        <v>-</v>
      </c>
      <c r="BU850" s="860">
        <v>43009</v>
      </c>
      <c r="BV850" s="827">
        <v>2</v>
      </c>
      <c r="BW850" s="828">
        <f t="shared" si="723"/>
        <v>8</v>
      </c>
      <c r="BX850" s="829">
        <f t="shared" ca="1" si="724"/>
        <v>125</v>
      </c>
      <c r="BY850" s="830" t="str">
        <f t="shared" ca="1" si="725"/>
        <v>-</v>
      </c>
      <c r="BZ850" s="831">
        <v>43050</v>
      </c>
      <c r="CA850" s="832">
        <v>5</v>
      </c>
      <c r="CB850" s="833">
        <f t="shared" ca="1" si="726"/>
        <v>84</v>
      </c>
      <c r="CC850" s="834" t="str">
        <f t="shared" ca="1" si="727"/>
        <v>ТРЕБУЕТСЯ БУСТЕРНАЯ ДОЗА</v>
      </c>
      <c r="CD850" s="835">
        <f t="shared" si="728"/>
        <v>43071</v>
      </c>
      <c r="CE850" s="839"/>
      <c r="CF850" s="832"/>
      <c r="CG850" s="833" t="str">
        <f t="shared" si="729"/>
        <v>-</v>
      </c>
      <c r="CH850" s="836" t="str">
        <f t="shared" si="730"/>
        <v>-</v>
      </c>
      <c r="CI850" s="837" t="str">
        <f t="shared" si="731"/>
        <v>-</v>
      </c>
      <c r="CJ850" s="838" t="str">
        <f t="shared" si="732"/>
        <v>-</v>
      </c>
      <c r="CK850" s="831"/>
      <c r="CL850" s="832"/>
      <c r="CM850" s="833" t="str">
        <f t="shared" si="733"/>
        <v>-</v>
      </c>
      <c r="CN850" s="834" t="str">
        <f t="shared" si="734"/>
        <v>-</v>
      </c>
      <c r="CO850" s="830" t="str">
        <f t="shared" ca="1" si="735"/>
        <v>-</v>
      </c>
      <c r="CP850" s="839"/>
      <c r="CQ850" s="832"/>
      <c r="CR850" s="833" t="str">
        <f t="shared" si="736"/>
        <v>-</v>
      </c>
      <c r="CS850" s="833" t="str">
        <f t="shared" si="737"/>
        <v>-</v>
      </c>
      <c r="CT850" s="834" t="str">
        <f t="shared" si="738"/>
        <v>-</v>
      </c>
      <c r="CU850" s="835" t="str">
        <f t="shared" si="739"/>
        <v>-</v>
      </c>
      <c r="CV850" s="839"/>
      <c r="CW850" s="832"/>
      <c r="CX850" s="833" t="str">
        <f t="shared" si="740"/>
        <v>-</v>
      </c>
      <c r="CY850" s="840" t="str">
        <f t="shared" si="741"/>
        <v>-</v>
      </c>
      <c r="CZ850" s="833" t="str">
        <f t="shared" si="742"/>
        <v>-</v>
      </c>
      <c r="DA850" s="838" t="str">
        <f t="shared" ca="1" si="743"/>
        <v>-</v>
      </c>
      <c r="DB850" s="841"/>
      <c r="DC850" s="832"/>
    </row>
    <row r="851" spans="1:107" x14ac:dyDescent="0.25">
      <c r="A851" s="790">
        <v>855</v>
      </c>
      <c r="B851" s="791">
        <f t="shared" ca="1" si="692"/>
        <v>43134</v>
      </c>
      <c r="C851" s="29" t="s">
        <v>3340</v>
      </c>
      <c r="D851" s="59" t="s">
        <v>1635</v>
      </c>
      <c r="E851" s="794" t="s">
        <v>1563</v>
      </c>
      <c r="F851" s="795" t="s">
        <v>3170</v>
      </c>
      <c r="G851" s="845"/>
      <c r="H851" s="797" t="s">
        <v>603</v>
      </c>
      <c r="I851" s="798">
        <v>43002</v>
      </c>
      <c r="J851" s="799">
        <f t="shared" ca="1" si="693"/>
        <v>0.36164383561643837</v>
      </c>
      <c r="K851" s="799">
        <f t="shared" ca="1" si="694"/>
        <v>4.4000000000000004</v>
      </c>
      <c r="L851" s="800">
        <f t="shared" ca="1" si="695"/>
        <v>132</v>
      </c>
      <c r="M851" s="801"/>
      <c r="N851" s="802"/>
      <c r="O851" s="803" t="str">
        <f t="shared" ca="1" si="696"/>
        <v>-</v>
      </c>
      <c r="P851" s="804"/>
      <c r="Q851" s="805"/>
      <c r="R851" s="806"/>
      <c r="S851" s="807"/>
      <c r="T851" s="798"/>
      <c r="U851" s="798" t="str">
        <f t="shared" si="697"/>
        <v>-</v>
      </c>
      <c r="V851" s="804" t="str">
        <f t="shared" ca="1" si="698"/>
        <v>-</v>
      </c>
      <c r="W851" s="808">
        <v>0</v>
      </c>
      <c r="X851" s="794" t="str">
        <f t="shared" si="691"/>
        <v>-</v>
      </c>
      <c r="Y851" s="808">
        <v>0</v>
      </c>
      <c r="Z851" s="809" t="str">
        <f t="shared" ca="1" si="699"/>
        <v>-----</v>
      </c>
      <c r="AA851" s="810">
        <f t="shared" ca="1" si="700"/>
        <v>43134</v>
      </c>
      <c r="AB851" s="804"/>
      <c r="AC851" s="811" t="str">
        <f t="shared" ca="1" si="701"/>
        <v>-----</v>
      </c>
      <c r="AD851" s="798"/>
      <c r="AE851" s="794" t="str">
        <f t="shared" ca="1" si="702"/>
        <v>-</v>
      </c>
      <c r="AF851" s="798" t="str">
        <f t="shared" si="703"/>
        <v>-</v>
      </c>
      <c r="AG851" s="812" t="str">
        <f t="shared" si="704"/>
        <v>---------</v>
      </c>
      <c r="AH851" s="807"/>
      <c r="AI851" s="807" t="str">
        <f t="shared" si="705"/>
        <v>-</v>
      </c>
      <c r="AJ851" s="807" t="str">
        <f t="shared" si="706"/>
        <v>-</v>
      </c>
      <c r="AK851" s="813"/>
      <c r="AL851" s="807" t="str">
        <f t="shared" si="707"/>
        <v>-</v>
      </c>
      <c r="AM851" s="807" t="str">
        <f t="shared" si="708"/>
        <v>-</v>
      </c>
      <c r="AN851" s="814" t="str">
        <f t="shared" ca="1" si="709"/>
        <v>-</v>
      </c>
      <c r="AO851" s="815">
        <v>1</v>
      </c>
      <c r="AP851" s="816" t="str">
        <f t="shared" ca="1" si="710"/>
        <v>-</v>
      </c>
      <c r="AQ851" s="817"/>
      <c r="AR851" s="794" t="str">
        <f t="shared" si="711"/>
        <v>-</v>
      </c>
      <c r="AS851" s="818"/>
      <c r="AT851" s="794" t="str">
        <f t="shared" si="712"/>
        <v>-</v>
      </c>
      <c r="AU851" s="819"/>
      <c r="AV851" s="865"/>
      <c r="AW851" s="821"/>
      <c r="AX851" s="821"/>
      <c r="AY851" s="969" t="str">
        <f t="shared" si="713"/>
        <v>-</v>
      </c>
      <c r="AZ851" s="966" t="str">
        <f t="shared" si="714"/>
        <v>-</v>
      </c>
      <c r="BA851" s="971" t="str">
        <f t="shared" si="715"/>
        <v>-</v>
      </c>
      <c r="BB851" s="975"/>
      <c r="BC851" s="821"/>
      <c r="BD851" s="821"/>
      <c r="BE851" s="963" t="str">
        <f t="shared" si="716"/>
        <v>-</v>
      </c>
      <c r="BF851" s="984"/>
      <c r="BG851" s="988"/>
      <c r="BH851" s="982"/>
      <c r="BI851" s="991"/>
      <c r="BJ851" s="991"/>
      <c r="BK851" s="993" t="str">
        <f t="shared" si="717"/>
        <v>-</v>
      </c>
      <c r="BL851" s="865"/>
      <c r="BM851" s="821"/>
      <c r="BN851" s="822" t="str">
        <f t="shared" si="718"/>
        <v>-</v>
      </c>
      <c r="BO851" s="823" t="str">
        <f t="shared" si="719"/>
        <v>-</v>
      </c>
      <c r="BP851" s="868"/>
      <c r="BQ851" s="821"/>
      <c r="BR851" s="822" t="str">
        <f t="shared" si="720"/>
        <v>-</v>
      </c>
      <c r="BS851" s="823" t="str">
        <f t="shared" si="721"/>
        <v>-</v>
      </c>
      <c r="BT851" s="825" t="str">
        <f t="shared" ca="1" si="722"/>
        <v>-</v>
      </c>
      <c r="BU851" s="860">
        <v>43009</v>
      </c>
      <c r="BV851" s="827">
        <v>2</v>
      </c>
      <c r="BW851" s="828">
        <f t="shared" si="723"/>
        <v>7</v>
      </c>
      <c r="BX851" s="829">
        <f t="shared" ca="1" si="724"/>
        <v>125</v>
      </c>
      <c r="BY851" s="830" t="str">
        <f t="shared" ca="1" si="725"/>
        <v>-</v>
      </c>
      <c r="BZ851" s="831">
        <v>43050</v>
      </c>
      <c r="CA851" s="832">
        <v>5</v>
      </c>
      <c r="CB851" s="833">
        <f t="shared" ca="1" si="726"/>
        <v>84</v>
      </c>
      <c r="CC851" s="834" t="str">
        <f t="shared" ca="1" si="727"/>
        <v>ТРЕБУЕТСЯ БУСТЕРНАЯ ДОЗА</v>
      </c>
      <c r="CD851" s="835">
        <f t="shared" si="728"/>
        <v>43071</v>
      </c>
      <c r="CE851" s="839"/>
      <c r="CF851" s="832"/>
      <c r="CG851" s="833" t="str">
        <f t="shared" si="729"/>
        <v>-</v>
      </c>
      <c r="CH851" s="836" t="str">
        <f t="shared" si="730"/>
        <v>-</v>
      </c>
      <c r="CI851" s="837" t="str">
        <f t="shared" si="731"/>
        <v>-</v>
      </c>
      <c r="CJ851" s="838" t="str">
        <f t="shared" si="732"/>
        <v>-</v>
      </c>
      <c r="CK851" s="831"/>
      <c r="CL851" s="832"/>
      <c r="CM851" s="833" t="str">
        <f t="shared" si="733"/>
        <v>-</v>
      </c>
      <c r="CN851" s="834" t="str">
        <f t="shared" si="734"/>
        <v>-</v>
      </c>
      <c r="CO851" s="830" t="str">
        <f t="shared" ca="1" si="735"/>
        <v>-</v>
      </c>
      <c r="CP851" s="839"/>
      <c r="CQ851" s="832"/>
      <c r="CR851" s="833" t="str">
        <f t="shared" si="736"/>
        <v>-</v>
      </c>
      <c r="CS851" s="833" t="str">
        <f t="shared" si="737"/>
        <v>-</v>
      </c>
      <c r="CT851" s="834" t="str">
        <f t="shared" si="738"/>
        <v>-</v>
      </c>
      <c r="CU851" s="835" t="str">
        <f t="shared" si="739"/>
        <v>-</v>
      </c>
      <c r="CV851" s="839"/>
      <c r="CW851" s="832"/>
      <c r="CX851" s="833" t="str">
        <f t="shared" si="740"/>
        <v>-</v>
      </c>
      <c r="CY851" s="840" t="str">
        <f t="shared" si="741"/>
        <v>-</v>
      </c>
      <c r="CZ851" s="833" t="str">
        <f t="shared" si="742"/>
        <v>-</v>
      </c>
      <c r="DA851" s="838" t="str">
        <f t="shared" ca="1" si="743"/>
        <v>-</v>
      </c>
      <c r="DB851" s="841"/>
      <c r="DC851" s="832"/>
    </row>
    <row r="852" spans="1:107" x14ac:dyDescent="0.25">
      <c r="A852" s="790">
        <v>856</v>
      </c>
      <c r="B852" s="791">
        <f t="shared" ca="1" si="692"/>
        <v>43134</v>
      </c>
      <c r="C852" s="29" t="s">
        <v>3340</v>
      </c>
      <c r="D852" s="59" t="s">
        <v>1635</v>
      </c>
      <c r="E852" s="794" t="s">
        <v>1563</v>
      </c>
      <c r="F852" s="795" t="s">
        <v>3171</v>
      </c>
      <c r="G852" s="845"/>
      <c r="H852" s="797" t="s">
        <v>603</v>
      </c>
      <c r="I852" s="798">
        <v>43002</v>
      </c>
      <c r="J852" s="799">
        <f t="shared" ca="1" si="693"/>
        <v>0.36164383561643837</v>
      </c>
      <c r="K852" s="799">
        <f t="shared" ca="1" si="694"/>
        <v>4.4000000000000004</v>
      </c>
      <c r="L852" s="800">
        <f t="shared" ca="1" si="695"/>
        <v>132</v>
      </c>
      <c r="M852" s="801"/>
      <c r="N852" s="802"/>
      <c r="O852" s="803" t="str">
        <f t="shared" ca="1" si="696"/>
        <v>-</v>
      </c>
      <c r="P852" s="804"/>
      <c r="Q852" s="805"/>
      <c r="R852" s="806"/>
      <c r="S852" s="807"/>
      <c r="T852" s="798"/>
      <c r="U852" s="798" t="str">
        <f t="shared" si="697"/>
        <v>-</v>
      </c>
      <c r="V852" s="804" t="str">
        <f t="shared" ca="1" si="698"/>
        <v>-</v>
      </c>
      <c r="W852" s="808">
        <v>0</v>
      </c>
      <c r="X852" s="794" t="str">
        <f t="shared" si="691"/>
        <v>-</v>
      </c>
      <c r="Y852" s="808">
        <v>0</v>
      </c>
      <c r="Z852" s="809" t="str">
        <f t="shared" ca="1" si="699"/>
        <v>-----</v>
      </c>
      <c r="AA852" s="810">
        <f t="shared" ca="1" si="700"/>
        <v>43134</v>
      </c>
      <c r="AB852" s="804"/>
      <c r="AC852" s="811" t="str">
        <f t="shared" ca="1" si="701"/>
        <v>-----</v>
      </c>
      <c r="AD852" s="798"/>
      <c r="AE852" s="794" t="str">
        <f t="shared" ca="1" si="702"/>
        <v>-</v>
      </c>
      <c r="AF852" s="798" t="str">
        <f t="shared" si="703"/>
        <v>-</v>
      </c>
      <c r="AG852" s="812" t="str">
        <f t="shared" si="704"/>
        <v>---------</v>
      </c>
      <c r="AH852" s="807"/>
      <c r="AI852" s="807" t="str">
        <f t="shared" si="705"/>
        <v>-</v>
      </c>
      <c r="AJ852" s="807" t="str">
        <f t="shared" si="706"/>
        <v>-</v>
      </c>
      <c r="AK852" s="813"/>
      <c r="AL852" s="807" t="str">
        <f t="shared" si="707"/>
        <v>-</v>
      </c>
      <c r="AM852" s="807" t="str">
        <f t="shared" si="708"/>
        <v>-</v>
      </c>
      <c r="AN852" s="814" t="str">
        <f t="shared" ca="1" si="709"/>
        <v>-</v>
      </c>
      <c r="AO852" s="815">
        <v>1</v>
      </c>
      <c r="AP852" s="816" t="str">
        <f t="shared" ca="1" si="710"/>
        <v>-</v>
      </c>
      <c r="AQ852" s="817"/>
      <c r="AR852" s="794" t="str">
        <f t="shared" si="711"/>
        <v>-</v>
      </c>
      <c r="AS852" s="818"/>
      <c r="AT852" s="794" t="str">
        <f t="shared" si="712"/>
        <v>-</v>
      </c>
      <c r="AU852" s="819"/>
      <c r="AV852" s="865"/>
      <c r="AW852" s="821"/>
      <c r="AX852" s="821"/>
      <c r="AY852" s="969" t="str">
        <f t="shared" si="713"/>
        <v>-</v>
      </c>
      <c r="AZ852" s="966" t="str">
        <f t="shared" si="714"/>
        <v>-</v>
      </c>
      <c r="BA852" s="971" t="str">
        <f t="shared" si="715"/>
        <v>-</v>
      </c>
      <c r="BB852" s="975"/>
      <c r="BC852" s="821"/>
      <c r="BD852" s="821"/>
      <c r="BE852" s="963" t="str">
        <f t="shared" si="716"/>
        <v>-</v>
      </c>
      <c r="BF852" s="984"/>
      <c r="BG852" s="988"/>
      <c r="BH852" s="982"/>
      <c r="BI852" s="991"/>
      <c r="BJ852" s="991"/>
      <c r="BK852" s="993" t="str">
        <f t="shared" si="717"/>
        <v>-</v>
      </c>
      <c r="BL852" s="865"/>
      <c r="BM852" s="821"/>
      <c r="BN852" s="822" t="str">
        <f t="shared" si="718"/>
        <v>-</v>
      </c>
      <c r="BO852" s="823" t="str">
        <f t="shared" si="719"/>
        <v>-</v>
      </c>
      <c r="BP852" s="868"/>
      <c r="BQ852" s="821"/>
      <c r="BR852" s="822" t="str">
        <f t="shared" si="720"/>
        <v>-</v>
      </c>
      <c r="BS852" s="823" t="str">
        <f t="shared" si="721"/>
        <v>-</v>
      </c>
      <c r="BT852" s="825" t="str">
        <f t="shared" ca="1" si="722"/>
        <v>-</v>
      </c>
      <c r="BU852" s="860">
        <v>43009</v>
      </c>
      <c r="BV852" s="827">
        <v>2</v>
      </c>
      <c r="BW852" s="828">
        <f t="shared" si="723"/>
        <v>7</v>
      </c>
      <c r="BX852" s="829">
        <f t="shared" ca="1" si="724"/>
        <v>125</v>
      </c>
      <c r="BY852" s="830" t="str">
        <f t="shared" ca="1" si="725"/>
        <v>-</v>
      </c>
      <c r="BZ852" s="831">
        <v>43050</v>
      </c>
      <c r="CA852" s="832">
        <v>5</v>
      </c>
      <c r="CB852" s="833">
        <f t="shared" ca="1" si="726"/>
        <v>84</v>
      </c>
      <c r="CC852" s="834" t="str">
        <f t="shared" ca="1" si="727"/>
        <v>ТРЕБУЕТСЯ БУСТЕРНАЯ ДОЗА</v>
      </c>
      <c r="CD852" s="835">
        <f t="shared" si="728"/>
        <v>43071</v>
      </c>
      <c r="CE852" s="839"/>
      <c r="CF852" s="832"/>
      <c r="CG852" s="833" t="str">
        <f t="shared" si="729"/>
        <v>-</v>
      </c>
      <c r="CH852" s="836" t="str">
        <f t="shared" si="730"/>
        <v>-</v>
      </c>
      <c r="CI852" s="837" t="str">
        <f t="shared" si="731"/>
        <v>-</v>
      </c>
      <c r="CJ852" s="838" t="str">
        <f t="shared" si="732"/>
        <v>-</v>
      </c>
      <c r="CK852" s="831"/>
      <c r="CL852" s="832"/>
      <c r="CM852" s="833" t="str">
        <f t="shared" si="733"/>
        <v>-</v>
      </c>
      <c r="CN852" s="834" t="str">
        <f t="shared" si="734"/>
        <v>-</v>
      </c>
      <c r="CO852" s="830" t="str">
        <f t="shared" ca="1" si="735"/>
        <v>-</v>
      </c>
      <c r="CP852" s="839"/>
      <c r="CQ852" s="832"/>
      <c r="CR852" s="833" t="str">
        <f t="shared" si="736"/>
        <v>-</v>
      </c>
      <c r="CS852" s="833" t="str">
        <f t="shared" si="737"/>
        <v>-</v>
      </c>
      <c r="CT852" s="834" t="str">
        <f t="shared" si="738"/>
        <v>-</v>
      </c>
      <c r="CU852" s="835" t="str">
        <f t="shared" si="739"/>
        <v>-</v>
      </c>
      <c r="CV852" s="839"/>
      <c r="CW852" s="832"/>
      <c r="CX852" s="833" t="str">
        <f t="shared" si="740"/>
        <v>-</v>
      </c>
      <c r="CY852" s="840" t="str">
        <f t="shared" si="741"/>
        <v>-</v>
      </c>
      <c r="CZ852" s="833" t="str">
        <f t="shared" si="742"/>
        <v>-</v>
      </c>
      <c r="DA852" s="838" t="str">
        <f t="shared" ca="1" si="743"/>
        <v>-</v>
      </c>
      <c r="DB852" s="841"/>
      <c r="DC852" s="832"/>
    </row>
    <row r="853" spans="1:107" x14ac:dyDescent="0.25">
      <c r="A853" s="790">
        <v>857</v>
      </c>
      <c r="B853" s="791">
        <f t="shared" ca="1" si="692"/>
        <v>43134</v>
      </c>
      <c r="C853" s="29" t="s">
        <v>3340</v>
      </c>
      <c r="D853" s="59" t="s">
        <v>1635</v>
      </c>
      <c r="E853" s="794" t="s">
        <v>1563</v>
      </c>
      <c r="F853" s="795" t="s">
        <v>3172</v>
      </c>
      <c r="G853" s="845"/>
      <c r="H853" s="797" t="s">
        <v>603</v>
      </c>
      <c r="I853" s="798">
        <v>43002</v>
      </c>
      <c r="J853" s="799">
        <f t="shared" ca="1" si="693"/>
        <v>0.36164383561643837</v>
      </c>
      <c r="K853" s="799">
        <f t="shared" ca="1" si="694"/>
        <v>4.4000000000000004</v>
      </c>
      <c r="L853" s="800">
        <f t="shared" ca="1" si="695"/>
        <v>132</v>
      </c>
      <c r="M853" s="801"/>
      <c r="N853" s="802"/>
      <c r="O853" s="803" t="str">
        <f t="shared" ca="1" si="696"/>
        <v>-</v>
      </c>
      <c r="P853" s="804"/>
      <c r="Q853" s="805"/>
      <c r="R853" s="806"/>
      <c r="S853" s="807"/>
      <c r="T853" s="798"/>
      <c r="U853" s="798" t="str">
        <f t="shared" si="697"/>
        <v>-</v>
      </c>
      <c r="V853" s="804" t="str">
        <f t="shared" ca="1" si="698"/>
        <v>-</v>
      </c>
      <c r="W853" s="808">
        <v>0</v>
      </c>
      <c r="X853" s="794" t="str">
        <f t="shared" si="691"/>
        <v>-</v>
      </c>
      <c r="Y853" s="808">
        <v>0</v>
      </c>
      <c r="Z853" s="809" t="str">
        <f t="shared" ca="1" si="699"/>
        <v>-----</v>
      </c>
      <c r="AA853" s="810">
        <f t="shared" ca="1" si="700"/>
        <v>43134</v>
      </c>
      <c r="AB853" s="804"/>
      <c r="AC853" s="811" t="str">
        <f t="shared" ca="1" si="701"/>
        <v>-----</v>
      </c>
      <c r="AD853" s="798"/>
      <c r="AE853" s="794" t="str">
        <f t="shared" ca="1" si="702"/>
        <v>-</v>
      </c>
      <c r="AF853" s="798" t="str">
        <f t="shared" si="703"/>
        <v>-</v>
      </c>
      <c r="AG853" s="812" t="str">
        <f t="shared" si="704"/>
        <v>---------</v>
      </c>
      <c r="AH853" s="807"/>
      <c r="AI853" s="807" t="str">
        <f t="shared" si="705"/>
        <v>-</v>
      </c>
      <c r="AJ853" s="807" t="str">
        <f t="shared" si="706"/>
        <v>-</v>
      </c>
      <c r="AK853" s="813"/>
      <c r="AL853" s="807" t="str">
        <f t="shared" si="707"/>
        <v>-</v>
      </c>
      <c r="AM853" s="807" t="str">
        <f t="shared" si="708"/>
        <v>-</v>
      </c>
      <c r="AN853" s="814" t="str">
        <f t="shared" ca="1" si="709"/>
        <v>-</v>
      </c>
      <c r="AO853" s="815">
        <v>1</v>
      </c>
      <c r="AP853" s="816" t="str">
        <f t="shared" ca="1" si="710"/>
        <v>-</v>
      </c>
      <c r="AQ853" s="817"/>
      <c r="AR853" s="794" t="str">
        <f t="shared" si="711"/>
        <v>-</v>
      </c>
      <c r="AS853" s="818"/>
      <c r="AT853" s="794" t="str">
        <f t="shared" si="712"/>
        <v>-</v>
      </c>
      <c r="AU853" s="819"/>
      <c r="AV853" s="865"/>
      <c r="AW853" s="821"/>
      <c r="AX853" s="821"/>
      <c r="AY853" s="969" t="str">
        <f t="shared" si="713"/>
        <v>-</v>
      </c>
      <c r="AZ853" s="966" t="str">
        <f t="shared" si="714"/>
        <v>-</v>
      </c>
      <c r="BA853" s="971" t="str">
        <f t="shared" si="715"/>
        <v>-</v>
      </c>
      <c r="BB853" s="975"/>
      <c r="BC853" s="821"/>
      <c r="BD853" s="821"/>
      <c r="BE853" s="963" t="str">
        <f t="shared" si="716"/>
        <v>-</v>
      </c>
      <c r="BF853" s="984"/>
      <c r="BG853" s="988"/>
      <c r="BH853" s="982"/>
      <c r="BI853" s="991"/>
      <c r="BJ853" s="991"/>
      <c r="BK853" s="993" t="str">
        <f t="shared" si="717"/>
        <v>-</v>
      </c>
      <c r="BL853" s="865"/>
      <c r="BM853" s="821"/>
      <c r="BN853" s="822" t="str">
        <f t="shared" si="718"/>
        <v>-</v>
      </c>
      <c r="BO853" s="823" t="str">
        <f t="shared" si="719"/>
        <v>-</v>
      </c>
      <c r="BP853" s="868"/>
      <c r="BQ853" s="821"/>
      <c r="BR853" s="822" t="str">
        <f t="shared" si="720"/>
        <v>-</v>
      </c>
      <c r="BS853" s="823" t="str">
        <f t="shared" si="721"/>
        <v>-</v>
      </c>
      <c r="BT853" s="825" t="str">
        <f t="shared" ca="1" si="722"/>
        <v>-</v>
      </c>
      <c r="BU853" s="860">
        <v>43009</v>
      </c>
      <c r="BV853" s="827">
        <v>2</v>
      </c>
      <c r="BW853" s="828">
        <f t="shared" si="723"/>
        <v>7</v>
      </c>
      <c r="BX853" s="829">
        <f t="shared" ca="1" si="724"/>
        <v>125</v>
      </c>
      <c r="BY853" s="830" t="str">
        <f t="shared" ca="1" si="725"/>
        <v>-</v>
      </c>
      <c r="BZ853" s="831">
        <v>43050</v>
      </c>
      <c r="CA853" s="832">
        <v>5</v>
      </c>
      <c r="CB853" s="833">
        <f t="shared" ca="1" si="726"/>
        <v>84</v>
      </c>
      <c r="CC853" s="834" t="str">
        <f t="shared" ca="1" si="727"/>
        <v>ТРЕБУЕТСЯ БУСТЕРНАЯ ДОЗА</v>
      </c>
      <c r="CD853" s="835">
        <f t="shared" si="728"/>
        <v>43071</v>
      </c>
      <c r="CE853" s="839"/>
      <c r="CF853" s="832"/>
      <c r="CG853" s="833" t="str">
        <f t="shared" si="729"/>
        <v>-</v>
      </c>
      <c r="CH853" s="836" t="str">
        <f t="shared" si="730"/>
        <v>-</v>
      </c>
      <c r="CI853" s="837" t="str">
        <f t="shared" si="731"/>
        <v>-</v>
      </c>
      <c r="CJ853" s="838" t="str">
        <f t="shared" si="732"/>
        <v>-</v>
      </c>
      <c r="CK853" s="831"/>
      <c r="CL853" s="832"/>
      <c r="CM853" s="833" t="str">
        <f t="shared" si="733"/>
        <v>-</v>
      </c>
      <c r="CN853" s="834" t="str">
        <f t="shared" si="734"/>
        <v>-</v>
      </c>
      <c r="CO853" s="830" t="str">
        <f t="shared" ca="1" si="735"/>
        <v>-</v>
      </c>
      <c r="CP853" s="839"/>
      <c r="CQ853" s="832"/>
      <c r="CR853" s="833" t="str">
        <f t="shared" si="736"/>
        <v>-</v>
      </c>
      <c r="CS853" s="833" t="str">
        <f t="shared" si="737"/>
        <v>-</v>
      </c>
      <c r="CT853" s="834" t="str">
        <f t="shared" si="738"/>
        <v>-</v>
      </c>
      <c r="CU853" s="835" t="str">
        <f t="shared" si="739"/>
        <v>-</v>
      </c>
      <c r="CV853" s="839"/>
      <c r="CW853" s="832"/>
      <c r="CX853" s="833" t="str">
        <f t="shared" si="740"/>
        <v>-</v>
      </c>
      <c r="CY853" s="840" t="str">
        <f t="shared" si="741"/>
        <v>-</v>
      </c>
      <c r="CZ853" s="833" t="str">
        <f t="shared" si="742"/>
        <v>-</v>
      </c>
      <c r="DA853" s="838" t="str">
        <f t="shared" ca="1" si="743"/>
        <v>-</v>
      </c>
      <c r="DB853" s="841"/>
      <c r="DC853" s="832"/>
    </row>
    <row r="854" spans="1:107" x14ac:dyDescent="0.25">
      <c r="A854" s="790">
        <v>858</v>
      </c>
      <c r="B854" s="791">
        <f t="shared" ca="1" si="692"/>
        <v>43134</v>
      </c>
      <c r="C854" s="29" t="s">
        <v>3340</v>
      </c>
      <c r="D854" s="59" t="s">
        <v>1635</v>
      </c>
      <c r="E854" s="794" t="s">
        <v>1563</v>
      </c>
      <c r="F854" s="795" t="s">
        <v>3173</v>
      </c>
      <c r="G854" s="845"/>
      <c r="H854" s="797" t="s">
        <v>603</v>
      </c>
      <c r="I854" s="798">
        <v>43002</v>
      </c>
      <c r="J854" s="799">
        <f t="shared" ca="1" si="693"/>
        <v>0.36164383561643837</v>
      </c>
      <c r="K854" s="799">
        <f t="shared" ca="1" si="694"/>
        <v>4.4000000000000004</v>
      </c>
      <c r="L854" s="800">
        <f t="shared" ca="1" si="695"/>
        <v>132</v>
      </c>
      <c r="M854" s="801"/>
      <c r="N854" s="802"/>
      <c r="O854" s="803" t="str">
        <f t="shared" ca="1" si="696"/>
        <v>-</v>
      </c>
      <c r="P854" s="804"/>
      <c r="Q854" s="805"/>
      <c r="R854" s="806"/>
      <c r="S854" s="807"/>
      <c r="T854" s="798"/>
      <c r="U854" s="798" t="str">
        <f t="shared" si="697"/>
        <v>-</v>
      </c>
      <c r="V854" s="804" t="str">
        <f t="shared" ca="1" si="698"/>
        <v>-</v>
      </c>
      <c r="W854" s="808">
        <v>0</v>
      </c>
      <c r="X854" s="794" t="str">
        <f t="shared" si="691"/>
        <v>-</v>
      </c>
      <c r="Y854" s="808">
        <v>0</v>
      </c>
      <c r="Z854" s="809" t="str">
        <f t="shared" ca="1" si="699"/>
        <v>-----</v>
      </c>
      <c r="AA854" s="810">
        <f t="shared" ca="1" si="700"/>
        <v>43134</v>
      </c>
      <c r="AB854" s="804"/>
      <c r="AC854" s="811" t="str">
        <f t="shared" ca="1" si="701"/>
        <v>-----</v>
      </c>
      <c r="AD854" s="798"/>
      <c r="AE854" s="794" t="str">
        <f t="shared" ca="1" si="702"/>
        <v>-</v>
      </c>
      <c r="AF854" s="798" t="str">
        <f t="shared" si="703"/>
        <v>-</v>
      </c>
      <c r="AG854" s="812" t="str">
        <f t="shared" si="704"/>
        <v>---------</v>
      </c>
      <c r="AH854" s="807"/>
      <c r="AI854" s="807" t="str">
        <f t="shared" si="705"/>
        <v>-</v>
      </c>
      <c r="AJ854" s="807" t="str">
        <f t="shared" si="706"/>
        <v>-</v>
      </c>
      <c r="AK854" s="813"/>
      <c r="AL854" s="807" t="str">
        <f t="shared" si="707"/>
        <v>-</v>
      </c>
      <c r="AM854" s="807" t="str">
        <f t="shared" si="708"/>
        <v>-</v>
      </c>
      <c r="AN854" s="814" t="str">
        <f t="shared" ca="1" si="709"/>
        <v>-</v>
      </c>
      <c r="AO854" s="815">
        <v>1</v>
      </c>
      <c r="AP854" s="816" t="str">
        <f t="shared" ca="1" si="710"/>
        <v>-</v>
      </c>
      <c r="AQ854" s="817"/>
      <c r="AR854" s="794" t="str">
        <f t="shared" si="711"/>
        <v>-</v>
      </c>
      <c r="AS854" s="818"/>
      <c r="AT854" s="794" t="str">
        <f t="shared" si="712"/>
        <v>-</v>
      </c>
      <c r="AU854" s="819"/>
      <c r="AV854" s="865"/>
      <c r="AW854" s="821"/>
      <c r="AX854" s="821"/>
      <c r="AY854" s="969" t="str">
        <f t="shared" si="713"/>
        <v>-</v>
      </c>
      <c r="AZ854" s="966" t="str">
        <f t="shared" si="714"/>
        <v>-</v>
      </c>
      <c r="BA854" s="971" t="str">
        <f t="shared" si="715"/>
        <v>-</v>
      </c>
      <c r="BB854" s="975"/>
      <c r="BC854" s="821"/>
      <c r="BD854" s="821"/>
      <c r="BE854" s="963" t="str">
        <f t="shared" si="716"/>
        <v>-</v>
      </c>
      <c r="BF854" s="984"/>
      <c r="BG854" s="988"/>
      <c r="BH854" s="982"/>
      <c r="BI854" s="991"/>
      <c r="BJ854" s="991"/>
      <c r="BK854" s="993" t="str">
        <f t="shared" si="717"/>
        <v>-</v>
      </c>
      <c r="BL854" s="865"/>
      <c r="BM854" s="821"/>
      <c r="BN854" s="822" t="str">
        <f t="shared" si="718"/>
        <v>-</v>
      </c>
      <c r="BO854" s="823" t="str">
        <f t="shared" si="719"/>
        <v>-</v>
      </c>
      <c r="BP854" s="868"/>
      <c r="BQ854" s="821"/>
      <c r="BR854" s="822" t="str">
        <f t="shared" si="720"/>
        <v>-</v>
      </c>
      <c r="BS854" s="823" t="str">
        <f t="shared" si="721"/>
        <v>-</v>
      </c>
      <c r="BT854" s="825" t="str">
        <f t="shared" ca="1" si="722"/>
        <v>-</v>
      </c>
      <c r="BU854" s="860">
        <v>43009</v>
      </c>
      <c r="BV854" s="827">
        <v>2</v>
      </c>
      <c r="BW854" s="828">
        <f t="shared" si="723"/>
        <v>7</v>
      </c>
      <c r="BX854" s="829">
        <f t="shared" ca="1" si="724"/>
        <v>125</v>
      </c>
      <c r="BY854" s="830" t="str">
        <f t="shared" ca="1" si="725"/>
        <v>-</v>
      </c>
      <c r="BZ854" s="831">
        <v>43050</v>
      </c>
      <c r="CA854" s="832">
        <v>5</v>
      </c>
      <c r="CB854" s="833">
        <f t="shared" ca="1" si="726"/>
        <v>84</v>
      </c>
      <c r="CC854" s="834" t="str">
        <f t="shared" ca="1" si="727"/>
        <v>ТРЕБУЕТСЯ БУСТЕРНАЯ ДОЗА</v>
      </c>
      <c r="CD854" s="835">
        <f t="shared" si="728"/>
        <v>43071</v>
      </c>
      <c r="CE854" s="839"/>
      <c r="CF854" s="832"/>
      <c r="CG854" s="833" t="str">
        <f t="shared" si="729"/>
        <v>-</v>
      </c>
      <c r="CH854" s="836" t="str">
        <f t="shared" si="730"/>
        <v>-</v>
      </c>
      <c r="CI854" s="837" t="str">
        <f t="shared" si="731"/>
        <v>-</v>
      </c>
      <c r="CJ854" s="838" t="str">
        <f t="shared" si="732"/>
        <v>-</v>
      </c>
      <c r="CK854" s="831"/>
      <c r="CL854" s="832"/>
      <c r="CM854" s="833" t="str">
        <f t="shared" si="733"/>
        <v>-</v>
      </c>
      <c r="CN854" s="834" t="str">
        <f t="shared" si="734"/>
        <v>-</v>
      </c>
      <c r="CO854" s="830" t="str">
        <f t="shared" ca="1" si="735"/>
        <v>-</v>
      </c>
      <c r="CP854" s="839"/>
      <c r="CQ854" s="832"/>
      <c r="CR854" s="833" t="str">
        <f t="shared" si="736"/>
        <v>-</v>
      </c>
      <c r="CS854" s="833" t="str">
        <f t="shared" si="737"/>
        <v>-</v>
      </c>
      <c r="CT854" s="834" t="str">
        <f t="shared" si="738"/>
        <v>-</v>
      </c>
      <c r="CU854" s="835" t="str">
        <f t="shared" si="739"/>
        <v>-</v>
      </c>
      <c r="CV854" s="839"/>
      <c r="CW854" s="832"/>
      <c r="CX854" s="833" t="str">
        <f t="shared" si="740"/>
        <v>-</v>
      </c>
      <c r="CY854" s="840" t="str">
        <f t="shared" si="741"/>
        <v>-</v>
      </c>
      <c r="CZ854" s="833" t="str">
        <f t="shared" si="742"/>
        <v>-</v>
      </c>
      <c r="DA854" s="838" t="str">
        <f t="shared" ca="1" si="743"/>
        <v>-</v>
      </c>
      <c r="DB854" s="841"/>
      <c r="DC854" s="832"/>
    </row>
    <row r="855" spans="1:107" x14ac:dyDescent="0.25">
      <c r="A855" s="790">
        <v>859</v>
      </c>
      <c r="B855" s="791">
        <f t="shared" ca="1" si="692"/>
        <v>43134</v>
      </c>
      <c r="C855" s="29" t="s">
        <v>3340</v>
      </c>
      <c r="D855" s="59" t="s">
        <v>1635</v>
      </c>
      <c r="E855" s="794" t="s">
        <v>1563</v>
      </c>
      <c r="F855" s="795" t="s">
        <v>3174</v>
      </c>
      <c r="G855" s="845"/>
      <c r="H855" s="797" t="s">
        <v>603</v>
      </c>
      <c r="I855" s="798">
        <v>43002</v>
      </c>
      <c r="J855" s="799">
        <f t="shared" ca="1" si="693"/>
        <v>0.36164383561643837</v>
      </c>
      <c r="K855" s="799">
        <f t="shared" ca="1" si="694"/>
        <v>4.4000000000000004</v>
      </c>
      <c r="L855" s="800">
        <f t="shared" ca="1" si="695"/>
        <v>132</v>
      </c>
      <c r="M855" s="801"/>
      <c r="N855" s="802"/>
      <c r="O855" s="803" t="str">
        <f t="shared" ca="1" si="696"/>
        <v>-</v>
      </c>
      <c r="P855" s="804"/>
      <c r="Q855" s="805"/>
      <c r="R855" s="806"/>
      <c r="S855" s="807"/>
      <c r="T855" s="798"/>
      <c r="U855" s="798" t="str">
        <f t="shared" si="697"/>
        <v>-</v>
      </c>
      <c r="V855" s="804" t="str">
        <f t="shared" ca="1" si="698"/>
        <v>-</v>
      </c>
      <c r="W855" s="808">
        <v>0</v>
      </c>
      <c r="X855" s="794" t="str">
        <f t="shared" si="691"/>
        <v>-</v>
      </c>
      <c r="Y855" s="808">
        <v>0</v>
      </c>
      <c r="Z855" s="809" t="str">
        <f t="shared" ca="1" si="699"/>
        <v>-----</v>
      </c>
      <c r="AA855" s="810">
        <f t="shared" ca="1" si="700"/>
        <v>43134</v>
      </c>
      <c r="AB855" s="804"/>
      <c r="AC855" s="811" t="str">
        <f t="shared" ca="1" si="701"/>
        <v>-----</v>
      </c>
      <c r="AD855" s="798"/>
      <c r="AE855" s="794" t="str">
        <f t="shared" ca="1" si="702"/>
        <v>-</v>
      </c>
      <c r="AF855" s="798" t="str">
        <f t="shared" si="703"/>
        <v>-</v>
      </c>
      <c r="AG855" s="812" t="str">
        <f t="shared" si="704"/>
        <v>---------</v>
      </c>
      <c r="AH855" s="807"/>
      <c r="AI855" s="807" t="str">
        <f t="shared" si="705"/>
        <v>-</v>
      </c>
      <c r="AJ855" s="807" t="str">
        <f t="shared" si="706"/>
        <v>-</v>
      </c>
      <c r="AK855" s="813"/>
      <c r="AL855" s="807" t="str">
        <f t="shared" si="707"/>
        <v>-</v>
      </c>
      <c r="AM855" s="807" t="str">
        <f t="shared" si="708"/>
        <v>-</v>
      </c>
      <c r="AN855" s="814" t="str">
        <f t="shared" ca="1" si="709"/>
        <v>-</v>
      </c>
      <c r="AO855" s="815">
        <v>1</v>
      </c>
      <c r="AP855" s="816" t="str">
        <f t="shared" ca="1" si="710"/>
        <v>-</v>
      </c>
      <c r="AQ855" s="817"/>
      <c r="AR855" s="794" t="str">
        <f t="shared" si="711"/>
        <v>-</v>
      </c>
      <c r="AS855" s="818"/>
      <c r="AT855" s="794" t="str">
        <f t="shared" si="712"/>
        <v>-</v>
      </c>
      <c r="AU855" s="819"/>
      <c r="AV855" s="865"/>
      <c r="AW855" s="821"/>
      <c r="AX855" s="821"/>
      <c r="AY855" s="969" t="str">
        <f t="shared" si="713"/>
        <v>-</v>
      </c>
      <c r="AZ855" s="966" t="str">
        <f t="shared" si="714"/>
        <v>-</v>
      </c>
      <c r="BA855" s="971" t="str">
        <f t="shared" si="715"/>
        <v>-</v>
      </c>
      <c r="BB855" s="975"/>
      <c r="BC855" s="821"/>
      <c r="BD855" s="821"/>
      <c r="BE855" s="963" t="str">
        <f t="shared" si="716"/>
        <v>-</v>
      </c>
      <c r="BF855" s="984"/>
      <c r="BG855" s="988"/>
      <c r="BH855" s="982"/>
      <c r="BI855" s="991"/>
      <c r="BJ855" s="991"/>
      <c r="BK855" s="993" t="str">
        <f t="shared" si="717"/>
        <v>-</v>
      </c>
      <c r="BL855" s="865"/>
      <c r="BM855" s="821"/>
      <c r="BN855" s="822" t="str">
        <f t="shared" si="718"/>
        <v>-</v>
      </c>
      <c r="BO855" s="823" t="str">
        <f t="shared" si="719"/>
        <v>-</v>
      </c>
      <c r="BP855" s="868"/>
      <c r="BQ855" s="821"/>
      <c r="BR855" s="822" t="str">
        <f t="shared" si="720"/>
        <v>-</v>
      </c>
      <c r="BS855" s="823" t="str">
        <f t="shared" si="721"/>
        <v>-</v>
      </c>
      <c r="BT855" s="825" t="str">
        <f t="shared" ca="1" si="722"/>
        <v>-</v>
      </c>
      <c r="BU855" s="860">
        <v>43009</v>
      </c>
      <c r="BV855" s="827">
        <v>2</v>
      </c>
      <c r="BW855" s="828">
        <f t="shared" si="723"/>
        <v>7</v>
      </c>
      <c r="BX855" s="829">
        <f t="shared" ca="1" si="724"/>
        <v>125</v>
      </c>
      <c r="BY855" s="830" t="str">
        <f t="shared" ca="1" si="725"/>
        <v>-</v>
      </c>
      <c r="BZ855" s="831">
        <v>43050</v>
      </c>
      <c r="CA855" s="832">
        <v>5</v>
      </c>
      <c r="CB855" s="833">
        <f t="shared" ca="1" si="726"/>
        <v>84</v>
      </c>
      <c r="CC855" s="834" t="str">
        <f t="shared" ca="1" si="727"/>
        <v>ТРЕБУЕТСЯ БУСТЕРНАЯ ДОЗА</v>
      </c>
      <c r="CD855" s="835">
        <f t="shared" si="728"/>
        <v>43071</v>
      </c>
      <c r="CE855" s="839"/>
      <c r="CF855" s="832"/>
      <c r="CG855" s="833" t="str">
        <f t="shared" si="729"/>
        <v>-</v>
      </c>
      <c r="CH855" s="836" t="str">
        <f t="shared" si="730"/>
        <v>-</v>
      </c>
      <c r="CI855" s="837" t="str">
        <f t="shared" si="731"/>
        <v>-</v>
      </c>
      <c r="CJ855" s="838" t="str">
        <f t="shared" si="732"/>
        <v>-</v>
      </c>
      <c r="CK855" s="831"/>
      <c r="CL855" s="832"/>
      <c r="CM855" s="833" t="str">
        <f t="shared" si="733"/>
        <v>-</v>
      </c>
      <c r="CN855" s="834" t="str">
        <f t="shared" si="734"/>
        <v>-</v>
      </c>
      <c r="CO855" s="830" t="str">
        <f t="shared" ca="1" si="735"/>
        <v>-</v>
      </c>
      <c r="CP855" s="839"/>
      <c r="CQ855" s="832"/>
      <c r="CR855" s="833" t="str">
        <f t="shared" si="736"/>
        <v>-</v>
      </c>
      <c r="CS855" s="833" t="str">
        <f t="shared" si="737"/>
        <v>-</v>
      </c>
      <c r="CT855" s="834" t="str">
        <f t="shared" si="738"/>
        <v>-</v>
      </c>
      <c r="CU855" s="835" t="str">
        <f t="shared" si="739"/>
        <v>-</v>
      </c>
      <c r="CV855" s="839"/>
      <c r="CW855" s="832"/>
      <c r="CX855" s="833" t="str">
        <f t="shared" si="740"/>
        <v>-</v>
      </c>
      <c r="CY855" s="840" t="str">
        <f t="shared" si="741"/>
        <v>-</v>
      </c>
      <c r="CZ855" s="833" t="str">
        <f t="shared" si="742"/>
        <v>-</v>
      </c>
      <c r="DA855" s="838" t="str">
        <f t="shared" ca="1" si="743"/>
        <v>-</v>
      </c>
      <c r="DB855" s="841"/>
      <c r="DC855" s="832"/>
    </row>
    <row r="856" spans="1:107" x14ac:dyDescent="0.25">
      <c r="A856" s="790">
        <v>860</v>
      </c>
      <c r="B856" s="791">
        <f t="shared" ca="1" si="692"/>
        <v>43134</v>
      </c>
      <c r="C856" s="29" t="s">
        <v>3340</v>
      </c>
      <c r="D856" s="59" t="s">
        <v>1635</v>
      </c>
      <c r="E856" s="794" t="s">
        <v>1563</v>
      </c>
      <c r="F856" s="795" t="s">
        <v>3185</v>
      </c>
      <c r="G856" s="845"/>
      <c r="H856" s="797" t="s">
        <v>603</v>
      </c>
      <c r="I856" s="798">
        <v>43006</v>
      </c>
      <c r="J856" s="799">
        <f t="shared" ca="1" si="693"/>
        <v>0.35068493150684932</v>
      </c>
      <c r="K856" s="799">
        <f t="shared" ca="1" si="694"/>
        <v>4.2666666666666666</v>
      </c>
      <c r="L856" s="800">
        <f t="shared" ca="1" si="695"/>
        <v>128</v>
      </c>
      <c r="M856" s="801"/>
      <c r="N856" s="802"/>
      <c r="O856" s="803" t="str">
        <f t="shared" ca="1" si="696"/>
        <v>-</v>
      </c>
      <c r="P856" s="804"/>
      <c r="Q856" s="805"/>
      <c r="R856" s="806"/>
      <c r="S856" s="807"/>
      <c r="T856" s="798"/>
      <c r="U856" s="798" t="str">
        <f t="shared" si="697"/>
        <v>-</v>
      </c>
      <c r="V856" s="804" t="str">
        <f t="shared" ca="1" si="698"/>
        <v>-</v>
      </c>
      <c r="W856" s="808"/>
      <c r="X856" s="794" t="str">
        <f t="shared" si="691"/>
        <v>-</v>
      </c>
      <c r="Y856" s="794"/>
      <c r="Z856" s="809" t="str">
        <f t="shared" ca="1" si="699"/>
        <v>-----</v>
      </c>
      <c r="AA856" s="810">
        <f t="shared" ca="1" si="700"/>
        <v>43134</v>
      </c>
      <c r="AB856" s="804"/>
      <c r="AC856" s="811" t="str">
        <f t="shared" ca="1" si="701"/>
        <v>-----</v>
      </c>
      <c r="AD856" s="798"/>
      <c r="AE856" s="794" t="str">
        <f t="shared" ca="1" si="702"/>
        <v>-</v>
      </c>
      <c r="AF856" s="798" t="str">
        <f t="shared" si="703"/>
        <v>-</v>
      </c>
      <c r="AG856" s="812" t="str">
        <f t="shared" si="704"/>
        <v>---------</v>
      </c>
      <c r="AH856" s="807"/>
      <c r="AI856" s="807" t="str">
        <f t="shared" si="705"/>
        <v>-</v>
      </c>
      <c r="AJ856" s="807" t="str">
        <f t="shared" si="706"/>
        <v>-</v>
      </c>
      <c r="AK856" s="813"/>
      <c r="AL856" s="807" t="str">
        <f t="shared" si="707"/>
        <v>-</v>
      </c>
      <c r="AM856" s="807" t="str">
        <f t="shared" si="708"/>
        <v>-</v>
      </c>
      <c r="AN856" s="814" t="str">
        <f t="shared" ca="1" si="709"/>
        <v>-</v>
      </c>
      <c r="AO856" s="815">
        <v>1</v>
      </c>
      <c r="AP856" s="816" t="str">
        <f t="shared" ca="1" si="710"/>
        <v>-</v>
      </c>
      <c r="AQ856" s="817"/>
      <c r="AR856" s="794" t="str">
        <f t="shared" si="711"/>
        <v>-</v>
      </c>
      <c r="AS856" s="818"/>
      <c r="AT856" s="794" t="str">
        <f t="shared" si="712"/>
        <v>-</v>
      </c>
      <c r="AU856" s="819"/>
      <c r="AV856" s="865"/>
      <c r="AW856" s="821"/>
      <c r="AX856" s="821"/>
      <c r="AY856" s="969" t="str">
        <f t="shared" si="713"/>
        <v>-</v>
      </c>
      <c r="AZ856" s="966" t="str">
        <f t="shared" si="714"/>
        <v>-</v>
      </c>
      <c r="BA856" s="971" t="str">
        <f t="shared" si="715"/>
        <v>-</v>
      </c>
      <c r="BB856" s="975"/>
      <c r="BC856" s="821"/>
      <c r="BD856" s="821"/>
      <c r="BE856" s="963" t="str">
        <f t="shared" si="716"/>
        <v>-</v>
      </c>
      <c r="BF856" s="984"/>
      <c r="BG856" s="988"/>
      <c r="BH856" s="982"/>
      <c r="BI856" s="991"/>
      <c r="BJ856" s="991"/>
      <c r="BK856" s="993" t="str">
        <f t="shared" si="717"/>
        <v>-</v>
      </c>
      <c r="BL856" s="865"/>
      <c r="BM856" s="821"/>
      <c r="BN856" s="822" t="str">
        <f t="shared" si="718"/>
        <v>-</v>
      </c>
      <c r="BO856" s="823" t="str">
        <f t="shared" si="719"/>
        <v>-</v>
      </c>
      <c r="BP856" s="868"/>
      <c r="BQ856" s="821"/>
      <c r="BR856" s="822" t="str">
        <f t="shared" si="720"/>
        <v>-</v>
      </c>
      <c r="BS856" s="823" t="str">
        <f t="shared" si="721"/>
        <v>-</v>
      </c>
      <c r="BT856" s="825" t="str">
        <f t="shared" ca="1" si="722"/>
        <v>-</v>
      </c>
      <c r="BU856" s="860">
        <v>43009</v>
      </c>
      <c r="BV856" s="827">
        <v>2</v>
      </c>
      <c r="BW856" s="828">
        <f t="shared" si="723"/>
        <v>3</v>
      </c>
      <c r="BX856" s="829">
        <f t="shared" ca="1" si="724"/>
        <v>125</v>
      </c>
      <c r="BY856" s="830" t="str">
        <f t="shared" ca="1" si="725"/>
        <v>-</v>
      </c>
      <c r="BZ856" s="831">
        <v>43050</v>
      </c>
      <c r="CA856" s="832">
        <v>5</v>
      </c>
      <c r="CB856" s="833">
        <f t="shared" ca="1" si="726"/>
        <v>84</v>
      </c>
      <c r="CC856" s="834" t="str">
        <f t="shared" ca="1" si="727"/>
        <v>ТРЕБУЕТСЯ БУСТЕРНАЯ ДОЗА</v>
      </c>
      <c r="CD856" s="835">
        <f t="shared" si="728"/>
        <v>43071</v>
      </c>
      <c r="CE856" s="839"/>
      <c r="CF856" s="832"/>
      <c r="CG856" s="833" t="str">
        <f t="shared" si="729"/>
        <v>-</v>
      </c>
      <c r="CH856" s="836" t="str">
        <f t="shared" si="730"/>
        <v>-</v>
      </c>
      <c r="CI856" s="837" t="str">
        <f t="shared" si="731"/>
        <v>-</v>
      </c>
      <c r="CJ856" s="838" t="str">
        <f t="shared" si="732"/>
        <v>-</v>
      </c>
      <c r="CK856" s="831"/>
      <c r="CL856" s="832"/>
      <c r="CM856" s="833" t="str">
        <f t="shared" si="733"/>
        <v>-</v>
      </c>
      <c r="CN856" s="834" t="str">
        <f t="shared" si="734"/>
        <v>-</v>
      </c>
      <c r="CO856" s="830" t="str">
        <f t="shared" ca="1" si="735"/>
        <v>-</v>
      </c>
      <c r="CP856" s="839"/>
      <c r="CQ856" s="832"/>
      <c r="CR856" s="833" t="str">
        <f t="shared" si="736"/>
        <v>-</v>
      </c>
      <c r="CS856" s="833" t="str">
        <f t="shared" si="737"/>
        <v>-</v>
      </c>
      <c r="CT856" s="834" t="str">
        <f t="shared" si="738"/>
        <v>-</v>
      </c>
      <c r="CU856" s="835" t="str">
        <f t="shared" si="739"/>
        <v>-</v>
      </c>
      <c r="CV856" s="839"/>
      <c r="CW856" s="832"/>
      <c r="CX856" s="833" t="str">
        <f t="shared" si="740"/>
        <v>-</v>
      </c>
      <c r="CY856" s="840" t="str">
        <f t="shared" si="741"/>
        <v>-</v>
      </c>
      <c r="CZ856" s="833" t="str">
        <f t="shared" si="742"/>
        <v>-</v>
      </c>
      <c r="DA856" s="838" t="str">
        <f t="shared" ca="1" si="743"/>
        <v>-</v>
      </c>
      <c r="DB856" s="841"/>
      <c r="DC856" s="832"/>
    </row>
    <row r="857" spans="1:107" x14ac:dyDescent="0.25">
      <c r="A857" s="790">
        <v>861</v>
      </c>
      <c r="B857" s="791">
        <f t="shared" ca="1" si="692"/>
        <v>43134</v>
      </c>
      <c r="C857" s="29" t="s">
        <v>3340</v>
      </c>
      <c r="D857" s="59" t="s">
        <v>1635</v>
      </c>
      <c r="E857" s="794" t="s">
        <v>1563</v>
      </c>
      <c r="F857" s="795" t="s">
        <v>3186</v>
      </c>
      <c r="G857" s="845"/>
      <c r="H857" s="797" t="s">
        <v>603</v>
      </c>
      <c r="I857" s="798">
        <v>43006</v>
      </c>
      <c r="J857" s="799">
        <f t="shared" ca="1" si="693"/>
        <v>0.35068493150684932</v>
      </c>
      <c r="K857" s="799">
        <f t="shared" ca="1" si="694"/>
        <v>4.2666666666666666</v>
      </c>
      <c r="L857" s="800">
        <f t="shared" ca="1" si="695"/>
        <v>128</v>
      </c>
      <c r="M857" s="801"/>
      <c r="N857" s="802"/>
      <c r="O857" s="803" t="str">
        <f t="shared" ca="1" si="696"/>
        <v>-</v>
      </c>
      <c r="P857" s="804"/>
      <c r="Q857" s="805"/>
      <c r="R857" s="806"/>
      <c r="S857" s="807"/>
      <c r="T857" s="798"/>
      <c r="U857" s="798" t="str">
        <f t="shared" si="697"/>
        <v>-</v>
      </c>
      <c r="V857" s="804" t="str">
        <f t="shared" ca="1" si="698"/>
        <v>-</v>
      </c>
      <c r="W857" s="808"/>
      <c r="X857" s="794" t="str">
        <f t="shared" si="691"/>
        <v>-</v>
      </c>
      <c r="Y857" s="794"/>
      <c r="Z857" s="809" t="str">
        <f t="shared" ca="1" si="699"/>
        <v>-----</v>
      </c>
      <c r="AA857" s="810">
        <f t="shared" ca="1" si="700"/>
        <v>43134</v>
      </c>
      <c r="AB857" s="804"/>
      <c r="AC857" s="811" t="str">
        <f t="shared" ca="1" si="701"/>
        <v>-----</v>
      </c>
      <c r="AD857" s="798"/>
      <c r="AE857" s="794" t="str">
        <f t="shared" ca="1" si="702"/>
        <v>-</v>
      </c>
      <c r="AF857" s="798" t="str">
        <f t="shared" si="703"/>
        <v>-</v>
      </c>
      <c r="AG857" s="812" t="str">
        <f t="shared" si="704"/>
        <v>---------</v>
      </c>
      <c r="AH857" s="807"/>
      <c r="AI857" s="807" t="str">
        <f t="shared" si="705"/>
        <v>-</v>
      </c>
      <c r="AJ857" s="807" t="str">
        <f t="shared" si="706"/>
        <v>-</v>
      </c>
      <c r="AK857" s="813"/>
      <c r="AL857" s="807" t="str">
        <f t="shared" si="707"/>
        <v>-</v>
      </c>
      <c r="AM857" s="807" t="str">
        <f t="shared" si="708"/>
        <v>-</v>
      </c>
      <c r="AN857" s="814" t="str">
        <f t="shared" ca="1" si="709"/>
        <v>-</v>
      </c>
      <c r="AO857" s="815">
        <v>1</v>
      </c>
      <c r="AP857" s="816" t="str">
        <f t="shared" ca="1" si="710"/>
        <v>-</v>
      </c>
      <c r="AQ857" s="817"/>
      <c r="AR857" s="794" t="str">
        <f t="shared" si="711"/>
        <v>-</v>
      </c>
      <c r="AS857" s="818"/>
      <c r="AT857" s="794" t="str">
        <f t="shared" si="712"/>
        <v>-</v>
      </c>
      <c r="AU857" s="819"/>
      <c r="AV857" s="865"/>
      <c r="AW857" s="821"/>
      <c r="AX857" s="821"/>
      <c r="AY857" s="969" t="str">
        <f t="shared" si="713"/>
        <v>-</v>
      </c>
      <c r="AZ857" s="966" t="str">
        <f t="shared" si="714"/>
        <v>-</v>
      </c>
      <c r="BA857" s="971" t="str">
        <f t="shared" si="715"/>
        <v>-</v>
      </c>
      <c r="BB857" s="975"/>
      <c r="BC857" s="821"/>
      <c r="BD857" s="821"/>
      <c r="BE857" s="963" t="str">
        <f t="shared" si="716"/>
        <v>-</v>
      </c>
      <c r="BF857" s="984"/>
      <c r="BG857" s="988"/>
      <c r="BH857" s="982"/>
      <c r="BI857" s="991"/>
      <c r="BJ857" s="991"/>
      <c r="BK857" s="993" t="str">
        <f t="shared" si="717"/>
        <v>-</v>
      </c>
      <c r="BL857" s="865"/>
      <c r="BM857" s="821"/>
      <c r="BN857" s="822" t="str">
        <f t="shared" si="718"/>
        <v>-</v>
      </c>
      <c r="BO857" s="823" t="str">
        <f t="shared" si="719"/>
        <v>-</v>
      </c>
      <c r="BP857" s="868"/>
      <c r="BQ857" s="821"/>
      <c r="BR857" s="822" t="str">
        <f t="shared" si="720"/>
        <v>-</v>
      </c>
      <c r="BS857" s="823" t="str">
        <f t="shared" si="721"/>
        <v>-</v>
      </c>
      <c r="BT857" s="825" t="str">
        <f t="shared" ca="1" si="722"/>
        <v>-</v>
      </c>
      <c r="BU857" s="860">
        <v>43009</v>
      </c>
      <c r="BV857" s="827">
        <v>2</v>
      </c>
      <c r="BW857" s="828">
        <f t="shared" si="723"/>
        <v>3</v>
      </c>
      <c r="BX857" s="829">
        <f t="shared" ca="1" si="724"/>
        <v>125</v>
      </c>
      <c r="BY857" s="830" t="str">
        <f t="shared" ca="1" si="725"/>
        <v>-</v>
      </c>
      <c r="BZ857" s="831">
        <v>43050</v>
      </c>
      <c r="CA857" s="832">
        <v>5</v>
      </c>
      <c r="CB857" s="833">
        <f t="shared" ca="1" si="726"/>
        <v>84</v>
      </c>
      <c r="CC857" s="834" t="str">
        <f t="shared" ca="1" si="727"/>
        <v>ТРЕБУЕТСЯ БУСТЕРНАЯ ДОЗА</v>
      </c>
      <c r="CD857" s="835">
        <f t="shared" si="728"/>
        <v>43071</v>
      </c>
      <c r="CE857" s="839"/>
      <c r="CF857" s="832"/>
      <c r="CG857" s="833" t="str">
        <f t="shared" si="729"/>
        <v>-</v>
      </c>
      <c r="CH857" s="836" t="str">
        <f t="shared" si="730"/>
        <v>-</v>
      </c>
      <c r="CI857" s="837" t="str">
        <f t="shared" si="731"/>
        <v>-</v>
      </c>
      <c r="CJ857" s="838" t="str">
        <f t="shared" si="732"/>
        <v>-</v>
      </c>
      <c r="CK857" s="831"/>
      <c r="CL857" s="832"/>
      <c r="CM857" s="833" t="str">
        <f t="shared" si="733"/>
        <v>-</v>
      </c>
      <c r="CN857" s="834" t="str">
        <f t="shared" si="734"/>
        <v>-</v>
      </c>
      <c r="CO857" s="830" t="str">
        <f t="shared" ca="1" si="735"/>
        <v>-</v>
      </c>
      <c r="CP857" s="839"/>
      <c r="CQ857" s="832"/>
      <c r="CR857" s="833" t="str">
        <f t="shared" si="736"/>
        <v>-</v>
      </c>
      <c r="CS857" s="833" t="str">
        <f t="shared" si="737"/>
        <v>-</v>
      </c>
      <c r="CT857" s="834" t="str">
        <f t="shared" si="738"/>
        <v>-</v>
      </c>
      <c r="CU857" s="835" t="str">
        <f t="shared" si="739"/>
        <v>-</v>
      </c>
      <c r="CV857" s="839"/>
      <c r="CW857" s="832"/>
      <c r="CX857" s="833" t="str">
        <f t="shared" si="740"/>
        <v>-</v>
      </c>
      <c r="CY857" s="840" t="str">
        <f t="shared" si="741"/>
        <v>-</v>
      </c>
      <c r="CZ857" s="833" t="str">
        <f t="shared" si="742"/>
        <v>-</v>
      </c>
      <c r="DA857" s="838" t="str">
        <f t="shared" ca="1" si="743"/>
        <v>-</v>
      </c>
      <c r="DB857" s="841"/>
      <c r="DC857" s="832"/>
    </row>
    <row r="858" spans="1:107" x14ac:dyDescent="0.25">
      <c r="A858" s="790">
        <v>862</v>
      </c>
      <c r="B858" s="791">
        <f t="shared" ca="1" si="692"/>
        <v>43134</v>
      </c>
      <c r="C858" s="29" t="s">
        <v>3340</v>
      </c>
      <c r="D858" s="59" t="s">
        <v>1635</v>
      </c>
      <c r="E858" s="794" t="s">
        <v>1563</v>
      </c>
      <c r="F858" s="795" t="s">
        <v>3195</v>
      </c>
      <c r="G858" s="845"/>
      <c r="H858" s="797" t="s">
        <v>603</v>
      </c>
      <c r="I858" s="798">
        <v>43010</v>
      </c>
      <c r="J858" s="799">
        <f t="shared" ca="1" si="693"/>
        <v>0.33972602739726027</v>
      </c>
      <c r="K858" s="799">
        <f t="shared" ca="1" si="694"/>
        <v>4.1333333333333337</v>
      </c>
      <c r="L858" s="800">
        <f t="shared" ca="1" si="695"/>
        <v>124</v>
      </c>
      <c r="M858" s="801"/>
      <c r="N858" s="802"/>
      <c r="O858" s="803" t="str">
        <f t="shared" ca="1" si="696"/>
        <v>-</v>
      </c>
      <c r="P858" s="804"/>
      <c r="Q858" s="805"/>
      <c r="R858" s="806"/>
      <c r="S858" s="807"/>
      <c r="T858" s="798"/>
      <c r="U858" s="798" t="str">
        <f t="shared" si="697"/>
        <v>-</v>
      </c>
      <c r="V858" s="804" t="str">
        <f t="shared" ca="1" si="698"/>
        <v>-</v>
      </c>
      <c r="W858" s="808"/>
      <c r="X858" s="794" t="str">
        <f t="shared" si="691"/>
        <v>-</v>
      </c>
      <c r="Y858" s="794"/>
      <c r="Z858" s="809" t="str">
        <f t="shared" ca="1" si="699"/>
        <v>-----</v>
      </c>
      <c r="AA858" s="810">
        <f t="shared" ca="1" si="700"/>
        <v>43134</v>
      </c>
      <c r="AB858" s="804"/>
      <c r="AC858" s="811" t="str">
        <f t="shared" ca="1" si="701"/>
        <v>-----</v>
      </c>
      <c r="AD858" s="798"/>
      <c r="AE858" s="794" t="str">
        <f t="shared" ca="1" si="702"/>
        <v>-</v>
      </c>
      <c r="AF858" s="798" t="str">
        <f t="shared" si="703"/>
        <v>-</v>
      </c>
      <c r="AG858" s="812" t="str">
        <f t="shared" si="704"/>
        <v>---------</v>
      </c>
      <c r="AH858" s="807"/>
      <c r="AI858" s="807" t="str">
        <f t="shared" si="705"/>
        <v>-</v>
      </c>
      <c r="AJ858" s="807" t="str">
        <f t="shared" si="706"/>
        <v>-</v>
      </c>
      <c r="AK858" s="813"/>
      <c r="AL858" s="807" t="str">
        <f t="shared" si="707"/>
        <v>-</v>
      </c>
      <c r="AM858" s="807" t="str">
        <f t="shared" si="708"/>
        <v>-</v>
      </c>
      <c r="AN858" s="814" t="str">
        <f t="shared" ca="1" si="709"/>
        <v>-</v>
      </c>
      <c r="AO858" s="815">
        <v>1</v>
      </c>
      <c r="AP858" s="816" t="str">
        <f t="shared" ca="1" si="710"/>
        <v>-</v>
      </c>
      <c r="AQ858" s="817"/>
      <c r="AR858" s="794" t="str">
        <f t="shared" si="711"/>
        <v>-</v>
      </c>
      <c r="AS858" s="818"/>
      <c r="AT858" s="794" t="str">
        <f t="shared" si="712"/>
        <v>-</v>
      </c>
      <c r="AU858" s="819"/>
      <c r="AV858" s="865"/>
      <c r="AW858" s="821"/>
      <c r="AX858" s="821"/>
      <c r="AY858" s="969" t="str">
        <f t="shared" si="713"/>
        <v>-</v>
      </c>
      <c r="AZ858" s="966" t="str">
        <f t="shared" si="714"/>
        <v>-</v>
      </c>
      <c r="BA858" s="971" t="str">
        <f t="shared" si="715"/>
        <v>-</v>
      </c>
      <c r="BB858" s="975"/>
      <c r="BC858" s="821"/>
      <c r="BD858" s="821"/>
      <c r="BE858" s="963" t="str">
        <f t="shared" si="716"/>
        <v>-</v>
      </c>
      <c r="BF858" s="984"/>
      <c r="BG858" s="988"/>
      <c r="BH858" s="982"/>
      <c r="BI858" s="991"/>
      <c r="BJ858" s="991"/>
      <c r="BK858" s="993" t="str">
        <f t="shared" si="717"/>
        <v>-</v>
      </c>
      <c r="BL858" s="865"/>
      <c r="BM858" s="821"/>
      <c r="BN858" s="822" t="str">
        <f t="shared" si="718"/>
        <v>-</v>
      </c>
      <c r="BO858" s="823" t="str">
        <f t="shared" si="719"/>
        <v>-</v>
      </c>
      <c r="BP858" s="868"/>
      <c r="BQ858" s="821"/>
      <c r="BR858" s="822" t="str">
        <f t="shared" si="720"/>
        <v>-</v>
      </c>
      <c r="BS858" s="823" t="str">
        <f t="shared" si="721"/>
        <v>-</v>
      </c>
      <c r="BT858" s="825" t="str">
        <f t="shared" ca="1" si="722"/>
        <v>-</v>
      </c>
      <c r="BU858" s="860">
        <v>43022</v>
      </c>
      <c r="BV858" s="827">
        <v>2</v>
      </c>
      <c r="BW858" s="828">
        <f t="shared" si="723"/>
        <v>12</v>
      </c>
      <c r="BX858" s="829">
        <f t="shared" ca="1" si="724"/>
        <v>112</v>
      </c>
      <c r="BY858" s="830" t="str">
        <f t="shared" ca="1" si="725"/>
        <v>ПОДЛЕЖИТ ВАКЦИНАЦИИ</v>
      </c>
      <c r="BZ858" s="839"/>
      <c r="CA858" s="832"/>
      <c r="CB858" s="833" t="str">
        <f t="shared" si="726"/>
        <v>-</v>
      </c>
      <c r="CC858" s="834" t="str">
        <f t="shared" si="727"/>
        <v>-</v>
      </c>
      <c r="CD858" s="835" t="str">
        <f t="shared" si="728"/>
        <v>-</v>
      </c>
      <c r="CE858" s="839"/>
      <c r="CF858" s="832"/>
      <c r="CG858" s="833" t="str">
        <f t="shared" si="729"/>
        <v>-</v>
      </c>
      <c r="CH858" s="836" t="str">
        <f t="shared" si="730"/>
        <v>-</v>
      </c>
      <c r="CI858" s="837" t="str">
        <f t="shared" si="731"/>
        <v>-</v>
      </c>
      <c r="CJ858" s="838" t="str">
        <f t="shared" si="732"/>
        <v>-</v>
      </c>
      <c r="CK858" s="831"/>
      <c r="CL858" s="832"/>
      <c r="CM858" s="833" t="str">
        <f t="shared" si="733"/>
        <v>-</v>
      </c>
      <c r="CN858" s="834" t="str">
        <f t="shared" si="734"/>
        <v>-</v>
      </c>
      <c r="CO858" s="830" t="str">
        <f t="shared" ca="1" si="735"/>
        <v>-</v>
      </c>
      <c r="CP858" s="839"/>
      <c r="CQ858" s="832"/>
      <c r="CR858" s="833" t="str">
        <f t="shared" si="736"/>
        <v>-</v>
      </c>
      <c r="CS858" s="833" t="str">
        <f t="shared" si="737"/>
        <v>-</v>
      </c>
      <c r="CT858" s="834" t="str">
        <f t="shared" si="738"/>
        <v>-</v>
      </c>
      <c r="CU858" s="835" t="str">
        <f t="shared" si="739"/>
        <v>-</v>
      </c>
      <c r="CV858" s="839"/>
      <c r="CW858" s="832"/>
      <c r="CX858" s="833" t="str">
        <f t="shared" si="740"/>
        <v>-</v>
      </c>
      <c r="CY858" s="840" t="str">
        <f t="shared" si="741"/>
        <v>-</v>
      </c>
      <c r="CZ858" s="833" t="str">
        <f t="shared" si="742"/>
        <v>-</v>
      </c>
      <c r="DA858" s="838" t="str">
        <f t="shared" ca="1" si="743"/>
        <v>-</v>
      </c>
      <c r="DB858" s="841"/>
      <c r="DC858" s="832"/>
    </row>
    <row r="859" spans="1:107" x14ac:dyDescent="0.25">
      <c r="A859" s="790">
        <v>863</v>
      </c>
      <c r="B859" s="791">
        <f t="shared" ca="1" si="692"/>
        <v>43134</v>
      </c>
      <c r="C859" s="29" t="s">
        <v>3340</v>
      </c>
      <c r="D859" s="59" t="s">
        <v>1635</v>
      </c>
      <c r="E859" s="794" t="s">
        <v>1563</v>
      </c>
      <c r="F859" s="795" t="s">
        <v>3211</v>
      </c>
      <c r="G859" s="845"/>
      <c r="H859" s="797" t="s">
        <v>603</v>
      </c>
      <c r="I859" s="798">
        <v>43013</v>
      </c>
      <c r="J859" s="799">
        <f t="shared" ca="1" si="693"/>
        <v>0.33150684931506852</v>
      </c>
      <c r="K859" s="799">
        <f t="shared" ca="1" si="694"/>
        <v>4.0333333333333332</v>
      </c>
      <c r="L859" s="800">
        <f t="shared" ca="1" si="695"/>
        <v>121</v>
      </c>
      <c r="M859" s="801"/>
      <c r="N859" s="802"/>
      <c r="O859" s="803" t="str">
        <f t="shared" ca="1" si="696"/>
        <v>-</v>
      </c>
      <c r="P859" s="804"/>
      <c r="Q859" s="805"/>
      <c r="R859" s="806"/>
      <c r="S859" s="807"/>
      <c r="T859" s="798"/>
      <c r="U859" s="798" t="str">
        <f t="shared" si="697"/>
        <v>-</v>
      </c>
      <c r="V859" s="804" t="str">
        <f t="shared" ca="1" si="698"/>
        <v>-</v>
      </c>
      <c r="W859" s="808">
        <v>0</v>
      </c>
      <c r="X859" s="794" t="str">
        <f t="shared" si="691"/>
        <v>-</v>
      </c>
      <c r="Y859" s="794">
        <v>0</v>
      </c>
      <c r="Z859" s="809" t="str">
        <f t="shared" ca="1" si="699"/>
        <v>-----</v>
      </c>
      <c r="AA859" s="810">
        <f t="shared" ca="1" si="700"/>
        <v>43134</v>
      </c>
      <c r="AB859" s="804"/>
      <c r="AC859" s="811" t="str">
        <f t="shared" ca="1" si="701"/>
        <v>-----</v>
      </c>
      <c r="AD859" s="798"/>
      <c r="AE859" s="794" t="str">
        <f t="shared" ca="1" si="702"/>
        <v>-</v>
      </c>
      <c r="AF859" s="798" t="str">
        <f t="shared" si="703"/>
        <v>-</v>
      </c>
      <c r="AG859" s="812" t="str">
        <f t="shared" si="704"/>
        <v>---------</v>
      </c>
      <c r="AH859" s="807"/>
      <c r="AI859" s="807" t="str">
        <f t="shared" si="705"/>
        <v>-</v>
      </c>
      <c r="AJ859" s="807" t="str">
        <f t="shared" si="706"/>
        <v>-</v>
      </c>
      <c r="AK859" s="813"/>
      <c r="AL859" s="807" t="str">
        <f t="shared" si="707"/>
        <v>-</v>
      </c>
      <c r="AM859" s="807" t="str">
        <f t="shared" si="708"/>
        <v>-</v>
      </c>
      <c r="AN859" s="814" t="str">
        <f t="shared" ca="1" si="709"/>
        <v>-</v>
      </c>
      <c r="AO859" s="815">
        <v>1</v>
      </c>
      <c r="AP859" s="816" t="str">
        <f t="shared" ca="1" si="710"/>
        <v>-</v>
      </c>
      <c r="AQ859" s="817"/>
      <c r="AR859" s="794" t="str">
        <f t="shared" si="711"/>
        <v>-</v>
      </c>
      <c r="AS859" s="818"/>
      <c r="AT859" s="794" t="str">
        <f t="shared" si="712"/>
        <v>-</v>
      </c>
      <c r="AU859" s="819"/>
      <c r="AV859" s="865"/>
      <c r="AW859" s="821"/>
      <c r="AX859" s="821"/>
      <c r="AY859" s="969" t="str">
        <f t="shared" si="713"/>
        <v>-</v>
      </c>
      <c r="AZ859" s="966" t="str">
        <f t="shared" si="714"/>
        <v>-</v>
      </c>
      <c r="BA859" s="971" t="str">
        <f t="shared" si="715"/>
        <v>-</v>
      </c>
      <c r="BB859" s="975"/>
      <c r="BC859" s="821"/>
      <c r="BD859" s="821"/>
      <c r="BE859" s="963" t="str">
        <f t="shared" si="716"/>
        <v>-</v>
      </c>
      <c r="BF859" s="984"/>
      <c r="BG859" s="988"/>
      <c r="BH859" s="982"/>
      <c r="BI859" s="991"/>
      <c r="BJ859" s="991"/>
      <c r="BK859" s="993" t="str">
        <f t="shared" si="717"/>
        <v>-</v>
      </c>
      <c r="BL859" s="865"/>
      <c r="BM859" s="821"/>
      <c r="BN859" s="822" t="str">
        <f t="shared" si="718"/>
        <v>-</v>
      </c>
      <c r="BO859" s="823" t="str">
        <f t="shared" si="719"/>
        <v>-</v>
      </c>
      <c r="BP859" s="868"/>
      <c r="BQ859" s="821"/>
      <c r="BR859" s="822" t="str">
        <f t="shared" si="720"/>
        <v>-</v>
      </c>
      <c r="BS859" s="823" t="str">
        <f t="shared" si="721"/>
        <v>-</v>
      </c>
      <c r="BT859" s="825" t="str">
        <f t="shared" ca="1" si="722"/>
        <v>-</v>
      </c>
      <c r="BU859" s="860">
        <v>43022</v>
      </c>
      <c r="BV859" s="827">
        <v>2</v>
      </c>
      <c r="BW859" s="828">
        <f t="shared" si="723"/>
        <v>9</v>
      </c>
      <c r="BX859" s="829">
        <f t="shared" ca="1" si="724"/>
        <v>112</v>
      </c>
      <c r="BY859" s="830" t="str">
        <f t="shared" ca="1" si="725"/>
        <v>ПОДЛЕЖИТ ВАКЦИНАЦИИ</v>
      </c>
      <c r="BZ859" s="839"/>
      <c r="CA859" s="832"/>
      <c r="CB859" s="833" t="str">
        <f t="shared" si="726"/>
        <v>-</v>
      </c>
      <c r="CC859" s="834" t="str">
        <f t="shared" si="727"/>
        <v>-</v>
      </c>
      <c r="CD859" s="835" t="str">
        <f t="shared" si="728"/>
        <v>-</v>
      </c>
      <c r="CE859" s="839"/>
      <c r="CF859" s="832"/>
      <c r="CG859" s="833" t="str">
        <f t="shared" si="729"/>
        <v>-</v>
      </c>
      <c r="CH859" s="836" t="str">
        <f t="shared" si="730"/>
        <v>-</v>
      </c>
      <c r="CI859" s="837" t="str">
        <f t="shared" si="731"/>
        <v>-</v>
      </c>
      <c r="CJ859" s="838" t="str">
        <f t="shared" si="732"/>
        <v>-</v>
      </c>
      <c r="CK859" s="831"/>
      <c r="CL859" s="832"/>
      <c r="CM859" s="833" t="str">
        <f t="shared" si="733"/>
        <v>-</v>
      </c>
      <c r="CN859" s="834" t="str">
        <f t="shared" si="734"/>
        <v>-</v>
      </c>
      <c r="CO859" s="830" t="str">
        <f t="shared" ca="1" si="735"/>
        <v>-</v>
      </c>
      <c r="CP859" s="839"/>
      <c r="CQ859" s="832"/>
      <c r="CR859" s="833" t="str">
        <f t="shared" si="736"/>
        <v>-</v>
      </c>
      <c r="CS859" s="833" t="str">
        <f t="shared" si="737"/>
        <v>-</v>
      </c>
      <c r="CT859" s="834" t="str">
        <f t="shared" si="738"/>
        <v>-</v>
      </c>
      <c r="CU859" s="835" t="str">
        <f t="shared" si="739"/>
        <v>-</v>
      </c>
      <c r="CV859" s="839"/>
      <c r="CW859" s="832"/>
      <c r="CX859" s="833" t="str">
        <f t="shared" si="740"/>
        <v>-</v>
      </c>
      <c r="CY859" s="840" t="str">
        <f t="shared" si="741"/>
        <v>-</v>
      </c>
      <c r="CZ859" s="833" t="str">
        <f t="shared" si="742"/>
        <v>-</v>
      </c>
      <c r="DA859" s="838" t="str">
        <f t="shared" ca="1" si="743"/>
        <v>-</v>
      </c>
      <c r="DB859" s="841"/>
      <c r="DC859" s="832"/>
    </row>
    <row r="860" spans="1:107" x14ac:dyDescent="0.25">
      <c r="A860" s="790">
        <v>864</v>
      </c>
      <c r="B860" s="791">
        <f t="shared" ca="1" si="692"/>
        <v>43134</v>
      </c>
      <c r="C860" s="29" t="s">
        <v>3340</v>
      </c>
      <c r="D860" s="59" t="s">
        <v>1635</v>
      </c>
      <c r="E860" s="794" t="s">
        <v>1563</v>
      </c>
      <c r="F860" s="795" t="s">
        <v>3223</v>
      </c>
      <c r="G860" s="845"/>
      <c r="H860" s="797" t="s">
        <v>603</v>
      </c>
      <c r="I860" s="798">
        <v>43014</v>
      </c>
      <c r="J860" s="799">
        <f t="shared" ca="1" si="693"/>
        <v>0.32876712328767121</v>
      </c>
      <c r="K860" s="799">
        <f t="shared" ca="1" si="694"/>
        <v>4</v>
      </c>
      <c r="L860" s="800">
        <f t="shared" ca="1" si="695"/>
        <v>120</v>
      </c>
      <c r="M860" s="801"/>
      <c r="N860" s="802"/>
      <c r="O860" s="803" t="str">
        <f t="shared" ca="1" si="696"/>
        <v>-</v>
      </c>
      <c r="P860" s="804"/>
      <c r="Q860" s="805"/>
      <c r="R860" s="806"/>
      <c r="S860" s="807"/>
      <c r="T860" s="798"/>
      <c r="U860" s="798" t="str">
        <f t="shared" si="697"/>
        <v>-</v>
      </c>
      <c r="V860" s="804" t="str">
        <f t="shared" ca="1" si="698"/>
        <v>-</v>
      </c>
      <c r="W860" s="808">
        <v>0</v>
      </c>
      <c r="X860" s="794" t="str">
        <f t="shared" si="691"/>
        <v>-</v>
      </c>
      <c r="Y860" s="794">
        <v>0</v>
      </c>
      <c r="Z860" s="809" t="str">
        <f t="shared" ca="1" si="699"/>
        <v>-----</v>
      </c>
      <c r="AA860" s="810">
        <f t="shared" ca="1" si="700"/>
        <v>43134</v>
      </c>
      <c r="AB860" s="804"/>
      <c r="AC860" s="811" t="str">
        <f t="shared" ca="1" si="701"/>
        <v>-----</v>
      </c>
      <c r="AD860" s="798"/>
      <c r="AE860" s="794" t="str">
        <f t="shared" ca="1" si="702"/>
        <v>-</v>
      </c>
      <c r="AF860" s="798" t="str">
        <f t="shared" si="703"/>
        <v>-</v>
      </c>
      <c r="AG860" s="812" t="str">
        <f t="shared" si="704"/>
        <v>---------</v>
      </c>
      <c r="AH860" s="807"/>
      <c r="AI860" s="807" t="str">
        <f t="shared" si="705"/>
        <v>-</v>
      </c>
      <c r="AJ860" s="807" t="str">
        <f t="shared" si="706"/>
        <v>-</v>
      </c>
      <c r="AK860" s="813"/>
      <c r="AL860" s="807" t="str">
        <f t="shared" si="707"/>
        <v>-</v>
      </c>
      <c r="AM860" s="807" t="str">
        <f t="shared" si="708"/>
        <v>-</v>
      </c>
      <c r="AN860" s="814" t="str">
        <f t="shared" ca="1" si="709"/>
        <v>-</v>
      </c>
      <c r="AO860" s="815">
        <v>1</v>
      </c>
      <c r="AP860" s="816" t="str">
        <f t="shared" ca="1" si="710"/>
        <v>-</v>
      </c>
      <c r="AQ860" s="817"/>
      <c r="AR860" s="794" t="str">
        <f t="shared" si="711"/>
        <v>-</v>
      </c>
      <c r="AS860" s="818"/>
      <c r="AT860" s="794" t="str">
        <f t="shared" si="712"/>
        <v>-</v>
      </c>
      <c r="AU860" s="819"/>
      <c r="AV860" s="865"/>
      <c r="AW860" s="821"/>
      <c r="AX860" s="821"/>
      <c r="AY860" s="969" t="str">
        <f t="shared" si="713"/>
        <v>-</v>
      </c>
      <c r="AZ860" s="966" t="str">
        <f t="shared" si="714"/>
        <v>-</v>
      </c>
      <c r="BA860" s="971" t="str">
        <f t="shared" si="715"/>
        <v>-</v>
      </c>
      <c r="BB860" s="975"/>
      <c r="BC860" s="821"/>
      <c r="BD860" s="821"/>
      <c r="BE860" s="963" t="str">
        <f t="shared" si="716"/>
        <v>-</v>
      </c>
      <c r="BF860" s="984"/>
      <c r="BG860" s="988"/>
      <c r="BH860" s="982"/>
      <c r="BI860" s="991"/>
      <c r="BJ860" s="991"/>
      <c r="BK860" s="993" t="str">
        <f t="shared" si="717"/>
        <v>-</v>
      </c>
      <c r="BL860" s="865"/>
      <c r="BM860" s="821"/>
      <c r="BN860" s="822" t="str">
        <f t="shared" si="718"/>
        <v>-</v>
      </c>
      <c r="BO860" s="823" t="str">
        <f t="shared" si="719"/>
        <v>-</v>
      </c>
      <c r="BP860" s="868"/>
      <c r="BQ860" s="821"/>
      <c r="BR860" s="822" t="str">
        <f t="shared" si="720"/>
        <v>-</v>
      </c>
      <c r="BS860" s="823" t="str">
        <f t="shared" si="721"/>
        <v>-</v>
      </c>
      <c r="BT860" s="825" t="str">
        <f t="shared" ca="1" si="722"/>
        <v>-</v>
      </c>
      <c r="BU860" s="860">
        <v>43022</v>
      </c>
      <c r="BV860" s="827">
        <v>2</v>
      </c>
      <c r="BW860" s="828">
        <f t="shared" si="723"/>
        <v>8</v>
      </c>
      <c r="BX860" s="829">
        <f t="shared" ca="1" si="724"/>
        <v>112</v>
      </c>
      <c r="BY860" s="830" t="str">
        <f t="shared" ca="1" si="725"/>
        <v>ПОДЛЕЖИТ ВАКЦИНАЦИИ</v>
      </c>
      <c r="BZ860" s="839"/>
      <c r="CA860" s="832"/>
      <c r="CB860" s="833" t="str">
        <f t="shared" si="726"/>
        <v>-</v>
      </c>
      <c r="CC860" s="834" t="str">
        <f t="shared" si="727"/>
        <v>-</v>
      </c>
      <c r="CD860" s="835" t="str">
        <f t="shared" si="728"/>
        <v>-</v>
      </c>
      <c r="CE860" s="839"/>
      <c r="CF860" s="832"/>
      <c r="CG860" s="833" t="str">
        <f t="shared" si="729"/>
        <v>-</v>
      </c>
      <c r="CH860" s="836" t="str">
        <f t="shared" si="730"/>
        <v>-</v>
      </c>
      <c r="CI860" s="837" t="str">
        <f t="shared" si="731"/>
        <v>-</v>
      </c>
      <c r="CJ860" s="838" t="str">
        <f t="shared" si="732"/>
        <v>-</v>
      </c>
      <c r="CK860" s="831"/>
      <c r="CL860" s="832"/>
      <c r="CM860" s="833" t="str">
        <f t="shared" si="733"/>
        <v>-</v>
      </c>
      <c r="CN860" s="834" t="str">
        <f t="shared" si="734"/>
        <v>-</v>
      </c>
      <c r="CO860" s="830" t="str">
        <f t="shared" ca="1" si="735"/>
        <v>-</v>
      </c>
      <c r="CP860" s="839"/>
      <c r="CQ860" s="832"/>
      <c r="CR860" s="833" t="str">
        <f t="shared" si="736"/>
        <v>-</v>
      </c>
      <c r="CS860" s="833" t="str">
        <f t="shared" si="737"/>
        <v>-</v>
      </c>
      <c r="CT860" s="834" t="str">
        <f t="shared" si="738"/>
        <v>-</v>
      </c>
      <c r="CU860" s="835" t="str">
        <f t="shared" si="739"/>
        <v>-</v>
      </c>
      <c r="CV860" s="839"/>
      <c r="CW860" s="832"/>
      <c r="CX860" s="833" t="str">
        <f t="shared" si="740"/>
        <v>-</v>
      </c>
      <c r="CY860" s="840" t="str">
        <f t="shared" si="741"/>
        <v>-</v>
      </c>
      <c r="CZ860" s="833" t="str">
        <f t="shared" si="742"/>
        <v>-</v>
      </c>
      <c r="DA860" s="838" t="str">
        <f t="shared" ca="1" si="743"/>
        <v>-</v>
      </c>
      <c r="DB860" s="841"/>
      <c r="DC860" s="832"/>
    </row>
    <row r="861" spans="1:107" x14ac:dyDescent="0.25">
      <c r="A861" s="790">
        <v>865</v>
      </c>
      <c r="B861" s="791">
        <f t="shared" ca="1" si="692"/>
        <v>43134</v>
      </c>
      <c r="C861" s="29" t="s">
        <v>3340</v>
      </c>
      <c r="D861" s="59" t="s">
        <v>1635</v>
      </c>
      <c r="E861" s="794" t="s">
        <v>1563</v>
      </c>
      <c r="F861" s="795" t="s">
        <v>3226</v>
      </c>
      <c r="G861" s="845"/>
      <c r="H861" s="797" t="s">
        <v>603</v>
      </c>
      <c r="I861" s="798">
        <v>43015</v>
      </c>
      <c r="J861" s="799">
        <f t="shared" ca="1" si="693"/>
        <v>0.32602739726027397</v>
      </c>
      <c r="K861" s="799">
        <f t="shared" ca="1" si="694"/>
        <v>3.9666666666666668</v>
      </c>
      <c r="L861" s="800">
        <f t="shared" ca="1" si="695"/>
        <v>119</v>
      </c>
      <c r="M861" s="801"/>
      <c r="N861" s="802"/>
      <c r="O861" s="803" t="str">
        <f t="shared" ca="1" si="696"/>
        <v>-</v>
      </c>
      <c r="P861" s="804"/>
      <c r="Q861" s="805"/>
      <c r="R861" s="806"/>
      <c r="S861" s="807"/>
      <c r="T861" s="798"/>
      <c r="U861" s="798" t="str">
        <f t="shared" si="697"/>
        <v>-</v>
      </c>
      <c r="V861" s="804" t="str">
        <f t="shared" ca="1" si="698"/>
        <v>-</v>
      </c>
      <c r="W861" s="808">
        <v>0</v>
      </c>
      <c r="X861" s="794" t="str">
        <f t="shared" si="691"/>
        <v>-</v>
      </c>
      <c r="Y861" s="794">
        <v>0</v>
      </c>
      <c r="Z861" s="809" t="str">
        <f t="shared" ca="1" si="699"/>
        <v>-----</v>
      </c>
      <c r="AA861" s="810">
        <f t="shared" ca="1" si="700"/>
        <v>43134</v>
      </c>
      <c r="AB861" s="804"/>
      <c r="AC861" s="811" t="str">
        <f t="shared" ca="1" si="701"/>
        <v>-----</v>
      </c>
      <c r="AD861" s="798"/>
      <c r="AE861" s="794" t="str">
        <f t="shared" ca="1" si="702"/>
        <v>-</v>
      </c>
      <c r="AF861" s="798" t="str">
        <f t="shared" si="703"/>
        <v>-</v>
      </c>
      <c r="AG861" s="812" t="str">
        <f t="shared" si="704"/>
        <v>---------</v>
      </c>
      <c r="AH861" s="807"/>
      <c r="AI861" s="807" t="str">
        <f t="shared" si="705"/>
        <v>-</v>
      </c>
      <c r="AJ861" s="807" t="str">
        <f t="shared" si="706"/>
        <v>-</v>
      </c>
      <c r="AK861" s="813"/>
      <c r="AL861" s="807" t="str">
        <f t="shared" si="707"/>
        <v>-</v>
      </c>
      <c r="AM861" s="807" t="str">
        <f t="shared" si="708"/>
        <v>-</v>
      </c>
      <c r="AN861" s="814" t="str">
        <f t="shared" ca="1" si="709"/>
        <v>-</v>
      </c>
      <c r="AO861" s="815">
        <v>1</v>
      </c>
      <c r="AP861" s="816" t="str">
        <f t="shared" ca="1" si="710"/>
        <v>-</v>
      </c>
      <c r="AQ861" s="817"/>
      <c r="AR861" s="794" t="str">
        <f t="shared" si="711"/>
        <v>-</v>
      </c>
      <c r="AS861" s="818"/>
      <c r="AT861" s="794" t="str">
        <f t="shared" si="712"/>
        <v>-</v>
      </c>
      <c r="AU861" s="819"/>
      <c r="AV861" s="865"/>
      <c r="AW861" s="821"/>
      <c r="AX861" s="821"/>
      <c r="AY861" s="969" t="str">
        <f t="shared" si="713"/>
        <v>-</v>
      </c>
      <c r="AZ861" s="966" t="str">
        <f t="shared" si="714"/>
        <v>-</v>
      </c>
      <c r="BA861" s="971" t="str">
        <f t="shared" si="715"/>
        <v>-</v>
      </c>
      <c r="BB861" s="975"/>
      <c r="BC861" s="821"/>
      <c r="BD861" s="821"/>
      <c r="BE861" s="963" t="str">
        <f t="shared" si="716"/>
        <v>-</v>
      </c>
      <c r="BF861" s="984"/>
      <c r="BG861" s="988"/>
      <c r="BH861" s="982"/>
      <c r="BI861" s="991"/>
      <c r="BJ861" s="991"/>
      <c r="BK861" s="993" t="str">
        <f t="shared" si="717"/>
        <v>-</v>
      </c>
      <c r="BL861" s="865"/>
      <c r="BM861" s="821"/>
      <c r="BN861" s="822" t="str">
        <f t="shared" si="718"/>
        <v>-</v>
      </c>
      <c r="BO861" s="823" t="str">
        <f t="shared" si="719"/>
        <v>-</v>
      </c>
      <c r="BP861" s="868"/>
      <c r="BQ861" s="821"/>
      <c r="BR861" s="822" t="str">
        <f t="shared" si="720"/>
        <v>-</v>
      </c>
      <c r="BS861" s="823" t="str">
        <f t="shared" si="721"/>
        <v>-</v>
      </c>
      <c r="BT861" s="825" t="str">
        <f t="shared" ca="1" si="722"/>
        <v>-</v>
      </c>
      <c r="BU861" s="860">
        <v>43022</v>
      </c>
      <c r="BV861" s="827">
        <v>2</v>
      </c>
      <c r="BW861" s="828">
        <f t="shared" si="723"/>
        <v>7</v>
      </c>
      <c r="BX861" s="829">
        <f t="shared" ca="1" si="724"/>
        <v>112</v>
      </c>
      <c r="BY861" s="830" t="str">
        <f t="shared" ca="1" si="725"/>
        <v>ПОДЛЕЖИТ ВАКЦИНАЦИИ</v>
      </c>
      <c r="BZ861" s="839"/>
      <c r="CA861" s="832"/>
      <c r="CB861" s="833" t="str">
        <f t="shared" si="726"/>
        <v>-</v>
      </c>
      <c r="CC861" s="834" t="str">
        <f t="shared" si="727"/>
        <v>-</v>
      </c>
      <c r="CD861" s="835" t="str">
        <f t="shared" si="728"/>
        <v>-</v>
      </c>
      <c r="CE861" s="839"/>
      <c r="CF861" s="832"/>
      <c r="CG861" s="833" t="str">
        <f t="shared" si="729"/>
        <v>-</v>
      </c>
      <c r="CH861" s="836" t="str">
        <f t="shared" si="730"/>
        <v>-</v>
      </c>
      <c r="CI861" s="837" t="str">
        <f t="shared" si="731"/>
        <v>-</v>
      </c>
      <c r="CJ861" s="838" t="str">
        <f t="shared" si="732"/>
        <v>-</v>
      </c>
      <c r="CK861" s="831"/>
      <c r="CL861" s="832"/>
      <c r="CM861" s="833" t="str">
        <f t="shared" si="733"/>
        <v>-</v>
      </c>
      <c r="CN861" s="834" t="str">
        <f t="shared" si="734"/>
        <v>-</v>
      </c>
      <c r="CO861" s="830" t="str">
        <f t="shared" ca="1" si="735"/>
        <v>-</v>
      </c>
      <c r="CP861" s="839"/>
      <c r="CQ861" s="832"/>
      <c r="CR861" s="833" t="str">
        <f t="shared" si="736"/>
        <v>-</v>
      </c>
      <c r="CS861" s="833" t="str">
        <f t="shared" si="737"/>
        <v>-</v>
      </c>
      <c r="CT861" s="834" t="str">
        <f t="shared" si="738"/>
        <v>-</v>
      </c>
      <c r="CU861" s="835" t="str">
        <f t="shared" si="739"/>
        <v>-</v>
      </c>
      <c r="CV861" s="839"/>
      <c r="CW861" s="832"/>
      <c r="CX861" s="833" t="str">
        <f t="shared" si="740"/>
        <v>-</v>
      </c>
      <c r="CY861" s="840" t="str">
        <f t="shared" si="741"/>
        <v>-</v>
      </c>
      <c r="CZ861" s="833" t="str">
        <f t="shared" si="742"/>
        <v>-</v>
      </c>
      <c r="DA861" s="838" t="str">
        <f t="shared" ca="1" si="743"/>
        <v>-</v>
      </c>
      <c r="DB861" s="841"/>
      <c r="DC861" s="832"/>
    </row>
    <row r="862" spans="1:107" x14ac:dyDescent="0.25">
      <c r="A862" s="790">
        <v>866</v>
      </c>
      <c r="B862" s="791">
        <f t="shared" ca="1" si="692"/>
        <v>43134</v>
      </c>
      <c r="C862" s="29" t="s">
        <v>3341</v>
      </c>
      <c r="D862" s="793" t="s">
        <v>1635</v>
      </c>
      <c r="E862" s="794" t="s">
        <v>1563</v>
      </c>
      <c r="F862" s="795" t="s">
        <v>2930</v>
      </c>
      <c r="G862" s="845"/>
      <c r="H862" s="797" t="s">
        <v>603</v>
      </c>
      <c r="I862" s="798">
        <v>42923</v>
      </c>
      <c r="J862" s="799">
        <f t="shared" ca="1" si="693"/>
        <v>0.57808219178082187</v>
      </c>
      <c r="K862" s="799">
        <f t="shared" ca="1" si="694"/>
        <v>7.0333333333333332</v>
      </c>
      <c r="L862" s="800">
        <f t="shared" ca="1" si="695"/>
        <v>211</v>
      </c>
      <c r="M862" s="801"/>
      <c r="N862" s="802"/>
      <c r="O862" s="803" t="str">
        <f t="shared" ca="1" si="696"/>
        <v>-</v>
      </c>
      <c r="P862" s="804"/>
      <c r="Q862" s="805"/>
      <c r="R862" s="806"/>
      <c r="S862" s="807"/>
      <c r="T862" s="798"/>
      <c r="U862" s="798" t="str">
        <f t="shared" si="697"/>
        <v>-</v>
      </c>
      <c r="V862" s="804" t="str">
        <f t="shared" ca="1" si="698"/>
        <v>-</v>
      </c>
      <c r="W862" s="808">
        <v>0</v>
      </c>
      <c r="X862" s="794" t="str">
        <f t="shared" si="691"/>
        <v>-</v>
      </c>
      <c r="Y862" s="794">
        <v>0</v>
      </c>
      <c r="Z862" s="809" t="str">
        <f t="shared" ca="1" si="699"/>
        <v>-----</v>
      </c>
      <c r="AA862" s="810">
        <f t="shared" ca="1" si="700"/>
        <v>43134</v>
      </c>
      <c r="AB862" s="804"/>
      <c r="AC862" s="811" t="str">
        <f t="shared" ca="1" si="701"/>
        <v>-----</v>
      </c>
      <c r="AD862" s="798"/>
      <c r="AE862" s="794" t="str">
        <f t="shared" ca="1" si="702"/>
        <v>-</v>
      </c>
      <c r="AF862" s="798" t="str">
        <f t="shared" si="703"/>
        <v>-</v>
      </c>
      <c r="AG862" s="812" t="str">
        <f t="shared" si="704"/>
        <v>---------</v>
      </c>
      <c r="AH862" s="807"/>
      <c r="AI862" s="807" t="str">
        <f t="shared" si="705"/>
        <v>-</v>
      </c>
      <c r="AJ862" s="807" t="str">
        <f t="shared" si="706"/>
        <v>-</v>
      </c>
      <c r="AK862" s="813"/>
      <c r="AL862" s="807" t="str">
        <f t="shared" si="707"/>
        <v>-</v>
      </c>
      <c r="AM862" s="807" t="str">
        <f t="shared" si="708"/>
        <v>-</v>
      </c>
      <c r="AN862" s="814" t="str">
        <f t="shared" ca="1" si="709"/>
        <v>-</v>
      </c>
      <c r="AO862" s="815">
        <v>1</v>
      </c>
      <c r="AP862" s="816" t="str">
        <f t="shared" ca="1" si="710"/>
        <v>-</v>
      </c>
      <c r="AQ862" s="817"/>
      <c r="AR862" s="794" t="str">
        <f t="shared" si="711"/>
        <v>-</v>
      </c>
      <c r="AS862" s="818"/>
      <c r="AT862" s="794" t="str">
        <f t="shared" si="712"/>
        <v>-</v>
      </c>
      <c r="AU862" s="819"/>
      <c r="AV862" s="865"/>
      <c r="AW862" s="821"/>
      <c r="AX862" s="821"/>
      <c r="AY862" s="969" t="str">
        <f t="shared" si="713"/>
        <v>-</v>
      </c>
      <c r="AZ862" s="966" t="str">
        <f t="shared" si="714"/>
        <v>-</v>
      </c>
      <c r="BA862" s="971" t="str">
        <f t="shared" si="715"/>
        <v>-</v>
      </c>
      <c r="BB862" s="975"/>
      <c r="BC862" s="821"/>
      <c r="BD862" s="821"/>
      <c r="BE862" s="963" t="str">
        <f t="shared" si="716"/>
        <v>-</v>
      </c>
      <c r="BF862" s="984"/>
      <c r="BG862" s="988"/>
      <c r="BH862" s="982"/>
      <c r="BI862" s="991"/>
      <c r="BJ862" s="991"/>
      <c r="BK862" s="993" t="str">
        <f t="shared" si="717"/>
        <v>-</v>
      </c>
      <c r="BL862" s="865"/>
      <c r="BM862" s="821"/>
      <c r="BN862" s="822" t="str">
        <f t="shared" si="718"/>
        <v>-</v>
      </c>
      <c r="BO862" s="823" t="str">
        <f t="shared" si="719"/>
        <v>-</v>
      </c>
      <c r="BP862" s="868"/>
      <c r="BQ862" s="821"/>
      <c r="BR862" s="822" t="str">
        <f t="shared" si="720"/>
        <v>-</v>
      </c>
      <c r="BS862" s="823" t="str">
        <f t="shared" si="721"/>
        <v>-</v>
      </c>
      <c r="BT862" s="825" t="str">
        <f t="shared" ca="1" si="722"/>
        <v>-</v>
      </c>
      <c r="BU862" s="860">
        <v>42931</v>
      </c>
      <c r="BV862" s="827">
        <v>2</v>
      </c>
      <c r="BW862" s="828">
        <f t="shared" si="723"/>
        <v>8</v>
      </c>
      <c r="BX862" s="829">
        <f t="shared" ca="1" si="724"/>
        <v>203</v>
      </c>
      <c r="BY862" s="830" t="str">
        <f t="shared" ca="1" si="725"/>
        <v>-</v>
      </c>
      <c r="BZ862" s="831">
        <v>42988</v>
      </c>
      <c r="CA862" s="832">
        <v>5</v>
      </c>
      <c r="CB862" s="833">
        <f t="shared" ca="1" si="726"/>
        <v>146</v>
      </c>
      <c r="CC862" s="834" t="str">
        <f t="shared" ca="1" si="727"/>
        <v>-</v>
      </c>
      <c r="CD862" s="835">
        <f t="shared" si="728"/>
        <v>43009</v>
      </c>
      <c r="CE862" s="831">
        <v>43009</v>
      </c>
      <c r="CF862" s="832">
        <v>5</v>
      </c>
      <c r="CG862" s="833">
        <f t="shared" ca="1" si="729"/>
        <v>125</v>
      </c>
      <c r="CH862" s="836">
        <f t="shared" si="730"/>
        <v>0</v>
      </c>
      <c r="CI862" s="837" t="str">
        <f t="shared" si="731"/>
        <v>УСПЕШНО</v>
      </c>
      <c r="CJ862" s="838" t="str">
        <f t="shared" ca="1" si="732"/>
        <v>-</v>
      </c>
      <c r="CK862" s="831"/>
      <c r="CL862" s="832"/>
      <c r="CM862" s="833" t="str">
        <f t="shared" si="733"/>
        <v>-</v>
      </c>
      <c r="CN862" s="834" t="str">
        <f t="shared" si="734"/>
        <v>-</v>
      </c>
      <c r="CO862" s="830" t="str">
        <f t="shared" ca="1" si="735"/>
        <v>-</v>
      </c>
      <c r="CP862" s="839"/>
      <c r="CQ862" s="832"/>
      <c r="CR862" s="833" t="str">
        <f t="shared" si="736"/>
        <v>-</v>
      </c>
      <c r="CS862" s="833" t="str">
        <f t="shared" si="737"/>
        <v>-</v>
      </c>
      <c r="CT862" s="834" t="str">
        <f t="shared" si="738"/>
        <v>-</v>
      </c>
      <c r="CU862" s="835" t="str">
        <f t="shared" si="739"/>
        <v>-</v>
      </c>
      <c r="CV862" s="839"/>
      <c r="CW862" s="832"/>
      <c r="CX862" s="833" t="str">
        <f t="shared" si="740"/>
        <v>-</v>
      </c>
      <c r="CY862" s="840" t="str">
        <f t="shared" si="741"/>
        <v>-</v>
      </c>
      <c r="CZ862" s="833" t="str">
        <f t="shared" si="742"/>
        <v>-</v>
      </c>
      <c r="DA862" s="838" t="str">
        <f t="shared" ca="1" si="743"/>
        <v>-</v>
      </c>
      <c r="DB862" s="841"/>
      <c r="DC862" s="832"/>
    </row>
    <row r="863" spans="1:107" x14ac:dyDescent="0.25">
      <c r="A863" s="790">
        <v>867</v>
      </c>
      <c r="B863" s="791">
        <f t="shared" ca="1" si="692"/>
        <v>43134</v>
      </c>
      <c r="C863" s="29" t="s">
        <v>3341</v>
      </c>
      <c r="D863" s="793" t="s">
        <v>1635</v>
      </c>
      <c r="E863" s="794" t="s">
        <v>1563</v>
      </c>
      <c r="F863" s="795" t="s">
        <v>2939</v>
      </c>
      <c r="G863" s="845"/>
      <c r="H863" s="797" t="s">
        <v>603</v>
      </c>
      <c r="I863" s="798">
        <v>42929</v>
      </c>
      <c r="J863" s="799">
        <f t="shared" ca="1" si="693"/>
        <v>0.56164383561643838</v>
      </c>
      <c r="K863" s="799">
        <f t="shared" ca="1" si="694"/>
        <v>6.833333333333333</v>
      </c>
      <c r="L863" s="800">
        <f t="shared" ca="1" si="695"/>
        <v>205</v>
      </c>
      <c r="M863" s="801"/>
      <c r="N863" s="802"/>
      <c r="O863" s="803" t="str">
        <f t="shared" ca="1" si="696"/>
        <v>-</v>
      </c>
      <c r="P863" s="804"/>
      <c r="Q863" s="805"/>
      <c r="R863" s="806"/>
      <c r="S863" s="807"/>
      <c r="T863" s="798"/>
      <c r="U863" s="798" t="str">
        <f t="shared" si="697"/>
        <v>-</v>
      </c>
      <c r="V863" s="804" t="str">
        <f t="shared" ca="1" si="698"/>
        <v>-</v>
      </c>
      <c r="W863" s="808">
        <v>0</v>
      </c>
      <c r="X863" s="794" t="str">
        <f t="shared" si="691"/>
        <v>-</v>
      </c>
      <c r="Y863" s="794">
        <v>0</v>
      </c>
      <c r="Z863" s="809" t="str">
        <f t="shared" ca="1" si="699"/>
        <v>-----</v>
      </c>
      <c r="AA863" s="810">
        <f t="shared" ca="1" si="700"/>
        <v>43134</v>
      </c>
      <c r="AB863" s="804"/>
      <c r="AC863" s="811" t="str">
        <f t="shared" ca="1" si="701"/>
        <v>-----</v>
      </c>
      <c r="AD863" s="798"/>
      <c r="AE863" s="794" t="str">
        <f t="shared" ca="1" si="702"/>
        <v>-</v>
      </c>
      <c r="AF863" s="798" t="str">
        <f t="shared" si="703"/>
        <v>-</v>
      </c>
      <c r="AG863" s="812" t="str">
        <f t="shared" si="704"/>
        <v>---------</v>
      </c>
      <c r="AH863" s="807"/>
      <c r="AI863" s="807" t="str">
        <f t="shared" si="705"/>
        <v>-</v>
      </c>
      <c r="AJ863" s="807" t="str">
        <f t="shared" si="706"/>
        <v>-</v>
      </c>
      <c r="AK863" s="813"/>
      <c r="AL863" s="807" t="str">
        <f t="shared" si="707"/>
        <v>-</v>
      </c>
      <c r="AM863" s="807" t="str">
        <f t="shared" si="708"/>
        <v>-</v>
      </c>
      <c r="AN863" s="814" t="str">
        <f t="shared" ca="1" si="709"/>
        <v>-</v>
      </c>
      <c r="AO863" s="815">
        <v>1</v>
      </c>
      <c r="AP863" s="816" t="str">
        <f t="shared" ca="1" si="710"/>
        <v>-</v>
      </c>
      <c r="AQ863" s="817"/>
      <c r="AR863" s="794" t="str">
        <f t="shared" si="711"/>
        <v>-</v>
      </c>
      <c r="AS863" s="818"/>
      <c r="AT863" s="794" t="str">
        <f t="shared" si="712"/>
        <v>-</v>
      </c>
      <c r="AU863" s="819"/>
      <c r="AV863" s="865"/>
      <c r="AW863" s="821"/>
      <c r="AX863" s="821"/>
      <c r="AY863" s="969" t="str">
        <f t="shared" si="713"/>
        <v>-</v>
      </c>
      <c r="AZ863" s="966" t="str">
        <f t="shared" si="714"/>
        <v>-</v>
      </c>
      <c r="BA863" s="971" t="str">
        <f t="shared" si="715"/>
        <v>-</v>
      </c>
      <c r="BB863" s="975"/>
      <c r="BC863" s="821"/>
      <c r="BD863" s="821"/>
      <c r="BE863" s="963" t="str">
        <f t="shared" si="716"/>
        <v>-</v>
      </c>
      <c r="BF863" s="984"/>
      <c r="BG863" s="988"/>
      <c r="BH863" s="982"/>
      <c r="BI863" s="991"/>
      <c r="BJ863" s="991"/>
      <c r="BK863" s="993" t="str">
        <f t="shared" si="717"/>
        <v>-</v>
      </c>
      <c r="BL863" s="865"/>
      <c r="BM863" s="821"/>
      <c r="BN863" s="822" t="str">
        <f t="shared" si="718"/>
        <v>-</v>
      </c>
      <c r="BO863" s="823" t="str">
        <f t="shared" si="719"/>
        <v>-</v>
      </c>
      <c r="BP863" s="868"/>
      <c r="BQ863" s="821"/>
      <c r="BR863" s="822" t="str">
        <f t="shared" si="720"/>
        <v>-</v>
      </c>
      <c r="BS863" s="823" t="str">
        <f t="shared" si="721"/>
        <v>-</v>
      </c>
      <c r="BT863" s="825" t="str">
        <f t="shared" ca="1" si="722"/>
        <v>-</v>
      </c>
      <c r="BU863" s="860">
        <v>42931</v>
      </c>
      <c r="BV863" s="827">
        <v>2</v>
      </c>
      <c r="BW863" s="828">
        <f t="shared" si="723"/>
        <v>2</v>
      </c>
      <c r="BX863" s="829">
        <f t="shared" ca="1" si="724"/>
        <v>203</v>
      </c>
      <c r="BY863" s="830" t="str">
        <f t="shared" ca="1" si="725"/>
        <v>-</v>
      </c>
      <c r="BZ863" s="831">
        <v>43011</v>
      </c>
      <c r="CA863" s="832">
        <v>5</v>
      </c>
      <c r="CB863" s="833">
        <f t="shared" ca="1" si="726"/>
        <v>123</v>
      </c>
      <c r="CC863" s="834" t="str">
        <f t="shared" ca="1" si="727"/>
        <v>-</v>
      </c>
      <c r="CD863" s="835">
        <f t="shared" si="728"/>
        <v>43032</v>
      </c>
      <c r="CE863" s="831">
        <v>43033</v>
      </c>
      <c r="CF863" s="832">
        <v>5</v>
      </c>
      <c r="CG863" s="833">
        <f t="shared" ca="1" si="729"/>
        <v>101</v>
      </c>
      <c r="CH863" s="836">
        <f t="shared" si="730"/>
        <v>-1</v>
      </c>
      <c r="CI863" s="837" t="str">
        <f t="shared" si="731"/>
        <v>-</v>
      </c>
      <c r="CJ863" s="838" t="str">
        <f t="shared" ca="1" si="732"/>
        <v>-</v>
      </c>
      <c r="CK863" s="831"/>
      <c r="CL863" s="832"/>
      <c r="CM863" s="833" t="str">
        <f t="shared" si="733"/>
        <v>-</v>
      </c>
      <c r="CN863" s="834" t="str">
        <f t="shared" si="734"/>
        <v>-</v>
      </c>
      <c r="CO863" s="830" t="str">
        <f t="shared" ca="1" si="735"/>
        <v>-</v>
      </c>
      <c r="CP863" s="839"/>
      <c r="CQ863" s="832"/>
      <c r="CR863" s="833" t="str">
        <f t="shared" si="736"/>
        <v>-</v>
      </c>
      <c r="CS863" s="833" t="str">
        <f t="shared" si="737"/>
        <v>-</v>
      </c>
      <c r="CT863" s="834" t="str">
        <f t="shared" si="738"/>
        <v>-</v>
      </c>
      <c r="CU863" s="835" t="str">
        <f t="shared" si="739"/>
        <v>-</v>
      </c>
      <c r="CV863" s="839"/>
      <c r="CW863" s="832"/>
      <c r="CX863" s="833" t="str">
        <f t="shared" si="740"/>
        <v>-</v>
      </c>
      <c r="CY863" s="840" t="str">
        <f t="shared" si="741"/>
        <v>-</v>
      </c>
      <c r="CZ863" s="833" t="str">
        <f t="shared" si="742"/>
        <v>-</v>
      </c>
      <c r="DA863" s="838" t="str">
        <f t="shared" ca="1" si="743"/>
        <v>-</v>
      </c>
      <c r="DB863" s="841"/>
      <c r="DC863" s="832"/>
    </row>
    <row r="864" spans="1:107" x14ac:dyDescent="0.25">
      <c r="A864" s="790">
        <v>868</v>
      </c>
      <c r="B864" s="791">
        <f t="shared" ca="1" si="692"/>
        <v>43134</v>
      </c>
      <c r="C864" s="29" t="s">
        <v>3341</v>
      </c>
      <c r="D864" s="793" t="s">
        <v>1635</v>
      </c>
      <c r="E864" s="794" t="s">
        <v>1563</v>
      </c>
      <c r="F864" s="795" t="s">
        <v>2943</v>
      </c>
      <c r="G864" s="845"/>
      <c r="H864" s="797" t="s">
        <v>603</v>
      </c>
      <c r="I864" s="798">
        <v>42930</v>
      </c>
      <c r="J864" s="799">
        <f t="shared" ca="1" si="693"/>
        <v>0.55890410958904113</v>
      </c>
      <c r="K864" s="799">
        <f t="shared" ca="1" si="694"/>
        <v>6.8</v>
      </c>
      <c r="L864" s="800">
        <f t="shared" ca="1" si="695"/>
        <v>204</v>
      </c>
      <c r="M864" s="801"/>
      <c r="N864" s="802"/>
      <c r="O864" s="803" t="str">
        <f t="shared" ca="1" si="696"/>
        <v>-</v>
      </c>
      <c r="P864" s="804"/>
      <c r="Q864" s="805"/>
      <c r="R864" s="806"/>
      <c r="S864" s="807"/>
      <c r="T864" s="798"/>
      <c r="U864" s="798" t="str">
        <f t="shared" si="697"/>
        <v>-</v>
      </c>
      <c r="V864" s="804" t="str">
        <f t="shared" ca="1" si="698"/>
        <v>-</v>
      </c>
      <c r="W864" s="808">
        <v>0</v>
      </c>
      <c r="X864" s="794" t="str">
        <f t="shared" si="691"/>
        <v>-</v>
      </c>
      <c r="Y864" s="794">
        <v>0</v>
      </c>
      <c r="Z864" s="809" t="str">
        <f t="shared" ca="1" si="699"/>
        <v>-----</v>
      </c>
      <c r="AA864" s="810">
        <f t="shared" ca="1" si="700"/>
        <v>43134</v>
      </c>
      <c r="AB864" s="804"/>
      <c r="AC864" s="811" t="str">
        <f t="shared" ca="1" si="701"/>
        <v>-----</v>
      </c>
      <c r="AD864" s="798"/>
      <c r="AE864" s="794" t="str">
        <f t="shared" ca="1" si="702"/>
        <v>-</v>
      </c>
      <c r="AF864" s="798" t="str">
        <f t="shared" si="703"/>
        <v>-</v>
      </c>
      <c r="AG864" s="812" t="str">
        <f t="shared" si="704"/>
        <v>---------</v>
      </c>
      <c r="AH864" s="807"/>
      <c r="AI864" s="807" t="str">
        <f t="shared" si="705"/>
        <v>-</v>
      </c>
      <c r="AJ864" s="807" t="str">
        <f t="shared" si="706"/>
        <v>-</v>
      </c>
      <c r="AK864" s="813"/>
      <c r="AL864" s="807" t="str">
        <f t="shared" si="707"/>
        <v>-</v>
      </c>
      <c r="AM864" s="807" t="str">
        <f t="shared" si="708"/>
        <v>-</v>
      </c>
      <c r="AN864" s="814" t="str">
        <f t="shared" ca="1" si="709"/>
        <v>-</v>
      </c>
      <c r="AO864" s="815">
        <v>1</v>
      </c>
      <c r="AP864" s="816" t="str">
        <f t="shared" ca="1" si="710"/>
        <v>-</v>
      </c>
      <c r="AQ864" s="817"/>
      <c r="AR864" s="794" t="str">
        <f t="shared" si="711"/>
        <v>-</v>
      </c>
      <c r="AS864" s="818"/>
      <c r="AT864" s="794" t="str">
        <f t="shared" si="712"/>
        <v>-</v>
      </c>
      <c r="AU864" s="819"/>
      <c r="AV864" s="865"/>
      <c r="AW864" s="821"/>
      <c r="AX864" s="821"/>
      <c r="AY864" s="969" t="str">
        <f t="shared" si="713"/>
        <v>-</v>
      </c>
      <c r="AZ864" s="966" t="str">
        <f t="shared" si="714"/>
        <v>-</v>
      </c>
      <c r="BA864" s="971" t="str">
        <f t="shared" si="715"/>
        <v>-</v>
      </c>
      <c r="BB864" s="975"/>
      <c r="BC864" s="821"/>
      <c r="BD864" s="821"/>
      <c r="BE864" s="963" t="str">
        <f t="shared" si="716"/>
        <v>-</v>
      </c>
      <c r="BF864" s="984"/>
      <c r="BG864" s="988"/>
      <c r="BH864" s="982"/>
      <c r="BI864" s="991"/>
      <c r="BJ864" s="991"/>
      <c r="BK864" s="993" t="str">
        <f t="shared" si="717"/>
        <v>-</v>
      </c>
      <c r="BL864" s="865"/>
      <c r="BM864" s="821"/>
      <c r="BN864" s="822" t="str">
        <f t="shared" si="718"/>
        <v>-</v>
      </c>
      <c r="BO864" s="823" t="str">
        <f t="shared" si="719"/>
        <v>-</v>
      </c>
      <c r="BP864" s="868"/>
      <c r="BQ864" s="821"/>
      <c r="BR864" s="822" t="str">
        <f t="shared" si="720"/>
        <v>-</v>
      </c>
      <c r="BS864" s="823" t="str">
        <f t="shared" si="721"/>
        <v>-</v>
      </c>
      <c r="BT864" s="825" t="str">
        <f t="shared" ca="1" si="722"/>
        <v>-</v>
      </c>
      <c r="BU864" s="860">
        <v>42931</v>
      </c>
      <c r="BV864" s="827">
        <v>2</v>
      </c>
      <c r="BW864" s="828">
        <f t="shared" si="723"/>
        <v>1</v>
      </c>
      <c r="BX864" s="829">
        <f t="shared" ca="1" si="724"/>
        <v>203</v>
      </c>
      <c r="BY864" s="830" t="str">
        <f t="shared" ca="1" si="725"/>
        <v>-</v>
      </c>
      <c r="BZ864" s="831">
        <v>43011</v>
      </c>
      <c r="CA864" s="832">
        <v>5</v>
      </c>
      <c r="CB864" s="833">
        <f t="shared" ca="1" si="726"/>
        <v>123</v>
      </c>
      <c r="CC864" s="834" t="str">
        <f t="shared" ca="1" si="727"/>
        <v>-</v>
      </c>
      <c r="CD864" s="835">
        <f t="shared" si="728"/>
        <v>43032</v>
      </c>
      <c r="CE864" s="831">
        <v>43033</v>
      </c>
      <c r="CF864" s="832">
        <v>5</v>
      </c>
      <c r="CG864" s="833">
        <f t="shared" ca="1" si="729"/>
        <v>101</v>
      </c>
      <c r="CH864" s="836">
        <f t="shared" si="730"/>
        <v>-1</v>
      </c>
      <c r="CI864" s="837" t="str">
        <f t="shared" si="731"/>
        <v>-</v>
      </c>
      <c r="CJ864" s="838" t="str">
        <f t="shared" ca="1" si="732"/>
        <v>-</v>
      </c>
      <c r="CK864" s="831"/>
      <c r="CL864" s="832"/>
      <c r="CM864" s="833" t="str">
        <f t="shared" si="733"/>
        <v>-</v>
      </c>
      <c r="CN864" s="834" t="str">
        <f t="shared" si="734"/>
        <v>-</v>
      </c>
      <c r="CO864" s="830" t="str">
        <f t="shared" ca="1" si="735"/>
        <v>-</v>
      </c>
      <c r="CP864" s="839"/>
      <c r="CQ864" s="832"/>
      <c r="CR864" s="833" t="str">
        <f t="shared" si="736"/>
        <v>-</v>
      </c>
      <c r="CS864" s="833" t="str">
        <f t="shared" si="737"/>
        <v>-</v>
      </c>
      <c r="CT864" s="834" t="str">
        <f t="shared" si="738"/>
        <v>-</v>
      </c>
      <c r="CU864" s="835" t="str">
        <f t="shared" si="739"/>
        <v>-</v>
      </c>
      <c r="CV864" s="839"/>
      <c r="CW864" s="832"/>
      <c r="CX864" s="833" t="str">
        <f t="shared" si="740"/>
        <v>-</v>
      </c>
      <c r="CY864" s="840" t="str">
        <f t="shared" si="741"/>
        <v>-</v>
      </c>
      <c r="CZ864" s="833" t="str">
        <f t="shared" si="742"/>
        <v>-</v>
      </c>
      <c r="DA864" s="838" t="str">
        <f t="shared" ca="1" si="743"/>
        <v>-</v>
      </c>
      <c r="DB864" s="841"/>
      <c r="DC864" s="832"/>
    </row>
    <row r="865" spans="1:107" x14ac:dyDescent="0.25">
      <c r="A865" s="790">
        <v>869</v>
      </c>
      <c r="B865" s="791">
        <f t="shared" ca="1" si="692"/>
        <v>43134</v>
      </c>
      <c r="C865" s="29" t="s">
        <v>3341</v>
      </c>
      <c r="D865" s="793" t="s">
        <v>1635</v>
      </c>
      <c r="E865" s="794" t="s">
        <v>1563</v>
      </c>
      <c r="F865" s="795" t="s">
        <v>2945</v>
      </c>
      <c r="G865" s="845"/>
      <c r="H865" s="797" t="s">
        <v>603</v>
      </c>
      <c r="I865" s="798">
        <v>42931</v>
      </c>
      <c r="J865" s="799">
        <f t="shared" ca="1" si="693"/>
        <v>0.55616438356164388</v>
      </c>
      <c r="K865" s="799">
        <f t="shared" ca="1" si="694"/>
        <v>6.7666666666666666</v>
      </c>
      <c r="L865" s="800">
        <f t="shared" ca="1" si="695"/>
        <v>203</v>
      </c>
      <c r="M865" s="801"/>
      <c r="N865" s="802"/>
      <c r="O865" s="803" t="str">
        <f t="shared" ca="1" si="696"/>
        <v>-</v>
      </c>
      <c r="P865" s="804"/>
      <c r="Q865" s="805"/>
      <c r="R865" s="806"/>
      <c r="S865" s="807"/>
      <c r="T865" s="798"/>
      <c r="U865" s="798" t="str">
        <f t="shared" si="697"/>
        <v>-</v>
      </c>
      <c r="V865" s="804" t="str">
        <f t="shared" ca="1" si="698"/>
        <v>-</v>
      </c>
      <c r="W865" s="808">
        <v>0</v>
      </c>
      <c r="X865" s="794" t="str">
        <f t="shared" si="691"/>
        <v>-</v>
      </c>
      <c r="Y865" s="794">
        <v>0</v>
      </c>
      <c r="Z865" s="809" t="str">
        <f t="shared" ca="1" si="699"/>
        <v>-----</v>
      </c>
      <c r="AA865" s="810">
        <f t="shared" ca="1" si="700"/>
        <v>43134</v>
      </c>
      <c r="AB865" s="804"/>
      <c r="AC865" s="811" t="str">
        <f t="shared" ca="1" si="701"/>
        <v>-----</v>
      </c>
      <c r="AD865" s="798"/>
      <c r="AE865" s="794" t="str">
        <f t="shared" ca="1" si="702"/>
        <v>-</v>
      </c>
      <c r="AF865" s="798" t="str">
        <f t="shared" si="703"/>
        <v>-</v>
      </c>
      <c r="AG865" s="812" t="str">
        <f t="shared" si="704"/>
        <v>---------</v>
      </c>
      <c r="AH865" s="807"/>
      <c r="AI865" s="807" t="str">
        <f t="shared" si="705"/>
        <v>-</v>
      </c>
      <c r="AJ865" s="807" t="str">
        <f t="shared" si="706"/>
        <v>-</v>
      </c>
      <c r="AK865" s="813"/>
      <c r="AL865" s="807" t="str">
        <f t="shared" si="707"/>
        <v>-</v>
      </c>
      <c r="AM865" s="807" t="str">
        <f t="shared" si="708"/>
        <v>-</v>
      </c>
      <c r="AN865" s="814" t="str">
        <f t="shared" ca="1" si="709"/>
        <v>-</v>
      </c>
      <c r="AO865" s="815">
        <v>1</v>
      </c>
      <c r="AP865" s="816" t="str">
        <f t="shared" ca="1" si="710"/>
        <v>-</v>
      </c>
      <c r="AQ865" s="817"/>
      <c r="AR865" s="794" t="str">
        <f t="shared" si="711"/>
        <v>-</v>
      </c>
      <c r="AS865" s="818"/>
      <c r="AT865" s="794" t="str">
        <f t="shared" si="712"/>
        <v>-</v>
      </c>
      <c r="AU865" s="819"/>
      <c r="AV865" s="865"/>
      <c r="AW865" s="821"/>
      <c r="AX865" s="821"/>
      <c r="AY865" s="969" t="str">
        <f t="shared" si="713"/>
        <v>-</v>
      </c>
      <c r="AZ865" s="966" t="str">
        <f t="shared" si="714"/>
        <v>-</v>
      </c>
      <c r="BA865" s="971" t="str">
        <f t="shared" si="715"/>
        <v>-</v>
      </c>
      <c r="BB865" s="975"/>
      <c r="BC865" s="821"/>
      <c r="BD865" s="821"/>
      <c r="BE865" s="963" t="str">
        <f t="shared" si="716"/>
        <v>-</v>
      </c>
      <c r="BF865" s="984"/>
      <c r="BG865" s="988"/>
      <c r="BH865" s="982"/>
      <c r="BI865" s="991"/>
      <c r="BJ865" s="991"/>
      <c r="BK865" s="993" t="str">
        <f t="shared" si="717"/>
        <v>-</v>
      </c>
      <c r="BL865" s="865"/>
      <c r="BM865" s="821"/>
      <c r="BN865" s="822" t="str">
        <f t="shared" si="718"/>
        <v>-</v>
      </c>
      <c r="BO865" s="823" t="str">
        <f t="shared" si="719"/>
        <v>-</v>
      </c>
      <c r="BP865" s="868"/>
      <c r="BQ865" s="821"/>
      <c r="BR865" s="822" t="str">
        <f t="shared" si="720"/>
        <v>-</v>
      </c>
      <c r="BS865" s="823" t="str">
        <f t="shared" si="721"/>
        <v>-</v>
      </c>
      <c r="BT865" s="825" t="str">
        <f t="shared" ca="1" si="722"/>
        <v>-</v>
      </c>
      <c r="BU865" s="860">
        <v>42942</v>
      </c>
      <c r="BV865" s="827">
        <v>2</v>
      </c>
      <c r="BW865" s="828">
        <f t="shared" si="723"/>
        <v>11</v>
      </c>
      <c r="BX865" s="829">
        <f t="shared" ca="1" si="724"/>
        <v>192</v>
      </c>
      <c r="BY865" s="830" t="str">
        <f t="shared" ca="1" si="725"/>
        <v>-</v>
      </c>
      <c r="BZ865" s="831">
        <v>43018</v>
      </c>
      <c r="CA865" s="832">
        <v>5</v>
      </c>
      <c r="CB865" s="833">
        <f t="shared" ca="1" si="726"/>
        <v>116</v>
      </c>
      <c r="CC865" s="834" t="str">
        <f t="shared" ca="1" si="727"/>
        <v>-</v>
      </c>
      <c r="CD865" s="835">
        <f t="shared" si="728"/>
        <v>43039</v>
      </c>
      <c r="CE865" s="831">
        <v>43046</v>
      </c>
      <c r="CF865" s="832">
        <v>5</v>
      </c>
      <c r="CG865" s="833">
        <f t="shared" ca="1" si="729"/>
        <v>88</v>
      </c>
      <c r="CH865" s="836">
        <f t="shared" si="730"/>
        <v>-7</v>
      </c>
      <c r="CI865" s="837" t="str">
        <f t="shared" si="731"/>
        <v>-</v>
      </c>
      <c r="CJ865" s="838" t="str">
        <f t="shared" ca="1" si="732"/>
        <v>-</v>
      </c>
      <c r="CK865" s="831"/>
      <c r="CL865" s="832"/>
      <c r="CM865" s="833" t="str">
        <f t="shared" si="733"/>
        <v>-</v>
      </c>
      <c r="CN865" s="834" t="str">
        <f t="shared" si="734"/>
        <v>-</v>
      </c>
      <c r="CO865" s="830" t="str">
        <f t="shared" ca="1" si="735"/>
        <v>-</v>
      </c>
      <c r="CP865" s="839"/>
      <c r="CQ865" s="832"/>
      <c r="CR865" s="833" t="str">
        <f t="shared" si="736"/>
        <v>-</v>
      </c>
      <c r="CS865" s="833" t="str">
        <f t="shared" si="737"/>
        <v>-</v>
      </c>
      <c r="CT865" s="834" t="str">
        <f t="shared" si="738"/>
        <v>-</v>
      </c>
      <c r="CU865" s="835" t="str">
        <f t="shared" si="739"/>
        <v>-</v>
      </c>
      <c r="CV865" s="839"/>
      <c r="CW865" s="832"/>
      <c r="CX865" s="833" t="str">
        <f t="shared" si="740"/>
        <v>-</v>
      </c>
      <c r="CY865" s="840" t="str">
        <f t="shared" si="741"/>
        <v>-</v>
      </c>
      <c r="CZ865" s="833" t="str">
        <f t="shared" si="742"/>
        <v>-</v>
      </c>
      <c r="DA865" s="838" t="str">
        <f t="shared" ca="1" si="743"/>
        <v>-</v>
      </c>
      <c r="DB865" s="841"/>
      <c r="DC865" s="832"/>
    </row>
    <row r="866" spans="1:107" x14ac:dyDescent="0.25">
      <c r="A866" s="790">
        <v>870</v>
      </c>
      <c r="B866" s="791">
        <f t="shared" ca="1" si="692"/>
        <v>43134</v>
      </c>
      <c r="C866" s="29" t="s">
        <v>3341</v>
      </c>
      <c r="D866" s="793" t="s">
        <v>1635</v>
      </c>
      <c r="E866" s="794" t="s">
        <v>1563</v>
      </c>
      <c r="F866" s="795" t="s">
        <v>2951</v>
      </c>
      <c r="G866" s="845"/>
      <c r="H866" s="797" t="s">
        <v>603</v>
      </c>
      <c r="I866" s="798">
        <v>42932</v>
      </c>
      <c r="J866" s="799">
        <f t="shared" ca="1" si="693"/>
        <v>0.55342465753424652</v>
      </c>
      <c r="K866" s="799">
        <f t="shared" ca="1" si="694"/>
        <v>6.7333333333333334</v>
      </c>
      <c r="L866" s="800">
        <f t="shared" ca="1" si="695"/>
        <v>202</v>
      </c>
      <c r="M866" s="801"/>
      <c r="N866" s="802"/>
      <c r="O866" s="803" t="str">
        <f t="shared" ca="1" si="696"/>
        <v>-</v>
      </c>
      <c r="P866" s="804"/>
      <c r="Q866" s="805"/>
      <c r="R866" s="806"/>
      <c r="S866" s="807"/>
      <c r="T866" s="798"/>
      <c r="U866" s="798" t="str">
        <f t="shared" si="697"/>
        <v>-</v>
      </c>
      <c r="V866" s="804" t="str">
        <f t="shared" ca="1" si="698"/>
        <v>-</v>
      </c>
      <c r="W866" s="808">
        <v>0</v>
      </c>
      <c r="X866" s="794" t="str">
        <f t="shared" si="691"/>
        <v>-</v>
      </c>
      <c r="Y866" s="794">
        <v>0</v>
      </c>
      <c r="Z866" s="809" t="str">
        <f t="shared" ca="1" si="699"/>
        <v>-----</v>
      </c>
      <c r="AA866" s="810">
        <f t="shared" ca="1" si="700"/>
        <v>43134</v>
      </c>
      <c r="AB866" s="804"/>
      <c r="AC866" s="811" t="str">
        <f t="shared" ca="1" si="701"/>
        <v>-----</v>
      </c>
      <c r="AD866" s="798"/>
      <c r="AE866" s="794" t="str">
        <f t="shared" ca="1" si="702"/>
        <v>-</v>
      </c>
      <c r="AF866" s="798" t="str">
        <f t="shared" si="703"/>
        <v>-</v>
      </c>
      <c r="AG866" s="812" t="str">
        <f t="shared" si="704"/>
        <v>---------</v>
      </c>
      <c r="AH866" s="807"/>
      <c r="AI866" s="807" t="str">
        <f t="shared" si="705"/>
        <v>-</v>
      </c>
      <c r="AJ866" s="807" t="str">
        <f t="shared" si="706"/>
        <v>-</v>
      </c>
      <c r="AK866" s="813"/>
      <c r="AL866" s="807" t="str">
        <f t="shared" si="707"/>
        <v>-</v>
      </c>
      <c r="AM866" s="807" t="str">
        <f t="shared" si="708"/>
        <v>-</v>
      </c>
      <c r="AN866" s="814" t="str">
        <f t="shared" ca="1" si="709"/>
        <v>-</v>
      </c>
      <c r="AO866" s="815">
        <v>1</v>
      </c>
      <c r="AP866" s="816" t="str">
        <f t="shared" ca="1" si="710"/>
        <v>-</v>
      </c>
      <c r="AQ866" s="817"/>
      <c r="AR866" s="794" t="str">
        <f t="shared" si="711"/>
        <v>-</v>
      </c>
      <c r="AS866" s="818"/>
      <c r="AT866" s="794" t="str">
        <f t="shared" si="712"/>
        <v>-</v>
      </c>
      <c r="AU866" s="819"/>
      <c r="AV866" s="865"/>
      <c r="AW866" s="821"/>
      <c r="AX866" s="821"/>
      <c r="AY866" s="969" t="str">
        <f t="shared" si="713"/>
        <v>-</v>
      </c>
      <c r="AZ866" s="966" t="str">
        <f t="shared" si="714"/>
        <v>-</v>
      </c>
      <c r="BA866" s="971" t="str">
        <f t="shared" si="715"/>
        <v>-</v>
      </c>
      <c r="BB866" s="975"/>
      <c r="BC866" s="821"/>
      <c r="BD866" s="821"/>
      <c r="BE866" s="963" t="str">
        <f t="shared" si="716"/>
        <v>-</v>
      </c>
      <c r="BF866" s="984"/>
      <c r="BG866" s="988"/>
      <c r="BH866" s="982"/>
      <c r="BI866" s="991"/>
      <c r="BJ866" s="991"/>
      <c r="BK866" s="993" t="str">
        <f t="shared" si="717"/>
        <v>-</v>
      </c>
      <c r="BL866" s="865"/>
      <c r="BM866" s="821"/>
      <c r="BN866" s="822" t="str">
        <f t="shared" si="718"/>
        <v>-</v>
      </c>
      <c r="BO866" s="823" t="str">
        <f t="shared" si="719"/>
        <v>-</v>
      </c>
      <c r="BP866" s="868"/>
      <c r="BQ866" s="821"/>
      <c r="BR866" s="822" t="str">
        <f t="shared" si="720"/>
        <v>-</v>
      </c>
      <c r="BS866" s="823" t="str">
        <f t="shared" si="721"/>
        <v>-</v>
      </c>
      <c r="BT866" s="825" t="str">
        <f t="shared" ca="1" si="722"/>
        <v>-</v>
      </c>
      <c r="BU866" s="860">
        <v>42942</v>
      </c>
      <c r="BV866" s="827">
        <v>2</v>
      </c>
      <c r="BW866" s="828">
        <f t="shared" si="723"/>
        <v>10</v>
      </c>
      <c r="BX866" s="829">
        <f t="shared" ca="1" si="724"/>
        <v>192</v>
      </c>
      <c r="BY866" s="830" t="str">
        <f t="shared" ca="1" si="725"/>
        <v>-</v>
      </c>
      <c r="BZ866" s="831">
        <v>43011</v>
      </c>
      <c r="CA866" s="832">
        <v>5</v>
      </c>
      <c r="CB866" s="833">
        <f t="shared" ca="1" si="726"/>
        <v>123</v>
      </c>
      <c r="CC866" s="834" t="str">
        <f t="shared" ca="1" si="727"/>
        <v>-</v>
      </c>
      <c r="CD866" s="835">
        <f t="shared" si="728"/>
        <v>43032</v>
      </c>
      <c r="CE866" s="831">
        <v>43033</v>
      </c>
      <c r="CF866" s="832">
        <v>5</v>
      </c>
      <c r="CG866" s="833">
        <f t="shared" ca="1" si="729"/>
        <v>101</v>
      </c>
      <c r="CH866" s="836">
        <f t="shared" si="730"/>
        <v>-1</v>
      </c>
      <c r="CI866" s="837" t="str">
        <f t="shared" si="731"/>
        <v>-</v>
      </c>
      <c r="CJ866" s="838" t="str">
        <f t="shared" ca="1" si="732"/>
        <v>-</v>
      </c>
      <c r="CK866" s="831"/>
      <c r="CL866" s="832"/>
      <c r="CM866" s="833" t="str">
        <f t="shared" si="733"/>
        <v>-</v>
      </c>
      <c r="CN866" s="834" t="str">
        <f t="shared" si="734"/>
        <v>-</v>
      </c>
      <c r="CO866" s="830" t="str">
        <f t="shared" ca="1" si="735"/>
        <v>-</v>
      </c>
      <c r="CP866" s="839"/>
      <c r="CQ866" s="832"/>
      <c r="CR866" s="833" t="str">
        <f t="shared" si="736"/>
        <v>-</v>
      </c>
      <c r="CS866" s="833" t="str">
        <f t="shared" si="737"/>
        <v>-</v>
      </c>
      <c r="CT866" s="834" t="str">
        <f t="shared" si="738"/>
        <v>-</v>
      </c>
      <c r="CU866" s="835" t="str">
        <f t="shared" si="739"/>
        <v>-</v>
      </c>
      <c r="CV866" s="839"/>
      <c r="CW866" s="832"/>
      <c r="CX866" s="833" t="str">
        <f t="shared" si="740"/>
        <v>-</v>
      </c>
      <c r="CY866" s="840" t="str">
        <f t="shared" si="741"/>
        <v>-</v>
      </c>
      <c r="CZ866" s="833" t="str">
        <f t="shared" si="742"/>
        <v>-</v>
      </c>
      <c r="DA866" s="838" t="str">
        <f t="shared" ca="1" si="743"/>
        <v>-</v>
      </c>
      <c r="DB866" s="841"/>
      <c r="DC866" s="832"/>
    </row>
    <row r="867" spans="1:107" x14ac:dyDescent="0.25">
      <c r="A867" s="790">
        <v>871</v>
      </c>
      <c r="B867" s="791">
        <f t="shared" ca="1" si="692"/>
        <v>43134</v>
      </c>
      <c r="C867" s="29" t="s">
        <v>3341</v>
      </c>
      <c r="D867" s="793" t="s">
        <v>1635</v>
      </c>
      <c r="E867" s="794" t="s">
        <v>1563</v>
      </c>
      <c r="F867" s="795" t="s">
        <v>2964</v>
      </c>
      <c r="G867" s="845"/>
      <c r="H867" s="797" t="s">
        <v>603</v>
      </c>
      <c r="I867" s="798">
        <v>42938</v>
      </c>
      <c r="J867" s="799">
        <f t="shared" ca="1" si="693"/>
        <v>0.53698630136986303</v>
      </c>
      <c r="K867" s="799">
        <f t="shared" ca="1" si="694"/>
        <v>6.5333333333333332</v>
      </c>
      <c r="L867" s="800">
        <f t="shared" ca="1" si="695"/>
        <v>196</v>
      </c>
      <c r="M867" s="801"/>
      <c r="N867" s="802"/>
      <c r="O867" s="803" t="str">
        <f t="shared" ca="1" si="696"/>
        <v>-</v>
      </c>
      <c r="P867" s="804"/>
      <c r="Q867" s="805"/>
      <c r="R867" s="806"/>
      <c r="S867" s="807"/>
      <c r="T867" s="798"/>
      <c r="U867" s="798" t="str">
        <f t="shared" si="697"/>
        <v>-</v>
      </c>
      <c r="V867" s="804" t="str">
        <f t="shared" ca="1" si="698"/>
        <v>-</v>
      </c>
      <c r="W867" s="808">
        <v>0</v>
      </c>
      <c r="X867" s="794" t="str">
        <f t="shared" si="691"/>
        <v>-</v>
      </c>
      <c r="Y867" s="794">
        <v>0</v>
      </c>
      <c r="Z867" s="809" t="str">
        <f t="shared" ca="1" si="699"/>
        <v>-----</v>
      </c>
      <c r="AA867" s="810">
        <f t="shared" ca="1" si="700"/>
        <v>43134</v>
      </c>
      <c r="AB867" s="804"/>
      <c r="AC867" s="811" t="str">
        <f t="shared" ca="1" si="701"/>
        <v>-----</v>
      </c>
      <c r="AD867" s="798"/>
      <c r="AE867" s="794" t="str">
        <f t="shared" ca="1" si="702"/>
        <v>-</v>
      </c>
      <c r="AF867" s="798" t="str">
        <f t="shared" si="703"/>
        <v>-</v>
      </c>
      <c r="AG867" s="812" t="str">
        <f t="shared" si="704"/>
        <v>---------</v>
      </c>
      <c r="AH867" s="807"/>
      <c r="AI867" s="807" t="str">
        <f t="shared" si="705"/>
        <v>-</v>
      </c>
      <c r="AJ867" s="807" t="str">
        <f t="shared" si="706"/>
        <v>-</v>
      </c>
      <c r="AK867" s="813"/>
      <c r="AL867" s="807" t="str">
        <f t="shared" si="707"/>
        <v>-</v>
      </c>
      <c r="AM867" s="807" t="str">
        <f t="shared" si="708"/>
        <v>-</v>
      </c>
      <c r="AN867" s="814" t="str">
        <f t="shared" ca="1" si="709"/>
        <v>-</v>
      </c>
      <c r="AO867" s="815">
        <v>1</v>
      </c>
      <c r="AP867" s="816" t="str">
        <f t="shared" ca="1" si="710"/>
        <v>-</v>
      </c>
      <c r="AQ867" s="817"/>
      <c r="AR867" s="794" t="str">
        <f t="shared" si="711"/>
        <v>-</v>
      </c>
      <c r="AS867" s="818"/>
      <c r="AT867" s="794" t="str">
        <f t="shared" si="712"/>
        <v>-</v>
      </c>
      <c r="AU867" s="819"/>
      <c r="AV867" s="865"/>
      <c r="AW867" s="821"/>
      <c r="AX867" s="821"/>
      <c r="AY867" s="969" t="str">
        <f t="shared" si="713"/>
        <v>-</v>
      </c>
      <c r="AZ867" s="966" t="str">
        <f t="shared" si="714"/>
        <v>-</v>
      </c>
      <c r="BA867" s="971" t="str">
        <f t="shared" si="715"/>
        <v>-</v>
      </c>
      <c r="BB867" s="975"/>
      <c r="BC867" s="821"/>
      <c r="BD867" s="821"/>
      <c r="BE867" s="963" t="str">
        <f t="shared" si="716"/>
        <v>-</v>
      </c>
      <c r="BF867" s="984"/>
      <c r="BG867" s="988"/>
      <c r="BH867" s="982"/>
      <c r="BI867" s="991"/>
      <c r="BJ867" s="991"/>
      <c r="BK867" s="993" t="str">
        <f t="shared" si="717"/>
        <v>-</v>
      </c>
      <c r="BL867" s="865"/>
      <c r="BM867" s="821"/>
      <c r="BN867" s="822" t="str">
        <f t="shared" si="718"/>
        <v>-</v>
      </c>
      <c r="BO867" s="823" t="str">
        <f t="shared" si="719"/>
        <v>-</v>
      </c>
      <c r="BP867" s="868"/>
      <c r="BQ867" s="821"/>
      <c r="BR867" s="822" t="str">
        <f t="shared" si="720"/>
        <v>-</v>
      </c>
      <c r="BS867" s="823" t="str">
        <f t="shared" si="721"/>
        <v>-</v>
      </c>
      <c r="BT867" s="825" t="str">
        <f t="shared" ca="1" si="722"/>
        <v>-</v>
      </c>
      <c r="BU867" s="860">
        <v>42942</v>
      </c>
      <c r="BV867" s="827">
        <v>2</v>
      </c>
      <c r="BW867" s="828">
        <f t="shared" si="723"/>
        <v>4</v>
      </c>
      <c r="BX867" s="829">
        <f t="shared" ca="1" si="724"/>
        <v>192</v>
      </c>
      <c r="BY867" s="830" t="str">
        <f t="shared" ca="1" si="725"/>
        <v>-</v>
      </c>
      <c r="BZ867" s="831">
        <v>43011</v>
      </c>
      <c r="CA867" s="832">
        <v>5</v>
      </c>
      <c r="CB867" s="833">
        <f t="shared" ca="1" si="726"/>
        <v>123</v>
      </c>
      <c r="CC867" s="834" t="str">
        <f t="shared" ca="1" si="727"/>
        <v>-</v>
      </c>
      <c r="CD867" s="835">
        <f t="shared" si="728"/>
        <v>43032</v>
      </c>
      <c r="CE867" s="831">
        <v>43033</v>
      </c>
      <c r="CF867" s="832">
        <v>5</v>
      </c>
      <c r="CG867" s="833">
        <f t="shared" ca="1" si="729"/>
        <v>101</v>
      </c>
      <c r="CH867" s="836">
        <f t="shared" si="730"/>
        <v>-1</v>
      </c>
      <c r="CI867" s="837" t="str">
        <f t="shared" si="731"/>
        <v>-</v>
      </c>
      <c r="CJ867" s="838" t="str">
        <f t="shared" ca="1" si="732"/>
        <v>-</v>
      </c>
      <c r="CK867" s="831"/>
      <c r="CL867" s="832"/>
      <c r="CM867" s="833" t="str">
        <f t="shared" si="733"/>
        <v>-</v>
      </c>
      <c r="CN867" s="834" t="str">
        <f t="shared" si="734"/>
        <v>-</v>
      </c>
      <c r="CO867" s="830" t="str">
        <f t="shared" ca="1" si="735"/>
        <v>-</v>
      </c>
      <c r="CP867" s="839"/>
      <c r="CQ867" s="832"/>
      <c r="CR867" s="833" t="str">
        <f t="shared" si="736"/>
        <v>-</v>
      </c>
      <c r="CS867" s="833" t="str">
        <f t="shared" si="737"/>
        <v>-</v>
      </c>
      <c r="CT867" s="834" t="str">
        <f t="shared" si="738"/>
        <v>-</v>
      </c>
      <c r="CU867" s="835" t="str">
        <f t="shared" si="739"/>
        <v>-</v>
      </c>
      <c r="CV867" s="839"/>
      <c r="CW867" s="832"/>
      <c r="CX867" s="833" t="str">
        <f t="shared" si="740"/>
        <v>-</v>
      </c>
      <c r="CY867" s="840" t="str">
        <f t="shared" si="741"/>
        <v>-</v>
      </c>
      <c r="CZ867" s="833" t="str">
        <f t="shared" si="742"/>
        <v>-</v>
      </c>
      <c r="DA867" s="838" t="str">
        <f t="shared" ca="1" si="743"/>
        <v>-</v>
      </c>
      <c r="DB867" s="841"/>
      <c r="DC867" s="832"/>
    </row>
    <row r="868" spans="1:107" x14ac:dyDescent="0.25">
      <c r="A868" s="790">
        <v>872</v>
      </c>
      <c r="B868" s="791">
        <f t="shared" ca="1" si="692"/>
        <v>43134</v>
      </c>
      <c r="C868" s="29" t="s">
        <v>3341</v>
      </c>
      <c r="D868" s="793" t="s">
        <v>1635</v>
      </c>
      <c r="E868" s="794" t="s">
        <v>1563</v>
      </c>
      <c r="F868" s="795" t="s">
        <v>2965</v>
      </c>
      <c r="G868" s="845"/>
      <c r="H868" s="797" t="s">
        <v>603</v>
      </c>
      <c r="I868" s="798">
        <v>42938</v>
      </c>
      <c r="J868" s="799">
        <f t="shared" ca="1" si="693"/>
        <v>0.53698630136986303</v>
      </c>
      <c r="K868" s="799">
        <f t="shared" ca="1" si="694"/>
        <v>6.5333333333333332</v>
      </c>
      <c r="L868" s="800">
        <f t="shared" ca="1" si="695"/>
        <v>196</v>
      </c>
      <c r="M868" s="801"/>
      <c r="N868" s="802"/>
      <c r="O868" s="803" t="str">
        <f t="shared" ca="1" si="696"/>
        <v>-</v>
      </c>
      <c r="P868" s="804"/>
      <c r="Q868" s="805"/>
      <c r="R868" s="806"/>
      <c r="S868" s="807"/>
      <c r="T868" s="798"/>
      <c r="U868" s="798" t="str">
        <f t="shared" si="697"/>
        <v>-</v>
      </c>
      <c r="V868" s="804" t="str">
        <f t="shared" ca="1" si="698"/>
        <v>-</v>
      </c>
      <c r="W868" s="808">
        <v>0</v>
      </c>
      <c r="X868" s="794" t="str">
        <f t="shared" si="691"/>
        <v>-</v>
      </c>
      <c r="Y868" s="794">
        <v>0</v>
      </c>
      <c r="Z868" s="809" t="str">
        <f t="shared" ca="1" si="699"/>
        <v>-----</v>
      </c>
      <c r="AA868" s="810">
        <f t="shared" ca="1" si="700"/>
        <v>43134</v>
      </c>
      <c r="AB868" s="804"/>
      <c r="AC868" s="811" t="str">
        <f t="shared" ca="1" si="701"/>
        <v>-----</v>
      </c>
      <c r="AD868" s="798"/>
      <c r="AE868" s="794" t="str">
        <f t="shared" ca="1" si="702"/>
        <v>-</v>
      </c>
      <c r="AF868" s="798" t="str">
        <f t="shared" si="703"/>
        <v>-</v>
      </c>
      <c r="AG868" s="812" t="str">
        <f t="shared" si="704"/>
        <v>---------</v>
      </c>
      <c r="AH868" s="807"/>
      <c r="AI868" s="807" t="str">
        <f t="shared" si="705"/>
        <v>-</v>
      </c>
      <c r="AJ868" s="807" t="str">
        <f t="shared" si="706"/>
        <v>-</v>
      </c>
      <c r="AK868" s="813"/>
      <c r="AL868" s="807" t="str">
        <f t="shared" si="707"/>
        <v>-</v>
      </c>
      <c r="AM868" s="807" t="str">
        <f t="shared" si="708"/>
        <v>-</v>
      </c>
      <c r="AN868" s="814" t="str">
        <f t="shared" ca="1" si="709"/>
        <v>-</v>
      </c>
      <c r="AO868" s="815">
        <v>1</v>
      </c>
      <c r="AP868" s="816" t="str">
        <f t="shared" ca="1" si="710"/>
        <v>-</v>
      </c>
      <c r="AQ868" s="817"/>
      <c r="AR868" s="794" t="str">
        <f t="shared" si="711"/>
        <v>-</v>
      </c>
      <c r="AS868" s="818"/>
      <c r="AT868" s="794" t="str">
        <f t="shared" si="712"/>
        <v>-</v>
      </c>
      <c r="AU868" s="819"/>
      <c r="AV868" s="865"/>
      <c r="AW868" s="821"/>
      <c r="AX868" s="821"/>
      <c r="AY868" s="969" t="str">
        <f t="shared" si="713"/>
        <v>-</v>
      </c>
      <c r="AZ868" s="966" t="str">
        <f t="shared" si="714"/>
        <v>-</v>
      </c>
      <c r="BA868" s="971" t="str">
        <f t="shared" si="715"/>
        <v>-</v>
      </c>
      <c r="BB868" s="975"/>
      <c r="BC868" s="821"/>
      <c r="BD868" s="821"/>
      <c r="BE868" s="963" t="str">
        <f t="shared" si="716"/>
        <v>-</v>
      </c>
      <c r="BF868" s="984"/>
      <c r="BG868" s="988"/>
      <c r="BH868" s="982"/>
      <c r="BI868" s="991"/>
      <c r="BJ868" s="991"/>
      <c r="BK868" s="993" t="str">
        <f t="shared" si="717"/>
        <v>-</v>
      </c>
      <c r="BL868" s="865"/>
      <c r="BM868" s="821"/>
      <c r="BN868" s="822" t="str">
        <f t="shared" si="718"/>
        <v>-</v>
      </c>
      <c r="BO868" s="823" t="str">
        <f t="shared" si="719"/>
        <v>-</v>
      </c>
      <c r="BP868" s="868"/>
      <c r="BQ868" s="821"/>
      <c r="BR868" s="822" t="str">
        <f t="shared" si="720"/>
        <v>-</v>
      </c>
      <c r="BS868" s="823" t="str">
        <f t="shared" si="721"/>
        <v>-</v>
      </c>
      <c r="BT868" s="825" t="str">
        <f t="shared" ca="1" si="722"/>
        <v>-</v>
      </c>
      <c r="BU868" s="860">
        <v>42942</v>
      </c>
      <c r="BV868" s="827">
        <v>2</v>
      </c>
      <c r="BW868" s="828">
        <f t="shared" si="723"/>
        <v>4</v>
      </c>
      <c r="BX868" s="829">
        <f t="shared" ca="1" si="724"/>
        <v>192</v>
      </c>
      <c r="BY868" s="830" t="str">
        <f t="shared" ca="1" si="725"/>
        <v>-</v>
      </c>
      <c r="BZ868" s="831">
        <v>43011</v>
      </c>
      <c r="CA868" s="832">
        <v>5</v>
      </c>
      <c r="CB868" s="833">
        <f t="shared" ca="1" si="726"/>
        <v>123</v>
      </c>
      <c r="CC868" s="834" t="str">
        <f t="shared" ca="1" si="727"/>
        <v>-</v>
      </c>
      <c r="CD868" s="835">
        <f t="shared" si="728"/>
        <v>43032</v>
      </c>
      <c r="CE868" s="831">
        <v>43033</v>
      </c>
      <c r="CF868" s="832">
        <v>5</v>
      </c>
      <c r="CG868" s="833">
        <f t="shared" ca="1" si="729"/>
        <v>101</v>
      </c>
      <c r="CH868" s="836">
        <f t="shared" si="730"/>
        <v>-1</v>
      </c>
      <c r="CI868" s="837" t="str">
        <f t="shared" si="731"/>
        <v>-</v>
      </c>
      <c r="CJ868" s="838" t="str">
        <f t="shared" ca="1" si="732"/>
        <v>-</v>
      </c>
      <c r="CK868" s="831"/>
      <c r="CL868" s="832"/>
      <c r="CM868" s="833" t="str">
        <f t="shared" si="733"/>
        <v>-</v>
      </c>
      <c r="CN868" s="834" t="str">
        <f t="shared" si="734"/>
        <v>-</v>
      </c>
      <c r="CO868" s="830" t="str">
        <f t="shared" ca="1" si="735"/>
        <v>-</v>
      </c>
      <c r="CP868" s="839"/>
      <c r="CQ868" s="832"/>
      <c r="CR868" s="833" t="str">
        <f t="shared" si="736"/>
        <v>-</v>
      </c>
      <c r="CS868" s="833" t="str">
        <f t="shared" si="737"/>
        <v>-</v>
      </c>
      <c r="CT868" s="834" t="str">
        <f t="shared" si="738"/>
        <v>-</v>
      </c>
      <c r="CU868" s="835" t="str">
        <f t="shared" si="739"/>
        <v>-</v>
      </c>
      <c r="CV868" s="839"/>
      <c r="CW868" s="832"/>
      <c r="CX868" s="833" t="str">
        <f t="shared" si="740"/>
        <v>-</v>
      </c>
      <c r="CY868" s="840" t="str">
        <f t="shared" si="741"/>
        <v>-</v>
      </c>
      <c r="CZ868" s="833" t="str">
        <f t="shared" si="742"/>
        <v>-</v>
      </c>
      <c r="DA868" s="838" t="str">
        <f t="shared" ca="1" si="743"/>
        <v>-</v>
      </c>
      <c r="DB868" s="841"/>
      <c r="DC868" s="832"/>
    </row>
    <row r="869" spans="1:107" x14ac:dyDescent="0.25">
      <c r="A869" s="790">
        <v>873</v>
      </c>
      <c r="B869" s="791">
        <f t="shared" ca="1" si="692"/>
        <v>43134</v>
      </c>
      <c r="C869" s="29" t="s">
        <v>3341</v>
      </c>
      <c r="D869" s="793" t="s">
        <v>1635</v>
      </c>
      <c r="E869" s="794" t="s">
        <v>1563</v>
      </c>
      <c r="F869" s="795" t="s">
        <v>2971</v>
      </c>
      <c r="G869" s="845"/>
      <c r="H869" s="797" t="s">
        <v>603</v>
      </c>
      <c r="I869" s="798">
        <v>42941</v>
      </c>
      <c r="J869" s="799">
        <f t="shared" ca="1" si="693"/>
        <v>0.52876712328767128</v>
      </c>
      <c r="K869" s="799">
        <f t="shared" ca="1" si="694"/>
        <v>6.4333333333333336</v>
      </c>
      <c r="L869" s="800">
        <f t="shared" ca="1" si="695"/>
        <v>193</v>
      </c>
      <c r="M869" s="801"/>
      <c r="N869" s="802"/>
      <c r="O869" s="803" t="str">
        <f t="shared" ca="1" si="696"/>
        <v>-</v>
      </c>
      <c r="P869" s="804"/>
      <c r="Q869" s="805"/>
      <c r="R869" s="806"/>
      <c r="S869" s="807"/>
      <c r="T869" s="798"/>
      <c r="U869" s="798" t="str">
        <f t="shared" si="697"/>
        <v>-</v>
      </c>
      <c r="V869" s="804" t="str">
        <f t="shared" ca="1" si="698"/>
        <v>-</v>
      </c>
      <c r="W869" s="808">
        <v>0</v>
      </c>
      <c r="X869" s="794" t="str">
        <f t="shared" si="691"/>
        <v>-</v>
      </c>
      <c r="Y869" s="794">
        <v>0</v>
      </c>
      <c r="Z869" s="809" t="str">
        <f t="shared" ca="1" si="699"/>
        <v>-----</v>
      </c>
      <c r="AA869" s="810">
        <f t="shared" ca="1" si="700"/>
        <v>43134</v>
      </c>
      <c r="AB869" s="804"/>
      <c r="AC869" s="811" t="str">
        <f t="shared" ca="1" si="701"/>
        <v>-----</v>
      </c>
      <c r="AD869" s="798"/>
      <c r="AE869" s="794" t="str">
        <f t="shared" ca="1" si="702"/>
        <v>-</v>
      </c>
      <c r="AF869" s="798" t="str">
        <f t="shared" si="703"/>
        <v>-</v>
      </c>
      <c r="AG869" s="812" t="str">
        <f t="shared" si="704"/>
        <v>---------</v>
      </c>
      <c r="AH869" s="807"/>
      <c r="AI869" s="807" t="str">
        <f t="shared" si="705"/>
        <v>-</v>
      </c>
      <c r="AJ869" s="807" t="str">
        <f t="shared" si="706"/>
        <v>-</v>
      </c>
      <c r="AK869" s="813"/>
      <c r="AL869" s="807" t="str">
        <f t="shared" si="707"/>
        <v>-</v>
      </c>
      <c r="AM869" s="807" t="str">
        <f t="shared" si="708"/>
        <v>-</v>
      </c>
      <c r="AN869" s="814" t="str">
        <f t="shared" ca="1" si="709"/>
        <v>-</v>
      </c>
      <c r="AO869" s="815">
        <v>1</v>
      </c>
      <c r="AP869" s="816" t="str">
        <f t="shared" ca="1" si="710"/>
        <v>-</v>
      </c>
      <c r="AQ869" s="817"/>
      <c r="AR869" s="794" t="str">
        <f t="shared" si="711"/>
        <v>-</v>
      </c>
      <c r="AS869" s="818"/>
      <c r="AT869" s="794" t="str">
        <f t="shared" si="712"/>
        <v>-</v>
      </c>
      <c r="AU869" s="819"/>
      <c r="AV869" s="865"/>
      <c r="AW869" s="821"/>
      <c r="AX869" s="821"/>
      <c r="AY869" s="969" t="str">
        <f t="shared" si="713"/>
        <v>-</v>
      </c>
      <c r="AZ869" s="966" t="str">
        <f t="shared" si="714"/>
        <v>-</v>
      </c>
      <c r="BA869" s="971" t="str">
        <f t="shared" si="715"/>
        <v>-</v>
      </c>
      <c r="BB869" s="975"/>
      <c r="BC869" s="821"/>
      <c r="BD869" s="821"/>
      <c r="BE869" s="963" t="str">
        <f t="shared" si="716"/>
        <v>-</v>
      </c>
      <c r="BF869" s="984"/>
      <c r="BG869" s="988"/>
      <c r="BH869" s="982"/>
      <c r="BI869" s="991"/>
      <c r="BJ869" s="991"/>
      <c r="BK869" s="993" t="str">
        <f t="shared" si="717"/>
        <v>-</v>
      </c>
      <c r="BL869" s="865"/>
      <c r="BM869" s="821"/>
      <c r="BN869" s="822" t="str">
        <f t="shared" si="718"/>
        <v>-</v>
      </c>
      <c r="BO869" s="823" t="str">
        <f t="shared" si="719"/>
        <v>-</v>
      </c>
      <c r="BP869" s="868"/>
      <c r="BQ869" s="821"/>
      <c r="BR869" s="822" t="str">
        <f t="shared" si="720"/>
        <v>-</v>
      </c>
      <c r="BS869" s="823" t="str">
        <f t="shared" si="721"/>
        <v>-</v>
      </c>
      <c r="BT869" s="825" t="str">
        <f t="shared" ca="1" si="722"/>
        <v>-</v>
      </c>
      <c r="BU869" s="860">
        <v>42942</v>
      </c>
      <c r="BV869" s="827">
        <v>2</v>
      </c>
      <c r="BW869" s="828">
        <f t="shared" si="723"/>
        <v>1</v>
      </c>
      <c r="BX869" s="829">
        <f t="shared" ca="1" si="724"/>
        <v>192</v>
      </c>
      <c r="BY869" s="830" t="str">
        <f t="shared" ca="1" si="725"/>
        <v>-</v>
      </c>
      <c r="BZ869" s="831">
        <v>43011</v>
      </c>
      <c r="CA869" s="832">
        <v>5</v>
      </c>
      <c r="CB869" s="833">
        <f t="shared" ca="1" si="726"/>
        <v>123</v>
      </c>
      <c r="CC869" s="834" t="str">
        <f t="shared" ca="1" si="727"/>
        <v>-</v>
      </c>
      <c r="CD869" s="835">
        <f t="shared" si="728"/>
        <v>43032</v>
      </c>
      <c r="CE869" s="831">
        <v>43033</v>
      </c>
      <c r="CF869" s="832">
        <v>5</v>
      </c>
      <c r="CG869" s="833">
        <f t="shared" ca="1" si="729"/>
        <v>101</v>
      </c>
      <c r="CH869" s="836">
        <f t="shared" si="730"/>
        <v>-1</v>
      </c>
      <c r="CI869" s="837" t="str">
        <f t="shared" si="731"/>
        <v>-</v>
      </c>
      <c r="CJ869" s="838" t="str">
        <f t="shared" ca="1" si="732"/>
        <v>-</v>
      </c>
      <c r="CK869" s="831"/>
      <c r="CL869" s="832"/>
      <c r="CM869" s="833" t="str">
        <f t="shared" si="733"/>
        <v>-</v>
      </c>
      <c r="CN869" s="834" t="str">
        <f t="shared" si="734"/>
        <v>-</v>
      </c>
      <c r="CO869" s="830" t="str">
        <f t="shared" ca="1" si="735"/>
        <v>-</v>
      </c>
      <c r="CP869" s="839"/>
      <c r="CQ869" s="832"/>
      <c r="CR869" s="833" t="str">
        <f t="shared" si="736"/>
        <v>-</v>
      </c>
      <c r="CS869" s="833" t="str">
        <f t="shared" si="737"/>
        <v>-</v>
      </c>
      <c r="CT869" s="834" t="str">
        <f t="shared" si="738"/>
        <v>-</v>
      </c>
      <c r="CU869" s="835" t="str">
        <f t="shared" si="739"/>
        <v>-</v>
      </c>
      <c r="CV869" s="839"/>
      <c r="CW869" s="832"/>
      <c r="CX869" s="833" t="str">
        <f t="shared" si="740"/>
        <v>-</v>
      </c>
      <c r="CY869" s="840" t="str">
        <f t="shared" si="741"/>
        <v>-</v>
      </c>
      <c r="CZ869" s="833" t="str">
        <f t="shared" si="742"/>
        <v>-</v>
      </c>
      <c r="DA869" s="838" t="str">
        <f t="shared" ca="1" si="743"/>
        <v>-</v>
      </c>
      <c r="DB869" s="841"/>
      <c r="DC869" s="832"/>
    </row>
    <row r="870" spans="1:107" x14ac:dyDescent="0.25">
      <c r="A870" s="790">
        <v>874</v>
      </c>
      <c r="B870" s="791">
        <f t="shared" ca="1" si="692"/>
        <v>43134</v>
      </c>
      <c r="C870" s="29" t="s">
        <v>3341</v>
      </c>
      <c r="D870" s="793" t="s">
        <v>1635</v>
      </c>
      <c r="E870" s="794" t="s">
        <v>1563</v>
      </c>
      <c r="F870" s="795" t="s">
        <v>3015</v>
      </c>
      <c r="G870" s="845"/>
      <c r="H870" s="797" t="s">
        <v>603</v>
      </c>
      <c r="I870" s="798">
        <v>42942</v>
      </c>
      <c r="J870" s="799">
        <f t="shared" ca="1" si="693"/>
        <v>0.52602739726027392</v>
      </c>
      <c r="K870" s="799">
        <f t="shared" ca="1" si="694"/>
        <v>6.4</v>
      </c>
      <c r="L870" s="800">
        <f t="shared" ca="1" si="695"/>
        <v>192</v>
      </c>
      <c r="M870" s="801"/>
      <c r="N870" s="802"/>
      <c r="O870" s="803" t="str">
        <f t="shared" ca="1" si="696"/>
        <v>-</v>
      </c>
      <c r="P870" s="804"/>
      <c r="Q870" s="805"/>
      <c r="R870" s="806"/>
      <c r="S870" s="807"/>
      <c r="T870" s="798"/>
      <c r="U870" s="798" t="str">
        <f t="shared" si="697"/>
        <v>-</v>
      </c>
      <c r="V870" s="804" t="str">
        <f t="shared" ca="1" si="698"/>
        <v>-</v>
      </c>
      <c r="W870" s="808">
        <v>0</v>
      </c>
      <c r="X870" s="794" t="str">
        <f t="shared" si="691"/>
        <v>-</v>
      </c>
      <c r="Y870" s="794">
        <v>0</v>
      </c>
      <c r="Z870" s="809" t="str">
        <f t="shared" ca="1" si="699"/>
        <v>-----</v>
      </c>
      <c r="AA870" s="810">
        <f t="shared" ca="1" si="700"/>
        <v>43134</v>
      </c>
      <c r="AB870" s="804"/>
      <c r="AC870" s="811" t="str">
        <f t="shared" ca="1" si="701"/>
        <v>-----</v>
      </c>
      <c r="AD870" s="798"/>
      <c r="AE870" s="794" t="str">
        <f t="shared" ca="1" si="702"/>
        <v>-</v>
      </c>
      <c r="AF870" s="798" t="str">
        <f t="shared" si="703"/>
        <v>-</v>
      </c>
      <c r="AG870" s="812" t="str">
        <f t="shared" si="704"/>
        <v>---------</v>
      </c>
      <c r="AH870" s="807"/>
      <c r="AI870" s="807" t="str">
        <f t="shared" si="705"/>
        <v>-</v>
      </c>
      <c r="AJ870" s="807" t="str">
        <f t="shared" si="706"/>
        <v>-</v>
      </c>
      <c r="AK870" s="813"/>
      <c r="AL870" s="807" t="str">
        <f t="shared" si="707"/>
        <v>-</v>
      </c>
      <c r="AM870" s="807" t="str">
        <f t="shared" si="708"/>
        <v>-</v>
      </c>
      <c r="AN870" s="814" t="str">
        <f t="shared" ca="1" si="709"/>
        <v>-</v>
      </c>
      <c r="AO870" s="815">
        <v>1</v>
      </c>
      <c r="AP870" s="816" t="str">
        <f t="shared" ca="1" si="710"/>
        <v>-</v>
      </c>
      <c r="AQ870" s="817"/>
      <c r="AR870" s="794" t="str">
        <f t="shared" si="711"/>
        <v>-</v>
      </c>
      <c r="AS870" s="818"/>
      <c r="AT870" s="794" t="str">
        <f t="shared" si="712"/>
        <v>-</v>
      </c>
      <c r="AU870" s="819"/>
      <c r="AV870" s="865"/>
      <c r="AW870" s="821"/>
      <c r="AX870" s="821"/>
      <c r="AY870" s="969" t="str">
        <f t="shared" si="713"/>
        <v>-</v>
      </c>
      <c r="AZ870" s="966" t="str">
        <f t="shared" si="714"/>
        <v>-</v>
      </c>
      <c r="BA870" s="971" t="str">
        <f t="shared" si="715"/>
        <v>-</v>
      </c>
      <c r="BB870" s="975"/>
      <c r="BC870" s="821"/>
      <c r="BD870" s="821"/>
      <c r="BE870" s="963" t="str">
        <f t="shared" si="716"/>
        <v>-</v>
      </c>
      <c r="BF870" s="984"/>
      <c r="BG870" s="988"/>
      <c r="BH870" s="982"/>
      <c r="BI870" s="991"/>
      <c r="BJ870" s="991"/>
      <c r="BK870" s="993" t="str">
        <f t="shared" si="717"/>
        <v>-</v>
      </c>
      <c r="BL870" s="865"/>
      <c r="BM870" s="821"/>
      <c r="BN870" s="822" t="str">
        <f t="shared" si="718"/>
        <v>-</v>
      </c>
      <c r="BO870" s="823" t="str">
        <f t="shared" si="719"/>
        <v>-</v>
      </c>
      <c r="BP870" s="868"/>
      <c r="BQ870" s="821"/>
      <c r="BR870" s="822" t="str">
        <f t="shared" si="720"/>
        <v>-</v>
      </c>
      <c r="BS870" s="823" t="str">
        <f t="shared" si="721"/>
        <v>-</v>
      </c>
      <c r="BT870" s="825" t="str">
        <f t="shared" ca="1" si="722"/>
        <v>-</v>
      </c>
      <c r="BU870" s="860">
        <v>42952</v>
      </c>
      <c r="BV870" s="827">
        <v>2</v>
      </c>
      <c r="BW870" s="828">
        <f t="shared" si="723"/>
        <v>10</v>
      </c>
      <c r="BX870" s="829">
        <f t="shared" ca="1" si="724"/>
        <v>182</v>
      </c>
      <c r="BY870" s="830" t="str">
        <f t="shared" ca="1" si="725"/>
        <v>-</v>
      </c>
      <c r="BZ870" s="831">
        <v>43011</v>
      </c>
      <c r="CA870" s="832">
        <v>5</v>
      </c>
      <c r="CB870" s="833">
        <f t="shared" ca="1" si="726"/>
        <v>123</v>
      </c>
      <c r="CC870" s="834" t="str">
        <f t="shared" ca="1" si="727"/>
        <v>-</v>
      </c>
      <c r="CD870" s="835">
        <f t="shared" si="728"/>
        <v>43032</v>
      </c>
      <c r="CE870" s="831">
        <v>43033</v>
      </c>
      <c r="CF870" s="832">
        <v>5</v>
      </c>
      <c r="CG870" s="833">
        <f t="shared" ca="1" si="729"/>
        <v>101</v>
      </c>
      <c r="CH870" s="836">
        <f t="shared" si="730"/>
        <v>-1</v>
      </c>
      <c r="CI870" s="837" t="str">
        <f t="shared" si="731"/>
        <v>-</v>
      </c>
      <c r="CJ870" s="838" t="str">
        <f t="shared" ca="1" si="732"/>
        <v>-</v>
      </c>
      <c r="CK870" s="831"/>
      <c r="CL870" s="832"/>
      <c r="CM870" s="833" t="str">
        <f t="shared" si="733"/>
        <v>-</v>
      </c>
      <c r="CN870" s="834" t="str">
        <f t="shared" si="734"/>
        <v>-</v>
      </c>
      <c r="CO870" s="830" t="str">
        <f t="shared" ca="1" si="735"/>
        <v>-</v>
      </c>
      <c r="CP870" s="839"/>
      <c r="CQ870" s="832"/>
      <c r="CR870" s="833" t="str">
        <f t="shared" si="736"/>
        <v>-</v>
      </c>
      <c r="CS870" s="833" t="str">
        <f t="shared" si="737"/>
        <v>-</v>
      </c>
      <c r="CT870" s="834" t="str">
        <f t="shared" si="738"/>
        <v>-</v>
      </c>
      <c r="CU870" s="835" t="str">
        <f t="shared" si="739"/>
        <v>-</v>
      </c>
      <c r="CV870" s="839"/>
      <c r="CW870" s="832"/>
      <c r="CX870" s="833" t="str">
        <f t="shared" si="740"/>
        <v>-</v>
      </c>
      <c r="CY870" s="840" t="str">
        <f t="shared" si="741"/>
        <v>-</v>
      </c>
      <c r="CZ870" s="833" t="str">
        <f t="shared" si="742"/>
        <v>-</v>
      </c>
      <c r="DA870" s="838" t="str">
        <f t="shared" ca="1" si="743"/>
        <v>-</v>
      </c>
      <c r="DB870" s="841"/>
      <c r="DC870" s="832"/>
    </row>
    <row r="871" spans="1:107" x14ac:dyDescent="0.25">
      <c r="A871" s="790">
        <v>875</v>
      </c>
      <c r="B871" s="791">
        <f t="shared" ca="1" si="692"/>
        <v>43134</v>
      </c>
      <c r="C871" s="29" t="s">
        <v>3341</v>
      </c>
      <c r="D871" s="793" t="s">
        <v>1635</v>
      </c>
      <c r="E871" s="794" t="s">
        <v>1563</v>
      </c>
      <c r="F871" s="795" t="s">
        <v>3019</v>
      </c>
      <c r="G871" s="845"/>
      <c r="H871" s="797" t="s">
        <v>603</v>
      </c>
      <c r="I871" s="798">
        <v>42944</v>
      </c>
      <c r="J871" s="799">
        <f t="shared" ca="1" si="693"/>
        <v>0.52054794520547942</v>
      </c>
      <c r="K871" s="799">
        <f t="shared" ca="1" si="694"/>
        <v>6.333333333333333</v>
      </c>
      <c r="L871" s="800">
        <f t="shared" ca="1" si="695"/>
        <v>190</v>
      </c>
      <c r="M871" s="801"/>
      <c r="N871" s="802"/>
      <c r="O871" s="803" t="str">
        <f t="shared" ca="1" si="696"/>
        <v>-</v>
      </c>
      <c r="P871" s="804"/>
      <c r="Q871" s="805"/>
      <c r="R871" s="806"/>
      <c r="S871" s="807"/>
      <c r="T871" s="798"/>
      <c r="U871" s="798" t="str">
        <f t="shared" si="697"/>
        <v>-</v>
      </c>
      <c r="V871" s="804" t="str">
        <f t="shared" ca="1" si="698"/>
        <v>-</v>
      </c>
      <c r="W871" s="808">
        <v>0</v>
      </c>
      <c r="X871" s="794" t="str">
        <f t="shared" si="691"/>
        <v>-</v>
      </c>
      <c r="Y871" s="794">
        <v>0</v>
      </c>
      <c r="Z871" s="809" t="str">
        <f t="shared" ca="1" si="699"/>
        <v>-----</v>
      </c>
      <c r="AA871" s="810">
        <f t="shared" ca="1" si="700"/>
        <v>43134</v>
      </c>
      <c r="AB871" s="804"/>
      <c r="AC871" s="811" t="str">
        <f t="shared" ca="1" si="701"/>
        <v>-----</v>
      </c>
      <c r="AD871" s="798"/>
      <c r="AE871" s="794" t="str">
        <f t="shared" ca="1" si="702"/>
        <v>-</v>
      </c>
      <c r="AF871" s="798" t="str">
        <f t="shared" si="703"/>
        <v>-</v>
      </c>
      <c r="AG871" s="812" t="str">
        <f t="shared" si="704"/>
        <v>---------</v>
      </c>
      <c r="AH871" s="807"/>
      <c r="AI871" s="807" t="str">
        <f t="shared" si="705"/>
        <v>-</v>
      </c>
      <c r="AJ871" s="807" t="str">
        <f t="shared" si="706"/>
        <v>-</v>
      </c>
      <c r="AK871" s="813"/>
      <c r="AL871" s="807" t="str">
        <f t="shared" si="707"/>
        <v>-</v>
      </c>
      <c r="AM871" s="807" t="str">
        <f t="shared" si="708"/>
        <v>-</v>
      </c>
      <c r="AN871" s="814" t="str">
        <f t="shared" ca="1" si="709"/>
        <v>-</v>
      </c>
      <c r="AO871" s="815">
        <v>1</v>
      </c>
      <c r="AP871" s="816" t="str">
        <f t="shared" ca="1" si="710"/>
        <v>-</v>
      </c>
      <c r="AQ871" s="817"/>
      <c r="AR871" s="794" t="str">
        <f t="shared" si="711"/>
        <v>-</v>
      </c>
      <c r="AS871" s="818"/>
      <c r="AT871" s="794" t="str">
        <f t="shared" si="712"/>
        <v>-</v>
      </c>
      <c r="AU871" s="819"/>
      <c r="AV871" s="865"/>
      <c r="AW871" s="821"/>
      <c r="AX871" s="821"/>
      <c r="AY871" s="969" t="str">
        <f t="shared" si="713"/>
        <v>-</v>
      </c>
      <c r="AZ871" s="966" t="str">
        <f t="shared" si="714"/>
        <v>-</v>
      </c>
      <c r="BA871" s="971" t="str">
        <f t="shared" si="715"/>
        <v>-</v>
      </c>
      <c r="BB871" s="975"/>
      <c r="BC871" s="821"/>
      <c r="BD871" s="821"/>
      <c r="BE871" s="963" t="str">
        <f t="shared" si="716"/>
        <v>-</v>
      </c>
      <c r="BF871" s="984"/>
      <c r="BG871" s="988"/>
      <c r="BH871" s="982"/>
      <c r="BI871" s="991"/>
      <c r="BJ871" s="991"/>
      <c r="BK871" s="993" t="str">
        <f t="shared" si="717"/>
        <v>-</v>
      </c>
      <c r="BL871" s="865"/>
      <c r="BM871" s="821"/>
      <c r="BN871" s="822" t="str">
        <f t="shared" si="718"/>
        <v>-</v>
      </c>
      <c r="BO871" s="823" t="str">
        <f t="shared" si="719"/>
        <v>-</v>
      </c>
      <c r="BP871" s="868"/>
      <c r="BQ871" s="821"/>
      <c r="BR871" s="822" t="str">
        <f t="shared" si="720"/>
        <v>-</v>
      </c>
      <c r="BS871" s="823" t="str">
        <f t="shared" si="721"/>
        <v>-</v>
      </c>
      <c r="BT871" s="825" t="str">
        <f t="shared" ca="1" si="722"/>
        <v>-</v>
      </c>
      <c r="BU871" s="860">
        <v>42952</v>
      </c>
      <c r="BV871" s="827">
        <v>2</v>
      </c>
      <c r="BW871" s="828">
        <f t="shared" si="723"/>
        <v>8</v>
      </c>
      <c r="BX871" s="829">
        <f t="shared" ca="1" si="724"/>
        <v>182</v>
      </c>
      <c r="BY871" s="830" t="str">
        <f t="shared" ca="1" si="725"/>
        <v>-</v>
      </c>
      <c r="BZ871" s="831">
        <v>43011</v>
      </c>
      <c r="CA871" s="832">
        <v>5</v>
      </c>
      <c r="CB871" s="833">
        <f t="shared" ca="1" si="726"/>
        <v>123</v>
      </c>
      <c r="CC871" s="834" t="str">
        <f t="shared" ca="1" si="727"/>
        <v>-</v>
      </c>
      <c r="CD871" s="835">
        <f t="shared" si="728"/>
        <v>43032</v>
      </c>
      <c r="CE871" s="831">
        <v>43033</v>
      </c>
      <c r="CF871" s="832">
        <v>5</v>
      </c>
      <c r="CG871" s="833">
        <f t="shared" ca="1" si="729"/>
        <v>101</v>
      </c>
      <c r="CH871" s="836">
        <f t="shared" si="730"/>
        <v>-1</v>
      </c>
      <c r="CI871" s="837" t="str">
        <f t="shared" si="731"/>
        <v>-</v>
      </c>
      <c r="CJ871" s="838" t="str">
        <f t="shared" ca="1" si="732"/>
        <v>-</v>
      </c>
      <c r="CK871" s="831"/>
      <c r="CL871" s="832"/>
      <c r="CM871" s="833" t="str">
        <f t="shared" si="733"/>
        <v>-</v>
      </c>
      <c r="CN871" s="834" t="str">
        <f t="shared" si="734"/>
        <v>-</v>
      </c>
      <c r="CO871" s="830" t="str">
        <f t="shared" ca="1" si="735"/>
        <v>-</v>
      </c>
      <c r="CP871" s="839"/>
      <c r="CQ871" s="832"/>
      <c r="CR871" s="833" t="str">
        <f t="shared" si="736"/>
        <v>-</v>
      </c>
      <c r="CS871" s="833" t="str">
        <f t="shared" si="737"/>
        <v>-</v>
      </c>
      <c r="CT871" s="834" t="str">
        <f t="shared" si="738"/>
        <v>-</v>
      </c>
      <c r="CU871" s="835" t="str">
        <f t="shared" si="739"/>
        <v>-</v>
      </c>
      <c r="CV871" s="839"/>
      <c r="CW871" s="832"/>
      <c r="CX871" s="833" t="str">
        <f t="shared" si="740"/>
        <v>-</v>
      </c>
      <c r="CY871" s="840" t="str">
        <f t="shared" si="741"/>
        <v>-</v>
      </c>
      <c r="CZ871" s="833" t="str">
        <f t="shared" si="742"/>
        <v>-</v>
      </c>
      <c r="DA871" s="838" t="str">
        <f t="shared" ca="1" si="743"/>
        <v>-</v>
      </c>
      <c r="DB871" s="841"/>
      <c r="DC871" s="832"/>
    </row>
    <row r="872" spans="1:107" x14ac:dyDescent="0.25">
      <c r="A872" s="790">
        <v>876</v>
      </c>
      <c r="B872" s="791">
        <f t="shared" ca="1" si="692"/>
        <v>43134</v>
      </c>
      <c r="C872" s="29" t="s">
        <v>3341</v>
      </c>
      <c r="D872" s="793" t="s">
        <v>1635</v>
      </c>
      <c r="E872" s="794" t="s">
        <v>1563</v>
      </c>
      <c r="F872" s="795" t="s">
        <v>3022</v>
      </c>
      <c r="G872" s="845"/>
      <c r="H872" s="797" t="s">
        <v>603</v>
      </c>
      <c r="I872" s="798">
        <v>42945</v>
      </c>
      <c r="J872" s="799">
        <f t="shared" ca="1" si="693"/>
        <v>0.51780821917808217</v>
      </c>
      <c r="K872" s="799">
        <f t="shared" ca="1" si="694"/>
        <v>6.3</v>
      </c>
      <c r="L872" s="800">
        <f t="shared" ca="1" si="695"/>
        <v>189</v>
      </c>
      <c r="M872" s="801"/>
      <c r="N872" s="802"/>
      <c r="O872" s="803" t="str">
        <f t="shared" ca="1" si="696"/>
        <v>-</v>
      </c>
      <c r="P872" s="804"/>
      <c r="Q872" s="805"/>
      <c r="R872" s="806"/>
      <c r="S872" s="807"/>
      <c r="T872" s="798"/>
      <c r="U872" s="798" t="str">
        <f t="shared" si="697"/>
        <v>-</v>
      </c>
      <c r="V872" s="804" t="str">
        <f t="shared" ca="1" si="698"/>
        <v>-</v>
      </c>
      <c r="W872" s="808">
        <v>0</v>
      </c>
      <c r="X872" s="794" t="str">
        <f t="shared" si="691"/>
        <v>-</v>
      </c>
      <c r="Y872" s="794">
        <v>0</v>
      </c>
      <c r="Z872" s="809" t="str">
        <f t="shared" ca="1" si="699"/>
        <v>-----</v>
      </c>
      <c r="AA872" s="810">
        <f t="shared" ca="1" si="700"/>
        <v>43134</v>
      </c>
      <c r="AB872" s="804"/>
      <c r="AC872" s="811" t="str">
        <f t="shared" ca="1" si="701"/>
        <v>-----</v>
      </c>
      <c r="AD872" s="798"/>
      <c r="AE872" s="794" t="str">
        <f t="shared" ca="1" si="702"/>
        <v>-</v>
      </c>
      <c r="AF872" s="798" t="str">
        <f t="shared" si="703"/>
        <v>-</v>
      </c>
      <c r="AG872" s="812" t="str">
        <f t="shared" si="704"/>
        <v>---------</v>
      </c>
      <c r="AH872" s="807"/>
      <c r="AI872" s="807" t="str">
        <f t="shared" si="705"/>
        <v>-</v>
      </c>
      <c r="AJ872" s="807" t="str">
        <f t="shared" si="706"/>
        <v>-</v>
      </c>
      <c r="AK872" s="813"/>
      <c r="AL872" s="807" t="str">
        <f t="shared" si="707"/>
        <v>-</v>
      </c>
      <c r="AM872" s="807" t="str">
        <f t="shared" si="708"/>
        <v>-</v>
      </c>
      <c r="AN872" s="814" t="str">
        <f t="shared" ca="1" si="709"/>
        <v>-</v>
      </c>
      <c r="AO872" s="815">
        <v>1</v>
      </c>
      <c r="AP872" s="816" t="str">
        <f t="shared" ca="1" si="710"/>
        <v>-</v>
      </c>
      <c r="AQ872" s="817"/>
      <c r="AR872" s="794" t="str">
        <f t="shared" si="711"/>
        <v>-</v>
      </c>
      <c r="AS872" s="818"/>
      <c r="AT872" s="794" t="str">
        <f t="shared" si="712"/>
        <v>-</v>
      </c>
      <c r="AU872" s="819"/>
      <c r="AV872" s="865"/>
      <c r="AW872" s="821"/>
      <c r="AX872" s="821"/>
      <c r="AY872" s="969" t="str">
        <f t="shared" si="713"/>
        <v>-</v>
      </c>
      <c r="AZ872" s="966" t="str">
        <f t="shared" si="714"/>
        <v>-</v>
      </c>
      <c r="BA872" s="971" t="str">
        <f t="shared" si="715"/>
        <v>-</v>
      </c>
      <c r="BB872" s="975"/>
      <c r="BC872" s="821"/>
      <c r="BD872" s="821"/>
      <c r="BE872" s="963" t="str">
        <f t="shared" si="716"/>
        <v>-</v>
      </c>
      <c r="BF872" s="984"/>
      <c r="BG872" s="988"/>
      <c r="BH872" s="982"/>
      <c r="BI872" s="991"/>
      <c r="BJ872" s="991"/>
      <c r="BK872" s="993" t="str">
        <f t="shared" si="717"/>
        <v>-</v>
      </c>
      <c r="BL872" s="865"/>
      <c r="BM872" s="821"/>
      <c r="BN872" s="822" t="str">
        <f t="shared" si="718"/>
        <v>-</v>
      </c>
      <c r="BO872" s="823" t="str">
        <f t="shared" si="719"/>
        <v>-</v>
      </c>
      <c r="BP872" s="868"/>
      <c r="BQ872" s="821"/>
      <c r="BR872" s="822" t="str">
        <f t="shared" si="720"/>
        <v>-</v>
      </c>
      <c r="BS872" s="823" t="str">
        <f t="shared" si="721"/>
        <v>-</v>
      </c>
      <c r="BT872" s="825" t="str">
        <f t="shared" ca="1" si="722"/>
        <v>-</v>
      </c>
      <c r="BU872" s="860">
        <v>42952</v>
      </c>
      <c r="BV872" s="827">
        <v>2</v>
      </c>
      <c r="BW872" s="828">
        <f t="shared" si="723"/>
        <v>7</v>
      </c>
      <c r="BX872" s="829">
        <f t="shared" ca="1" si="724"/>
        <v>182</v>
      </c>
      <c r="BY872" s="830" t="str">
        <f t="shared" ca="1" si="725"/>
        <v>-</v>
      </c>
      <c r="BZ872" s="831">
        <v>43011</v>
      </c>
      <c r="CA872" s="832">
        <v>5</v>
      </c>
      <c r="CB872" s="833">
        <f t="shared" ca="1" si="726"/>
        <v>123</v>
      </c>
      <c r="CC872" s="834" t="str">
        <f t="shared" ca="1" si="727"/>
        <v>-</v>
      </c>
      <c r="CD872" s="835">
        <f t="shared" si="728"/>
        <v>43032</v>
      </c>
      <c r="CE872" s="831">
        <v>43033</v>
      </c>
      <c r="CF872" s="832">
        <v>5</v>
      </c>
      <c r="CG872" s="833">
        <f t="shared" ca="1" si="729"/>
        <v>101</v>
      </c>
      <c r="CH872" s="836">
        <f t="shared" si="730"/>
        <v>-1</v>
      </c>
      <c r="CI872" s="837" t="str">
        <f t="shared" si="731"/>
        <v>-</v>
      </c>
      <c r="CJ872" s="838" t="str">
        <f t="shared" ca="1" si="732"/>
        <v>-</v>
      </c>
      <c r="CK872" s="831"/>
      <c r="CL872" s="832"/>
      <c r="CM872" s="833" t="str">
        <f t="shared" si="733"/>
        <v>-</v>
      </c>
      <c r="CN872" s="834" t="str">
        <f t="shared" si="734"/>
        <v>-</v>
      </c>
      <c r="CO872" s="830" t="str">
        <f t="shared" ca="1" si="735"/>
        <v>-</v>
      </c>
      <c r="CP872" s="839"/>
      <c r="CQ872" s="832"/>
      <c r="CR872" s="833" t="str">
        <f t="shared" si="736"/>
        <v>-</v>
      </c>
      <c r="CS872" s="833" t="str">
        <f t="shared" si="737"/>
        <v>-</v>
      </c>
      <c r="CT872" s="834" t="str">
        <f t="shared" si="738"/>
        <v>-</v>
      </c>
      <c r="CU872" s="835" t="str">
        <f t="shared" si="739"/>
        <v>-</v>
      </c>
      <c r="CV872" s="839"/>
      <c r="CW872" s="832"/>
      <c r="CX872" s="833" t="str">
        <f t="shared" si="740"/>
        <v>-</v>
      </c>
      <c r="CY872" s="840" t="str">
        <f t="shared" si="741"/>
        <v>-</v>
      </c>
      <c r="CZ872" s="833" t="str">
        <f t="shared" si="742"/>
        <v>-</v>
      </c>
      <c r="DA872" s="838" t="str">
        <f t="shared" ca="1" si="743"/>
        <v>-</v>
      </c>
      <c r="DB872" s="841"/>
      <c r="DC872" s="832"/>
    </row>
    <row r="873" spans="1:107" x14ac:dyDescent="0.25">
      <c r="A873" s="790">
        <v>877</v>
      </c>
      <c r="B873" s="791">
        <f t="shared" ca="1" si="692"/>
        <v>43134</v>
      </c>
      <c r="C873" s="29" t="s">
        <v>3341</v>
      </c>
      <c r="D873" s="793" t="s">
        <v>1635</v>
      </c>
      <c r="E873" s="794" t="s">
        <v>1563</v>
      </c>
      <c r="F873" s="795" t="s">
        <v>3025</v>
      </c>
      <c r="G873" s="845"/>
      <c r="H873" s="797" t="s">
        <v>603</v>
      </c>
      <c r="I873" s="798">
        <v>42947</v>
      </c>
      <c r="J873" s="799">
        <f t="shared" ca="1" si="693"/>
        <v>0.51232876712328768</v>
      </c>
      <c r="K873" s="799">
        <f t="shared" ca="1" si="694"/>
        <v>6.2333333333333334</v>
      </c>
      <c r="L873" s="800">
        <f t="shared" ca="1" si="695"/>
        <v>187</v>
      </c>
      <c r="M873" s="801"/>
      <c r="N873" s="802"/>
      <c r="O873" s="803" t="str">
        <f t="shared" ca="1" si="696"/>
        <v>-</v>
      </c>
      <c r="P873" s="804"/>
      <c r="Q873" s="805"/>
      <c r="R873" s="806"/>
      <c r="S873" s="807"/>
      <c r="T873" s="798"/>
      <c r="U873" s="798" t="str">
        <f t="shared" si="697"/>
        <v>-</v>
      </c>
      <c r="V873" s="804" t="str">
        <f t="shared" ca="1" si="698"/>
        <v>-</v>
      </c>
      <c r="W873" s="808">
        <v>0</v>
      </c>
      <c r="X873" s="794" t="str">
        <f t="shared" si="691"/>
        <v>-</v>
      </c>
      <c r="Y873" s="794">
        <v>0</v>
      </c>
      <c r="Z873" s="809" t="str">
        <f t="shared" ca="1" si="699"/>
        <v>-----</v>
      </c>
      <c r="AA873" s="810">
        <f t="shared" ca="1" si="700"/>
        <v>43134</v>
      </c>
      <c r="AB873" s="804"/>
      <c r="AC873" s="811" t="str">
        <f t="shared" ca="1" si="701"/>
        <v>-----</v>
      </c>
      <c r="AD873" s="798"/>
      <c r="AE873" s="794" t="str">
        <f t="shared" ca="1" si="702"/>
        <v>-</v>
      </c>
      <c r="AF873" s="798" t="str">
        <f t="shared" si="703"/>
        <v>-</v>
      </c>
      <c r="AG873" s="812" t="str">
        <f t="shared" si="704"/>
        <v>---------</v>
      </c>
      <c r="AH873" s="807"/>
      <c r="AI873" s="807" t="str">
        <f t="shared" si="705"/>
        <v>-</v>
      </c>
      <c r="AJ873" s="807" t="str">
        <f t="shared" si="706"/>
        <v>-</v>
      </c>
      <c r="AK873" s="813"/>
      <c r="AL873" s="807" t="str">
        <f t="shared" si="707"/>
        <v>-</v>
      </c>
      <c r="AM873" s="807" t="str">
        <f t="shared" si="708"/>
        <v>-</v>
      </c>
      <c r="AN873" s="814" t="str">
        <f t="shared" ca="1" si="709"/>
        <v>-</v>
      </c>
      <c r="AO873" s="815">
        <v>1</v>
      </c>
      <c r="AP873" s="816" t="str">
        <f t="shared" ca="1" si="710"/>
        <v>-</v>
      </c>
      <c r="AQ873" s="817"/>
      <c r="AR873" s="794" t="str">
        <f t="shared" si="711"/>
        <v>-</v>
      </c>
      <c r="AS873" s="818"/>
      <c r="AT873" s="794" t="str">
        <f t="shared" si="712"/>
        <v>-</v>
      </c>
      <c r="AU873" s="819"/>
      <c r="AV873" s="865"/>
      <c r="AW873" s="821"/>
      <c r="AX873" s="821"/>
      <c r="AY873" s="969" t="str">
        <f t="shared" si="713"/>
        <v>-</v>
      </c>
      <c r="AZ873" s="966" t="str">
        <f t="shared" si="714"/>
        <v>-</v>
      </c>
      <c r="BA873" s="971" t="str">
        <f t="shared" si="715"/>
        <v>-</v>
      </c>
      <c r="BB873" s="975"/>
      <c r="BC873" s="821"/>
      <c r="BD873" s="821"/>
      <c r="BE873" s="963" t="str">
        <f t="shared" si="716"/>
        <v>-</v>
      </c>
      <c r="BF873" s="984"/>
      <c r="BG873" s="988"/>
      <c r="BH873" s="982"/>
      <c r="BI873" s="991"/>
      <c r="BJ873" s="991"/>
      <c r="BK873" s="993" t="str">
        <f t="shared" si="717"/>
        <v>-</v>
      </c>
      <c r="BL873" s="865"/>
      <c r="BM873" s="821"/>
      <c r="BN873" s="822" t="str">
        <f t="shared" si="718"/>
        <v>-</v>
      </c>
      <c r="BO873" s="823" t="str">
        <f t="shared" si="719"/>
        <v>-</v>
      </c>
      <c r="BP873" s="868"/>
      <c r="BQ873" s="821"/>
      <c r="BR873" s="822" t="str">
        <f t="shared" si="720"/>
        <v>-</v>
      </c>
      <c r="BS873" s="823" t="str">
        <f t="shared" si="721"/>
        <v>-</v>
      </c>
      <c r="BT873" s="825" t="str">
        <f t="shared" ca="1" si="722"/>
        <v>-</v>
      </c>
      <c r="BU873" s="860">
        <v>42952</v>
      </c>
      <c r="BV873" s="827">
        <v>2</v>
      </c>
      <c r="BW873" s="828">
        <f t="shared" si="723"/>
        <v>5</v>
      </c>
      <c r="BX873" s="829">
        <f t="shared" ca="1" si="724"/>
        <v>182</v>
      </c>
      <c r="BY873" s="830" t="str">
        <f t="shared" ca="1" si="725"/>
        <v>-</v>
      </c>
      <c r="BZ873" s="831">
        <v>43011</v>
      </c>
      <c r="CA873" s="832">
        <v>5</v>
      </c>
      <c r="CB873" s="833">
        <f t="shared" ca="1" si="726"/>
        <v>123</v>
      </c>
      <c r="CC873" s="834" t="str">
        <f t="shared" ca="1" si="727"/>
        <v>-</v>
      </c>
      <c r="CD873" s="835">
        <f t="shared" si="728"/>
        <v>43032</v>
      </c>
      <c r="CE873" s="831">
        <v>43033</v>
      </c>
      <c r="CF873" s="832">
        <v>5</v>
      </c>
      <c r="CG873" s="833">
        <f t="shared" ca="1" si="729"/>
        <v>101</v>
      </c>
      <c r="CH873" s="836">
        <f t="shared" si="730"/>
        <v>-1</v>
      </c>
      <c r="CI873" s="837" t="str">
        <f t="shared" si="731"/>
        <v>-</v>
      </c>
      <c r="CJ873" s="838" t="str">
        <f t="shared" ca="1" si="732"/>
        <v>-</v>
      </c>
      <c r="CK873" s="831"/>
      <c r="CL873" s="832"/>
      <c r="CM873" s="833" t="str">
        <f t="shared" si="733"/>
        <v>-</v>
      </c>
      <c r="CN873" s="834" t="str">
        <f t="shared" si="734"/>
        <v>-</v>
      </c>
      <c r="CO873" s="830" t="str">
        <f t="shared" ca="1" si="735"/>
        <v>-</v>
      </c>
      <c r="CP873" s="839"/>
      <c r="CQ873" s="832"/>
      <c r="CR873" s="833" t="str">
        <f t="shared" si="736"/>
        <v>-</v>
      </c>
      <c r="CS873" s="833" t="str">
        <f t="shared" si="737"/>
        <v>-</v>
      </c>
      <c r="CT873" s="834" t="str">
        <f t="shared" si="738"/>
        <v>-</v>
      </c>
      <c r="CU873" s="835" t="str">
        <f t="shared" si="739"/>
        <v>-</v>
      </c>
      <c r="CV873" s="839"/>
      <c r="CW873" s="832"/>
      <c r="CX873" s="833" t="str">
        <f t="shared" si="740"/>
        <v>-</v>
      </c>
      <c r="CY873" s="840" t="str">
        <f t="shared" si="741"/>
        <v>-</v>
      </c>
      <c r="CZ873" s="833" t="str">
        <f t="shared" si="742"/>
        <v>-</v>
      </c>
      <c r="DA873" s="838" t="str">
        <f t="shared" ca="1" si="743"/>
        <v>-</v>
      </c>
      <c r="DB873" s="841"/>
      <c r="DC873" s="832"/>
    </row>
    <row r="874" spans="1:107" x14ac:dyDescent="0.25">
      <c r="A874" s="790">
        <v>878</v>
      </c>
      <c r="B874" s="791">
        <f t="shared" ca="1" si="692"/>
        <v>43134</v>
      </c>
      <c r="C874" s="29" t="s">
        <v>3341</v>
      </c>
      <c r="D874" s="793" t="s">
        <v>1635</v>
      </c>
      <c r="E874" s="794" t="s">
        <v>1563</v>
      </c>
      <c r="F874" s="795" t="s">
        <v>3028</v>
      </c>
      <c r="G874" s="845"/>
      <c r="H874" s="797" t="s">
        <v>603</v>
      </c>
      <c r="I874" s="798">
        <v>42948</v>
      </c>
      <c r="J874" s="799">
        <f t="shared" ca="1" si="693"/>
        <v>0.50958904109589043</v>
      </c>
      <c r="K874" s="799">
        <f t="shared" ca="1" si="694"/>
        <v>6.2</v>
      </c>
      <c r="L874" s="800">
        <f t="shared" ca="1" si="695"/>
        <v>186</v>
      </c>
      <c r="M874" s="801"/>
      <c r="N874" s="802"/>
      <c r="O874" s="803" t="str">
        <f t="shared" ca="1" si="696"/>
        <v>-</v>
      </c>
      <c r="P874" s="804"/>
      <c r="Q874" s="805"/>
      <c r="R874" s="806"/>
      <c r="S874" s="807"/>
      <c r="T874" s="798"/>
      <c r="U874" s="798" t="str">
        <f t="shared" si="697"/>
        <v>-</v>
      </c>
      <c r="V874" s="804" t="str">
        <f t="shared" ca="1" si="698"/>
        <v>-</v>
      </c>
      <c r="W874" s="808">
        <v>0</v>
      </c>
      <c r="X874" s="794" t="str">
        <f t="shared" si="691"/>
        <v>-</v>
      </c>
      <c r="Y874" s="794">
        <v>0</v>
      </c>
      <c r="Z874" s="809" t="str">
        <f t="shared" ca="1" si="699"/>
        <v>-----</v>
      </c>
      <c r="AA874" s="810">
        <f t="shared" ca="1" si="700"/>
        <v>43134</v>
      </c>
      <c r="AB874" s="804"/>
      <c r="AC874" s="811" t="str">
        <f t="shared" ca="1" si="701"/>
        <v>-----</v>
      </c>
      <c r="AD874" s="798"/>
      <c r="AE874" s="794" t="str">
        <f t="shared" ca="1" si="702"/>
        <v>-</v>
      </c>
      <c r="AF874" s="798" t="str">
        <f t="shared" si="703"/>
        <v>-</v>
      </c>
      <c r="AG874" s="812" t="str">
        <f t="shared" si="704"/>
        <v>---------</v>
      </c>
      <c r="AH874" s="807"/>
      <c r="AI874" s="807" t="str">
        <f t="shared" si="705"/>
        <v>-</v>
      </c>
      <c r="AJ874" s="807" t="str">
        <f t="shared" si="706"/>
        <v>-</v>
      </c>
      <c r="AK874" s="813"/>
      <c r="AL874" s="807" t="str">
        <f t="shared" si="707"/>
        <v>-</v>
      </c>
      <c r="AM874" s="807" t="str">
        <f t="shared" si="708"/>
        <v>-</v>
      </c>
      <c r="AN874" s="814" t="str">
        <f t="shared" ca="1" si="709"/>
        <v>-</v>
      </c>
      <c r="AO874" s="815">
        <v>1</v>
      </c>
      <c r="AP874" s="816" t="str">
        <f t="shared" ca="1" si="710"/>
        <v>-</v>
      </c>
      <c r="AQ874" s="817"/>
      <c r="AR874" s="794" t="str">
        <f t="shared" si="711"/>
        <v>-</v>
      </c>
      <c r="AS874" s="818"/>
      <c r="AT874" s="794" t="str">
        <f t="shared" si="712"/>
        <v>-</v>
      </c>
      <c r="AU874" s="819"/>
      <c r="AV874" s="865"/>
      <c r="AW874" s="821"/>
      <c r="AX874" s="821"/>
      <c r="AY874" s="969" t="str">
        <f t="shared" si="713"/>
        <v>-</v>
      </c>
      <c r="AZ874" s="966" t="str">
        <f t="shared" si="714"/>
        <v>-</v>
      </c>
      <c r="BA874" s="971" t="str">
        <f t="shared" si="715"/>
        <v>-</v>
      </c>
      <c r="BB874" s="975"/>
      <c r="BC874" s="821"/>
      <c r="BD874" s="821"/>
      <c r="BE874" s="963" t="str">
        <f t="shared" si="716"/>
        <v>-</v>
      </c>
      <c r="BF874" s="984"/>
      <c r="BG874" s="988"/>
      <c r="BH874" s="982"/>
      <c r="BI874" s="991"/>
      <c r="BJ874" s="991"/>
      <c r="BK874" s="993" t="str">
        <f t="shared" si="717"/>
        <v>-</v>
      </c>
      <c r="BL874" s="865"/>
      <c r="BM874" s="821"/>
      <c r="BN874" s="822" t="str">
        <f t="shared" si="718"/>
        <v>-</v>
      </c>
      <c r="BO874" s="823" t="str">
        <f t="shared" si="719"/>
        <v>-</v>
      </c>
      <c r="BP874" s="868"/>
      <c r="BQ874" s="821"/>
      <c r="BR874" s="822" t="str">
        <f t="shared" si="720"/>
        <v>-</v>
      </c>
      <c r="BS874" s="823" t="str">
        <f t="shared" si="721"/>
        <v>-</v>
      </c>
      <c r="BT874" s="825" t="str">
        <f t="shared" ca="1" si="722"/>
        <v>-</v>
      </c>
      <c r="BU874" s="860">
        <v>42952</v>
      </c>
      <c r="BV874" s="827">
        <v>2</v>
      </c>
      <c r="BW874" s="828">
        <f t="shared" si="723"/>
        <v>4</v>
      </c>
      <c r="BX874" s="829">
        <f t="shared" ca="1" si="724"/>
        <v>182</v>
      </c>
      <c r="BY874" s="830" t="str">
        <f t="shared" ca="1" si="725"/>
        <v>-</v>
      </c>
      <c r="BZ874" s="831">
        <v>43011</v>
      </c>
      <c r="CA874" s="832">
        <v>5</v>
      </c>
      <c r="CB874" s="833">
        <f t="shared" ca="1" si="726"/>
        <v>123</v>
      </c>
      <c r="CC874" s="834" t="str">
        <f t="shared" ca="1" si="727"/>
        <v>-</v>
      </c>
      <c r="CD874" s="835">
        <f t="shared" si="728"/>
        <v>43032</v>
      </c>
      <c r="CE874" s="831">
        <v>43033</v>
      </c>
      <c r="CF874" s="832">
        <v>5</v>
      </c>
      <c r="CG874" s="833">
        <f t="shared" ca="1" si="729"/>
        <v>101</v>
      </c>
      <c r="CH874" s="836">
        <f t="shared" si="730"/>
        <v>-1</v>
      </c>
      <c r="CI874" s="837" t="str">
        <f t="shared" si="731"/>
        <v>-</v>
      </c>
      <c r="CJ874" s="838" t="str">
        <f t="shared" ca="1" si="732"/>
        <v>-</v>
      </c>
      <c r="CK874" s="831"/>
      <c r="CL874" s="832"/>
      <c r="CM874" s="833" t="str">
        <f t="shared" si="733"/>
        <v>-</v>
      </c>
      <c r="CN874" s="834" t="str">
        <f t="shared" si="734"/>
        <v>-</v>
      </c>
      <c r="CO874" s="830" t="str">
        <f t="shared" ca="1" si="735"/>
        <v>-</v>
      </c>
      <c r="CP874" s="839"/>
      <c r="CQ874" s="832"/>
      <c r="CR874" s="833" t="str">
        <f t="shared" si="736"/>
        <v>-</v>
      </c>
      <c r="CS874" s="833" t="str">
        <f t="shared" si="737"/>
        <v>-</v>
      </c>
      <c r="CT874" s="834" t="str">
        <f t="shared" si="738"/>
        <v>-</v>
      </c>
      <c r="CU874" s="835" t="str">
        <f t="shared" si="739"/>
        <v>-</v>
      </c>
      <c r="CV874" s="839"/>
      <c r="CW874" s="832"/>
      <c r="CX874" s="833" t="str">
        <f t="shared" si="740"/>
        <v>-</v>
      </c>
      <c r="CY874" s="840" t="str">
        <f t="shared" si="741"/>
        <v>-</v>
      </c>
      <c r="CZ874" s="833" t="str">
        <f t="shared" si="742"/>
        <v>-</v>
      </c>
      <c r="DA874" s="838" t="str">
        <f t="shared" ca="1" si="743"/>
        <v>-</v>
      </c>
      <c r="DB874" s="841"/>
      <c r="DC874" s="832"/>
    </row>
    <row r="875" spans="1:107" x14ac:dyDescent="0.25">
      <c r="A875" s="790">
        <v>879</v>
      </c>
      <c r="B875" s="791">
        <f t="shared" ca="1" si="692"/>
        <v>43134</v>
      </c>
      <c r="C875" s="29" t="s">
        <v>3341</v>
      </c>
      <c r="D875" s="793" t="s">
        <v>1635</v>
      </c>
      <c r="E875" s="794" t="s">
        <v>1563</v>
      </c>
      <c r="F875" s="795" t="s">
        <v>3029</v>
      </c>
      <c r="G875" s="845"/>
      <c r="H875" s="797" t="s">
        <v>603</v>
      </c>
      <c r="I875" s="798">
        <v>42948</v>
      </c>
      <c r="J875" s="799">
        <f t="shared" ca="1" si="693"/>
        <v>0.50958904109589043</v>
      </c>
      <c r="K875" s="799">
        <f t="shared" ca="1" si="694"/>
        <v>6.2</v>
      </c>
      <c r="L875" s="800">
        <f t="shared" ca="1" si="695"/>
        <v>186</v>
      </c>
      <c r="M875" s="801"/>
      <c r="N875" s="802"/>
      <c r="O875" s="803" t="str">
        <f t="shared" ca="1" si="696"/>
        <v>-</v>
      </c>
      <c r="P875" s="804"/>
      <c r="Q875" s="805"/>
      <c r="R875" s="806"/>
      <c r="S875" s="807"/>
      <c r="T875" s="798"/>
      <c r="U875" s="798" t="str">
        <f t="shared" si="697"/>
        <v>-</v>
      </c>
      <c r="V875" s="804" t="str">
        <f t="shared" ca="1" si="698"/>
        <v>-</v>
      </c>
      <c r="W875" s="808">
        <v>0</v>
      </c>
      <c r="X875" s="794" t="str">
        <f t="shared" si="691"/>
        <v>-</v>
      </c>
      <c r="Y875" s="794">
        <v>0</v>
      </c>
      <c r="Z875" s="809" t="str">
        <f t="shared" ca="1" si="699"/>
        <v>-----</v>
      </c>
      <c r="AA875" s="810">
        <f t="shared" ca="1" si="700"/>
        <v>43134</v>
      </c>
      <c r="AB875" s="804"/>
      <c r="AC875" s="811" t="str">
        <f t="shared" ca="1" si="701"/>
        <v>-----</v>
      </c>
      <c r="AD875" s="798"/>
      <c r="AE875" s="794" t="str">
        <f t="shared" ca="1" si="702"/>
        <v>-</v>
      </c>
      <c r="AF875" s="798" t="str">
        <f t="shared" si="703"/>
        <v>-</v>
      </c>
      <c r="AG875" s="812" t="str">
        <f t="shared" si="704"/>
        <v>---------</v>
      </c>
      <c r="AH875" s="807"/>
      <c r="AI875" s="807" t="str">
        <f t="shared" si="705"/>
        <v>-</v>
      </c>
      <c r="AJ875" s="807" t="str">
        <f t="shared" si="706"/>
        <v>-</v>
      </c>
      <c r="AK875" s="813"/>
      <c r="AL875" s="807" t="str">
        <f t="shared" si="707"/>
        <v>-</v>
      </c>
      <c r="AM875" s="807" t="str">
        <f t="shared" si="708"/>
        <v>-</v>
      </c>
      <c r="AN875" s="814" t="str">
        <f t="shared" ca="1" si="709"/>
        <v>-</v>
      </c>
      <c r="AO875" s="815">
        <v>1</v>
      </c>
      <c r="AP875" s="816" t="str">
        <f t="shared" ca="1" si="710"/>
        <v>-</v>
      </c>
      <c r="AQ875" s="817"/>
      <c r="AR875" s="794" t="str">
        <f t="shared" si="711"/>
        <v>-</v>
      </c>
      <c r="AS875" s="818"/>
      <c r="AT875" s="794" t="str">
        <f t="shared" si="712"/>
        <v>-</v>
      </c>
      <c r="AU875" s="819"/>
      <c r="AV875" s="865"/>
      <c r="AW875" s="821"/>
      <c r="AX875" s="821"/>
      <c r="AY875" s="969" t="str">
        <f t="shared" si="713"/>
        <v>-</v>
      </c>
      <c r="AZ875" s="966" t="str">
        <f t="shared" si="714"/>
        <v>-</v>
      </c>
      <c r="BA875" s="971" t="str">
        <f t="shared" si="715"/>
        <v>-</v>
      </c>
      <c r="BB875" s="975"/>
      <c r="BC875" s="821"/>
      <c r="BD875" s="821"/>
      <c r="BE875" s="963" t="str">
        <f t="shared" si="716"/>
        <v>-</v>
      </c>
      <c r="BF875" s="984"/>
      <c r="BG875" s="988"/>
      <c r="BH875" s="982"/>
      <c r="BI875" s="991"/>
      <c r="BJ875" s="991"/>
      <c r="BK875" s="993" t="str">
        <f t="shared" si="717"/>
        <v>-</v>
      </c>
      <c r="BL875" s="865"/>
      <c r="BM875" s="821"/>
      <c r="BN875" s="822" t="str">
        <f t="shared" si="718"/>
        <v>-</v>
      </c>
      <c r="BO875" s="823" t="str">
        <f t="shared" si="719"/>
        <v>-</v>
      </c>
      <c r="BP875" s="868"/>
      <c r="BQ875" s="821"/>
      <c r="BR875" s="822" t="str">
        <f t="shared" si="720"/>
        <v>-</v>
      </c>
      <c r="BS875" s="823" t="str">
        <f t="shared" si="721"/>
        <v>-</v>
      </c>
      <c r="BT875" s="825" t="str">
        <f t="shared" ca="1" si="722"/>
        <v>-</v>
      </c>
      <c r="BU875" s="860">
        <v>42952</v>
      </c>
      <c r="BV875" s="827">
        <v>2</v>
      </c>
      <c r="BW875" s="828">
        <f t="shared" si="723"/>
        <v>4</v>
      </c>
      <c r="BX875" s="829">
        <f t="shared" ca="1" si="724"/>
        <v>182</v>
      </c>
      <c r="BY875" s="830" t="str">
        <f t="shared" ca="1" si="725"/>
        <v>-</v>
      </c>
      <c r="BZ875" s="831">
        <v>43011</v>
      </c>
      <c r="CA875" s="832">
        <v>5</v>
      </c>
      <c r="CB875" s="833">
        <f t="shared" ca="1" si="726"/>
        <v>123</v>
      </c>
      <c r="CC875" s="834" t="str">
        <f t="shared" ca="1" si="727"/>
        <v>-</v>
      </c>
      <c r="CD875" s="835">
        <f t="shared" si="728"/>
        <v>43032</v>
      </c>
      <c r="CE875" s="831">
        <v>43033</v>
      </c>
      <c r="CF875" s="832">
        <v>5</v>
      </c>
      <c r="CG875" s="833">
        <f t="shared" ca="1" si="729"/>
        <v>101</v>
      </c>
      <c r="CH875" s="836">
        <f t="shared" si="730"/>
        <v>-1</v>
      </c>
      <c r="CI875" s="837" t="str">
        <f t="shared" si="731"/>
        <v>-</v>
      </c>
      <c r="CJ875" s="838" t="str">
        <f t="shared" ca="1" si="732"/>
        <v>-</v>
      </c>
      <c r="CK875" s="831"/>
      <c r="CL875" s="832"/>
      <c r="CM875" s="833" t="str">
        <f t="shared" si="733"/>
        <v>-</v>
      </c>
      <c r="CN875" s="834" t="str">
        <f t="shared" si="734"/>
        <v>-</v>
      </c>
      <c r="CO875" s="830" t="str">
        <f t="shared" ca="1" si="735"/>
        <v>-</v>
      </c>
      <c r="CP875" s="839"/>
      <c r="CQ875" s="832"/>
      <c r="CR875" s="833" t="str">
        <f t="shared" si="736"/>
        <v>-</v>
      </c>
      <c r="CS875" s="833" t="str">
        <f t="shared" si="737"/>
        <v>-</v>
      </c>
      <c r="CT875" s="834" t="str">
        <f t="shared" si="738"/>
        <v>-</v>
      </c>
      <c r="CU875" s="835" t="str">
        <f t="shared" si="739"/>
        <v>-</v>
      </c>
      <c r="CV875" s="839"/>
      <c r="CW875" s="832"/>
      <c r="CX875" s="833" t="str">
        <f t="shared" si="740"/>
        <v>-</v>
      </c>
      <c r="CY875" s="840" t="str">
        <f t="shared" si="741"/>
        <v>-</v>
      </c>
      <c r="CZ875" s="833" t="str">
        <f t="shared" si="742"/>
        <v>-</v>
      </c>
      <c r="DA875" s="838" t="str">
        <f t="shared" ca="1" si="743"/>
        <v>-</v>
      </c>
      <c r="DB875" s="841"/>
      <c r="DC875" s="832"/>
    </row>
    <row r="876" spans="1:107" x14ac:dyDescent="0.25">
      <c r="A876" s="790">
        <v>880</v>
      </c>
      <c r="B876" s="791">
        <f t="shared" ca="1" si="692"/>
        <v>43134</v>
      </c>
      <c r="C876" s="29" t="s">
        <v>3341</v>
      </c>
      <c r="D876" s="793" t="s">
        <v>1635</v>
      </c>
      <c r="E876" s="794" t="s">
        <v>1563</v>
      </c>
      <c r="F876" s="795" t="s">
        <v>3030</v>
      </c>
      <c r="G876" s="845"/>
      <c r="H876" s="797" t="s">
        <v>603</v>
      </c>
      <c r="I876" s="798">
        <v>42949</v>
      </c>
      <c r="J876" s="799">
        <f t="shared" ca="1" si="693"/>
        <v>0.50684931506849318</v>
      </c>
      <c r="K876" s="799">
        <f t="shared" ca="1" si="694"/>
        <v>6.166666666666667</v>
      </c>
      <c r="L876" s="800">
        <f t="shared" ca="1" si="695"/>
        <v>185</v>
      </c>
      <c r="M876" s="801"/>
      <c r="N876" s="802"/>
      <c r="O876" s="803" t="str">
        <f t="shared" ca="1" si="696"/>
        <v>-</v>
      </c>
      <c r="P876" s="804"/>
      <c r="Q876" s="805"/>
      <c r="R876" s="806"/>
      <c r="S876" s="807"/>
      <c r="T876" s="798"/>
      <c r="U876" s="798" t="str">
        <f t="shared" si="697"/>
        <v>-</v>
      </c>
      <c r="V876" s="804" t="str">
        <f t="shared" ca="1" si="698"/>
        <v>-</v>
      </c>
      <c r="W876" s="808">
        <v>0</v>
      </c>
      <c r="X876" s="794" t="str">
        <f t="shared" si="691"/>
        <v>-</v>
      </c>
      <c r="Y876" s="794">
        <v>0</v>
      </c>
      <c r="Z876" s="809" t="str">
        <f t="shared" ca="1" si="699"/>
        <v>-----</v>
      </c>
      <c r="AA876" s="810">
        <f t="shared" ca="1" si="700"/>
        <v>43134</v>
      </c>
      <c r="AB876" s="804"/>
      <c r="AC876" s="811" t="str">
        <f t="shared" ca="1" si="701"/>
        <v>-----</v>
      </c>
      <c r="AD876" s="798"/>
      <c r="AE876" s="794" t="str">
        <f t="shared" ca="1" si="702"/>
        <v>-</v>
      </c>
      <c r="AF876" s="798" t="str">
        <f t="shared" si="703"/>
        <v>-</v>
      </c>
      <c r="AG876" s="812" t="str">
        <f t="shared" si="704"/>
        <v>---------</v>
      </c>
      <c r="AH876" s="807"/>
      <c r="AI876" s="807" t="str">
        <f t="shared" si="705"/>
        <v>-</v>
      </c>
      <c r="AJ876" s="807" t="str">
        <f t="shared" si="706"/>
        <v>-</v>
      </c>
      <c r="AK876" s="813"/>
      <c r="AL876" s="807" t="str">
        <f t="shared" si="707"/>
        <v>-</v>
      </c>
      <c r="AM876" s="807" t="str">
        <f t="shared" si="708"/>
        <v>-</v>
      </c>
      <c r="AN876" s="814" t="str">
        <f t="shared" ca="1" si="709"/>
        <v>-</v>
      </c>
      <c r="AO876" s="815">
        <v>1</v>
      </c>
      <c r="AP876" s="816" t="str">
        <f t="shared" ca="1" si="710"/>
        <v>-</v>
      </c>
      <c r="AQ876" s="817"/>
      <c r="AR876" s="794" t="str">
        <f t="shared" si="711"/>
        <v>-</v>
      </c>
      <c r="AS876" s="818"/>
      <c r="AT876" s="794" t="str">
        <f t="shared" si="712"/>
        <v>-</v>
      </c>
      <c r="AU876" s="819"/>
      <c r="AV876" s="865"/>
      <c r="AW876" s="821"/>
      <c r="AX876" s="821"/>
      <c r="AY876" s="969" t="str">
        <f t="shared" si="713"/>
        <v>-</v>
      </c>
      <c r="AZ876" s="966" t="str">
        <f t="shared" si="714"/>
        <v>-</v>
      </c>
      <c r="BA876" s="971" t="str">
        <f t="shared" si="715"/>
        <v>-</v>
      </c>
      <c r="BB876" s="975"/>
      <c r="BC876" s="821"/>
      <c r="BD876" s="821"/>
      <c r="BE876" s="963" t="str">
        <f t="shared" si="716"/>
        <v>-</v>
      </c>
      <c r="BF876" s="984"/>
      <c r="BG876" s="988"/>
      <c r="BH876" s="982"/>
      <c r="BI876" s="991"/>
      <c r="BJ876" s="991"/>
      <c r="BK876" s="993" t="str">
        <f t="shared" si="717"/>
        <v>-</v>
      </c>
      <c r="BL876" s="865"/>
      <c r="BM876" s="821"/>
      <c r="BN876" s="822" t="str">
        <f t="shared" si="718"/>
        <v>-</v>
      </c>
      <c r="BO876" s="823" t="str">
        <f t="shared" si="719"/>
        <v>-</v>
      </c>
      <c r="BP876" s="868"/>
      <c r="BQ876" s="821"/>
      <c r="BR876" s="822" t="str">
        <f t="shared" si="720"/>
        <v>-</v>
      </c>
      <c r="BS876" s="823" t="str">
        <f t="shared" si="721"/>
        <v>-</v>
      </c>
      <c r="BT876" s="825" t="str">
        <f t="shared" ca="1" si="722"/>
        <v>-</v>
      </c>
      <c r="BU876" s="860">
        <v>42952</v>
      </c>
      <c r="BV876" s="827">
        <v>2</v>
      </c>
      <c r="BW876" s="828">
        <f t="shared" si="723"/>
        <v>3</v>
      </c>
      <c r="BX876" s="829">
        <f t="shared" ca="1" si="724"/>
        <v>182</v>
      </c>
      <c r="BY876" s="830" t="str">
        <f t="shared" ca="1" si="725"/>
        <v>-</v>
      </c>
      <c r="BZ876" s="831">
        <v>43011</v>
      </c>
      <c r="CA876" s="832">
        <v>5</v>
      </c>
      <c r="CB876" s="833">
        <f t="shared" ca="1" si="726"/>
        <v>123</v>
      </c>
      <c r="CC876" s="834" t="str">
        <f t="shared" ca="1" si="727"/>
        <v>-</v>
      </c>
      <c r="CD876" s="835">
        <f t="shared" si="728"/>
        <v>43032</v>
      </c>
      <c r="CE876" s="831">
        <v>43033</v>
      </c>
      <c r="CF876" s="832">
        <v>5</v>
      </c>
      <c r="CG876" s="833">
        <f t="shared" ca="1" si="729"/>
        <v>101</v>
      </c>
      <c r="CH876" s="836">
        <f t="shared" si="730"/>
        <v>-1</v>
      </c>
      <c r="CI876" s="837" t="str">
        <f t="shared" si="731"/>
        <v>-</v>
      </c>
      <c r="CJ876" s="838" t="str">
        <f t="shared" ca="1" si="732"/>
        <v>-</v>
      </c>
      <c r="CK876" s="831"/>
      <c r="CL876" s="832"/>
      <c r="CM876" s="833" t="str">
        <f t="shared" si="733"/>
        <v>-</v>
      </c>
      <c r="CN876" s="834" t="str">
        <f t="shared" si="734"/>
        <v>-</v>
      </c>
      <c r="CO876" s="830" t="str">
        <f t="shared" ca="1" si="735"/>
        <v>-</v>
      </c>
      <c r="CP876" s="839"/>
      <c r="CQ876" s="832"/>
      <c r="CR876" s="833" t="str">
        <f t="shared" si="736"/>
        <v>-</v>
      </c>
      <c r="CS876" s="833" t="str">
        <f t="shared" si="737"/>
        <v>-</v>
      </c>
      <c r="CT876" s="834" t="str">
        <f t="shared" si="738"/>
        <v>-</v>
      </c>
      <c r="CU876" s="835" t="str">
        <f t="shared" si="739"/>
        <v>-</v>
      </c>
      <c r="CV876" s="839"/>
      <c r="CW876" s="832"/>
      <c r="CX876" s="833" t="str">
        <f t="shared" si="740"/>
        <v>-</v>
      </c>
      <c r="CY876" s="840" t="str">
        <f t="shared" si="741"/>
        <v>-</v>
      </c>
      <c r="CZ876" s="833" t="str">
        <f t="shared" si="742"/>
        <v>-</v>
      </c>
      <c r="DA876" s="838" t="str">
        <f t="shared" ca="1" si="743"/>
        <v>-</v>
      </c>
      <c r="DB876" s="841"/>
      <c r="DC876" s="832"/>
    </row>
    <row r="877" spans="1:107" x14ac:dyDescent="0.25">
      <c r="A877" s="790">
        <v>881</v>
      </c>
      <c r="B877" s="791">
        <f t="shared" ca="1" si="692"/>
        <v>43134</v>
      </c>
      <c r="C877" s="29" t="s">
        <v>3341</v>
      </c>
      <c r="D877" s="793" t="s">
        <v>1635</v>
      </c>
      <c r="E877" s="794" t="s">
        <v>1563</v>
      </c>
      <c r="F877" s="795" t="s">
        <v>3033</v>
      </c>
      <c r="G877" s="845"/>
      <c r="H877" s="797" t="s">
        <v>603</v>
      </c>
      <c r="I877" s="798">
        <v>42950</v>
      </c>
      <c r="J877" s="799">
        <f t="shared" ca="1" si="693"/>
        <v>0.50410958904109593</v>
      </c>
      <c r="K877" s="799">
        <f t="shared" ca="1" si="694"/>
        <v>6.1333333333333337</v>
      </c>
      <c r="L877" s="800">
        <f t="shared" ca="1" si="695"/>
        <v>184</v>
      </c>
      <c r="M877" s="801"/>
      <c r="N877" s="802"/>
      <c r="O877" s="803" t="str">
        <f t="shared" ca="1" si="696"/>
        <v>-</v>
      </c>
      <c r="P877" s="804"/>
      <c r="Q877" s="805"/>
      <c r="R877" s="806"/>
      <c r="S877" s="807"/>
      <c r="T877" s="798"/>
      <c r="U877" s="798" t="str">
        <f t="shared" si="697"/>
        <v>-</v>
      </c>
      <c r="V877" s="804" t="str">
        <f t="shared" ca="1" si="698"/>
        <v>-</v>
      </c>
      <c r="W877" s="808">
        <v>0</v>
      </c>
      <c r="X877" s="794" t="str">
        <f t="shared" si="691"/>
        <v>-</v>
      </c>
      <c r="Y877" s="794">
        <v>0</v>
      </c>
      <c r="Z877" s="809" t="str">
        <f t="shared" ca="1" si="699"/>
        <v>-----</v>
      </c>
      <c r="AA877" s="810">
        <f t="shared" ca="1" si="700"/>
        <v>43134</v>
      </c>
      <c r="AB877" s="804"/>
      <c r="AC877" s="811" t="str">
        <f t="shared" ca="1" si="701"/>
        <v>-----</v>
      </c>
      <c r="AD877" s="798"/>
      <c r="AE877" s="794" t="str">
        <f t="shared" ca="1" si="702"/>
        <v>-</v>
      </c>
      <c r="AF877" s="798" t="str">
        <f t="shared" si="703"/>
        <v>-</v>
      </c>
      <c r="AG877" s="812" t="str">
        <f t="shared" si="704"/>
        <v>---------</v>
      </c>
      <c r="AH877" s="807"/>
      <c r="AI877" s="807" t="str">
        <f t="shared" si="705"/>
        <v>-</v>
      </c>
      <c r="AJ877" s="807" t="str">
        <f t="shared" si="706"/>
        <v>-</v>
      </c>
      <c r="AK877" s="813"/>
      <c r="AL877" s="807" t="str">
        <f t="shared" si="707"/>
        <v>-</v>
      </c>
      <c r="AM877" s="807" t="str">
        <f t="shared" si="708"/>
        <v>-</v>
      </c>
      <c r="AN877" s="814" t="str">
        <f t="shared" ca="1" si="709"/>
        <v>-</v>
      </c>
      <c r="AO877" s="815">
        <v>1</v>
      </c>
      <c r="AP877" s="816" t="str">
        <f t="shared" ca="1" si="710"/>
        <v>-</v>
      </c>
      <c r="AQ877" s="817"/>
      <c r="AR877" s="794" t="str">
        <f t="shared" si="711"/>
        <v>-</v>
      </c>
      <c r="AS877" s="818"/>
      <c r="AT877" s="794" t="str">
        <f t="shared" si="712"/>
        <v>-</v>
      </c>
      <c r="AU877" s="819"/>
      <c r="AV877" s="865"/>
      <c r="AW877" s="821"/>
      <c r="AX877" s="821"/>
      <c r="AY877" s="969" t="str">
        <f t="shared" si="713"/>
        <v>-</v>
      </c>
      <c r="AZ877" s="966" t="str">
        <f t="shared" si="714"/>
        <v>-</v>
      </c>
      <c r="BA877" s="971" t="str">
        <f t="shared" si="715"/>
        <v>-</v>
      </c>
      <c r="BB877" s="975"/>
      <c r="BC877" s="821"/>
      <c r="BD877" s="821"/>
      <c r="BE877" s="963" t="str">
        <f t="shared" si="716"/>
        <v>-</v>
      </c>
      <c r="BF877" s="984"/>
      <c r="BG877" s="988"/>
      <c r="BH877" s="982"/>
      <c r="BI877" s="991"/>
      <c r="BJ877" s="991"/>
      <c r="BK877" s="993" t="str">
        <f t="shared" si="717"/>
        <v>-</v>
      </c>
      <c r="BL877" s="865"/>
      <c r="BM877" s="821"/>
      <c r="BN877" s="822" t="str">
        <f t="shared" si="718"/>
        <v>-</v>
      </c>
      <c r="BO877" s="823" t="str">
        <f t="shared" si="719"/>
        <v>-</v>
      </c>
      <c r="BP877" s="868"/>
      <c r="BQ877" s="821"/>
      <c r="BR877" s="822" t="str">
        <f t="shared" si="720"/>
        <v>-</v>
      </c>
      <c r="BS877" s="823" t="str">
        <f t="shared" si="721"/>
        <v>-</v>
      </c>
      <c r="BT877" s="825" t="str">
        <f t="shared" ca="1" si="722"/>
        <v>-</v>
      </c>
      <c r="BU877" s="860">
        <v>42961</v>
      </c>
      <c r="BV877" s="827">
        <v>2</v>
      </c>
      <c r="BW877" s="828">
        <f t="shared" si="723"/>
        <v>11</v>
      </c>
      <c r="BX877" s="829">
        <f t="shared" ca="1" si="724"/>
        <v>173</v>
      </c>
      <c r="BY877" s="830" t="str">
        <f t="shared" ca="1" si="725"/>
        <v>-</v>
      </c>
      <c r="BZ877" s="831">
        <v>43011</v>
      </c>
      <c r="CA877" s="832">
        <v>5</v>
      </c>
      <c r="CB877" s="833">
        <f t="shared" ca="1" si="726"/>
        <v>123</v>
      </c>
      <c r="CC877" s="834" t="str">
        <f t="shared" ca="1" si="727"/>
        <v>-</v>
      </c>
      <c r="CD877" s="835">
        <f t="shared" si="728"/>
        <v>43032</v>
      </c>
      <c r="CE877" s="831">
        <v>43033</v>
      </c>
      <c r="CF877" s="832">
        <v>5</v>
      </c>
      <c r="CG877" s="833">
        <f t="shared" ca="1" si="729"/>
        <v>101</v>
      </c>
      <c r="CH877" s="836">
        <f t="shared" si="730"/>
        <v>-1</v>
      </c>
      <c r="CI877" s="837" t="str">
        <f t="shared" si="731"/>
        <v>-</v>
      </c>
      <c r="CJ877" s="838" t="str">
        <f t="shared" ca="1" si="732"/>
        <v>-</v>
      </c>
      <c r="CK877" s="831"/>
      <c r="CL877" s="832"/>
      <c r="CM877" s="833" t="str">
        <f t="shared" si="733"/>
        <v>-</v>
      </c>
      <c r="CN877" s="834" t="str">
        <f t="shared" si="734"/>
        <v>-</v>
      </c>
      <c r="CO877" s="830" t="str">
        <f t="shared" ca="1" si="735"/>
        <v>-</v>
      </c>
      <c r="CP877" s="839"/>
      <c r="CQ877" s="832"/>
      <c r="CR877" s="833" t="str">
        <f t="shared" si="736"/>
        <v>-</v>
      </c>
      <c r="CS877" s="833" t="str">
        <f t="shared" si="737"/>
        <v>-</v>
      </c>
      <c r="CT877" s="834" t="str">
        <f t="shared" si="738"/>
        <v>-</v>
      </c>
      <c r="CU877" s="835" t="str">
        <f t="shared" si="739"/>
        <v>-</v>
      </c>
      <c r="CV877" s="839"/>
      <c r="CW877" s="832"/>
      <c r="CX877" s="833" t="str">
        <f t="shared" si="740"/>
        <v>-</v>
      </c>
      <c r="CY877" s="840" t="str">
        <f t="shared" si="741"/>
        <v>-</v>
      </c>
      <c r="CZ877" s="833" t="str">
        <f t="shared" si="742"/>
        <v>-</v>
      </c>
      <c r="DA877" s="838" t="str">
        <f t="shared" ca="1" si="743"/>
        <v>-</v>
      </c>
      <c r="DB877" s="841"/>
      <c r="DC877" s="832"/>
    </row>
    <row r="878" spans="1:107" x14ac:dyDescent="0.25">
      <c r="A878" s="790">
        <v>882</v>
      </c>
      <c r="B878" s="791">
        <f t="shared" ca="1" si="692"/>
        <v>43134</v>
      </c>
      <c r="C878" s="29" t="s">
        <v>3341</v>
      </c>
      <c r="D878" s="793" t="s">
        <v>1635</v>
      </c>
      <c r="E878" s="794" t="s">
        <v>1563</v>
      </c>
      <c r="F878" s="795" t="s">
        <v>3034</v>
      </c>
      <c r="G878" s="845"/>
      <c r="H878" s="797" t="s">
        <v>603</v>
      </c>
      <c r="I878" s="798">
        <v>42950</v>
      </c>
      <c r="J878" s="799">
        <f t="shared" ca="1" si="693"/>
        <v>0.50410958904109593</v>
      </c>
      <c r="K878" s="799">
        <f t="shared" ca="1" si="694"/>
        <v>6.1333333333333337</v>
      </c>
      <c r="L878" s="800">
        <f t="shared" ca="1" si="695"/>
        <v>184</v>
      </c>
      <c r="M878" s="801"/>
      <c r="N878" s="802"/>
      <c r="O878" s="803" t="str">
        <f t="shared" ca="1" si="696"/>
        <v>-</v>
      </c>
      <c r="P878" s="804"/>
      <c r="Q878" s="805"/>
      <c r="R878" s="806"/>
      <c r="S878" s="807"/>
      <c r="T878" s="798"/>
      <c r="U878" s="798" t="str">
        <f t="shared" si="697"/>
        <v>-</v>
      </c>
      <c r="V878" s="804" t="str">
        <f t="shared" ca="1" si="698"/>
        <v>-</v>
      </c>
      <c r="W878" s="808">
        <v>0</v>
      </c>
      <c r="X878" s="794" t="str">
        <f t="shared" si="691"/>
        <v>-</v>
      </c>
      <c r="Y878" s="794">
        <v>0</v>
      </c>
      <c r="Z878" s="809" t="str">
        <f t="shared" ca="1" si="699"/>
        <v>-----</v>
      </c>
      <c r="AA878" s="810">
        <f t="shared" ca="1" si="700"/>
        <v>43134</v>
      </c>
      <c r="AB878" s="804"/>
      <c r="AC878" s="811" t="str">
        <f t="shared" ca="1" si="701"/>
        <v>-----</v>
      </c>
      <c r="AD878" s="798"/>
      <c r="AE878" s="794" t="str">
        <f t="shared" ca="1" si="702"/>
        <v>-</v>
      </c>
      <c r="AF878" s="798" t="str">
        <f t="shared" si="703"/>
        <v>-</v>
      </c>
      <c r="AG878" s="812" t="str">
        <f t="shared" si="704"/>
        <v>---------</v>
      </c>
      <c r="AH878" s="807"/>
      <c r="AI878" s="807" t="str">
        <f t="shared" si="705"/>
        <v>-</v>
      </c>
      <c r="AJ878" s="807" t="str">
        <f t="shared" si="706"/>
        <v>-</v>
      </c>
      <c r="AK878" s="813"/>
      <c r="AL878" s="807" t="str">
        <f t="shared" si="707"/>
        <v>-</v>
      </c>
      <c r="AM878" s="807" t="str">
        <f t="shared" si="708"/>
        <v>-</v>
      </c>
      <c r="AN878" s="814" t="str">
        <f t="shared" ca="1" si="709"/>
        <v>-</v>
      </c>
      <c r="AO878" s="815">
        <v>1</v>
      </c>
      <c r="AP878" s="816" t="str">
        <f t="shared" ca="1" si="710"/>
        <v>-</v>
      </c>
      <c r="AQ878" s="817"/>
      <c r="AR878" s="794" t="str">
        <f t="shared" si="711"/>
        <v>-</v>
      </c>
      <c r="AS878" s="818"/>
      <c r="AT878" s="794" t="str">
        <f t="shared" si="712"/>
        <v>-</v>
      </c>
      <c r="AU878" s="819"/>
      <c r="AV878" s="865"/>
      <c r="AW878" s="821"/>
      <c r="AX878" s="821"/>
      <c r="AY878" s="969" t="str">
        <f t="shared" si="713"/>
        <v>-</v>
      </c>
      <c r="AZ878" s="966" t="str">
        <f t="shared" si="714"/>
        <v>-</v>
      </c>
      <c r="BA878" s="971" t="str">
        <f t="shared" si="715"/>
        <v>-</v>
      </c>
      <c r="BB878" s="975"/>
      <c r="BC878" s="821"/>
      <c r="BD878" s="821"/>
      <c r="BE878" s="963" t="str">
        <f t="shared" si="716"/>
        <v>-</v>
      </c>
      <c r="BF878" s="984"/>
      <c r="BG878" s="988"/>
      <c r="BH878" s="982"/>
      <c r="BI878" s="991"/>
      <c r="BJ878" s="991"/>
      <c r="BK878" s="993" t="str">
        <f t="shared" si="717"/>
        <v>-</v>
      </c>
      <c r="BL878" s="865"/>
      <c r="BM878" s="821"/>
      <c r="BN878" s="822" t="str">
        <f t="shared" si="718"/>
        <v>-</v>
      </c>
      <c r="BO878" s="823" t="str">
        <f t="shared" si="719"/>
        <v>-</v>
      </c>
      <c r="BP878" s="868"/>
      <c r="BQ878" s="821"/>
      <c r="BR878" s="822" t="str">
        <f t="shared" si="720"/>
        <v>-</v>
      </c>
      <c r="BS878" s="823" t="str">
        <f t="shared" si="721"/>
        <v>-</v>
      </c>
      <c r="BT878" s="825" t="str">
        <f t="shared" ca="1" si="722"/>
        <v>-</v>
      </c>
      <c r="BU878" s="860">
        <v>42952</v>
      </c>
      <c r="BV878" s="827">
        <v>2</v>
      </c>
      <c r="BW878" s="828">
        <f t="shared" si="723"/>
        <v>2</v>
      </c>
      <c r="BX878" s="829">
        <f t="shared" ca="1" si="724"/>
        <v>182</v>
      </c>
      <c r="BY878" s="830" t="str">
        <f t="shared" ca="1" si="725"/>
        <v>-</v>
      </c>
      <c r="BZ878" s="831">
        <v>43011</v>
      </c>
      <c r="CA878" s="832">
        <v>5</v>
      </c>
      <c r="CB878" s="833">
        <f t="shared" ca="1" si="726"/>
        <v>123</v>
      </c>
      <c r="CC878" s="834" t="str">
        <f t="shared" ca="1" si="727"/>
        <v>-</v>
      </c>
      <c r="CD878" s="835">
        <f t="shared" si="728"/>
        <v>43032</v>
      </c>
      <c r="CE878" s="831">
        <v>43033</v>
      </c>
      <c r="CF878" s="832">
        <v>5</v>
      </c>
      <c r="CG878" s="833">
        <f t="shared" ca="1" si="729"/>
        <v>101</v>
      </c>
      <c r="CH878" s="836">
        <f t="shared" si="730"/>
        <v>-1</v>
      </c>
      <c r="CI878" s="837" t="str">
        <f t="shared" si="731"/>
        <v>-</v>
      </c>
      <c r="CJ878" s="838" t="str">
        <f t="shared" ca="1" si="732"/>
        <v>-</v>
      </c>
      <c r="CK878" s="831"/>
      <c r="CL878" s="832"/>
      <c r="CM878" s="833" t="str">
        <f t="shared" si="733"/>
        <v>-</v>
      </c>
      <c r="CN878" s="834" t="str">
        <f t="shared" si="734"/>
        <v>-</v>
      </c>
      <c r="CO878" s="830" t="str">
        <f t="shared" ca="1" si="735"/>
        <v>-</v>
      </c>
      <c r="CP878" s="839"/>
      <c r="CQ878" s="832"/>
      <c r="CR878" s="833" t="str">
        <f t="shared" si="736"/>
        <v>-</v>
      </c>
      <c r="CS878" s="833" t="str">
        <f t="shared" si="737"/>
        <v>-</v>
      </c>
      <c r="CT878" s="834" t="str">
        <f t="shared" si="738"/>
        <v>-</v>
      </c>
      <c r="CU878" s="835" t="str">
        <f t="shared" si="739"/>
        <v>-</v>
      </c>
      <c r="CV878" s="839"/>
      <c r="CW878" s="832"/>
      <c r="CX878" s="833" t="str">
        <f t="shared" si="740"/>
        <v>-</v>
      </c>
      <c r="CY878" s="840" t="str">
        <f t="shared" si="741"/>
        <v>-</v>
      </c>
      <c r="CZ878" s="833" t="str">
        <f t="shared" si="742"/>
        <v>-</v>
      </c>
      <c r="DA878" s="838" t="str">
        <f t="shared" ca="1" si="743"/>
        <v>-</v>
      </c>
      <c r="DB878" s="841"/>
      <c r="DC878" s="832"/>
    </row>
    <row r="879" spans="1:107" x14ac:dyDescent="0.25">
      <c r="A879" s="790">
        <v>883</v>
      </c>
      <c r="B879" s="791">
        <f t="shared" ca="1" si="692"/>
        <v>43134</v>
      </c>
      <c r="C879" s="29" t="s">
        <v>3341</v>
      </c>
      <c r="D879" s="793" t="s">
        <v>1635</v>
      </c>
      <c r="E879" s="794" t="s">
        <v>1563</v>
      </c>
      <c r="F879" s="795" t="s">
        <v>3036</v>
      </c>
      <c r="G879" s="845"/>
      <c r="H879" s="797" t="s">
        <v>603</v>
      </c>
      <c r="I879" s="798">
        <v>42950</v>
      </c>
      <c r="J879" s="799">
        <f t="shared" ca="1" si="693"/>
        <v>0.50410958904109593</v>
      </c>
      <c r="K879" s="799">
        <f t="shared" ca="1" si="694"/>
        <v>6.1333333333333337</v>
      </c>
      <c r="L879" s="800">
        <f t="shared" ca="1" si="695"/>
        <v>184</v>
      </c>
      <c r="M879" s="801"/>
      <c r="N879" s="802"/>
      <c r="O879" s="803" t="str">
        <f t="shared" ca="1" si="696"/>
        <v>-</v>
      </c>
      <c r="P879" s="804"/>
      <c r="Q879" s="805"/>
      <c r="R879" s="806"/>
      <c r="S879" s="807"/>
      <c r="T879" s="798"/>
      <c r="U879" s="798" t="str">
        <f t="shared" si="697"/>
        <v>-</v>
      </c>
      <c r="V879" s="804" t="str">
        <f t="shared" ca="1" si="698"/>
        <v>-</v>
      </c>
      <c r="W879" s="808">
        <v>0</v>
      </c>
      <c r="X879" s="794" t="str">
        <f t="shared" si="691"/>
        <v>-</v>
      </c>
      <c r="Y879" s="794">
        <v>0</v>
      </c>
      <c r="Z879" s="809" t="str">
        <f t="shared" ca="1" si="699"/>
        <v>-----</v>
      </c>
      <c r="AA879" s="810">
        <f t="shared" ca="1" si="700"/>
        <v>43134</v>
      </c>
      <c r="AB879" s="804"/>
      <c r="AC879" s="811" t="str">
        <f t="shared" ca="1" si="701"/>
        <v>-----</v>
      </c>
      <c r="AD879" s="798"/>
      <c r="AE879" s="794" t="str">
        <f t="shared" ca="1" si="702"/>
        <v>-</v>
      </c>
      <c r="AF879" s="798" t="str">
        <f t="shared" si="703"/>
        <v>-</v>
      </c>
      <c r="AG879" s="812" t="str">
        <f t="shared" si="704"/>
        <v>---------</v>
      </c>
      <c r="AH879" s="807"/>
      <c r="AI879" s="807" t="str">
        <f t="shared" si="705"/>
        <v>-</v>
      </c>
      <c r="AJ879" s="807" t="str">
        <f t="shared" si="706"/>
        <v>-</v>
      </c>
      <c r="AK879" s="813"/>
      <c r="AL879" s="807" t="str">
        <f t="shared" si="707"/>
        <v>-</v>
      </c>
      <c r="AM879" s="807" t="str">
        <f t="shared" si="708"/>
        <v>-</v>
      </c>
      <c r="AN879" s="814" t="str">
        <f t="shared" ca="1" si="709"/>
        <v>-</v>
      </c>
      <c r="AO879" s="815">
        <v>1</v>
      </c>
      <c r="AP879" s="816" t="str">
        <f t="shared" ca="1" si="710"/>
        <v>-</v>
      </c>
      <c r="AQ879" s="817"/>
      <c r="AR879" s="794" t="str">
        <f t="shared" si="711"/>
        <v>-</v>
      </c>
      <c r="AS879" s="818"/>
      <c r="AT879" s="794" t="str">
        <f t="shared" si="712"/>
        <v>-</v>
      </c>
      <c r="AU879" s="819"/>
      <c r="AV879" s="865"/>
      <c r="AW879" s="821"/>
      <c r="AX879" s="821"/>
      <c r="AY879" s="969" t="str">
        <f t="shared" si="713"/>
        <v>-</v>
      </c>
      <c r="AZ879" s="966" t="str">
        <f t="shared" si="714"/>
        <v>-</v>
      </c>
      <c r="BA879" s="971" t="str">
        <f t="shared" si="715"/>
        <v>-</v>
      </c>
      <c r="BB879" s="975"/>
      <c r="BC879" s="821"/>
      <c r="BD879" s="821"/>
      <c r="BE879" s="963" t="str">
        <f t="shared" si="716"/>
        <v>-</v>
      </c>
      <c r="BF879" s="984"/>
      <c r="BG879" s="988"/>
      <c r="BH879" s="982"/>
      <c r="BI879" s="991"/>
      <c r="BJ879" s="991"/>
      <c r="BK879" s="993" t="str">
        <f t="shared" si="717"/>
        <v>-</v>
      </c>
      <c r="BL879" s="865"/>
      <c r="BM879" s="821"/>
      <c r="BN879" s="822" t="str">
        <f t="shared" si="718"/>
        <v>-</v>
      </c>
      <c r="BO879" s="823" t="str">
        <f t="shared" si="719"/>
        <v>-</v>
      </c>
      <c r="BP879" s="868"/>
      <c r="BQ879" s="821"/>
      <c r="BR879" s="822" t="str">
        <f t="shared" si="720"/>
        <v>-</v>
      </c>
      <c r="BS879" s="823" t="str">
        <f t="shared" si="721"/>
        <v>-</v>
      </c>
      <c r="BT879" s="825" t="str">
        <f t="shared" ca="1" si="722"/>
        <v>-</v>
      </c>
      <c r="BU879" s="860">
        <v>42952</v>
      </c>
      <c r="BV879" s="827">
        <v>2</v>
      </c>
      <c r="BW879" s="828">
        <f t="shared" si="723"/>
        <v>2</v>
      </c>
      <c r="BX879" s="829">
        <f t="shared" ca="1" si="724"/>
        <v>182</v>
      </c>
      <c r="BY879" s="830" t="str">
        <f t="shared" ca="1" si="725"/>
        <v>-</v>
      </c>
      <c r="BZ879" s="831">
        <v>43011</v>
      </c>
      <c r="CA879" s="832">
        <v>5</v>
      </c>
      <c r="CB879" s="833">
        <f t="shared" ca="1" si="726"/>
        <v>123</v>
      </c>
      <c r="CC879" s="834" t="str">
        <f t="shared" ca="1" si="727"/>
        <v>-</v>
      </c>
      <c r="CD879" s="835">
        <f t="shared" si="728"/>
        <v>43032</v>
      </c>
      <c r="CE879" s="831">
        <v>43033</v>
      </c>
      <c r="CF879" s="832">
        <v>5</v>
      </c>
      <c r="CG879" s="833">
        <f t="shared" ca="1" si="729"/>
        <v>101</v>
      </c>
      <c r="CH879" s="836">
        <f t="shared" si="730"/>
        <v>-1</v>
      </c>
      <c r="CI879" s="837" t="str">
        <f t="shared" si="731"/>
        <v>-</v>
      </c>
      <c r="CJ879" s="838" t="str">
        <f t="shared" ca="1" si="732"/>
        <v>-</v>
      </c>
      <c r="CK879" s="831"/>
      <c r="CL879" s="832"/>
      <c r="CM879" s="833" t="str">
        <f t="shared" si="733"/>
        <v>-</v>
      </c>
      <c r="CN879" s="834" t="str">
        <f t="shared" si="734"/>
        <v>-</v>
      </c>
      <c r="CO879" s="830" t="str">
        <f t="shared" ca="1" si="735"/>
        <v>-</v>
      </c>
      <c r="CP879" s="839"/>
      <c r="CQ879" s="832"/>
      <c r="CR879" s="833" t="str">
        <f t="shared" si="736"/>
        <v>-</v>
      </c>
      <c r="CS879" s="833" t="str">
        <f t="shared" si="737"/>
        <v>-</v>
      </c>
      <c r="CT879" s="834" t="str">
        <f t="shared" si="738"/>
        <v>-</v>
      </c>
      <c r="CU879" s="835" t="str">
        <f t="shared" si="739"/>
        <v>-</v>
      </c>
      <c r="CV879" s="839"/>
      <c r="CW879" s="832"/>
      <c r="CX879" s="833" t="str">
        <f t="shared" si="740"/>
        <v>-</v>
      </c>
      <c r="CY879" s="840" t="str">
        <f t="shared" si="741"/>
        <v>-</v>
      </c>
      <c r="CZ879" s="833" t="str">
        <f t="shared" si="742"/>
        <v>-</v>
      </c>
      <c r="DA879" s="838" t="str">
        <f t="shared" ca="1" si="743"/>
        <v>-</v>
      </c>
      <c r="DB879" s="841"/>
      <c r="DC879" s="832"/>
    </row>
    <row r="880" spans="1:107" x14ac:dyDescent="0.25">
      <c r="A880" s="790">
        <v>884</v>
      </c>
      <c r="B880" s="791">
        <f t="shared" ca="1" si="692"/>
        <v>43134</v>
      </c>
      <c r="C880" s="29" t="s">
        <v>3341</v>
      </c>
      <c r="D880" s="793" t="s">
        <v>1635</v>
      </c>
      <c r="E880" s="794" t="s">
        <v>1563</v>
      </c>
      <c r="F880" s="795" t="s">
        <v>3037</v>
      </c>
      <c r="G880" s="845"/>
      <c r="H880" s="797" t="s">
        <v>603</v>
      </c>
      <c r="I880" s="798">
        <v>42950</v>
      </c>
      <c r="J880" s="799">
        <f t="shared" ca="1" si="693"/>
        <v>0.50410958904109593</v>
      </c>
      <c r="K880" s="799">
        <f t="shared" ca="1" si="694"/>
        <v>6.1333333333333337</v>
      </c>
      <c r="L880" s="800">
        <f t="shared" ca="1" si="695"/>
        <v>184</v>
      </c>
      <c r="M880" s="801"/>
      <c r="N880" s="802"/>
      <c r="O880" s="803" t="str">
        <f t="shared" ca="1" si="696"/>
        <v>-</v>
      </c>
      <c r="P880" s="804"/>
      <c r="Q880" s="805"/>
      <c r="R880" s="806"/>
      <c r="S880" s="807"/>
      <c r="T880" s="798"/>
      <c r="U880" s="798" t="str">
        <f t="shared" si="697"/>
        <v>-</v>
      </c>
      <c r="V880" s="804" t="str">
        <f t="shared" ca="1" si="698"/>
        <v>-</v>
      </c>
      <c r="W880" s="808">
        <v>0</v>
      </c>
      <c r="X880" s="794" t="str">
        <f t="shared" si="691"/>
        <v>-</v>
      </c>
      <c r="Y880" s="794">
        <v>0</v>
      </c>
      <c r="Z880" s="809" t="str">
        <f t="shared" ca="1" si="699"/>
        <v>-----</v>
      </c>
      <c r="AA880" s="810">
        <f t="shared" ca="1" si="700"/>
        <v>43134</v>
      </c>
      <c r="AB880" s="804"/>
      <c r="AC880" s="811" t="str">
        <f t="shared" ca="1" si="701"/>
        <v>-----</v>
      </c>
      <c r="AD880" s="798"/>
      <c r="AE880" s="794" t="str">
        <f t="shared" ca="1" si="702"/>
        <v>-</v>
      </c>
      <c r="AF880" s="798" t="str">
        <f t="shared" si="703"/>
        <v>-</v>
      </c>
      <c r="AG880" s="812" t="str">
        <f t="shared" si="704"/>
        <v>---------</v>
      </c>
      <c r="AH880" s="807"/>
      <c r="AI880" s="807" t="str">
        <f t="shared" si="705"/>
        <v>-</v>
      </c>
      <c r="AJ880" s="807" t="str">
        <f t="shared" si="706"/>
        <v>-</v>
      </c>
      <c r="AK880" s="813"/>
      <c r="AL880" s="807" t="str">
        <f t="shared" si="707"/>
        <v>-</v>
      </c>
      <c r="AM880" s="807" t="str">
        <f t="shared" si="708"/>
        <v>-</v>
      </c>
      <c r="AN880" s="814" t="str">
        <f t="shared" ca="1" si="709"/>
        <v>-</v>
      </c>
      <c r="AO880" s="815">
        <v>1</v>
      </c>
      <c r="AP880" s="816" t="str">
        <f t="shared" ca="1" si="710"/>
        <v>-</v>
      </c>
      <c r="AQ880" s="817"/>
      <c r="AR880" s="794" t="str">
        <f t="shared" si="711"/>
        <v>-</v>
      </c>
      <c r="AS880" s="818"/>
      <c r="AT880" s="794" t="str">
        <f t="shared" si="712"/>
        <v>-</v>
      </c>
      <c r="AU880" s="819"/>
      <c r="AV880" s="865"/>
      <c r="AW880" s="821"/>
      <c r="AX880" s="821"/>
      <c r="AY880" s="969" t="str">
        <f t="shared" si="713"/>
        <v>-</v>
      </c>
      <c r="AZ880" s="966" t="str">
        <f t="shared" si="714"/>
        <v>-</v>
      </c>
      <c r="BA880" s="971" t="str">
        <f t="shared" si="715"/>
        <v>-</v>
      </c>
      <c r="BB880" s="975"/>
      <c r="BC880" s="821"/>
      <c r="BD880" s="821"/>
      <c r="BE880" s="963" t="str">
        <f t="shared" si="716"/>
        <v>-</v>
      </c>
      <c r="BF880" s="984"/>
      <c r="BG880" s="988"/>
      <c r="BH880" s="982"/>
      <c r="BI880" s="991"/>
      <c r="BJ880" s="991"/>
      <c r="BK880" s="993" t="str">
        <f t="shared" si="717"/>
        <v>-</v>
      </c>
      <c r="BL880" s="865"/>
      <c r="BM880" s="821"/>
      <c r="BN880" s="822" t="str">
        <f t="shared" si="718"/>
        <v>-</v>
      </c>
      <c r="BO880" s="823" t="str">
        <f t="shared" si="719"/>
        <v>-</v>
      </c>
      <c r="BP880" s="868"/>
      <c r="BQ880" s="821"/>
      <c r="BR880" s="822" t="str">
        <f t="shared" si="720"/>
        <v>-</v>
      </c>
      <c r="BS880" s="823" t="str">
        <f t="shared" si="721"/>
        <v>-</v>
      </c>
      <c r="BT880" s="825" t="str">
        <f t="shared" ca="1" si="722"/>
        <v>-</v>
      </c>
      <c r="BU880" s="860">
        <v>42952</v>
      </c>
      <c r="BV880" s="827">
        <v>2</v>
      </c>
      <c r="BW880" s="828">
        <f t="shared" si="723"/>
        <v>2</v>
      </c>
      <c r="BX880" s="829">
        <f t="shared" ca="1" si="724"/>
        <v>182</v>
      </c>
      <c r="BY880" s="830" t="str">
        <f t="shared" ca="1" si="725"/>
        <v>-</v>
      </c>
      <c r="BZ880" s="831">
        <v>43011</v>
      </c>
      <c r="CA880" s="832">
        <v>5</v>
      </c>
      <c r="CB880" s="833">
        <f t="shared" ca="1" si="726"/>
        <v>123</v>
      </c>
      <c r="CC880" s="834" t="str">
        <f t="shared" ca="1" si="727"/>
        <v>-</v>
      </c>
      <c r="CD880" s="835">
        <f t="shared" si="728"/>
        <v>43032</v>
      </c>
      <c r="CE880" s="831">
        <v>43033</v>
      </c>
      <c r="CF880" s="832">
        <v>5</v>
      </c>
      <c r="CG880" s="833">
        <f t="shared" ca="1" si="729"/>
        <v>101</v>
      </c>
      <c r="CH880" s="836">
        <f t="shared" si="730"/>
        <v>-1</v>
      </c>
      <c r="CI880" s="837" t="str">
        <f t="shared" si="731"/>
        <v>-</v>
      </c>
      <c r="CJ880" s="838" t="str">
        <f t="shared" ca="1" si="732"/>
        <v>-</v>
      </c>
      <c r="CK880" s="831"/>
      <c r="CL880" s="832"/>
      <c r="CM880" s="833" t="str">
        <f t="shared" si="733"/>
        <v>-</v>
      </c>
      <c r="CN880" s="834" t="str">
        <f t="shared" si="734"/>
        <v>-</v>
      </c>
      <c r="CO880" s="830" t="str">
        <f t="shared" ca="1" si="735"/>
        <v>-</v>
      </c>
      <c r="CP880" s="839"/>
      <c r="CQ880" s="832"/>
      <c r="CR880" s="833" t="str">
        <f t="shared" si="736"/>
        <v>-</v>
      </c>
      <c r="CS880" s="833" t="str">
        <f t="shared" si="737"/>
        <v>-</v>
      </c>
      <c r="CT880" s="834" t="str">
        <f t="shared" si="738"/>
        <v>-</v>
      </c>
      <c r="CU880" s="835" t="str">
        <f t="shared" si="739"/>
        <v>-</v>
      </c>
      <c r="CV880" s="839"/>
      <c r="CW880" s="832"/>
      <c r="CX880" s="833" t="str">
        <f t="shared" si="740"/>
        <v>-</v>
      </c>
      <c r="CY880" s="840" t="str">
        <f t="shared" si="741"/>
        <v>-</v>
      </c>
      <c r="CZ880" s="833" t="str">
        <f t="shared" si="742"/>
        <v>-</v>
      </c>
      <c r="DA880" s="838" t="str">
        <f t="shared" ca="1" si="743"/>
        <v>-</v>
      </c>
      <c r="DB880" s="841"/>
      <c r="DC880" s="832"/>
    </row>
    <row r="881" spans="1:107" x14ac:dyDescent="0.25">
      <c r="A881" s="790">
        <v>885</v>
      </c>
      <c r="B881" s="791">
        <f t="shared" ca="1" si="692"/>
        <v>43134</v>
      </c>
      <c r="C881" s="29" t="s">
        <v>3341</v>
      </c>
      <c r="D881" s="793" t="s">
        <v>1635</v>
      </c>
      <c r="E881" s="794" t="s">
        <v>1563</v>
      </c>
      <c r="F881" s="795" t="s">
        <v>3045</v>
      </c>
      <c r="G881" s="845"/>
      <c r="H881" s="797" t="s">
        <v>603</v>
      </c>
      <c r="I881" s="798">
        <v>42951</v>
      </c>
      <c r="J881" s="799">
        <f t="shared" ca="1" si="693"/>
        <v>0.50136986301369868</v>
      </c>
      <c r="K881" s="799">
        <f t="shared" ca="1" si="694"/>
        <v>6.1</v>
      </c>
      <c r="L881" s="800">
        <f t="shared" ca="1" si="695"/>
        <v>183</v>
      </c>
      <c r="M881" s="801"/>
      <c r="N881" s="802"/>
      <c r="O881" s="803" t="str">
        <f t="shared" ca="1" si="696"/>
        <v>-</v>
      </c>
      <c r="P881" s="804"/>
      <c r="Q881" s="805"/>
      <c r="R881" s="806"/>
      <c r="S881" s="807"/>
      <c r="T881" s="798"/>
      <c r="U881" s="798" t="str">
        <f t="shared" si="697"/>
        <v>-</v>
      </c>
      <c r="V881" s="804" t="str">
        <f t="shared" ca="1" si="698"/>
        <v>-</v>
      </c>
      <c r="W881" s="808">
        <v>0</v>
      </c>
      <c r="X881" s="794" t="str">
        <f t="shared" si="691"/>
        <v>-</v>
      </c>
      <c r="Y881" s="794">
        <v>0</v>
      </c>
      <c r="Z881" s="809" t="str">
        <f t="shared" ca="1" si="699"/>
        <v>-----</v>
      </c>
      <c r="AA881" s="810">
        <f t="shared" ca="1" si="700"/>
        <v>43134</v>
      </c>
      <c r="AB881" s="804"/>
      <c r="AC881" s="811" t="str">
        <f t="shared" ca="1" si="701"/>
        <v>-----</v>
      </c>
      <c r="AD881" s="798"/>
      <c r="AE881" s="794" t="str">
        <f t="shared" ca="1" si="702"/>
        <v>-</v>
      </c>
      <c r="AF881" s="798" t="str">
        <f t="shared" si="703"/>
        <v>-</v>
      </c>
      <c r="AG881" s="812" t="str">
        <f t="shared" si="704"/>
        <v>---------</v>
      </c>
      <c r="AH881" s="807"/>
      <c r="AI881" s="807" t="str">
        <f t="shared" si="705"/>
        <v>-</v>
      </c>
      <c r="AJ881" s="807" t="str">
        <f t="shared" si="706"/>
        <v>-</v>
      </c>
      <c r="AK881" s="813"/>
      <c r="AL881" s="807" t="str">
        <f t="shared" si="707"/>
        <v>-</v>
      </c>
      <c r="AM881" s="807" t="str">
        <f t="shared" si="708"/>
        <v>-</v>
      </c>
      <c r="AN881" s="814" t="str">
        <f t="shared" ca="1" si="709"/>
        <v>-</v>
      </c>
      <c r="AO881" s="815">
        <v>1</v>
      </c>
      <c r="AP881" s="816" t="str">
        <f t="shared" ca="1" si="710"/>
        <v>-</v>
      </c>
      <c r="AQ881" s="817"/>
      <c r="AR881" s="794" t="str">
        <f t="shared" si="711"/>
        <v>-</v>
      </c>
      <c r="AS881" s="818"/>
      <c r="AT881" s="794" t="str">
        <f t="shared" si="712"/>
        <v>-</v>
      </c>
      <c r="AU881" s="819"/>
      <c r="AV881" s="865"/>
      <c r="AW881" s="821"/>
      <c r="AX881" s="821"/>
      <c r="AY881" s="969" t="str">
        <f t="shared" si="713"/>
        <v>-</v>
      </c>
      <c r="AZ881" s="966" t="str">
        <f t="shared" si="714"/>
        <v>-</v>
      </c>
      <c r="BA881" s="971" t="str">
        <f t="shared" si="715"/>
        <v>-</v>
      </c>
      <c r="BB881" s="975"/>
      <c r="BC881" s="821"/>
      <c r="BD881" s="821"/>
      <c r="BE881" s="963" t="str">
        <f t="shared" si="716"/>
        <v>-</v>
      </c>
      <c r="BF881" s="984"/>
      <c r="BG881" s="988"/>
      <c r="BH881" s="982"/>
      <c r="BI881" s="991"/>
      <c r="BJ881" s="991"/>
      <c r="BK881" s="993" t="str">
        <f t="shared" si="717"/>
        <v>-</v>
      </c>
      <c r="BL881" s="865"/>
      <c r="BM881" s="821"/>
      <c r="BN881" s="822" t="str">
        <f t="shared" si="718"/>
        <v>-</v>
      </c>
      <c r="BO881" s="823" t="str">
        <f t="shared" si="719"/>
        <v>-</v>
      </c>
      <c r="BP881" s="868"/>
      <c r="BQ881" s="821"/>
      <c r="BR881" s="822" t="str">
        <f t="shared" si="720"/>
        <v>-</v>
      </c>
      <c r="BS881" s="823" t="str">
        <f t="shared" si="721"/>
        <v>-</v>
      </c>
      <c r="BT881" s="825" t="str">
        <f t="shared" ca="1" si="722"/>
        <v>-</v>
      </c>
      <c r="BU881" s="860">
        <v>42961</v>
      </c>
      <c r="BV881" s="827">
        <v>2</v>
      </c>
      <c r="BW881" s="828">
        <f t="shared" si="723"/>
        <v>10</v>
      </c>
      <c r="BX881" s="829">
        <f t="shared" ca="1" si="724"/>
        <v>173</v>
      </c>
      <c r="BY881" s="830" t="str">
        <f t="shared" ca="1" si="725"/>
        <v>-</v>
      </c>
      <c r="BZ881" s="831">
        <v>43018</v>
      </c>
      <c r="CA881" s="832">
        <v>5</v>
      </c>
      <c r="CB881" s="833">
        <f t="shared" ca="1" si="726"/>
        <v>116</v>
      </c>
      <c r="CC881" s="834" t="str">
        <f t="shared" ca="1" si="727"/>
        <v>-</v>
      </c>
      <c r="CD881" s="835">
        <f t="shared" si="728"/>
        <v>43039</v>
      </c>
      <c r="CE881" s="831">
        <v>43046</v>
      </c>
      <c r="CF881" s="832">
        <v>5</v>
      </c>
      <c r="CG881" s="833">
        <f t="shared" ca="1" si="729"/>
        <v>88</v>
      </c>
      <c r="CH881" s="836">
        <f t="shared" si="730"/>
        <v>-7</v>
      </c>
      <c r="CI881" s="837" t="str">
        <f t="shared" si="731"/>
        <v>-</v>
      </c>
      <c r="CJ881" s="838" t="str">
        <f t="shared" ca="1" si="732"/>
        <v>-</v>
      </c>
      <c r="CK881" s="831"/>
      <c r="CL881" s="832"/>
      <c r="CM881" s="833" t="str">
        <f t="shared" si="733"/>
        <v>-</v>
      </c>
      <c r="CN881" s="834" t="str">
        <f t="shared" si="734"/>
        <v>-</v>
      </c>
      <c r="CO881" s="830" t="str">
        <f t="shared" ca="1" si="735"/>
        <v>-</v>
      </c>
      <c r="CP881" s="839"/>
      <c r="CQ881" s="832"/>
      <c r="CR881" s="833" t="str">
        <f t="shared" si="736"/>
        <v>-</v>
      </c>
      <c r="CS881" s="833" t="str">
        <f t="shared" si="737"/>
        <v>-</v>
      </c>
      <c r="CT881" s="834" t="str">
        <f t="shared" si="738"/>
        <v>-</v>
      </c>
      <c r="CU881" s="835" t="str">
        <f t="shared" si="739"/>
        <v>-</v>
      </c>
      <c r="CV881" s="839"/>
      <c r="CW881" s="832"/>
      <c r="CX881" s="833" t="str">
        <f t="shared" si="740"/>
        <v>-</v>
      </c>
      <c r="CY881" s="840" t="str">
        <f t="shared" si="741"/>
        <v>-</v>
      </c>
      <c r="CZ881" s="833" t="str">
        <f t="shared" si="742"/>
        <v>-</v>
      </c>
      <c r="DA881" s="838" t="str">
        <f t="shared" ca="1" si="743"/>
        <v>-</v>
      </c>
      <c r="DB881" s="841"/>
      <c r="DC881" s="832"/>
    </row>
    <row r="882" spans="1:107" x14ac:dyDescent="0.25">
      <c r="A882" s="790">
        <v>886</v>
      </c>
      <c r="B882" s="791">
        <f t="shared" ca="1" si="692"/>
        <v>43134</v>
      </c>
      <c r="C882" s="29" t="s">
        <v>3341</v>
      </c>
      <c r="D882" s="793" t="s">
        <v>1635</v>
      </c>
      <c r="E882" s="794" t="s">
        <v>1563</v>
      </c>
      <c r="F882" s="795" t="s">
        <v>3047</v>
      </c>
      <c r="G882" s="845"/>
      <c r="H882" s="797" t="s">
        <v>603</v>
      </c>
      <c r="I882" s="798">
        <v>42951</v>
      </c>
      <c r="J882" s="799">
        <f t="shared" ca="1" si="693"/>
        <v>0.50136986301369868</v>
      </c>
      <c r="K882" s="799">
        <f t="shared" ca="1" si="694"/>
        <v>6.1</v>
      </c>
      <c r="L882" s="800">
        <f t="shared" ca="1" si="695"/>
        <v>183</v>
      </c>
      <c r="M882" s="801"/>
      <c r="N882" s="802"/>
      <c r="O882" s="803" t="str">
        <f t="shared" ca="1" si="696"/>
        <v>-</v>
      </c>
      <c r="P882" s="804"/>
      <c r="Q882" s="805"/>
      <c r="R882" s="806"/>
      <c r="S882" s="807"/>
      <c r="T882" s="798"/>
      <c r="U882" s="798" t="str">
        <f t="shared" si="697"/>
        <v>-</v>
      </c>
      <c r="V882" s="804" t="str">
        <f t="shared" ca="1" si="698"/>
        <v>-</v>
      </c>
      <c r="W882" s="808">
        <v>0</v>
      </c>
      <c r="X882" s="794" t="str">
        <f t="shared" si="691"/>
        <v>-</v>
      </c>
      <c r="Y882" s="794">
        <v>0</v>
      </c>
      <c r="Z882" s="809" t="str">
        <f t="shared" ca="1" si="699"/>
        <v>-----</v>
      </c>
      <c r="AA882" s="810">
        <f t="shared" ca="1" si="700"/>
        <v>43134</v>
      </c>
      <c r="AB882" s="804"/>
      <c r="AC882" s="811" t="str">
        <f t="shared" ca="1" si="701"/>
        <v>-----</v>
      </c>
      <c r="AD882" s="798"/>
      <c r="AE882" s="794" t="str">
        <f t="shared" ca="1" si="702"/>
        <v>-</v>
      </c>
      <c r="AF882" s="798" t="str">
        <f t="shared" si="703"/>
        <v>-</v>
      </c>
      <c r="AG882" s="812" t="str">
        <f t="shared" si="704"/>
        <v>---------</v>
      </c>
      <c r="AH882" s="807"/>
      <c r="AI882" s="807" t="str">
        <f t="shared" si="705"/>
        <v>-</v>
      </c>
      <c r="AJ882" s="807" t="str">
        <f t="shared" si="706"/>
        <v>-</v>
      </c>
      <c r="AK882" s="813"/>
      <c r="AL882" s="807" t="str">
        <f t="shared" si="707"/>
        <v>-</v>
      </c>
      <c r="AM882" s="807" t="str">
        <f t="shared" si="708"/>
        <v>-</v>
      </c>
      <c r="AN882" s="814" t="str">
        <f t="shared" ca="1" si="709"/>
        <v>-</v>
      </c>
      <c r="AO882" s="815">
        <v>1</v>
      </c>
      <c r="AP882" s="816" t="str">
        <f t="shared" ca="1" si="710"/>
        <v>-</v>
      </c>
      <c r="AQ882" s="817"/>
      <c r="AR882" s="794" t="str">
        <f t="shared" si="711"/>
        <v>-</v>
      </c>
      <c r="AS882" s="818"/>
      <c r="AT882" s="794" t="str">
        <f t="shared" si="712"/>
        <v>-</v>
      </c>
      <c r="AU882" s="819"/>
      <c r="AV882" s="865"/>
      <c r="AW882" s="821"/>
      <c r="AX882" s="821"/>
      <c r="AY882" s="969" t="str">
        <f t="shared" si="713"/>
        <v>-</v>
      </c>
      <c r="AZ882" s="966" t="str">
        <f t="shared" si="714"/>
        <v>-</v>
      </c>
      <c r="BA882" s="971" t="str">
        <f t="shared" si="715"/>
        <v>-</v>
      </c>
      <c r="BB882" s="975"/>
      <c r="BC882" s="821"/>
      <c r="BD882" s="821"/>
      <c r="BE882" s="963" t="str">
        <f t="shared" si="716"/>
        <v>-</v>
      </c>
      <c r="BF882" s="984"/>
      <c r="BG882" s="988"/>
      <c r="BH882" s="982"/>
      <c r="BI882" s="991"/>
      <c r="BJ882" s="991"/>
      <c r="BK882" s="993" t="str">
        <f t="shared" si="717"/>
        <v>-</v>
      </c>
      <c r="BL882" s="865"/>
      <c r="BM882" s="821"/>
      <c r="BN882" s="822" t="str">
        <f t="shared" si="718"/>
        <v>-</v>
      </c>
      <c r="BO882" s="823" t="str">
        <f t="shared" si="719"/>
        <v>-</v>
      </c>
      <c r="BP882" s="868"/>
      <c r="BQ882" s="821"/>
      <c r="BR882" s="822" t="str">
        <f t="shared" si="720"/>
        <v>-</v>
      </c>
      <c r="BS882" s="823" t="str">
        <f t="shared" si="721"/>
        <v>-</v>
      </c>
      <c r="BT882" s="825" t="str">
        <f t="shared" ca="1" si="722"/>
        <v>-</v>
      </c>
      <c r="BU882" s="860">
        <v>42961</v>
      </c>
      <c r="BV882" s="827">
        <v>2</v>
      </c>
      <c r="BW882" s="828">
        <f t="shared" si="723"/>
        <v>10</v>
      </c>
      <c r="BX882" s="829">
        <f t="shared" ca="1" si="724"/>
        <v>173</v>
      </c>
      <c r="BY882" s="830" t="str">
        <f t="shared" ca="1" si="725"/>
        <v>-</v>
      </c>
      <c r="BZ882" s="831">
        <v>43018</v>
      </c>
      <c r="CA882" s="832">
        <v>5</v>
      </c>
      <c r="CB882" s="833">
        <f t="shared" ca="1" si="726"/>
        <v>116</v>
      </c>
      <c r="CC882" s="834" t="str">
        <f t="shared" ca="1" si="727"/>
        <v>-</v>
      </c>
      <c r="CD882" s="835">
        <f t="shared" si="728"/>
        <v>43039</v>
      </c>
      <c r="CE882" s="831">
        <v>43046</v>
      </c>
      <c r="CF882" s="832">
        <v>5</v>
      </c>
      <c r="CG882" s="833">
        <f t="shared" ca="1" si="729"/>
        <v>88</v>
      </c>
      <c r="CH882" s="836">
        <f t="shared" si="730"/>
        <v>-7</v>
      </c>
      <c r="CI882" s="837" t="str">
        <f t="shared" si="731"/>
        <v>-</v>
      </c>
      <c r="CJ882" s="838" t="str">
        <f t="shared" ca="1" si="732"/>
        <v>-</v>
      </c>
      <c r="CK882" s="831"/>
      <c r="CL882" s="832"/>
      <c r="CM882" s="833" t="str">
        <f t="shared" si="733"/>
        <v>-</v>
      </c>
      <c r="CN882" s="834" t="str">
        <f t="shared" si="734"/>
        <v>-</v>
      </c>
      <c r="CO882" s="830" t="str">
        <f t="shared" ca="1" si="735"/>
        <v>-</v>
      </c>
      <c r="CP882" s="839"/>
      <c r="CQ882" s="832"/>
      <c r="CR882" s="833" t="str">
        <f t="shared" si="736"/>
        <v>-</v>
      </c>
      <c r="CS882" s="833" t="str">
        <f t="shared" si="737"/>
        <v>-</v>
      </c>
      <c r="CT882" s="834" t="str">
        <f t="shared" si="738"/>
        <v>-</v>
      </c>
      <c r="CU882" s="835" t="str">
        <f t="shared" si="739"/>
        <v>-</v>
      </c>
      <c r="CV882" s="839"/>
      <c r="CW882" s="832"/>
      <c r="CX882" s="833" t="str">
        <f t="shared" si="740"/>
        <v>-</v>
      </c>
      <c r="CY882" s="840" t="str">
        <f t="shared" si="741"/>
        <v>-</v>
      </c>
      <c r="CZ882" s="833" t="str">
        <f t="shared" si="742"/>
        <v>-</v>
      </c>
      <c r="DA882" s="838" t="str">
        <f t="shared" ca="1" si="743"/>
        <v>-</v>
      </c>
      <c r="DB882" s="841"/>
      <c r="DC882" s="832"/>
    </row>
    <row r="883" spans="1:107" x14ac:dyDescent="0.25">
      <c r="A883" s="790">
        <v>887</v>
      </c>
      <c r="B883" s="791">
        <f t="shared" ca="1" si="692"/>
        <v>43134</v>
      </c>
      <c r="C883" s="29" t="s">
        <v>3341</v>
      </c>
      <c r="D883" s="793" t="s">
        <v>1635</v>
      </c>
      <c r="E883" s="794" t="s">
        <v>1563</v>
      </c>
      <c r="F883" s="795" t="s">
        <v>3051</v>
      </c>
      <c r="G883" s="845"/>
      <c r="H883" s="797" t="s">
        <v>603</v>
      </c>
      <c r="I883" s="798">
        <v>42952</v>
      </c>
      <c r="J883" s="799">
        <f t="shared" ca="1" si="693"/>
        <v>0.49863013698630138</v>
      </c>
      <c r="K883" s="799">
        <f t="shared" ca="1" si="694"/>
        <v>6.0666666666666664</v>
      </c>
      <c r="L883" s="800">
        <f t="shared" ca="1" si="695"/>
        <v>182</v>
      </c>
      <c r="M883" s="801"/>
      <c r="N883" s="802"/>
      <c r="O883" s="803" t="str">
        <f t="shared" ca="1" si="696"/>
        <v>-</v>
      </c>
      <c r="P883" s="804"/>
      <c r="Q883" s="805"/>
      <c r="R883" s="806"/>
      <c r="S883" s="807"/>
      <c r="T883" s="798"/>
      <c r="U883" s="798" t="str">
        <f t="shared" si="697"/>
        <v>-</v>
      </c>
      <c r="V883" s="804" t="str">
        <f t="shared" ca="1" si="698"/>
        <v>-</v>
      </c>
      <c r="W883" s="808">
        <v>0</v>
      </c>
      <c r="X883" s="794" t="str">
        <f t="shared" si="691"/>
        <v>-</v>
      </c>
      <c r="Y883" s="794">
        <v>0</v>
      </c>
      <c r="Z883" s="809" t="str">
        <f t="shared" ca="1" si="699"/>
        <v>-----</v>
      </c>
      <c r="AA883" s="810">
        <f t="shared" ca="1" si="700"/>
        <v>43134</v>
      </c>
      <c r="AB883" s="804"/>
      <c r="AC883" s="811" t="str">
        <f t="shared" ca="1" si="701"/>
        <v>-----</v>
      </c>
      <c r="AD883" s="798"/>
      <c r="AE883" s="794" t="str">
        <f t="shared" ca="1" si="702"/>
        <v>-</v>
      </c>
      <c r="AF883" s="798" t="str">
        <f t="shared" si="703"/>
        <v>-</v>
      </c>
      <c r="AG883" s="812" t="str">
        <f t="shared" si="704"/>
        <v>---------</v>
      </c>
      <c r="AH883" s="807"/>
      <c r="AI883" s="807" t="str">
        <f t="shared" si="705"/>
        <v>-</v>
      </c>
      <c r="AJ883" s="807" t="str">
        <f t="shared" si="706"/>
        <v>-</v>
      </c>
      <c r="AK883" s="813"/>
      <c r="AL883" s="807" t="str">
        <f t="shared" si="707"/>
        <v>-</v>
      </c>
      <c r="AM883" s="807" t="str">
        <f t="shared" si="708"/>
        <v>-</v>
      </c>
      <c r="AN883" s="814" t="str">
        <f t="shared" ca="1" si="709"/>
        <v>-</v>
      </c>
      <c r="AO883" s="815">
        <v>1</v>
      </c>
      <c r="AP883" s="816" t="str">
        <f t="shared" ca="1" si="710"/>
        <v>-</v>
      </c>
      <c r="AQ883" s="817"/>
      <c r="AR883" s="794" t="str">
        <f t="shared" si="711"/>
        <v>-</v>
      </c>
      <c r="AS883" s="818"/>
      <c r="AT883" s="794" t="str">
        <f t="shared" si="712"/>
        <v>-</v>
      </c>
      <c r="AU883" s="819"/>
      <c r="AV883" s="865"/>
      <c r="AW883" s="821"/>
      <c r="AX883" s="821"/>
      <c r="AY883" s="969" t="str">
        <f t="shared" si="713"/>
        <v>-</v>
      </c>
      <c r="AZ883" s="966" t="str">
        <f t="shared" si="714"/>
        <v>-</v>
      </c>
      <c r="BA883" s="971" t="str">
        <f t="shared" si="715"/>
        <v>-</v>
      </c>
      <c r="BB883" s="975"/>
      <c r="BC883" s="821"/>
      <c r="BD883" s="821"/>
      <c r="BE883" s="963" t="str">
        <f t="shared" si="716"/>
        <v>-</v>
      </c>
      <c r="BF883" s="984"/>
      <c r="BG883" s="988"/>
      <c r="BH883" s="982"/>
      <c r="BI883" s="991"/>
      <c r="BJ883" s="991"/>
      <c r="BK883" s="993" t="str">
        <f t="shared" si="717"/>
        <v>-</v>
      </c>
      <c r="BL883" s="865"/>
      <c r="BM883" s="821"/>
      <c r="BN883" s="822" t="str">
        <f t="shared" si="718"/>
        <v>-</v>
      </c>
      <c r="BO883" s="823" t="str">
        <f t="shared" si="719"/>
        <v>-</v>
      </c>
      <c r="BP883" s="868"/>
      <c r="BQ883" s="821"/>
      <c r="BR883" s="822" t="str">
        <f t="shared" si="720"/>
        <v>-</v>
      </c>
      <c r="BS883" s="823" t="str">
        <f t="shared" si="721"/>
        <v>-</v>
      </c>
      <c r="BT883" s="825" t="str">
        <f t="shared" ca="1" si="722"/>
        <v>-</v>
      </c>
      <c r="BU883" s="860">
        <v>42961</v>
      </c>
      <c r="BV883" s="827">
        <v>2</v>
      </c>
      <c r="BW883" s="828">
        <f t="shared" si="723"/>
        <v>9</v>
      </c>
      <c r="BX883" s="829">
        <f t="shared" ca="1" si="724"/>
        <v>173</v>
      </c>
      <c r="BY883" s="830" t="str">
        <f t="shared" ca="1" si="725"/>
        <v>-</v>
      </c>
      <c r="BZ883" s="831">
        <v>43018</v>
      </c>
      <c r="CA883" s="832">
        <v>5</v>
      </c>
      <c r="CB883" s="833">
        <f t="shared" ca="1" si="726"/>
        <v>116</v>
      </c>
      <c r="CC883" s="834" t="str">
        <f t="shared" ca="1" si="727"/>
        <v>-</v>
      </c>
      <c r="CD883" s="835">
        <f t="shared" si="728"/>
        <v>43039</v>
      </c>
      <c r="CE883" s="831">
        <v>43046</v>
      </c>
      <c r="CF883" s="832">
        <v>5</v>
      </c>
      <c r="CG883" s="833">
        <f t="shared" ca="1" si="729"/>
        <v>88</v>
      </c>
      <c r="CH883" s="836">
        <f t="shared" si="730"/>
        <v>-7</v>
      </c>
      <c r="CI883" s="837" t="str">
        <f t="shared" si="731"/>
        <v>-</v>
      </c>
      <c r="CJ883" s="838" t="str">
        <f t="shared" ca="1" si="732"/>
        <v>-</v>
      </c>
      <c r="CK883" s="831"/>
      <c r="CL883" s="832"/>
      <c r="CM883" s="833" t="str">
        <f t="shared" si="733"/>
        <v>-</v>
      </c>
      <c r="CN883" s="834" t="str">
        <f t="shared" si="734"/>
        <v>-</v>
      </c>
      <c r="CO883" s="830" t="str">
        <f t="shared" ca="1" si="735"/>
        <v>-</v>
      </c>
      <c r="CP883" s="839"/>
      <c r="CQ883" s="832"/>
      <c r="CR883" s="833" t="str">
        <f t="shared" si="736"/>
        <v>-</v>
      </c>
      <c r="CS883" s="833" t="str">
        <f t="shared" si="737"/>
        <v>-</v>
      </c>
      <c r="CT883" s="834" t="str">
        <f t="shared" si="738"/>
        <v>-</v>
      </c>
      <c r="CU883" s="835" t="str">
        <f t="shared" si="739"/>
        <v>-</v>
      </c>
      <c r="CV883" s="839"/>
      <c r="CW883" s="832"/>
      <c r="CX883" s="833" t="str">
        <f t="shared" si="740"/>
        <v>-</v>
      </c>
      <c r="CY883" s="840" t="str">
        <f t="shared" si="741"/>
        <v>-</v>
      </c>
      <c r="CZ883" s="833" t="str">
        <f t="shared" si="742"/>
        <v>-</v>
      </c>
      <c r="DA883" s="838" t="str">
        <f t="shared" ca="1" si="743"/>
        <v>-</v>
      </c>
      <c r="DB883" s="841"/>
      <c r="DC883" s="832"/>
    </row>
    <row r="884" spans="1:107" x14ac:dyDescent="0.25">
      <c r="A884" s="790">
        <v>888</v>
      </c>
      <c r="B884" s="791">
        <f t="shared" ca="1" si="692"/>
        <v>43134</v>
      </c>
      <c r="C884" s="29" t="s">
        <v>3341</v>
      </c>
      <c r="D884" s="793" t="s">
        <v>1635</v>
      </c>
      <c r="E884" s="794" t="s">
        <v>1563</v>
      </c>
      <c r="F884" s="795" t="s">
        <v>3053</v>
      </c>
      <c r="G884" s="845"/>
      <c r="H884" s="797" t="s">
        <v>603</v>
      </c>
      <c r="I884" s="798">
        <v>42955</v>
      </c>
      <c r="J884" s="799">
        <f t="shared" ca="1" si="693"/>
        <v>0.49041095890410957</v>
      </c>
      <c r="K884" s="799">
        <f t="shared" ca="1" si="694"/>
        <v>5.9666666666666668</v>
      </c>
      <c r="L884" s="800">
        <f t="shared" ca="1" si="695"/>
        <v>179</v>
      </c>
      <c r="M884" s="801"/>
      <c r="N884" s="802"/>
      <c r="O884" s="803" t="str">
        <f t="shared" ca="1" si="696"/>
        <v>-</v>
      </c>
      <c r="P884" s="804"/>
      <c r="Q884" s="805"/>
      <c r="R884" s="806"/>
      <c r="S884" s="807"/>
      <c r="T884" s="798"/>
      <c r="U884" s="798" t="str">
        <f t="shared" si="697"/>
        <v>-</v>
      </c>
      <c r="V884" s="804" t="str">
        <f t="shared" ca="1" si="698"/>
        <v>-</v>
      </c>
      <c r="W884" s="808">
        <v>0</v>
      </c>
      <c r="X884" s="794" t="str">
        <f t="shared" si="691"/>
        <v>-</v>
      </c>
      <c r="Y884" s="808">
        <v>0</v>
      </c>
      <c r="Z884" s="809" t="str">
        <f t="shared" ca="1" si="699"/>
        <v>-----</v>
      </c>
      <c r="AA884" s="810">
        <f t="shared" ca="1" si="700"/>
        <v>43134</v>
      </c>
      <c r="AB884" s="804"/>
      <c r="AC884" s="811" t="str">
        <f t="shared" ca="1" si="701"/>
        <v>-----</v>
      </c>
      <c r="AD884" s="798"/>
      <c r="AE884" s="794" t="str">
        <f t="shared" ca="1" si="702"/>
        <v>-</v>
      </c>
      <c r="AF884" s="798" t="str">
        <f t="shared" si="703"/>
        <v>-</v>
      </c>
      <c r="AG884" s="812" t="str">
        <f t="shared" si="704"/>
        <v>---------</v>
      </c>
      <c r="AH884" s="807"/>
      <c r="AI884" s="807" t="str">
        <f t="shared" si="705"/>
        <v>-</v>
      </c>
      <c r="AJ884" s="807" t="str">
        <f t="shared" si="706"/>
        <v>-</v>
      </c>
      <c r="AK884" s="813"/>
      <c r="AL884" s="807" t="str">
        <f t="shared" si="707"/>
        <v>-</v>
      </c>
      <c r="AM884" s="807" t="str">
        <f t="shared" si="708"/>
        <v>-</v>
      </c>
      <c r="AN884" s="814" t="str">
        <f t="shared" ca="1" si="709"/>
        <v>-</v>
      </c>
      <c r="AO884" s="815">
        <v>1</v>
      </c>
      <c r="AP884" s="816" t="str">
        <f t="shared" ca="1" si="710"/>
        <v>-</v>
      </c>
      <c r="AQ884" s="817"/>
      <c r="AR884" s="794" t="str">
        <f t="shared" si="711"/>
        <v>-</v>
      </c>
      <c r="AS884" s="818"/>
      <c r="AT884" s="794" t="str">
        <f t="shared" si="712"/>
        <v>-</v>
      </c>
      <c r="AU884" s="819"/>
      <c r="AV884" s="865"/>
      <c r="AW884" s="821"/>
      <c r="AX884" s="821"/>
      <c r="AY884" s="969" t="str">
        <f t="shared" si="713"/>
        <v>-</v>
      </c>
      <c r="AZ884" s="966" t="str">
        <f t="shared" si="714"/>
        <v>-</v>
      </c>
      <c r="BA884" s="971" t="str">
        <f t="shared" si="715"/>
        <v>-</v>
      </c>
      <c r="BB884" s="975"/>
      <c r="BC884" s="821"/>
      <c r="BD884" s="821"/>
      <c r="BE884" s="963" t="str">
        <f t="shared" si="716"/>
        <v>-</v>
      </c>
      <c r="BF884" s="984"/>
      <c r="BG884" s="988"/>
      <c r="BH884" s="982"/>
      <c r="BI884" s="991"/>
      <c r="BJ884" s="991"/>
      <c r="BK884" s="993" t="str">
        <f t="shared" si="717"/>
        <v>-</v>
      </c>
      <c r="BL884" s="865"/>
      <c r="BM884" s="821"/>
      <c r="BN884" s="822" t="str">
        <f t="shared" si="718"/>
        <v>-</v>
      </c>
      <c r="BO884" s="823" t="str">
        <f t="shared" si="719"/>
        <v>-</v>
      </c>
      <c r="BP884" s="868"/>
      <c r="BQ884" s="821"/>
      <c r="BR884" s="822" t="str">
        <f t="shared" si="720"/>
        <v>-</v>
      </c>
      <c r="BS884" s="823" t="str">
        <f t="shared" si="721"/>
        <v>-</v>
      </c>
      <c r="BT884" s="825" t="str">
        <f t="shared" ca="1" si="722"/>
        <v>-</v>
      </c>
      <c r="BU884" s="860">
        <v>42961</v>
      </c>
      <c r="BV884" s="827">
        <v>2</v>
      </c>
      <c r="BW884" s="828">
        <f t="shared" si="723"/>
        <v>6</v>
      </c>
      <c r="BX884" s="829">
        <f t="shared" ca="1" si="724"/>
        <v>173</v>
      </c>
      <c r="BY884" s="830" t="str">
        <f t="shared" ca="1" si="725"/>
        <v>-</v>
      </c>
      <c r="BZ884" s="831">
        <v>43018</v>
      </c>
      <c r="CA884" s="832">
        <v>5</v>
      </c>
      <c r="CB884" s="833">
        <f t="shared" ca="1" si="726"/>
        <v>116</v>
      </c>
      <c r="CC884" s="834" t="str">
        <f t="shared" ca="1" si="727"/>
        <v>-</v>
      </c>
      <c r="CD884" s="835">
        <f t="shared" si="728"/>
        <v>43039</v>
      </c>
      <c r="CE884" s="831">
        <v>43046</v>
      </c>
      <c r="CF884" s="832">
        <v>5</v>
      </c>
      <c r="CG884" s="833">
        <f t="shared" ca="1" si="729"/>
        <v>88</v>
      </c>
      <c r="CH884" s="836">
        <f t="shared" si="730"/>
        <v>-7</v>
      </c>
      <c r="CI884" s="837" t="str">
        <f t="shared" si="731"/>
        <v>-</v>
      </c>
      <c r="CJ884" s="838" t="str">
        <f t="shared" ca="1" si="732"/>
        <v>-</v>
      </c>
      <c r="CK884" s="831"/>
      <c r="CL884" s="832"/>
      <c r="CM884" s="833" t="str">
        <f t="shared" si="733"/>
        <v>-</v>
      </c>
      <c r="CN884" s="834" t="str">
        <f t="shared" si="734"/>
        <v>-</v>
      </c>
      <c r="CO884" s="830" t="str">
        <f t="shared" ca="1" si="735"/>
        <v>-</v>
      </c>
      <c r="CP884" s="839"/>
      <c r="CQ884" s="832"/>
      <c r="CR884" s="833" t="str">
        <f t="shared" si="736"/>
        <v>-</v>
      </c>
      <c r="CS884" s="833" t="str">
        <f t="shared" si="737"/>
        <v>-</v>
      </c>
      <c r="CT884" s="834" t="str">
        <f t="shared" si="738"/>
        <v>-</v>
      </c>
      <c r="CU884" s="835" t="str">
        <f t="shared" si="739"/>
        <v>-</v>
      </c>
      <c r="CV884" s="839"/>
      <c r="CW884" s="832"/>
      <c r="CX884" s="833" t="str">
        <f t="shared" si="740"/>
        <v>-</v>
      </c>
      <c r="CY884" s="840" t="str">
        <f t="shared" si="741"/>
        <v>-</v>
      </c>
      <c r="CZ884" s="833" t="str">
        <f t="shared" si="742"/>
        <v>-</v>
      </c>
      <c r="DA884" s="838" t="str">
        <f t="shared" ca="1" si="743"/>
        <v>-</v>
      </c>
      <c r="DB884" s="841"/>
      <c r="DC884" s="832"/>
    </row>
    <row r="885" spans="1:107" x14ac:dyDescent="0.25">
      <c r="A885" s="790">
        <v>889</v>
      </c>
      <c r="B885" s="791">
        <f t="shared" ca="1" si="692"/>
        <v>43134</v>
      </c>
      <c r="C885" s="29" t="s">
        <v>3341</v>
      </c>
      <c r="D885" s="793" t="s">
        <v>1635</v>
      </c>
      <c r="E885" s="794" t="s">
        <v>1563</v>
      </c>
      <c r="F885" s="795" t="s">
        <v>3055</v>
      </c>
      <c r="G885" s="845"/>
      <c r="H885" s="797" t="s">
        <v>603</v>
      </c>
      <c r="I885" s="798">
        <v>42956</v>
      </c>
      <c r="J885" s="799">
        <f t="shared" ca="1" si="693"/>
        <v>0.48767123287671232</v>
      </c>
      <c r="K885" s="799">
        <f t="shared" ca="1" si="694"/>
        <v>5.9333333333333336</v>
      </c>
      <c r="L885" s="800">
        <f t="shared" ca="1" si="695"/>
        <v>178</v>
      </c>
      <c r="M885" s="801"/>
      <c r="N885" s="802"/>
      <c r="O885" s="803" t="str">
        <f t="shared" ca="1" si="696"/>
        <v>-</v>
      </c>
      <c r="P885" s="804"/>
      <c r="Q885" s="805"/>
      <c r="R885" s="806"/>
      <c r="S885" s="807"/>
      <c r="T885" s="798"/>
      <c r="U885" s="798" t="str">
        <f t="shared" si="697"/>
        <v>-</v>
      </c>
      <c r="V885" s="804" t="str">
        <f t="shared" ca="1" si="698"/>
        <v>-</v>
      </c>
      <c r="W885" s="808">
        <v>0</v>
      </c>
      <c r="X885" s="794" t="str">
        <f t="shared" si="691"/>
        <v>-</v>
      </c>
      <c r="Y885" s="808">
        <v>0</v>
      </c>
      <c r="Z885" s="809" t="str">
        <f t="shared" ca="1" si="699"/>
        <v>-----</v>
      </c>
      <c r="AA885" s="810">
        <f t="shared" ca="1" si="700"/>
        <v>43134</v>
      </c>
      <c r="AB885" s="804"/>
      <c r="AC885" s="811" t="str">
        <f t="shared" ca="1" si="701"/>
        <v>-----</v>
      </c>
      <c r="AD885" s="798"/>
      <c r="AE885" s="794" t="str">
        <f t="shared" ca="1" si="702"/>
        <v>-</v>
      </c>
      <c r="AF885" s="798" t="str">
        <f t="shared" si="703"/>
        <v>-</v>
      </c>
      <c r="AG885" s="812" t="str">
        <f t="shared" si="704"/>
        <v>---------</v>
      </c>
      <c r="AH885" s="807"/>
      <c r="AI885" s="807" t="str">
        <f t="shared" si="705"/>
        <v>-</v>
      </c>
      <c r="AJ885" s="807" t="str">
        <f t="shared" si="706"/>
        <v>-</v>
      </c>
      <c r="AK885" s="813"/>
      <c r="AL885" s="807" t="str">
        <f t="shared" si="707"/>
        <v>-</v>
      </c>
      <c r="AM885" s="807" t="str">
        <f t="shared" si="708"/>
        <v>-</v>
      </c>
      <c r="AN885" s="814" t="str">
        <f t="shared" ca="1" si="709"/>
        <v>-</v>
      </c>
      <c r="AO885" s="815">
        <v>1</v>
      </c>
      <c r="AP885" s="816" t="str">
        <f t="shared" ca="1" si="710"/>
        <v>-</v>
      </c>
      <c r="AQ885" s="817"/>
      <c r="AR885" s="794" t="str">
        <f t="shared" si="711"/>
        <v>-</v>
      </c>
      <c r="AS885" s="818"/>
      <c r="AT885" s="794" t="str">
        <f t="shared" si="712"/>
        <v>-</v>
      </c>
      <c r="AU885" s="819"/>
      <c r="AV885" s="865"/>
      <c r="AW885" s="821"/>
      <c r="AX885" s="821"/>
      <c r="AY885" s="969" t="str">
        <f t="shared" si="713"/>
        <v>-</v>
      </c>
      <c r="AZ885" s="966" t="str">
        <f t="shared" si="714"/>
        <v>-</v>
      </c>
      <c r="BA885" s="971" t="str">
        <f t="shared" si="715"/>
        <v>-</v>
      </c>
      <c r="BB885" s="975"/>
      <c r="BC885" s="821"/>
      <c r="BD885" s="821"/>
      <c r="BE885" s="963" t="str">
        <f t="shared" si="716"/>
        <v>-</v>
      </c>
      <c r="BF885" s="984"/>
      <c r="BG885" s="988"/>
      <c r="BH885" s="982"/>
      <c r="BI885" s="991"/>
      <c r="BJ885" s="991"/>
      <c r="BK885" s="993" t="str">
        <f t="shared" si="717"/>
        <v>-</v>
      </c>
      <c r="BL885" s="865"/>
      <c r="BM885" s="821"/>
      <c r="BN885" s="822" t="str">
        <f t="shared" si="718"/>
        <v>-</v>
      </c>
      <c r="BO885" s="823" t="str">
        <f t="shared" si="719"/>
        <v>-</v>
      </c>
      <c r="BP885" s="868"/>
      <c r="BQ885" s="821"/>
      <c r="BR885" s="822" t="str">
        <f t="shared" si="720"/>
        <v>-</v>
      </c>
      <c r="BS885" s="823" t="str">
        <f t="shared" si="721"/>
        <v>-</v>
      </c>
      <c r="BT885" s="825" t="str">
        <f t="shared" ca="1" si="722"/>
        <v>-</v>
      </c>
      <c r="BU885" s="860">
        <v>42961</v>
      </c>
      <c r="BV885" s="827">
        <v>2</v>
      </c>
      <c r="BW885" s="828">
        <f t="shared" si="723"/>
        <v>5</v>
      </c>
      <c r="BX885" s="829">
        <f t="shared" ca="1" si="724"/>
        <v>173</v>
      </c>
      <c r="BY885" s="830" t="str">
        <f t="shared" ca="1" si="725"/>
        <v>-</v>
      </c>
      <c r="BZ885" s="831">
        <v>43018</v>
      </c>
      <c r="CA885" s="832">
        <v>5</v>
      </c>
      <c r="CB885" s="833">
        <f t="shared" ca="1" si="726"/>
        <v>116</v>
      </c>
      <c r="CC885" s="834" t="str">
        <f t="shared" ca="1" si="727"/>
        <v>-</v>
      </c>
      <c r="CD885" s="835">
        <f t="shared" si="728"/>
        <v>43039</v>
      </c>
      <c r="CE885" s="831">
        <v>43046</v>
      </c>
      <c r="CF885" s="832">
        <v>5</v>
      </c>
      <c r="CG885" s="833">
        <f t="shared" ca="1" si="729"/>
        <v>88</v>
      </c>
      <c r="CH885" s="836">
        <f t="shared" si="730"/>
        <v>-7</v>
      </c>
      <c r="CI885" s="837" t="str">
        <f t="shared" si="731"/>
        <v>-</v>
      </c>
      <c r="CJ885" s="838" t="str">
        <f t="shared" ca="1" si="732"/>
        <v>-</v>
      </c>
      <c r="CK885" s="831"/>
      <c r="CL885" s="832"/>
      <c r="CM885" s="833" t="str">
        <f t="shared" si="733"/>
        <v>-</v>
      </c>
      <c r="CN885" s="834" t="str">
        <f t="shared" si="734"/>
        <v>-</v>
      </c>
      <c r="CO885" s="830" t="str">
        <f t="shared" ca="1" si="735"/>
        <v>-</v>
      </c>
      <c r="CP885" s="839"/>
      <c r="CQ885" s="832"/>
      <c r="CR885" s="833" t="str">
        <f t="shared" si="736"/>
        <v>-</v>
      </c>
      <c r="CS885" s="833" t="str">
        <f t="shared" si="737"/>
        <v>-</v>
      </c>
      <c r="CT885" s="834" t="str">
        <f t="shared" si="738"/>
        <v>-</v>
      </c>
      <c r="CU885" s="835" t="str">
        <f t="shared" si="739"/>
        <v>-</v>
      </c>
      <c r="CV885" s="839"/>
      <c r="CW885" s="832"/>
      <c r="CX885" s="833" t="str">
        <f t="shared" si="740"/>
        <v>-</v>
      </c>
      <c r="CY885" s="840" t="str">
        <f t="shared" si="741"/>
        <v>-</v>
      </c>
      <c r="CZ885" s="833" t="str">
        <f t="shared" si="742"/>
        <v>-</v>
      </c>
      <c r="DA885" s="838" t="str">
        <f t="shared" ca="1" si="743"/>
        <v>-</v>
      </c>
      <c r="DB885" s="841"/>
      <c r="DC885" s="832"/>
    </row>
    <row r="886" spans="1:107" x14ac:dyDescent="0.25">
      <c r="A886" s="790">
        <v>890</v>
      </c>
      <c r="B886" s="791">
        <f t="shared" ca="1" si="692"/>
        <v>43134</v>
      </c>
      <c r="C886" s="29" t="s">
        <v>3341</v>
      </c>
      <c r="D886" s="793" t="s">
        <v>1635</v>
      </c>
      <c r="E886" s="794" t="s">
        <v>1563</v>
      </c>
      <c r="F886" s="795" t="s">
        <v>3056</v>
      </c>
      <c r="G886" s="845"/>
      <c r="H886" s="797" t="s">
        <v>603</v>
      </c>
      <c r="I886" s="798">
        <v>42956</v>
      </c>
      <c r="J886" s="799">
        <f t="shared" ca="1" si="693"/>
        <v>0.48767123287671232</v>
      </c>
      <c r="K886" s="799">
        <f t="shared" ca="1" si="694"/>
        <v>5.9333333333333336</v>
      </c>
      <c r="L886" s="800">
        <f t="shared" ca="1" si="695"/>
        <v>178</v>
      </c>
      <c r="M886" s="801"/>
      <c r="N886" s="802"/>
      <c r="O886" s="803" t="str">
        <f t="shared" ca="1" si="696"/>
        <v>-</v>
      </c>
      <c r="P886" s="804"/>
      <c r="Q886" s="805"/>
      <c r="R886" s="806"/>
      <c r="S886" s="807"/>
      <c r="T886" s="798"/>
      <c r="U886" s="798" t="str">
        <f t="shared" si="697"/>
        <v>-</v>
      </c>
      <c r="V886" s="804" t="str">
        <f t="shared" ca="1" si="698"/>
        <v>-</v>
      </c>
      <c r="W886" s="808">
        <v>0</v>
      </c>
      <c r="X886" s="794" t="str">
        <f t="shared" ref="X886:X949" si="744">IF(AND(N886&gt;0,T886&gt;0),T886-N886,"-")</f>
        <v>-</v>
      </c>
      <c r="Y886" s="808">
        <v>0</v>
      </c>
      <c r="Z886" s="809" t="str">
        <f t="shared" ca="1" si="699"/>
        <v>-----</v>
      </c>
      <c r="AA886" s="810">
        <f t="shared" ca="1" si="700"/>
        <v>43134</v>
      </c>
      <c r="AB886" s="804"/>
      <c r="AC886" s="811" t="str">
        <f t="shared" ca="1" si="701"/>
        <v>-----</v>
      </c>
      <c r="AD886" s="798"/>
      <c r="AE886" s="794" t="str">
        <f t="shared" ca="1" si="702"/>
        <v>-</v>
      </c>
      <c r="AF886" s="798" t="str">
        <f t="shared" si="703"/>
        <v>-</v>
      </c>
      <c r="AG886" s="812" t="str">
        <f t="shared" si="704"/>
        <v>---------</v>
      </c>
      <c r="AH886" s="807"/>
      <c r="AI886" s="807" t="str">
        <f t="shared" si="705"/>
        <v>-</v>
      </c>
      <c r="AJ886" s="807" t="str">
        <f t="shared" si="706"/>
        <v>-</v>
      </c>
      <c r="AK886" s="813"/>
      <c r="AL886" s="807" t="str">
        <f t="shared" si="707"/>
        <v>-</v>
      </c>
      <c r="AM886" s="807" t="str">
        <f t="shared" si="708"/>
        <v>-</v>
      </c>
      <c r="AN886" s="814" t="str">
        <f t="shared" ca="1" si="709"/>
        <v>-</v>
      </c>
      <c r="AO886" s="815">
        <v>1</v>
      </c>
      <c r="AP886" s="816" t="str">
        <f t="shared" ca="1" si="710"/>
        <v>-</v>
      </c>
      <c r="AQ886" s="817"/>
      <c r="AR886" s="794" t="str">
        <f t="shared" si="711"/>
        <v>-</v>
      </c>
      <c r="AS886" s="818"/>
      <c r="AT886" s="794" t="str">
        <f t="shared" si="712"/>
        <v>-</v>
      </c>
      <c r="AU886" s="819"/>
      <c r="AV886" s="865"/>
      <c r="AW886" s="821"/>
      <c r="AX886" s="821"/>
      <c r="AY886" s="969" t="str">
        <f t="shared" si="713"/>
        <v>-</v>
      </c>
      <c r="AZ886" s="966" t="str">
        <f t="shared" si="714"/>
        <v>-</v>
      </c>
      <c r="BA886" s="971" t="str">
        <f t="shared" si="715"/>
        <v>-</v>
      </c>
      <c r="BB886" s="975"/>
      <c r="BC886" s="821"/>
      <c r="BD886" s="821"/>
      <c r="BE886" s="963" t="str">
        <f t="shared" si="716"/>
        <v>-</v>
      </c>
      <c r="BF886" s="984"/>
      <c r="BG886" s="988"/>
      <c r="BH886" s="982"/>
      <c r="BI886" s="991"/>
      <c r="BJ886" s="991"/>
      <c r="BK886" s="993" t="str">
        <f t="shared" si="717"/>
        <v>-</v>
      </c>
      <c r="BL886" s="865"/>
      <c r="BM886" s="821"/>
      <c r="BN886" s="822" t="str">
        <f t="shared" si="718"/>
        <v>-</v>
      </c>
      <c r="BO886" s="823" t="str">
        <f t="shared" si="719"/>
        <v>-</v>
      </c>
      <c r="BP886" s="868"/>
      <c r="BQ886" s="821"/>
      <c r="BR886" s="822" t="str">
        <f t="shared" si="720"/>
        <v>-</v>
      </c>
      <c r="BS886" s="823" t="str">
        <f t="shared" si="721"/>
        <v>-</v>
      </c>
      <c r="BT886" s="825" t="str">
        <f t="shared" ca="1" si="722"/>
        <v>-</v>
      </c>
      <c r="BU886" s="860">
        <v>42961</v>
      </c>
      <c r="BV886" s="827">
        <v>2</v>
      </c>
      <c r="BW886" s="828">
        <f t="shared" si="723"/>
        <v>5</v>
      </c>
      <c r="BX886" s="829">
        <f t="shared" ca="1" si="724"/>
        <v>173</v>
      </c>
      <c r="BY886" s="830" t="str">
        <f t="shared" ca="1" si="725"/>
        <v>-</v>
      </c>
      <c r="BZ886" s="831">
        <v>43018</v>
      </c>
      <c r="CA886" s="832">
        <v>5</v>
      </c>
      <c r="CB886" s="833">
        <f t="shared" ca="1" si="726"/>
        <v>116</v>
      </c>
      <c r="CC886" s="834" t="str">
        <f t="shared" ca="1" si="727"/>
        <v>-</v>
      </c>
      <c r="CD886" s="835">
        <f t="shared" si="728"/>
        <v>43039</v>
      </c>
      <c r="CE886" s="831">
        <v>43046</v>
      </c>
      <c r="CF886" s="832">
        <v>5</v>
      </c>
      <c r="CG886" s="833">
        <f t="shared" ca="1" si="729"/>
        <v>88</v>
      </c>
      <c r="CH886" s="836">
        <f t="shared" si="730"/>
        <v>-7</v>
      </c>
      <c r="CI886" s="837" t="str">
        <f t="shared" si="731"/>
        <v>-</v>
      </c>
      <c r="CJ886" s="838" t="str">
        <f t="shared" ca="1" si="732"/>
        <v>-</v>
      </c>
      <c r="CK886" s="831"/>
      <c r="CL886" s="832"/>
      <c r="CM886" s="833" t="str">
        <f t="shared" si="733"/>
        <v>-</v>
      </c>
      <c r="CN886" s="834" t="str">
        <f t="shared" si="734"/>
        <v>-</v>
      </c>
      <c r="CO886" s="830" t="str">
        <f t="shared" ca="1" si="735"/>
        <v>-</v>
      </c>
      <c r="CP886" s="839"/>
      <c r="CQ886" s="832"/>
      <c r="CR886" s="833" t="str">
        <f t="shared" si="736"/>
        <v>-</v>
      </c>
      <c r="CS886" s="833" t="str">
        <f t="shared" si="737"/>
        <v>-</v>
      </c>
      <c r="CT886" s="834" t="str">
        <f t="shared" si="738"/>
        <v>-</v>
      </c>
      <c r="CU886" s="835" t="str">
        <f t="shared" si="739"/>
        <v>-</v>
      </c>
      <c r="CV886" s="839"/>
      <c r="CW886" s="832"/>
      <c r="CX886" s="833" t="str">
        <f t="shared" si="740"/>
        <v>-</v>
      </c>
      <c r="CY886" s="840" t="str">
        <f t="shared" si="741"/>
        <v>-</v>
      </c>
      <c r="CZ886" s="833" t="str">
        <f t="shared" si="742"/>
        <v>-</v>
      </c>
      <c r="DA886" s="838" t="str">
        <f t="shared" ca="1" si="743"/>
        <v>-</v>
      </c>
      <c r="DB886" s="841"/>
      <c r="DC886" s="832"/>
    </row>
    <row r="887" spans="1:107" x14ac:dyDescent="0.25">
      <c r="A887" s="790">
        <v>891</v>
      </c>
      <c r="B887" s="791">
        <f t="shared" ca="1" si="692"/>
        <v>43134</v>
      </c>
      <c r="C887" s="29" t="s">
        <v>3341</v>
      </c>
      <c r="D887" s="793" t="s">
        <v>1635</v>
      </c>
      <c r="E887" s="794" t="s">
        <v>1563</v>
      </c>
      <c r="F887" s="795" t="s">
        <v>3057</v>
      </c>
      <c r="G887" s="845"/>
      <c r="H887" s="797" t="s">
        <v>603</v>
      </c>
      <c r="I887" s="798">
        <v>42956</v>
      </c>
      <c r="J887" s="799">
        <f t="shared" ca="1" si="693"/>
        <v>0.48767123287671232</v>
      </c>
      <c r="K887" s="799">
        <f t="shared" ca="1" si="694"/>
        <v>5.9333333333333336</v>
      </c>
      <c r="L887" s="800">
        <f t="shared" ca="1" si="695"/>
        <v>178</v>
      </c>
      <c r="M887" s="801"/>
      <c r="N887" s="802"/>
      <c r="O887" s="803" t="str">
        <f t="shared" ca="1" si="696"/>
        <v>-</v>
      </c>
      <c r="P887" s="804"/>
      <c r="Q887" s="805"/>
      <c r="R887" s="806"/>
      <c r="S887" s="807"/>
      <c r="T887" s="798"/>
      <c r="U887" s="798" t="str">
        <f t="shared" si="697"/>
        <v>-</v>
      </c>
      <c r="V887" s="804" t="str">
        <f t="shared" ca="1" si="698"/>
        <v>-</v>
      </c>
      <c r="W887" s="808">
        <v>0</v>
      </c>
      <c r="X887" s="794" t="str">
        <f t="shared" si="744"/>
        <v>-</v>
      </c>
      <c r="Y887" s="808">
        <v>0</v>
      </c>
      <c r="Z887" s="809" t="str">
        <f t="shared" ca="1" si="699"/>
        <v>-----</v>
      </c>
      <c r="AA887" s="810">
        <f t="shared" ca="1" si="700"/>
        <v>43134</v>
      </c>
      <c r="AB887" s="804"/>
      <c r="AC887" s="811" t="str">
        <f t="shared" ca="1" si="701"/>
        <v>-----</v>
      </c>
      <c r="AD887" s="798"/>
      <c r="AE887" s="794" t="str">
        <f t="shared" ca="1" si="702"/>
        <v>-</v>
      </c>
      <c r="AF887" s="798" t="str">
        <f t="shared" si="703"/>
        <v>-</v>
      </c>
      <c r="AG887" s="812" t="str">
        <f t="shared" si="704"/>
        <v>---------</v>
      </c>
      <c r="AH887" s="807"/>
      <c r="AI887" s="807" t="str">
        <f t="shared" si="705"/>
        <v>-</v>
      </c>
      <c r="AJ887" s="807" t="str">
        <f t="shared" si="706"/>
        <v>-</v>
      </c>
      <c r="AK887" s="813"/>
      <c r="AL887" s="807" t="str">
        <f t="shared" si="707"/>
        <v>-</v>
      </c>
      <c r="AM887" s="807" t="str">
        <f t="shared" si="708"/>
        <v>-</v>
      </c>
      <c r="AN887" s="814" t="str">
        <f t="shared" ca="1" si="709"/>
        <v>-</v>
      </c>
      <c r="AO887" s="815">
        <v>1</v>
      </c>
      <c r="AP887" s="816" t="str">
        <f t="shared" ca="1" si="710"/>
        <v>-</v>
      </c>
      <c r="AQ887" s="817"/>
      <c r="AR887" s="794" t="str">
        <f t="shared" si="711"/>
        <v>-</v>
      </c>
      <c r="AS887" s="818"/>
      <c r="AT887" s="794" t="str">
        <f t="shared" si="712"/>
        <v>-</v>
      </c>
      <c r="AU887" s="819"/>
      <c r="AV887" s="865"/>
      <c r="AW887" s="821"/>
      <c r="AX887" s="821"/>
      <c r="AY887" s="969" t="str">
        <f t="shared" si="713"/>
        <v>-</v>
      </c>
      <c r="AZ887" s="966" t="str">
        <f t="shared" si="714"/>
        <v>-</v>
      </c>
      <c r="BA887" s="971" t="str">
        <f t="shared" si="715"/>
        <v>-</v>
      </c>
      <c r="BB887" s="975"/>
      <c r="BC887" s="821"/>
      <c r="BD887" s="821"/>
      <c r="BE887" s="963" t="str">
        <f t="shared" si="716"/>
        <v>-</v>
      </c>
      <c r="BF887" s="984"/>
      <c r="BG887" s="988"/>
      <c r="BH887" s="982"/>
      <c r="BI887" s="991"/>
      <c r="BJ887" s="991"/>
      <c r="BK887" s="993" t="str">
        <f t="shared" si="717"/>
        <v>-</v>
      </c>
      <c r="BL887" s="865"/>
      <c r="BM887" s="821"/>
      <c r="BN887" s="822" t="str">
        <f t="shared" si="718"/>
        <v>-</v>
      </c>
      <c r="BO887" s="823" t="str">
        <f t="shared" si="719"/>
        <v>-</v>
      </c>
      <c r="BP887" s="868"/>
      <c r="BQ887" s="821"/>
      <c r="BR887" s="822" t="str">
        <f t="shared" si="720"/>
        <v>-</v>
      </c>
      <c r="BS887" s="823" t="str">
        <f t="shared" si="721"/>
        <v>-</v>
      </c>
      <c r="BT887" s="825" t="str">
        <f t="shared" ca="1" si="722"/>
        <v>-</v>
      </c>
      <c r="BU887" s="860">
        <v>42961</v>
      </c>
      <c r="BV887" s="827">
        <v>2</v>
      </c>
      <c r="BW887" s="828">
        <f t="shared" si="723"/>
        <v>5</v>
      </c>
      <c r="BX887" s="829">
        <f t="shared" ca="1" si="724"/>
        <v>173</v>
      </c>
      <c r="BY887" s="830" t="str">
        <f t="shared" ca="1" si="725"/>
        <v>-</v>
      </c>
      <c r="BZ887" s="831">
        <v>43018</v>
      </c>
      <c r="CA887" s="832">
        <v>5</v>
      </c>
      <c r="CB887" s="833">
        <f t="shared" ca="1" si="726"/>
        <v>116</v>
      </c>
      <c r="CC887" s="834" t="str">
        <f t="shared" ca="1" si="727"/>
        <v>-</v>
      </c>
      <c r="CD887" s="835">
        <f t="shared" si="728"/>
        <v>43039</v>
      </c>
      <c r="CE887" s="831">
        <v>43046</v>
      </c>
      <c r="CF887" s="832">
        <v>5</v>
      </c>
      <c r="CG887" s="833">
        <f t="shared" ca="1" si="729"/>
        <v>88</v>
      </c>
      <c r="CH887" s="836">
        <f t="shared" si="730"/>
        <v>-7</v>
      </c>
      <c r="CI887" s="837" t="str">
        <f t="shared" si="731"/>
        <v>-</v>
      </c>
      <c r="CJ887" s="838" t="str">
        <f t="shared" ca="1" si="732"/>
        <v>-</v>
      </c>
      <c r="CK887" s="831"/>
      <c r="CL887" s="832"/>
      <c r="CM887" s="833" t="str">
        <f t="shared" si="733"/>
        <v>-</v>
      </c>
      <c r="CN887" s="834" t="str">
        <f t="shared" si="734"/>
        <v>-</v>
      </c>
      <c r="CO887" s="830" t="str">
        <f t="shared" ca="1" si="735"/>
        <v>-</v>
      </c>
      <c r="CP887" s="839"/>
      <c r="CQ887" s="832"/>
      <c r="CR887" s="833" t="str">
        <f t="shared" si="736"/>
        <v>-</v>
      </c>
      <c r="CS887" s="833" t="str">
        <f t="shared" si="737"/>
        <v>-</v>
      </c>
      <c r="CT887" s="834" t="str">
        <f t="shared" si="738"/>
        <v>-</v>
      </c>
      <c r="CU887" s="835" t="str">
        <f t="shared" si="739"/>
        <v>-</v>
      </c>
      <c r="CV887" s="839"/>
      <c r="CW887" s="832"/>
      <c r="CX887" s="833" t="str">
        <f t="shared" si="740"/>
        <v>-</v>
      </c>
      <c r="CY887" s="840" t="str">
        <f t="shared" si="741"/>
        <v>-</v>
      </c>
      <c r="CZ887" s="833" t="str">
        <f t="shared" si="742"/>
        <v>-</v>
      </c>
      <c r="DA887" s="838" t="str">
        <f t="shared" ca="1" si="743"/>
        <v>-</v>
      </c>
      <c r="DB887" s="841"/>
      <c r="DC887" s="832"/>
    </row>
    <row r="888" spans="1:107" x14ac:dyDescent="0.25">
      <c r="A888" s="790">
        <v>892</v>
      </c>
      <c r="B888" s="791">
        <f t="shared" ca="1" si="692"/>
        <v>43134</v>
      </c>
      <c r="C888" s="29" t="s">
        <v>3341</v>
      </c>
      <c r="D888" s="793" t="s">
        <v>1635</v>
      </c>
      <c r="E888" s="794" t="s">
        <v>1563</v>
      </c>
      <c r="F888" s="795" t="s">
        <v>3058</v>
      </c>
      <c r="G888" s="845"/>
      <c r="H888" s="797" t="s">
        <v>603</v>
      </c>
      <c r="I888" s="798">
        <v>42956</v>
      </c>
      <c r="J888" s="799">
        <f t="shared" ca="1" si="693"/>
        <v>0.48767123287671232</v>
      </c>
      <c r="K888" s="799">
        <f t="shared" ca="1" si="694"/>
        <v>5.9333333333333336</v>
      </c>
      <c r="L888" s="800">
        <f t="shared" ca="1" si="695"/>
        <v>178</v>
      </c>
      <c r="M888" s="801"/>
      <c r="N888" s="802"/>
      <c r="O888" s="803" t="str">
        <f t="shared" ca="1" si="696"/>
        <v>-</v>
      </c>
      <c r="P888" s="804"/>
      <c r="Q888" s="805"/>
      <c r="R888" s="806"/>
      <c r="S888" s="807"/>
      <c r="T888" s="798"/>
      <c r="U888" s="798" t="str">
        <f t="shared" si="697"/>
        <v>-</v>
      </c>
      <c r="V888" s="804" t="str">
        <f t="shared" ca="1" si="698"/>
        <v>-</v>
      </c>
      <c r="W888" s="808">
        <v>0</v>
      </c>
      <c r="X888" s="794" t="str">
        <f t="shared" si="744"/>
        <v>-</v>
      </c>
      <c r="Y888" s="808">
        <v>0</v>
      </c>
      <c r="Z888" s="809" t="str">
        <f t="shared" ca="1" si="699"/>
        <v>-----</v>
      </c>
      <c r="AA888" s="810">
        <f t="shared" ca="1" si="700"/>
        <v>43134</v>
      </c>
      <c r="AB888" s="804"/>
      <c r="AC888" s="811" t="str">
        <f t="shared" ca="1" si="701"/>
        <v>-----</v>
      </c>
      <c r="AD888" s="798"/>
      <c r="AE888" s="794" t="str">
        <f t="shared" ca="1" si="702"/>
        <v>-</v>
      </c>
      <c r="AF888" s="798" t="str">
        <f t="shared" si="703"/>
        <v>-</v>
      </c>
      <c r="AG888" s="812" t="str">
        <f t="shared" si="704"/>
        <v>---------</v>
      </c>
      <c r="AH888" s="807"/>
      <c r="AI888" s="807" t="str">
        <f t="shared" si="705"/>
        <v>-</v>
      </c>
      <c r="AJ888" s="807" t="str">
        <f t="shared" si="706"/>
        <v>-</v>
      </c>
      <c r="AK888" s="813"/>
      <c r="AL888" s="807" t="str">
        <f t="shared" si="707"/>
        <v>-</v>
      </c>
      <c r="AM888" s="807" t="str">
        <f t="shared" si="708"/>
        <v>-</v>
      </c>
      <c r="AN888" s="814" t="str">
        <f t="shared" ca="1" si="709"/>
        <v>-</v>
      </c>
      <c r="AO888" s="815">
        <v>1</v>
      </c>
      <c r="AP888" s="816" t="str">
        <f t="shared" ca="1" si="710"/>
        <v>-</v>
      </c>
      <c r="AQ888" s="817"/>
      <c r="AR888" s="794" t="str">
        <f t="shared" si="711"/>
        <v>-</v>
      </c>
      <c r="AS888" s="818"/>
      <c r="AT888" s="794" t="str">
        <f t="shared" si="712"/>
        <v>-</v>
      </c>
      <c r="AU888" s="819"/>
      <c r="AV888" s="865"/>
      <c r="AW888" s="821"/>
      <c r="AX888" s="821"/>
      <c r="AY888" s="969" t="str">
        <f t="shared" si="713"/>
        <v>-</v>
      </c>
      <c r="AZ888" s="966" t="str">
        <f t="shared" si="714"/>
        <v>-</v>
      </c>
      <c r="BA888" s="971" t="str">
        <f t="shared" si="715"/>
        <v>-</v>
      </c>
      <c r="BB888" s="975"/>
      <c r="BC888" s="821"/>
      <c r="BD888" s="821"/>
      <c r="BE888" s="963" t="str">
        <f t="shared" si="716"/>
        <v>-</v>
      </c>
      <c r="BF888" s="984"/>
      <c r="BG888" s="988"/>
      <c r="BH888" s="982"/>
      <c r="BI888" s="991"/>
      <c r="BJ888" s="991"/>
      <c r="BK888" s="993" t="str">
        <f t="shared" si="717"/>
        <v>-</v>
      </c>
      <c r="BL888" s="865"/>
      <c r="BM888" s="821"/>
      <c r="BN888" s="822" t="str">
        <f t="shared" si="718"/>
        <v>-</v>
      </c>
      <c r="BO888" s="823" t="str">
        <f t="shared" si="719"/>
        <v>-</v>
      </c>
      <c r="BP888" s="868"/>
      <c r="BQ888" s="821"/>
      <c r="BR888" s="822" t="str">
        <f t="shared" si="720"/>
        <v>-</v>
      </c>
      <c r="BS888" s="823" t="str">
        <f t="shared" si="721"/>
        <v>-</v>
      </c>
      <c r="BT888" s="825" t="str">
        <f t="shared" ca="1" si="722"/>
        <v>-</v>
      </c>
      <c r="BU888" s="860">
        <v>42961</v>
      </c>
      <c r="BV888" s="827">
        <v>2</v>
      </c>
      <c r="BW888" s="828">
        <f t="shared" si="723"/>
        <v>5</v>
      </c>
      <c r="BX888" s="829">
        <f t="shared" ca="1" si="724"/>
        <v>173</v>
      </c>
      <c r="BY888" s="830" t="str">
        <f t="shared" ca="1" si="725"/>
        <v>-</v>
      </c>
      <c r="BZ888" s="831">
        <v>43018</v>
      </c>
      <c r="CA888" s="832">
        <v>5</v>
      </c>
      <c r="CB888" s="833">
        <f t="shared" ca="1" si="726"/>
        <v>116</v>
      </c>
      <c r="CC888" s="834" t="str">
        <f t="shared" ca="1" si="727"/>
        <v>-</v>
      </c>
      <c r="CD888" s="835">
        <f t="shared" si="728"/>
        <v>43039</v>
      </c>
      <c r="CE888" s="831">
        <v>43046</v>
      </c>
      <c r="CF888" s="832">
        <v>5</v>
      </c>
      <c r="CG888" s="833">
        <f t="shared" ca="1" si="729"/>
        <v>88</v>
      </c>
      <c r="CH888" s="836">
        <f t="shared" si="730"/>
        <v>-7</v>
      </c>
      <c r="CI888" s="837" t="str">
        <f t="shared" si="731"/>
        <v>-</v>
      </c>
      <c r="CJ888" s="838" t="str">
        <f t="shared" ca="1" si="732"/>
        <v>-</v>
      </c>
      <c r="CK888" s="831"/>
      <c r="CL888" s="832"/>
      <c r="CM888" s="833" t="str">
        <f t="shared" si="733"/>
        <v>-</v>
      </c>
      <c r="CN888" s="834" t="str">
        <f t="shared" si="734"/>
        <v>-</v>
      </c>
      <c r="CO888" s="830" t="str">
        <f t="shared" ca="1" si="735"/>
        <v>-</v>
      </c>
      <c r="CP888" s="839"/>
      <c r="CQ888" s="832"/>
      <c r="CR888" s="833" t="str">
        <f t="shared" si="736"/>
        <v>-</v>
      </c>
      <c r="CS888" s="833" t="str">
        <f t="shared" si="737"/>
        <v>-</v>
      </c>
      <c r="CT888" s="834" t="str">
        <f t="shared" si="738"/>
        <v>-</v>
      </c>
      <c r="CU888" s="835" t="str">
        <f t="shared" si="739"/>
        <v>-</v>
      </c>
      <c r="CV888" s="839"/>
      <c r="CW888" s="832"/>
      <c r="CX888" s="833" t="str">
        <f t="shared" si="740"/>
        <v>-</v>
      </c>
      <c r="CY888" s="840" t="str">
        <f t="shared" si="741"/>
        <v>-</v>
      </c>
      <c r="CZ888" s="833" t="str">
        <f t="shared" si="742"/>
        <v>-</v>
      </c>
      <c r="DA888" s="838" t="str">
        <f t="shared" ca="1" si="743"/>
        <v>-</v>
      </c>
      <c r="DB888" s="841"/>
      <c r="DC888" s="832"/>
    </row>
    <row r="889" spans="1:107" x14ac:dyDescent="0.25">
      <c r="A889" s="790">
        <v>893</v>
      </c>
      <c r="B889" s="791">
        <f t="shared" ca="1" si="692"/>
        <v>43134</v>
      </c>
      <c r="C889" s="29" t="s">
        <v>3341</v>
      </c>
      <c r="D889" s="793" t="s">
        <v>1635</v>
      </c>
      <c r="E889" s="794" t="s">
        <v>1563</v>
      </c>
      <c r="F889" s="795" t="s">
        <v>3063</v>
      </c>
      <c r="G889" s="845"/>
      <c r="H889" s="797" t="s">
        <v>603</v>
      </c>
      <c r="I889" s="798">
        <v>42958</v>
      </c>
      <c r="J889" s="799">
        <f t="shared" ca="1" si="693"/>
        <v>0.48219178082191783</v>
      </c>
      <c r="K889" s="799">
        <f t="shared" ca="1" si="694"/>
        <v>5.8666666666666663</v>
      </c>
      <c r="L889" s="800">
        <f t="shared" ca="1" si="695"/>
        <v>176</v>
      </c>
      <c r="M889" s="801"/>
      <c r="N889" s="802"/>
      <c r="O889" s="803" t="str">
        <f t="shared" ca="1" si="696"/>
        <v>-</v>
      </c>
      <c r="P889" s="804"/>
      <c r="Q889" s="805"/>
      <c r="R889" s="806"/>
      <c r="S889" s="807"/>
      <c r="T889" s="798"/>
      <c r="U889" s="798" t="str">
        <f t="shared" si="697"/>
        <v>-</v>
      </c>
      <c r="V889" s="804" t="str">
        <f t="shared" ca="1" si="698"/>
        <v>-</v>
      </c>
      <c r="W889" s="808">
        <v>0</v>
      </c>
      <c r="X889" s="794" t="str">
        <f t="shared" si="744"/>
        <v>-</v>
      </c>
      <c r="Y889" s="808">
        <v>0</v>
      </c>
      <c r="Z889" s="809" t="str">
        <f t="shared" ca="1" si="699"/>
        <v>-----</v>
      </c>
      <c r="AA889" s="810">
        <f t="shared" ca="1" si="700"/>
        <v>43134</v>
      </c>
      <c r="AB889" s="804"/>
      <c r="AC889" s="811" t="str">
        <f t="shared" ca="1" si="701"/>
        <v>-----</v>
      </c>
      <c r="AD889" s="798"/>
      <c r="AE889" s="794" t="str">
        <f t="shared" ca="1" si="702"/>
        <v>-</v>
      </c>
      <c r="AF889" s="798" t="str">
        <f t="shared" si="703"/>
        <v>-</v>
      </c>
      <c r="AG889" s="812" t="str">
        <f t="shared" si="704"/>
        <v>---------</v>
      </c>
      <c r="AH889" s="807"/>
      <c r="AI889" s="807" t="str">
        <f t="shared" si="705"/>
        <v>-</v>
      </c>
      <c r="AJ889" s="807" t="str">
        <f t="shared" si="706"/>
        <v>-</v>
      </c>
      <c r="AK889" s="813"/>
      <c r="AL889" s="807" t="str">
        <f t="shared" si="707"/>
        <v>-</v>
      </c>
      <c r="AM889" s="807" t="str">
        <f t="shared" si="708"/>
        <v>-</v>
      </c>
      <c r="AN889" s="814" t="str">
        <f t="shared" ca="1" si="709"/>
        <v>-</v>
      </c>
      <c r="AO889" s="815">
        <v>1</v>
      </c>
      <c r="AP889" s="816" t="str">
        <f t="shared" ca="1" si="710"/>
        <v>-</v>
      </c>
      <c r="AQ889" s="817"/>
      <c r="AR889" s="794" t="str">
        <f t="shared" si="711"/>
        <v>-</v>
      </c>
      <c r="AS889" s="818"/>
      <c r="AT889" s="794" t="str">
        <f t="shared" si="712"/>
        <v>-</v>
      </c>
      <c r="AU889" s="819"/>
      <c r="AV889" s="865"/>
      <c r="AW889" s="821"/>
      <c r="AX889" s="821"/>
      <c r="AY889" s="969" t="str">
        <f t="shared" si="713"/>
        <v>-</v>
      </c>
      <c r="AZ889" s="966" t="str">
        <f t="shared" si="714"/>
        <v>-</v>
      </c>
      <c r="BA889" s="971" t="str">
        <f t="shared" si="715"/>
        <v>-</v>
      </c>
      <c r="BB889" s="975"/>
      <c r="BC889" s="821"/>
      <c r="BD889" s="821"/>
      <c r="BE889" s="963" t="str">
        <f t="shared" si="716"/>
        <v>-</v>
      </c>
      <c r="BF889" s="984"/>
      <c r="BG889" s="988"/>
      <c r="BH889" s="982"/>
      <c r="BI889" s="991"/>
      <c r="BJ889" s="991"/>
      <c r="BK889" s="993" t="str">
        <f t="shared" si="717"/>
        <v>-</v>
      </c>
      <c r="BL889" s="865"/>
      <c r="BM889" s="821"/>
      <c r="BN889" s="822" t="str">
        <f t="shared" si="718"/>
        <v>-</v>
      </c>
      <c r="BO889" s="823" t="str">
        <f t="shared" si="719"/>
        <v>-</v>
      </c>
      <c r="BP889" s="868"/>
      <c r="BQ889" s="821"/>
      <c r="BR889" s="822" t="str">
        <f t="shared" si="720"/>
        <v>-</v>
      </c>
      <c r="BS889" s="823" t="str">
        <f t="shared" si="721"/>
        <v>-</v>
      </c>
      <c r="BT889" s="825" t="str">
        <f t="shared" ca="1" si="722"/>
        <v>-</v>
      </c>
      <c r="BU889" s="860">
        <v>42961</v>
      </c>
      <c r="BV889" s="827">
        <v>2</v>
      </c>
      <c r="BW889" s="828">
        <f t="shared" si="723"/>
        <v>3</v>
      </c>
      <c r="BX889" s="829">
        <f t="shared" ca="1" si="724"/>
        <v>173</v>
      </c>
      <c r="BY889" s="830" t="str">
        <f t="shared" ca="1" si="725"/>
        <v>-</v>
      </c>
      <c r="BZ889" s="831">
        <v>43018</v>
      </c>
      <c r="CA889" s="832">
        <v>5</v>
      </c>
      <c r="CB889" s="833">
        <f t="shared" ca="1" si="726"/>
        <v>116</v>
      </c>
      <c r="CC889" s="834" t="str">
        <f t="shared" ca="1" si="727"/>
        <v>-</v>
      </c>
      <c r="CD889" s="835">
        <f t="shared" si="728"/>
        <v>43039</v>
      </c>
      <c r="CE889" s="831">
        <v>43046</v>
      </c>
      <c r="CF889" s="832">
        <v>5</v>
      </c>
      <c r="CG889" s="833">
        <f t="shared" ca="1" si="729"/>
        <v>88</v>
      </c>
      <c r="CH889" s="836">
        <f t="shared" si="730"/>
        <v>-7</v>
      </c>
      <c r="CI889" s="837" t="str">
        <f t="shared" si="731"/>
        <v>-</v>
      </c>
      <c r="CJ889" s="838" t="str">
        <f t="shared" ca="1" si="732"/>
        <v>-</v>
      </c>
      <c r="CK889" s="831"/>
      <c r="CL889" s="832"/>
      <c r="CM889" s="833" t="str">
        <f t="shared" si="733"/>
        <v>-</v>
      </c>
      <c r="CN889" s="834" t="str">
        <f t="shared" si="734"/>
        <v>-</v>
      </c>
      <c r="CO889" s="830" t="str">
        <f t="shared" ca="1" si="735"/>
        <v>-</v>
      </c>
      <c r="CP889" s="839"/>
      <c r="CQ889" s="832"/>
      <c r="CR889" s="833" t="str">
        <f t="shared" si="736"/>
        <v>-</v>
      </c>
      <c r="CS889" s="833" t="str">
        <f t="shared" si="737"/>
        <v>-</v>
      </c>
      <c r="CT889" s="834" t="str">
        <f t="shared" si="738"/>
        <v>-</v>
      </c>
      <c r="CU889" s="835" t="str">
        <f t="shared" si="739"/>
        <v>-</v>
      </c>
      <c r="CV889" s="839"/>
      <c r="CW889" s="832"/>
      <c r="CX889" s="833" t="str">
        <f t="shared" si="740"/>
        <v>-</v>
      </c>
      <c r="CY889" s="840" t="str">
        <f t="shared" si="741"/>
        <v>-</v>
      </c>
      <c r="CZ889" s="833" t="str">
        <f t="shared" si="742"/>
        <v>-</v>
      </c>
      <c r="DA889" s="838" t="str">
        <f t="shared" ca="1" si="743"/>
        <v>-</v>
      </c>
      <c r="DB889" s="841"/>
      <c r="DC889" s="832"/>
    </row>
    <row r="890" spans="1:107" x14ac:dyDescent="0.25">
      <c r="A890" s="790">
        <v>894</v>
      </c>
      <c r="B890" s="791">
        <f t="shared" ca="1" si="692"/>
        <v>43134</v>
      </c>
      <c r="C890" s="29" t="s">
        <v>3341</v>
      </c>
      <c r="D890" s="793" t="s">
        <v>1635</v>
      </c>
      <c r="E890" s="794" t="s">
        <v>1563</v>
      </c>
      <c r="F890" s="795" t="s">
        <v>3072</v>
      </c>
      <c r="G890" s="845"/>
      <c r="H890" s="797" t="s">
        <v>603</v>
      </c>
      <c r="I890" s="798">
        <v>42960</v>
      </c>
      <c r="J890" s="799">
        <f t="shared" ca="1" si="693"/>
        <v>0.47671232876712327</v>
      </c>
      <c r="K890" s="799">
        <f t="shared" ca="1" si="694"/>
        <v>5.8</v>
      </c>
      <c r="L890" s="800">
        <f t="shared" ca="1" si="695"/>
        <v>174</v>
      </c>
      <c r="M890" s="801"/>
      <c r="N890" s="802"/>
      <c r="O890" s="803" t="str">
        <f t="shared" ca="1" si="696"/>
        <v>-</v>
      </c>
      <c r="P890" s="804"/>
      <c r="Q890" s="805"/>
      <c r="R890" s="806"/>
      <c r="S890" s="807"/>
      <c r="T890" s="798"/>
      <c r="U890" s="798" t="str">
        <f t="shared" si="697"/>
        <v>-</v>
      </c>
      <c r="V890" s="804" t="str">
        <f t="shared" ca="1" si="698"/>
        <v>-</v>
      </c>
      <c r="W890" s="808">
        <v>0</v>
      </c>
      <c r="X890" s="794" t="str">
        <f t="shared" si="744"/>
        <v>-</v>
      </c>
      <c r="Y890" s="808">
        <v>0</v>
      </c>
      <c r="Z890" s="809" t="str">
        <f t="shared" ca="1" si="699"/>
        <v>-----</v>
      </c>
      <c r="AA890" s="810">
        <f t="shared" ca="1" si="700"/>
        <v>43134</v>
      </c>
      <c r="AB890" s="804"/>
      <c r="AC890" s="811" t="str">
        <f t="shared" ca="1" si="701"/>
        <v>-----</v>
      </c>
      <c r="AD890" s="798"/>
      <c r="AE890" s="794" t="str">
        <f t="shared" ca="1" si="702"/>
        <v>-</v>
      </c>
      <c r="AF890" s="798" t="str">
        <f t="shared" si="703"/>
        <v>-</v>
      </c>
      <c r="AG890" s="812" t="str">
        <f t="shared" si="704"/>
        <v>---------</v>
      </c>
      <c r="AH890" s="807"/>
      <c r="AI890" s="807" t="str">
        <f t="shared" si="705"/>
        <v>-</v>
      </c>
      <c r="AJ890" s="807" t="str">
        <f t="shared" si="706"/>
        <v>-</v>
      </c>
      <c r="AK890" s="813"/>
      <c r="AL890" s="807" t="str">
        <f t="shared" si="707"/>
        <v>-</v>
      </c>
      <c r="AM890" s="807" t="str">
        <f t="shared" si="708"/>
        <v>-</v>
      </c>
      <c r="AN890" s="814" t="str">
        <f t="shared" ca="1" si="709"/>
        <v>-</v>
      </c>
      <c r="AO890" s="815">
        <v>1</v>
      </c>
      <c r="AP890" s="816" t="str">
        <f t="shared" ca="1" si="710"/>
        <v>-</v>
      </c>
      <c r="AQ890" s="817"/>
      <c r="AR890" s="794" t="str">
        <f t="shared" si="711"/>
        <v>-</v>
      </c>
      <c r="AS890" s="818"/>
      <c r="AT890" s="794" t="str">
        <f t="shared" si="712"/>
        <v>-</v>
      </c>
      <c r="AU890" s="819"/>
      <c r="AV890" s="865"/>
      <c r="AW890" s="821"/>
      <c r="AX890" s="821"/>
      <c r="AY890" s="969" t="str">
        <f t="shared" si="713"/>
        <v>-</v>
      </c>
      <c r="AZ890" s="966" t="str">
        <f t="shared" si="714"/>
        <v>-</v>
      </c>
      <c r="BA890" s="971" t="str">
        <f t="shared" si="715"/>
        <v>-</v>
      </c>
      <c r="BB890" s="975"/>
      <c r="BC890" s="821"/>
      <c r="BD890" s="821"/>
      <c r="BE890" s="963" t="str">
        <f t="shared" si="716"/>
        <v>-</v>
      </c>
      <c r="BF890" s="984"/>
      <c r="BG890" s="988"/>
      <c r="BH890" s="982"/>
      <c r="BI890" s="991"/>
      <c r="BJ890" s="991"/>
      <c r="BK890" s="993" t="str">
        <f t="shared" si="717"/>
        <v>-</v>
      </c>
      <c r="BL890" s="865"/>
      <c r="BM890" s="821"/>
      <c r="BN890" s="822" t="str">
        <f t="shared" si="718"/>
        <v>-</v>
      </c>
      <c r="BO890" s="823" t="str">
        <f t="shared" si="719"/>
        <v>-</v>
      </c>
      <c r="BP890" s="868"/>
      <c r="BQ890" s="821"/>
      <c r="BR890" s="822" t="str">
        <f t="shared" si="720"/>
        <v>-</v>
      </c>
      <c r="BS890" s="823" t="str">
        <f t="shared" si="721"/>
        <v>-</v>
      </c>
      <c r="BT890" s="825" t="str">
        <f t="shared" ca="1" si="722"/>
        <v>-</v>
      </c>
      <c r="BU890" s="860">
        <v>42976</v>
      </c>
      <c r="BV890" s="827">
        <v>2</v>
      </c>
      <c r="BW890" s="828">
        <f t="shared" si="723"/>
        <v>16</v>
      </c>
      <c r="BX890" s="829">
        <f t="shared" ca="1" si="724"/>
        <v>158</v>
      </c>
      <c r="BY890" s="830" t="str">
        <f t="shared" ca="1" si="725"/>
        <v>-</v>
      </c>
      <c r="BZ890" s="831">
        <v>43018</v>
      </c>
      <c r="CA890" s="832">
        <v>5</v>
      </c>
      <c r="CB890" s="833">
        <f t="shared" ca="1" si="726"/>
        <v>116</v>
      </c>
      <c r="CC890" s="834" t="str">
        <f t="shared" ca="1" si="727"/>
        <v>-</v>
      </c>
      <c r="CD890" s="835">
        <f t="shared" si="728"/>
        <v>43039</v>
      </c>
      <c r="CE890" s="831">
        <v>43046</v>
      </c>
      <c r="CF890" s="832">
        <v>5</v>
      </c>
      <c r="CG890" s="833">
        <f t="shared" ca="1" si="729"/>
        <v>88</v>
      </c>
      <c r="CH890" s="836">
        <f t="shared" si="730"/>
        <v>-7</v>
      </c>
      <c r="CI890" s="837" t="str">
        <f t="shared" si="731"/>
        <v>-</v>
      </c>
      <c r="CJ890" s="838" t="str">
        <f t="shared" ca="1" si="732"/>
        <v>-</v>
      </c>
      <c r="CK890" s="831"/>
      <c r="CL890" s="832"/>
      <c r="CM890" s="833" t="str">
        <f t="shared" si="733"/>
        <v>-</v>
      </c>
      <c r="CN890" s="834" t="str">
        <f t="shared" si="734"/>
        <v>-</v>
      </c>
      <c r="CO890" s="830" t="str">
        <f t="shared" ca="1" si="735"/>
        <v>-</v>
      </c>
      <c r="CP890" s="839"/>
      <c r="CQ890" s="832"/>
      <c r="CR890" s="833" t="str">
        <f t="shared" si="736"/>
        <v>-</v>
      </c>
      <c r="CS890" s="833" t="str">
        <f t="shared" si="737"/>
        <v>-</v>
      </c>
      <c r="CT890" s="834" t="str">
        <f t="shared" si="738"/>
        <v>-</v>
      </c>
      <c r="CU890" s="835" t="str">
        <f t="shared" si="739"/>
        <v>-</v>
      </c>
      <c r="CV890" s="839"/>
      <c r="CW890" s="832"/>
      <c r="CX890" s="833" t="str">
        <f t="shared" si="740"/>
        <v>-</v>
      </c>
      <c r="CY890" s="840" t="str">
        <f t="shared" si="741"/>
        <v>-</v>
      </c>
      <c r="CZ890" s="833" t="str">
        <f t="shared" si="742"/>
        <v>-</v>
      </c>
      <c r="DA890" s="838" t="str">
        <f t="shared" ca="1" si="743"/>
        <v>-</v>
      </c>
      <c r="DB890" s="841"/>
      <c r="DC890" s="832"/>
    </row>
    <row r="891" spans="1:107" x14ac:dyDescent="0.25">
      <c r="A891" s="790">
        <v>895</v>
      </c>
      <c r="B891" s="791">
        <f t="shared" ca="1" si="692"/>
        <v>43134</v>
      </c>
      <c r="C891" s="29" t="s">
        <v>3341</v>
      </c>
      <c r="D891" s="793" t="s">
        <v>1635</v>
      </c>
      <c r="E891" s="794" t="s">
        <v>1563</v>
      </c>
      <c r="F891" s="795" t="s">
        <v>3073</v>
      </c>
      <c r="G891" s="845"/>
      <c r="H891" s="797" t="s">
        <v>603</v>
      </c>
      <c r="I891" s="798">
        <v>42960</v>
      </c>
      <c r="J891" s="799">
        <f t="shared" ca="1" si="693"/>
        <v>0.47671232876712327</v>
      </c>
      <c r="K891" s="799">
        <f t="shared" ca="1" si="694"/>
        <v>5.8</v>
      </c>
      <c r="L891" s="800">
        <f t="shared" ca="1" si="695"/>
        <v>174</v>
      </c>
      <c r="M891" s="801"/>
      <c r="N891" s="802"/>
      <c r="O891" s="803" t="str">
        <f t="shared" ca="1" si="696"/>
        <v>-</v>
      </c>
      <c r="P891" s="804"/>
      <c r="Q891" s="805"/>
      <c r="R891" s="806"/>
      <c r="S891" s="807"/>
      <c r="T891" s="798"/>
      <c r="U891" s="798" t="str">
        <f t="shared" si="697"/>
        <v>-</v>
      </c>
      <c r="V891" s="804" t="str">
        <f t="shared" ca="1" si="698"/>
        <v>-</v>
      </c>
      <c r="W891" s="808">
        <v>0</v>
      </c>
      <c r="X891" s="794" t="str">
        <f t="shared" si="744"/>
        <v>-</v>
      </c>
      <c r="Y891" s="808">
        <v>0</v>
      </c>
      <c r="Z891" s="809" t="str">
        <f t="shared" ca="1" si="699"/>
        <v>-----</v>
      </c>
      <c r="AA891" s="810">
        <f t="shared" ca="1" si="700"/>
        <v>43134</v>
      </c>
      <c r="AB891" s="804"/>
      <c r="AC891" s="811" t="str">
        <f t="shared" ca="1" si="701"/>
        <v>-----</v>
      </c>
      <c r="AD891" s="798"/>
      <c r="AE891" s="794" t="str">
        <f t="shared" ca="1" si="702"/>
        <v>-</v>
      </c>
      <c r="AF891" s="798" t="str">
        <f t="shared" si="703"/>
        <v>-</v>
      </c>
      <c r="AG891" s="812" t="str">
        <f t="shared" si="704"/>
        <v>---------</v>
      </c>
      <c r="AH891" s="807"/>
      <c r="AI891" s="807" t="str">
        <f t="shared" si="705"/>
        <v>-</v>
      </c>
      <c r="AJ891" s="807" t="str">
        <f t="shared" si="706"/>
        <v>-</v>
      </c>
      <c r="AK891" s="813"/>
      <c r="AL891" s="807" t="str">
        <f t="shared" si="707"/>
        <v>-</v>
      </c>
      <c r="AM891" s="807" t="str">
        <f t="shared" si="708"/>
        <v>-</v>
      </c>
      <c r="AN891" s="814" t="str">
        <f t="shared" ca="1" si="709"/>
        <v>-</v>
      </c>
      <c r="AO891" s="815">
        <v>1</v>
      </c>
      <c r="AP891" s="816" t="str">
        <f t="shared" ca="1" si="710"/>
        <v>-</v>
      </c>
      <c r="AQ891" s="817"/>
      <c r="AR891" s="794" t="str">
        <f t="shared" si="711"/>
        <v>-</v>
      </c>
      <c r="AS891" s="818"/>
      <c r="AT891" s="794" t="str">
        <f t="shared" si="712"/>
        <v>-</v>
      </c>
      <c r="AU891" s="819"/>
      <c r="AV891" s="865"/>
      <c r="AW891" s="821"/>
      <c r="AX891" s="821"/>
      <c r="AY891" s="969" t="str">
        <f t="shared" si="713"/>
        <v>-</v>
      </c>
      <c r="AZ891" s="966" t="str">
        <f t="shared" si="714"/>
        <v>-</v>
      </c>
      <c r="BA891" s="971" t="str">
        <f t="shared" si="715"/>
        <v>-</v>
      </c>
      <c r="BB891" s="975"/>
      <c r="BC891" s="821"/>
      <c r="BD891" s="821"/>
      <c r="BE891" s="963" t="str">
        <f t="shared" si="716"/>
        <v>-</v>
      </c>
      <c r="BF891" s="984"/>
      <c r="BG891" s="988"/>
      <c r="BH891" s="982"/>
      <c r="BI891" s="991"/>
      <c r="BJ891" s="991"/>
      <c r="BK891" s="993" t="str">
        <f t="shared" si="717"/>
        <v>-</v>
      </c>
      <c r="BL891" s="865"/>
      <c r="BM891" s="821"/>
      <c r="BN891" s="822" t="str">
        <f t="shared" si="718"/>
        <v>-</v>
      </c>
      <c r="BO891" s="823" t="str">
        <f t="shared" si="719"/>
        <v>-</v>
      </c>
      <c r="BP891" s="868"/>
      <c r="BQ891" s="821"/>
      <c r="BR891" s="822" t="str">
        <f t="shared" si="720"/>
        <v>-</v>
      </c>
      <c r="BS891" s="823" t="str">
        <f t="shared" si="721"/>
        <v>-</v>
      </c>
      <c r="BT891" s="825" t="str">
        <f t="shared" ca="1" si="722"/>
        <v>-</v>
      </c>
      <c r="BU891" s="860">
        <v>42976</v>
      </c>
      <c r="BV891" s="827">
        <v>2</v>
      </c>
      <c r="BW891" s="828">
        <f t="shared" si="723"/>
        <v>16</v>
      </c>
      <c r="BX891" s="829">
        <f t="shared" ca="1" si="724"/>
        <v>158</v>
      </c>
      <c r="BY891" s="830" t="str">
        <f t="shared" ca="1" si="725"/>
        <v>-</v>
      </c>
      <c r="BZ891" s="831">
        <v>43018</v>
      </c>
      <c r="CA891" s="832">
        <v>5</v>
      </c>
      <c r="CB891" s="833">
        <f t="shared" ca="1" si="726"/>
        <v>116</v>
      </c>
      <c r="CC891" s="834" t="str">
        <f t="shared" ca="1" si="727"/>
        <v>-</v>
      </c>
      <c r="CD891" s="835">
        <f t="shared" si="728"/>
        <v>43039</v>
      </c>
      <c r="CE891" s="831">
        <v>43046</v>
      </c>
      <c r="CF891" s="832">
        <v>5</v>
      </c>
      <c r="CG891" s="833">
        <f t="shared" ca="1" si="729"/>
        <v>88</v>
      </c>
      <c r="CH891" s="836">
        <f t="shared" si="730"/>
        <v>-7</v>
      </c>
      <c r="CI891" s="837" t="str">
        <f t="shared" si="731"/>
        <v>-</v>
      </c>
      <c r="CJ891" s="838" t="str">
        <f t="shared" ca="1" si="732"/>
        <v>-</v>
      </c>
      <c r="CK891" s="831"/>
      <c r="CL891" s="832"/>
      <c r="CM891" s="833" t="str">
        <f t="shared" si="733"/>
        <v>-</v>
      </c>
      <c r="CN891" s="834" t="str">
        <f t="shared" si="734"/>
        <v>-</v>
      </c>
      <c r="CO891" s="830" t="str">
        <f t="shared" ca="1" si="735"/>
        <v>-</v>
      </c>
      <c r="CP891" s="839"/>
      <c r="CQ891" s="832"/>
      <c r="CR891" s="833" t="str">
        <f t="shared" si="736"/>
        <v>-</v>
      </c>
      <c r="CS891" s="833" t="str">
        <f t="shared" si="737"/>
        <v>-</v>
      </c>
      <c r="CT891" s="834" t="str">
        <f t="shared" si="738"/>
        <v>-</v>
      </c>
      <c r="CU891" s="835" t="str">
        <f t="shared" si="739"/>
        <v>-</v>
      </c>
      <c r="CV891" s="839"/>
      <c r="CW891" s="832"/>
      <c r="CX891" s="833" t="str">
        <f t="shared" si="740"/>
        <v>-</v>
      </c>
      <c r="CY891" s="840" t="str">
        <f t="shared" si="741"/>
        <v>-</v>
      </c>
      <c r="CZ891" s="833" t="str">
        <f t="shared" si="742"/>
        <v>-</v>
      </c>
      <c r="DA891" s="838" t="str">
        <f t="shared" ca="1" si="743"/>
        <v>-</v>
      </c>
      <c r="DB891" s="841"/>
      <c r="DC891" s="832"/>
    </row>
    <row r="892" spans="1:107" x14ac:dyDescent="0.25">
      <c r="A892" s="790">
        <v>896</v>
      </c>
      <c r="B892" s="791">
        <f t="shared" ca="1" si="692"/>
        <v>43134</v>
      </c>
      <c r="C892" s="29" t="s">
        <v>3341</v>
      </c>
      <c r="D892" s="793" t="s">
        <v>1635</v>
      </c>
      <c r="E892" s="794" t="s">
        <v>1563</v>
      </c>
      <c r="F892" s="795" t="s">
        <v>3074</v>
      </c>
      <c r="G892" s="845"/>
      <c r="H892" s="797" t="s">
        <v>603</v>
      </c>
      <c r="I892" s="798">
        <v>42962</v>
      </c>
      <c r="J892" s="799">
        <f t="shared" ca="1" si="693"/>
        <v>0.47123287671232877</v>
      </c>
      <c r="K892" s="799">
        <f t="shared" ca="1" si="694"/>
        <v>5.7333333333333334</v>
      </c>
      <c r="L892" s="800">
        <f t="shared" ca="1" si="695"/>
        <v>172</v>
      </c>
      <c r="M892" s="801"/>
      <c r="N892" s="802"/>
      <c r="O892" s="803" t="str">
        <f t="shared" ca="1" si="696"/>
        <v>-</v>
      </c>
      <c r="P892" s="804"/>
      <c r="Q892" s="805"/>
      <c r="R892" s="806"/>
      <c r="S892" s="807"/>
      <c r="T892" s="798"/>
      <c r="U892" s="798" t="str">
        <f t="shared" si="697"/>
        <v>-</v>
      </c>
      <c r="V892" s="804" t="str">
        <f t="shared" ca="1" si="698"/>
        <v>-</v>
      </c>
      <c r="W892" s="808">
        <v>0</v>
      </c>
      <c r="X892" s="794" t="str">
        <f t="shared" si="744"/>
        <v>-</v>
      </c>
      <c r="Y892" s="808">
        <v>0</v>
      </c>
      <c r="Z892" s="809" t="str">
        <f t="shared" ca="1" si="699"/>
        <v>-----</v>
      </c>
      <c r="AA892" s="810">
        <f t="shared" ca="1" si="700"/>
        <v>43134</v>
      </c>
      <c r="AB892" s="804"/>
      <c r="AC892" s="811" t="str">
        <f t="shared" ca="1" si="701"/>
        <v>-----</v>
      </c>
      <c r="AD892" s="798"/>
      <c r="AE892" s="794" t="str">
        <f t="shared" ca="1" si="702"/>
        <v>-</v>
      </c>
      <c r="AF892" s="798" t="str">
        <f t="shared" si="703"/>
        <v>-</v>
      </c>
      <c r="AG892" s="812" t="str">
        <f t="shared" si="704"/>
        <v>---------</v>
      </c>
      <c r="AH892" s="807"/>
      <c r="AI892" s="807" t="str">
        <f t="shared" si="705"/>
        <v>-</v>
      </c>
      <c r="AJ892" s="807" t="str">
        <f t="shared" si="706"/>
        <v>-</v>
      </c>
      <c r="AK892" s="813"/>
      <c r="AL892" s="807" t="str">
        <f t="shared" si="707"/>
        <v>-</v>
      </c>
      <c r="AM892" s="807" t="str">
        <f t="shared" si="708"/>
        <v>-</v>
      </c>
      <c r="AN892" s="814" t="str">
        <f t="shared" ca="1" si="709"/>
        <v>-</v>
      </c>
      <c r="AO892" s="815">
        <v>1</v>
      </c>
      <c r="AP892" s="816" t="str">
        <f t="shared" ca="1" si="710"/>
        <v>-</v>
      </c>
      <c r="AQ892" s="817"/>
      <c r="AR892" s="794" t="str">
        <f t="shared" si="711"/>
        <v>-</v>
      </c>
      <c r="AS892" s="818"/>
      <c r="AT892" s="794" t="str">
        <f t="shared" si="712"/>
        <v>-</v>
      </c>
      <c r="AU892" s="819"/>
      <c r="AV892" s="865"/>
      <c r="AW892" s="821"/>
      <c r="AX892" s="821"/>
      <c r="AY892" s="969" t="str">
        <f t="shared" si="713"/>
        <v>-</v>
      </c>
      <c r="AZ892" s="966" t="str">
        <f t="shared" si="714"/>
        <v>-</v>
      </c>
      <c r="BA892" s="971" t="str">
        <f t="shared" si="715"/>
        <v>-</v>
      </c>
      <c r="BB892" s="975"/>
      <c r="BC892" s="821"/>
      <c r="BD892" s="821"/>
      <c r="BE892" s="963" t="str">
        <f t="shared" si="716"/>
        <v>-</v>
      </c>
      <c r="BF892" s="984"/>
      <c r="BG892" s="988"/>
      <c r="BH892" s="982"/>
      <c r="BI892" s="991"/>
      <c r="BJ892" s="991"/>
      <c r="BK892" s="993" t="str">
        <f t="shared" si="717"/>
        <v>-</v>
      </c>
      <c r="BL892" s="865"/>
      <c r="BM892" s="821"/>
      <c r="BN892" s="822" t="str">
        <f t="shared" si="718"/>
        <v>-</v>
      </c>
      <c r="BO892" s="823" t="str">
        <f t="shared" si="719"/>
        <v>-</v>
      </c>
      <c r="BP892" s="868"/>
      <c r="BQ892" s="821"/>
      <c r="BR892" s="822" t="str">
        <f t="shared" si="720"/>
        <v>-</v>
      </c>
      <c r="BS892" s="823" t="str">
        <f t="shared" si="721"/>
        <v>-</v>
      </c>
      <c r="BT892" s="825" t="str">
        <f t="shared" ca="1" si="722"/>
        <v>-</v>
      </c>
      <c r="BU892" s="860">
        <v>42976</v>
      </c>
      <c r="BV892" s="827">
        <v>2</v>
      </c>
      <c r="BW892" s="828">
        <f t="shared" si="723"/>
        <v>14</v>
      </c>
      <c r="BX892" s="829">
        <f t="shared" ca="1" si="724"/>
        <v>158</v>
      </c>
      <c r="BY892" s="830" t="str">
        <f t="shared" ca="1" si="725"/>
        <v>-</v>
      </c>
      <c r="BZ892" s="831">
        <v>43018</v>
      </c>
      <c r="CA892" s="832">
        <v>5</v>
      </c>
      <c r="CB892" s="833">
        <f t="shared" ca="1" si="726"/>
        <v>116</v>
      </c>
      <c r="CC892" s="834" t="str">
        <f t="shared" ca="1" si="727"/>
        <v>-</v>
      </c>
      <c r="CD892" s="835">
        <f t="shared" si="728"/>
        <v>43039</v>
      </c>
      <c r="CE892" s="831">
        <v>43046</v>
      </c>
      <c r="CF892" s="832">
        <v>5</v>
      </c>
      <c r="CG892" s="833">
        <f t="shared" ca="1" si="729"/>
        <v>88</v>
      </c>
      <c r="CH892" s="836">
        <f t="shared" si="730"/>
        <v>-7</v>
      </c>
      <c r="CI892" s="837" t="str">
        <f t="shared" si="731"/>
        <v>-</v>
      </c>
      <c r="CJ892" s="838" t="str">
        <f t="shared" ca="1" si="732"/>
        <v>-</v>
      </c>
      <c r="CK892" s="831"/>
      <c r="CL892" s="832"/>
      <c r="CM892" s="833" t="str">
        <f t="shared" si="733"/>
        <v>-</v>
      </c>
      <c r="CN892" s="834" t="str">
        <f t="shared" si="734"/>
        <v>-</v>
      </c>
      <c r="CO892" s="830" t="str">
        <f t="shared" ca="1" si="735"/>
        <v>-</v>
      </c>
      <c r="CP892" s="839"/>
      <c r="CQ892" s="832"/>
      <c r="CR892" s="833" t="str">
        <f t="shared" si="736"/>
        <v>-</v>
      </c>
      <c r="CS892" s="833" t="str">
        <f t="shared" si="737"/>
        <v>-</v>
      </c>
      <c r="CT892" s="834" t="str">
        <f t="shared" si="738"/>
        <v>-</v>
      </c>
      <c r="CU892" s="835" t="str">
        <f t="shared" si="739"/>
        <v>-</v>
      </c>
      <c r="CV892" s="839"/>
      <c r="CW892" s="832"/>
      <c r="CX892" s="833" t="str">
        <f t="shared" si="740"/>
        <v>-</v>
      </c>
      <c r="CY892" s="840" t="str">
        <f t="shared" si="741"/>
        <v>-</v>
      </c>
      <c r="CZ892" s="833" t="str">
        <f t="shared" si="742"/>
        <v>-</v>
      </c>
      <c r="DA892" s="838" t="str">
        <f t="shared" ca="1" si="743"/>
        <v>-</v>
      </c>
      <c r="DB892" s="841"/>
      <c r="DC892" s="832"/>
    </row>
    <row r="893" spans="1:107" x14ac:dyDescent="0.25">
      <c r="A893" s="790">
        <v>897</v>
      </c>
      <c r="B893" s="791">
        <f t="shared" ca="1" si="692"/>
        <v>43134</v>
      </c>
      <c r="C893" s="29" t="s">
        <v>3341</v>
      </c>
      <c r="D893" s="793" t="s">
        <v>1635</v>
      </c>
      <c r="E893" s="794" t="s">
        <v>1563</v>
      </c>
      <c r="F893" s="795" t="s">
        <v>3077</v>
      </c>
      <c r="G893" s="845"/>
      <c r="H893" s="797" t="s">
        <v>603</v>
      </c>
      <c r="I893" s="798">
        <v>42964</v>
      </c>
      <c r="J893" s="799">
        <f t="shared" ca="1" si="693"/>
        <v>0.46575342465753422</v>
      </c>
      <c r="K893" s="799">
        <f t="shared" ca="1" si="694"/>
        <v>5.666666666666667</v>
      </c>
      <c r="L893" s="800">
        <f t="shared" ca="1" si="695"/>
        <v>170</v>
      </c>
      <c r="M893" s="801"/>
      <c r="N893" s="802"/>
      <c r="O893" s="803" t="str">
        <f t="shared" ca="1" si="696"/>
        <v>-</v>
      </c>
      <c r="P893" s="804"/>
      <c r="Q893" s="805"/>
      <c r="R893" s="806"/>
      <c r="S893" s="807"/>
      <c r="T893" s="798"/>
      <c r="U893" s="798" t="str">
        <f t="shared" si="697"/>
        <v>-</v>
      </c>
      <c r="V893" s="804" t="str">
        <f t="shared" ca="1" si="698"/>
        <v>-</v>
      </c>
      <c r="W893" s="808">
        <v>0</v>
      </c>
      <c r="X893" s="794" t="str">
        <f t="shared" si="744"/>
        <v>-</v>
      </c>
      <c r="Y893" s="794">
        <v>0</v>
      </c>
      <c r="Z893" s="809" t="str">
        <f t="shared" ca="1" si="699"/>
        <v>-----</v>
      </c>
      <c r="AA893" s="810">
        <f t="shared" ca="1" si="700"/>
        <v>43134</v>
      </c>
      <c r="AB893" s="804"/>
      <c r="AC893" s="811" t="str">
        <f t="shared" ca="1" si="701"/>
        <v>-----</v>
      </c>
      <c r="AD893" s="798"/>
      <c r="AE893" s="794" t="str">
        <f t="shared" ca="1" si="702"/>
        <v>-</v>
      </c>
      <c r="AF893" s="798" t="str">
        <f t="shared" si="703"/>
        <v>-</v>
      </c>
      <c r="AG893" s="812" t="str">
        <f t="shared" si="704"/>
        <v>---------</v>
      </c>
      <c r="AH893" s="807"/>
      <c r="AI893" s="807" t="str">
        <f t="shared" si="705"/>
        <v>-</v>
      </c>
      <c r="AJ893" s="807" t="str">
        <f t="shared" si="706"/>
        <v>-</v>
      </c>
      <c r="AK893" s="813"/>
      <c r="AL893" s="807" t="str">
        <f t="shared" si="707"/>
        <v>-</v>
      </c>
      <c r="AM893" s="807" t="str">
        <f t="shared" si="708"/>
        <v>-</v>
      </c>
      <c r="AN893" s="814" t="str">
        <f t="shared" ca="1" si="709"/>
        <v>-</v>
      </c>
      <c r="AO893" s="815">
        <v>1</v>
      </c>
      <c r="AP893" s="816" t="str">
        <f t="shared" ca="1" si="710"/>
        <v>-</v>
      </c>
      <c r="AQ893" s="817"/>
      <c r="AR893" s="794" t="str">
        <f t="shared" si="711"/>
        <v>-</v>
      </c>
      <c r="AS893" s="818"/>
      <c r="AT893" s="794" t="str">
        <f t="shared" si="712"/>
        <v>-</v>
      </c>
      <c r="AU893" s="819"/>
      <c r="AV893" s="865"/>
      <c r="AW893" s="821"/>
      <c r="AX893" s="821"/>
      <c r="AY893" s="969" t="str">
        <f t="shared" si="713"/>
        <v>-</v>
      </c>
      <c r="AZ893" s="966" t="str">
        <f t="shared" si="714"/>
        <v>-</v>
      </c>
      <c r="BA893" s="971" t="str">
        <f t="shared" si="715"/>
        <v>-</v>
      </c>
      <c r="BB893" s="975"/>
      <c r="BC893" s="821"/>
      <c r="BD893" s="821"/>
      <c r="BE893" s="963" t="str">
        <f t="shared" si="716"/>
        <v>-</v>
      </c>
      <c r="BF893" s="984"/>
      <c r="BG893" s="988"/>
      <c r="BH893" s="982"/>
      <c r="BI893" s="991"/>
      <c r="BJ893" s="991"/>
      <c r="BK893" s="993" t="str">
        <f t="shared" si="717"/>
        <v>-</v>
      </c>
      <c r="BL893" s="865"/>
      <c r="BM893" s="821"/>
      <c r="BN893" s="822" t="str">
        <f t="shared" si="718"/>
        <v>-</v>
      </c>
      <c r="BO893" s="823" t="str">
        <f t="shared" si="719"/>
        <v>-</v>
      </c>
      <c r="BP893" s="868"/>
      <c r="BQ893" s="821"/>
      <c r="BR893" s="822" t="str">
        <f t="shared" si="720"/>
        <v>-</v>
      </c>
      <c r="BS893" s="823" t="str">
        <f t="shared" si="721"/>
        <v>-</v>
      </c>
      <c r="BT893" s="825" t="str">
        <f t="shared" ca="1" si="722"/>
        <v>-</v>
      </c>
      <c r="BU893" s="860">
        <v>42976</v>
      </c>
      <c r="BV893" s="827">
        <v>2</v>
      </c>
      <c r="BW893" s="828">
        <f t="shared" si="723"/>
        <v>12</v>
      </c>
      <c r="BX893" s="829">
        <f t="shared" ca="1" si="724"/>
        <v>158</v>
      </c>
      <c r="BY893" s="830" t="str">
        <f t="shared" ca="1" si="725"/>
        <v>-</v>
      </c>
      <c r="BZ893" s="831">
        <v>43018</v>
      </c>
      <c r="CA893" s="832">
        <v>5</v>
      </c>
      <c r="CB893" s="833">
        <f t="shared" ca="1" si="726"/>
        <v>116</v>
      </c>
      <c r="CC893" s="834" t="str">
        <f t="shared" ca="1" si="727"/>
        <v>-</v>
      </c>
      <c r="CD893" s="835">
        <f t="shared" si="728"/>
        <v>43039</v>
      </c>
      <c r="CE893" s="831">
        <v>43046</v>
      </c>
      <c r="CF893" s="832">
        <v>5</v>
      </c>
      <c r="CG893" s="833">
        <f t="shared" ca="1" si="729"/>
        <v>88</v>
      </c>
      <c r="CH893" s="836">
        <f t="shared" si="730"/>
        <v>-7</v>
      </c>
      <c r="CI893" s="837" t="str">
        <f t="shared" si="731"/>
        <v>-</v>
      </c>
      <c r="CJ893" s="838" t="str">
        <f t="shared" ca="1" si="732"/>
        <v>-</v>
      </c>
      <c r="CK893" s="831"/>
      <c r="CL893" s="832"/>
      <c r="CM893" s="833" t="str">
        <f t="shared" si="733"/>
        <v>-</v>
      </c>
      <c r="CN893" s="834" t="str">
        <f t="shared" si="734"/>
        <v>-</v>
      </c>
      <c r="CO893" s="830" t="str">
        <f t="shared" ca="1" si="735"/>
        <v>-</v>
      </c>
      <c r="CP893" s="839"/>
      <c r="CQ893" s="832"/>
      <c r="CR893" s="833" t="str">
        <f t="shared" si="736"/>
        <v>-</v>
      </c>
      <c r="CS893" s="833" t="str">
        <f t="shared" si="737"/>
        <v>-</v>
      </c>
      <c r="CT893" s="834" t="str">
        <f t="shared" si="738"/>
        <v>-</v>
      </c>
      <c r="CU893" s="835" t="str">
        <f t="shared" si="739"/>
        <v>-</v>
      </c>
      <c r="CV893" s="839"/>
      <c r="CW893" s="832"/>
      <c r="CX893" s="833" t="str">
        <f t="shared" si="740"/>
        <v>-</v>
      </c>
      <c r="CY893" s="840" t="str">
        <f t="shared" si="741"/>
        <v>-</v>
      </c>
      <c r="CZ893" s="833" t="str">
        <f t="shared" si="742"/>
        <v>-</v>
      </c>
      <c r="DA893" s="838" t="str">
        <f t="shared" ca="1" si="743"/>
        <v>-</v>
      </c>
      <c r="DB893" s="841"/>
      <c r="DC893" s="832"/>
    </row>
    <row r="894" spans="1:107" x14ac:dyDescent="0.25">
      <c r="A894" s="790">
        <v>898</v>
      </c>
      <c r="B894" s="791">
        <f t="shared" ca="1" si="692"/>
        <v>43134</v>
      </c>
      <c r="C894" s="29" t="s">
        <v>3341</v>
      </c>
      <c r="D894" s="793" t="s">
        <v>1635</v>
      </c>
      <c r="E894" s="794" t="s">
        <v>1563</v>
      </c>
      <c r="F894" s="795" t="s">
        <v>3082</v>
      </c>
      <c r="G894" s="845"/>
      <c r="H894" s="797" t="s">
        <v>603</v>
      </c>
      <c r="I894" s="798">
        <v>42979</v>
      </c>
      <c r="J894" s="799">
        <f t="shared" ca="1" si="693"/>
        <v>0.42465753424657532</v>
      </c>
      <c r="K894" s="799">
        <f t="shared" ca="1" si="694"/>
        <v>5.166666666666667</v>
      </c>
      <c r="L894" s="800">
        <f t="shared" ca="1" si="695"/>
        <v>155</v>
      </c>
      <c r="M894" s="801"/>
      <c r="N894" s="802"/>
      <c r="O894" s="803" t="str">
        <f t="shared" ca="1" si="696"/>
        <v>-</v>
      </c>
      <c r="P894" s="804"/>
      <c r="Q894" s="805"/>
      <c r="R894" s="806"/>
      <c r="S894" s="807"/>
      <c r="T894" s="798"/>
      <c r="U894" s="798" t="str">
        <f t="shared" si="697"/>
        <v>-</v>
      </c>
      <c r="V894" s="804" t="str">
        <f t="shared" ca="1" si="698"/>
        <v>-</v>
      </c>
      <c r="W894" s="808">
        <v>0</v>
      </c>
      <c r="X894" s="794" t="str">
        <f t="shared" si="744"/>
        <v>-</v>
      </c>
      <c r="Y894" s="794">
        <v>0</v>
      </c>
      <c r="Z894" s="809" t="str">
        <f t="shared" ca="1" si="699"/>
        <v>-----</v>
      </c>
      <c r="AA894" s="810">
        <f t="shared" ca="1" si="700"/>
        <v>43134</v>
      </c>
      <c r="AB894" s="804"/>
      <c r="AC894" s="811" t="str">
        <f t="shared" ca="1" si="701"/>
        <v>-----</v>
      </c>
      <c r="AD894" s="798"/>
      <c r="AE894" s="794" t="str">
        <f t="shared" ca="1" si="702"/>
        <v>-</v>
      </c>
      <c r="AF894" s="798" t="str">
        <f t="shared" si="703"/>
        <v>-</v>
      </c>
      <c r="AG894" s="812" t="str">
        <f t="shared" si="704"/>
        <v>---------</v>
      </c>
      <c r="AH894" s="807"/>
      <c r="AI894" s="807" t="str">
        <f t="shared" si="705"/>
        <v>-</v>
      </c>
      <c r="AJ894" s="807" t="str">
        <f t="shared" si="706"/>
        <v>-</v>
      </c>
      <c r="AK894" s="813"/>
      <c r="AL894" s="807" t="str">
        <f t="shared" si="707"/>
        <v>-</v>
      </c>
      <c r="AM894" s="807" t="str">
        <f t="shared" si="708"/>
        <v>-</v>
      </c>
      <c r="AN894" s="814" t="str">
        <f t="shared" ca="1" si="709"/>
        <v>-</v>
      </c>
      <c r="AO894" s="815">
        <v>1</v>
      </c>
      <c r="AP894" s="816" t="str">
        <f t="shared" ca="1" si="710"/>
        <v>-</v>
      </c>
      <c r="AQ894" s="817"/>
      <c r="AR894" s="794" t="str">
        <f t="shared" si="711"/>
        <v>-</v>
      </c>
      <c r="AS894" s="818"/>
      <c r="AT894" s="794" t="str">
        <f t="shared" si="712"/>
        <v>-</v>
      </c>
      <c r="AU894" s="819"/>
      <c r="AV894" s="865"/>
      <c r="AW894" s="821"/>
      <c r="AX894" s="821"/>
      <c r="AY894" s="969" t="str">
        <f t="shared" si="713"/>
        <v>-</v>
      </c>
      <c r="AZ894" s="966" t="str">
        <f t="shared" si="714"/>
        <v>-</v>
      </c>
      <c r="BA894" s="971" t="str">
        <f t="shared" si="715"/>
        <v>-</v>
      </c>
      <c r="BB894" s="975"/>
      <c r="BC894" s="821"/>
      <c r="BD894" s="821"/>
      <c r="BE894" s="963" t="str">
        <f t="shared" si="716"/>
        <v>-</v>
      </c>
      <c r="BF894" s="984"/>
      <c r="BG894" s="988"/>
      <c r="BH894" s="982"/>
      <c r="BI894" s="991"/>
      <c r="BJ894" s="991"/>
      <c r="BK894" s="993" t="str">
        <f t="shared" si="717"/>
        <v>-</v>
      </c>
      <c r="BL894" s="865"/>
      <c r="BM894" s="821"/>
      <c r="BN894" s="822" t="str">
        <f t="shared" si="718"/>
        <v>-</v>
      </c>
      <c r="BO894" s="823" t="str">
        <f t="shared" si="719"/>
        <v>-</v>
      </c>
      <c r="BP894" s="868"/>
      <c r="BQ894" s="821"/>
      <c r="BR894" s="822" t="str">
        <f t="shared" si="720"/>
        <v>-</v>
      </c>
      <c r="BS894" s="823" t="str">
        <f t="shared" si="721"/>
        <v>-</v>
      </c>
      <c r="BT894" s="825" t="str">
        <f t="shared" ca="1" si="722"/>
        <v>-</v>
      </c>
      <c r="BU894" s="860">
        <v>42988</v>
      </c>
      <c r="BV894" s="827">
        <v>2</v>
      </c>
      <c r="BW894" s="828">
        <f t="shared" si="723"/>
        <v>9</v>
      </c>
      <c r="BX894" s="829">
        <f t="shared" ca="1" si="724"/>
        <v>146</v>
      </c>
      <c r="BY894" s="830" t="str">
        <f t="shared" ca="1" si="725"/>
        <v>-</v>
      </c>
      <c r="BZ894" s="831">
        <v>43029</v>
      </c>
      <c r="CA894" s="832">
        <v>5</v>
      </c>
      <c r="CB894" s="833">
        <f t="shared" ca="1" si="726"/>
        <v>105</v>
      </c>
      <c r="CC894" s="834" t="str">
        <f t="shared" ca="1" si="727"/>
        <v>-</v>
      </c>
      <c r="CD894" s="835">
        <f t="shared" si="728"/>
        <v>43050</v>
      </c>
      <c r="CE894" s="831">
        <v>43050</v>
      </c>
      <c r="CF894" s="832">
        <v>5</v>
      </c>
      <c r="CG894" s="833">
        <f t="shared" ca="1" si="729"/>
        <v>84</v>
      </c>
      <c r="CH894" s="836">
        <f t="shared" si="730"/>
        <v>0</v>
      </c>
      <c r="CI894" s="837" t="str">
        <f t="shared" si="731"/>
        <v>УСПЕШНО</v>
      </c>
      <c r="CJ894" s="838" t="str">
        <f t="shared" ca="1" si="732"/>
        <v>-</v>
      </c>
      <c r="CK894" s="831"/>
      <c r="CL894" s="832"/>
      <c r="CM894" s="833" t="str">
        <f t="shared" si="733"/>
        <v>-</v>
      </c>
      <c r="CN894" s="834" t="str">
        <f t="shared" si="734"/>
        <v>-</v>
      </c>
      <c r="CO894" s="830" t="str">
        <f t="shared" ca="1" si="735"/>
        <v>-</v>
      </c>
      <c r="CP894" s="839"/>
      <c r="CQ894" s="832"/>
      <c r="CR894" s="833" t="str">
        <f t="shared" si="736"/>
        <v>-</v>
      </c>
      <c r="CS894" s="833" t="str">
        <f t="shared" si="737"/>
        <v>-</v>
      </c>
      <c r="CT894" s="834" t="str">
        <f t="shared" si="738"/>
        <v>-</v>
      </c>
      <c r="CU894" s="835" t="str">
        <f t="shared" si="739"/>
        <v>-</v>
      </c>
      <c r="CV894" s="839"/>
      <c r="CW894" s="832"/>
      <c r="CX894" s="833" t="str">
        <f t="shared" si="740"/>
        <v>-</v>
      </c>
      <c r="CY894" s="840" t="str">
        <f t="shared" si="741"/>
        <v>-</v>
      </c>
      <c r="CZ894" s="833" t="str">
        <f t="shared" si="742"/>
        <v>-</v>
      </c>
      <c r="DA894" s="838" t="str">
        <f t="shared" ca="1" si="743"/>
        <v>-</v>
      </c>
      <c r="DB894" s="841"/>
      <c r="DC894" s="832"/>
    </row>
    <row r="895" spans="1:107" x14ac:dyDescent="0.25">
      <c r="A895" s="790">
        <v>899</v>
      </c>
      <c r="B895" s="791">
        <f t="shared" ca="1" si="692"/>
        <v>43134</v>
      </c>
      <c r="C895" s="29" t="s">
        <v>3341</v>
      </c>
      <c r="D895" s="793" t="s">
        <v>1635</v>
      </c>
      <c r="E895" s="794" t="s">
        <v>1563</v>
      </c>
      <c r="F895" s="795" t="s">
        <v>3086</v>
      </c>
      <c r="G895" s="845"/>
      <c r="H895" s="797" t="s">
        <v>603</v>
      </c>
      <c r="I895" s="798">
        <v>42980</v>
      </c>
      <c r="J895" s="799">
        <f t="shared" ca="1" si="693"/>
        <v>0.42191780821917807</v>
      </c>
      <c r="K895" s="799">
        <f t="shared" ca="1" si="694"/>
        <v>5.1333333333333337</v>
      </c>
      <c r="L895" s="800">
        <f t="shared" ca="1" si="695"/>
        <v>154</v>
      </c>
      <c r="M895" s="801"/>
      <c r="N895" s="802"/>
      <c r="O895" s="803" t="str">
        <f t="shared" ca="1" si="696"/>
        <v>-</v>
      </c>
      <c r="P895" s="804"/>
      <c r="Q895" s="805"/>
      <c r="R895" s="806"/>
      <c r="S895" s="807"/>
      <c r="T895" s="798"/>
      <c r="U895" s="798" t="str">
        <f t="shared" si="697"/>
        <v>-</v>
      </c>
      <c r="V895" s="804" t="str">
        <f t="shared" ca="1" si="698"/>
        <v>-</v>
      </c>
      <c r="W895" s="808">
        <v>0</v>
      </c>
      <c r="X895" s="794" t="str">
        <f t="shared" si="744"/>
        <v>-</v>
      </c>
      <c r="Y895" s="794">
        <v>0</v>
      </c>
      <c r="Z895" s="809" t="str">
        <f t="shared" ca="1" si="699"/>
        <v>-----</v>
      </c>
      <c r="AA895" s="810">
        <f t="shared" ca="1" si="700"/>
        <v>43134</v>
      </c>
      <c r="AB895" s="804"/>
      <c r="AC895" s="811" t="str">
        <f t="shared" ca="1" si="701"/>
        <v>-----</v>
      </c>
      <c r="AD895" s="798"/>
      <c r="AE895" s="794" t="str">
        <f t="shared" ca="1" si="702"/>
        <v>-</v>
      </c>
      <c r="AF895" s="798" t="str">
        <f t="shared" si="703"/>
        <v>-</v>
      </c>
      <c r="AG895" s="812" t="str">
        <f t="shared" si="704"/>
        <v>---------</v>
      </c>
      <c r="AH895" s="807"/>
      <c r="AI895" s="807" t="str">
        <f t="shared" si="705"/>
        <v>-</v>
      </c>
      <c r="AJ895" s="807" t="str">
        <f t="shared" si="706"/>
        <v>-</v>
      </c>
      <c r="AK895" s="813"/>
      <c r="AL895" s="807" t="str">
        <f t="shared" si="707"/>
        <v>-</v>
      </c>
      <c r="AM895" s="807" t="str">
        <f t="shared" si="708"/>
        <v>-</v>
      </c>
      <c r="AN895" s="814" t="str">
        <f t="shared" ca="1" si="709"/>
        <v>-</v>
      </c>
      <c r="AO895" s="815">
        <v>1</v>
      </c>
      <c r="AP895" s="816" t="str">
        <f t="shared" ca="1" si="710"/>
        <v>-</v>
      </c>
      <c r="AQ895" s="817"/>
      <c r="AR895" s="794" t="str">
        <f t="shared" si="711"/>
        <v>-</v>
      </c>
      <c r="AS895" s="818"/>
      <c r="AT895" s="794" t="str">
        <f t="shared" si="712"/>
        <v>-</v>
      </c>
      <c r="AU895" s="819"/>
      <c r="AV895" s="865"/>
      <c r="AW895" s="821"/>
      <c r="AX895" s="821"/>
      <c r="AY895" s="969" t="str">
        <f t="shared" si="713"/>
        <v>-</v>
      </c>
      <c r="AZ895" s="966" t="str">
        <f t="shared" si="714"/>
        <v>-</v>
      </c>
      <c r="BA895" s="971" t="str">
        <f t="shared" si="715"/>
        <v>-</v>
      </c>
      <c r="BB895" s="975"/>
      <c r="BC895" s="821"/>
      <c r="BD895" s="821"/>
      <c r="BE895" s="963" t="str">
        <f t="shared" si="716"/>
        <v>-</v>
      </c>
      <c r="BF895" s="984"/>
      <c r="BG895" s="988"/>
      <c r="BH895" s="982"/>
      <c r="BI895" s="991"/>
      <c r="BJ895" s="991"/>
      <c r="BK895" s="993" t="str">
        <f t="shared" si="717"/>
        <v>-</v>
      </c>
      <c r="BL895" s="865"/>
      <c r="BM895" s="821"/>
      <c r="BN895" s="822" t="str">
        <f t="shared" si="718"/>
        <v>-</v>
      </c>
      <c r="BO895" s="823" t="str">
        <f t="shared" si="719"/>
        <v>-</v>
      </c>
      <c r="BP895" s="868"/>
      <c r="BQ895" s="821"/>
      <c r="BR895" s="822" t="str">
        <f t="shared" si="720"/>
        <v>-</v>
      </c>
      <c r="BS895" s="823" t="str">
        <f t="shared" si="721"/>
        <v>-</v>
      </c>
      <c r="BT895" s="825" t="str">
        <f t="shared" ca="1" si="722"/>
        <v>-</v>
      </c>
      <c r="BU895" s="860">
        <v>42988</v>
      </c>
      <c r="BV895" s="827">
        <v>2</v>
      </c>
      <c r="BW895" s="828">
        <f t="shared" si="723"/>
        <v>8</v>
      </c>
      <c r="BX895" s="829">
        <f t="shared" ca="1" si="724"/>
        <v>146</v>
      </c>
      <c r="BY895" s="830" t="str">
        <f t="shared" ca="1" si="725"/>
        <v>-</v>
      </c>
      <c r="BZ895" s="831">
        <v>43029</v>
      </c>
      <c r="CA895" s="832">
        <v>5</v>
      </c>
      <c r="CB895" s="833">
        <f t="shared" ca="1" si="726"/>
        <v>105</v>
      </c>
      <c r="CC895" s="834" t="str">
        <f t="shared" ca="1" si="727"/>
        <v>-</v>
      </c>
      <c r="CD895" s="835">
        <f t="shared" si="728"/>
        <v>43050</v>
      </c>
      <c r="CE895" s="831">
        <v>43050</v>
      </c>
      <c r="CF895" s="832">
        <v>5</v>
      </c>
      <c r="CG895" s="833">
        <f t="shared" ca="1" si="729"/>
        <v>84</v>
      </c>
      <c r="CH895" s="836">
        <f t="shared" si="730"/>
        <v>0</v>
      </c>
      <c r="CI895" s="837" t="str">
        <f t="shared" si="731"/>
        <v>УСПЕШНО</v>
      </c>
      <c r="CJ895" s="838" t="str">
        <f t="shared" ca="1" si="732"/>
        <v>-</v>
      </c>
      <c r="CK895" s="831"/>
      <c r="CL895" s="832"/>
      <c r="CM895" s="833" t="str">
        <f t="shared" si="733"/>
        <v>-</v>
      </c>
      <c r="CN895" s="834" t="str">
        <f t="shared" si="734"/>
        <v>-</v>
      </c>
      <c r="CO895" s="830" t="str">
        <f t="shared" ca="1" si="735"/>
        <v>-</v>
      </c>
      <c r="CP895" s="839"/>
      <c r="CQ895" s="832"/>
      <c r="CR895" s="833" t="str">
        <f t="shared" si="736"/>
        <v>-</v>
      </c>
      <c r="CS895" s="833" t="str">
        <f t="shared" si="737"/>
        <v>-</v>
      </c>
      <c r="CT895" s="834" t="str">
        <f t="shared" si="738"/>
        <v>-</v>
      </c>
      <c r="CU895" s="835" t="str">
        <f t="shared" si="739"/>
        <v>-</v>
      </c>
      <c r="CV895" s="839"/>
      <c r="CW895" s="832"/>
      <c r="CX895" s="833" t="str">
        <f t="shared" si="740"/>
        <v>-</v>
      </c>
      <c r="CY895" s="840" t="str">
        <f t="shared" si="741"/>
        <v>-</v>
      </c>
      <c r="CZ895" s="833" t="str">
        <f t="shared" si="742"/>
        <v>-</v>
      </c>
      <c r="DA895" s="838" t="str">
        <f t="shared" ca="1" si="743"/>
        <v>-</v>
      </c>
      <c r="DB895" s="841"/>
      <c r="DC895" s="832"/>
    </row>
    <row r="896" spans="1:107" x14ac:dyDescent="0.25">
      <c r="A896" s="790">
        <v>900</v>
      </c>
      <c r="B896" s="791">
        <f t="shared" ca="1" si="692"/>
        <v>43134</v>
      </c>
      <c r="C896" s="29" t="s">
        <v>3341</v>
      </c>
      <c r="D896" s="793" t="s">
        <v>1635</v>
      </c>
      <c r="E896" s="794" t="s">
        <v>1563</v>
      </c>
      <c r="F896" s="795" t="s">
        <v>3088</v>
      </c>
      <c r="G896" s="845"/>
      <c r="H896" s="797" t="s">
        <v>603</v>
      </c>
      <c r="I896" s="798">
        <v>42984</v>
      </c>
      <c r="J896" s="799">
        <f t="shared" ca="1" si="693"/>
        <v>0.41095890410958902</v>
      </c>
      <c r="K896" s="799">
        <f t="shared" ca="1" si="694"/>
        <v>5</v>
      </c>
      <c r="L896" s="800">
        <f t="shared" ca="1" si="695"/>
        <v>150</v>
      </c>
      <c r="M896" s="801"/>
      <c r="N896" s="802"/>
      <c r="O896" s="803" t="str">
        <f t="shared" ca="1" si="696"/>
        <v>-</v>
      </c>
      <c r="P896" s="804"/>
      <c r="Q896" s="805"/>
      <c r="R896" s="806"/>
      <c r="S896" s="807"/>
      <c r="T896" s="798"/>
      <c r="U896" s="798" t="str">
        <f t="shared" si="697"/>
        <v>-</v>
      </c>
      <c r="V896" s="804" t="str">
        <f t="shared" ca="1" si="698"/>
        <v>-</v>
      </c>
      <c r="W896" s="808">
        <v>0</v>
      </c>
      <c r="X896" s="794" t="str">
        <f t="shared" si="744"/>
        <v>-</v>
      </c>
      <c r="Y896" s="794">
        <v>0</v>
      </c>
      <c r="Z896" s="809" t="str">
        <f t="shared" ca="1" si="699"/>
        <v>-----</v>
      </c>
      <c r="AA896" s="810">
        <f t="shared" ca="1" si="700"/>
        <v>43134</v>
      </c>
      <c r="AB896" s="804"/>
      <c r="AC896" s="811" t="str">
        <f t="shared" ca="1" si="701"/>
        <v>-----</v>
      </c>
      <c r="AD896" s="798"/>
      <c r="AE896" s="794" t="str">
        <f t="shared" ca="1" si="702"/>
        <v>-</v>
      </c>
      <c r="AF896" s="798" t="str">
        <f t="shared" si="703"/>
        <v>-</v>
      </c>
      <c r="AG896" s="812" t="str">
        <f t="shared" si="704"/>
        <v>---------</v>
      </c>
      <c r="AH896" s="807"/>
      <c r="AI896" s="807" t="str">
        <f t="shared" si="705"/>
        <v>-</v>
      </c>
      <c r="AJ896" s="807" t="str">
        <f t="shared" si="706"/>
        <v>-</v>
      </c>
      <c r="AK896" s="813"/>
      <c r="AL896" s="807" t="str">
        <f t="shared" si="707"/>
        <v>-</v>
      </c>
      <c r="AM896" s="807" t="str">
        <f t="shared" si="708"/>
        <v>-</v>
      </c>
      <c r="AN896" s="814" t="str">
        <f t="shared" ca="1" si="709"/>
        <v>-</v>
      </c>
      <c r="AO896" s="815">
        <v>1</v>
      </c>
      <c r="AP896" s="816" t="str">
        <f t="shared" ca="1" si="710"/>
        <v>-</v>
      </c>
      <c r="AQ896" s="817"/>
      <c r="AR896" s="794" t="str">
        <f t="shared" si="711"/>
        <v>-</v>
      </c>
      <c r="AS896" s="818"/>
      <c r="AT896" s="794" t="str">
        <f t="shared" si="712"/>
        <v>-</v>
      </c>
      <c r="AU896" s="819"/>
      <c r="AV896" s="865"/>
      <c r="AW896" s="821"/>
      <c r="AX896" s="821"/>
      <c r="AY896" s="969" t="str">
        <f t="shared" si="713"/>
        <v>-</v>
      </c>
      <c r="AZ896" s="966" t="str">
        <f t="shared" si="714"/>
        <v>-</v>
      </c>
      <c r="BA896" s="971" t="str">
        <f t="shared" si="715"/>
        <v>-</v>
      </c>
      <c r="BB896" s="975"/>
      <c r="BC896" s="821"/>
      <c r="BD896" s="821"/>
      <c r="BE896" s="963" t="str">
        <f t="shared" si="716"/>
        <v>-</v>
      </c>
      <c r="BF896" s="984"/>
      <c r="BG896" s="988"/>
      <c r="BH896" s="982"/>
      <c r="BI896" s="991"/>
      <c r="BJ896" s="991"/>
      <c r="BK896" s="993" t="str">
        <f t="shared" si="717"/>
        <v>-</v>
      </c>
      <c r="BL896" s="865"/>
      <c r="BM896" s="821"/>
      <c r="BN896" s="822" t="str">
        <f t="shared" si="718"/>
        <v>-</v>
      </c>
      <c r="BO896" s="823" t="str">
        <f t="shared" si="719"/>
        <v>-</v>
      </c>
      <c r="BP896" s="868"/>
      <c r="BQ896" s="821"/>
      <c r="BR896" s="822" t="str">
        <f t="shared" si="720"/>
        <v>-</v>
      </c>
      <c r="BS896" s="823" t="str">
        <f t="shared" si="721"/>
        <v>-</v>
      </c>
      <c r="BT896" s="825" t="str">
        <f t="shared" ca="1" si="722"/>
        <v>-</v>
      </c>
      <c r="BU896" s="860">
        <v>42988</v>
      </c>
      <c r="BV896" s="827">
        <v>2</v>
      </c>
      <c r="BW896" s="828">
        <f t="shared" si="723"/>
        <v>4</v>
      </c>
      <c r="BX896" s="829">
        <f t="shared" ca="1" si="724"/>
        <v>146</v>
      </c>
      <c r="BY896" s="830" t="str">
        <f t="shared" ca="1" si="725"/>
        <v>-</v>
      </c>
      <c r="BZ896" s="831">
        <v>43029</v>
      </c>
      <c r="CA896" s="832">
        <v>5</v>
      </c>
      <c r="CB896" s="833">
        <f t="shared" ca="1" si="726"/>
        <v>105</v>
      </c>
      <c r="CC896" s="834" t="str">
        <f t="shared" ca="1" si="727"/>
        <v>-</v>
      </c>
      <c r="CD896" s="835">
        <f t="shared" si="728"/>
        <v>43050</v>
      </c>
      <c r="CE896" s="831">
        <v>43050</v>
      </c>
      <c r="CF896" s="832">
        <v>5</v>
      </c>
      <c r="CG896" s="833">
        <f t="shared" ca="1" si="729"/>
        <v>84</v>
      </c>
      <c r="CH896" s="836">
        <f t="shared" si="730"/>
        <v>0</v>
      </c>
      <c r="CI896" s="837" t="str">
        <f t="shared" si="731"/>
        <v>УСПЕШНО</v>
      </c>
      <c r="CJ896" s="838" t="str">
        <f t="shared" ca="1" si="732"/>
        <v>-</v>
      </c>
      <c r="CK896" s="831"/>
      <c r="CL896" s="832"/>
      <c r="CM896" s="833" t="str">
        <f t="shared" si="733"/>
        <v>-</v>
      </c>
      <c r="CN896" s="834" t="str">
        <f t="shared" si="734"/>
        <v>-</v>
      </c>
      <c r="CO896" s="830" t="str">
        <f t="shared" ca="1" si="735"/>
        <v>-</v>
      </c>
      <c r="CP896" s="839"/>
      <c r="CQ896" s="832"/>
      <c r="CR896" s="833" t="str">
        <f t="shared" si="736"/>
        <v>-</v>
      </c>
      <c r="CS896" s="833" t="str">
        <f t="shared" si="737"/>
        <v>-</v>
      </c>
      <c r="CT896" s="834" t="str">
        <f t="shared" si="738"/>
        <v>-</v>
      </c>
      <c r="CU896" s="835" t="str">
        <f t="shared" si="739"/>
        <v>-</v>
      </c>
      <c r="CV896" s="839"/>
      <c r="CW896" s="832"/>
      <c r="CX896" s="833" t="str">
        <f t="shared" si="740"/>
        <v>-</v>
      </c>
      <c r="CY896" s="840" t="str">
        <f t="shared" si="741"/>
        <v>-</v>
      </c>
      <c r="CZ896" s="833" t="str">
        <f t="shared" si="742"/>
        <v>-</v>
      </c>
      <c r="DA896" s="838" t="str">
        <f t="shared" ca="1" si="743"/>
        <v>-</v>
      </c>
      <c r="DB896" s="841"/>
      <c r="DC896" s="832"/>
    </row>
    <row r="897" spans="1:107" x14ac:dyDescent="0.25">
      <c r="A897" s="790">
        <v>901</v>
      </c>
      <c r="B897" s="791">
        <f t="shared" ca="1" si="692"/>
        <v>43134</v>
      </c>
      <c r="C897" s="29" t="s">
        <v>3341</v>
      </c>
      <c r="D897" s="793" t="s">
        <v>1635</v>
      </c>
      <c r="E897" s="794" t="s">
        <v>1563</v>
      </c>
      <c r="F897" s="795" t="s">
        <v>3090</v>
      </c>
      <c r="G897" s="845"/>
      <c r="H897" s="797" t="s">
        <v>603</v>
      </c>
      <c r="I897" s="798">
        <v>42986</v>
      </c>
      <c r="J897" s="799">
        <f t="shared" ca="1" si="693"/>
        <v>0.40547945205479452</v>
      </c>
      <c r="K897" s="799">
        <f t="shared" ca="1" si="694"/>
        <v>4.9333333333333336</v>
      </c>
      <c r="L897" s="800">
        <f t="shared" ca="1" si="695"/>
        <v>148</v>
      </c>
      <c r="M897" s="801"/>
      <c r="N897" s="802"/>
      <c r="O897" s="803" t="str">
        <f t="shared" ca="1" si="696"/>
        <v>-</v>
      </c>
      <c r="P897" s="804"/>
      <c r="Q897" s="805"/>
      <c r="R897" s="806"/>
      <c r="S897" s="807"/>
      <c r="T897" s="798"/>
      <c r="U897" s="798" t="str">
        <f t="shared" si="697"/>
        <v>-</v>
      </c>
      <c r="V897" s="804" t="str">
        <f t="shared" ca="1" si="698"/>
        <v>-</v>
      </c>
      <c r="W897" s="808">
        <v>0</v>
      </c>
      <c r="X897" s="794" t="str">
        <f t="shared" si="744"/>
        <v>-</v>
      </c>
      <c r="Y897" s="794">
        <v>0</v>
      </c>
      <c r="Z897" s="809" t="str">
        <f t="shared" ca="1" si="699"/>
        <v>-----</v>
      </c>
      <c r="AA897" s="810">
        <f t="shared" ca="1" si="700"/>
        <v>43134</v>
      </c>
      <c r="AB897" s="804"/>
      <c r="AC897" s="811" t="str">
        <f t="shared" ca="1" si="701"/>
        <v>-----</v>
      </c>
      <c r="AD897" s="798"/>
      <c r="AE897" s="794" t="str">
        <f t="shared" ca="1" si="702"/>
        <v>-</v>
      </c>
      <c r="AF897" s="798" t="str">
        <f t="shared" si="703"/>
        <v>-</v>
      </c>
      <c r="AG897" s="812" t="str">
        <f t="shared" si="704"/>
        <v>---------</v>
      </c>
      <c r="AH897" s="807"/>
      <c r="AI897" s="807" t="str">
        <f t="shared" si="705"/>
        <v>-</v>
      </c>
      <c r="AJ897" s="807" t="str">
        <f t="shared" si="706"/>
        <v>-</v>
      </c>
      <c r="AK897" s="813"/>
      <c r="AL897" s="807" t="str">
        <f t="shared" si="707"/>
        <v>-</v>
      </c>
      <c r="AM897" s="807" t="str">
        <f t="shared" si="708"/>
        <v>-</v>
      </c>
      <c r="AN897" s="814" t="str">
        <f t="shared" ca="1" si="709"/>
        <v>-</v>
      </c>
      <c r="AO897" s="815">
        <v>1</v>
      </c>
      <c r="AP897" s="816" t="str">
        <f t="shared" ca="1" si="710"/>
        <v>-</v>
      </c>
      <c r="AQ897" s="817"/>
      <c r="AR897" s="794" t="str">
        <f t="shared" si="711"/>
        <v>-</v>
      </c>
      <c r="AS897" s="818"/>
      <c r="AT897" s="794" t="str">
        <f t="shared" si="712"/>
        <v>-</v>
      </c>
      <c r="AU897" s="819"/>
      <c r="AV897" s="865"/>
      <c r="AW897" s="821"/>
      <c r="AX897" s="821"/>
      <c r="AY897" s="969" t="str">
        <f t="shared" si="713"/>
        <v>-</v>
      </c>
      <c r="AZ897" s="966" t="str">
        <f t="shared" si="714"/>
        <v>-</v>
      </c>
      <c r="BA897" s="971" t="str">
        <f t="shared" si="715"/>
        <v>-</v>
      </c>
      <c r="BB897" s="975"/>
      <c r="BC897" s="821"/>
      <c r="BD897" s="821"/>
      <c r="BE897" s="963" t="str">
        <f t="shared" si="716"/>
        <v>-</v>
      </c>
      <c r="BF897" s="984"/>
      <c r="BG897" s="988"/>
      <c r="BH897" s="982"/>
      <c r="BI897" s="991"/>
      <c r="BJ897" s="991"/>
      <c r="BK897" s="993" t="str">
        <f t="shared" si="717"/>
        <v>-</v>
      </c>
      <c r="BL897" s="865"/>
      <c r="BM897" s="821"/>
      <c r="BN897" s="822" t="str">
        <f t="shared" si="718"/>
        <v>-</v>
      </c>
      <c r="BO897" s="823" t="str">
        <f t="shared" si="719"/>
        <v>-</v>
      </c>
      <c r="BP897" s="868"/>
      <c r="BQ897" s="821"/>
      <c r="BR897" s="822" t="str">
        <f t="shared" si="720"/>
        <v>-</v>
      </c>
      <c r="BS897" s="823" t="str">
        <f t="shared" si="721"/>
        <v>-</v>
      </c>
      <c r="BT897" s="825" t="str">
        <f t="shared" ca="1" si="722"/>
        <v>-</v>
      </c>
      <c r="BU897" s="860">
        <v>42988</v>
      </c>
      <c r="BV897" s="827">
        <v>2</v>
      </c>
      <c r="BW897" s="828">
        <f t="shared" si="723"/>
        <v>2</v>
      </c>
      <c r="BX897" s="829">
        <f t="shared" ca="1" si="724"/>
        <v>146</v>
      </c>
      <c r="BY897" s="830" t="str">
        <f t="shared" ca="1" si="725"/>
        <v>-</v>
      </c>
      <c r="BZ897" s="831">
        <v>43029</v>
      </c>
      <c r="CA897" s="832">
        <v>5</v>
      </c>
      <c r="CB897" s="833">
        <f t="shared" ca="1" si="726"/>
        <v>105</v>
      </c>
      <c r="CC897" s="834" t="str">
        <f t="shared" ca="1" si="727"/>
        <v>-</v>
      </c>
      <c r="CD897" s="835">
        <f t="shared" si="728"/>
        <v>43050</v>
      </c>
      <c r="CE897" s="831">
        <v>43050</v>
      </c>
      <c r="CF897" s="832">
        <v>5</v>
      </c>
      <c r="CG897" s="833">
        <f t="shared" ca="1" si="729"/>
        <v>84</v>
      </c>
      <c r="CH897" s="836">
        <f t="shared" si="730"/>
        <v>0</v>
      </c>
      <c r="CI897" s="837" t="str">
        <f t="shared" si="731"/>
        <v>УСПЕШНО</v>
      </c>
      <c r="CJ897" s="838" t="str">
        <f t="shared" ca="1" si="732"/>
        <v>-</v>
      </c>
      <c r="CK897" s="831"/>
      <c r="CL897" s="832"/>
      <c r="CM897" s="833" t="str">
        <f t="shared" si="733"/>
        <v>-</v>
      </c>
      <c r="CN897" s="834" t="str">
        <f t="shared" si="734"/>
        <v>-</v>
      </c>
      <c r="CO897" s="830" t="str">
        <f t="shared" ca="1" si="735"/>
        <v>-</v>
      </c>
      <c r="CP897" s="839"/>
      <c r="CQ897" s="832"/>
      <c r="CR897" s="833" t="str">
        <f t="shared" si="736"/>
        <v>-</v>
      </c>
      <c r="CS897" s="833" t="str">
        <f t="shared" si="737"/>
        <v>-</v>
      </c>
      <c r="CT897" s="834" t="str">
        <f t="shared" si="738"/>
        <v>-</v>
      </c>
      <c r="CU897" s="835" t="str">
        <f t="shared" si="739"/>
        <v>-</v>
      </c>
      <c r="CV897" s="839"/>
      <c r="CW897" s="832"/>
      <c r="CX897" s="833" t="str">
        <f t="shared" si="740"/>
        <v>-</v>
      </c>
      <c r="CY897" s="840" t="str">
        <f t="shared" si="741"/>
        <v>-</v>
      </c>
      <c r="CZ897" s="833" t="str">
        <f t="shared" si="742"/>
        <v>-</v>
      </c>
      <c r="DA897" s="838" t="str">
        <f t="shared" ca="1" si="743"/>
        <v>-</v>
      </c>
      <c r="DB897" s="841"/>
      <c r="DC897" s="832"/>
    </row>
    <row r="898" spans="1:107" x14ac:dyDescent="0.25">
      <c r="A898" s="790">
        <v>902</v>
      </c>
      <c r="B898" s="791">
        <f t="shared" ca="1" si="692"/>
        <v>43134</v>
      </c>
      <c r="C898" s="29" t="s">
        <v>3341</v>
      </c>
      <c r="D898" s="793" t="s">
        <v>1635</v>
      </c>
      <c r="E898" s="794" t="s">
        <v>1563</v>
      </c>
      <c r="F898" s="795" t="s">
        <v>3111</v>
      </c>
      <c r="G898" s="845"/>
      <c r="H898" s="797" t="s">
        <v>603</v>
      </c>
      <c r="I898" s="798">
        <v>42986</v>
      </c>
      <c r="J898" s="799">
        <f t="shared" ca="1" si="693"/>
        <v>0.40547945205479452</v>
      </c>
      <c r="K898" s="799">
        <f t="shared" ca="1" si="694"/>
        <v>4.9333333333333336</v>
      </c>
      <c r="L898" s="800">
        <f t="shared" ca="1" si="695"/>
        <v>148</v>
      </c>
      <c r="M898" s="801"/>
      <c r="N898" s="802"/>
      <c r="O898" s="803" t="str">
        <f t="shared" ca="1" si="696"/>
        <v>-</v>
      </c>
      <c r="P898" s="804"/>
      <c r="Q898" s="805"/>
      <c r="R898" s="806"/>
      <c r="S898" s="807"/>
      <c r="T898" s="798"/>
      <c r="U898" s="798" t="str">
        <f t="shared" si="697"/>
        <v>-</v>
      </c>
      <c r="V898" s="804" t="str">
        <f t="shared" ca="1" si="698"/>
        <v>-</v>
      </c>
      <c r="W898" s="808">
        <v>0</v>
      </c>
      <c r="X898" s="794" t="str">
        <f t="shared" si="744"/>
        <v>-</v>
      </c>
      <c r="Y898" s="794">
        <v>0</v>
      </c>
      <c r="Z898" s="809" t="str">
        <f t="shared" ca="1" si="699"/>
        <v>-----</v>
      </c>
      <c r="AA898" s="810">
        <f t="shared" ca="1" si="700"/>
        <v>43134</v>
      </c>
      <c r="AB898" s="804"/>
      <c r="AC898" s="811" t="str">
        <f t="shared" ca="1" si="701"/>
        <v>-----</v>
      </c>
      <c r="AD898" s="798"/>
      <c r="AE898" s="794" t="str">
        <f t="shared" ca="1" si="702"/>
        <v>-</v>
      </c>
      <c r="AF898" s="798" t="str">
        <f t="shared" si="703"/>
        <v>-</v>
      </c>
      <c r="AG898" s="812" t="str">
        <f t="shared" si="704"/>
        <v>---------</v>
      </c>
      <c r="AH898" s="807"/>
      <c r="AI898" s="807" t="str">
        <f t="shared" si="705"/>
        <v>-</v>
      </c>
      <c r="AJ898" s="807" t="str">
        <f t="shared" si="706"/>
        <v>-</v>
      </c>
      <c r="AK898" s="813"/>
      <c r="AL898" s="807" t="str">
        <f t="shared" si="707"/>
        <v>-</v>
      </c>
      <c r="AM898" s="807" t="str">
        <f t="shared" si="708"/>
        <v>-</v>
      </c>
      <c r="AN898" s="814" t="str">
        <f t="shared" ca="1" si="709"/>
        <v>-</v>
      </c>
      <c r="AO898" s="815">
        <v>1</v>
      </c>
      <c r="AP898" s="816" t="str">
        <f t="shared" ca="1" si="710"/>
        <v>-</v>
      </c>
      <c r="AQ898" s="817"/>
      <c r="AR898" s="794" t="str">
        <f t="shared" si="711"/>
        <v>-</v>
      </c>
      <c r="AS898" s="818"/>
      <c r="AT898" s="794" t="str">
        <f t="shared" si="712"/>
        <v>-</v>
      </c>
      <c r="AU898" s="819"/>
      <c r="AV898" s="865"/>
      <c r="AW898" s="821"/>
      <c r="AX898" s="821"/>
      <c r="AY898" s="969" t="str">
        <f t="shared" si="713"/>
        <v>-</v>
      </c>
      <c r="AZ898" s="966" t="str">
        <f t="shared" si="714"/>
        <v>-</v>
      </c>
      <c r="BA898" s="971" t="str">
        <f t="shared" si="715"/>
        <v>-</v>
      </c>
      <c r="BB898" s="975"/>
      <c r="BC898" s="821"/>
      <c r="BD898" s="821"/>
      <c r="BE898" s="963" t="str">
        <f t="shared" si="716"/>
        <v>-</v>
      </c>
      <c r="BF898" s="984"/>
      <c r="BG898" s="988"/>
      <c r="BH898" s="982"/>
      <c r="BI898" s="991"/>
      <c r="BJ898" s="991"/>
      <c r="BK898" s="993" t="str">
        <f t="shared" si="717"/>
        <v>-</v>
      </c>
      <c r="BL898" s="865"/>
      <c r="BM898" s="821"/>
      <c r="BN898" s="822" t="str">
        <f t="shared" si="718"/>
        <v>-</v>
      </c>
      <c r="BO898" s="823" t="str">
        <f t="shared" si="719"/>
        <v>-</v>
      </c>
      <c r="BP898" s="868"/>
      <c r="BQ898" s="821"/>
      <c r="BR898" s="822" t="str">
        <f t="shared" si="720"/>
        <v>-</v>
      </c>
      <c r="BS898" s="823" t="str">
        <f t="shared" si="721"/>
        <v>-</v>
      </c>
      <c r="BT898" s="825" t="str">
        <f t="shared" ca="1" si="722"/>
        <v>-</v>
      </c>
      <c r="BU898" s="860">
        <v>42988</v>
      </c>
      <c r="BV898" s="827">
        <v>2</v>
      </c>
      <c r="BW898" s="828">
        <f t="shared" si="723"/>
        <v>2</v>
      </c>
      <c r="BX898" s="829">
        <f t="shared" ca="1" si="724"/>
        <v>146</v>
      </c>
      <c r="BY898" s="830" t="str">
        <f t="shared" ca="1" si="725"/>
        <v>-</v>
      </c>
      <c r="BZ898" s="831">
        <v>43029</v>
      </c>
      <c r="CA898" s="832">
        <v>5</v>
      </c>
      <c r="CB898" s="833">
        <f t="shared" ca="1" si="726"/>
        <v>105</v>
      </c>
      <c r="CC898" s="834" t="str">
        <f t="shared" ca="1" si="727"/>
        <v>-</v>
      </c>
      <c r="CD898" s="835">
        <f t="shared" si="728"/>
        <v>43050</v>
      </c>
      <c r="CE898" s="831">
        <v>43050</v>
      </c>
      <c r="CF898" s="832">
        <v>5</v>
      </c>
      <c r="CG898" s="833">
        <f t="shared" ca="1" si="729"/>
        <v>84</v>
      </c>
      <c r="CH898" s="836">
        <f t="shared" si="730"/>
        <v>0</v>
      </c>
      <c r="CI898" s="837" t="str">
        <f t="shared" si="731"/>
        <v>УСПЕШНО</v>
      </c>
      <c r="CJ898" s="838" t="str">
        <f t="shared" ca="1" si="732"/>
        <v>-</v>
      </c>
      <c r="CK898" s="831"/>
      <c r="CL898" s="832"/>
      <c r="CM898" s="833" t="str">
        <f t="shared" si="733"/>
        <v>-</v>
      </c>
      <c r="CN898" s="834" t="str">
        <f t="shared" si="734"/>
        <v>-</v>
      </c>
      <c r="CO898" s="830" t="str">
        <f t="shared" ca="1" si="735"/>
        <v>-</v>
      </c>
      <c r="CP898" s="839"/>
      <c r="CQ898" s="832"/>
      <c r="CR898" s="833" t="str">
        <f t="shared" si="736"/>
        <v>-</v>
      </c>
      <c r="CS898" s="833" t="str">
        <f t="shared" si="737"/>
        <v>-</v>
      </c>
      <c r="CT898" s="834" t="str">
        <f t="shared" si="738"/>
        <v>-</v>
      </c>
      <c r="CU898" s="835" t="str">
        <f t="shared" si="739"/>
        <v>-</v>
      </c>
      <c r="CV898" s="839"/>
      <c r="CW898" s="832"/>
      <c r="CX898" s="833" t="str">
        <f t="shared" si="740"/>
        <v>-</v>
      </c>
      <c r="CY898" s="840" t="str">
        <f t="shared" si="741"/>
        <v>-</v>
      </c>
      <c r="CZ898" s="833" t="str">
        <f t="shared" si="742"/>
        <v>-</v>
      </c>
      <c r="DA898" s="838" t="str">
        <f t="shared" ca="1" si="743"/>
        <v>-</v>
      </c>
      <c r="DB898" s="841"/>
      <c r="DC898" s="832"/>
    </row>
    <row r="899" spans="1:107" x14ac:dyDescent="0.25">
      <c r="A899" s="790">
        <v>903</v>
      </c>
      <c r="B899" s="791">
        <f t="shared" ref="B899:B962" ca="1" si="745">TODAY()</f>
        <v>43134</v>
      </c>
      <c r="C899" s="29" t="s">
        <v>3341</v>
      </c>
      <c r="D899" s="793" t="s">
        <v>1635</v>
      </c>
      <c r="E899" s="794" t="s">
        <v>1563</v>
      </c>
      <c r="F899" s="795" t="s">
        <v>3115</v>
      </c>
      <c r="G899" s="845"/>
      <c r="H899" s="797" t="s">
        <v>603</v>
      </c>
      <c r="I899" s="798">
        <v>42986</v>
      </c>
      <c r="J899" s="799">
        <f t="shared" ref="J899:J962" ca="1" si="746">(B899-I899)/365</f>
        <v>0.40547945205479452</v>
      </c>
      <c r="K899" s="799">
        <f t="shared" ref="K899:K962" ca="1" si="747">(B899-I899)/30</f>
        <v>4.9333333333333336</v>
      </c>
      <c r="L899" s="800">
        <f t="shared" ref="L899:L962" ca="1" si="748">B899-I899</f>
        <v>148</v>
      </c>
      <c r="M899" s="801"/>
      <c r="N899" s="802"/>
      <c r="O899" s="803" t="str">
        <f t="shared" ref="O899:O962" ca="1" si="749">IF(AND(B899&gt;0,N899&gt;0),B899-N899,"-")</f>
        <v>-</v>
      </c>
      <c r="P899" s="804"/>
      <c r="Q899" s="805"/>
      <c r="R899" s="806"/>
      <c r="S899" s="807"/>
      <c r="T899" s="798"/>
      <c r="U899" s="798" t="str">
        <f t="shared" ref="U899:U962" si="750">IF(AND(Y899&gt;1,T899&gt;0),T899+18,"-")</f>
        <v>-</v>
      </c>
      <c r="V899" s="804" t="str">
        <f t="shared" ref="V899:V962" ca="1" si="751">IF(AND(U899&gt;0,B899&gt;0,Y899&gt;1),B899-U899,"-")</f>
        <v>-</v>
      </c>
      <c r="W899" s="808">
        <v>0</v>
      </c>
      <c r="X899" s="794" t="str">
        <f t="shared" si="744"/>
        <v>-</v>
      </c>
      <c r="Y899" s="794">
        <v>0</v>
      </c>
      <c r="Z899" s="809" t="str">
        <f t="shared" ref="Z899:Z962" ca="1" si="752">IF(AND(Y899=1,AA899&gt;71,OR(ISBLANK(AB899),AB899=2)),"ПОДЛЕЖИТ ПЕРЕПРОВЕРКЕ","-----")</f>
        <v>-----</v>
      </c>
      <c r="AA899" s="810">
        <f t="shared" ref="AA899:AA962" ca="1" si="753">IF(AND(O899&gt;-1,W899&gt;0,Y899=1,AB899=1),"-----",B899-T899)</f>
        <v>43134</v>
      </c>
      <c r="AB899" s="804"/>
      <c r="AC899" s="811" t="str">
        <f t="shared" ref="AC899:AC962" ca="1" si="754">IF(AND(AB899&lt;1,Z899="ПОДЛЕЖИТ ПЕРЕПРОВЕРКЕ",Y899=1),T899+72,"-----")</f>
        <v>-----</v>
      </c>
      <c r="AD899" s="798"/>
      <c r="AE899" s="794" t="str">
        <f t="shared" ref="AE899:AE962" ca="1" si="755">IF(AND(O899&gt;120,Y899=0,N899&gt;0),"яловая","-")</f>
        <v>-</v>
      </c>
      <c r="AF899" s="798" t="str">
        <f t="shared" ref="AF899:AF962" si="756">IF(AND(T899&gt;0,OR(Y899=3,Y899=2)),T899+35,"-")</f>
        <v>-</v>
      </c>
      <c r="AG899" s="812" t="str">
        <f t="shared" ref="AG899:AG962" si="757">IF(AND(T899&gt;0,W899&gt;0,Q899&gt;0,OR(Y899=3,Y899=2)),B899-AF899,"---------")</f>
        <v>---------</v>
      </c>
      <c r="AH899" s="807"/>
      <c r="AI899" s="807" t="str">
        <f t="shared" ref="AI899:AI962" si="758">IF(AND($T899&gt;0,$N899&gt;0,$Y899=1),$T899+280-90,"-")</f>
        <v>-</v>
      </c>
      <c r="AJ899" s="807" t="str">
        <f t="shared" ref="AJ899:AJ962" si="759">IF(AND(T899&gt;0,Y899=1,N899&gt;0),T899+280-60,"-")</f>
        <v>-</v>
      </c>
      <c r="AK899" s="813"/>
      <c r="AL899" s="807" t="str">
        <f t="shared" ref="AL899:AL962" si="760">IF(AND($T899&gt;0,$Y899=1),$T899+280-21,"-")</f>
        <v>-</v>
      </c>
      <c r="AM899" s="807" t="str">
        <f t="shared" ref="AM899:AM962" si="761">IF(AND(T899&gt;0,Y899=1),T899+280,"-")</f>
        <v>-</v>
      </c>
      <c r="AN899" s="814" t="str">
        <f t="shared" ref="AN899:AN962" ca="1" si="762">IF(AND(B899&gt;0,AM899&gt;0,AH899&gt;0,Y899=1),B899-AM899,"-")</f>
        <v>-</v>
      </c>
      <c r="AO899" s="815">
        <v>1</v>
      </c>
      <c r="AP899" s="816" t="str">
        <f t="shared" ref="AP899:AP962" ca="1" si="763">IF(AND(AE899="яловая",O899&gt;300),"БРАК","-")</f>
        <v>-</v>
      </c>
      <c r="AQ899" s="817"/>
      <c r="AR899" s="794" t="str">
        <f t="shared" ref="AR899:AR962" si="764">IF(AND(Y899=1,P899=0),"НЕТЕЛЬ","-")</f>
        <v>-</v>
      </c>
      <c r="AS899" s="818"/>
      <c r="AT899" s="794" t="str">
        <f t="shared" ref="AT899:AT962" si="765">IF(AND(N899&gt;0,T899&gt;0,W899&gt;0,Y899=1,AH899&gt;0,AK899&gt;0),"DRY COW","-")</f>
        <v>-</v>
      </c>
      <c r="AU899" s="819"/>
      <c r="AV899" s="865"/>
      <c r="AW899" s="821"/>
      <c r="AX899" s="821"/>
      <c r="AY899" s="969" t="str">
        <f t="shared" ref="AY899:AY962" si="766">IF(AND(AV899&gt;0,AW899&gt;0,AX899&gt;0),B899-AV899,"-")</f>
        <v>-</v>
      </c>
      <c r="AZ899" s="966" t="str">
        <f t="shared" ref="AZ899:AZ962" si="767">IF(AND(AV899&gt;0,AW899&gt;0,AX899&gt;0,AY899&gt;10,BB899=0,BC899=0,BD899=0),"РЕВАКЦИНАЦИЯ","-")</f>
        <v>-</v>
      </c>
      <c r="BA899" s="971" t="str">
        <f t="shared" ref="BA899:BA962" si="768">IF(AND(AV899&gt;0,AW899&gt;0,AX899&gt;0),AV899+10,"-")</f>
        <v>-</v>
      </c>
      <c r="BB899" s="975"/>
      <c r="BC899" s="821"/>
      <c r="BD899" s="821"/>
      <c r="BE899" s="963" t="str">
        <f t="shared" ref="BE899:BE962" si="769">IF(AND(BB899&gt;0,BC899&gt;0,BD899&gt;0),B899-BB899,"-")</f>
        <v>-</v>
      </c>
      <c r="BF899" s="984"/>
      <c r="BG899" s="988"/>
      <c r="BH899" s="982"/>
      <c r="BI899" s="991"/>
      <c r="BJ899" s="991"/>
      <c r="BK899" s="993" t="str">
        <f t="shared" ref="BK899:BK962" si="770">IF(AND(BF899&gt;0,BG899&gt;0,BH899&gt;0,BI899&gt;0,BJ899&gt;0),B899-BF899,"-")</f>
        <v>-</v>
      </c>
      <c r="BL899" s="865"/>
      <c r="BM899" s="821"/>
      <c r="BN899" s="822" t="str">
        <f t="shared" ref="BN899:BN962" si="771">IF(AND(BL899&gt;0,BM899&gt;0),B899-BL899,"-")</f>
        <v>-</v>
      </c>
      <c r="BO899" s="823" t="str">
        <f t="shared" ref="BO899:BO962" si="772">IF(AND(BL899&gt;0,BM899&gt;0),(BL899-I899)/30,"-")</f>
        <v>-</v>
      </c>
      <c r="BP899" s="868"/>
      <c r="BQ899" s="821"/>
      <c r="BR899" s="822" t="str">
        <f t="shared" ref="BR899:BR962" si="773">IF(AND(BP899&gt;0,BQ899&gt;0),B899-BP899,"-")</f>
        <v>-</v>
      </c>
      <c r="BS899" s="823" t="str">
        <f t="shared" ref="BS899:BS962" si="774">IF(AND(BP899&gt;0,BQ899&gt;0),(BP899-M899)/30,"-")</f>
        <v>-</v>
      </c>
      <c r="BT899" s="825" t="str">
        <f t="shared" ref="BT899:BT962" ca="1" si="775">IF(AND(OR(E899="тёлочка",E899="бычок"),L899&gt;0,BV899&lt;2,L899&lt;60),"ПОДЛЕЖИТ ВАКЦИНАЦИИ","-")</f>
        <v>-</v>
      </c>
      <c r="BU899" s="860">
        <v>42988</v>
      </c>
      <c r="BV899" s="827">
        <v>2</v>
      </c>
      <c r="BW899" s="828">
        <f t="shared" ref="BW899:BW962" si="776">IF(AND(BU899&gt;0,BV899=2),BU899-I899,"Ж-Е НЕ ВАКЦ.")</f>
        <v>2</v>
      </c>
      <c r="BX899" s="829">
        <f t="shared" ref="BX899:BX962" ca="1" si="777">IF(AND(BU899&gt;0,BV899=2),B899-BU899,"-")</f>
        <v>146</v>
      </c>
      <c r="BY899" s="830" t="str">
        <f t="shared" ref="BY899:BY962" ca="1" si="778">IF(AND(L899&gt;42,CA899&lt;5),"ПОДЛЕЖИТ ВАКЦИНАЦИИ","-")</f>
        <v>-</v>
      </c>
      <c r="BZ899" s="831">
        <v>43029</v>
      </c>
      <c r="CA899" s="832">
        <v>5</v>
      </c>
      <c r="CB899" s="833">
        <f t="shared" ref="CB899:CB962" ca="1" si="779">IF(AND(BZ899&gt;0,CA899=5),B899-BZ899,"-")</f>
        <v>105</v>
      </c>
      <c r="CC899" s="834" t="str">
        <f t="shared" ref="CC899:CC962" ca="1" si="780">IF(AND(CA899=5,CB899&gt;20,CF899&lt;5),"ТРЕБУЕТСЯ БУСТЕРНАЯ ДОЗА","-")</f>
        <v>-</v>
      </c>
      <c r="CD899" s="835">
        <f t="shared" ref="CD899:CD962" si="781">IF(AND(BZ899&gt;0,CA899=5),BZ899+21,"-")</f>
        <v>43050</v>
      </c>
      <c r="CE899" s="831">
        <v>43050</v>
      </c>
      <c r="CF899" s="832">
        <v>5</v>
      </c>
      <c r="CG899" s="833">
        <f t="shared" ref="CG899:CG962" ca="1" si="782">IF(AND(CE899&gt;0,CF899=5),B899-CE899,"-")</f>
        <v>84</v>
      </c>
      <c r="CH899" s="836">
        <f t="shared" ref="CH899:CH962" si="783">IF(AND(CD899&gt;0,CE899&gt;0,CF899=5),CD899-CE899,"-")</f>
        <v>0</v>
      </c>
      <c r="CI899" s="837" t="str">
        <f t="shared" ref="CI899:CI962" si="784">IF(AND(CF899=5,CH899=0),"УСПЕШНО","-")</f>
        <v>УСПЕШНО</v>
      </c>
      <c r="CJ899" s="838" t="str">
        <f t="shared" ref="CJ899:CJ962" ca="1" si="785">IF(AND(BZ899&gt;0,CA899=5,CE899&gt;0,CF899=5,CG899&gt;240,CL899&lt;5),"НЕОБХОДИМА РЕВАКЦИНАЦИЯ","-")</f>
        <v>-</v>
      </c>
      <c r="CK899" s="831"/>
      <c r="CL899" s="832"/>
      <c r="CM899" s="833" t="str">
        <f t="shared" ref="CM899:CM962" si="786">IF(AND(CK899&gt;0,CL899=5),N899-CK899,"-")</f>
        <v>-</v>
      </c>
      <c r="CN899" s="834" t="str">
        <f t="shared" ref="CN899:CN962" si="787">IF(AND(CK899&gt;0,CL899=5,CM899&gt;240),"НЕОБХОДИМА РЕВАКЦИНАЦИЯ","-")</f>
        <v>-</v>
      </c>
      <c r="CO899" s="830" t="str">
        <f t="shared" ref="CO899:CO962" ca="1" si="788">IF(AND(Y899=1,AN899&gt;-70,CQ899&lt;2),"ТРЕБУЕТСЯ ВАКЦИНАЦИЯ","-")</f>
        <v>-</v>
      </c>
      <c r="CP899" s="839"/>
      <c r="CQ899" s="832"/>
      <c r="CR899" s="833" t="str">
        <f t="shared" ref="CR899:CR962" si="789">IF(AND(CP899&gt;0,CQ899=2),CP899-T899,"-")</f>
        <v>-</v>
      </c>
      <c r="CS899" s="833" t="str">
        <f t="shared" ref="CS899:CS962" si="790">IF(AND(CP899&gt;0,CQ899=2),B899-CP899,"-")</f>
        <v>-</v>
      </c>
      <c r="CT899" s="834" t="str">
        <f t="shared" ref="CT899:CT962" si="791">IF(AND(CQ899=2,CS899&gt;20,CW899&lt;2),"ТРЕБУЕТСЯ БУСТЕРНАЯ ДОЗА","-")</f>
        <v>-</v>
      </c>
      <c r="CU899" s="835" t="str">
        <f t="shared" ref="CU899:CU962" si="792">IF(AND(CP899&gt;0,CQ899=2),CP899+21,"-")</f>
        <v>-</v>
      </c>
      <c r="CV899" s="839"/>
      <c r="CW899" s="832"/>
      <c r="CX899" s="833" t="str">
        <f t="shared" ref="CX899:CX962" si="793">IF(AND(CU899&gt;0,CV899&gt;0,CW899=2),CV899-CU899,"-")</f>
        <v>-</v>
      </c>
      <c r="CY899" s="840" t="str">
        <f t="shared" ref="CY899:CY962" si="794">IF(AND(CW899=2,CX899=0),"УСПЕШНО","-")</f>
        <v>-</v>
      </c>
      <c r="CZ899" s="833" t="str">
        <f t="shared" ref="CZ899:CZ962" si="795">IF(AND(CV899&gt;0,CW899=2),CV899-T899,"-")</f>
        <v>-</v>
      </c>
      <c r="DA899" s="838" t="str">
        <f t="shared" ref="DA899:DA962" ca="1" si="796">IF(AND(CP899&gt;0,CQ899=2,CV899&gt;0,CW899=2,Y899=1,AN899&gt;-50,DC899&lt;2),"ТРЕБУЕТСЯ РЕВАКЦИНАЦИЯ","-")</f>
        <v>-</v>
      </c>
      <c r="DB899" s="841"/>
      <c r="DC899" s="832"/>
    </row>
    <row r="900" spans="1:107" x14ac:dyDescent="0.25">
      <c r="A900" s="790">
        <v>904</v>
      </c>
      <c r="B900" s="791">
        <f t="shared" ca="1" si="745"/>
        <v>43134</v>
      </c>
      <c r="C900" s="29" t="s">
        <v>3341</v>
      </c>
      <c r="D900" s="793" t="s">
        <v>1635</v>
      </c>
      <c r="E900" s="794" t="s">
        <v>1563</v>
      </c>
      <c r="F900" s="795" t="s">
        <v>3116</v>
      </c>
      <c r="G900" s="845"/>
      <c r="H900" s="797" t="s">
        <v>603</v>
      </c>
      <c r="I900" s="798">
        <v>42988</v>
      </c>
      <c r="J900" s="799">
        <f t="shared" ca="1" si="746"/>
        <v>0.4</v>
      </c>
      <c r="K900" s="799">
        <f t="shared" ca="1" si="747"/>
        <v>4.8666666666666663</v>
      </c>
      <c r="L900" s="800">
        <f t="shared" ca="1" si="748"/>
        <v>146</v>
      </c>
      <c r="M900" s="801"/>
      <c r="N900" s="802"/>
      <c r="O900" s="803" t="str">
        <f t="shared" ca="1" si="749"/>
        <v>-</v>
      </c>
      <c r="P900" s="804"/>
      <c r="Q900" s="805"/>
      <c r="R900" s="806"/>
      <c r="S900" s="807"/>
      <c r="T900" s="798"/>
      <c r="U900" s="798" t="str">
        <f t="shared" si="750"/>
        <v>-</v>
      </c>
      <c r="V900" s="804" t="str">
        <f t="shared" ca="1" si="751"/>
        <v>-</v>
      </c>
      <c r="W900" s="808">
        <v>0</v>
      </c>
      <c r="X900" s="794" t="str">
        <f t="shared" si="744"/>
        <v>-</v>
      </c>
      <c r="Y900" s="794">
        <v>0</v>
      </c>
      <c r="Z900" s="809" t="str">
        <f t="shared" ca="1" si="752"/>
        <v>-----</v>
      </c>
      <c r="AA900" s="810">
        <f t="shared" ca="1" si="753"/>
        <v>43134</v>
      </c>
      <c r="AB900" s="804"/>
      <c r="AC900" s="811" t="str">
        <f t="shared" ca="1" si="754"/>
        <v>-----</v>
      </c>
      <c r="AD900" s="798"/>
      <c r="AE900" s="794" t="str">
        <f t="shared" ca="1" si="755"/>
        <v>-</v>
      </c>
      <c r="AF900" s="798" t="str">
        <f t="shared" si="756"/>
        <v>-</v>
      </c>
      <c r="AG900" s="812" t="str">
        <f t="shared" si="757"/>
        <v>---------</v>
      </c>
      <c r="AH900" s="807"/>
      <c r="AI900" s="807" t="str">
        <f t="shared" si="758"/>
        <v>-</v>
      </c>
      <c r="AJ900" s="807" t="str">
        <f t="shared" si="759"/>
        <v>-</v>
      </c>
      <c r="AK900" s="813"/>
      <c r="AL900" s="807" t="str">
        <f t="shared" si="760"/>
        <v>-</v>
      </c>
      <c r="AM900" s="807" t="str">
        <f t="shared" si="761"/>
        <v>-</v>
      </c>
      <c r="AN900" s="814" t="str">
        <f t="shared" ca="1" si="762"/>
        <v>-</v>
      </c>
      <c r="AO900" s="815">
        <v>1</v>
      </c>
      <c r="AP900" s="816" t="str">
        <f t="shared" ca="1" si="763"/>
        <v>-</v>
      </c>
      <c r="AQ900" s="817"/>
      <c r="AR900" s="794" t="str">
        <f t="shared" si="764"/>
        <v>-</v>
      </c>
      <c r="AS900" s="818"/>
      <c r="AT900" s="794" t="str">
        <f t="shared" si="765"/>
        <v>-</v>
      </c>
      <c r="AU900" s="819"/>
      <c r="AV900" s="865"/>
      <c r="AW900" s="821"/>
      <c r="AX900" s="821"/>
      <c r="AY900" s="969" t="str">
        <f t="shared" si="766"/>
        <v>-</v>
      </c>
      <c r="AZ900" s="966" t="str">
        <f t="shared" si="767"/>
        <v>-</v>
      </c>
      <c r="BA900" s="971" t="str">
        <f t="shared" si="768"/>
        <v>-</v>
      </c>
      <c r="BB900" s="975"/>
      <c r="BC900" s="821"/>
      <c r="BD900" s="821"/>
      <c r="BE900" s="963" t="str">
        <f t="shared" si="769"/>
        <v>-</v>
      </c>
      <c r="BF900" s="984"/>
      <c r="BG900" s="988"/>
      <c r="BH900" s="982"/>
      <c r="BI900" s="991"/>
      <c r="BJ900" s="991"/>
      <c r="BK900" s="993" t="str">
        <f t="shared" si="770"/>
        <v>-</v>
      </c>
      <c r="BL900" s="865"/>
      <c r="BM900" s="821"/>
      <c r="BN900" s="822" t="str">
        <f t="shared" si="771"/>
        <v>-</v>
      </c>
      <c r="BO900" s="823" t="str">
        <f t="shared" si="772"/>
        <v>-</v>
      </c>
      <c r="BP900" s="868"/>
      <c r="BQ900" s="821"/>
      <c r="BR900" s="822" t="str">
        <f t="shared" si="773"/>
        <v>-</v>
      </c>
      <c r="BS900" s="823" t="str">
        <f t="shared" si="774"/>
        <v>-</v>
      </c>
      <c r="BT900" s="825" t="str">
        <f t="shared" ca="1" si="775"/>
        <v>-</v>
      </c>
      <c r="BU900" s="860">
        <v>43003</v>
      </c>
      <c r="BV900" s="827">
        <v>2</v>
      </c>
      <c r="BW900" s="828">
        <f t="shared" si="776"/>
        <v>15</v>
      </c>
      <c r="BX900" s="829">
        <f t="shared" ca="1" si="777"/>
        <v>131</v>
      </c>
      <c r="BY900" s="830" t="str">
        <f t="shared" ca="1" si="778"/>
        <v>-</v>
      </c>
      <c r="BZ900" s="831">
        <v>43046</v>
      </c>
      <c r="CA900" s="832">
        <v>5</v>
      </c>
      <c r="CB900" s="833">
        <f t="shared" ca="1" si="779"/>
        <v>88</v>
      </c>
      <c r="CC900" s="834" t="str">
        <f t="shared" ca="1" si="780"/>
        <v>ТРЕБУЕТСЯ БУСТЕРНАЯ ДОЗА</v>
      </c>
      <c r="CD900" s="835">
        <f t="shared" si="781"/>
        <v>43067</v>
      </c>
      <c r="CE900" s="839"/>
      <c r="CF900" s="832"/>
      <c r="CG900" s="833" t="str">
        <f t="shared" si="782"/>
        <v>-</v>
      </c>
      <c r="CH900" s="836" t="str">
        <f t="shared" si="783"/>
        <v>-</v>
      </c>
      <c r="CI900" s="837" t="str">
        <f t="shared" si="784"/>
        <v>-</v>
      </c>
      <c r="CJ900" s="838" t="str">
        <f t="shared" si="785"/>
        <v>-</v>
      </c>
      <c r="CK900" s="831"/>
      <c r="CL900" s="832"/>
      <c r="CM900" s="833" t="str">
        <f t="shared" si="786"/>
        <v>-</v>
      </c>
      <c r="CN900" s="834" t="str">
        <f t="shared" si="787"/>
        <v>-</v>
      </c>
      <c r="CO900" s="830" t="str">
        <f t="shared" ca="1" si="788"/>
        <v>-</v>
      </c>
      <c r="CP900" s="839"/>
      <c r="CQ900" s="832"/>
      <c r="CR900" s="833" t="str">
        <f t="shared" si="789"/>
        <v>-</v>
      </c>
      <c r="CS900" s="833" t="str">
        <f t="shared" si="790"/>
        <v>-</v>
      </c>
      <c r="CT900" s="834" t="str">
        <f t="shared" si="791"/>
        <v>-</v>
      </c>
      <c r="CU900" s="835" t="str">
        <f t="shared" si="792"/>
        <v>-</v>
      </c>
      <c r="CV900" s="839"/>
      <c r="CW900" s="832"/>
      <c r="CX900" s="833" t="str">
        <f t="shared" si="793"/>
        <v>-</v>
      </c>
      <c r="CY900" s="840" t="str">
        <f t="shared" si="794"/>
        <v>-</v>
      </c>
      <c r="CZ900" s="833" t="str">
        <f t="shared" si="795"/>
        <v>-</v>
      </c>
      <c r="DA900" s="838" t="str">
        <f t="shared" ca="1" si="796"/>
        <v>-</v>
      </c>
      <c r="DB900" s="841"/>
      <c r="DC900" s="832"/>
    </row>
    <row r="901" spans="1:107" x14ac:dyDescent="0.25">
      <c r="A901" s="790">
        <v>905</v>
      </c>
      <c r="B901" s="791">
        <f t="shared" ca="1" si="745"/>
        <v>43134</v>
      </c>
      <c r="C901" s="29" t="s">
        <v>3341</v>
      </c>
      <c r="D901" s="793" t="s">
        <v>1635</v>
      </c>
      <c r="E901" s="794" t="s">
        <v>1563</v>
      </c>
      <c r="F901" s="795" t="s">
        <v>3126</v>
      </c>
      <c r="G901" s="845"/>
      <c r="H901" s="797" t="s">
        <v>603</v>
      </c>
      <c r="I901" s="798">
        <v>42988</v>
      </c>
      <c r="J901" s="799">
        <f t="shared" ca="1" si="746"/>
        <v>0.4</v>
      </c>
      <c r="K901" s="799">
        <f t="shared" ca="1" si="747"/>
        <v>4.8666666666666663</v>
      </c>
      <c r="L901" s="800">
        <f t="shared" ca="1" si="748"/>
        <v>146</v>
      </c>
      <c r="M901" s="801"/>
      <c r="N901" s="802"/>
      <c r="O901" s="803" t="str">
        <f t="shared" ca="1" si="749"/>
        <v>-</v>
      </c>
      <c r="P901" s="804"/>
      <c r="Q901" s="805"/>
      <c r="R901" s="806"/>
      <c r="S901" s="807"/>
      <c r="T901" s="798"/>
      <c r="U901" s="798" t="str">
        <f t="shared" si="750"/>
        <v>-</v>
      </c>
      <c r="V901" s="804" t="str">
        <f t="shared" ca="1" si="751"/>
        <v>-</v>
      </c>
      <c r="W901" s="808">
        <v>0</v>
      </c>
      <c r="X901" s="794" t="str">
        <f t="shared" si="744"/>
        <v>-</v>
      </c>
      <c r="Y901" s="794">
        <v>0</v>
      </c>
      <c r="Z901" s="809" t="str">
        <f t="shared" ca="1" si="752"/>
        <v>-----</v>
      </c>
      <c r="AA901" s="810">
        <f t="shared" ca="1" si="753"/>
        <v>43134</v>
      </c>
      <c r="AB901" s="804"/>
      <c r="AC901" s="811" t="str">
        <f t="shared" ca="1" si="754"/>
        <v>-----</v>
      </c>
      <c r="AD901" s="798"/>
      <c r="AE901" s="794" t="str">
        <f t="shared" ca="1" si="755"/>
        <v>-</v>
      </c>
      <c r="AF901" s="798" t="str">
        <f t="shared" si="756"/>
        <v>-</v>
      </c>
      <c r="AG901" s="812" t="str">
        <f t="shared" si="757"/>
        <v>---------</v>
      </c>
      <c r="AH901" s="807"/>
      <c r="AI901" s="807" t="str">
        <f t="shared" si="758"/>
        <v>-</v>
      </c>
      <c r="AJ901" s="807" t="str">
        <f t="shared" si="759"/>
        <v>-</v>
      </c>
      <c r="AK901" s="813"/>
      <c r="AL901" s="807" t="str">
        <f t="shared" si="760"/>
        <v>-</v>
      </c>
      <c r="AM901" s="807" t="str">
        <f t="shared" si="761"/>
        <v>-</v>
      </c>
      <c r="AN901" s="814" t="str">
        <f t="shared" ca="1" si="762"/>
        <v>-</v>
      </c>
      <c r="AO901" s="815">
        <v>1</v>
      </c>
      <c r="AP901" s="816" t="str">
        <f t="shared" ca="1" si="763"/>
        <v>-</v>
      </c>
      <c r="AQ901" s="817"/>
      <c r="AR901" s="794" t="str">
        <f t="shared" si="764"/>
        <v>-</v>
      </c>
      <c r="AS901" s="818"/>
      <c r="AT901" s="794" t="str">
        <f t="shared" si="765"/>
        <v>-</v>
      </c>
      <c r="AU901" s="819"/>
      <c r="AV901" s="865"/>
      <c r="AW901" s="821"/>
      <c r="AX901" s="821"/>
      <c r="AY901" s="969" t="str">
        <f t="shared" si="766"/>
        <v>-</v>
      </c>
      <c r="AZ901" s="966" t="str">
        <f t="shared" si="767"/>
        <v>-</v>
      </c>
      <c r="BA901" s="971" t="str">
        <f t="shared" si="768"/>
        <v>-</v>
      </c>
      <c r="BB901" s="975"/>
      <c r="BC901" s="821"/>
      <c r="BD901" s="821"/>
      <c r="BE901" s="963" t="str">
        <f t="shared" si="769"/>
        <v>-</v>
      </c>
      <c r="BF901" s="984"/>
      <c r="BG901" s="988"/>
      <c r="BH901" s="982"/>
      <c r="BI901" s="991"/>
      <c r="BJ901" s="991"/>
      <c r="BK901" s="993" t="str">
        <f t="shared" si="770"/>
        <v>-</v>
      </c>
      <c r="BL901" s="865"/>
      <c r="BM901" s="821"/>
      <c r="BN901" s="822" t="str">
        <f t="shared" si="771"/>
        <v>-</v>
      </c>
      <c r="BO901" s="823" t="str">
        <f t="shared" si="772"/>
        <v>-</v>
      </c>
      <c r="BP901" s="868"/>
      <c r="BQ901" s="821"/>
      <c r="BR901" s="822" t="str">
        <f t="shared" si="773"/>
        <v>-</v>
      </c>
      <c r="BS901" s="823" t="str">
        <f t="shared" si="774"/>
        <v>-</v>
      </c>
      <c r="BT901" s="825" t="str">
        <f t="shared" ca="1" si="775"/>
        <v>-</v>
      </c>
      <c r="BU901" s="860">
        <v>43003</v>
      </c>
      <c r="BV901" s="827">
        <v>2</v>
      </c>
      <c r="BW901" s="828">
        <f t="shared" si="776"/>
        <v>15</v>
      </c>
      <c r="BX901" s="829">
        <f t="shared" ca="1" si="777"/>
        <v>131</v>
      </c>
      <c r="BY901" s="830" t="str">
        <f t="shared" ca="1" si="778"/>
        <v>-</v>
      </c>
      <c r="BZ901" s="831">
        <v>43046</v>
      </c>
      <c r="CA901" s="832">
        <v>5</v>
      </c>
      <c r="CB901" s="833">
        <f t="shared" ca="1" si="779"/>
        <v>88</v>
      </c>
      <c r="CC901" s="834" t="str">
        <f t="shared" ca="1" si="780"/>
        <v>ТРЕБУЕТСЯ БУСТЕРНАЯ ДОЗА</v>
      </c>
      <c r="CD901" s="835">
        <f t="shared" si="781"/>
        <v>43067</v>
      </c>
      <c r="CE901" s="839"/>
      <c r="CF901" s="832"/>
      <c r="CG901" s="833" t="str">
        <f t="shared" si="782"/>
        <v>-</v>
      </c>
      <c r="CH901" s="836" t="str">
        <f t="shared" si="783"/>
        <v>-</v>
      </c>
      <c r="CI901" s="837" t="str">
        <f t="shared" si="784"/>
        <v>-</v>
      </c>
      <c r="CJ901" s="838" t="str">
        <f t="shared" si="785"/>
        <v>-</v>
      </c>
      <c r="CK901" s="831"/>
      <c r="CL901" s="832"/>
      <c r="CM901" s="833" t="str">
        <f t="shared" si="786"/>
        <v>-</v>
      </c>
      <c r="CN901" s="834" t="str">
        <f t="shared" si="787"/>
        <v>-</v>
      </c>
      <c r="CO901" s="830" t="str">
        <f t="shared" ca="1" si="788"/>
        <v>-</v>
      </c>
      <c r="CP901" s="839"/>
      <c r="CQ901" s="832"/>
      <c r="CR901" s="833" t="str">
        <f t="shared" si="789"/>
        <v>-</v>
      </c>
      <c r="CS901" s="833" t="str">
        <f t="shared" si="790"/>
        <v>-</v>
      </c>
      <c r="CT901" s="834" t="str">
        <f t="shared" si="791"/>
        <v>-</v>
      </c>
      <c r="CU901" s="835" t="str">
        <f t="shared" si="792"/>
        <v>-</v>
      </c>
      <c r="CV901" s="839"/>
      <c r="CW901" s="832"/>
      <c r="CX901" s="833" t="str">
        <f t="shared" si="793"/>
        <v>-</v>
      </c>
      <c r="CY901" s="840" t="str">
        <f t="shared" si="794"/>
        <v>-</v>
      </c>
      <c r="CZ901" s="833" t="str">
        <f t="shared" si="795"/>
        <v>-</v>
      </c>
      <c r="DA901" s="838" t="str">
        <f t="shared" ca="1" si="796"/>
        <v>-</v>
      </c>
      <c r="DB901" s="841"/>
      <c r="DC901" s="832"/>
    </row>
    <row r="902" spans="1:107" x14ac:dyDescent="0.25">
      <c r="A902" s="790">
        <v>906</v>
      </c>
      <c r="B902" s="791">
        <f t="shared" ca="1" si="745"/>
        <v>43134</v>
      </c>
      <c r="C902" s="29" t="s">
        <v>3341</v>
      </c>
      <c r="D902" s="793" t="s">
        <v>1635</v>
      </c>
      <c r="E902" s="794" t="s">
        <v>1563</v>
      </c>
      <c r="F902" s="795" t="s">
        <v>3129</v>
      </c>
      <c r="G902" s="845"/>
      <c r="H902" s="797" t="s">
        <v>603</v>
      </c>
      <c r="I902" s="798">
        <v>42990</v>
      </c>
      <c r="J902" s="799">
        <f t="shared" ca="1" si="746"/>
        <v>0.39452054794520547</v>
      </c>
      <c r="K902" s="799">
        <f t="shared" ca="1" si="747"/>
        <v>4.8</v>
      </c>
      <c r="L902" s="800">
        <f t="shared" ca="1" si="748"/>
        <v>144</v>
      </c>
      <c r="M902" s="801"/>
      <c r="N902" s="802"/>
      <c r="O902" s="803" t="str">
        <f t="shared" ca="1" si="749"/>
        <v>-</v>
      </c>
      <c r="P902" s="804"/>
      <c r="Q902" s="805"/>
      <c r="R902" s="806"/>
      <c r="S902" s="807"/>
      <c r="T902" s="798"/>
      <c r="U902" s="798" t="str">
        <f t="shared" si="750"/>
        <v>-</v>
      </c>
      <c r="V902" s="804" t="str">
        <f t="shared" ca="1" si="751"/>
        <v>-</v>
      </c>
      <c r="W902" s="808">
        <v>0</v>
      </c>
      <c r="X902" s="794" t="str">
        <f t="shared" si="744"/>
        <v>-</v>
      </c>
      <c r="Y902" s="794">
        <v>0</v>
      </c>
      <c r="Z902" s="809" t="str">
        <f t="shared" ca="1" si="752"/>
        <v>-----</v>
      </c>
      <c r="AA902" s="810">
        <f t="shared" ca="1" si="753"/>
        <v>43134</v>
      </c>
      <c r="AB902" s="804"/>
      <c r="AC902" s="811" t="str">
        <f t="shared" ca="1" si="754"/>
        <v>-----</v>
      </c>
      <c r="AD902" s="798"/>
      <c r="AE902" s="794" t="str">
        <f t="shared" ca="1" si="755"/>
        <v>-</v>
      </c>
      <c r="AF902" s="798" t="str">
        <f t="shared" si="756"/>
        <v>-</v>
      </c>
      <c r="AG902" s="812" t="str">
        <f t="shared" si="757"/>
        <v>---------</v>
      </c>
      <c r="AH902" s="807"/>
      <c r="AI902" s="807" t="str">
        <f t="shared" si="758"/>
        <v>-</v>
      </c>
      <c r="AJ902" s="807" t="str">
        <f t="shared" si="759"/>
        <v>-</v>
      </c>
      <c r="AK902" s="813"/>
      <c r="AL902" s="807" t="str">
        <f t="shared" si="760"/>
        <v>-</v>
      </c>
      <c r="AM902" s="807" t="str">
        <f t="shared" si="761"/>
        <v>-</v>
      </c>
      <c r="AN902" s="814" t="str">
        <f t="shared" ca="1" si="762"/>
        <v>-</v>
      </c>
      <c r="AO902" s="815">
        <v>1</v>
      </c>
      <c r="AP902" s="816" t="str">
        <f t="shared" ca="1" si="763"/>
        <v>-</v>
      </c>
      <c r="AQ902" s="817"/>
      <c r="AR902" s="794" t="str">
        <f t="shared" si="764"/>
        <v>-</v>
      </c>
      <c r="AS902" s="818"/>
      <c r="AT902" s="794" t="str">
        <f t="shared" si="765"/>
        <v>-</v>
      </c>
      <c r="AU902" s="819"/>
      <c r="AV902" s="865"/>
      <c r="AW902" s="821"/>
      <c r="AX902" s="821"/>
      <c r="AY902" s="969" t="str">
        <f t="shared" si="766"/>
        <v>-</v>
      </c>
      <c r="AZ902" s="966" t="str">
        <f t="shared" si="767"/>
        <v>-</v>
      </c>
      <c r="BA902" s="971" t="str">
        <f t="shared" si="768"/>
        <v>-</v>
      </c>
      <c r="BB902" s="975"/>
      <c r="BC902" s="821"/>
      <c r="BD902" s="821"/>
      <c r="BE902" s="963" t="str">
        <f t="shared" si="769"/>
        <v>-</v>
      </c>
      <c r="BF902" s="984"/>
      <c r="BG902" s="988"/>
      <c r="BH902" s="982"/>
      <c r="BI902" s="991"/>
      <c r="BJ902" s="991"/>
      <c r="BK902" s="993" t="str">
        <f t="shared" si="770"/>
        <v>-</v>
      </c>
      <c r="BL902" s="865"/>
      <c r="BM902" s="821"/>
      <c r="BN902" s="822" t="str">
        <f t="shared" si="771"/>
        <v>-</v>
      </c>
      <c r="BO902" s="823" t="str">
        <f t="shared" si="772"/>
        <v>-</v>
      </c>
      <c r="BP902" s="868"/>
      <c r="BQ902" s="821"/>
      <c r="BR902" s="822" t="str">
        <f t="shared" si="773"/>
        <v>-</v>
      </c>
      <c r="BS902" s="823" t="str">
        <f t="shared" si="774"/>
        <v>-</v>
      </c>
      <c r="BT902" s="825" t="str">
        <f t="shared" ca="1" si="775"/>
        <v>-</v>
      </c>
      <c r="BU902" s="860">
        <v>43003</v>
      </c>
      <c r="BV902" s="827">
        <v>2</v>
      </c>
      <c r="BW902" s="828">
        <f t="shared" si="776"/>
        <v>13</v>
      </c>
      <c r="BX902" s="829">
        <f t="shared" ca="1" si="777"/>
        <v>131</v>
      </c>
      <c r="BY902" s="830" t="str">
        <f t="shared" ca="1" si="778"/>
        <v>-</v>
      </c>
      <c r="BZ902" s="831">
        <v>43046</v>
      </c>
      <c r="CA902" s="832">
        <v>5</v>
      </c>
      <c r="CB902" s="833">
        <f t="shared" ca="1" si="779"/>
        <v>88</v>
      </c>
      <c r="CC902" s="834" t="str">
        <f t="shared" ca="1" si="780"/>
        <v>ТРЕБУЕТСЯ БУСТЕРНАЯ ДОЗА</v>
      </c>
      <c r="CD902" s="835">
        <f t="shared" si="781"/>
        <v>43067</v>
      </c>
      <c r="CE902" s="839"/>
      <c r="CF902" s="832"/>
      <c r="CG902" s="833" t="str">
        <f t="shared" si="782"/>
        <v>-</v>
      </c>
      <c r="CH902" s="836" t="str">
        <f t="shared" si="783"/>
        <v>-</v>
      </c>
      <c r="CI902" s="837" t="str">
        <f t="shared" si="784"/>
        <v>-</v>
      </c>
      <c r="CJ902" s="838" t="str">
        <f t="shared" si="785"/>
        <v>-</v>
      </c>
      <c r="CK902" s="831"/>
      <c r="CL902" s="832"/>
      <c r="CM902" s="833" t="str">
        <f t="shared" si="786"/>
        <v>-</v>
      </c>
      <c r="CN902" s="834" t="str">
        <f t="shared" si="787"/>
        <v>-</v>
      </c>
      <c r="CO902" s="830" t="str">
        <f t="shared" ca="1" si="788"/>
        <v>-</v>
      </c>
      <c r="CP902" s="839"/>
      <c r="CQ902" s="832"/>
      <c r="CR902" s="833" t="str">
        <f t="shared" si="789"/>
        <v>-</v>
      </c>
      <c r="CS902" s="833" t="str">
        <f t="shared" si="790"/>
        <v>-</v>
      </c>
      <c r="CT902" s="834" t="str">
        <f t="shared" si="791"/>
        <v>-</v>
      </c>
      <c r="CU902" s="835" t="str">
        <f t="shared" si="792"/>
        <v>-</v>
      </c>
      <c r="CV902" s="839"/>
      <c r="CW902" s="832"/>
      <c r="CX902" s="833" t="str">
        <f t="shared" si="793"/>
        <v>-</v>
      </c>
      <c r="CY902" s="840" t="str">
        <f t="shared" si="794"/>
        <v>-</v>
      </c>
      <c r="CZ902" s="833" t="str">
        <f t="shared" si="795"/>
        <v>-</v>
      </c>
      <c r="DA902" s="838" t="str">
        <f t="shared" ca="1" si="796"/>
        <v>-</v>
      </c>
      <c r="DB902" s="841"/>
      <c r="DC902" s="832"/>
    </row>
    <row r="903" spans="1:107" x14ac:dyDescent="0.25">
      <c r="A903" s="790">
        <v>907</v>
      </c>
      <c r="B903" s="791">
        <f t="shared" ca="1" si="745"/>
        <v>43134</v>
      </c>
      <c r="C903" s="29" t="s">
        <v>3341</v>
      </c>
      <c r="D903" s="793" t="s">
        <v>1635</v>
      </c>
      <c r="E903" s="794" t="s">
        <v>1563</v>
      </c>
      <c r="F903" s="795" t="s">
        <v>3176</v>
      </c>
      <c r="G903" s="845"/>
      <c r="H903" s="797" t="s">
        <v>603</v>
      </c>
      <c r="I903" s="798">
        <v>42986</v>
      </c>
      <c r="J903" s="799">
        <f t="shared" ca="1" si="746"/>
        <v>0.40547945205479452</v>
      </c>
      <c r="K903" s="799">
        <f t="shared" ca="1" si="747"/>
        <v>4.9333333333333336</v>
      </c>
      <c r="L903" s="800">
        <f t="shared" ca="1" si="748"/>
        <v>148</v>
      </c>
      <c r="M903" s="801"/>
      <c r="N903" s="802"/>
      <c r="O903" s="803" t="str">
        <f t="shared" ca="1" si="749"/>
        <v>-</v>
      </c>
      <c r="P903" s="804"/>
      <c r="Q903" s="805"/>
      <c r="R903" s="806"/>
      <c r="S903" s="807"/>
      <c r="T903" s="798"/>
      <c r="U903" s="798" t="str">
        <f t="shared" si="750"/>
        <v>-</v>
      </c>
      <c r="V903" s="804" t="str">
        <f t="shared" ca="1" si="751"/>
        <v>-</v>
      </c>
      <c r="W903" s="808">
        <v>0</v>
      </c>
      <c r="X903" s="794" t="str">
        <f t="shared" si="744"/>
        <v>-</v>
      </c>
      <c r="Y903" s="794">
        <v>0</v>
      </c>
      <c r="Z903" s="809" t="str">
        <f t="shared" ca="1" si="752"/>
        <v>-----</v>
      </c>
      <c r="AA903" s="810">
        <f t="shared" ca="1" si="753"/>
        <v>43134</v>
      </c>
      <c r="AB903" s="804"/>
      <c r="AC903" s="811" t="str">
        <f t="shared" ca="1" si="754"/>
        <v>-----</v>
      </c>
      <c r="AD903" s="798"/>
      <c r="AE903" s="794" t="str">
        <f t="shared" ca="1" si="755"/>
        <v>-</v>
      </c>
      <c r="AF903" s="798" t="str">
        <f t="shared" si="756"/>
        <v>-</v>
      </c>
      <c r="AG903" s="812" t="str">
        <f t="shared" si="757"/>
        <v>---------</v>
      </c>
      <c r="AH903" s="807"/>
      <c r="AI903" s="807" t="str">
        <f t="shared" si="758"/>
        <v>-</v>
      </c>
      <c r="AJ903" s="807" t="str">
        <f t="shared" si="759"/>
        <v>-</v>
      </c>
      <c r="AK903" s="813"/>
      <c r="AL903" s="807" t="str">
        <f t="shared" si="760"/>
        <v>-</v>
      </c>
      <c r="AM903" s="807" t="str">
        <f t="shared" si="761"/>
        <v>-</v>
      </c>
      <c r="AN903" s="814" t="str">
        <f t="shared" ca="1" si="762"/>
        <v>-</v>
      </c>
      <c r="AO903" s="815">
        <v>1</v>
      </c>
      <c r="AP903" s="816" t="str">
        <f t="shared" ca="1" si="763"/>
        <v>-</v>
      </c>
      <c r="AQ903" s="817"/>
      <c r="AR903" s="794" t="str">
        <f t="shared" si="764"/>
        <v>-</v>
      </c>
      <c r="AS903" s="818"/>
      <c r="AT903" s="794" t="str">
        <f t="shared" si="765"/>
        <v>-</v>
      </c>
      <c r="AU903" s="819"/>
      <c r="AV903" s="865"/>
      <c r="AW903" s="821"/>
      <c r="AX903" s="821"/>
      <c r="AY903" s="969" t="str">
        <f t="shared" si="766"/>
        <v>-</v>
      </c>
      <c r="AZ903" s="966" t="str">
        <f t="shared" si="767"/>
        <v>-</v>
      </c>
      <c r="BA903" s="971" t="str">
        <f t="shared" si="768"/>
        <v>-</v>
      </c>
      <c r="BB903" s="975"/>
      <c r="BC903" s="821"/>
      <c r="BD903" s="821"/>
      <c r="BE903" s="963" t="str">
        <f t="shared" si="769"/>
        <v>-</v>
      </c>
      <c r="BF903" s="984"/>
      <c r="BG903" s="988"/>
      <c r="BH903" s="982"/>
      <c r="BI903" s="991"/>
      <c r="BJ903" s="991"/>
      <c r="BK903" s="993" t="str">
        <f t="shared" si="770"/>
        <v>-</v>
      </c>
      <c r="BL903" s="865"/>
      <c r="BM903" s="821"/>
      <c r="BN903" s="822" t="str">
        <f t="shared" si="771"/>
        <v>-</v>
      </c>
      <c r="BO903" s="823" t="str">
        <f t="shared" si="772"/>
        <v>-</v>
      </c>
      <c r="BP903" s="868"/>
      <c r="BQ903" s="821"/>
      <c r="BR903" s="822" t="str">
        <f t="shared" si="773"/>
        <v>-</v>
      </c>
      <c r="BS903" s="823" t="str">
        <f t="shared" si="774"/>
        <v>-</v>
      </c>
      <c r="BT903" s="825" t="str">
        <f t="shared" ca="1" si="775"/>
        <v>-</v>
      </c>
      <c r="BU903" s="860">
        <v>43003</v>
      </c>
      <c r="BV903" s="827">
        <v>2</v>
      </c>
      <c r="BW903" s="828">
        <f t="shared" si="776"/>
        <v>17</v>
      </c>
      <c r="BX903" s="829">
        <f t="shared" ca="1" si="777"/>
        <v>131</v>
      </c>
      <c r="BY903" s="830" t="str">
        <f t="shared" ca="1" si="778"/>
        <v>-</v>
      </c>
      <c r="BZ903" s="831">
        <v>43029</v>
      </c>
      <c r="CA903" s="832">
        <v>5</v>
      </c>
      <c r="CB903" s="833">
        <f t="shared" ca="1" si="779"/>
        <v>105</v>
      </c>
      <c r="CC903" s="834" t="str">
        <f t="shared" ca="1" si="780"/>
        <v>-</v>
      </c>
      <c r="CD903" s="835">
        <f t="shared" si="781"/>
        <v>43050</v>
      </c>
      <c r="CE903" s="831">
        <v>43050</v>
      </c>
      <c r="CF903" s="832">
        <v>5</v>
      </c>
      <c r="CG903" s="833">
        <f t="shared" ca="1" si="782"/>
        <v>84</v>
      </c>
      <c r="CH903" s="836">
        <f t="shared" si="783"/>
        <v>0</v>
      </c>
      <c r="CI903" s="837" t="str">
        <f t="shared" si="784"/>
        <v>УСПЕШНО</v>
      </c>
      <c r="CJ903" s="838" t="str">
        <f t="shared" ca="1" si="785"/>
        <v>-</v>
      </c>
      <c r="CK903" s="831"/>
      <c r="CL903" s="832"/>
      <c r="CM903" s="833" t="str">
        <f t="shared" si="786"/>
        <v>-</v>
      </c>
      <c r="CN903" s="834" t="str">
        <f t="shared" si="787"/>
        <v>-</v>
      </c>
      <c r="CO903" s="830" t="str">
        <f t="shared" ca="1" si="788"/>
        <v>-</v>
      </c>
      <c r="CP903" s="839"/>
      <c r="CQ903" s="832"/>
      <c r="CR903" s="833" t="str">
        <f t="shared" si="789"/>
        <v>-</v>
      </c>
      <c r="CS903" s="833" t="str">
        <f t="shared" si="790"/>
        <v>-</v>
      </c>
      <c r="CT903" s="834" t="str">
        <f t="shared" si="791"/>
        <v>-</v>
      </c>
      <c r="CU903" s="835" t="str">
        <f t="shared" si="792"/>
        <v>-</v>
      </c>
      <c r="CV903" s="839"/>
      <c r="CW903" s="832"/>
      <c r="CX903" s="833" t="str">
        <f t="shared" si="793"/>
        <v>-</v>
      </c>
      <c r="CY903" s="840" t="str">
        <f t="shared" si="794"/>
        <v>-</v>
      </c>
      <c r="CZ903" s="833" t="str">
        <f t="shared" si="795"/>
        <v>-</v>
      </c>
      <c r="DA903" s="838" t="str">
        <f t="shared" ca="1" si="796"/>
        <v>-</v>
      </c>
      <c r="DB903" s="841"/>
      <c r="DC903" s="832"/>
    </row>
    <row r="904" spans="1:107" x14ac:dyDescent="0.25">
      <c r="A904" s="790">
        <v>908</v>
      </c>
      <c r="B904" s="791">
        <f t="shared" ca="1" si="745"/>
        <v>43134</v>
      </c>
      <c r="C904" s="29" t="s">
        <v>3341</v>
      </c>
      <c r="D904" s="793" t="s">
        <v>1635</v>
      </c>
      <c r="E904" s="794" t="s">
        <v>1563</v>
      </c>
      <c r="F904" s="795" t="s">
        <v>3177</v>
      </c>
      <c r="G904" s="845"/>
      <c r="H904" s="797" t="s">
        <v>603</v>
      </c>
      <c r="I904" s="798">
        <v>42986</v>
      </c>
      <c r="J904" s="799">
        <f t="shared" ca="1" si="746"/>
        <v>0.40547945205479452</v>
      </c>
      <c r="K904" s="799">
        <f t="shared" ca="1" si="747"/>
        <v>4.9333333333333336</v>
      </c>
      <c r="L904" s="800">
        <f t="shared" ca="1" si="748"/>
        <v>148</v>
      </c>
      <c r="M904" s="801"/>
      <c r="N904" s="802"/>
      <c r="O904" s="803" t="str">
        <f t="shared" ca="1" si="749"/>
        <v>-</v>
      </c>
      <c r="P904" s="804"/>
      <c r="Q904" s="805"/>
      <c r="R904" s="806"/>
      <c r="S904" s="807"/>
      <c r="T904" s="798"/>
      <c r="U904" s="798" t="str">
        <f t="shared" si="750"/>
        <v>-</v>
      </c>
      <c r="V904" s="804" t="str">
        <f t="shared" ca="1" si="751"/>
        <v>-</v>
      </c>
      <c r="W904" s="808">
        <v>0</v>
      </c>
      <c r="X904" s="794" t="str">
        <f t="shared" si="744"/>
        <v>-</v>
      </c>
      <c r="Y904" s="794">
        <v>0</v>
      </c>
      <c r="Z904" s="809" t="str">
        <f t="shared" ca="1" si="752"/>
        <v>-----</v>
      </c>
      <c r="AA904" s="810">
        <f t="shared" ca="1" si="753"/>
        <v>43134</v>
      </c>
      <c r="AB904" s="804"/>
      <c r="AC904" s="811" t="str">
        <f t="shared" ca="1" si="754"/>
        <v>-----</v>
      </c>
      <c r="AD904" s="798"/>
      <c r="AE904" s="794" t="str">
        <f t="shared" ca="1" si="755"/>
        <v>-</v>
      </c>
      <c r="AF904" s="798" t="str">
        <f t="shared" si="756"/>
        <v>-</v>
      </c>
      <c r="AG904" s="812" t="str">
        <f t="shared" si="757"/>
        <v>---------</v>
      </c>
      <c r="AH904" s="807"/>
      <c r="AI904" s="807" t="str">
        <f t="shared" si="758"/>
        <v>-</v>
      </c>
      <c r="AJ904" s="807" t="str">
        <f t="shared" si="759"/>
        <v>-</v>
      </c>
      <c r="AK904" s="813"/>
      <c r="AL904" s="807" t="str">
        <f t="shared" si="760"/>
        <v>-</v>
      </c>
      <c r="AM904" s="807" t="str">
        <f t="shared" si="761"/>
        <v>-</v>
      </c>
      <c r="AN904" s="814" t="str">
        <f t="shared" ca="1" si="762"/>
        <v>-</v>
      </c>
      <c r="AO904" s="815">
        <v>1</v>
      </c>
      <c r="AP904" s="816" t="str">
        <f t="shared" ca="1" si="763"/>
        <v>-</v>
      </c>
      <c r="AQ904" s="817"/>
      <c r="AR904" s="794" t="str">
        <f t="shared" si="764"/>
        <v>-</v>
      </c>
      <c r="AS904" s="818"/>
      <c r="AT904" s="794" t="str">
        <f t="shared" si="765"/>
        <v>-</v>
      </c>
      <c r="AU904" s="819"/>
      <c r="AV904" s="865"/>
      <c r="AW904" s="821"/>
      <c r="AX904" s="821"/>
      <c r="AY904" s="969" t="str">
        <f t="shared" si="766"/>
        <v>-</v>
      </c>
      <c r="AZ904" s="966" t="str">
        <f t="shared" si="767"/>
        <v>-</v>
      </c>
      <c r="BA904" s="971" t="str">
        <f t="shared" si="768"/>
        <v>-</v>
      </c>
      <c r="BB904" s="975"/>
      <c r="BC904" s="821"/>
      <c r="BD904" s="821"/>
      <c r="BE904" s="963" t="str">
        <f t="shared" si="769"/>
        <v>-</v>
      </c>
      <c r="BF904" s="984"/>
      <c r="BG904" s="988"/>
      <c r="BH904" s="982"/>
      <c r="BI904" s="991"/>
      <c r="BJ904" s="991"/>
      <c r="BK904" s="993" t="str">
        <f t="shared" si="770"/>
        <v>-</v>
      </c>
      <c r="BL904" s="865"/>
      <c r="BM904" s="821"/>
      <c r="BN904" s="822" t="str">
        <f t="shared" si="771"/>
        <v>-</v>
      </c>
      <c r="BO904" s="823" t="str">
        <f t="shared" si="772"/>
        <v>-</v>
      </c>
      <c r="BP904" s="868"/>
      <c r="BQ904" s="821"/>
      <c r="BR904" s="822" t="str">
        <f t="shared" si="773"/>
        <v>-</v>
      </c>
      <c r="BS904" s="823" t="str">
        <f t="shared" si="774"/>
        <v>-</v>
      </c>
      <c r="BT904" s="825" t="str">
        <f t="shared" ca="1" si="775"/>
        <v>-</v>
      </c>
      <c r="BU904" s="860">
        <v>43003</v>
      </c>
      <c r="BV904" s="827">
        <v>2</v>
      </c>
      <c r="BW904" s="828">
        <f t="shared" si="776"/>
        <v>17</v>
      </c>
      <c r="BX904" s="829">
        <f t="shared" ca="1" si="777"/>
        <v>131</v>
      </c>
      <c r="BY904" s="830" t="str">
        <f t="shared" ca="1" si="778"/>
        <v>-</v>
      </c>
      <c r="BZ904" s="831">
        <v>43046</v>
      </c>
      <c r="CA904" s="832">
        <v>5</v>
      </c>
      <c r="CB904" s="833">
        <f t="shared" ca="1" si="779"/>
        <v>88</v>
      </c>
      <c r="CC904" s="834" t="str">
        <f t="shared" ca="1" si="780"/>
        <v>ТРЕБУЕТСЯ БУСТЕРНАЯ ДОЗА</v>
      </c>
      <c r="CD904" s="835">
        <f t="shared" si="781"/>
        <v>43067</v>
      </c>
      <c r="CE904" s="839"/>
      <c r="CF904" s="832"/>
      <c r="CG904" s="833" t="str">
        <f t="shared" si="782"/>
        <v>-</v>
      </c>
      <c r="CH904" s="836" t="str">
        <f t="shared" si="783"/>
        <v>-</v>
      </c>
      <c r="CI904" s="837" t="str">
        <f t="shared" si="784"/>
        <v>-</v>
      </c>
      <c r="CJ904" s="838" t="str">
        <f t="shared" si="785"/>
        <v>-</v>
      </c>
      <c r="CK904" s="831"/>
      <c r="CL904" s="832"/>
      <c r="CM904" s="833" t="str">
        <f t="shared" si="786"/>
        <v>-</v>
      </c>
      <c r="CN904" s="834" t="str">
        <f t="shared" si="787"/>
        <v>-</v>
      </c>
      <c r="CO904" s="830" t="str">
        <f t="shared" ca="1" si="788"/>
        <v>-</v>
      </c>
      <c r="CP904" s="839"/>
      <c r="CQ904" s="832"/>
      <c r="CR904" s="833" t="str">
        <f t="shared" si="789"/>
        <v>-</v>
      </c>
      <c r="CS904" s="833" t="str">
        <f t="shared" si="790"/>
        <v>-</v>
      </c>
      <c r="CT904" s="834" t="str">
        <f t="shared" si="791"/>
        <v>-</v>
      </c>
      <c r="CU904" s="835" t="str">
        <f t="shared" si="792"/>
        <v>-</v>
      </c>
      <c r="CV904" s="839"/>
      <c r="CW904" s="832"/>
      <c r="CX904" s="833" t="str">
        <f t="shared" si="793"/>
        <v>-</v>
      </c>
      <c r="CY904" s="840" t="str">
        <f t="shared" si="794"/>
        <v>-</v>
      </c>
      <c r="CZ904" s="833" t="str">
        <f t="shared" si="795"/>
        <v>-</v>
      </c>
      <c r="DA904" s="838" t="str">
        <f t="shared" ca="1" si="796"/>
        <v>-</v>
      </c>
      <c r="DB904" s="841"/>
      <c r="DC904" s="832"/>
    </row>
    <row r="905" spans="1:107" x14ac:dyDescent="0.25">
      <c r="A905" s="790">
        <v>909</v>
      </c>
      <c r="B905" s="791">
        <f t="shared" ca="1" si="745"/>
        <v>43134</v>
      </c>
      <c r="C905" s="29" t="s">
        <v>3341</v>
      </c>
      <c r="D905" s="793" t="s">
        <v>1635</v>
      </c>
      <c r="E905" s="794" t="s">
        <v>1563</v>
      </c>
      <c r="F905" s="795" t="s">
        <v>3178</v>
      </c>
      <c r="G905" s="845"/>
      <c r="H905" s="797" t="s">
        <v>603</v>
      </c>
      <c r="I905" s="798">
        <v>42988</v>
      </c>
      <c r="J905" s="799">
        <f t="shared" ca="1" si="746"/>
        <v>0.4</v>
      </c>
      <c r="K905" s="799">
        <f t="shared" ca="1" si="747"/>
        <v>4.8666666666666663</v>
      </c>
      <c r="L905" s="800">
        <f t="shared" ca="1" si="748"/>
        <v>146</v>
      </c>
      <c r="M905" s="801"/>
      <c r="N905" s="802"/>
      <c r="O905" s="803" t="str">
        <f t="shared" ca="1" si="749"/>
        <v>-</v>
      </c>
      <c r="P905" s="804"/>
      <c r="Q905" s="805"/>
      <c r="R905" s="806"/>
      <c r="S905" s="807"/>
      <c r="T905" s="798"/>
      <c r="U905" s="798" t="str">
        <f t="shared" si="750"/>
        <v>-</v>
      </c>
      <c r="V905" s="804" t="str">
        <f t="shared" ca="1" si="751"/>
        <v>-</v>
      </c>
      <c r="W905" s="808">
        <v>0</v>
      </c>
      <c r="X905" s="794" t="str">
        <f t="shared" si="744"/>
        <v>-</v>
      </c>
      <c r="Y905" s="794">
        <v>0</v>
      </c>
      <c r="Z905" s="809" t="str">
        <f t="shared" ca="1" si="752"/>
        <v>-----</v>
      </c>
      <c r="AA905" s="810">
        <f t="shared" ca="1" si="753"/>
        <v>43134</v>
      </c>
      <c r="AB905" s="804"/>
      <c r="AC905" s="811" t="str">
        <f t="shared" ca="1" si="754"/>
        <v>-----</v>
      </c>
      <c r="AD905" s="798"/>
      <c r="AE905" s="794" t="str">
        <f t="shared" ca="1" si="755"/>
        <v>-</v>
      </c>
      <c r="AF905" s="798" t="str">
        <f t="shared" si="756"/>
        <v>-</v>
      </c>
      <c r="AG905" s="812" t="str">
        <f t="shared" si="757"/>
        <v>---------</v>
      </c>
      <c r="AH905" s="807"/>
      <c r="AI905" s="807" t="str">
        <f t="shared" si="758"/>
        <v>-</v>
      </c>
      <c r="AJ905" s="807" t="str">
        <f t="shared" si="759"/>
        <v>-</v>
      </c>
      <c r="AK905" s="813"/>
      <c r="AL905" s="807" t="str">
        <f t="shared" si="760"/>
        <v>-</v>
      </c>
      <c r="AM905" s="807" t="str">
        <f t="shared" si="761"/>
        <v>-</v>
      </c>
      <c r="AN905" s="814" t="str">
        <f t="shared" ca="1" si="762"/>
        <v>-</v>
      </c>
      <c r="AO905" s="815">
        <v>1</v>
      </c>
      <c r="AP905" s="816" t="str">
        <f t="shared" ca="1" si="763"/>
        <v>-</v>
      </c>
      <c r="AQ905" s="817"/>
      <c r="AR905" s="794" t="str">
        <f t="shared" si="764"/>
        <v>-</v>
      </c>
      <c r="AS905" s="818"/>
      <c r="AT905" s="794" t="str">
        <f t="shared" si="765"/>
        <v>-</v>
      </c>
      <c r="AU905" s="819"/>
      <c r="AV905" s="865"/>
      <c r="AW905" s="821"/>
      <c r="AX905" s="821"/>
      <c r="AY905" s="969" t="str">
        <f t="shared" si="766"/>
        <v>-</v>
      </c>
      <c r="AZ905" s="966" t="str">
        <f t="shared" si="767"/>
        <v>-</v>
      </c>
      <c r="BA905" s="971" t="str">
        <f t="shared" si="768"/>
        <v>-</v>
      </c>
      <c r="BB905" s="975"/>
      <c r="BC905" s="821"/>
      <c r="BD905" s="821"/>
      <c r="BE905" s="963" t="str">
        <f t="shared" si="769"/>
        <v>-</v>
      </c>
      <c r="BF905" s="984"/>
      <c r="BG905" s="988"/>
      <c r="BH905" s="982"/>
      <c r="BI905" s="991"/>
      <c r="BJ905" s="991"/>
      <c r="BK905" s="993" t="str">
        <f t="shared" si="770"/>
        <v>-</v>
      </c>
      <c r="BL905" s="865"/>
      <c r="BM905" s="821"/>
      <c r="BN905" s="822" t="str">
        <f t="shared" si="771"/>
        <v>-</v>
      </c>
      <c r="BO905" s="823" t="str">
        <f t="shared" si="772"/>
        <v>-</v>
      </c>
      <c r="BP905" s="868"/>
      <c r="BQ905" s="821"/>
      <c r="BR905" s="822" t="str">
        <f t="shared" si="773"/>
        <v>-</v>
      </c>
      <c r="BS905" s="823" t="str">
        <f t="shared" si="774"/>
        <v>-</v>
      </c>
      <c r="BT905" s="825" t="str">
        <f t="shared" ca="1" si="775"/>
        <v>-</v>
      </c>
      <c r="BU905" s="860">
        <v>43003</v>
      </c>
      <c r="BV905" s="827">
        <v>2</v>
      </c>
      <c r="BW905" s="828">
        <f t="shared" si="776"/>
        <v>15</v>
      </c>
      <c r="BX905" s="829">
        <f t="shared" ca="1" si="777"/>
        <v>131</v>
      </c>
      <c r="BY905" s="830" t="str">
        <f t="shared" ca="1" si="778"/>
        <v>-</v>
      </c>
      <c r="BZ905" s="831">
        <v>43046</v>
      </c>
      <c r="CA905" s="832">
        <v>5</v>
      </c>
      <c r="CB905" s="833">
        <f t="shared" ca="1" si="779"/>
        <v>88</v>
      </c>
      <c r="CC905" s="834" t="str">
        <f t="shared" ca="1" si="780"/>
        <v>ТРЕБУЕТСЯ БУСТЕРНАЯ ДОЗА</v>
      </c>
      <c r="CD905" s="835">
        <f t="shared" si="781"/>
        <v>43067</v>
      </c>
      <c r="CE905" s="839"/>
      <c r="CF905" s="832"/>
      <c r="CG905" s="833" t="str">
        <f t="shared" si="782"/>
        <v>-</v>
      </c>
      <c r="CH905" s="836" t="str">
        <f t="shared" si="783"/>
        <v>-</v>
      </c>
      <c r="CI905" s="837" t="str">
        <f t="shared" si="784"/>
        <v>-</v>
      </c>
      <c r="CJ905" s="838" t="str">
        <f t="shared" si="785"/>
        <v>-</v>
      </c>
      <c r="CK905" s="831"/>
      <c r="CL905" s="832"/>
      <c r="CM905" s="833" t="str">
        <f t="shared" si="786"/>
        <v>-</v>
      </c>
      <c r="CN905" s="834" t="str">
        <f t="shared" si="787"/>
        <v>-</v>
      </c>
      <c r="CO905" s="830" t="str">
        <f t="shared" ca="1" si="788"/>
        <v>-</v>
      </c>
      <c r="CP905" s="839"/>
      <c r="CQ905" s="832"/>
      <c r="CR905" s="833" t="str">
        <f t="shared" si="789"/>
        <v>-</v>
      </c>
      <c r="CS905" s="833" t="str">
        <f t="shared" si="790"/>
        <v>-</v>
      </c>
      <c r="CT905" s="834" t="str">
        <f t="shared" si="791"/>
        <v>-</v>
      </c>
      <c r="CU905" s="835" t="str">
        <f t="shared" si="792"/>
        <v>-</v>
      </c>
      <c r="CV905" s="839"/>
      <c r="CW905" s="832"/>
      <c r="CX905" s="833" t="str">
        <f t="shared" si="793"/>
        <v>-</v>
      </c>
      <c r="CY905" s="840" t="str">
        <f t="shared" si="794"/>
        <v>-</v>
      </c>
      <c r="CZ905" s="833" t="str">
        <f t="shared" si="795"/>
        <v>-</v>
      </c>
      <c r="DA905" s="838" t="str">
        <f t="shared" ca="1" si="796"/>
        <v>-</v>
      </c>
      <c r="DB905" s="841"/>
      <c r="DC905" s="832"/>
    </row>
    <row r="906" spans="1:107" x14ac:dyDescent="0.25">
      <c r="A906" s="790">
        <v>910</v>
      </c>
      <c r="B906" s="791">
        <f t="shared" ca="1" si="745"/>
        <v>43134</v>
      </c>
      <c r="C906" s="29" t="s">
        <v>3341</v>
      </c>
      <c r="D906" s="793" t="s">
        <v>1635</v>
      </c>
      <c r="E906" s="794" t="s">
        <v>1563</v>
      </c>
      <c r="F906" s="795" t="s">
        <v>3179</v>
      </c>
      <c r="G906" s="845"/>
      <c r="H906" s="797" t="s">
        <v>603</v>
      </c>
      <c r="I906" s="798">
        <v>42988</v>
      </c>
      <c r="J906" s="799">
        <f t="shared" ca="1" si="746"/>
        <v>0.4</v>
      </c>
      <c r="K906" s="799">
        <f t="shared" ca="1" si="747"/>
        <v>4.8666666666666663</v>
      </c>
      <c r="L906" s="800">
        <f t="shared" ca="1" si="748"/>
        <v>146</v>
      </c>
      <c r="M906" s="801"/>
      <c r="N906" s="802"/>
      <c r="O906" s="803" t="str">
        <f t="shared" ca="1" si="749"/>
        <v>-</v>
      </c>
      <c r="P906" s="804"/>
      <c r="Q906" s="805"/>
      <c r="R906" s="806"/>
      <c r="S906" s="807"/>
      <c r="T906" s="798"/>
      <c r="U906" s="798" t="str">
        <f t="shared" si="750"/>
        <v>-</v>
      </c>
      <c r="V906" s="804" t="str">
        <f t="shared" ca="1" si="751"/>
        <v>-</v>
      </c>
      <c r="W906" s="808">
        <v>0</v>
      </c>
      <c r="X906" s="794" t="str">
        <f t="shared" si="744"/>
        <v>-</v>
      </c>
      <c r="Y906" s="794">
        <v>0</v>
      </c>
      <c r="Z906" s="809" t="str">
        <f t="shared" ca="1" si="752"/>
        <v>-----</v>
      </c>
      <c r="AA906" s="810">
        <f t="shared" ca="1" si="753"/>
        <v>43134</v>
      </c>
      <c r="AB906" s="804"/>
      <c r="AC906" s="811" t="str">
        <f t="shared" ca="1" si="754"/>
        <v>-----</v>
      </c>
      <c r="AD906" s="798"/>
      <c r="AE906" s="794" t="str">
        <f t="shared" ca="1" si="755"/>
        <v>-</v>
      </c>
      <c r="AF906" s="798" t="str">
        <f t="shared" si="756"/>
        <v>-</v>
      </c>
      <c r="AG906" s="812" t="str">
        <f t="shared" si="757"/>
        <v>---------</v>
      </c>
      <c r="AH906" s="807"/>
      <c r="AI906" s="807" t="str">
        <f t="shared" si="758"/>
        <v>-</v>
      </c>
      <c r="AJ906" s="807" t="str">
        <f t="shared" si="759"/>
        <v>-</v>
      </c>
      <c r="AK906" s="813"/>
      <c r="AL906" s="807" t="str">
        <f t="shared" si="760"/>
        <v>-</v>
      </c>
      <c r="AM906" s="807" t="str">
        <f t="shared" si="761"/>
        <v>-</v>
      </c>
      <c r="AN906" s="814" t="str">
        <f t="shared" ca="1" si="762"/>
        <v>-</v>
      </c>
      <c r="AO906" s="815">
        <v>1</v>
      </c>
      <c r="AP906" s="816" t="str">
        <f t="shared" ca="1" si="763"/>
        <v>-</v>
      </c>
      <c r="AQ906" s="817"/>
      <c r="AR906" s="794" t="str">
        <f t="shared" si="764"/>
        <v>-</v>
      </c>
      <c r="AS906" s="818"/>
      <c r="AT906" s="794" t="str">
        <f t="shared" si="765"/>
        <v>-</v>
      </c>
      <c r="AU906" s="819"/>
      <c r="AV906" s="865"/>
      <c r="AW906" s="821"/>
      <c r="AX906" s="821"/>
      <c r="AY906" s="969" t="str">
        <f t="shared" si="766"/>
        <v>-</v>
      </c>
      <c r="AZ906" s="966" t="str">
        <f t="shared" si="767"/>
        <v>-</v>
      </c>
      <c r="BA906" s="971" t="str">
        <f t="shared" si="768"/>
        <v>-</v>
      </c>
      <c r="BB906" s="975"/>
      <c r="BC906" s="821"/>
      <c r="BD906" s="821"/>
      <c r="BE906" s="963" t="str">
        <f t="shared" si="769"/>
        <v>-</v>
      </c>
      <c r="BF906" s="984"/>
      <c r="BG906" s="988"/>
      <c r="BH906" s="982"/>
      <c r="BI906" s="991"/>
      <c r="BJ906" s="991"/>
      <c r="BK906" s="993" t="str">
        <f t="shared" si="770"/>
        <v>-</v>
      </c>
      <c r="BL906" s="865"/>
      <c r="BM906" s="821"/>
      <c r="BN906" s="822" t="str">
        <f t="shared" si="771"/>
        <v>-</v>
      </c>
      <c r="BO906" s="823" t="str">
        <f t="shared" si="772"/>
        <v>-</v>
      </c>
      <c r="BP906" s="868"/>
      <c r="BQ906" s="821"/>
      <c r="BR906" s="822" t="str">
        <f t="shared" si="773"/>
        <v>-</v>
      </c>
      <c r="BS906" s="823" t="str">
        <f t="shared" si="774"/>
        <v>-</v>
      </c>
      <c r="BT906" s="825" t="str">
        <f t="shared" ca="1" si="775"/>
        <v>-</v>
      </c>
      <c r="BU906" s="860">
        <v>43003</v>
      </c>
      <c r="BV906" s="827">
        <v>2</v>
      </c>
      <c r="BW906" s="828">
        <f t="shared" si="776"/>
        <v>15</v>
      </c>
      <c r="BX906" s="829">
        <f t="shared" ca="1" si="777"/>
        <v>131</v>
      </c>
      <c r="BY906" s="830" t="str">
        <f t="shared" ca="1" si="778"/>
        <v>-</v>
      </c>
      <c r="BZ906" s="831">
        <v>43046</v>
      </c>
      <c r="CA906" s="832">
        <v>5</v>
      </c>
      <c r="CB906" s="833">
        <f t="shared" ca="1" si="779"/>
        <v>88</v>
      </c>
      <c r="CC906" s="834" t="str">
        <f t="shared" ca="1" si="780"/>
        <v>ТРЕБУЕТСЯ БУСТЕРНАЯ ДОЗА</v>
      </c>
      <c r="CD906" s="835">
        <f t="shared" si="781"/>
        <v>43067</v>
      </c>
      <c r="CE906" s="839"/>
      <c r="CF906" s="832"/>
      <c r="CG906" s="833" t="str">
        <f t="shared" si="782"/>
        <v>-</v>
      </c>
      <c r="CH906" s="836" t="str">
        <f t="shared" si="783"/>
        <v>-</v>
      </c>
      <c r="CI906" s="837" t="str">
        <f t="shared" si="784"/>
        <v>-</v>
      </c>
      <c r="CJ906" s="838" t="str">
        <f t="shared" si="785"/>
        <v>-</v>
      </c>
      <c r="CK906" s="831"/>
      <c r="CL906" s="832"/>
      <c r="CM906" s="833" t="str">
        <f t="shared" si="786"/>
        <v>-</v>
      </c>
      <c r="CN906" s="834" t="str">
        <f t="shared" si="787"/>
        <v>-</v>
      </c>
      <c r="CO906" s="830" t="str">
        <f t="shared" ca="1" si="788"/>
        <v>-</v>
      </c>
      <c r="CP906" s="839"/>
      <c r="CQ906" s="832"/>
      <c r="CR906" s="833" t="str">
        <f t="shared" si="789"/>
        <v>-</v>
      </c>
      <c r="CS906" s="833" t="str">
        <f t="shared" si="790"/>
        <v>-</v>
      </c>
      <c r="CT906" s="834" t="str">
        <f t="shared" si="791"/>
        <v>-</v>
      </c>
      <c r="CU906" s="835" t="str">
        <f t="shared" si="792"/>
        <v>-</v>
      </c>
      <c r="CV906" s="839"/>
      <c r="CW906" s="832"/>
      <c r="CX906" s="833" t="str">
        <f t="shared" si="793"/>
        <v>-</v>
      </c>
      <c r="CY906" s="840" t="str">
        <f t="shared" si="794"/>
        <v>-</v>
      </c>
      <c r="CZ906" s="833" t="str">
        <f t="shared" si="795"/>
        <v>-</v>
      </c>
      <c r="DA906" s="838" t="str">
        <f t="shared" ca="1" si="796"/>
        <v>-</v>
      </c>
      <c r="DB906" s="841"/>
      <c r="DC906" s="832"/>
    </row>
    <row r="907" spans="1:107" x14ac:dyDescent="0.25">
      <c r="A907" s="790">
        <v>911</v>
      </c>
      <c r="B907" s="791">
        <f t="shared" ca="1" si="745"/>
        <v>43134</v>
      </c>
      <c r="C907" s="792" t="s">
        <v>2548</v>
      </c>
      <c r="D907" s="793" t="s">
        <v>2586</v>
      </c>
      <c r="E907" s="794" t="s">
        <v>1563</v>
      </c>
      <c r="F907" s="795" t="s">
        <v>2451</v>
      </c>
      <c r="G907" s="845"/>
      <c r="H907" s="797" t="s">
        <v>603</v>
      </c>
      <c r="I907" s="798">
        <v>42794</v>
      </c>
      <c r="J907" s="799">
        <f t="shared" ca="1" si="746"/>
        <v>0.93150684931506844</v>
      </c>
      <c r="K907" s="799">
        <f t="shared" ca="1" si="747"/>
        <v>11.333333333333334</v>
      </c>
      <c r="L907" s="800">
        <f t="shared" ca="1" si="748"/>
        <v>340</v>
      </c>
      <c r="M907" s="801"/>
      <c r="N907" s="802"/>
      <c r="O907" s="803" t="str">
        <f t="shared" ca="1" si="749"/>
        <v>-</v>
      </c>
      <c r="P907" s="804"/>
      <c r="Q907" s="805"/>
      <c r="R907" s="806"/>
      <c r="S907" s="807"/>
      <c r="T907" s="798"/>
      <c r="U907" s="798" t="str">
        <f t="shared" si="750"/>
        <v>-</v>
      </c>
      <c r="V907" s="804" t="str">
        <f t="shared" ca="1" si="751"/>
        <v>-</v>
      </c>
      <c r="W907" s="808">
        <v>0</v>
      </c>
      <c r="X907" s="794" t="str">
        <f t="shared" si="744"/>
        <v>-</v>
      </c>
      <c r="Y907" s="794">
        <v>0</v>
      </c>
      <c r="Z907" s="809" t="str">
        <f t="shared" ca="1" si="752"/>
        <v>-----</v>
      </c>
      <c r="AA907" s="810">
        <f t="shared" ca="1" si="753"/>
        <v>43134</v>
      </c>
      <c r="AB907" s="804"/>
      <c r="AC907" s="811" t="str">
        <f t="shared" ca="1" si="754"/>
        <v>-----</v>
      </c>
      <c r="AD907" s="798"/>
      <c r="AE907" s="794" t="str">
        <f t="shared" ca="1" si="755"/>
        <v>-</v>
      </c>
      <c r="AF907" s="798" t="str">
        <f t="shared" si="756"/>
        <v>-</v>
      </c>
      <c r="AG907" s="812" t="str">
        <f t="shared" si="757"/>
        <v>---------</v>
      </c>
      <c r="AH907" s="807"/>
      <c r="AI907" s="807" t="str">
        <f t="shared" si="758"/>
        <v>-</v>
      </c>
      <c r="AJ907" s="807" t="str">
        <f t="shared" si="759"/>
        <v>-</v>
      </c>
      <c r="AK907" s="813"/>
      <c r="AL907" s="807" t="str">
        <f t="shared" si="760"/>
        <v>-</v>
      </c>
      <c r="AM907" s="807" t="str">
        <f t="shared" si="761"/>
        <v>-</v>
      </c>
      <c r="AN907" s="814" t="str">
        <f t="shared" ca="1" si="762"/>
        <v>-</v>
      </c>
      <c r="AO907" s="815">
        <v>1</v>
      </c>
      <c r="AP907" s="816" t="str">
        <f t="shared" ca="1" si="763"/>
        <v>-</v>
      </c>
      <c r="AQ907" s="817"/>
      <c r="AR907" s="794" t="str">
        <f t="shared" si="764"/>
        <v>-</v>
      </c>
      <c r="AS907" s="818"/>
      <c r="AT907" s="794" t="str">
        <f t="shared" si="765"/>
        <v>-</v>
      </c>
      <c r="AU907" s="819"/>
      <c r="AV907" s="820"/>
      <c r="AW907" s="821"/>
      <c r="AX907" s="821"/>
      <c r="AY907" s="969" t="str">
        <f t="shared" si="766"/>
        <v>-</v>
      </c>
      <c r="AZ907" s="966" t="str">
        <f t="shared" si="767"/>
        <v>-</v>
      </c>
      <c r="BA907" s="971" t="str">
        <f t="shared" si="768"/>
        <v>-</v>
      </c>
      <c r="BB907" s="975"/>
      <c r="BC907" s="821"/>
      <c r="BD907" s="821"/>
      <c r="BE907" s="963" t="str">
        <f t="shared" si="769"/>
        <v>-</v>
      </c>
      <c r="BF907" s="984"/>
      <c r="BG907" s="988"/>
      <c r="BH907" s="982"/>
      <c r="BI907" s="991"/>
      <c r="BJ907" s="991"/>
      <c r="BK907" s="993" t="str">
        <f t="shared" si="770"/>
        <v>-</v>
      </c>
      <c r="BL907" s="820">
        <v>42978</v>
      </c>
      <c r="BM907" s="821">
        <v>5</v>
      </c>
      <c r="BN907" s="822">
        <f t="shared" ca="1" si="771"/>
        <v>156</v>
      </c>
      <c r="BO907" s="823">
        <f t="shared" si="772"/>
        <v>6.1333333333333337</v>
      </c>
      <c r="BP907" s="824"/>
      <c r="BQ907" s="821"/>
      <c r="BR907" s="822" t="str">
        <f t="shared" si="773"/>
        <v>-</v>
      </c>
      <c r="BS907" s="823" t="str">
        <f t="shared" si="774"/>
        <v>-</v>
      </c>
      <c r="BT907" s="825" t="str">
        <f t="shared" ca="1" si="775"/>
        <v>-</v>
      </c>
      <c r="BU907" s="826"/>
      <c r="BV907" s="827"/>
      <c r="BW907" s="828" t="str">
        <f t="shared" si="776"/>
        <v>Ж-Е НЕ ВАКЦ.</v>
      </c>
      <c r="BX907" s="829" t="str">
        <f t="shared" si="777"/>
        <v>-</v>
      </c>
      <c r="BY907" s="830" t="str">
        <f t="shared" ca="1" si="778"/>
        <v>-</v>
      </c>
      <c r="BZ907" s="831">
        <v>42887</v>
      </c>
      <c r="CA907" s="832">
        <v>5</v>
      </c>
      <c r="CB907" s="833">
        <f t="shared" ca="1" si="779"/>
        <v>247</v>
      </c>
      <c r="CC907" s="834" t="str">
        <f t="shared" ca="1" si="780"/>
        <v>-</v>
      </c>
      <c r="CD907" s="835">
        <f t="shared" si="781"/>
        <v>42908</v>
      </c>
      <c r="CE907" s="831">
        <v>42908</v>
      </c>
      <c r="CF907" s="832">
        <v>5</v>
      </c>
      <c r="CG907" s="833">
        <f t="shared" ca="1" si="782"/>
        <v>226</v>
      </c>
      <c r="CH907" s="836">
        <f t="shared" si="783"/>
        <v>0</v>
      </c>
      <c r="CI907" s="837" t="str">
        <f t="shared" si="784"/>
        <v>УСПЕШНО</v>
      </c>
      <c r="CJ907" s="838" t="str">
        <f t="shared" ca="1" si="785"/>
        <v>-</v>
      </c>
      <c r="CK907" s="831"/>
      <c r="CL907" s="832"/>
      <c r="CM907" s="833" t="str">
        <f t="shared" si="786"/>
        <v>-</v>
      </c>
      <c r="CN907" s="834" t="str">
        <f t="shared" si="787"/>
        <v>-</v>
      </c>
      <c r="CO907" s="830" t="str">
        <f t="shared" ca="1" si="788"/>
        <v>-</v>
      </c>
      <c r="CP907" s="839"/>
      <c r="CQ907" s="832"/>
      <c r="CR907" s="833" t="str">
        <f t="shared" si="789"/>
        <v>-</v>
      </c>
      <c r="CS907" s="833" t="str">
        <f t="shared" si="790"/>
        <v>-</v>
      </c>
      <c r="CT907" s="834" t="str">
        <f t="shared" si="791"/>
        <v>-</v>
      </c>
      <c r="CU907" s="835" t="str">
        <f t="shared" si="792"/>
        <v>-</v>
      </c>
      <c r="CV907" s="839"/>
      <c r="CW907" s="832"/>
      <c r="CX907" s="833" t="str">
        <f t="shared" si="793"/>
        <v>-</v>
      </c>
      <c r="CY907" s="840" t="str">
        <f t="shared" si="794"/>
        <v>-</v>
      </c>
      <c r="CZ907" s="833" t="str">
        <f t="shared" si="795"/>
        <v>-</v>
      </c>
      <c r="DA907" s="838" t="str">
        <f t="shared" ca="1" si="796"/>
        <v>-</v>
      </c>
      <c r="DB907" s="841"/>
      <c r="DC907" s="832"/>
    </row>
    <row r="908" spans="1:107" x14ac:dyDescent="0.25">
      <c r="A908" s="790">
        <v>912</v>
      </c>
      <c r="B908" s="791">
        <f t="shared" ca="1" si="745"/>
        <v>43134</v>
      </c>
      <c r="C908" s="792" t="s">
        <v>2548</v>
      </c>
      <c r="D908" s="793" t="s">
        <v>2586</v>
      </c>
      <c r="E908" s="794" t="s">
        <v>1563</v>
      </c>
      <c r="F908" s="795" t="s">
        <v>2528</v>
      </c>
      <c r="G908" s="845"/>
      <c r="H908" s="797" t="s">
        <v>603</v>
      </c>
      <c r="I908" s="798">
        <v>42814</v>
      </c>
      <c r="J908" s="799">
        <f t="shared" ca="1" si="746"/>
        <v>0.87671232876712324</v>
      </c>
      <c r="K908" s="799">
        <f t="shared" ca="1" si="747"/>
        <v>10.666666666666666</v>
      </c>
      <c r="L908" s="800">
        <f t="shared" ca="1" si="748"/>
        <v>320</v>
      </c>
      <c r="M908" s="801"/>
      <c r="N908" s="802"/>
      <c r="O908" s="803" t="str">
        <f t="shared" ca="1" si="749"/>
        <v>-</v>
      </c>
      <c r="P908" s="804"/>
      <c r="Q908" s="805"/>
      <c r="R908" s="806"/>
      <c r="S908" s="807"/>
      <c r="T908" s="798"/>
      <c r="U908" s="798" t="str">
        <f t="shared" si="750"/>
        <v>-</v>
      </c>
      <c r="V908" s="804" t="str">
        <f t="shared" ca="1" si="751"/>
        <v>-</v>
      </c>
      <c r="W908" s="808">
        <v>0</v>
      </c>
      <c r="X908" s="794" t="str">
        <f t="shared" si="744"/>
        <v>-</v>
      </c>
      <c r="Y908" s="794">
        <v>0</v>
      </c>
      <c r="Z908" s="809" t="str">
        <f t="shared" ca="1" si="752"/>
        <v>-----</v>
      </c>
      <c r="AA908" s="810">
        <f t="shared" ca="1" si="753"/>
        <v>43134</v>
      </c>
      <c r="AB908" s="804"/>
      <c r="AC908" s="811" t="str">
        <f t="shared" ca="1" si="754"/>
        <v>-----</v>
      </c>
      <c r="AD908" s="798"/>
      <c r="AE908" s="794" t="str">
        <f t="shared" ca="1" si="755"/>
        <v>-</v>
      </c>
      <c r="AF908" s="798" t="str">
        <f t="shared" si="756"/>
        <v>-</v>
      </c>
      <c r="AG908" s="812" t="str">
        <f t="shared" si="757"/>
        <v>---------</v>
      </c>
      <c r="AH908" s="807"/>
      <c r="AI908" s="807" t="str">
        <f t="shared" si="758"/>
        <v>-</v>
      </c>
      <c r="AJ908" s="807" t="str">
        <f t="shared" si="759"/>
        <v>-</v>
      </c>
      <c r="AK908" s="813"/>
      <c r="AL908" s="807" t="str">
        <f t="shared" si="760"/>
        <v>-</v>
      </c>
      <c r="AM908" s="807" t="str">
        <f t="shared" si="761"/>
        <v>-</v>
      </c>
      <c r="AN908" s="814" t="str">
        <f t="shared" ca="1" si="762"/>
        <v>-</v>
      </c>
      <c r="AO908" s="815">
        <v>1</v>
      </c>
      <c r="AP908" s="816" t="str">
        <f t="shared" ca="1" si="763"/>
        <v>-</v>
      </c>
      <c r="AQ908" s="817"/>
      <c r="AR908" s="794" t="str">
        <f t="shared" si="764"/>
        <v>-</v>
      </c>
      <c r="AS908" s="818"/>
      <c r="AT908" s="794" t="str">
        <f t="shared" si="765"/>
        <v>-</v>
      </c>
      <c r="AU908" s="819"/>
      <c r="AV908" s="820"/>
      <c r="AW908" s="821"/>
      <c r="AX908" s="821"/>
      <c r="AY908" s="969" t="str">
        <f t="shared" si="766"/>
        <v>-</v>
      </c>
      <c r="AZ908" s="966" t="str">
        <f t="shared" si="767"/>
        <v>-</v>
      </c>
      <c r="BA908" s="971" t="str">
        <f t="shared" si="768"/>
        <v>-</v>
      </c>
      <c r="BB908" s="975"/>
      <c r="BC908" s="821"/>
      <c r="BD908" s="821"/>
      <c r="BE908" s="963" t="str">
        <f t="shared" si="769"/>
        <v>-</v>
      </c>
      <c r="BF908" s="984"/>
      <c r="BG908" s="988"/>
      <c r="BH908" s="982"/>
      <c r="BI908" s="991"/>
      <c r="BJ908" s="991"/>
      <c r="BK908" s="993" t="str">
        <f t="shared" si="770"/>
        <v>-</v>
      </c>
      <c r="BL908" s="820">
        <v>42978</v>
      </c>
      <c r="BM908" s="821">
        <v>5</v>
      </c>
      <c r="BN908" s="822">
        <f t="shared" ca="1" si="771"/>
        <v>156</v>
      </c>
      <c r="BO908" s="823">
        <f t="shared" si="772"/>
        <v>5.4666666666666668</v>
      </c>
      <c r="BP908" s="824"/>
      <c r="BQ908" s="821"/>
      <c r="BR908" s="822" t="str">
        <f t="shared" si="773"/>
        <v>-</v>
      </c>
      <c r="BS908" s="823" t="str">
        <f t="shared" si="774"/>
        <v>-</v>
      </c>
      <c r="BT908" s="825" t="str">
        <f t="shared" ca="1" si="775"/>
        <v>-</v>
      </c>
      <c r="BU908" s="826"/>
      <c r="BV908" s="827"/>
      <c r="BW908" s="828" t="str">
        <f t="shared" si="776"/>
        <v>Ж-Е НЕ ВАКЦ.</v>
      </c>
      <c r="BX908" s="829" t="str">
        <f t="shared" si="777"/>
        <v>-</v>
      </c>
      <c r="BY908" s="830" t="str">
        <f t="shared" ca="1" si="778"/>
        <v>-</v>
      </c>
      <c r="BZ908" s="831">
        <v>42887</v>
      </c>
      <c r="CA908" s="832">
        <v>5</v>
      </c>
      <c r="CB908" s="833">
        <f t="shared" ca="1" si="779"/>
        <v>247</v>
      </c>
      <c r="CC908" s="834" t="str">
        <f t="shared" ca="1" si="780"/>
        <v>-</v>
      </c>
      <c r="CD908" s="835">
        <f t="shared" si="781"/>
        <v>42908</v>
      </c>
      <c r="CE908" s="831">
        <v>42908</v>
      </c>
      <c r="CF908" s="832">
        <v>5</v>
      </c>
      <c r="CG908" s="833">
        <f t="shared" ca="1" si="782"/>
        <v>226</v>
      </c>
      <c r="CH908" s="836">
        <f t="shared" si="783"/>
        <v>0</v>
      </c>
      <c r="CI908" s="837" t="str">
        <f t="shared" si="784"/>
        <v>УСПЕШНО</v>
      </c>
      <c r="CJ908" s="838" t="str">
        <f t="shared" ca="1" si="785"/>
        <v>-</v>
      </c>
      <c r="CK908" s="831"/>
      <c r="CL908" s="832"/>
      <c r="CM908" s="833" t="str">
        <f t="shared" si="786"/>
        <v>-</v>
      </c>
      <c r="CN908" s="834" t="str">
        <f t="shared" si="787"/>
        <v>-</v>
      </c>
      <c r="CO908" s="830" t="str">
        <f t="shared" ca="1" si="788"/>
        <v>-</v>
      </c>
      <c r="CP908" s="839"/>
      <c r="CQ908" s="832"/>
      <c r="CR908" s="833" t="str">
        <f t="shared" si="789"/>
        <v>-</v>
      </c>
      <c r="CS908" s="833" t="str">
        <f t="shared" si="790"/>
        <v>-</v>
      </c>
      <c r="CT908" s="834" t="str">
        <f t="shared" si="791"/>
        <v>-</v>
      </c>
      <c r="CU908" s="835" t="str">
        <f t="shared" si="792"/>
        <v>-</v>
      </c>
      <c r="CV908" s="839"/>
      <c r="CW908" s="832"/>
      <c r="CX908" s="833" t="str">
        <f t="shared" si="793"/>
        <v>-</v>
      </c>
      <c r="CY908" s="840" t="str">
        <f t="shared" si="794"/>
        <v>-</v>
      </c>
      <c r="CZ908" s="833" t="str">
        <f t="shared" si="795"/>
        <v>-</v>
      </c>
      <c r="DA908" s="838" t="str">
        <f t="shared" ca="1" si="796"/>
        <v>-</v>
      </c>
      <c r="DB908" s="841"/>
      <c r="DC908" s="832"/>
    </row>
    <row r="909" spans="1:107" x14ac:dyDescent="0.25">
      <c r="A909" s="790">
        <v>913</v>
      </c>
      <c r="B909" s="791">
        <f t="shared" ca="1" si="745"/>
        <v>43134</v>
      </c>
      <c r="C909" s="29" t="s">
        <v>2548</v>
      </c>
      <c r="D909" s="59" t="s">
        <v>2586</v>
      </c>
      <c r="E909" s="794" t="s">
        <v>1563</v>
      </c>
      <c r="F909" s="795" t="s">
        <v>2581</v>
      </c>
      <c r="G909" s="845"/>
      <c r="H909" s="797" t="s">
        <v>603</v>
      </c>
      <c r="I909" s="798">
        <v>42823</v>
      </c>
      <c r="J909" s="799">
        <f t="shared" ca="1" si="746"/>
        <v>0.852054794520548</v>
      </c>
      <c r="K909" s="799">
        <f t="shared" ca="1" si="747"/>
        <v>10.366666666666667</v>
      </c>
      <c r="L909" s="800">
        <f t="shared" ca="1" si="748"/>
        <v>311</v>
      </c>
      <c r="M909" s="801"/>
      <c r="N909" s="802"/>
      <c r="O909" s="803" t="str">
        <f t="shared" ca="1" si="749"/>
        <v>-</v>
      </c>
      <c r="P909" s="804"/>
      <c r="Q909" s="805"/>
      <c r="R909" s="806"/>
      <c r="S909" s="807"/>
      <c r="T909" s="798"/>
      <c r="U909" s="798" t="str">
        <f t="shared" si="750"/>
        <v>-</v>
      </c>
      <c r="V909" s="804" t="str">
        <f t="shared" ca="1" si="751"/>
        <v>-</v>
      </c>
      <c r="W909" s="808">
        <v>0</v>
      </c>
      <c r="X909" s="794" t="str">
        <f t="shared" si="744"/>
        <v>-</v>
      </c>
      <c r="Y909" s="794">
        <v>0</v>
      </c>
      <c r="Z909" s="809" t="str">
        <f t="shared" ca="1" si="752"/>
        <v>-----</v>
      </c>
      <c r="AA909" s="810">
        <f t="shared" ca="1" si="753"/>
        <v>43134</v>
      </c>
      <c r="AB909" s="804"/>
      <c r="AC909" s="811" t="str">
        <f t="shared" ca="1" si="754"/>
        <v>-----</v>
      </c>
      <c r="AD909" s="798"/>
      <c r="AE909" s="794" t="str">
        <f t="shared" ca="1" si="755"/>
        <v>-</v>
      </c>
      <c r="AF909" s="798" t="str">
        <f t="shared" si="756"/>
        <v>-</v>
      </c>
      <c r="AG909" s="812" t="str">
        <f t="shared" si="757"/>
        <v>---------</v>
      </c>
      <c r="AH909" s="807"/>
      <c r="AI909" s="807" t="str">
        <f t="shared" si="758"/>
        <v>-</v>
      </c>
      <c r="AJ909" s="807" t="str">
        <f t="shared" si="759"/>
        <v>-</v>
      </c>
      <c r="AK909" s="813"/>
      <c r="AL909" s="807" t="str">
        <f t="shared" si="760"/>
        <v>-</v>
      </c>
      <c r="AM909" s="807" t="str">
        <f t="shared" si="761"/>
        <v>-</v>
      </c>
      <c r="AN909" s="814" t="str">
        <f t="shared" ca="1" si="762"/>
        <v>-</v>
      </c>
      <c r="AO909" s="815">
        <v>1</v>
      </c>
      <c r="AP909" s="816" t="str">
        <f t="shared" ca="1" si="763"/>
        <v>-</v>
      </c>
      <c r="AQ909" s="817"/>
      <c r="AR909" s="794" t="str">
        <f t="shared" si="764"/>
        <v>-</v>
      </c>
      <c r="AS909" s="818"/>
      <c r="AT909" s="794" t="str">
        <f t="shared" si="765"/>
        <v>-</v>
      </c>
      <c r="AU909" s="819"/>
      <c r="AV909" s="820"/>
      <c r="AW909" s="821"/>
      <c r="AX909" s="821"/>
      <c r="AY909" s="969" t="str">
        <f t="shared" si="766"/>
        <v>-</v>
      </c>
      <c r="AZ909" s="966" t="str">
        <f t="shared" si="767"/>
        <v>-</v>
      </c>
      <c r="BA909" s="971" t="str">
        <f t="shared" si="768"/>
        <v>-</v>
      </c>
      <c r="BB909" s="975"/>
      <c r="BC909" s="821"/>
      <c r="BD909" s="821"/>
      <c r="BE909" s="963" t="str">
        <f t="shared" si="769"/>
        <v>-</v>
      </c>
      <c r="BF909" s="984"/>
      <c r="BG909" s="988"/>
      <c r="BH909" s="982"/>
      <c r="BI909" s="991"/>
      <c r="BJ909" s="991"/>
      <c r="BK909" s="993" t="str">
        <f t="shared" si="770"/>
        <v>-</v>
      </c>
      <c r="BL909" s="820">
        <v>42978</v>
      </c>
      <c r="BM909" s="821">
        <v>5</v>
      </c>
      <c r="BN909" s="822">
        <f t="shared" ca="1" si="771"/>
        <v>156</v>
      </c>
      <c r="BO909" s="823">
        <f t="shared" si="772"/>
        <v>5.166666666666667</v>
      </c>
      <c r="BP909" s="824"/>
      <c r="BQ909" s="821"/>
      <c r="BR909" s="822" t="str">
        <f t="shared" si="773"/>
        <v>-</v>
      </c>
      <c r="BS909" s="823" t="str">
        <f t="shared" si="774"/>
        <v>-</v>
      </c>
      <c r="BT909" s="825" t="str">
        <f t="shared" ca="1" si="775"/>
        <v>-</v>
      </c>
      <c r="BU909" s="826"/>
      <c r="BV909" s="827"/>
      <c r="BW909" s="828" t="str">
        <f t="shared" si="776"/>
        <v>Ж-Е НЕ ВАКЦ.</v>
      </c>
      <c r="BX909" s="829" t="str">
        <f t="shared" si="777"/>
        <v>-</v>
      </c>
      <c r="BY909" s="830" t="str">
        <f t="shared" ca="1" si="778"/>
        <v>-</v>
      </c>
      <c r="BZ909" s="831">
        <v>42915</v>
      </c>
      <c r="CA909" s="832">
        <v>5</v>
      </c>
      <c r="CB909" s="833">
        <f t="shared" ca="1" si="779"/>
        <v>219</v>
      </c>
      <c r="CC909" s="834" t="str">
        <f t="shared" ca="1" si="780"/>
        <v>-</v>
      </c>
      <c r="CD909" s="835">
        <f t="shared" si="781"/>
        <v>42936</v>
      </c>
      <c r="CE909" s="831">
        <v>42936</v>
      </c>
      <c r="CF909" s="832">
        <v>5</v>
      </c>
      <c r="CG909" s="833">
        <f t="shared" ca="1" si="782"/>
        <v>198</v>
      </c>
      <c r="CH909" s="836">
        <f t="shared" si="783"/>
        <v>0</v>
      </c>
      <c r="CI909" s="837" t="str">
        <f t="shared" si="784"/>
        <v>УСПЕШНО</v>
      </c>
      <c r="CJ909" s="838" t="str">
        <f t="shared" ca="1" si="785"/>
        <v>-</v>
      </c>
      <c r="CK909" s="831"/>
      <c r="CL909" s="832"/>
      <c r="CM909" s="833" t="str">
        <f t="shared" si="786"/>
        <v>-</v>
      </c>
      <c r="CN909" s="834" t="str">
        <f t="shared" si="787"/>
        <v>-</v>
      </c>
      <c r="CO909" s="830" t="str">
        <f t="shared" ca="1" si="788"/>
        <v>-</v>
      </c>
      <c r="CP909" s="839"/>
      <c r="CQ909" s="832"/>
      <c r="CR909" s="833" t="str">
        <f t="shared" si="789"/>
        <v>-</v>
      </c>
      <c r="CS909" s="833" t="str">
        <f t="shared" si="790"/>
        <v>-</v>
      </c>
      <c r="CT909" s="834" t="str">
        <f t="shared" si="791"/>
        <v>-</v>
      </c>
      <c r="CU909" s="835" t="str">
        <f t="shared" si="792"/>
        <v>-</v>
      </c>
      <c r="CV909" s="839"/>
      <c r="CW909" s="832"/>
      <c r="CX909" s="833" t="str">
        <f t="shared" si="793"/>
        <v>-</v>
      </c>
      <c r="CY909" s="840" t="str">
        <f t="shared" si="794"/>
        <v>-</v>
      </c>
      <c r="CZ909" s="833" t="str">
        <f t="shared" si="795"/>
        <v>-</v>
      </c>
      <c r="DA909" s="838" t="str">
        <f t="shared" ca="1" si="796"/>
        <v>-</v>
      </c>
      <c r="DB909" s="841"/>
      <c r="DC909" s="832"/>
    </row>
    <row r="910" spans="1:107" x14ac:dyDescent="0.25">
      <c r="A910" s="790">
        <v>914</v>
      </c>
      <c r="B910" s="791">
        <f t="shared" ca="1" si="745"/>
        <v>43134</v>
      </c>
      <c r="C910" s="792" t="s">
        <v>2548</v>
      </c>
      <c r="D910" s="793" t="s">
        <v>2586</v>
      </c>
      <c r="E910" s="794" t="s">
        <v>1563</v>
      </c>
      <c r="F910" s="795" t="s">
        <v>2600</v>
      </c>
      <c r="G910" s="845"/>
      <c r="H910" s="797" t="s">
        <v>603</v>
      </c>
      <c r="I910" s="798">
        <v>42827</v>
      </c>
      <c r="J910" s="799">
        <f t="shared" ca="1" si="746"/>
        <v>0.84109589041095889</v>
      </c>
      <c r="K910" s="799">
        <f t="shared" ca="1" si="747"/>
        <v>10.233333333333333</v>
      </c>
      <c r="L910" s="800">
        <f t="shared" ca="1" si="748"/>
        <v>307</v>
      </c>
      <c r="M910" s="801"/>
      <c r="N910" s="802"/>
      <c r="O910" s="803" t="str">
        <f t="shared" ca="1" si="749"/>
        <v>-</v>
      </c>
      <c r="P910" s="804"/>
      <c r="Q910" s="805"/>
      <c r="R910" s="806"/>
      <c r="S910" s="807"/>
      <c r="T910" s="798"/>
      <c r="U910" s="798" t="str">
        <f t="shared" si="750"/>
        <v>-</v>
      </c>
      <c r="V910" s="804" t="str">
        <f t="shared" ca="1" si="751"/>
        <v>-</v>
      </c>
      <c r="W910" s="808">
        <v>0</v>
      </c>
      <c r="X910" s="794" t="str">
        <f t="shared" si="744"/>
        <v>-</v>
      </c>
      <c r="Y910" s="794">
        <v>0</v>
      </c>
      <c r="Z910" s="809" t="str">
        <f t="shared" ca="1" si="752"/>
        <v>-----</v>
      </c>
      <c r="AA910" s="810">
        <f t="shared" ca="1" si="753"/>
        <v>43134</v>
      </c>
      <c r="AB910" s="804"/>
      <c r="AC910" s="811" t="str">
        <f t="shared" ca="1" si="754"/>
        <v>-----</v>
      </c>
      <c r="AD910" s="798"/>
      <c r="AE910" s="794" t="str">
        <f t="shared" ca="1" si="755"/>
        <v>-</v>
      </c>
      <c r="AF910" s="798" t="str">
        <f t="shared" si="756"/>
        <v>-</v>
      </c>
      <c r="AG910" s="812" t="str">
        <f t="shared" si="757"/>
        <v>---------</v>
      </c>
      <c r="AH910" s="807"/>
      <c r="AI910" s="807" t="str">
        <f t="shared" si="758"/>
        <v>-</v>
      </c>
      <c r="AJ910" s="807" t="str">
        <f t="shared" si="759"/>
        <v>-</v>
      </c>
      <c r="AK910" s="813"/>
      <c r="AL910" s="807" t="str">
        <f t="shared" si="760"/>
        <v>-</v>
      </c>
      <c r="AM910" s="807" t="str">
        <f t="shared" si="761"/>
        <v>-</v>
      </c>
      <c r="AN910" s="814" t="str">
        <f t="shared" ca="1" si="762"/>
        <v>-</v>
      </c>
      <c r="AO910" s="815">
        <v>1</v>
      </c>
      <c r="AP910" s="816" t="str">
        <f t="shared" ca="1" si="763"/>
        <v>-</v>
      </c>
      <c r="AQ910" s="817"/>
      <c r="AR910" s="794" t="str">
        <f t="shared" si="764"/>
        <v>-</v>
      </c>
      <c r="AS910" s="818"/>
      <c r="AT910" s="794" t="str">
        <f t="shared" si="765"/>
        <v>-</v>
      </c>
      <c r="AU910" s="819"/>
      <c r="AV910" s="865"/>
      <c r="AW910" s="821"/>
      <c r="AX910" s="821"/>
      <c r="AY910" s="969" t="str">
        <f t="shared" si="766"/>
        <v>-</v>
      </c>
      <c r="AZ910" s="966" t="str">
        <f t="shared" si="767"/>
        <v>-</v>
      </c>
      <c r="BA910" s="971" t="str">
        <f t="shared" si="768"/>
        <v>-</v>
      </c>
      <c r="BB910" s="975"/>
      <c r="BC910" s="821"/>
      <c r="BD910" s="821"/>
      <c r="BE910" s="963" t="str">
        <f t="shared" si="769"/>
        <v>-</v>
      </c>
      <c r="BF910" s="984"/>
      <c r="BG910" s="988"/>
      <c r="BH910" s="982"/>
      <c r="BI910" s="991"/>
      <c r="BJ910" s="991"/>
      <c r="BK910" s="993" t="str">
        <f t="shared" si="770"/>
        <v>-</v>
      </c>
      <c r="BL910" s="865"/>
      <c r="BM910" s="821"/>
      <c r="BN910" s="822" t="str">
        <f t="shared" si="771"/>
        <v>-</v>
      </c>
      <c r="BO910" s="823" t="str">
        <f t="shared" si="772"/>
        <v>-</v>
      </c>
      <c r="BP910" s="868"/>
      <c r="BQ910" s="821"/>
      <c r="BR910" s="822" t="str">
        <f t="shared" si="773"/>
        <v>-</v>
      </c>
      <c r="BS910" s="823" t="str">
        <f t="shared" si="774"/>
        <v>-</v>
      </c>
      <c r="BT910" s="825" t="str">
        <f t="shared" ca="1" si="775"/>
        <v>-</v>
      </c>
      <c r="BU910" s="860">
        <v>42886</v>
      </c>
      <c r="BV910" s="827">
        <v>2</v>
      </c>
      <c r="BW910" s="828">
        <f t="shared" si="776"/>
        <v>59</v>
      </c>
      <c r="BX910" s="829">
        <f t="shared" ca="1" si="777"/>
        <v>248</v>
      </c>
      <c r="BY910" s="830" t="str">
        <f t="shared" ca="1" si="778"/>
        <v>-</v>
      </c>
      <c r="BZ910" s="831">
        <v>42915</v>
      </c>
      <c r="CA910" s="832">
        <v>5</v>
      </c>
      <c r="CB910" s="833">
        <f t="shared" ca="1" si="779"/>
        <v>219</v>
      </c>
      <c r="CC910" s="834" t="str">
        <f t="shared" ca="1" si="780"/>
        <v>-</v>
      </c>
      <c r="CD910" s="835">
        <f t="shared" si="781"/>
        <v>42936</v>
      </c>
      <c r="CE910" s="831">
        <v>42936</v>
      </c>
      <c r="CF910" s="832">
        <v>5</v>
      </c>
      <c r="CG910" s="833">
        <f t="shared" ca="1" si="782"/>
        <v>198</v>
      </c>
      <c r="CH910" s="836">
        <f t="shared" si="783"/>
        <v>0</v>
      </c>
      <c r="CI910" s="837" t="str">
        <f t="shared" si="784"/>
        <v>УСПЕШНО</v>
      </c>
      <c r="CJ910" s="838" t="str">
        <f t="shared" ca="1" si="785"/>
        <v>-</v>
      </c>
      <c r="CK910" s="831"/>
      <c r="CL910" s="832"/>
      <c r="CM910" s="833" t="str">
        <f t="shared" si="786"/>
        <v>-</v>
      </c>
      <c r="CN910" s="834" t="str">
        <f t="shared" si="787"/>
        <v>-</v>
      </c>
      <c r="CO910" s="830" t="str">
        <f t="shared" ca="1" si="788"/>
        <v>-</v>
      </c>
      <c r="CP910" s="839"/>
      <c r="CQ910" s="832"/>
      <c r="CR910" s="833" t="str">
        <f t="shared" si="789"/>
        <v>-</v>
      </c>
      <c r="CS910" s="833" t="str">
        <f t="shared" si="790"/>
        <v>-</v>
      </c>
      <c r="CT910" s="834" t="str">
        <f t="shared" si="791"/>
        <v>-</v>
      </c>
      <c r="CU910" s="835" t="str">
        <f t="shared" si="792"/>
        <v>-</v>
      </c>
      <c r="CV910" s="839"/>
      <c r="CW910" s="832"/>
      <c r="CX910" s="833" t="str">
        <f t="shared" si="793"/>
        <v>-</v>
      </c>
      <c r="CY910" s="840" t="str">
        <f t="shared" si="794"/>
        <v>-</v>
      </c>
      <c r="CZ910" s="833" t="str">
        <f t="shared" si="795"/>
        <v>-</v>
      </c>
      <c r="DA910" s="838" t="str">
        <f t="shared" ca="1" si="796"/>
        <v>-</v>
      </c>
      <c r="DB910" s="841"/>
      <c r="DC910" s="832"/>
    </row>
    <row r="911" spans="1:107" x14ac:dyDescent="0.25">
      <c r="A911" s="790">
        <v>915</v>
      </c>
      <c r="B911" s="791">
        <f t="shared" ca="1" si="745"/>
        <v>43134</v>
      </c>
      <c r="C911" s="792" t="s">
        <v>2548</v>
      </c>
      <c r="D911" s="793" t="s">
        <v>2586</v>
      </c>
      <c r="E911" s="794" t="s">
        <v>1563</v>
      </c>
      <c r="F911" s="795" t="s">
        <v>2619</v>
      </c>
      <c r="G911" s="845"/>
      <c r="H911" s="797" t="s">
        <v>603</v>
      </c>
      <c r="I911" s="798">
        <v>42830</v>
      </c>
      <c r="J911" s="799">
        <f t="shared" ca="1" si="746"/>
        <v>0.83287671232876714</v>
      </c>
      <c r="K911" s="799">
        <f t="shared" ca="1" si="747"/>
        <v>10.133333333333333</v>
      </c>
      <c r="L911" s="800">
        <f t="shared" ca="1" si="748"/>
        <v>304</v>
      </c>
      <c r="M911" s="801"/>
      <c r="N911" s="802"/>
      <c r="O911" s="803" t="str">
        <f t="shared" ca="1" si="749"/>
        <v>-</v>
      </c>
      <c r="P911" s="804"/>
      <c r="Q911" s="805"/>
      <c r="R911" s="806"/>
      <c r="S911" s="807"/>
      <c r="T911" s="798"/>
      <c r="U911" s="798" t="str">
        <f t="shared" si="750"/>
        <v>-</v>
      </c>
      <c r="V911" s="804" t="str">
        <f t="shared" ca="1" si="751"/>
        <v>-</v>
      </c>
      <c r="W911" s="808">
        <v>0</v>
      </c>
      <c r="X911" s="794" t="str">
        <f t="shared" si="744"/>
        <v>-</v>
      </c>
      <c r="Y911" s="794">
        <v>0</v>
      </c>
      <c r="Z911" s="809" t="str">
        <f t="shared" ca="1" si="752"/>
        <v>-----</v>
      </c>
      <c r="AA911" s="810">
        <f t="shared" ca="1" si="753"/>
        <v>43134</v>
      </c>
      <c r="AB911" s="804"/>
      <c r="AC911" s="811" t="str">
        <f t="shared" ca="1" si="754"/>
        <v>-----</v>
      </c>
      <c r="AD911" s="798"/>
      <c r="AE911" s="794" t="str">
        <f t="shared" ca="1" si="755"/>
        <v>-</v>
      </c>
      <c r="AF911" s="798" t="str">
        <f t="shared" si="756"/>
        <v>-</v>
      </c>
      <c r="AG911" s="812" t="str">
        <f t="shared" si="757"/>
        <v>---------</v>
      </c>
      <c r="AH911" s="807"/>
      <c r="AI911" s="807" t="str">
        <f t="shared" si="758"/>
        <v>-</v>
      </c>
      <c r="AJ911" s="807" t="str">
        <f t="shared" si="759"/>
        <v>-</v>
      </c>
      <c r="AK911" s="813"/>
      <c r="AL911" s="807" t="str">
        <f t="shared" si="760"/>
        <v>-</v>
      </c>
      <c r="AM911" s="807" t="str">
        <f t="shared" si="761"/>
        <v>-</v>
      </c>
      <c r="AN911" s="814" t="str">
        <f t="shared" ca="1" si="762"/>
        <v>-</v>
      </c>
      <c r="AO911" s="815">
        <v>1</v>
      </c>
      <c r="AP911" s="816" t="str">
        <f t="shared" ca="1" si="763"/>
        <v>-</v>
      </c>
      <c r="AQ911" s="817"/>
      <c r="AR911" s="794" t="str">
        <f t="shared" si="764"/>
        <v>-</v>
      </c>
      <c r="AS911" s="818"/>
      <c r="AT911" s="794" t="str">
        <f t="shared" si="765"/>
        <v>-</v>
      </c>
      <c r="AU911" s="819"/>
      <c r="AV911" s="865"/>
      <c r="AW911" s="821"/>
      <c r="AX911" s="821"/>
      <c r="AY911" s="969" t="str">
        <f t="shared" si="766"/>
        <v>-</v>
      </c>
      <c r="AZ911" s="966" t="str">
        <f t="shared" si="767"/>
        <v>-</v>
      </c>
      <c r="BA911" s="971" t="str">
        <f t="shared" si="768"/>
        <v>-</v>
      </c>
      <c r="BB911" s="975"/>
      <c r="BC911" s="821"/>
      <c r="BD911" s="821"/>
      <c r="BE911" s="963" t="str">
        <f t="shared" si="769"/>
        <v>-</v>
      </c>
      <c r="BF911" s="984"/>
      <c r="BG911" s="988"/>
      <c r="BH911" s="982"/>
      <c r="BI911" s="991"/>
      <c r="BJ911" s="991"/>
      <c r="BK911" s="993" t="str">
        <f t="shared" si="770"/>
        <v>-</v>
      </c>
      <c r="BL911" s="865"/>
      <c r="BM911" s="821"/>
      <c r="BN911" s="822" t="str">
        <f t="shared" si="771"/>
        <v>-</v>
      </c>
      <c r="BO911" s="823" t="str">
        <f t="shared" si="772"/>
        <v>-</v>
      </c>
      <c r="BP911" s="868"/>
      <c r="BQ911" s="821"/>
      <c r="BR911" s="822" t="str">
        <f t="shared" si="773"/>
        <v>-</v>
      </c>
      <c r="BS911" s="823" t="str">
        <f t="shared" si="774"/>
        <v>-</v>
      </c>
      <c r="BT911" s="825" t="str">
        <f t="shared" ca="1" si="775"/>
        <v>-</v>
      </c>
      <c r="BU911" s="860">
        <v>42886</v>
      </c>
      <c r="BV911" s="827">
        <v>2</v>
      </c>
      <c r="BW911" s="828">
        <f t="shared" si="776"/>
        <v>56</v>
      </c>
      <c r="BX911" s="829">
        <f t="shared" ca="1" si="777"/>
        <v>248</v>
      </c>
      <c r="BY911" s="830" t="str">
        <f t="shared" ca="1" si="778"/>
        <v>-</v>
      </c>
      <c r="BZ911" s="831">
        <v>42915</v>
      </c>
      <c r="CA911" s="832">
        <v>5</v>
      </c>
      <c r="CB911" s="833">
        <f t="shared" ca="1" si="779"/>
        <v>219</v>
      </c>
      <c r="CC911" s="834" t="str">
        <f t="shared" ca="1" si="780"/>
        <v>-</v>
      </c>
      <c r="CD911" s="835">
        <f t="shared" si="781"/>
        <v>42936</v>
      </c>
      <c r="CE911" s="831">
        <v>42936</v>
      </c>
      <c r="CF911" s="832">
        <v>5</v>
      </c>
      <c r="CG911" s="833">
        <f t="shared" ca="1" si="782"/>
        <v>198</v>
      </c>
      <c r="CH911" s="836">
        <f t="shared" si="783"/>
        <v>0</v>
      </c>
      <c r="CI911" s="837" t="str">
        <f t="shared" si="784"/>
        <v>УСПЕШНО</v>
      </c>
      <c r="CJ911" s="838" t="str">
        <f t="shared" ca="1" si="785"/>
        <v>-</v>
      </c>
      <c r="CK911" s="831"/>
      <c r="CL911" s="832"/>
      <c r="CM911" s="833" t="str">
        <f t="shared" si="786"/>
        <v>-</v>
      </c>
      <c r="CN911" s="834" t="str">
        <f t="shared" si="787"/>
        <v>-</v>
      </c>
      <c r="CO911" s="830" t="str">
        <f t="shared" ca="1" si="788"/>
        <v>-</v>
      </c>
      <c r="CP911" s="839"/>
      <c r="CQ911" s="832"/>
      <c r="CR911" s="833" t="str">
        <f t="shared" si="789"/>
        <v>-</v>
      </c>
      <c r="CS911" s="833" t="str">
        <f t="shared" si="790"/>
        <v>-</v>
      </c>
      <c r="CT911" s="834" t="str">
        <f t="shared" si="791"/>
        <v>-</v>
      </c>
      <c r="CU911" s="835" t="str">
        <f t="shared" si="792"/>
        <v>-</v>
      </c>
      <c r="CV911" s="839"/>
      <c r="CW911" s="832"/>
      <c r="CX911" s="833" t="str">
        <f t="shared" si="793"/>
        <v>-</v>
      </c>
      <c r="CY911" s="840" t="str">
        <f t="shared" si="794"/>
        <v>-</v>
      </c>
      <c r="CZ911" s="833" t="str">
        <f t="shared" si="795"/>
        <v>-</v>
      </c>
      <c r="DA911" s="838" t="str">
        <f t="shared" ca="1" si="796"/>
        <v>-</v>
      </c>
      <c r="DB911" s="841"/>
      <c r="DC911" s="832"/>
    </row>
    <row r="912" spans="1:107" x14ac:dyDescent="0.25">
      <c r="A912" s="790">
        <v>916</v>
      </c>
      <c r="B912" s="791">
        <f t="shared" ca="1" si="745"/>
        <v>43134</v>
      </c>
      <c r="C912" s="792" t="s">
        <v>2548</v>
      </c>
      <c r="D912" s="793" t="s">
        <v>2586</v>
      </c>
      <c r="E912" s="794" t="s">
        <v>1563</v>
      </c>
      <c r="F912" s="795" t="s">
        <v>2630</v>
      </c>
      <c r="G912" s="845"/>
      <c r="H912" s="797" t="s">
        <v>603</v>
      </c>
      <c r="I912" s="798">
        <v>42835</v>
      </c>
      <c r="J912" s="799">
        <f t="shared" ca="1" si="746"/>
        <v>0.81917808219178079</v>
      </c>
      <c r="K912" s="799">
        <f t="shared" ca="1" si="747"/>
        <v>9.9666666666666668</v>
      </c>
      <c r="L912" s="800">
        <f t="shared" ca="1" si="748"/>
        <v>299</v>
      </c>
      <c r="M912" s="801"/>
      <c r="N912" s="802"/>
      <c r="O912" s="803" t="str">
        <f t="shared" ca="1" si="749"/>
        <v>-</v>
      </c>
      <c r="P912" s="804"/>
      <c r="Q912" s="805"/>
      <c r="R912" s="806"/>
      <c r="S912" s="807"/>
      <c r="T912" s="798"/>
      <c r="U912" s="798" t="str">
        <f t="shared" si="750"/>
        <v>-</v>
      </c>
      <c r="V912" s="804" t="str">
        <f t="shared" ca="1" si="751"/>
        <v>-</v>
      </c>
      <c r="W912" s="808">
        <v>0</v>
      </c>
      <c r="X912" s="794" t="str">
        <f t="shared" si="744"/>
        <v>-</v>
      </c>
      <c r="Y912" s="794">
        <v>0</v>
      </c>
      <c r="Z912" s="809" t="str">
        <f t="shared" ca="1" si="752"/>
        <v>-----</v>
      </c>
      <c r="AA912" s="810">
        <f t="shared" ca="1" si="753"/>
        <v>43134</v>
      </c>
      <c r="AB912" s="804"/>
      <c r="AC912" s="811" t="str">
        <f t="shared" ca="1" si="754"/>
        <v>-----</v>
      </c>
      <c r="AD912" s="798"/>
      <c r="AE912" s="794" t="str">
        <f t="shared" ca="1" si="755"/>
        <v>-</v>
      </c>
      <c r="AF912" s="798" t="str">
        <f t="shared" si="756"/>
        <v>-</v>
      </c>
      <c r="AG912" s="812" t="str">
        <f t="shared" si="757"/>
        <v>---------</v>
      </c>
      <c r="AH912" s="807"/>
      <c r="AI912" s="807" t="str">
        <f t="shared" si="758"/>
        <v>-</v>
      </c>
      <c r="AJ912" s="807" t="str">
        <f t="shared" si="759"/>
        <v>-</v>
      </c>
      <c r="AK912" s="813"/>
      <c r="AL912" s="807" t="str">
        <f t="shared" si="760"/>
        <v>-</v>
      </c>
      <c r="AM912" s="807" t="str">
        <f t="shared" si="761"/>
        <v>-</v>
      </c>
      <c r="AN912" s="814" t="str">
        <f t="shared" ca="1" si="762"/>
        <v>-</v>
      </c>
      <c r="AO912" s="815">
        <v>1</v>
      </c>
      <c r="AP912" s="816" t="str">
        <f t="shared" ca="1" si="763"/>
        <v>-</v>
      </c>
      <c r="AQ912" s="817"/>
      <c r="AR912" s="794" t="str">
        <f t="shared" si="764"/>
        <v>-</v>
      </c>
      <c r="AS912" s="818"/>
      <c r="AT912" s="794" t="str">
        <f t="shared" si="765"/>
        <v>-</v>
      </c>
      <c r="AU912" s="819"/>
      <c r="AV912" s="865"/>
      <c r="AW912" s="821"/>
      <c r="AX912" s="821"/>
      <c r="AY912" s="969" t="str">
        <f t="shared" si="766"/>
        <v>-</v>
      </c>
      <c r="AZ912" s="966" t="str">
        <f t="shared" si="767"/>
        <v>-</v>
      </c>
      <c r="BA912" s="971" t="str">
        <f t="shared" si="768"/>
        <v>-</v>
      </c>
      <c r="BB912" s="975"/>
      <c r="BC912" s="821"/>
      <c r="BD912" s="821"/>
      <c r="BE912" s="963" t="str">
        <f t="shared" si="769"/>
        <v>-</v>
      </c>
      <c r="BF912" s="984"/>
      <c r="BG912" s="988"/>
      <c r="BH912" s="982"/>
      <c r="BI912" s="991"/>
      <c r="BJ912" s="991"/>
      <c r="BK912" s="993" t="str">
        <f t="shared" si="770"/>
        <v>-</v>
      </c>
      <c r="BL912" s="865"/>
      <c r="BM912" s="821"/>
      <c r="BN912" s="822" t="str">
        <f t="shared" si="771"/>
        <v>-</v>
      </c>
      <c r="BO912" s="823" t="str">
        <f t="shared" si="772"/>
        <v>-</v>
      </c>
      <c r="BP912" s="868"/>
      <c r="BQ912" s="821"/>
      <c r="BR912" s="822" t="str">
        <f t="shared" si="773"/>
        <v>-</v>
      </c>
      <c r="BS912" s="823" t="str">
        <f t="shared" si="774"/>
        <v>-</v>
      </c>
      <c r="BT912" s="825" t="str">
        <f t="shared" ca="1" si="775"/>
        <v>-</v>
      </c>
      <c r="BU912" s="860">
        <v>42886</v>
      </c>
      <c r="BV912" s="827">
        <v>2</v>
      </c>
      <c r="BW912" s="828">
        <f t="shared" si="776"/>
        <v>51</v>
      </c>
      <c r="BX912" s="829">
        <f t="shared" ca="1" si="777"/>
        <v>248</v>
      </c>
      <c r="BY912" s="830" t="str">
        <f t="shared" ca="1" si="778"/>
        <v>-</v>
      </c>
      <c r="BZ912" s="831">
        <v>42915</v>
      </c>
      <c r="CA912" s="832">
        <v>5</v>
      </c>
      <c r="CB912" s="833">
        <f t="shared" ca="1" si="779"/>
        <v>219</v>
      </c>
      <c r="CC912" s="834" t="str">
        <f t="shared" ca="1" si="780"/>
        <v>-</v>
      </c>
      <c r="CD912" s="835">
        <f t="shared" si="781"/>
        <v>42936</v>
      </c>
      <c r="CE912" s="831">
        <v>42936</v>
      </c>
      <c r="CF912" s="832">
        <v>5</v>
      </c>
      <c r="CG912" s="833">
        <f t="shared" ca="1" si="782"/>
        <v>198</v>
      </c>
      <c r="CH912" s="836">
        <f t="shared" si="783"/>
        <v>0</v>
      </c>
      <c r="CI912" s="837" t="str">
        <f t="shared" si="784"/>
        <v>УСПЕШНО</v>
      </c>
      <c r="CJ912" s="838" t="str">
        <f t="shared" ca="1" si="785"/>
        <v>-</v>
      </c>
      <c r="CK912" s="831"/>
      <c r="CL912" s="832"/>
      <c r="CM912" s="833" t="str">
        <f t="shared" si="786"/>
        <v>-</v>
      </c>
      <c r="CN912" s="834" t="str">
        <f t="shared" si="787"/>
        <v>-</v>
      </c>
      <c r="CO912" s="830" t="str">
        <f t="shared" ca="1" si="788"/>
        <v>-</v>
      </c>
      <c r="CP912" s="839"/>
      <c r="CQ912" s="832"/>
      <c r="CR912" s="833" t="str">
        <f t="shared" si="789"/>
        <v>-</v>
      </c>
      <c r="CS912" s="833" t="str">
        <f t="shared" si="790"/>
        <v>-</v>
      </c>
      <c r="CT912" s="834" t="str">
        <f t="shared" si="791"/>
        <v>-</v>
      </c>
      <c r="CU912" s="835" t="str">
        <f t="shared" si="792"/>
        <v>-</v>
      </c>
      <c r="CV912" s="839"/>
      <c r="CW912" s="832"/>
      <c r="CX912" s="833" t="str">
        <f t="shared" si="793"/>
        <v>-</v>
      </c>
      <c r="CY912" s="840" t="str">
        <f t="shared" si="794"/>
        <v>-</v>
      </c>
      <c r="CZ912" s="833" t="str">
        <f t="shared" si="795"/>
        <v>-</v>
      </c>
      <c r="DA912" s="838" t="str">
        <f t="shared" ca="1" si="796"/>
        <v>-</v>
      </c>
      <c r="DB912" s="841"/>
      <c r="DC912" s="832"/>
    </row>
    <row r="913" spans="1:107" x14ac:dyDescent="0.25">
      <c r="A913" s="790">
        <v>917</v>
      </c>
      <c r="B913" s="791">
        <f t="shared" ca="1" si="745"/>
        <v>43134</v>
      </c>
      <c r="C913" s="792" t="s">
        <v>2548</v>
      </c>
      <c r="D913" s="793" t="s">
        <v>2586</v>
      </c>
      <c r="E913" s="794" t="s">
        <v>1563</v>
      </c>
      <c r="F913" s="795" t="s">
        <v>2656</v>
      </c>
      <c r="G913" s="845"/>
      <c r="H913" s="797" t="s">
        <v>603</v>
      </c>
      <c r="I913" s="798">
        <v>42841</v>
      </c>
      <c r="J913" s="799">
        <f t="shared" ca="1" si="746"/>
        <v>0.80273972602739729</v>
      </c>
      <c r="K913" s="799">
        <f t="shared" ca="1" si="747"/>
        <v>9.7666666666666675</v>
      </c>
      <c r="L913" s="800">
        <f t="shared" ca="1" si="748"/>
        <v>293</v>
      </c>
      <c r="M913" s="801"/>
      <c r="N913" s="802"/>
      <c r="O913" s="803" t="str">
        <f t="shared" ca="1" si="749"/>
        <v>-</v>
      </c>
      <c r="P913" s="804"/>
      <c r="Q913" s="805"/>
      <c r="R913" s="806"/>
      <c r="S913" s="807"/>
      <c r="T913" s="798"/>
      <c r="U913" s="798" t="str">
        <f t="shared" si="750"/>
        <v>-</v>
      </c>
      <c r="V913" s="804" t="str">
        <f t="shared" ca="1" si="751"/>
        <v>-</v>
      </c>
      <c r="W913" s="808">
        <v>0</v>
      </c>
      <c r="X913" s="794" t="str">
        <f t="shared" si="744"/>
        <v>-</v>
      </c>
      <c r="Y913" s="794">
        <v>0</v>
      </c>
      <c r="Z913" s="809" t="str">
        <f t="shared" ca="1" si="752"/>
        <v>-----</v>
      </c>
      <c r="AA913" s="810">
        <f t="shared" ca="1" si="753"/>
        <v>43134</v>
      </c>
      <c r="AB913" s="804"/>
      <c r="AC913" s="811" t="str">
        <f t="shared" ca="1" si="754"/>
        <v>-----</v>
      </c>
      <c r="AD913" s="798"/>
      <c r="AE913" s="794" t="str">
        <f t="shared" ca="1" si="755"/>
        <v>-</v>
      </c>
      <c r="AF913" s="798" t="str">
        <f t="shared" si="756"/>
        <v>-</v>
      </c>
      <c r="AG913" s="812" t="str">
        <f t="shared" si="757"/>
        <v>---------</v>
      </c>
      <c r="AH913" s="807"/>
      <c r="AI913" s="807" t="str">
        <f t="shared" si="758"/>
        <v>-</v>
      </c>
      <c r="AJ913" s="807" t="str">
        <f t="shared" si="759"/>
        <v>-</v>
      </c>
      <c r="AK913" s="813"/>
      <c r="AL913" s="807" t="str">
        <f t="shared" si="760"/>
        <v>-</v>
      </c>
      <c r="AM913" s="807" t="str">
        <f t="shared" si="761"/>
        <v>-</v>
      </c>
      <c r="AN913" s="814" t="str">
        <f t="shared" ca="1" si="762"/>
        <v>-</v>
      </c>
      <c r="AO913" s="815">
        <v>1</v>
      </c>
      <c r="AP913" s="816" t="str">
        <f t="shared" ca="1" si="763"/>
        <v>-</v>
      </c>
      <c r="AQ913" s="817"/>
      <c r="AR913" s="794" t="str">
        <f t="shared" si="764"/>
        <v>-</v>
      </c>
      <c r="AS913" s="818"/>
      <c r="AT913" s="794" t="str">
        <f t="shared" si="765"/>
        <v>-</v>
      </c>
      <c r="AU913" s="819"/>
      <c r="AV913" s="865"/>
      <c r="AW913" s="821"/>
      <c r="AX913" s="821"/>
      <c r="AY913" s="969" t="str">
        <f t="shared" si="766"/>
        <v>-</v>
      </c>
      <c r="AZ913" s="966" t="str">
        <f t="shared" si="767"/>
        <v>-</v>
      </c>
      <c r="BA913" s="971" t="str">
        <f t="shared" si="768"/>
        <v>-</v>
      </c>
      <c r="BB913" s="975"/>
      <c r="BC913" s="821"/>
      <c r="BD913" s="821"/>
      <c r="BE913" s="963" t="str">
        <f t="shared" si="769"/>
        <v>-</v>
      </c>
      <c r="BF913" s="984"/>
      <c r="BG913" s="988"/>
      <c r="BH913" s="982"/>
      <c r="BI913" s="991"/>
      <c r="BJ913" s="991"/>
      <c r="BK913" s="993" t="str">
        <f t="shared" si="770"/>
        <v>-</v>
      </c>
      <c r="BL913" s="865"/>
      <c r="BM913" s="821"/>
      <c r="BN913" s="822" t="str">
        <f t="shared" si="771"/>
        <v>-</v>
      </c>
      <c r="BO913" s="823" t="str">
        <f t="shared" si="772"/>
        <v>-</v>
      </c>
      <c r="BP913" s="868"/>
      <c r="BQ913" s="821"/>
      <c r="BR913" s="822" t="str">
        <f t="shared" si="773"/>
        <v>-</v>
      </c>
      <c r="BS913" s="823" t="str">
        <f t="shared" si="774"/>
        <v>-</v>
      </c>
      <c r="BT913" s="825" t="str">
        <f t="shared" ca="1" si="775"/>
        <v>-</v>
      </c>
      <c r="BU913" s="860">
        <v>42886</v>
      </c>
      <c r="BV913" s="827">
        <v>2</v>
      </c>
      <c r="BW913" s="828">
        <f t="shared" si="776"/>
        <v>45</v>
      </c>
      <c r="BX913" s="829">
        <f t="shared" ca="1" si="777"/>
        <v>248</v>
      </c>
      <c r="BY913" s="830" t="str">
        <f t="shared" ca="1" si="778"/>
        <v>-</v>
      </c>
      <c r="BZ913" s="831">
        <v>42916</v>
      </c>
      <c r="CA913" s="832">
        <v>5</v>
      </c>
      <c r="CB913" s="833">
        <f t="shared" ca="1" si="779"/>
        <v>218</v>
      </c>
      <c r="CC913" s="834" t="str">
        <f t="shared" ca="1" si="780"/>
        <v>-</v>
      </c>
      <c r="CD913" s="835">
        <f t="shared" si="781"/>
        <v>42937</v>
      </c>
      <c r="CE913" s="831">
        <v>42937</v>
      </c>
      <c r="CF913" s="832">
        <v>5</v>
      </c>
      <c r="CG913" s="833">
        <f t="shared" ca="1" si="782"/>
        <v>197</v>
      </c>
      <c r="CH913" s="836">
        <f t="shared" si="783"/>
        <v>0</v>
      </c>
      <c r="CI913" s="837" t="str">
        <f t="shared" si="784"/>
        <v>УСПЕШНО</v>
      </c>
      <c r="CJ913" s="838" t="str">
        <f t="shared" ca="1" si="785"/>
        <v>-</v>
      </c>
      <c r="CK913" s="831"/>
      <c r="CL913" s="832"/>
      <c r="CM913" s="833" t="str">
        <f t="shared" si="786"/>
        <v>-</v>
      </c>
      <c r="CN913" s="834" t="str">
        <f t="shared" si="787"/>
        <v>-</v>
      </c>
      <c r="CO913" s="830" t="str">
        <f t="shared" ca="1" si="788"/>
        <v>-</v>
      </c>
      <c r="CP913" s="839"/>
      <c r="CQ913" s="832"/>
      <c r="CR913" s="833" t="str">
        <f t="shared" si="789"/>
        <v>-</v>
      </c>
      <c r="CS913" s="833" t="str">
        <f t="shared" si="790"/>
        <v>-</v>
      </c>
      <c r="CT913" s="834" t="str">
        <f t="shared" si="791"/>
        <v>-</v>
      </c>
      <c r="CU913" s="835" t="str">
        <f t="shared" si="792"/>
        <v>-</v>
      </c>
      <c r="CV913" s="839"/>
      <c r="CW913" s="832"/>
      <c r="CX913" s="833" t="str">
        <f t="shared" si="793"/>
        <v>-</v>
      </c>
      <c r="CY913" s="840" t="str">
        <f t="shared" si="794"/>
        <v>-</v>
      </c>
      <c r="CZ913" s="833" t="str">
        <f t="shared" si="795"/>
        <v>-</v>
      </c>
      <c r="DA913" s="838" t="str">
        <f t="shared" ca="1" si="796"/>
        <v>-</v>
      </c>
      <c r="DB913" s="841"/>
      <c r="DC913" s="832"/>
    </row>
    <row r="914" spans="1:107" x14ac:dyDescent="0.25">
      <c r="A914" s="790">
        <v>918</v>
      </c>
      <c r="B914" s="791">
        <f t="shared" ca="1" si="745"/>
        <v>43134</v>
      </c>
      <c r="C914" s="792" t="s">
        <v>2548</v>
      </c>
      <c r="D914" s="793" t="s">
        <v>2586</v>
      </c>
      <c r="E914" s="794" t="s">
        <v>1563</v>
      </c>
      <c r="F914" s="795" t="s">
        <v>2659</v>
      </c>
      <c r="G914" s="845"/>
      <c r="H914" s="797" t="s">
        <v>603</v>
      </c>
      <c r="I914" s="798">
        <v>42844</v>
      </c>
      <c r="J914" s="799">
        <f t="shared" ca="1" si="746"/>
        <v>0.79452054794520544</v>
      </c>
      <c r="K914" s="799">
        <f t="shared" ca="1" si="747"/>
        <v>9.6666666666666661</v>
      </c>
      <c r="L914" s="800">
        <f t="shared" ca="1" si="748"/>
        <v>290</v>
      </c>
      <c r="M914" s="801"/>
      <c r="N914" s="802"/>
      <c r="O914" s="803" t="str">
        <f t="shared" ca="1" si="749"/>
        <v>-</v>
      </c>
      <c r="P914" s="804"/>
      <c r="Q914" s="805"/>
      <c r="R914" s="806"/>
      <c r="S914" s="807"/>
      <c r="T914" s="798"/>
      <c r="U914" s="798" t="str">
        <f t="shared" si="750"/>
        <v>-</v>
      </c>
      <c r="V914" s="804" t="str">
        <f t="shared" ca="1" si="751"/>
        <v>-</v>
      </c>
      <c r="W914" s="808">
        <v>0</v>
      </c>
      <c r="X914" s="794" t="str">
        <f t="shared" si="744"/>
        <v>-</v>
      </c>
      <c r="Y914" s="794">
        <v>0</v>
      </c>
      <c r="Z914" s="809" t="str">
        <f t="shared" ca="1" si="752"/>
        <v>-----</v>
      </c>
      <c r="AA914" s="810">
        <f t="shared" ca="1" si="753"/>
        <v>43134</v>
      </c>
      <c r="AB914" s="804"/>
      <c r="AC914" s="811" t="str">
        <f t="shared" ca="1" si="754"/>
        <v>-----</v>
      </c>
      <c r="AD914" s="798"/>
      <c r="AE914" s="794" t="str">
        <f t="shared" ca="1" si="755"/>
        <v>-</v>
      </c>
      <c r="AF914" s="798" t="str">
        <f t="shared" si="756"/>
        <v>-</v>
      </c>
      <c r="AG914" s="812" t="str">
        <f t="shared" si="757"/>
        <v>---------</v>
      </c>
      <c r="AH914" s="807"/>
      <c r="AI914" s="807" t="str">
        <f t="shared" si="758"/>
        <v>-</v>
      </c>
      <c r="AJ914" s="807" t="str">
        <f t="shared" si="759"/>
        <v>-</v>
      </c>
      <c r="AK914" s="813"/>
      <c r="AL914" s="807" t="str">
        <f t="shared" si="760"/>
        <v>-</v>
      </c>
      <c r="AM914" s="807" t="str">
        <f t="shared" si="761"/>
        <v>-</v>
      </c>
      <c r="AN914" s="814" t="str">
        <f t="shared" ca="1" si="762"/>
        <v>-</v>
      </c>
      <c r="AO914" s="815">
        <v>1</v>
      </c>
      <c r="AP914" s="816" t="str">
        <f t="shared" ca="1" si="763"/>
        <v>-</v>
      </c>
      <c r="AQ914" s="817"/>
      <c r="AR914" s="794" t="str">
        <f t="shared" si="764"/>
        <v>-</v>
      </c>
      <c r="AS914" s="818"/>
      <c r="AT914" s="794" t="str">
        <f t="shared" si="765"/>
        <v>-</v>
      </c>
      <c r="AU914" s="819"/>
      <c r="AV914" s="865"/>
      <c r="AW914" s="821"/>
      <c r="AX914" s="821"/>
      <c r="AY914" s="969" t="str">
        <f t="shared" si="766"/>
        <v>-</v>
      </c>
      <c r="AZ914" s="966" t="str">
        <f t="shared" si="767"/>
        <v>-</v>
      </c>
      <c r="BA914" s="971" t="str">
        <f t="shared" si="768"/>
        <v>-</v>
      </c>
      <c r="BB914" s="975"/>
      <c r="BC914" s="821"/>
      <c r="BD914" s="821"/>
      <c r="BE914" s="963" t="str">
        <f t="shared" si="769"/>
        <v>-</v>
      </c>
      <c r="BF914" s="984"/>
      <c r="BG914" s="988"/>
      <c r="BH914" s="982"/>
      <c r="BI914" s="991"/>
      <c r="BJ914" s="991"/>
      <c r="BK914" s="993" t="str">
        <f t="shared" si="770"/>
        <v>-</v>
      </c>
      <c r="BL914" s="865"/>
      <c r="BM914" s="821"/>
      <c r="BN914" s="822" t="str">
        <f t="shared" si="771"/>
        <v>-</v>
      </c>
      <c r="BO914" s="823" t="str">
        <f t="shared" si="772"/>
        <v>-</v>
      </c>
      <c r="BP914" s="868"/>
      <c r="BQ914" s="821"/>
      <c r="BR914" s="822" t="str">
        <f t="shared" si="773"/>
        <v>-</v>
      </c>
      <c r="BS914" s="823" t="str">
        <f t="shared" si="774"/>
        <v>-</v>
      </c>
      <c r="BT914" s="825" t="str">
        <f t="shared" ca="1" si="775"/>
        <v>-</v>
      </c>
      <c r="BU914" s="860">
        <v>42886</v>
      </c>
      <c r="BV914" s="827">
        <v>2</v>
      </c>
      <c r="BW914" s="828">
        <f t="shared" si="776"/>
        <v>42</v>
      </c>
      <c r="BX914" s="829">
        <f t="shared" ca="1" si="777"/>
        <v>248</v>
      </c>
      <c r="BY914" s="830" t="str">
        <f t="shared" ca="1" si="778"/>
        <v>-</v>
      </c>
      <c r="BZ914" s="831">
        <v>42931</v>
      </c>
      <c r="CA914" s="832">
        <v>5</v>
      </c>
      <c r="CB914" s="833">
        <f t="shared" ca="1" si="779"/>
        <v>203</v>
      </c>
      <c r="CC914" s="834" t="str">
        <f t="shared" ca="1" si="780"/>
        <v>-</v>
      </c>
      <c r="CD914" s="835">
        <f t="shared" si="781"/>
        <v>42952</v>
      </c>
      <c r="CE914" s="831">
        <v>42954</v>
      </c>
      <c r="CF914" s="832">
        <v>5</v>
      </c>
      <c r="CG914" s="833">
        <f t="shared" ca="1" si="782"/>
        <v>180</v>
      </c>
      <c r="CH914" s="836">
        <f t="shared" si="783"/>
        <v>-2</v>
      </c>
      <c r="CI914" s="837" t="str">
        <f t="shared" si="784"/>
        <v>-</v>
      </c>
      <c r="CJ914" s="838" t="str">
        <f t="shared" ca="1" si="785"/>
        <v>-</v>
      </c>
      <c r="CK914" s="831"/>
      <c r="CL914" s="832"/>
      <c r="CM914" s="833" t="str">
        <f t="shared" si="786"/>
        <v>-</v>
      </c>
      <c r="CN914" s="834" t="str">
        <f t="shared" si="787"/>
        <v>-</v>
      </c>
      <c r="CO914" s="830" t="str">
        <f t="shared" ca="1" si="788"/>
        <v>-</v>
      </c>
      <c r="CP914" s="839"/>
      <c r="CQ914" s="832"/>
      <c r="CR914" s="833" t="str">
        <f t="shared" si="789"/>
        <v>-</v>
      </c>
      <c r="CS914" s="833" t="str">
        <f t="shared" si="790"/>
        <v>-</v>
      </c>
      <c r="CT914" s="834" t="str">
        <f t="shared" si="791"/>
        <v>-</v>
      </c>
      <c r="CU914" s="835" t="str">
        <f t="shared" si="792"/>
        <v>-</v>
      </c>
      <c r="CV914" s="839"/>
      <c r="CW914" s="832"/>
      <c r="CX914" s="833" t="str">
        <f t="shared" si="793"/>
        <v>-</v>
      </c>
      <c r="CY914" s="840" t="str">
        <f t="shared" si="794"/>
        <v>-</v>
      </c>
      <c r="CZ914" s="833" t="str">
        <f t="shared" si="795"/>
        <v>-</v>
      </c>
      <c r="DA914" s="838" t="str">
        <f t="shared" ca="1" si="796"/>
        <v>-</v>
      </c>
      <c r="DB914" s="841"/>
      <c r="DC914" s="832"/>
    </row>
    <row r="915" spans="1:107" x14ac:dyDescent="0.25">
      <c r="A915" s="790">
        <v>919</v>
      </c>
      <c r="B915" s="791">
        <f t="shared" ca="1" si="745"/>
        <v>43134</v>
      </c>
      <c r="C915" s="29" t="s">
        <v>2548</v>
      </c>
      <c r="D915" s="59" t="s">
        <v>2586</v>
      </c>
      <c r="E915" s="794" t="s">
        <v>1563</v>
      </c>
      <c r="F915" s="795" t="s">
        <v>2679</v>
      </c>
      <c r="G915" s="845"/>
      <c r="H915" s="797" t="s">
        <v>603</v>
      </c>
      <c r="I915" s="798">
        <v>42852</v>
      </c>
      <c r="J915" s="799">
        <f t="shared" ca="1" si="746"/>
        <v>0.77260273972602744</v>
      </c>
      <c r="K915" s="799">
        <f t="shared" ca="1" si="747"/>
        <v>9.4</v>
      </c>
      <c r="L915" s="800">
        <f t="shared" ca="1" si="748"/>
        <v>282</v>
      </c>
      <c r="M915" s="801"/>
      <c r="N915" s="802"/>
      <c r="O915" s="803" t="str">
        <f t="shared" ca="1" si="749"/>
        <v>-</v>
      </c>
      <c r="P915" s="804"/>
      <c r="Q915" s="805"/>
      <c r="R915" s="806"/>
      <c r="S915" s="807"/>
      <c r="T915" s="798"/>
      <c r="U915" s="798" t="str">
        <f t="shared" si="750"/>
        <v>-</v>
      </c>
      <c r="V915" s="804" t="str">
        <f t="shared" ca="1" si="751"/>
        <v>-</v>
      </c>
      <c r="W915" s="808">
        <v>0</v>
      </c>
      <c r="X915" s="794" t="str">
        <f t="shared" si="744"/>
        <v>-</v>
      </c>
      <c r="Y915" s="794">
        <v>0</v>
      </c>
      <c r="Z915" s="809" t="str">
        <f t="shared" ca="1" si="752"/>
        <v>-----</v>
      </c>
      <c r="AA915" s="810">
        <f t="shared" ca="1" si="753"/>
        <v>43134</v>
      </c>
      <c r="AB915" s="804"/>
      <c r="AC915" s="811" t="str">
        <f t="shared" ca="1" si="754"/>
        <v>-----</v>
      </c>
      <c r="AD915" s="798"/>
      <c r="AE915" s="794" t="str">
        <f t="shared" ca="1" si="755"/>
        <v>-</v>
      </c>
      <c r="AF915" s="798" t="str">
        <f t="shared" si="756"/>
        <v>-</v>
      </c>
      <c r="AG915" s="812" t="str">
        <f t="shared" si="757"/>
        <v>---------</v>
      </c>
      <c r="AH915" s="807"/>
      <c r="AI915" s="807" t="str">
        <f t="shared" si="758"/>
        <v>-</v>
      </c>
      <c r="AJ915" s="807" t="str">
        <f t="shared" si="759"/>
        <v>-</v>
      </c>
      <c r="AK915" s="813"/>
      <c r="AL915" s="807" t="str">
        <f t="shared" si="760"/>
        <v>-</v>
      </c>
      <c r="AM915" s="807" t="str">
        <f t="shared" si="761"/>
        <v>-</v>
      </c>
      <c r="AN915" s="814" t="str">
        <f t="shared" ca="1" si="762"/>
        <v>-</v>
      </c>
      <c r="AO915" s="815">
        <v>1</v>
      </c>
      <c r="AP915" s="816" t="str">
        <f t="shared" ca="1" si="763"/>
        <v>-</v>
      </c>
      <c r="AQ915" s="817"/>
      <c r="AR915" s="794" t="str">
        <f t="shared" si="764"/>
        <v>-</v>
      </c>
      <c r="AS915" s="818"/>
      <c r="AT915" s="794" t="str">
        <f t="shared" si="765"/>
        <v>-</v>
      </c>
      <c r="AU915" s="819"/>
      <c r="AV915" s="865"/>
      <c r="AW915" s="821"/>
      <c r="AX915" s="821"/>
      <c r="AY915" s="969" t="str">
        <f t="shared" si="766"/>
        <v>-</v>
      </c>
      <c r="AZ915" s="966" t="str">
        <f t="shared" si="767"/>
        <v>-</v>
      </c>
      <c r="BA915" s="971" t="str">
        <f t="shared" si="768"/>
        <v>-</v>
      </c>
      <c r="BB915" s="975"/>
      <c r="BC915" s="821"/>
      <c r="BD915" s="821"/>
      <c r="BE915" s="963" t="str">
        <f t="shared" si="769"/>
        <v>-</v>
      </c>
      <c r="BF915" s="984"/>
      <c r="BG915" s="988"/>
      <c r="BH915" s="982"/>
      <c r="BI915" s="991"/>
      <c r="BJ915" s="991"/>
      <c r="BK915" s="993" t="str">
        <f t="shared" si="770"/>
        <v>-</v>
      </c>
      <c r="BL915" s="865"/>
      <c r="BM915" s="821"/>
      <c r="BN915" s="822" t="str">
        <f t="shared" si="771"/>
        <v>-</v>
      </c>
      <c r="BO915" s="823" t="str">
        <f t="shared" si="772"/>
        <v>-</v>
      </c>
      <c r="BP915" s="868"/>
      <c r="BQ915" s="821"/>
      <c r="BR915" s="822" t="str">
        <f t="shared" si="773"/>
        <v>-</v>
      </c>
      <c r="BS915" s="823" t="str">
        <f t="shared" si="774"/>
        <v>-</v>
      </c>
      <c r="BT915" s="825" t="str">
        <f t="shared" ca="1" si="775"/>
        <v>-</v>
      </c>
      <c r="BU915" s="860">
        <v>42886</v>
      </c>
      <c r="BV915" s="827">
        <v>2</v>
      </c>
      <c r="BW915" s="828">
        <f t="shared" si="776"/>
        <v>34</v>
      </c>
      <c r="BX915" s="829">
        <f t="shared" ca="1" si="777"/>
        <v>248</v>
      </c>
      <c r="BY915" s="830" t="str">
        <f t="shared" ca="1" si="778"/>
        <v>-</v>
      </c>
      <c r="BZ915" s="831">
        <v>42931</v>
      </c>
      <c r="CA915" s="832">
        <v>5</v>
      </c>
      <c r="CB915" s="833">
        <f t="shared" ca="1" si="779"/>
        <v>203</v>
      </c>
      <c r="CC915" s="834" t="str">
        <f t="shared" ca="1" si="780"/>
        <v>-</v>
      </c>
      <c r="CD915" s="835">
        <f t="shared" si="781"/>
        <v>42952</v>
      </c>
      <c r="CE915" s="831">
        <v>42954</v>
      </c>
      <c r="CF915" s="832">
        <v>5</v>
      </c>
      <c r="CG915" s="833">
        <f t="shared" ca="1" si="782"/>
        <v>180</v>
      </c>
      <c r="CH915" s="836">
        <f t="shared" si="783"/>
        <v>-2</v>
      </c>
      <c r="CI915" s="837" t="str">
        <f t="shared" si="784"/>
        <v>-</v>
      </c>
      <c r="CJ915" s="838" t="str">
        <f t="shared" ca="1" si="785"/>
        <v>-</v>
      </c>
      <c r="CK915" s="831"/>
      <c r="CL915" s="832"/>
      <c r="CM915" s="833" t="str">
        <f t="shared" si="786"/>
        <v>-</v>
      </c>
      <c r="CN915" s="834" t="str">
        <f t="shared" si="787"/>
        <v>-</v>
      </c>
      <c r="CO915" s="830" t="str">
        <f t="shared" ca="1" si="788"/>
        <v>-</v>
      </c>
      <c r="CP915" s="839"/>
      <c r="CQ915" s="832"/>
      <c r="CR915" s="833" t="str">
        <f t="shared" si="789"/>
        <v>-</v>
      </c>
      <c r="CS915" s="833" t="str">
        <f t="shared" si="790"/>
        <v>-</v>
      </c>
      <c r="CT915" s="834" t="str">
        <f t="shared" si="791"/>
        <v>-</v>
      </c>
      <c r="CU915" s="835" t="str">
        <f t="shared" si="792"/>
        <v>-</v>
      </c>
      <c r="CV915" s="839"/>
      <c r="CW915" s="832"/>
      <c r="CX915" s="833" t="str">
        <f t="shared" si="793"/>
        <v>-</v>
      </c>
      <c r="CY915" s="840" t="str">
        <f t="shared" si="794"/>
        <v>-</v>
      </c>
      <c r="CZ915" s="833" t="str">
        <f t="shared" si="795"/>
        <v>-</v>
      </c>
      <c r="DA915" s="838" t="str">
        <f t="shared" ca="1" si="796"/>
        <v>-</v>
      </c>
      <c r="DB915" s="841"/>
      <c r="DC915" s="832"/>
    </row>
    <row r="916" spans="1:107" x14ac:dyDescent="0.25">
      <c r="A916" s="790">
        <v>920</v>
      </c>
      <c r="B916" s="791">
        <f t="shared" ca="1" si="745"/>
        <v>43134</v>
      </c>
      <c r="C916" s="792" t="s">
        <v>2548</v>
      </c>
      <c r="D916" s="793" t="s">
        <v>2586</v>
      </c>
      <c r="E916" s="794" t="s">
        <v>1563</v>
      </c>
      <c r="F916" s="795" t="s">
        <v>2690</v>
      </c>
      <c r="G916" s="845"/>
      <c r="H916" s="797" t="s">
        <v>603</v>
      </c>
      <c r="I916" s="798">
        <v>42856</v>
      </c>
      <c r="J916" s="799">
        <f t="shared" ca="1" si="746"/>
        <v>0.76164383561643834</v>
      </c>
      <c r="K916" s="799">
        <f t="shared" ca="1" si="747"/>
        <v>9.2666666666666675</v>
      </c>
      <c r="L916" s="800">
        <f t="shared" ca="1" si="748"/>
        <v>278</v>
      </c>
      <c r="M916" s="801"/>
      <c r="N916" s="802"/>
      <c r="O916" s="803" t="str">
        <f t="shared" ca="1" si="749"/>
        <v>-</v>
      </c>
      <c r="P916" s="804"/>
      <c r="Q916" s="805"/>
      <c r="R916" s="806"/>
      <c r="S916" s="807"/>
      <c r="T916" s="798"/>
      <c r="U916" s="798" t="str">
        <f t="shared" si="750"/>
        <v>-</v>
      </c>
      <c r="V916" s="804" t="str">
        <f t="shared" ca="1" si="751"/>
        <v>-</v>
      </c>
      <c r="W916" s="808">
        <v>0</v>
      </c>
      <c r="X916" s="794" t="str">
        <f t="shared" si="744"/>
        <v>-</v>
      </c>
      <c r="Y916" s="794">
        <v>0</v>
      </c>
      <c r="Z916" s="809" t="str">
        <f t="shared" ca="1" si="752"/>
        <v>-----</v>
      </c>
      <c r="AA916" s="810">
        <f t="shared" ca="1" si="753"/>
        <v>43134</v>
      </c>
      <c r="AB916" s="804"/>
      <c r="AC916" s="811" t="str">
        <f t="shared" ca="1" si="754"/>
        <v>-----</v>
      </c>
      <c r="AD916" s="798"/>
      <c r="AE916" s="794" t="str">
        <f t="shared" ca="1" si="755"/>
        <v>-</v>
      </c>
      <c r="AF916" s="798" t="str">
        <f t="shared" si="756"/>
        <v>-</v>
      </c>
      <c r="AG916" s="812" t="str">
        <f t="shared" si="757"/>
        <v>---------</v>
      </c>
      <c r="AH916" s="807"/>
      <c r="AI916" s="807" t="str">
        <f t="shared" si="758"/>
        <v>-</v>
      </c>
      <c r="AJ916" s="807" t="str">
        <f t="shared" si="759"/>
        <v>-</v>
      </c>
      <c r="AK916" s="813"/>
      <c r="AL916" s="807" t="str">
        <f t="shared" si="760"/>
        <v>-</v>
      </c>
      <c r="AM916" s="807" t="str">
        <f t="shared" si="761"/>
        <v>-</v>
      </c>
      <c r="AN916" s="814" t="str">
        <f t="shared" ca="1" si="762"/>
        <v>-</v>
      </c>
      <c r="AO916" s="815">
        <v>1</v>
      </c>
      <c r="AP916" s="816" t="str">
        <f t="shared" ca="1" si="763"/>
        <v>-</v>
      </c>
      <c r="AQ916" s="817"/>
      <c r="AR916" s="794" t="str">
        <f t="shared" si="764"/>
        <v>-</v>
      </c>
      <c r="AS916" s="818"/>
      <c r="AT916" s="794" t="str">
        <f t="shared" si="765"/>
        <v>-</v>
      </c>
      <c r="AU916" s="819"/>
      <c r="AV916" s="865"/>
      <c r="AW916" s="821"/>
      <c r="AX916" s="821"/>
      <c r="AY916" s="969" t="str">
        <f t="shared" si="766"/>
        <v>-</v>
      </c>
      <c r="AZ916" s="966" t="str">
        <f t="shared" si="767"/>
        <v>-</v>
      </c>
      <c r="BA916" s="971" t="str">
        <f t="shared" si="768"/>
        <v>-</v>
      </c>
      <c r="BB916" s="975"/>
      <c r="BC916" s="821"/>
      <c r="BD916" s="821"/>
      <c r="BE916" s="963" t="str">
        <f t="shared" si="769"/>
        <v>-</v>
      </c>
      <c r="BF916" s="984"/>
      <c r="BG916" s="988"/>
      <c r="BH916" s="982"/>
      <c r="BI916" s="991"/>
      <c r="BJ916" s="991"/>
      <c r="BK916" s="993" t="str">
        <f t="shared" si="770"/>
        <v>-</v>
      </c>
      <c r="BL916" s="865"/>
      <c r="BM916" s="821"/>
      <c r="BN916" s="822" t="str">
        <f t="shared" si="771"/>
        <v>-</v>
      </c>
      <c r="BO916" s="823" t="str">
        <f t="shared" si="772"/>
        <v>-</v>
      </c>
      <c r="BP916" s="868"/>
      <c r="BQ916" s="821"/>
      <c r="BR916" s="822" t="str">
        <f t="shared" si="773"/>
        <v>-</v>
      </c>
      <c r="BS916" s="823" t="str">
        <f t="shared" si="774"/>
        <v>-</v>
      </c>
      <c r="BT916" s="825" t="str">
        <f t="shared" ca="1" si="775"/>
        <v>-</v>
      </c>
      <c r="BU916" s="860">
        <v>42886</v>
      </c>
      <c r="BV916" s="827">
        <v>2</v>
      </c>
      <c r="BW916" s="828">
        <f t="shared" si="776"/>
        <v>30</v>
      </c>
      <c r="BX916" s="829">
        <f t="shared" ca="1" si="777"/>
        <v>248</v>
      </c>
      <c r="BY916" s="830" t="str">
        <f t="shared" ca="1" si="778"/>
        <v>-</v>
      </c>
      <c r="BZ916" s="831">
        <v>42931</v>
      </c>
      <c r="CA916" s="832">
        <v>5</v>
      </c>
      <c r="CB916" s="833">
        <f t="shared" ca="1" si="779"/>
        <v>203</v>
      </c>
      <c r="CC916" s="834" t="str">
        <f t="shared" ca="1" si="780"/>
        <v>-</v>
      </c>
      <c r="CD916" s="835">
        <f t="shared" si="781"/>
        <v>42952</v>
      </c>
      <c r="CE916" s="831">
        <v>42954</v>
      </c>
      <c r="CF916" s="832">
        <v>5</v>
      </c>
      <c r="CG916" s="833">
        <f t="shared" ca="1" si="782"/>
        <v>180</v>
      </c>
      <c r="CH916" s="836">
        <f t="shared" si="783"/>
        <v>-2</v>
      </c>
      <c r="CI916" s="837" t="str">
        <f t="shared" si="784"/>
        <v>-</v>
      </c>
      <c r="CJ916" s="838" t="str">
        <f t="shared" ca="1" si="785"/>
        <v>-</v>
      </c>
      <c r="CK916" s="831"/>
      <c r="CL916" s="832"/>
      <c r="CM916" s="833" t="str">
        <f t="shared" si="786"/>
        <v>-</v>
      </c>
      <c r="CN916" s="834" t="str">
        <f t="shared" si="787"/>
        <v>-</v>
      </c>
      <c r="CO916" s="830" t="str">
        <f t="shared" ca="1" si="788"/>
        <v>-</v>
      </c>
      <c r="CP916" s="839"/>
      <c r="CQ916" s="832"/>
      <c r="CR916" s="833" t="str">
        <f t="shared" si="789"/>
        <v>-</v>
      </c>
      <c r="CS916" s="833" t="str">
        <f t="shared" si="790"/>
        <v>-</v>
      </c>
      <c r="CT916" s="834" t="str">
        <f t="shared" si="791"/>
        <v>-</v>
      </c>
      <c r="CU916" s="835" t="str">
        <f t="shared" si="792"/>
        <v>-</v>
      </c>
      <c r="CV916" s="839"/>
      <c r="CW916" s="832"/>
      <c r="CX916" s="833" t="str">
        <f t="shared" si="793"/>
        <v>-</v>
      </c>
      <c r="CY916" s="840" t="str">
        <f t="shared" si="794"/>
        <v>-</v>
      </c>
      <c r="CZ916" s="833" t="str">
        <f t="shared" si="795"/>
        <v>-</v>
      </c>
      <c r="DA916" s="838" t="str">
        <f t="shared" ca="1" si="796"/>
        <v>-</v>
      </c>
      <c r="DB916" s="841"/>
      <c r="DC916" s="832"/>
    </row>
    <row r="917" spans="1:107" x14ac:dyDescent="0.25">
      <c r="A917" s="790">
        <v>921</v>
      </c>
      <c r="B917" s="791">
        <f t="shared" ca="1" si="745"/>
        <v>43134</v>
      </c>
      <c r="C917" s="792" t="s">
        <v>2548</v>
      </c>
      <c r="D917" s="793" t="s">
        <v>2586</v>
      </c>
      <c r="E917" s="794" t="s">
        <v>1563</v>
      </c>
      <c r="F917" s="795" t="s">
        <v>2691</v>
      </c>
      <c r="G917" s="845"/>
      <c r="H917" s="797" t="s">
        <v>603</v>
      </c>
      <c r="I917" s="798">
        <v>42857</v>
      </c>
      <c r="J917" s="799">
        <f t="shared" ca="1" si="746"/>
        <v>0.75890410958904109</v>
      </c>
      <c r="K917" s="799">
        <f t="shared" ca="1" si="747"/>
        <v>9.2333333333333325</v>
      </c>
      <c r="L917" s="800">
        <f t="shared" ca="1" si="748"/>
        <v>277</v>
      </c>
      <c r="M917" s="801"/>
      <c r="N917" s="802"/>
      <c r="O917" s="803" t="str">
        <f t="shared" ca="1" si="749"/>
        <v>-</v>
      </c>
      <c r="P917" s="804"/>
      <c r="Q917" s="805"/>
      <c r="R917" s="806"/>
      <c r="S917" s="807"/>
      <c r="T917" s="798"/>
      <c r="U917" s="798" t="str">
        <f t="shared" si="750"/>
        <v>-</v>
      </c>
      <c r="V917" s="804" t="str">
        <f t="shared" ca="1" si="751"/>
        <v>-</v>
      </c>
      <c r="W917" s="808">
        <v>0</v>
      </c>
      <c r="X917" s="794" t="str">
        <f t="shared" si="744"/>
        <v>-</v>
      </c>
      <c r="Y917" s="794">
        <v>0</v>
      </c>
      <c r="Z917" s="809" t="str">
        <f t="shared" ca="1" si="752"/>
        <v>-----</v>
      </c>
      <c r="AA917" s="810">
        <f t="shared" ca="1" si="753"/>
        <v>43134</v>
      </c>
      <c r="AB917" s="804"/>
      <c r="AC917" s="811" t="str">
        <f t="shared" ca="1" si="754"/>
        <v>-----</v>
      </c>
      <c r="AD917" s="798"/>
      <c r="AE917" s="794" t="str">
        <f t="shared" ca="1" si="755"/>
        <v>-</v>
      </c>
      <c r="AF917" s="798" t="str">
        <f t="shared" si="756"/>
        <v>-</v>
      </c>
      <c r="AG917" s="812" t="str">
        <f t="shared" si="757"/>
        <v>---------</v>
      </c>
      <c r="AH917" s="807"/>
      <c r="AI917" s="807" t="str">
        <f t="shared" si="758"/>
        <v>-</v>
      </c>
      <c r="AJ917" s="807" t="str">
        <f t="shared" si="759"/>
        <v>-</v>
      </c>
      <c r="AK917" s="813"/>
      <c r="AL917" s="807" t="str">
        <f t="shared" si="760"/>
        <v>-</v>
      </c>
      <c r="AM917" s="807" t="str">
        <f t="shared" si="761"/>
        <v>-</v>
      </c>
      <c r="AN917" s="814" t="str">
        <f t="shared" ca="1" si="762"/>
        <v>-</v>
      </c>
      <c r="AO917" s="815">
        <v>1</v>
      </c>
      <c r="AP917" s="816" t="str">
        <f t="shared" ca="1" si="763"/>
        <v>-</v>
      </c>
      <c r="AQ917" s="817"/>
      <c r="AR917" s="794" t="str">
        <f t="shared" si="764"/>
        <v>-</v>
      </c>
      <c r="AS917" s="818"/>
      <c r="AT917" s="794" t="str">
        <f t="shared" si="765"/>
        <v>-</v>
      </c>
      <c r="AU917" s="819"/>
      <c r="AV917" s="865"/>
      <c r="AW917" s="821"/>
      <c r="AX917" s="821"/>
      <c r="AY917" s="969" t="str">
        <f t="shared" si="766"/>
        <v>-</v>
      </c>
      <c r="AZ917" s="966" t="str">
        <f t="shared" si="767"/>
        <v>-</v>
      </c>
      <c r="BA917" s="971" t="str">
        <f t="shared" si="768"/>
        <v>-</v>
      </c>
      <c r="BB917" s="975"/>
      <c r="BC917" s="821"/>
      <c r="BD917" s="821"/>
      <c r="BE917" s="963" t="str">
        <f t="shared" si="769"/>
        <v>-</v>
      </c>
      <c r="BF917" s="984"/>
      <c r="BG917" s="988"/>
      <c r="BH917" s="982"/>
      <c r="BI917" s="991"/>
      <c r="BJ917" s="991"/>
      <c r="BK917" s="993" t="str">
        <f t="shared" si="770"/>
        <v>-</v>
      </c>
      <c r="BL917" s="865"/>
      <c r="BM917" s="821"/>
      <c r="BN917" s="822" t="str">
        <f t="shared" si="771"/>
        <v>-</v>
      </c>
      <c r="BO917" s="823" t="str">
        <f t="shared" si="772"/>
        <v>-</v>
      </c>
      <c r="BP917" s="868"/>
      <c r="BQ917" s="821"/>
      <c r="BR917" s="822" t="str">
        <f t="shared" si="773"/>
        <v>-</v>
      </c>
      <c r="BS917" s="823" t="str">
        <f t="shared" si="774"/>
        <v>-</v>
      </c>
      <c r="BT917" s="825" t="str">
        <f t="shared" ca="1" si="775"/>
        <v>-</v>
      </c>
      <c r="BU917" s="860">
        <v>42886</v>
      </c>
      <c r="BV917" s="827">
        <v>2</v>
      </c>
      <c r="BW917" s="828">
        <f t="shared" si="776"/>
        <v>29</v>
      </c>
      <c r="BX917" s="829">
        <f t="shared" ca="1" si="777"/>
        <v>248</v>
      </c>
      <c r="BY917" s="830" t="str">
        <f t="shared" ca="1" si="778"/>
        <v>-</v>
      </c>
      <c r="BZ917" s="831">
        <v>42931</v>
      </c>
      <c r="CA917" s="832">
        <v>5</v>
      </c>
      <c r="CB917" s="833">
        <f t="shared" ca="1" si="779"/>
        <v>203</v>
      </c>
      <c r="CC917" s="834" t="str">
        <f t="shared" ca="1" si="780"/>
        <v>-</v>
      </c>
      <c r="CD917" s="835">
        <f t="shared" si="781"/>
        <v>42952</v>
      </c>
      <c r="CE917" s="831">
        <v>42954</v>
      </c>
      <c r="CF917" s="832">
        <v>5</v>
      </c>
      <c r="CG917" s="833">
        <f t="shared" ca="1" si="782"/>
        <v>180</v>
      </c>
      <c r="CH917" s="836">
        <f t="shared" si="783"/>
        <v>-2</v>
      </c>
      <c r="CI917" s="837" t="str">
        <f t="shared" si="784"/>
        <v>-</v>
      </c>
      <c r="CJ917" s="838" t="str">
        <f t="shared" ca="1" si="785"/>
        <v>-</v>
      </c>
      <c r="CK917" s="831"/>
      <c r="CL917" s="832"/>
      <c r="CM917" s="833" t="str">
        <f t="shared" si="786"/>
        <v>-</v>
      </c>
      <c r="CN917" s="834" t="str">
        <f t="shared" si="787"/>
        <v>-</v>
      </c>
      <c r="CO917" s="830" t="str">
        <f t="shared" ca="1" si="788"/>
        <v>-</v>
      </c>
      <c r="CP917" s="839"/>
      <c r="CQ917" s="832"/>
      <c r="CR917" s="833" t="str">
        <f t="shared" si="789"/>
        <v>-</v>
      </c>
      <c r="CS917" s="833" t="str">
        <f t="shared" si="790"/>
        <v>-</v>
      </c>
      <c r="CT917" s="834" t="str">
        <f t="shared" si="791"/>
        <v>-</v>
      </c>
      <c r="CU917" s="835" t="str">
        <f t="shared" si="792"/>
        <v>-</v>
      </c>
      <c r="CV917" s="839"/>
      <c r="CW917" s="832"/>
      <c r="CX917" s="833" t="str">
        <f t="shared" si="793"/>
        <v>-</v>
      </c>
      <c r="CY917" s="840" t="str">
        <f t="shared" si="794"/>
        <v>-</v>
      </c>
      <c r="CZ917" s="833" t="str">
        <f t="shared" si="795"/>
        <v>-</v>
      </c>
      <c r="DA917" s="838" t="str">
        <f t="shared" ca="1" si="796"/>
        <v>-</v>
      </c>
      <c r="DB917" s="841"/>
      <c r="DC917" s="832"/>
    </row>
    <row r="918" spans="1:107" x14ac:dyDescent="0.25">
      <c r="A918" s="790">
        <v>922</v>
      </c>
      <c r="B918" s="791">
        <f t="shared" ca="1" si="745"/>
        <v>43134</v>
      </c>
      <c r="C918" s="792" t="s">
        <v>2548</v>
      </c>
      <c r="D918" s="793" t="s">
        <v>2586</v>
      </c>
      <c r="E918" s="794" t="s">
        <v>1563</v>
      </c>
      <c r="F918" s="795" t="s">
        <v>2704</v>
      </c>
      <c r="G918" s="845"/>
      <c r="H918" s="797" t="s">
        <v>603</v>
      </c>
      <c r="I918" s="798">
        <v>42862</v>
      </c>
      <c r="J918" s="799">
        <f t="shared" ca="1" si="746"/>
        <v>0.74520547945205484</v>
      </c>
      <c r="K918" s="799">
        <f t="shared" ca="1" si="747"/>
        <v>9.0666666666666664</v>
      </c>
      <c r="L918" s="800">
        <f t="shared" ca="1" si="748"/>
        <v>272</v>
      </c>
      <c r="M918" s="801"/>
      <c r="N918" s="802"/>
      <c r="O918" s="803" t="str">
        <f t="shared" ca="1" si="749"/>
        <v>-</v>
      </c>
      <c r="P918" s="804"/>
      <c r="Q918" s="805"/>
      <c r="R918" s="806"/>
      <c r="S918" s="807"/>
      <c r="T918" s="798"/>
      <c r="U918" s="798" t="str">
        <f t="shared" si="750"/>
        <v>-</v>
      </c>
      <c r="V918" s="804" t="str">
        <f t="shared" ca="1" si="751"/>
        <v>-</v>
      </c>
      <c r="W918" s="808">
        <v>0</v>
      </c>
      <c r="X918" s="794" t="str">
        <f t="shared" si="744"/>
        <v>-</v>
      </c>
      <c r="Y918" s="794">
        <v>0</v>
      </c>
      <c r="Z918" s="809" t="str">
        <f t="shared" ca="1" si="752"/>
        <v>-----</v>
      </c>
      <c r="AA918" s="810">
        <f t="shared" ca="1" si="753"/>
        <v>43134</v>
      </c>
      <c r="AB918" s="804"/>
      <c r="AC918" s="811" t="str">
        <f t="shared" ca="1" si="754"/>
        <v>-----</v>
      </c>
      <c r="AD918" s="798"/>
      <c r="AE918" s="794" t="str">
        <f t="shared" ca="1" si="755"/>
        <v>-</v>
      </c>
      <c r="AF918" s="798" t="str">
        <f t="shared" si="756"/>
        <v>-</v>
      </c>
      <c r="AG918" s="812" t="str">
        <f t="shared" si="757"/>
        <v>---------</v>
      </c>
      <c r="AH918" s="807"/>
      <c r="AI918" s="807" t="str">
        <f t="shared" si="758"/>
        <v>-</v>
      </c>
      <c r="AJ918" s="807" t="str">
        <f t="shared" si="759"/>
        <v>-</v>
      </c>
      <c r="AK918" s="813"/>
      <c r="AL918" s="807" t="str">
        <f t="shared" si="760"/>
        <v>-</v>
      </c>
      <c r="AM918" s="807" t="str">
        <f t="shared" si="761"/>
        <v>-</v>
      </c>
      <c r="AN918" s="814" t="str">
        <f t="shared" ca="1" si="762"/>
        <v>-</v>
      </c>
      <c r="AO918" s="815">
        <v>1</v>
      </c>
      <c r="AP918" s="816" t="str">
        <f t="shared" ca="1" si="763"/>
        <v>-</v>
      </c>
      <c r="AQ918" s="817"/>
      <c r="AR918" s="794" t="str">
        <f t="shared" si="764"/>
        <v>-</v>
      </c>
      <c r="AS918" s="818"/>
      <c r="AT918" s="794" t="str">
        <f t="shared" si="765"/>
        <v>-</v>
      </c>
      <c r="AU918" s="819"/>
      <c r="AV918" s="865"/>
      <c r="AW918" s="821"/>
      <c r="AX918" s="821"/>
      <c r="AY918" s="969" t="str">
        <f t="shared" si="766"/>
        <v>-</v>
      </c>
      <c r="AZ918" s="966" t="str">
        <f t="shared" si="767"/>
        <v>-</v>
      </c>
      <c r="BA918" s="971" t="str">
        <f t="shared" si="768"/>
        <v>-</v>
      </c>
      <c r="BB918" s="975"/>
      <c r="BC918" s="821"/>
      <c r="BD918" s="821"/>
      <c r="BE918" s="963" t="str">
        <f t="shared" si="769"/>
        <v>-</v>
      </c>
      <c r="BF918" s="984"/>
      <c r="BG918" s="988"/>
      <c r="BH918" s="982"/>
      <c r="BI918" s="991"/>
      <c r="BJ918" s="991"/>
      <c r="BK918" s="993" t="str">
        <f t="shared" si="770"/>
        <v>-</v>
      </c>
      <c r="BL918" s="865"/>
      <c r="BM918" s="821"/>
      <c r="BN918" s="822" t="str">
        <f t="shared" si="771"/>
        <v>-</v>
      </c>
      <c r="BO918" s="823" t="str">
        <f t="shared" si="772"/>
        <v>-</v>
      </c>
      <c r="BP918" s="868"/>
      <c r="BQ918" s="821"/>
      <c r="BR918" s="822" t="str">
        <f t="shared" si="773"/>
        <v>-</v>
      </c>
      <c r="BS918" s="823" t="str">
        <f t="shared" si="774"/>
        <v>-</v>
      </c>
      <c r="BT918" s="825" t="str">
        <f t="shared" ca="1" si="775"/>
        <v>-</v>
      </c>
      <c r="BU918" s="860">
        <v>42886</v>
      </c>
      <c r="BV918" s="827">
        <v>2</v>
      </c>
      <c r="BW918" s="828">
        <f t="shared" si="776"/>
        <v>24</v>
      </c>
      <c r="BX918" s="829">
        <f t="shared" ca="1" si="777"/>
        <v>248</v>
      </c>
      <c r="BY918" s="830" t="str">
        <f t="shared" ca="1" si="778"/>
        <v>-</v>
      </c>
      <c r="BZ918" s="831">
        <v>42931</v>
      </c>
      <c r="CA918" s="832">
        <v>5</v>
      </c>
      <c r="CB918" s="833">
        <f t="shared" ca="1" si="779"/>
        <v>203</v>
      </c>
      <c r="CC918" s="834" t="str">
        <f t="shared" ca="1" si="780"/>
        <v>-</v>
      </c>
      <c r="CD918" s="835">
        <f t="shared" si="781"/>
        <v>42952</v>
      </c>
      <c r="CE918" s="831">
        <v>42954</v>
      </c>
      <c r="CF918" s="832">
        <v>5</v>
      </c>
      <c r="CG918" s="833">
        <f t="shared" ca="1" si="782"/>
        <v>180</v>
      </c>
      <c r="CH918" s="836">
        <f t="shared" si="783"/>
        <v>-2</v>
      </c>
      <c r="CI918" s="837" t="str">
        <f t="shared" si="784"/>
        <v>-</v>
      </c>
      <c r="CJ918" s="838" t="str">
        <f t="shared" ca="1" si="785"/>
        <v>-</v>
      </c>
      <c r="CK918" s="831"/>
      <c r="CL918" s="832"/>
      <c r="CM918" s="833" t="str">
        <f t="shared" si="786"/>
        <v>-</v>
      </c>
      <c r="CN918" s="834" t="str">
        <f t="shared" si="787"/>
        <v>-</v>
      </c>
      <c r="CO918" s="830" t="str">
        <f t="shared" ca="1" si="788"/>
        <v>-</v>
      </c>
      <c r="CP918" s="839"/>
      <c r="CQ918" s="832"/>
      <c r="CR918" s="833" t="str">
        <f t="shared" si="789"/>
        <v>-</v>
      </c>
      <c r="CS918" s="833" t="str">
        <f t="shared" si="790"/>
        <v>-</v>
      </c>
      <c r="CT918" s="834" t="str">
        <f t="shared" si="791"/>
        <v>-</v>
      </c>
      <c r="CU918" s="835" t="str">
        <f t="shared" si="792"/>
        <v>-</v>
      </c>
      <c r="CV918" s="839"/>
      <c r="CW918" s="832"/>
      <c r="CX918" s="833" t="str">
        <f t="shared" si="793"/>
        <v>-</v>
      </c>
      <c r="CY918" s="840" t="str">
        <f t="shared" si="794"/>
        <v>-</v>
      </c>
      <c r="CZ918" s="833" t="str">
        <f t="shared" si="795"/>
        <v>-</v>
      </c>
      <c r="DA918" s="838" t="str">
        <f t="shared" ca="1" si="796"/>
        <v>-</v>
      </c>
      <c r="DB918" s="841"/>
      <c r="DC918" s="832"/>
    </row>
    <row r="919" spans="1:107" x14ac:dyDescent="0.25">
      <c r="A919" s="790">
        <v>923</v>
      </c>
      <c r="B919" s="791">
        <f t="shared" ca="1" si="745"/>
        <v>43134</v>
      </c>
      <c r="C919" s="792" t="s">
        <v>2548</v>
      </c>
      <c r="D919" s="793" t="s">
        <v>2586</v>
      </c>
      <c r="E919" s="794" t="s">
        <v>1563</v>
      </c>
      <c r="F919" s="795" t="s">
        <v>2714</v>
      </c>
      <c r="G919" s="845"/>
      <c r="H919" s="797" t="s">
        <v>603</v>
      </c>
      <c r="I919" s="798">
        <v>42864</v>
      </c>
      <c r="J919" s="799">
        <f t="shared" ca="1" si="746"/>
        <v>0.73972602739726023</v>
      </c>
      <c r="K919" s="799">
        <f t="shared" ca="1" si="747"/>
        <v>9</v>
      </c>
      <c r="L919" s="800">
        <f t="shared" ca="1" si="748"/>
        <v>270</v>
      </c>
      <c r="M919" s="801"/>
      <c r="N919" s="802"/>
      <c r="O919" s="803" t="str">
        <f t="shared" ca="1" si="749"/>
        <v>-</v>
      </c>
      <c r="P919" s="804"/>
      <c r="Q919" s="805"/>
      <c r="R919" s="806"/>
      <c r="S919" s="807"/>
      <c r="T919" s="798"/>
      <c r="U919" s="798" t="str">
        <f t="shared" si="750"/>
        <v>-</v>
      </c>
      <c r="V919" s="804" t="str">
        <f t="shared" ca="1" si="751"/>
        <v>-</v>
      </c>
      <c r="W919" s="808">
        <v>0</v>
      </c>
      <c r="X919" s="794" t="str">
        <f t="shared" si="744"/>
        <v>-</v>
      </c>
      <c r="Y919" s="794">
        <v>0</v>
      </c>
      <c r="Z919" s="809" t="str">
        <f t="shared" ca="1" si="752"/>
        <v>-----</v>
      </c>
      <c r="AA919" s="810">
        <f t="shared" ca="1" si="753"/>
        <v>43134</v>
      </c>
      <c r="AB919" s="804"/>
      <c r="AC919" s="811" t="str">
        <f t="shared" ca="1" si="754"/>
        <v>-----</v>
      </c>
      <c r="AD919" s="798"/>
      <c r="AE919" s="794" t="str">
        <f t="shared" ca="1" si="755"/>
        <v>-</v>
      </c>
      <c r="AF919" s="798" t="str">
        <f t="shared" si="756"/>
        <v>-</v>
      </c>
      <c r="AG919" s="812" t="str">
        <f t="shared" si="757"/>
        <v>---------</v>
      </c>
      <c r="AH919" s="807"/>
      <c r="AI919" s="807" t="str">
        <f t="shared" si="758"/>
        <v>-</v>
      </c>
      <c r="AJ919" s="807" t="str">
        <f t="shared" si="759"/>
        <v>-</v>
      </c>
      <c r="AK919" s="813"/>
      <c r="AL919" s="807" t="str">
        <f t="shared" si="760"/>
        <v>-</v>
      </c>
      <c r="AM919" s="807" t="str">
        <f t="shared" si="761"/>
        <v>-</v>
      </c>
      <c r="AN919" s="814" t="str">
        <f t="shared" ca="1" si="762"/>
        <v>-</v>
      </c>
      <c r="AO919" s="815">
        <v>1</v>
      </c>
      <c r="AP919" s="816" t="str">
        <f t="shared" ca="1" si="763"/>
        <v>-</v>
      </c>
      <c r="AQ919" s="817"/>
      <c r="AR919" s="794" t="str">
        <f t="shared" si="764"/>
        <v>-</v>
      </c>
      <c r="AS919" s="818"/>
      <c r="AT919" s="794" t="str">
        <f t="shared" si="765"/>
        <v>-</v>
      </c>
      <c r="AU919" s="819"/>
      <c r="AV919" s="865"/>
      <c r="AW919" s="821"/>
      <c r="AX919" s="821"/>
      <c r="AY919" s="969" t="str">
        <f t="shared" si="766"/>
        <v>-</v>
      </c>
      <c r="AZ919" s="966" t="str">
        <f t="shared" si="767"/>
        <v>-</v>
      </c>
      <c r="BA919" s="971" t="str">
        <f t="shared" si="768"/>
        <v>-</v>
      </c>
      <c r="BB919" s="975"/>
      <c r="BC919" s="821"/>
      <c r="BD919" s="821"/>
      <c r="BE919" s="963" t="str">
        <f t="shared" si="769"/>
        <v>-</v>
      </c>
      <c r="BF919" s="984"/>
      <c r="BG919" s="988"/>
      <c r="BH919" s="982"/>
      <c r="BI919" s="991"/>
      <c r="BJ919" s="991"/>
      <c r="BK919" s="993" t="str">
        <f t="shared" si="770"/>
        <v>-</v>
      </c>
      <c r="BL919" s="865"/>
      <c r="BM919" s="821"/>
      <c r="BN919" s="822" t="str">
        <f t="shared" si="771"/>
        <v>-</v>
      </c>
      <c r="BO919" s="823" t="str">
        <f t="shared" si="772"/>
        <v>-</v>
      </c>
      <c r="BP919" s="868"/>
      <c r="BQ919" s="821"/>
      <c r="BR919" s="822" t="str">
        <f t="shared" si="773"/>
        <v>-</v>
      </c>
      <c r="BS919" s="823" t="str">
        <f t="shared" si="774"/>
        <v>-</v>
      </c>
      <c r="BT919" s="825" t="str">
        <f t="shared" ca="1" si="775"/>
        <v>-</v>
      </c>
      <c r="BU919" s="860">
        <v>42886</v>
      </c>
      <c r="BV919" s="827">
        <v>2</v>
      </c>
      <c r="BW919" s="828">
        <f t="shared" si="776"/>
        <v>22</v>
      </c>
      <c r="BX919" s="829">
        <f t="shared" ca="1" si="777"/>
        <v>248</v>
      </c>
      <c r="BY919" s="830" t="str">
        <f t="shared" ca="1" si="778"/>
        <v>-</v>
      </c>
      <c r="BZ919" s="831">
        <v>42931</v>
      </c>
      <c r="CA919" s="832">
        <v>5</v>
      </c>
      <c r="CB919" s="833">
        <f t="shared" ca="1" si="779"/>
        <v>203</v>
      </c>
      <c r="CC919" s="834" t="str">
        <f t="shared" ca="1" si="780"/>
        <v>-</v>
      </c>
      <c r="CD919" s="835">
        <f t="shared" si="781"/>
        <v>42952</v>
      </c>
      <c r="CE919" s="831">
        <v>42954</v>
      </c>
      <c r="CF919" s="832">
        <v>5</v>
      </c>
      <c r="CG919" s="833">
        <f t="shared" ca="1" si="782"/>
        <v>180</v>
      </c>
      <c r="CH919" s="836">
        <f t="shared" si="783"/>
        <v>-2</v>
      </c>
      <c r="CI919" s="837" t="str">
        <f t="shared" si="784"/>
        <v>-</v>
      </c>
      <c r="CJ919" s="838" t="str">
        <f t="shared" ca="1" si="785"/>
        <v>-</v>
      </c>
      <c r="CK919" s="831"/>
      <c r="CL919" s="832"/>
      <c r="CM919" s="833" t="str">
        <f t="shared" si="786"/>
        <v>-</v>
      </c>
      <c r="CN919" s="834" t="str">
        <f t="shared" si="787"/>
        <v>-</v>
      </c>
      <c r="CO919" s="830" t="str">
        <f t="shared" ca="1" si="788"/>
        <v>-</v>
      </c>
      <c r="CP919" s="839"/>
      <c r="CQ919" s="832"/>
      <c r="CR919" s="833" t="str">
        <f t="shared" si="789"/>
        <v>-</v>
      </c>
      <c r="CS919" s="833" t="str">
        <f t="shared" si="790"/>
        <v>-</v>
      </c>
      <c r="CT919" s="834" t="str">
        <f t="shared" si="791"/>
        <v>-</v>
      </c>
      <c r="CU919" s="835" t="str">
        <f t="shared" si="792"/>
        <v>-</v>
      </c>
      <c r="CV919" s="839"/>
      <c r="CW919" s="832"/>
      <c r="CX919" s="833" t="str">
        <f t="shared" si="793"/>
        <v>-</v>
      </c>
      <c r="CY919" s="840" t="str">
        <f t="shared" si="794"/>
        <v>-</v>
      </c>
      <c r="CZ919" s="833" t="str">
        <f t="shared" si="795"/>
        <v>-</v>
      </c>
      <c r="DA919" s="838" t="str">
        <f t="shared" ca="1" si="796"/>
        <v>-</v>
      </c>
      <c r="DB919" s="841"/>
      <c r="DC919" s="832"/>
    </row>
    <row r="920" spans="1:107" x14ac:dyDescent="0.25">
      <c r="A920" s="790">
        <v>924</v>
      </c>
      <c r="B920" s="791">
        <f t="shared" ca="1" si="745"/>
        <v>43134</v>
      </c>
      <c r="C920" s="792" t="s">
        <v>2548</v>
      </c>
      <c r="D920" s="793" t="s">
        <v>2586</v>
      </c>
      <c r="E920" s="794" t="s">
        <v>1563</v>
      </c>
      <c r="F920" s="795" t="s">
        <v>2715</v>
      </c>
      <c r="G920" s="845"/>
      <c r="H920" s="797" t="s">
        <v>603</v>
      </c>
      <c r="I920" s="798">
        <v>42864</v>
      </c>
      <c r="J920" s="799">
        <f t="shared" ca="1" si="746"/>
        <v>0.73972602739726023</v>
      </c>
      <c r="K920" s="799">
        <f t="shared" ca="1" si="747"/>
        <v>9</v>
      </c>
      <c r="L920" s="800">
        <f t="shared" ca="1" si="748"/>
        <v>270</v>
      </c>
      <c r="M920" s="801"/>
      <c r="N920" s="802"/>
      <c r="O920" s="803" t="str">
        <f t="shared" ca="1" si="749"/>
        <v>-</v>
      </c>
      <c r="P920" s="804"/>
      <c r="Q920" s="805"/>
      <c r="R920" s="806"/>
      <c r="S920" s="807"/>
      <c r="T920" s="798"/>
      <c r="U920" s="798" t="str">
        <f t="shared" si="750"/>
        <v>-</v>
      </c>
      <c r="V920" s="804" t="str">
        <f t="shared" ca="1" si="751"/>
        <v>-</v>
      </c>
      <c r="W920" s="808">
        <v>0</v>
      </c>
      <c r="X920" s="794" t="str">
        <f t="shared" si="744"/>
        <v>-</v>
      </c>
      <c r="Y920" s="794">
        <v>0</v>
      </c>
      <c r="Z920" s="809" t="str">
        <f t="shared" ca="1" si="752"/>
        <v>-----</v>
      </c>
      <c r="AA920" s="810">
        <f t="shared" ca="1" si="753"/>
        <v>43134</v>
      </c>
      <c r="AB920" s="804"/>
      <c r="AC920" s="811" t="str">
        <f t="shared" ca="1" si="754"/>
        <v>-----</v>
      </c>
      <c r="AD920" s="798"/>
      <c r="AE920" s="794" t="str">
        <f t="shared" ca="1" si="755"/>
        <v>-</v>
      </c>
      <c r="AF920" s="798" t="str">
        <f t="shared" si="756"/>
        <v>-</v>
      </c>
      <c r="AG920" s="812" t="str">
        <f t="shared" si="757"/>
        <v>---------</v>
      </c>
      <c r="AH920" s="807"/>
      <c r="AI920" s="807" t="str">
        <f t="shared" si="758"/>
        <v>-</v>
      </c>
      <c r="AJ920" s="807" t="str">
        <f t="shared" si="759"/>
        <v>-</v>
      </c>
      <c r="AK920" s="813"/>
      <c r="AL920" s="807" t="str">
        <f t="shared" si="760"/>
        <v>-</v>
      </c>
      <c r="AM920" s="807" t="str">
        <f t="shared" si="761"/>
        <v>-</v>
      </c>
      <c r="AN920" s="814" t="str">
        <f t="shared" ca="1" si="762"/>
        <v>-</v>
      </c>
      <c r="AO920" s="815">
        <v>1</v>
      </c>
      <c r="AP920" s="816" t="str">
        <f t="shared" ca="1" si="763"/>
        <v>-</v>
      </c>
      <c r="AQ920" s="817"/>
      <c r="AR920" s="794" t="str">
        <f t="shared" si="764"/>
        <v>-</v>
      </c>
      <c r="AS920" s="818"/>
      <c r="AT920" s="794" t="str">
        <f t="shared" si="765"/>
        <v>-</v>
      </c>
      <c r="AU920" s="819"/>
      <c r="AV920" s="865"/>
      <c r="AW920" s="821"/>
      <c r="AX920" s="821"/>
      <c r="AY920" s="969" t="str">
        <f t="shared" si="766"/>
        <v>-</v>
      </c>
      <c r="AZ920" s="966" t="str">
        <f t="shared" si="767"/>
        <v>-</v>
      </c>
      <c r="BA920" s="971" t="str">
        <f t="shared" si="768"/>
        <v>-</v>
      </c>
      <c r="BB920" s="975"/>
      <c r="BC920" s="821"/>
      <c r="BD920" s="821"/>
      <c r="BE920" s="963" t="str">
        <f t="shared" si="769"/>
        <v>-</v>
      </c>
      <c r="BF920" s="984"/>
      <c r="BG920" s="988"/>
      <c r="BH920" s="982"/>
      <c r="BI920" s="991"/>
      <c r="BJ920" s="991"/>
      <c r="BK920" s="993" t="str">
        <f t="shared" si="770"/>
        <v>-</v>
      </c>
      <c r="BL920" s="865"/>
      <c r="BM920" s="821"/>
      <c r="BN920" s="822" t="str">
        <f t="shared" si="771"/>
        <v>-</v>
      </c>
      <c r="BO920" s="823" t="str">
        <f t="shared" si="772"/>
        <v>-</v>
      </c>
      <c r="BP920" s="868"/>
      <c r="BQ920" s="821"/>
      <c r="BR920" s="822" t="str">
        <f t="shared" si="773"/>
        <v>-</v>
      </c>
      <c r="BS920" s="823" t="str">
        <f t="shared" si="774"/>
        <v>-</v>
      </c>
      <c r="BT920" s="825" t="str">
        <f t="shared" ca="1" si="775"/>
        <v>-</v>
      </c>
      <c r="BU920" s="860">
        <v>42886</v>
      </c>
      <c r="BV920" s="827">
        <v>2</v>
      </c>
      <c r="BW920" s="828">
        <f t="shared" si="776"/>
        <v>22</v>
      </c>
      <c r="BX920" s="829">
        <f t="shared" ca="1" si="777"/>
        <v>248</v>
      </c>
      <c r="BY920" s="830" t="str">
        <f t="shared" ca="1" si="778"/>
        <v>-</v>
      </c>
      <c r="BZ920" s="831">
        <v>42931</v>
      </c>
      <c r="CA920" s="832">
        <v>5</v>
      </c>
      <c r="CB920" s="833">
        <f t="shared" ca="1" si="779"/>
        <v>203</v>
      </c>
      <c r="CC920" s="834" t="str">
        <f t="shared" ca="1" si="780"/>
        <v>-</v>
      </c>
      <c r="CD920" s="835">
        <f t="shared" si="781"/>
        <v>42952</v>
      </c>
      <c r="CE920" s="831">
        <v>42954</v>
      </c>
      <c r="CF920" s="832">
        <v>5</v>
      </c>
      <c r="CG920" s="833">
        <f t="shared" ca="1" si="782"/>
        <v>180</v>
      </c>
      <c r="CH920" s="836">
        <f t="shared" si="783"/>
        <v>-2</v>
      </c>
      <c r="CI920" s="837" t="str">
        <f t="shared" si="784"/>
        <v>-</v>
      </c>
      <c r="CJ920" s="838" t="str">
        <f t="shared" ca="1" si="785"/>
        <v>-</v>
      </c>
      <c r="CK920" s="831"/>
      <c r="CL920" s="832"/>
      <c r="CM920" s="833" t="str">
        <f t="shared" si="786"/>
        <v>-</v>
      </c>
      <c r="CN920" s="834" t="str">
        <f t="shared" si="787"/>
        <v>-</v>
      </c>
      <c r="CO920" s="830" t="str">
        <f t="shared" ca="1" si="788"/>
        <v>-</v>
      </c>
      <c r="CP920" s="839"/>
      <c r="CQ920" s="832"/>
      <c r="CR920" s="833" t="str">
        <f t="shared" si="789"/>
        <v>-</v>
      </c>
      <c r="CS920" s="833" t="str">
        <f t="shared" si="790"/>
        <v>-</v>
      </c>
      <c r="CT920" s="834" t="str">
        <f t="shared" si="791"/>
        <v>-</v>
      </c>
      <c r="CU920" s="835" t="str">
        <f t="shared" si="792"/>
        <v>-</v>
      </c>
      <c r="CV920" s="839"/>
      <c r="CW920" s="832"/>
      <c r="CX920" s="833" t="str">
        <f t="shared" si="793"/>
        <v>-</v>
      </c>
      <c r="CY920" s="840" t="str">
        <f t="shared" si="794"/>
        <v>-</v>
      </c>
      <c r="CZ920" s="833" t="str">
        <f t="shared" si="795"/>
        <v>-</v>
      </c>
      <c r="DA920" s="838" t="str">
        <f t="shared" ca="1" si="796"/>
        <v>-</v>
      </c>
      <c r="DB920" s="841"/>
      <c r="DC920" s="832"/>
    </row>
    <row r="921" spans="1:107" x14ac:dyDescent="0.25">
      <c r="A921" s="790">
        <v>925</v>
      </c>
      <c r="B921" s="791">
        <f t="shared" ca="1" si="745"/>
        <v>43134</v>
      </c>
      <c r="C921" s="792" t="s">
        <v>2548</v>
      </c>
      <c r="D921" s="793" t="s">
        <v>2586</v>
      </c>
      <c r="E921" s="794" t="s">
        <v>1563</v>
      </c>
      <c r="F921" s="795" t="s">
        <v>2716</v>
      </c>
      <c r="G921" s="845"/>
      <c r="H921" s="797" t="s">
        <v>603</v>
      </c>
      <c r="I921" s="798">
        <v>42865</v>
      </c>
      <c r="J921" s="799">
        <f t="shared" ca="1" si="746"/>
        <v>0.73698630136986298</v>
      </c>
      <c r="K921" s="799">
        <f t="shared" ca="1" si="747"/>
        <v>8.9666666666666668</v>
      </c>
      <c r="L921" s="800">
        <f t="shared" ca="1" si="748"/>
        <v>269</v>
      </c>
      <c r="M921" s="801"/>
      <c r="N921" s="802"/>
      <c r="O921" s="803" t="str">
        <f t="shared" ca="1" si="749"/>
        <v>-</v>
      </c>
      <c r="P921" s="804"/>
      <c r="Q921" s="805"/>
      <c r="R921" s="806"/>
      <c r="S921" s="807"/>
      <c r="T921" s="798"/>
      <c r="U921" s="798" t="str">
        <f t="shared" si="750"/>
        <v>-</v>
      </c>
      <c r="V921" s="804" t="str">
        <f t="shared" ca="1" si="751"/>
        <v>-</v>
      </c>
      <c r="W921" s="808">
        <v>0</v>
      </c>
      <c r="X921" s="794" t="str">
        <f t="shared" si="744"/>
        <v>-</v>
      </c>
      <c r="Y921" s="794">
        <v>0</v>
      </c>
      <c r="Z921" s="809" t="str">
        <f t="shared" ca="1" si="752"/>
        <v>-----</v>
      </c>
      <c r="AA921" s="810">
        <f t="shared" ca="1" si="753"/>
        <v>43134</v>
      </c>
      <c r="AB921" s="804"/>
      <c r="AC921" s="811" t="str">
        <f t="shared" ca="1" si="754"/>
        <v>-----</v>
      </c>
      <c r="AD921" s="798"/>
      <c r="AE921" s="794" t="str">
        <f t="shared" ca="1" si="755"/>
        <v>-</v>
      </c>
      <c r="AF921" s="798" t="str">
        <f t="shared" si="756"/>
        <v>-</v>
      </c>
      <c r="AG921" s="812" t="str">
        <f t="shared" si="757"/>
        <v>---------</v>
      </c>
      <c r="AH921" s="807"/>
      <c r="AI921" s="807" t="str">
        <f t="shared" si="758"/>
        <v>-</v>
      </c>
      <c r="AJ921" s="807" t="str">
        <f t="shared" si="759"/>
        <v>-</v>
      </c>
      <c r="AK921" s="813"/>
      <c r="AL921" s="807" t="str">
        <f t="shared" si="760"/>
        <v>-</v>
      </c>
      <c r="AM921" s="807" t="str">
        <f t="shared" si="761"/>
        <v>-</v>
      </c>
      <c r="AN921" s="814" t="str">
        <f t="shared" ca="1" si="762"/>
        <v>-</v>
      </c>
      <c r="AO921" s="815">
        <v>1</v>
      </c>
      <c r="AP921" s="816" t="str">
        <f t="shared" ca="1" si="763"/>
        <v>-</v>
      </c>
      <c r="AQ921" s="817"/>
      <c r="AR921" s="794" t="str">
        <f t="shared" si="764"/>
        <v>-</v>
      </c>
      <c r="AS921" s="818"/>
      <c r="AT921" s="794" t="str">
        <f t="shared" si="765"/>
        <v>-</v>
      </c>
      <c r="AU921" s="819"/>
      <c r="AV921" s="865"/>
      <c r="AW921" s="821"/>
      <c r="AX921" s="821"/>
      <c r="AY921" s="969" t="str">
        <f t="shared" si="766"/>
        <v>-</v>
      </c>
      <c r="AZ921" s="966" t="str">
        <f t="shared" si="767"/>
        <v>-</v>
      </c>
      <c r="BA921" s="971" t="str">
        <f t="shared" si="768"/>
        <v>-</v>
      </c>
      <c r="BB921" s="975"/>
      <c r="BC921" s="821"/>
      <c r="BD921" s="821"/>
      <c r="BE921" s="963" t="str">
        <f t="shared" si="769"/>
        <v>-</v>
      </c>
      <c r="BF921" s="984"/>
      <c r="BG921" s="988"/>
      <c r="BH921" s="982"/>
      <c r="BI921" s="991"/>
      <c r="BJ921" s="991"/>
      <c r="BK921" s="993" t="str">
        <f t="shared" si="770"/>
        <v>-</v>
      </c>
      <c r="BL921" s="865"/>
      <c r="BM921" s="821"/>
      <c r="BN921" s="822" t="str">
        <f t="shared" si="771"/>
        <v>-</v>
      </c>
      <c r="BO921" s="823" t="str">
        <f t="shared" si="772"/>
        <v>-</v>
      </c>
      <c r="BP921" s="868"/>
      <c r="BQ921" s="821"/>
      <c r="BR921" s="822" t="str">
        <f t="shared" si="773"/>
        <v>-</v>
      </c>
      <c r="BS921" s="823" t="str">
        <f t="shared" si="774"/>
        <v>-</v>
      </c>
      <c r="BT921" s="825" t="str">
        <f t="shared" ca="1" si="775"/>
        <v>-</v>
      </c>
      <c r="BU921" s="860">
        <v>42886</v>
      </c>
      <c r="BV921" s="827">
        <v>2</v>
      </c>
      <c r="BW921" s="828">
        <f t="shared" si="776"/>
        <v>21</v>
      </c>
      <c r="BX921" s="829">
        <f t="shared" ca="1" si="777"/>
        <v>248</v>
      </c>
      <c r="BY921" s="830" t="str">
        <f t="shared" ca="1" si="778"/>
        <v>-</v>
      </c>
      <c r="BZ921" s="831">
        <v>42931</v>
      </c>
      <c r="CA921" s="832">
        <v>5</v>
      </c>
      <c r="CB921" s="833">
        <f t="shared" ca="1" si="779"/>
        <v>203</v>
      </c>
      <c r="CC921" s="834" t="str">
        <f t="shared" ca="1" si="780"/>
        <v>-</v>
      </c>
      <c r="CD921" s="835">
        <f t="shared" si="781"/>
        <v>42952</v>
      </c>
      <c r="CE921" s="831">
        <v>42954</v>
      </c>
      <c r="CF921" s="832">
        <v>5</v>
      </c>
      <c r="CG921" s="833">
        <f t="shared" ca="1" si="782"/>
        <v>180</v>
      </c>
      <c r="CH921" s="836">
        <f t="shared" si="783"/>
        <v>-2</v>
      </c>
      <c r="CI921" s="837" t="str">
        <f t="shared" si="784"/>
        <v>-</v>
      </c>
      <c r="CJ921" s="838" t="str">
        <f t="shared" ca="1" si="785"/>
        <v>-</v>
      </c>
      <c r="CK921" s="831"/>
      <c r="CL921" s="832"/>
      <c r="CM921" s="833" t="str">
        <f t="shared" si="786"/>
        <v>-</v>
      </c>
      <c r="CN921" s="834" t="str">
        <f t="shared" si="787"/>
        <v>-</v>
      </c>
      <c r="CO921" s="830" t="str">
        <f t="shared" ca="1" si="788"/>
        <v>-</v>
      </c>
      <c r="CP921" s="839"/>
      <c r="CQ921" s="832"/>
      <c r="CR921" s="833" t="str">
        <f t="shared" si="789"/>
        <v>-</v>
      </c>
      <c r="CS921" s="833" t="str">
        <f t="shared" si="790"/>
        <v>-</v>
      </c>
      <c r="CT921" s="834" t="str">
        <f t="shared" si="791"/>
        <v>-</v>
      </c>
      <c r="CU921" s="835" t="str">
        <f t="shared" si="792"/>
        <v>-</v>
      </c>
      <c r="CV921" s="839"/>
      <c r="CW921" s="832"/>
      <c r="CX921" s="833" t="str">
        <f t="shared" si="793"/>
        <v>-</v>
      </c>
      <c r="CY921" s="840" t="str">
        <f t="shared" si="794"/>
        <v>-</v>
      </c>
      <c r="CZ921" s="833" t="str">
        <f t="shared" si="795"/>
        <v>-</v>
      </c>
      <c r="DA921" s="838" t="str">
        <f t="shared" ca="1" si="796"/>
        <v>-</v>
      </c>
      <c r="DB921" s="841"/>
      <c r="DC921" s="832"/>
    </row>
    <row r="922" spans="1:107" x14ac:dyDescent="0.25">
      <c r="A922" s="790">
        <v>926</v>
      </c>
      <c r="B922" s="791">
        <f t="shared" ca="1" si="745"/>
        <v>43134</v>
      </c>
      <c r="C922" s="792" t="s">
        <v>2548</v>
      </c>
      <c r="D922" s="793" t="s">
        <v>2586</v>
      </c>
      <c r="E922" s="794" t="s">
        <v>1563</v>
      </c>
      <c r="F922" s="795" t="s">
        <v>2722</v>
      </c>
      <c r="G922" s="845"/>
      <c r="H922" s="797" t="s">
        <v>603</v>
      </c>
      <c r="I922" s="798">
        <v>42866</v>
      </c>
      <c r="J922" s="799">
        <f t="shared" ca="1" si="746"/>
        <v>0.73424657534246573</v>
      </c>
      <c r="K922" s="799">
        <f t="shared" ca="1" si="747"/>
        <v>8.9333333333333336</v>
      </c>
      <c r="L922" s="800">
        <f t="shared" ca="1" si="748"/>
        <v>268</v>
      </c>
      <c r="M922" s="801"/>
      <c r="N922" s="802"/>
      <c r="O922" s="803" t="str">
        <f t="shared" ca="1" si="749"/>
        <v>-</v>
      </c>
      <c r="P922" s="804"/>
      <c r="Q922" s="805"/>
      <c r="R922" s="806"/>
      <c r="S922" s="807"/>
      <c r="T922" s="798"/>
      <c r="U922" s="798" t="str">
        <f t="shared" si="750"/>
        <v>-</v>
      </c>
      <c r="V922" s="804" t="str">
        <f t="shared" ca="1" si="751"/>
        <v>-</v>
      </c>
      <c r="W922" s="808">
        <v>0</v>
      </c>
      <c r="X922" s="794" t="str">
        <f t="shared" si="744"/>
        <v>-</v>
      </c>
      <c r="Y922" s="794">
        <v>0</v>
      </c>
      <c r="Z922" s="809" t="str">
        <f t="shared" ca="1" si="752"/>
        <v>-----</v>
      </c>
      <c r="AA922" s="810">
        <f t="shared" ca="1" si="753"/>
        <v>43134</v>
      </c>
      <c r="AB922" s="804"/>
      <c r="AC922" s="811" t="str">
        <f t="shared" ca="1" si="754"/>
        <v>-----</v>
      </c>
      <c r="AD922" s="798"/>
      <c r="AE922" s="794" t="str">
        <f t="shared" ca="1" si="755"/>
        <v>-</v>
      </c>
      <c r="AF922" s="798" t="str">
        <f t="shared" si="756"/>
        <v>-</v>
      </c>
      <c r="AG922" s="812" t="str">
        <f t="shared" si="757"/>
        <v>---------</v>
      </c>
      <c r="AH922" s="807"/>
      <c r="AI922" s="807" t="str">
        <f t="shared" si="758"/>
        <v>-</v>
      </c>
      <c r="AJ922" s="807" t="str">
        <f t="shared" si="759"/>
        <v>-</v>
      </c>
      <c r="AK922" s="813"/>
      <c r="AL922" s="807" t="str">
        <f t="shared" si="760"/>
        <v>-</v>
      </c>
      <c r="AM922" s="807" t="str">
        <f t="shared" si="761"/>
        <v>-</v>
      </c>
      <c r="AN922" s="814" t="str">
        <f t="shared" ca="1" si="762"/>
        <v>-</v>
      </c>
      <c r="AO922" s="815">
        <v>1</v>
      </c>
      <c r="AP922" s="816" t="str">
        <f t="shared" ca="1" si="763"/>
        <v>-</v>
      </c>
      <c r="AQ922" s="817"/>
      <c r="AR922" s="794" t="str">
        <f t="shared" si="764"/>
        <v>-</v>
      </c>
      <c r="AS922" s="818"/>
      <c r="AT922" s="794" t="str">
        <f t="shared" si="765"/>
        <v>-</v>
      </c>
      <c r="AU922" s="819"/>
      <c r="AV922" s="865"/>
      <c r="AW922" s="821"/>
      <c r="AX922" s="821"/>
      <c r="AY922" s="969" t="str">
        <f t="shared" si="766"/>
        <v>-</v>
      </c>
      <c r="AZ922" s="966" t="str">
        <f t="shared" si="767"/>
        <v>-</v>
      </c>
      <c r="BA922" s="971" t="str">
        <f t="shared" si="768"/>
        <v>-</v>
      </c>
      <c r="BB922" s="975"/>
      <c r="BC922" s="821"/>
      <c r="BD922" s="821"/>
      <c r="BE922" s="963" t="str">
        <f t="shared" si="769"/>
        <v>-</v>
      </c>
      <c r="BF922" s="984"/>
      <c r="BG922" s="988"/>
      <c r="BH922" s="982"/>
      <c r="BI922" s="991"/>
      <c r="BJ922" s="991"/>
      <c r="BK922" s="993" t="str">
        <f t="shared" si="770"/>
        <v>-</v>
      </c>
      <c r="BL922" s="865"/>
      <c r="BM922" s="821"/>
      <c r="BN922" s="822" t="str">
        <f t="shared" si="771"/>
        <v>-</v>
      </c>
      <c r="BO922" s="823" t="str">
        <f t="shared" si="772"/>
        <v>-</v>
      </c>
      <c r="BP922" s="868"/>
      <c r="BQ922" s="821"/>
      <c r="BR922" s="822" t="str">
        <f t="shared" si="773"/>
        <v>-</v>
      </c>
      <c r="BS922" s="823" t="str">
        <f t="shared" si="774"/>
        <v>-</v>
      </c>
      <c r="BT922" s="825" t="str">
        <f t="shared" ca="1" si="775"/>
        <v>-</v>
      </c>
      <c r="BU922" s="860">
        <v>42886</v>
      </c>
      <c r="BV922" s="827">
        <v>2</v>
      </c>
      <c r="BW922" s="828">
        <f t="shared" si="776"/>
        <v>20</v>
      </c>
      <c r="BX922" s="829">
        <f t="shared" ca="1" si="777"/>
        <v>248</v>
      </c>
      <c r="BY922" s="830" t="str">
        <f t="shared" ca="1" si="778"/>
        <v>-</v>
      </c>
      <c r="BZ922" s="831">
        <v>42931</v>
      </c>
      <c r="CA922" s="832">
        <v>5</v>
      </c>
      <c r="CB922" s="833">
        <f t="shared" ca="1" si="779"/>
        <v>203</v>
      </c>
      <c r="CC922" s="834" t="str">
        <f t="shared" ca="1" si="780"/>
        <v>-</v>
      </c>
      <c r="CD922" s="835">
        <f t="shared" si="781"/>
        <v>42952</v>
      </c>
      <c r="CE922" s="831">
        <v>42954</v>
      </c>
      <c r="CF922" s="832">
        <v>5</v>
      </c>
      <c r="CG922" s="833">
        <f t="shared" ca="1" si="782"/>
        <v>180</v>
      </c>
      <c r="CH922" s="836">
        <f t="shared" si="783"/>
        <v>-2</v>
      </c>
      <c r="CI922" s="837" t="str">
        <f t="shared" si="784"/>
        <v>-</v>
      </c>
      <c r="CJ922" s="838" t="str">
        <f t="shared" ca="1" si="785"/>
        <v>-</v>
      </c>
      <c r="CK922" s="831"/>
      <c r="CL922" s="832"/>
      <c r="CM922" s="833" t="str">
        <f t="shared" si="786"/>
        <v>-</v>
      </c>
      <c r="CN922" s="834" t="str">
        <f t="shared" si="787"/>
        <v>-</v>
      </c>
      <c r="CO922" s="830" t="str">
        <f t="shared" ca="1" si="788"/>
        <v>-</v>
      </c>
      <c r="CP922" s="839"/>
      <c r="CQ922" s="832"/>
      <c r="CR922" s="833" t="str">
        <f t="shared" si="789"/>
        <v>-</v>
      </c>
      <c r="CS922" s="833" t="str">
        <f t="shared" si="790"/>
        <v>-</v>
      </c>
      <c r="CT922" s="834" t="str">
        <f t="shared" si="791"/>
        <v>-</v>
      </c>
      <c r="CU922" s="835" t="str">
        <f t="shared" si="792"/>
        <v>-</v>
      </c>
      <c r="CV922" s="839"/>
      <c r="CW922" s="832"/>
      <c r="CX922" s="833" t="str">
        <f t="shared" si="793"/>
        <v>-</v>
      </c>
      <c r="CY922" s="840" t="str">
        <f t="shared" si="794"/>
        <v>-</v>
      </c>
      <c r="CZ922" s="833" t="str">
        <f t="shared" si="795"/>
        <v>-</v>
      </c>
      <c r="DA922" s="838" t="str">
        <f t="shared" ca="1" si="796"/>
        <v>-</v>
      </c>
      <c r="DB922" s="841"/>
      <c r="DC922" s="832"/>
    </row>
    <row r="923" spans="1:107" x14ac:dyDescent="0.25">
      <c r="A923" s="790">
        <v>927</v>
      </c>
      <c r="B923" s="791">
        <f t="shared" ca="1" si="745"/>
        <v>43134</v>
      </c>
      <c r="C923" s="792" t="s">
        <v>2548</v>
      </c>
      <c r="D923" s="793" t="s">
        <v>2586</v>
      </c>
      <c r="E923" s="794" t="s">
        <v>1563</v>
      </c>
      <c r="F923" s="795" t="s">
        <v>2726</v>
      </c>
      <c r="G923" s="845"/>
      <c r="H923" s="797" t="s">
        <v>603</v>
      </c>
      <c r="I923" s="798">
        <v>42867</v>
      </c>
      <c r="J923" s="799">
        <f t="shared" ca="1" si="746"/>
        <v>0.73150684931506849</v>
      </c>
      <c r="K923" s="799">
        <f t="shared" ca="1" si="747"/>
        <v>8.9</v>
      </c>
      <c r="L923" s="800">
        <f t="shared" ca="1" si="748"/>
        <v>267</v>
      </c>
      <c r="M923" s="801"/>
      <c r="N923" s="802"/>
      <c r="O923" s="803" t="str">
        <f t="shared" ca="1" si="749"/>
        <v>-</v>
      </c>
      <c r="P923" s="804"/>
      <c r="Q923" s="805"/>
      <c r="R923" s="806"/>
      <c r="S923" s="807"/>
      <c r="T923" s="798"/>
      <c r="U923" s="798" t="str">
        <f t="shared" si="750"/>
        <v>-</v>
      </c>
      <c r="V923" s="804" t="str">
        <f t="shared" ca="1" si="751"/>
        <v>-</v>
      </c>
      <c r="W923" s="808">
        <v>0</v>
      </c>
      <c r="X923" s="794" t="str">
        <f t="shared" si="744"/>
        <v>-</v>
      </c>
      <c r="Y923" s="794">
        <v>0</v>
      </c>
      <c r="Z923" s="809" t="str">
        <f t="shared" ca="1" si="752"/>
        <v>-----</v>
      </c>
      <c r="AA923" s="810">
        <f t="shared" ca="1" si="753"/>
        <v>43134</v>
      </c>
      <c r="AB923" s="804"/>
      <c r="AC923" s="811" t="str">
        <f t="shared" ca="1" si="754"/>
        <v>-----</v>
      </c>
      <c r="AD923" s="798"/>
      <c r="AE923" s="794" t="str">
        <f t="shared" ca="1" si="755"/>
        <v>-</v>
      </c>
      <c r="AF923" s="798" t="str">
        <f t="shared" si="756"/>
        <v>-</v>
      </c>
      <c r="AG923" s="812" t="str">
        <f t="shared" si="757"/>
        <v>---------</v>
      </c>
      <c r="AH923" s="807"/>
      <c r="AI923" s="807" t="str">
        <f t="shared" si="758"/>
        <v>-</v>
      </c>
      <c r="AJ923" s="807" t="str">
        <f t="shared" si="759"/>
        <v>-</v>
      </c>
      <c r="AK923" s="813"/>
      <c r="AL923" s="807" t="str">
        <f t="shared" si="760"/>
        <v>-</v>
      </c>
      <c r="AM923" s="807" t="str">
        <f t="shared" si="761"/>
        <v>-</v>
      </c>
      <c r="AN923" s="814" t="str">
        <f t="shared" ca="1" si="762"/>
        <v>-</v>
      </c>
      <c r="AO923" s="815">
        <v>1</v>
      </c>
      <c r="AP923" s="816" t="str">
        <f t="shared" ca="1" si="763"/>
        <v>-</v>
      </c>
      <c r="AQ923" s="817"/>
      <c r="AR923" s="794" t="str">
        <f t="shared" si="764"/>
        <v>-</v>
      </c>
      <c r="AS923" s="818"/>
      <c r="AT923" s="794" t="str">
        <f t="shared" si="765"/>
        <v>-</v>
      </c>
      <c r="AU923" s="819"/>
      <c r="AV923" s="865"/>
      <c r="AW923" s="821"/>
      <c r="AX923" s="821"/>
      <c r="AY923" s="969" t="str">
        <f t="shared" si="766"/>
        <v>-</v>
      </c>
      <c r="AZ923" s="966" t="str">
        <f t="shared" si="767"/>
        <v>-</v>
      </c>
      <c r="BA923" s="971" t="str">
        <f t="shared" si="768"/>
        <v>-</v>
      </c>
      <c r="BB923" s="975"/>
      <c r="BC923" s="821"/>
      <c r="BD923" s="821"/>
      <c r="BE923" s="963" t="str">
        <f t="shared" si="769"/>
        <v>-</v>
      </c>
      <c r="BF923" s="984"/>
      <c r="BG923" s="988"/>
      <c r="BH923" s="982"/>
      <c r="BI923" s="991"/>
      <c r="BJ923" s="991"/>
      <c r="BK923" s="993" t="str">
        <f t="shared" si="770"/>
        <v>-</v>
      </c>
      <c r="BL923" s="865"/>
      <c r="BM923" s="821"/>
      <c r="BN923" s="822" t="str">
        <f t="shared" si="771"/>
        <v>-</v>
      </c>
      <c r="BO923" s="823" t="str">
        <f t="shared" si="772"/>
        <v>-</v>
      </c>
      <c r="BP923" s="868"/>
      <c r="BQ923" s="821"/>
      <c r="BR923" s="822" t="str">
        <f t="shared" si="773"/>
        <v>-</v>
      </c>
      <c r="BS923" s="823" t="str">
        <f t="shared" si="774"/>
        <v>-</v>
      </c>
      <c r="BT923" s="825" t="str">
        <f t="shared" ca="1" si="775"/>
        <v>-</v>
      </c>
      <c r="BU923" s="860">
        <v>42886</v>
      </c>
      <c r="BV923" s="827">
        <v>2</v>
      </c>
      <c r="BW923" s="828">
        <f t="shared" si="776"/>
        <v>19</v>
      </c>
      <c r="BX923" s="829">
        <f t="shared" ca="1" si="777"/>
        <v>248</v>
      </c>
      <c r="BY923" s="830" t="str">
        <f t="shared" ca="1" si="778"/>
        <v>-</v>
      </c>
      <c r="BZ923" s="831">
        <v>42931</v>
      </c>
      <c r="CA923" s="832">
        <v>5</v>
      </c>
      <c r="CB923" s="833">
        <f t="shared" ca="1" si="779"/>
        <v>203</v>
      </c>
      <c r="CC923" s="834" t="str">
        <f t="shared" ca="1" si="780"/>
        <v>-</v>
      </c>
      <c r="CD923" s="835">
        <f t="shared" si="781"/>
        <v>42952</v>
      </c>
      <c r="CE923" s="831">
        <v>42954</v>
      </c>
      <c r="CF923" s="832">
        <v>5</v>
      </c>
      <c r="CG923" s="833">
        <f t="shared" ca="1" si="782"/>
        <v>180</v>
      </c>
      <c r="CH923" s="836">
        <f t="shared" si="783"/>
        <v>-2</v>
      </c>
      <c r="CI923" s="837" t="str">
        <f t="shared" si="784"/>
        <v>-</v>
      </c>
      <c r="CJ923" s="838" t="str">
        <f t="shared" ca="1" si="785"/>
        <v>-</v>
      </c>
      <c r="CK923" s="831"/>
      <c r="CL923" s="832"/>
      <c r="CM923" s="833" t="str">
        <f t="shared" si="786"/>
        <v>-</v>
      </c>
      <c r="CN923" s="834" t="str">
        <f t="shared" si="787"/>
        <v>-</v>
      </c>
      <c r="CO923" s="830" t="str">
        <f t="shared" ca="1" si="788"/>
        <v>-</v>
      </c>
      <c r="CP923" s="839"/>
      <c r="CQ923" s="832"/>
      <c r="CR923" s="833" t="str">
        <f t="shared" si="789"/>
        <v>-</v>
      </c>
      <c r="CS923" s="833" t="str">
        <f t="shared" si="790"/>
        <v>-</v>
      </c>
      <c r="CT923" s="834" t="str">
        <f t="shared" si="791"/>
        <v>-</v>
      </c>
      <c r="CU923" s="835" t="str">
        <f t="shared" si="792"/>
        <v>-</v>
      </c>
      <c r="CV923" s="839"/>
      <c r="CW923" s="832"/>
      <c r="CX923" s="833" t="str">
        <f t="shared" si="793"/>
        <v>-</v>
      </c>
      <c r="CY923" s="840" t="str">
        <f t="shared" si="794"/>
        <v>-</v>
      </c>
      <c r="CZ923" s="833" t="str">
        <f t="shared" si="795"/>
        <v>-</v>
      </c>
      <c r="DA923" s="838" t="str">
        <f t="shared" ca="1" si="796"/>
        <v>-</v>
      </c>
      <c r="DB923" s="841"/>
      <c r="DC923" s="832"/>
    </row>
    <row r="924" spans="1:107" x14ac:dyDescent="0.25">
      <c r="A924" s="790">
        <v>928</v>
      </c>
      <c r="B924" s="791">
        <f t="shared" ca="1" si="745"/>
        <v>43134</v>
      </c>
      <c r="C924" s="792" t="s">
        <v>2548</v>
      </c>
      <c r="D924" s="793" t="s">
        <v>2586</v>
      </c>
      <c r="E924" s="794" t="s">
        <v>1563</v>
      </c>
      <c r="F924" s="795" t="s">
        <v>2727</v>
      </c>
      <c r="G924" s="845"/>
      <c r="H924" s="797" t="s">
        <v>603</v>
      </c>
      <c r="I924" s="798">
        <v>42867</v>
      </c>
      <c r="J924" s="799">
        <f t="shared" ca="1" si="746"/>
        <v>0.73150684931506849</v>
      </c>
      <c r="K924" s="799">
        <f t="shared" ca="1" si="747"/>
        <v>8.9</v>
      </c>
      <c r="L924" s="800">
        <f t="shared" ca="1" si="748"/>
        <v>267</v>
      </c>
      <c r="M924" s="801"/>
      <c r="N924" s="802"/>
      <c r="O924" s="803" t="str">
        <f t="shared" ca="1" si="749"/>
        <v>-</v>
      </c>
      <c r="P924" s="804"/>
      <c r="Q924" s="805"/>
      <c r="R924" s="806"/>
      <c r="S924" s="807"/>
      <c r="T924" s="798"/>
      <c r="U924" s="798" t="str">
        <f t="shared" si="750"/>
        <v>-</v>
      </c>
      <c r="V924" s="804" t="str">
        <f t="shared" ca="1" si="751"/>
        <v>-</v>
      </c>
      <c r="W924" s="808">
        <v>0</v>
      </c>
      <c r="X924" s="794" t="str">
        <f t="shared" si="744"/>
        <v>-</v>
      </c>
      <c r="Y924" s="794">
        <v>0</v>
      </c>
      <c r="Z924" s="809" t="str">
        <f t="shared" ca="1" si="752"/>
        <v>-----</v>
      </c>
      <c r="AA924" s="810">
        <f t="shared" ca="1" si="753"/>
        <v>43134</v>
      </c>
      <c r="AB924" s="804"/>
      <c r="AC924" s="811" t="str">
        <f t="shared" ca="1" si="754"/>
        <v>-----</v>
      </c>
      <c r="AD924" s="798"/>
      <c r="AE924" s="794" t="str">
        <f t="shared" ca="1" si="755"/>
        <v>-</v>
      </c>
      <c r="AF924" s="798" t="str">
        <f t="shared" si="756"/>
        <v>-</v>
      </c>
      <c r="AG924" s="812" t="str">
        <f t="shared" si="757"/>
        <v>---------</v>
      </c>
      <c r="AH924" s="807"/>
      <c r="AI924" s="807" t="str">
        <f t="shared" si="758"/>
        <v>-</v>
      </c>
      <c r="AJ924" s="807" t="str">
        <f t="shared" si="759"/>
        <v>-</v>
      </c>
      <c r="AK924" s="813"/>
      <c r="AL924" s="807" t="str">
        <f t="shared" si="760"/>
        <v>-</v>
      </c>
      <c r="AM924" s="807" t="str">
        <f t="shared" si="761"/>
        <v>-</v>
      </c>
      <c r="AN924" s="814" t="str">
        <f t="shared" ca="1" si="762"/>
        <v>-</v>
      </c>
      <c r="AO924" s="815">
        <v>1</v>
      </c>
      <c r="AP924" s="816" t="str">
        <f t="shared" ca="1" si="763"/>
        <v>-</v>
      </c>
      <c r="AQ924" s="817"/>
      <c r="AR924" s="794" t="str">
        <f t="shared" si="764"/>
        <v>-</v>
      </c>
      <c r="AS924" s="818"/>
      <c r="AT924" s="794" t="str">
        <f t="shared" si="765"/>
        <v>-</v>
      </c>
      <c r="AU924" s="819"/>
      <c r="AV924" s="865"/>
      <c r="AW924" s="821"/>
      <c r="AX924" s="821"/>
      <c r="AY924" s="969" t="str">
        <f t="shared" si="766"/>
        <v>-</v>
      </c>
      <c r="AZ924" s="966" t="str">
        <f t="shared" si="767"/>
        <v>-</v>
      </c>
      <c r="BA924" s="971" t="str">
        <f t="shared" si="768"/>
        <v>-</v>
      </c>
      <c r="BB924" s="975"/>
      <c r="BC924" s="821"/>
      <c r="BD924" s="821"/>
      <c r="BE924" s="963" t="str">
        <f t="shared" si="769"/>
        <v>-</v>
      </c>
      <c r="BF924" s="984"/>
      <c r="BG924" s="988"/>
      <c r="BH924" s="982"/>
      <c r="BI924" s="991"/>
      <c r="BJ924" s="991"/>
      <c r="BK924" s="993" t="str">
        <f t="shared" si="770"/>
        <v>-</v>
      </c>
      <c r="BL924" s="865"/>
      <c r="BM924" s="821"/>
      <c r="BN924" s="822" t="str">
        <f t="shared" si="771"/>
        <v>-</v>
      </c>
      <c r="BO924" s="823" t="str">
        <f t="shared" si="772"/>
        <v>-</v>
      </c>
      <c r="BP924" s="868"/>
      <c r="BQ924" s="821"/>
      <c r="BR924" s="822" t="str">
        <f t="shared" si="773"/>
        <v>-</v>
      </c>
      <c r="BS924" s="823" t="str">
        <f t="shared" si="774"/>
        <v>-</v>
      </c>
      <c r="BT924" s="825" t="str">
        <f t="shared" ca="1" si="775"/>
        <v>-</v>
      </c>
      <c r="BU924" s="860">
        <v>42886</v>
      </c>
      <c r="BV924" s="827">
        <v>2</v>
      </c>
      <c r="BW924" s="828">
        <f t="shared" si="776"/>
        <v>19</v>
      </c>
      <c r="BX924" s="829">
        <f t="shared" ca="1" si="777"/>
        <v>248</v>
      </c>
      <c r="BY924" s="830" t="str">
        <f t="shared" ca="1" si="778"/>
        <v>-</v>
      </c>
      <c r="BZ924" s="831">
        <v>42931</v>
      </c>
      <c r="CA924" s="832">
        <v>5</v>
      </c>
      <c r="CB924" s="833">
        <f t="shared" ca="1" si="779"/>
        <v>203</v>
      </c>
      <c r="CC924" s="834" t="str">
        <f t="shared" ca="1" si="780"/>
        <v>-</v>
      </c>
      <c r="CD924" s="835">
        <f t="shared" si="781"/>
        <v>42952</v>
      </c>
      <c r="CE924" s="831">
        <v>42954</v>
      </c>
      <c r="CF924" s="832">
        <v>5</v>
      </c>
      <c r="CG924" s="833">
        <f t="shared" ca="1" si="782"/>
        <v>180</v>
      </c>
      <c r="CH924" s="836">
        <f t="shared" si="783"/>
        <v>-2</v>
      </c>
      <c r="CI924" s="837" t="str">
        <f t="shared" si="784"/>
        <v>-</v>
      </c>
      <c r="CJ924" s="838" t="str">
        <f t="shared" ca="1" si="785"/>
        <v>-</v>
      </c>
      <c r="CK924" s="831"/>
      <c r="CL924" s="832"/>
      <c r="CM924" s="833" t="str">
        <f t="shared" si="786"/>
        <v>-</v>
      </c>
      <c r="CN924" s="834" t="str">
        <f t="shared" si="787"/>
        <v>-</v>
      </c>
      <c r="CO924" s="830" t="str">
        <f t="shared" ca="1" si="788"/>
        <v>-</v>
      </c>
      <c r="CP924" s="839"/>
      <c r="CQ924" s="832"/>
      <c r="CR924" s="833" t="str">
        <f t="shared" si="789"/>
        <v>-</v>
      </c>
      <c r="CS924" s="833" t="str">
        <f t="shared" si="790"/>
        <v>-</v>
      </c>
      <c r="CT924" s="834" t="str">
        <f t="shared" si="791"/>
        <v>-</v>
      </c>
      <c r="CU924" s="835" t="str">
        <f t="shared" si="792"/>
        <v>-</v>
      </c>
      <c r="CV924" s="839"/>
      <c r="CW924" s="832"/>
      <c r="CX924" s="833" t="str">
        <f t="shared" si="793"/>
        <v>-</v>
      </c>
      <c r="CY924" s="840" t="str">
        <f t="shared" si="794"/>
        <v>-</v>
      </c>
      <c r="CZ924" s="833" t="str">
        <f t="shared" si="795"/>
        <v>-</v>
      </c>
      <c r="DA924" s="838" t="str">
        <f t="shared" ca="1" si="796"/>
        <v>-</v>
      </c>
      <c r="DB924" s="841"/>
      <c r="DC924" s="832"/>
    </row>
    <row r="925" spans="1:107" x14ac:dyDescent="0.25">
      <c r="A925" s="790">
        <v>929</v>
      </c>
      <c r="B925" s="791">
        <f t="shared" ca="1" si="745"/>
        <v>43134</v>
      </c>
      <c r="C925" s="792" t="s">
        <v>2548</v>
      </c>
      <c r="D925" s="793" t="s">
        <v>2586</v>
      </c>
      <c r="E925" s="794" t="s">
        <v>1563</v>
      </c>
      <c r="F925" s="795" t="s">
        <v>2728</v>
      </c>
      <c r="G925" s="845"/>
      <c r="H925" s="797" t="s">
        <v>603</v>
      </c>
      <c r="I925" s="798">
        <v>42867</v>
      </c>
      <c r="J925" s="799">
        <f t="shared" ca="1" si="746"/>
        <v>0.73150684931506849</v>
      </c>
      <c r="K925" s="799">
        <f t="shared" ca="1" si="747"/>
        <v>8.9</v>
      </c>
      <c r="L925" s="800">
        <f t="shared" ca="1" si="748"/>
        <v>267</v>
      </c>
      <c r="M925" s="801"/>
      <c r="N925" s="802"/>
      <c r="O925" s="803" t="str">
        <f t="shared" ca="1" si="749"/>
        <v>-</v>
      </c>
      <c r="P925" s="804"/>
      <c r="Q925" s="805"/>
      <c r="R925" s="806"/>
      <c r="S925" s="807"/>
      <c r="T925" s="798"/>
      <c r="U925" s="798" t="str">
        <f t="shared" si="750"/>
        <v>-</v>
      </c>
      <c r="V925" s="804" t="str">
        <f t="shared" ca="1" si="751"/>
        <v>-</v>
      </c>
      <c r="W925" s="808">
        <v>0</v>
      </c>
      <c r="X925" s="794" t="str">
        <f t="shared" si="744"/>
        <v>-</v>
      </c>
      <c r="Y925" s="794">
        <v>0</v>
      </c>
      <c r="Z925" s="809" t="str">
        <f t="shared" ca="1" si="752"/>
        <v>-----</v>
      </c>
      <c r="AA925" s="810">
        <f t="shared" ca="1" si="753"/>
        <v>43134</v>
      </c>
      <c r="AB925" s="804"/>
      <c r="AC925" s="811" t="str">
        <f t="shared" ca="1" si="754"/>
        <v>-----</v>
      </c>
      <c r="AD925" s="798"/>
      <c r="AE925" s="794" t="str">
        <f t="shared" ca="1" si="755"/>
        <v>-</v>
      </c>
      <c r="AF925" s="798" t="str">
        <f t="shared" si="756"/>
        <v>-</v>
      </c>
      <c r="AG925" s="812" t="str">
        <f t="shared" si="757"/>
        <v>---------</v>
      </c>
      <c r="AH925" s="807"/>
      <c r="AI925" s="807" t="str">
        <f t="shared" si="758"/>
        <v>-</v>
      </c>
      <c r="AJ925" s="807" t="str">
        <f t="shared" si="759"/>
        <v>-</v>
      </c>
      <c r="AK925" s="813"/>
      <c r="AL925" s="807" t="str">
        <f t="shared" si="760"/>
        <v>-</v>
      </c>
      <c r="AM925" s="807" t="str">
        <f t="shared" si="761"/>
        <v>-</v>
      </c>
      <c r="AN925" s="814" t="str">
        <f t="shared" ca="1" si="762"/>
        <v>-</v>
      </c>
      <c r="AO925" s="815">
        <v>1</v>
      </c>
      <c r="AP925" s="816" t="str">
        <f t="shared" ca="1" si="763"/>
        <v>-</v>
      </c>
      <c r="AQ925" s="817"/>
      <c r="AR925" s="794" t="str">
        <f t="shared" si="764"/>
        <v>-</v>
      </c>
      <c r="AS925" s="818"/>
      <c r="AT925" s="794" t="str">
        <f t="shared" si="765"/>
        <v>-</v>
      </c>
      <c r="AU925" s="819"/>
      <c r="AV925" s="865"/>
      <c r="AW925" s="821"/>
      <c r="AX925" s="821"/>
      <c r="AY925" s="969" t="str">
        <f t="shared" si="766"/>
        <v>-</v>
      </c>
      <c r="AZ925" s="966" t="str">
        <f t="shared" si="767"/>
        <v>-</v>
      </c>
      <c r="BA925" s="971" t="str">
        <f t="shared" si="768"/>
        <v>-</v>
      </c>
      <c r="BB925" s="975"/>
      <c r="BC925" s="821"/>
      <c r="BD925" s="821"/>
      <c r="BE925" s="963" t="str">
        <f t="shared" si="769"/>
        <v>-</v>
      </c>
      <c r="BF925" s="984"/>
      <c r="BG925" s="988"/>
      <c r="BH925" s="982"/>
      <c r="BI925" s="991"/>
      <c r="BJ925" s="991"/>
      <c r="BK925" s="993" t="str">
        <f t="shared" si="770"/>
        <v>-</v>
      </c>
      <c r="BL925" s="865"/>
      <c r="BM925" s="821"/>
      <c r="BN925" s="822" t="str">
        <f t="shared" si="771"/>
        <v>-</v>
      </c>
      <c r="BO925" s="823" t="str">
        <f t="shared" si="772"/>
        <v>-</v>
      </c>
      <c r="BP925" s="868"/>
      <c r="BQ925" s="821"/>
      <c r="BR925" s="822" t="str">
        <f t="shared" si="773"/>
        <v>-</v>
      </c>
      <c r="BS925" s="823" t="str">
        <f t="shared" si="774"/>
        <v>-</v>
      </c>
      <c r="BT925" s="825" t="str">
        <f t="shared" ca="1" si="775"/>
        <v>-</v>
      </c>
      <c r="BU925" s="860">
        <v>42886</v>
      </c>
      <c r="BV925" s="827">
        <v>2</v>
      </c>
      <c r="BW925" s="828">
        <f t="shared" si="776"/>
        <v>19</v>
      </c>
      <c r="BX925" s="829">
        <f t="shared" ca="1" si="777"/>
        <v>248</v>
      </c>
      <c r="BY925" s="830" t="str">
        <f t="shared" ca="1" si="778"/>
        <v>-</v>
      </c>
      <c r="BZ925" s="831">
        <v>42931</v>
      </c>
      <c r="CA925" s="832">
        <v>5</v>
      </c>
      <c r="CB925" s="833">
        <f t="shared" ca="1" si="779"/>
        <v>203</v>
      </c>
      <c r="CC925" s="834" t="str">
        <f t="shared" ca="1" si="780"/>
        <v>-</v>
      </c>
      <c r="CD925" s="835">
        <f t="shared" si="781"/>
        <v>42952</v>
      </c>
      <c r="CE925" s="831">
        <v>42954</v>
      </c>
      <c r="CF925" s="832">
        <v>5</v>
      </c>
      <c r="CG925" s="833">
        <f t="shared" ca="1" si="782"/>
        <v>180</v>
      </c>
      <c r="CH925" s="836">
        <f t="shared" si="783"/>
        <v>-2</v>
      </c>
      <c r="CI925" s="837" t="str">
        <f t="shared" si="784"/>
        <v>-</v>
      </c>
      <c r="CJ925" s="838" t="str">
        <f t="shared" ca="1" si="785"/>
        <v>-</v>
      </c>
      <c r="CK925" s="831"/>
      <c r="CL925" s="832"/>
      <c r="CM925" s="833" t="str">
        <f t="shared" si="786"/>
        <v>-</v>
      </c>
      <c r="CN925" s="834" t="str">
        <f t="shared" si="787"/>
        <v>-</v>
      </c>
      <c r="CO925" s="830" t="str">
        <f t="shared" ca="1" si="788"/>
        <v>-</v>
      </c>
      <c r="CP925" s="839"/>
      <c r="CQ925" s="832"/>
      <c r="CR925" s="833" t="str">
        <f t="shared" si="789"/>
        <v>-</v>
      </c>
      <c r="CS925" s="833" t="str">
        <f t="shared" si="790"/>
        <v>-</v>
      </c>
      <c r="CT925" s="834" t="str">
        <f t="shared" si="791"/>
        <v>-</v>
      </c>
      <c r="CU925" s="835" t="str">
        <f t="shared" si="792"/>
        <v>-</v>
      </c>
      <c r="CV925" s="839"/>
      <c r="CW925" s="832"/>
      <c r="CX925" s="833" t="str">
        <f t="shared" si="793"/>
        <v>-</v>
      </c>
      <c r="CY925" s="840" t="str">
        <f t="shared" si="794"/>
        <v>-</v>
      </c>
      <c r="CZ925" s="833" t="str">
        <f t="shared" si="795"/>
        <v>-</v>
      </c>
      <c r="DA925" s="838" t="str">
        <f t="shared" ca="1" si="796"/>
        <v>-</v>
      </c>
      <c r="DB925" s="841"/>
      <c r="DC925" s="832"/>
    </row>
    <row r="926" spans="1:107" x14ac:dyDescent="0.25">
      <c r="A926" s="790">
        <v>930</v>
      </c>
      <c r="B926" s="791">
        <f t="shared" ca="1" si="745"/>
        <v>43134</v>
      </c>
      <c r="C926" s="792" t="s">
        <v>2548</v>
      </c>
      <c r="D926" s="793" t="s">
        <v>2586</v>
      </c>
      <c r="E926" s="794" t="s">
        <v>1563</v>
      </c>
      <c r="F926" s="795" t="s">
        <v>2745</v>
      </c>
      <c r="G926" s="845"/>
      <c r="H926" s="797" t="s">
        <v>603</v>
      </c>
      <c r="I926" s="798">
        <v>42873</v>
      </c>
      <c r="J926" s="799">
        <f t="shared" ca="1" si="746"/>
        <v>0.71506849315068488</v>
      </c>
      <c r="K926" s="799">
        <f t="shared" ca="1" si="747"/>
        <v>8.6999999999999993</v>
      </c>
      <c r="L926" s="800">
        <f t="shared" ca="1" si="748"/>
        <v>261</v>
      </c>
      <c r="M926" s="801"/>
      <c r="N926" s="802"/>
      <c r="O926" s="803" t="str">
        <f t="shared" ca="1" si="749"/>
        <v>-</v>
      </c>
      <c r="P926" s="804"/>
      <c r="Q926" s="805"/>
      <c r="R926" s="806"/>
      <c r="S926" s="807"/>
      <c r="T926" s="798"/>
      <c r="U926" s="798" t="str">
        <f t="shared" si="750"/>
        <v>-</v>
      </c>
      <c r="V926" s="804" t="str">
        <f t="shared" ca="1" si="751"/>
        <v>-</v>
      </c>
      <c r="W926" s="808">
        <v>0</v>
      </c>
      <c r="X926" s="794" t="str">
        <f t="shared" si="744"/>
        <v>-</v>
      </c>
      <c r="Y926" s="794">
        <v>0</v>
      </c>
      <c r="Z926" s="809" t="str">
        <f t="shared" ca="1" si="752"/>
        <v>-----</v>
      </c>
      <c r="AA926" s="810">
        <f t="shared" ca="1" si="753"/>
        <v>43134</v>
      </c>
      <c r="AB926" s="804"/>
      <c r="AC926" s="811" t="str">
        <f t="shared" ca="1" si="754"/>
        <v>-----</v>
      </c>
      <c r="AD926" s="798"/>
      <c r="AE926" s="794" t="str">
        <f t="shared" ca="1" si="755"/>
        <v>-</v>
      </c>
      <c r="AF926" s="798" t="str">
        <f t="shared" si="756"/>
        <v>-</v>
      </c>
      <c r="AG926" s="812" t="str">
        <f t="shared" si="757"/>
        <v>---------</v>
      </c>
      <c r="AH926" s="807"/>
      <c r="AI926" s="807" t="str">
        <f t="shared" si="758"/>
        <v>-</v>
      </c>
      <c r="AJ926" s="807" t="str">
        <f t="shared" si="759"/>
        <v>-</v>
      </c>
      <c r="AK926" s="813"/>
      <c r="AL926" s="807" t="str">
        <f t="shared" si="760"/>
        <v>-</v>
      </c>
      <c r="AM926" s="807" t="str">
        <f t="shared" si="761"/>
        <v>-</v>
      </c>
      <c r="AN926" s="814" t="str">
        <f t="shared" ca="1" si="762"/>
        <v>-</v>
      </c>
      <c r="AO926" s="815">
        <v>1</v>
      </c>
      <c r="AP926" s="816" t="str">
        <f t="shared" ca="1" si="763"/>
        <v>-</v>
      </c>
      <c r="AQ926" s="817"/>
      <c r="AR926" s="794" t="str">
        <f t="shared" si="764"/>
        <v>-</v>
      </c>
      <c r="AS926" s="818"/>
      <c r="AT926" s="794" t="str">
        <f t="shared" si="765"/>
        <v>-</v>
      </c>
      <c r="AU926" s="819"/>
      <c r="AV926" s="865"/>
      <c r="AW926" s="821"/>
      <c r="AX926" s="821"/>
      <c r="AY926" s="969" t="str">
        <f t="shared" si="766"/>
        <v>-</v>
      </c>
      <c r="AZ926" s="966" t="str">
        <f t="shared" si="767"/>
        <v>-</v>
      </c>
      <c r="BA926" s="971" t="str">
        <f t="shared" si="768"/>
        <v>-</v>
      </c>
      <c r="BB926" s="975"/>
      <c r="BC926" s="821"/>
      <c r="BD926" s="821"/>
      <c r="BE926" s="963" t="str">
        <f t="shared" si="769"/>
        <v>-</v>
      </c>
      <c r="BF926" s="984"/>
      <c r="BG926" s="988"/>
      <c r="BH926" s="982"/>
      <c r="BI926" s="991"/>
      <c r="BJ926" s="991"/>
      <c r="BK926" s="993" t="str">
        <f t="shared" si="770"/>
        <v>-</v>
      </c>
      <c r="BL926" s="865"/>
      <c r="BM926" s="821"/>
      <c r="BN926" s="822" t="str">
        <f t="shared" si="771"/>
        <v>-</v>
      </c>
      <c r="BO926" s="823" t="str">
        <f t="shared" si="772"/>
        <v>-</v>
      </c>
      <c r="BP926" s="868"/>
      <c r="BQ926" s="821"/>
      <c r="BR926" s="822" t="str">
        <f t="shared" si="773"/>
        <v>-</v>
      </c>
      <c r="BS926" s="823" t="str">
        <f t="shared" si="774"/>
        <v>-</v>
      </c>
      <c r="BT926" s="825" t="str">
        <f t="shared" ca="1" si="775"/>
        <v>-</v>
      </c>
      <c r="BU926" s="860">
        <v>42886</v>
      </c>
      <c r="BV926" s="827">
        <v>2</v>
      </c>
      <c r="BW926" s="828">
        <f t="shared" si="776"/>
        <v>13</v>
      </c>
      <c r="BX926" s="829">
        <f t="shared" ca="1" si="777"/>
        <v>248</v>
      </c>
      <c r="BY926" s="830" t="str">
        <f t="shared" ca="1" si="778"/>
        <v>-</v>
      </c>
      <c r="BZ926" s="831">
        <v>42931</v>
      </c>
      <c r="CA926" s="832">
        <v>5</v>
      </c>
      <c r="CB926" s="833">
        <f t="shared" ca="1" si="779"/>
        <v>203</v>
      </c>
      <c r="CC926" s="834" t="str">
        <f t="shared" ca="1" si="780"/>
        <v>-</v>
      </c>
      <c r="CD926" s="835">
        <f t="shared" si="781"/>
        <v>42952</v>
      </c>
      <c r="CE926" s="831">
        <v>42954</v>
      </c>
      <c r="CF926" s="832">
        <v>5</v>
      </c>
      <c r="CG926" s="833">
        <f t="shared" ca="1" si="782"/>
        <v>180</v>
      </c>
      <c r="CH926" s="836">
        <f t="shared" si="783"/>
        <v>-2</v>
      </c>
      <c r="CI926" s="837" t="str">
        <f t="shared" si="784"/>
        <v>-</v>
      </c>
      <c r="CJ926" s="838" t="str">
        <f t="shared" ca="1" si="785"/>
        <v>-</v>
      </c>
      <c r="CK926" s="831"/>
      <c r="CL926" s="832"/>
      <c r="CM926" s="833" t="str">
        <f t="shared" si="786"/>
        <v>-</v>
      </c>
      <c r="CN926" s="834" t="str">
        <f t="shared" si="787"/>
        <v>-</v>
      </c>
      <c r="CO926" s="830" t="str">
        <f t="shared" ca="1" si="788"/>
        <v>-</v>
      </c>
      <c r="CP926" s="839"/>
      <c r="CQ926" s="832"/>
      <c r="CR926" s="833" t="str">
        <f t="shared" si="789"/>
        <v>-</v>
      </c>
      <c r="CS926" s="833" t="str">
        <f t="shared" si="790"/>
        <v>-</v>
      </c>
      <c r="CT926" s="834" t="str">
        <f t="shared" si="791"/>
        <v>-</v>
      </c>
      <c r="CU926" s="835" t="str">
        <f t="shared" si="792"/>
        <v>-</v>
      </c>
      <c r="CV926" s="839"/>
      <c r="CW926" s="832"/>
      <c r="CX926" s="833" t="str">
        <f t="shared" si="793"/>
        <v>-</v>
      </c>
      <c r="CY926" s="840" t="str">
        <f t="shared" si="794"/>
        <v>-</v>
      </c>
      <c r="CZ926" s="833" t="str">
        <f t="shared" si="795"/>
        <v>-</v>
      </c>
      <c r="DA926" s="838" t="str">
        <f t="shared" ca="1" si="796"/>
        <v>-</v>
      </c>
      <c r="DB926" s="841"/>
      <c r="DC926" s="832"/>
    </row>
    <row r="927" spans="1:107" x14ac:dyDescent="0.25">
      <c r="A927" s="790">
        <v>931</v>
      </c>
      <c r="B927" s="791">
        <f t="shared" ca="1" si="745"/>
        <v>43134</v>
      </c>
      <c r="C927" s="792" t="s">
        <v>2548</v>
      </c>
      <c r="D927" s="793" t="s">
        <v>2586</v>
      </c>
      <c r="E927" s="794" t="s">
        <v>1563</v>
      </c>
      <c r="F927" s="795" t="s">
        <v>2750</v>
      </c>
      <c r="G927" s="845"/>
      <c r="H927" s="797" t="s">
        <v>603</v>
      </c>
      <c r="I927" s="798">
        <v>42875</v>
      </c>
      <c r="J927" s="799">
        <f t="shared" ca="1" si="746"/>
        <v>0.70958904109589038</v>
      </c>
      <c r="K927" s="799">
        <f t="shared" ca="1" si="747"/>
        <v>8.6333333333333329</v>
      </c>
      <c r="L927" s="800">
        <f t="shared" ca="1" si="748"/>
        <v>259</v>
      </c>
      <c r="M927" s="801"/>
      <c r="N927" s="802"/>
      <c r="O927" s="803" t="str">
        <f t="shared" ca="1" si="749"/>
        <v>-</v>
      </c>
      <c r="P927" s="804"/>
      <c r="Q927" s="805"/>
      <c r="R927" s="806"/>
      <c r="S927" s="807"/>
      <c r="T927" s="798"/>
      <c r="U927" s="798" t="str">
        <f t="shared" si="750"/>
        <v>-</v>
      </c>
      <c r="V927" s="804" t="str">
        <f t="shared" ca="1" si="751"/>
        <v>-</v>
      </c>
      <c r="W927" s="808">
        <v>0</v>
      </c>
      <c r="X927" s="794" t="str">
        <f t="shared" si="744"/>
        <v>-</v>
      </c>
      <c r="Y927" s="794">
        <v>0</v>
      </c>
      <c r="Z927" s="809" t="str">
        <f t="shared" ca="1" si="752"/>
        <v>-----</v>
      </c>
      <c r="AA927" s="810">
        <f t="shared" ca="1" si="753"/>
        <v>43134</v>
      </c>
      <c r="AB927" s="804"/>
      <c r="AC927" s="811" t="str">
        <f t="shared" ca="1" si="754"/>
        <v>-----</v>
      </c>
      <c r="AD927" s="798"/>
      <c r="AE927" s="794" t="str">
        <f t="shared" ca="1" si="755"/>
        <v>-</v>
      </c>
      <c r="AF927" s="798" t="str">
        <f t="shared" si="756"/>
        <v>-</v>
      </c>
      <c r="AG927" s="812" t="str">
        <f t="shared" si="757"/>
        <v>---------</v>
      </c>
      <c r="AH927" s="807"/>
      <c r="AI927" s="807" t="str">
        <f t="shared" si="758"/>
        <v>-</v>
      </c>
      <c r="AJ927" s="807" t="str">
        <f t="shared" si="759"/>
        <v>-</v>
      </c>
      <c r="AK927" s="813"/>
      <c r="AL927" s="807" t="str">
        <f t="shared" si="760"/>
        <v>-</v>
      </c>
      <c r="AM927" s="807" t="str">
        <f t="shared" si="761"/>
        <v>-</v>
      </c>
      <c r="AN927" s="814" t="str">
        <f t="shared" ca="1" si="762"/>
        <v>-</v>
      </c>
      <c r="AO927" s="815">
        <v>1</v>
      </c>
      <c r="AP927" s="816" t="str">
        <f t="shared" ca="1" si="763"/>
        <v>-</v>
      </c>
      <c r="AQ927" s="817"/>
      <c r="AR927" s="794" t="str">
        <f t="shared" si="764"/>
        <v>-</v>
      </c>
      <c r="AS927" s="818"/>
      <c r="AT927" s="794" t="str">
        <f t="shared" si="765"/>
        <v>-</v>
      </c>
      <c r="AU927" s="819"/>
      <c r="AV927" s="865"/>
      <c r="AW927" s="821"/>
      <c r="AX927" s="821"/>
      <c r="AY927" s="969" t="str">
        <f t="shared" si="766"/>
        <v>-</v>
      </c>
      <c r="AZ927" s="966" t="str">
        <f t="shared" si="767"/>
        <v>-</v>
      </c>
      <c r="BA927" s="971" t="str">
        <f t="shared" si="768"/>
        <v>-</v>
      </c>
      <c r="BB927" s="975"/>
      <c r="BC927" s="821"/>
      <c r="BD927" s="821"/>
      <c r="BE927" s="963" t="str">
        <f t="shared" si="769"/>
        <v>-</v>
      </c>
      <c r="BF927" s="984"/>
      <c r="BG927" s="988"/>
      <c r="BH927" s="982"/>
      <c r="BI927" s="991"/>
      <c r="BJ927" s="991"/>
      <c r="BK927" s="993" t="str">
        <f t="shared" si="770"/>
        <v>-</v>
      </c>
      <c r="BL927" s="865"/>
      <c r="BM927" s="821"/>
      <c r="BN927" s="822" t="str">
        <f t="shared" si="771"/>
        <v>-</v>
      </c>
      <c r="BO927" s="823" t="str">
        <f t="shared" si="772"/>
        <v>-</v>
      </c>
      <c r="BP927" s="868"/>
      <c r="BQ927" s="821"/>
      <c r="BR927" s="822" t="str">
        <f t="shared" si="773"/>
        <v>-</v>
      </c>
      <c r="BS927" s="823" t="str">
        <f t="shared" si="774"/>
        <v>-</v>
      </c>
      <c r="BT927" s="825" t="str">
        <f t="shared" ca="1" si="775"/>
        <v>-</v>
      </c>
      <c r="BU927" s="860">
        <v>42886</v>
      </c>
      <c r="BV927" s="827">
        <v>2</v>
      </c>
      <c r="BW927" s="828">
        <f t="shared" si="776"/>
        <v>11</v>
      </c>
      <c r="BX927" s="829">
        <f t="shared" ca="1" si="777"/>
        <v>248</v>
      </c>
      <c r="BY927" s="830" t="str">
        <f t="shared" ca="1" si="778"/>
        <v>-</v>
      </c>
      <c r="BZ927" s="831">
        <v>42931</v>
      </c>
      <c r="CA927" s="832">
        <v>5</v>
      </c>
      <c r="CB927" s="833">
        <f t="shared" ca="1" si="779"/>
        <v>203</v>
      </c>
      <c r="CC927" s="834" t="str">
        <f t="shared" ca="1" si="780"/>
        <v>-</v>
      </c>
      <c r="CD927" s="835">
        <f t="shared" si="781"/>
        <v>42952</v>
      </c>
      <c r="CE927" s="831">
        <v>42954</v>
      </c>
      <c r="CF927" s="832">
        <v>5</v>
      </c>
      <c r="CG927" s="833">
        <f t="shared" ca="1" si="782"/>
        <v>180</v>
      </c>
      <c r="CH927" s="836">
        <f t="shared" si="783"/>
        <v>-2</v>
      </c>
      <c r="CI927" s="837" t="str">
        <f t="shared" si="784"/>
        <v>-</v>
      </c>
      <c r="CJ927" s="838" t="str">
        <f t="shared" ca="1" si="785"/>
        <v>-</v>
      </c>
      <c r="CK927" s="831"/>
      <c r="CL927" s="832"/>
      <c r="CM927" s="833" t="str">
        <f t="shared" si="786"/>
        <v>-</v>
      </c>
      <c r="CN927" s="834" t="str">
        <f t="shared" si="787"/>
        <v>-</v>
      </c>
      <c r="CO927" s="830" t="str">
        <f t="shared" ca="1" si="788"/>
        <v>-</v>
      </c>
      <c r="CP927" s="839"/>
      <c r="CQ927" s="832"/>
      <c r="CR927" s="833" t="str">
        <f t="shared" si="789"/>
        <v>-</v>
      </c>
      <c r="CS927" s="833" t="str">
        <f t="shared" si="790"/>
        <v>-</v>
      </c>
      <c r="CT927" s="834" t="str">
        <f t="shared" si="791"/>
        <v>-</v>
      </c>
      <c r="CU927" s="835" t="str">
        <f t="shared" si="792"/>
        <v>-</v>
      </c>
      <c r="CV927" s="839"/>
      <c r="CW927" s="832"/>
      <c r="CX927" s="833" t="str">
        <f t="shared" si="793"/>
        <v>-</v>
      </c>
      <c r="CY927" s="840" t="str">
        <f t="shared" si="794"/>
        <v>-</v>
      </c>
      <c r="CZ927" s="833" t="str">
        <f t="shared" si="795"/>
        <v>-</v>
      </c>
      <c r="DA927" s="838" t="str">
        <f t="shared" ca="1" si="796"/>
        <v>-</v>
      </c>
      <c r="DB927" s="841"/>
      <c r="DC927" s="832"/>
    </row>
    <row r="928" spans="1:107" s="842" customFormat="1" x14ac:dyDescent="0.25">
      <c r="A928" s="790">
        <v>932</v>
      </c>
      <c r="B928" s="791">
        <f t="shared" ca="1" si="745"/>
        <v>43134</v>
      </c>
      <c r="C928" s="792" t="s">
        <v>2548</v>
      </c>
      <c r="D928" s="793" t="s">
        <v>2586</v>
      </c>
      <c r="E928" s="794" t="s">
        <v>1563</v>
      </c>
      <c r="F928" s="795" t="s">
        <v>2792</v>
      </c>
      <c r="G928" s="845"/>
      <c r="H928" s="797" t="s">
        <v>603</v>
      </c>
      <c r="I928" s="798">
        <v>42883</v>
      </c>
      <c r="J928" s="799">
        <f t="shared" ca="1" si="746"/>
        <v>0.68767123287671228</v>
      </c>
      <c r="K928" s="799">
        <f t="shared" ca="1" si="747"/>
        <v>8.3666666666666671</v>
      </c>
      <c r="L928" s="800">
        <f t="shared" ca="1" si="748"/>
        <v>251</v>
      </c>
      <c r="M928" s="801"/>
      <c r="N928" s="802"/>
      <c r="O928" s="803" t="str">
        <f t="shared" ca="1" si="749"/>
        <v>-</v>
      </c>
      <c r="P928" s="804"/>
      <c r="Q928" s="805"/>
      <c r="R928" s="806"/>
      <c r="S928" s="807"/>
      <c r="T928" s="798"/>
      <c r="U928" s="798" t="str">
        <f t="shared" si="750"/>
        <v>-</v>
      </c>
      <c r="V928" s="804" t="str">
        <f t="shared" ca="1" si="751"/>
        <v>-</v>
      </c>
      <c r="W928" s="808">
        <v>0</v>
      </c>
      <c r="X928" s="794" t="str">
        <f t="shared" si="744"/>
        <v>-</v>
      </c>
      <c r="Y928" s="794">
        <v>0</v>
      </c>
      <c r="Z928" s="809" t="str">
        <f t="shared" ca="1" si="752"/>
        <v>-----</v>
      </c>
      <c r="AA928" s="810">
        <f t="shared" ca="1" si="753"/>
        <v>43134</v>
      </c>
      <c r="AB928" s="804"/>
      <c r="AC928" s="811" t="str">
        <f t="shared" ca="1" si="754"/>
        <v>-----</v>
      </c>
      <c r="AD928" s="798"/>
      <c r="AE928" s="794" t="str">
        <f t="shared" ca="1" si="755"/>
        <v>-</v>
      </c>
      <c r="AF928" s="798" t="str">
        <f t="shared" si="756"/>
        <v>-</v>
      </c>
      <c r="AG928" s="812" t="str">
        <f t="shared" si="757"/>
        <v>---------</v>
      </c>
      <c r="AH928" s="807"/>
      <c r="AI928" s="807" t="str">
        <f t="shared" si="758"/>
        <v>-</v>
      </c>
      <c r="AJ928" s="807" t="str">
        <f t="shared" si="759"/>
        <v>-</v>
      </c>
      <c r="AK928" s="813"/>
      <c r="AL928" s="807" t="str">
        <f t="shared" si="760"/>
        <v>-</v>
      </c>
      <c r="AM928" s="807" t="str">
        <f t="shared" si="761"/>
        <v>-</v>
      </c>
      <c r="AN928" s="814" t="str">
        <f t="shared" ca="1" si="762"/>
        <v>-</v>
      </c>
      <c r="AO928" s="815">
        <v>1</v>
      </c>
      <c r="AP928" s="816" t="str">
        <f t="shared" ca="1" si="763"/>
        <v>-</v>
      </c>
      <c r="AQ928" s="817"/>
      <c r="AR928" s="794" t="str">
        <f t="shared" si="764"/>
        <v>-</v>
      </c>
      <c r="AS928" s="818"/>
      <c r="AT928" s="794" t="str">
        <f t="shared" si="765"/>
        <v>-</v>
      </c>
      <c r="AU928" s="819"/>
      <c r="AV928" s="865"/>
      <c r="AW928" s="821"/>
      <c r="AX928" s="821"/>
      <c r="AY928" s="969" t="str">
        <f t="shared" si="766"/>
        <v>-</v>
      </c>
      <c r="AZ928" s="966" t="str">
        <f t="shared" si="767"/>
        <v>-</v>
      </c>
      <c r="BA928" s="971" t="str">
        <f t="shared" si="768"/>
        <v>-</v>
      </c>
      <c r="BB928" s="975"/>
      <c r="BC928" s="821"/>
      <c r="BD928" s="821"/>
      <c r="BE928" s="963" t="str">
        <f t="shared" si="769"/>
        <v>-</v>
      </c>
      <c r="BF928" s="984"/>
      <c r="BG928" s="988"/>
      <c r="BH928" s="982"/>
      <c r="BI928" s="991"/>
      <c r="BJ928" s="991"/>
      <c r="BK928" s="993" t="str">
        <f t="shared" si="770"/>
        <v>-</v>
      </c>
      <c r="BL928" s="865"/>
      <c r="BM928" s="821"/>
      <c r="BN928" s="822" t="str">
        <f t="shared" si="771"/>
        <v>-</v>
      </c>
      <c r="BO928" s="823" t="str">
        <f t="shared" si="772"/>
        <v>-</v>
      </c>
      <c r="BP928" s="868"/>
      <c r="BQ928" s="821"/>
      <c r="BR928" s="822" t="str">
        <f t="shared" si="773"/>
        <v>-</v>
      </c>
      <c r="BS928" s="823" t="str">
        <f t="shared" si="774"/>
        <v>-</v>
      </c>
      <c r="BT928" s="825" t="str">
        <f t="shared" ca="1" si="775"/>
        <v>-</v>
      </c>
      <c r="BU928" s="860">
        <v>42886</v>
      </c>
      <c r="BV928" s="827">
        <v>2</v>
      </c>
      <c r="BW928" s="828">
        <f t="shared" si="776"/>
        <v>3</v>
      </c>
      <c r="BX928" s="829">
        <f t="shared" ca="1" si="777"/>
        <v>248</v>
      </c>
      <c r="BY928" s="830" t="str">
        <f t="shared" ca="1" si="778"/>
        <v>-</v>
      </c>
      <c r="BZ928" s="831">
        <v>42931</v>
      </c>
      <c r="CA928" s="832">
        <v>5</v>
      </c>
      <c r="CB928" s="833">
        <f t="shared" ca="1" si="779"/>
        <v>203</v>
      </c>
      <c r="CC928" s="834" t="str">
        <f t="shared" ca="1" si="780"/>
        <v>-</v>
      </c>
      <c r="CD928" s="835">
        <f t="shared" si="781"/>
        <v>42952</v>
      </c>
      <c r="CE928" s="831">
        <v>42954</v>
      </c>
      <c r="CF928" s="832">
        <v>5</v>
      </c>
      <c r="CG928" s="833">
        <f t="shared" ca="1" si="782"/>
        <v>180</v>
      </c>
      <c r="CH928" s="836">
        <f t="shared" si="783"/>
        <v>-2</v>
      </c>
      <c r="CI928" s="837" t="str">
        <f t="shared" si="784"/>
        <v>-</v>
      </c>
      <c r="CJ928" s="838" t="str">
        <f t="shared" ca="1" si="785"/>
        <v>-</v>
      </c>
      <c r="CK928" s="831"/>
      <c r="CL928" s="832"/>
      <c r="CM928" s="833" t="str">
        <f t="shared" si="786"/>
        <v>-</v>
      </c>
      <c r="CN928" s="834" t="str">
        <f t="shared" si="787"/>
        <v>-</v>
      </c>
      <c r="CO928" s="830" t="str">
        <f t="shared" ca="1" si="788"/>
        <v>-</v>
      </c>
      <c r="CP928" s="839"/>
      <c r="CQ928" s="832"/>
      <c r="CR928" s="833" t="str">
        <f t="shared" si="789"/>
        <v>-</v>
      </c>
      <c r="CS928" s="833" t="str">
        <f t="shared" si="790"/>
        <v>-</v>
      </c>
      <c r="CT928" s="834" t="str">
        <f t="shared" si="791"/>
        <v>-</v>
      </c>
      <c r="CU928" s="835" t="str">
        <f t="shared" si="792"/>
        <v>-</v>
      </c>
      <c r="CV928" s="839"/>
      <c r="CW928" s="832"/>
      <c r="CX928" s="833" t="str">
        <f t="shared" si="793"/>
        <v>-</v>
      </c>
      <c r="CY928" s="840" t="str">
        <f t="shared" si="794"/>
        <v>-</v>
      </c>
      <c r="CZ928" s="833" t="str">
        <f t="shared" si="795"/>
        <v>-</v>
      </c>
      <c r="DA928" s="838" t="str">
        <f t="shared" ca="1" si="796"/>
        <v>-</v>
      </c>
      <c r="DB928" s="841"/>
      <c r="DC928" s="832"/>
    </row>
    <row r="929" spans="1:107" x14ac:dyDescent="0.25">
      <c r="A929" s="790">
        <v>933</v>
      </c>
      <c r="B929" s="791">
        <f t="shared" ca="1" si="745"/>
        <v>43134</v>
      </c>
      <c r="C929" s="29" t="s">
        <v>2585</v>
      </c>
      <c r="D929" s="59" t="s">
        <v>2586</v>
      </c>
      <c r="E929" s="794" t="s">
        <v>1563</v>
      </c>
      <c r="F929" s="795" t="s">
        <v>2506</v>
      </c>
      <c r="G929" s="845"/>
      <c r="H929" s="797" t="s">
        <v>603</v>
      </c>
      <c r="I929" s="798">
        <v>42811</v>
      </c>
      <c r="J929" s="799">
        <f t="shared" ca="1" si="746"/>
        <v>0.8849315068493151</v>
      </c>
      <c r="K929" s="799">
        <f t="shared" ca="1" si="747"/>
        <v>10.766666666666667</v>
      </c>
      <c r="L929" s="800">
        <f t="shared" ca="1" si="748"/>
        <v>323</v>
      </c>
      <c r="M929" s="801"/>
      <c r="N929" s="802"/>
      <c r="O929" s="803" t="str">
        <f t="shared" ca="1" si="749"/>
        <v>-</v>
      </c>
      <c r="P929" s="804"/>
      <c r="Q929" s="805"/>
      <c r="R929" s="806"/>
      <c r="S929" s="807"/>
      <c r="T929" s="798"/>
      <c r="U929" s="798" t="str">
        <f t="shared" si="750"/>
        <v>-</v>
      </c>
      <c r="V929" s="804" t="str">
        <f t="shared" ca="1" si="751"/>
        <v>-</v>
      </c>
      <c r="W929" s="808">
        <v>0</v>
      </c>
      <c r="X929" s="794" t="str">
        <f t="shared" si="744"/>
        <v>-</v>
      </c>
      <c r="Y929" s="808">
        <v>0</v>
      </c>
      <c r="Z929" s="809" t="str">
        <f t="shared" ca="1" si="752"/>
        <v>-----</v>
      </c>
      <c r="AA929" s="810">
        <f t="shared" ca="1" si="753"/>
        <v>43134</v>
      </c>
      <c r="AB929" s="804"/>
      <c r="AC929" s="811" t="str">
        <f t="shared" ca="1" si="754"/>
        <v>-----</v>
      </c>
      <c r="AD929" s="798"/>
      <c r="AE929" s="794" t="str">
        <f t="shared" ca="1" si="755"/>
        <v>-</v>
      </c>
      <c r="AF929" s="798" t="str">
        <f t="shared" si="756"/>
        <v>-</v>
      </c>
      <c r="AG929" s="812" t="str">
        <f t="shared" si="757"/>
        <v>---------</v>
      </c>
      <c r="AH929" s="807"/>
      <c r="AI929" s="807" t="str">
        <f t="shared" si="758"/>
        <v>-</v>
      </c>
      <c r="AJ929" s="807" t="str">
        <f t="shared" si="759"/>
        <v>-</v>
      </c>
      <c r="AK929" s="813"/>
      <c r="AL929" s="807" t="str">
        <f t="shared" si="760"/>
        <v>-</v>
      </c>
      <c r="AM929" s="807" t="str">
        <f t="shared" si="761"/>
        <v>-</v>
      </c>
      <c r="AN929" s="814" t="str">
        <f t="shared" ca="1" si="762"/>
        <v>-</v>
      </c>
      <c r="AO929" s="815">
        <v>1</v>
      </c>
      <c r="AP929" s="816" t="str">
        <f t="shared" ca="1" si="763"/>
        <v>-</v>
      </c>
      <c r="AQ929" s="817"/>
      <c r="AR929" s="794" t="str">
        <f t="shared" si="764"/>
        <v>-</v>
      </c>
      <c r="AS929" s="818"/>
      <c r="AT929" s="794" t="str">
        <f t="shared" si="765"/>
        <v>-</v>
      </c>
      <c r="AU929" s="819"/>
      <c r="AV929" s="820"/>
      <c r="AW929" s="821"/>
      <c r="AX929" s="821"/>
      <c r="AY929" s="969" t="str">
        <f t="shared" si="766"/>
        <v>-</v>
      </c>
      <c r="AZ929" s="966" t="str">
        <f t="shared" si="767"/>
        <v>-</v>
      </c>
      <c r="BA929" s="971" t="str">
        <f t="shared" si="768"/>
        <v>-</v>
      </c>
      <c r="BB929" s="975"/>
      <c r="BC929" s="821"/>
      <c r="BD929" s="821"/>
      <c r="BE929" s="963" t="str">
        <f t="shared" si="769"/>
        <v>-</v>
      </c>
      <c r="BF929" s="984"/>
      <c r="BG929" s="988"/>
      <c r="BH929" s="982"/>
      <c r="BI929" s="991"/>
      <c r="BJ929" s="991"/>
      <c r="BK929" s="993" t="str">
        <f t="shared" si="770"/>
        <v>-</v>
      </c>
      <c r="BL929" s="820">
        <v>42978</v>
      </c>
      <c r="BM929" s="821">
        <v>5</v>
      </c>
      <c r="BN929" s="822">
        <f t="shared" ca="1" si="771"/>
        <v>156</v>
      </c>
      <c r="BO929" s="823">
        <f t="shared" si="772"/>
        <v>5.5666666666666664</v>
      </c>
      <c r="BP929" s="824"/>
      <c r="BQ929" s="821"/>
      <c r="BR929" s="822" t="str">
        <f t="shared" si="773"/>
        <v>-</v>
      </c>
      <c r="BS929" s="823" t="str">
        <f t="shared" si="774"/>
        <v>-</v>
      </c>
      <c r="BT929" s="825" t="str">
        <f t="shared" ca="1" si="775"/>
        <v>-</v>
      </c>
      <c r="BU929" s="826"/>
      <c r="BV929" s="827"/>
      <c r="BW929" s="828" t="str">
        <f t="shared" si="776"/>
        <v>Ж-Е НЕ ВАКЦ.</v>
      </c>
      <c r="BX929" s="829" t="str">
        <f t="shared" si="777"/>
        <v>-</v>
      </c>
      <c r="BY929" s="830" t="str">
        <f t="shared" ca="1" si="778"/>
        <v>-</v>
      </c>
      <c r="BZ929" s="831">
        <v>42887</v>
      </c>
      <c r="CA929" s="832">
        <v>5</v>
      </c>
      <c r="CB929" s="833">
        <f t="shared" ca="1" si="779"/>
        <v>247</v>
      </c>
      <c r="CC929" s="834" t="str">
        <f t="shared" ca="1" si="780"/>
        <v>-</v>
      </c>
      <c r="CD929" s="835">
        <f t="shared" si="781"/>
        <v>42908</v>
      </c>
      <c r="CE929" s="831">
        <v>42908</v>
      </c>
      <c r="CF929" s="832">
        <v>5</v>
      </c>
      <c r="CG929" s="833">
        <f t="shared" ca="1" si="782"/>
        <v>226</v>
      </c>
      <c r="CH929" s="836">
        <f t="shared" si="783"/>
        <v>0</v>
      </c>
      <c r="CI929" s="837" t="str">
        <f t="shared" si="784"/>
        <v>УСПЕШНО</v>
      </c>
      <c r="CJ929" s="838" t="str">
        <f t="shared" ca="1" si="785"/>
        <v>-</v>
      </c>
      <c r="CK929" s="831"/>
      <c r="CL929" s="832"/>
      <c r="CM929" s="833" t="str">
        <f t="shared" si="786"/>
        <v>-</v>
      </c>
      <c r="CN929" s="834" t="str">
        <f t="shared" si="787"/>
        <v>-</v>
      </c>
      <c r="CO929" s="830" t="str">
        <f t="shared" ca="1" si="788"/>
        <v>-</v>
      </c>
      <c r="CP929" s="839"/>
      <c r="CQ929" s="832"/>
      <c r="CR929" s="833" t="str">
        <f t="shared" si="789"/>
        <v>-</v>
      </c>
      <c r="CS929" s="833" t="str">
        <f t="shared" si="790"/>
        <v>-</v>
      </c>
      <c r="CT929" s="834" t="str">
        <f t="shared" si="791"/>
        <v>-</v>
      </c>
      <c r="CU929" s="835" t="str">
        <f t="shared" si="792"/>
        <v>-</v>
      </c>
      <c r="CV929" s="839"/>
      <c r="CW929" s="832"/>
      <c r="CX929" s="833" t="str">
        <f t="shared" si="793"/>
        <v>-</v>
      </c>
      <c r="CY929" s="840" t="str">
        <f t="shared" si="794"/>
        <v>-</v>
      </c>
      <c r="CZ929" s="833" t="str">
        <f t="shared" si="795"/>
        <v>-</v>
      </c>
      <c r="DA929" s="838" t="str">
        <f t="shared" ca="1" si="796"/>
        <v>-</v>
      </c>
      <c r="DB929" s="841"/>
      <c r="DC929" s="832"/>
    </row>
    <row r="930" spans="1:107" x14ac:dyDescent="0.25">
      <c r="A930" s="790">
        <v>934</v>
      </c>
      <c r="B930" s="791">
        <f t="shared" ca="1" si="745"/>
        <v>43134</v>
      </c>
      <c r="C930" s="29" t="s">
        <v>2585</v>
      </c>
      <c r="D930" s="59" t="s">
        <v>2586</v>
      </c>
      <c r="E930" s="794" t="s">
        <v>1563</v>
      </c>
      <c r="F930" s="795" t="s">
        <v>2688</v>
      </c>
      <c r="G930" s="845"/>
      <c r="H930" s="797" t="s">
        <v>603</v>
      </c>
      <c r="I930" s="798">
        <v>42856</v>
      </c>
      <c r="J930" s="799">
        <f t="shared" ca="1" si="746"/>
        <v>0.76164383561643834</v>
      </c>
      <c r="K930" s="799">
        <f t="shared" ca="1" si="747"/>
        <v>9.2666666666666675</v>
      </c>
      <c r="L930" s="800">
        <f t="shared" ca="1" si="748"/>
        <v>278</v>
      </c>
      <c r="M930" s="801"/>
      <c r="N930" s="802"/>
      <c r="O930" s="803" t="str">
        <f t="shared" ca="1" si="749"/>
        <v>-</v>
      </c>
      <c r="P930" s="804"/>
      <c r="Q930" s="805"/>
      <c r="R930" s="806"/>
      <c r="S930" s="807"/>
      <c r="T930" s="798"/>
      <c r="U930" s="798" t="str">
        <f t="shared" si="750"/>
        <v>-</v>
      </c>
      <c r="V930" s="804" t="str">
        <f t="shared" ca="1" si="751"/>
        <v>-</v>
      </c>
      <c r="W930" s="808">
        <v>0</v>
      </c>
      <c r="X930" s="794" t="str">
        <f t="shared" si="744"/>
        <v>-</v>
      </c>
      <c r="Y930" s="794">
        <v>0</v>
      </c>
      <c r="Z930" s="809" t="str">
        <f t="shared" ca="1" si="752"/>
        <v>-----</v>
      </c>
      <c r="AA930" s="810">
        <f t="shared" ca="1" si="753"/>
        <v>43134</v>
      </c>
      <c r="AB930" s="804"/>
      <c r="AC930" s="811" t="str">
        <f t="shared" ca="1" si="754"/>
        <v>-----</v>
      </c>
      <c r="AD930" s="798"/>
      <c r="AE930" s="794" t="str">
        <f t="shared" ca="1" si="755"/>
        <v>-</v>
      </c>
      <c r="AF930" s="798" t="str">
        <f t="shared" si="756"/>
        <v>-</v>
      </c>
      <c r="AG930" s="812" t="str">
        <f t="shared" si="757"/>
        <v>---------</v>
      </c>
      <c r="AH930" s="807"/>
      <c r="AI930" s="807" t="str">
        <f t="shared" si="758"/>
        <v>-</v>
      </c>
      <c r="AJ930" s="807" t="str">
        <f t="shared" si="759"/>
        <v>-</v>
      </c>
      <c r="AK930" s="813"/>
      <c r="AL930" s="807" t="str">
        <f t="shared" si="760"/>
        <v>-</v>
      </c>
      <c r="AM930" s="807" t="str">
        <f t="shared" si="761"/>
        <v>-</v>
      </c>
      <c r="AN930" s="814" t="str">
        <f t="shared" ca="1" si="762"/>
        <v>-</v>
      </c>
      <c r="AO930" s="815">
        <v>1</v>
      </c>
      <c r="AP930" s="816" t="str">
        <f t="shared" ca="1" si="763"/>
        <v>-</v>
      </c>
      <c r="AQ930" s="817"/>
      <c r="AR930" s="794" t="str">
        <f t="shared" si="764"/>
        <v>-</v>
      </c>
      <c r="AS930" s="818"/>
      <c r="AT930" s="794" t="str">
        <f t="shared" si="765"/>
        <v>-</v>
      </c>
      <c r="AU930" s="819"/>
      <c r="AV930" s="865"/>
      <c r="AW930" s="821"/>
      <c r="AX930" s="821"/>
      <c r="AY930" s="969" t="str">
        <f t="shared" si="766"/>
        <v>-</v>
      </c>
      <c r="AZ930" s="966" t="str">
        <f t="shared" si="767"/>
        <v>-</v>
      </c>
      <c r="BA930" s="971" t="str">
        <f t="shared" si="768"/>
        <v>-</v>
      </c>
      <c r="BB930" s="975"/>
      <c r="BC930" s="821"/>
      <c r="BD930" s="821"/>
      <c r="BE930" s="963" t="str">
        <f t="shared" si="769"/>
        <v>-</v>
      </c>
      <c r="BF930" s="984"/>
      <c r="BG930" s="988"/>
      <c r="BH930" s="982"/>
      <c r="BI930" s="991"/>
      <c r="BJ930" s="991"/>
      <c r="BK930" s="993" t="str">
        <f t="shared" si="770"/>
        <v>-</v>
      </c>
      <c r="BL930" s="865"/>
      <c r="BM930" s="821"/>
      <c r="BN930" s="822" t="str">
        <f t="shared" si="771"/>
        <v>-</v>
      </c>
      <c r="BO930" s="823" t="str">
        <f t="shared" si="772"/>
        <v>-</v>
      </c>
      <c r="BP930" s="868"/>
      <c r="BQ930" s="821"/>
      <c r="BR930" s="822" t="str">
        <f t="shared" si="773"/>
        <v>-</v>
      </c>
      <c r="BS930" s="823" t="str">
        <f t="shared" si="774"/>
        <v>-</v>
      </c>
      <c r="BT930" s="825" t="str">
        <f t="shared" ca="1" si="775"/>
        <v>-</v>
      </c>
      <c r="BU930" s="860">
        <v>42886</v>
      </c>
      <c r="BV930" s="827">
        <v>2</v>
      </c>
      <c r="BW930" s="828">
        <f t="shared" si="776"/>
        <v>30</v>
      </c>
      <c r="BX930" s="829">
        <f t="shared" ca="1" si="777"/>
        <v>248</v>
      </c>
      <c r="BY930" s="830" t="str">
        <f t="shared" ca="1" si="778"/>
        <v>-</v>
      </c>
      <c r="BZ930" s="831">
        <v>42931</v>
      </c>
      <c r="CA930" s="832">
        <v>5</v>
      </c>
      <c r="CB930" s="833">
        <f t="shared" ca="1" si="779"/>
        <v>203</v>
      </c>
      <c r="CC930" s="834" t="str">
        <f t="shared" ca="1" si="780"/>
        <v>-</v>
      </c>
      <c r="CD930" s="835">
        <f t="shared" si="781"/>
        <v>42952</v>
      </c>
      <c r="CE930" s="831">
        <v>42954</v>
      </c>
      <c r="CF930" s="832">
        <v>5</v>
      </c>
      <c r="CG930" s="833">
        <f t="shared" ca="1" si="782"/>
        <v>180</v>
      </c>
      <c r="CH930" s="836">
        <f t="shared" si="783"/>
        <v>-2</v>
      </c>
      <c r="CI930" s="837" t="str">
        <f t="shared" si="784"/>
        <v>-</v>
      </c>
      <c r="CJ930" s="838" t="str">
        <f t="shared" ca="1" si="785"/>
        <v>-</v>
      </c>
      <c r="CK930" s="831"/>
      <c r="CL930" s="832"/>
      <c r="CM930" s="833" t="str">
        <f t="shared" si="786"/>
        <v>-</v>
      </c>
      <c r="CN930" s="834" t="str">
        <f t="shared" si="787"/>
        <v>-</v>
      </c>
      <c r="CO930" s="830" t="str">
        <f t="shared" ca="1" si="788"/>
        <v>-</v>
      </c>
      <c r="CP930" s="839"/>
      <c r="CQ930" s="832"/>
      <c r="CR930" s="833" t="str">
        <f t="shared" si="789"/>
        <v>-</v>
      </c>
      <c r="CS930" s="833" t="str">
        <f t="shared" si="790"/>
        <v>-</v>
      </c>
      <c r="CT930" s="834" t="str">
        <f t="shared" si="791"/>
        <v>-</v>
      </c>
      <c r="CU930" s="835" t="str">
        <f t="shared" si="792"/>
        <v>-</v>
      </c>
      <c r="CV930" s="839"/>
      <c r="CW930" s="832"/>
      <c r="CX930" s="833" t="str">
        <f t="shared" si="793"/>
        <v>-</v>
      </c>
      <c r="CY930" s="840" t="str">
        <f t="shared" si="794"/>
        <v>-</v>
      </c>
      <c r="CZ930" s="833" t="str">
        <f t="shared" si="795"/>
        <v>-</v>
      </c>
      <c r="DA930" s="838" t="str">
        <f t="shared" ca="1" si="796"/>
        <v>-</v>
      </c>
      <c r="DB930" s="841"/>
      <c r="DC930" s="832"/>
    </row>
    <row r="931" spans="1:107" x14ac:dyDescent="0.25">
      <c r="A931" s="790">
        <v>935</v>
      </c>
      <c r="B931" s="791">
        <f t="shared" ca="1" si="745"/>
        <v>43134</v>
      </c>
      <c r="C931" s="29" t="s">
        <v>2585</v>
      </c>
      <c r="D931" s="59" t="s">
        <v>2586</v>
      </c>
      <c r="E931" s="794" t="s">
        <v>1563</v>
      </c>
      <c r="F931" s="795" t="s">
        <v>2731</v>
      </c>
      <c r="G931" s="845"/>
      <c r="H931" s="797" t="s">
        <v>603</v>
      </c>
      <c r="I931" s="798">
        <v>42869</v>
      </c>
      <c r="J931" s="799">
        <f t="shared" ca="1" si="746"/>
        <v>0.72602739726027399</v>
      </c>
      <c r="K931" s="799">
        <f t="shared" ca="1" si="747"/>
        <v>8.8333333333333339</v>
      </c>
      <c r="L931" s="800">
        <f t="shared" ca="1" si="748"/>
        <v>265</v>
      </c>
      <c r="M931" s="801"/>
      <c r="N931" s="802"/>
      <c r="O931" s="803" t="str">
        <f t="shared" ca="1" si="749"/>
        <v>-</v>
      </c>
      <c r="P931" s="804"/>
      <c r="Q931" s="805"/>
      <c r="R931" s="806"/>
      <c r="S931" s="807"/>
      <c r="T931" s="798"/>
      <c r="U931" s="798" t="str">
        <f t="shared" si="750"/>
        <v>-</v>
      </c>
      <c r="V931" s="804" t="str">
        <f t="shared" ca="1" si="751"/>
        <v>-</v>
      </c>
      <c r="W931" s="808">
        <v>0</v>
      </c>
      <c r="X931" s="794" t="str">
        <f t="shared" si="744"/>
        <v>-</v>
      </c>
      <c r="Y931" s="794">
        <v>0</v>
      </c>
      <c r="Z931" s="809" t="str">
        <f t="shared" ca="1" si="752"/>
        <v>-----</v>
      </c>
      <c r="AA931" s="810">
        <f t="shared" ca="1" si="753"/>
        <v>43134</v>
      </c>
      <c r="AB931" s="804"/>
      <c r="AC931" s="811" t="str">
        <f t="shared" ca="1" si="754"/>
        <v>-----</v>
      </c>
      <c r="AD931" s="798"/>
      <c r="AE931" s="794" t="str">
        <f t="shared" ca="1" si="755"/>
        <v>-</v>
      </c>
      <c r="AF931" s="798" t="str">
        <f t="shared" si="756"/>
        <v>-</v>
      </c>
      <c r="AG931" s="812" t="str">
        <f t="shared" si="757"/>
        <v>---------</v>
      </c>
      <c r="AH931" s="807"/>
      <c r="AI931" s="807" t="str">
        <f t="shared" si="758"/>
        <v>-</v>
      </c>
      <c r="AJ931" s="807" t="str">
        <f t="shared" si="759"/>
        <v>-</v>
      </c>
      <c r="AK931" s="813"/>
      <c r="AL931" s="807" t="str">
        <f t="shared" si="760"/>
        <v>-</v>
      </c>
      <c r="AM931" s="807" t="str">
        <f t="shared" si="761"/>
        <v>-</v>
      </c>
      <c r="AN931" s="814" t="str">
        <f t="shared" ca="1" si="762"/>
        <v>-</v>
      </c>
      <c r="AO931" s="815">
        <v>1</v>
      </c>
      <c r="AP931" s="816" t="str">
        <f t="shared" ca="1" si="763"/>
        <v>-</v>
      </c>
      <c r="AQ931" s="817"/>
      <c r="AR931" s="794" t="str">
        <f t="shared" si="764"/>
        <v>-</v>
      </c>
      <c r="AS931" s="818"/>
      <c r="AT931" s="794" t="str">
        <f t="shared" si="765"/>
        <v>-</v>
      </c>
      <c r="AU931" s="819"/>
      <c r="AV931" s="865"/>
      <c r="AW931" s="821"/>
      <c r="AX931" s="821"/>
      <c r="AY931" s="969" t="str">
        <f t="shared" si="766"/>
        <v>-</v>
      </c>
      <c r="AZ931" s="966" t="str">
        <f t="shared" si="767"/>
        <v>-</v>
      </c>
      <c r="BA931" s="971" t="str">
        <f t="shared" si="768"/>
        <v>-</v>
      </c>
      <c r="BB931" s="975"/>
      <c r="BC931" s="821"/>
      <c r="BD931" s="821"/>
      <c r="BE931" s="963" t="str">
        <f t="shared" si="769"/>
        <v>-</v>
      </c>
      <c r="BF931" s="984"/>
      <c r="BG931" s="988"/>
      <c r="BH931" s="982"/>
      <c r="BI931" s="991"/>
      <c r="BJ931" s="991"/>
      <c r="BK931" s="993" t="str">
        <f t="shared" si="770"/>
        <v>-</v>
      </c>
      <c r="BL931" s="865"/>
      <c r="BM931" s="821"/>
      <c r="BN931" s="822" t="str">
        <f t="shared" si="771"/>
        <v>-</v>
      </c>
      <c r="BO931" s="823" t="str">
        <f t="shared" si="772"/>
        <v>-</v>
      </c>
      <c r="BP931" s="868"/>
      <c r="BQ931" s="821"/>
      <c r="BR931" s="822" t="str">
        <f t="shared" si="773"/>
        <v>-</v>
      </c>
      <c r="BS931" s="823" t="str">
        <f t="shared" si="774"/>
        <v>-</v>
      </c>
      <c r="BT931" s="825" t="str">
        <f t="shared" ca="1" si="775"/>
        <v>-</v>
      </c>
      <c r="BU931" s="860">
        <v>42886</v>
      </c>
      <c r="BV931" s="827">
        <v>2</v>
      </c>
      <c r="BW931" s="828">
        <f t="shared" si="776"/>
        <v>17</v>
      </c>
      <c r="BX931" s="829">
        <f t="shared" ca="1" si="777"/>
        <v>248</v>
      </c>
      <c r="BY931" s="830" t="str">
        <f t="shared" ca="1" si="778"/>
        <v>-</v>
      </c>
      <c r="BZ931" s="831">
        <v>42931</v>
      </c>
      <c r="CA931" s="832">
        <v>5</v>
      </c>
      <c r="CB931" s="833">
        <f t="shared" ca="1" si="779"/>
        <v>203</v>
      </c>
      <c r="CC931" s="834" t="str">
        <f t="shared" ca="1" si="780"/>
        <v>-</v>
      </c>
      <c r="CD931" s="835">
        <f t="shared" si="781"/>
        <v>42952</v>
      </c>
      <c r="CE931" s="831">
        <v>42954</v>
      </c>
      <c r="CF931" s="832">
        <v>5</v>
      </c>
      <c r="CG931" s="833">
        <f t="shared" ca="1" si="782"/>
        <v>180</v>
      </c>
      <c r="CH931" s="836">
        <f t="shared" si="783"/>
        <v>-2</v>
      </c>
      <c r="CI931" s="837" t="str">
        <f t="shared" si="784"/>
        <v>-</v>
      </c>
      <c r="CJ931" s="838" t="str">
        <f t="shared" ca="1" si="785"/>
        <v>-</v>
      </c>
      <c r="CK931" s="831"/>
      <c r="CL931" s="832"/>
      <c r="CM931" s="833" t="str">
        <f t="shared" si="786"/>
        <v>-</v>
      </c>
      <c r="CN931" s="834" t="str">
        <f t="shared" si="787"/>
        <v>-</v>
      </c>
      <c r="CO931" s="830" t="str">
        <f t="shared" ca="1" si="788"/>
        <v>-</v>
      </c>
      <c r="CP931" s="839"/>
      <c r="CQ931" s="832"/>
      <c r="CR931" s="833" t="str">
        <f t="shared" si="789"/>
        <v>-</v>
      </c>
      <c r="CS931" s="833" t="str">
        <f t="shared" si="790"/>
        <v>-</v>
      </c>
      <c r="CT931" s="834" t="str">
        <f t="shared" si="791"/>
        <v>-</v>
      </c>
      <c r="CU931" s="835" t="str">
        <f t="shared" si="792"/>
        <v>-</v>
      </c>
      <c r="CV931" s="839"/>
      <c r="CW931" s="832"/>
      <c r="CX931" s="833" t="str">
        <f t="shared" si="793"/>
        <v>-</v>
      </c>
      <c r="CY931" s="840" t="str">
        <f t="shared" si="794"/>
        <v>-</v>
      </c>
      <c r="CZ931" s="833" t="str">
        <f t="shared" si="795"/>
        <v>-</v>
      </c>
      <c r="DA931" s="838" t="str">
        <f t="shared" ca="1" si="796"/>
        <v>-</v>
      </c>
      <c r="DB931" s="841"/>
      <c r="DC931" s="832"/>
    </row>
    <row r="932" spans="1:107" x14ac:dyDescent="0.25">
      <c r="A932" s="790">
        <v>936</v>
      </c>
      <c r="B932" s="791">
        <f t="shared" ca="1" si="745"/>
        <v>43134</v>
      </c>
      <c r="C932" s="29" t="s">
        <v>2585</v>
      </c>
      <c r="D932" s="59" t="s">
        <v>2586</v>
      </c>
      <c r="E932" s="794" t="s">
        <v>1563</v>
      </c>
      <c r="F932" s="795" t="s">
        <v>2793</v>
      </c>
      <c r="G932" s="845"/>
      <c r="H932" s="797" t="s">
        <v>603</v>
      </c>
      <c r="I932" s="798">
        <v>42884</v>
      </c>
      <c r="J932" s="799">
        <f t="shared" ca="1" si="746"/>
        <v>0.68493150684931503</v>
      </c>
      <c r="K932" s="799">
        <f t="shared" ca="1" si="747"/>
        <v>8.3333333333333339</v>
      </c>
      <c r="L932" s="800">
        <f t="shared" ca="1" si="748"/>
        <v>250</v>
      </c>
      <c r="M932" s="801"/>
      <c r="N932" s="802"/>
      <c r="O932" s="803" t="str">
        <f t="shared" ca="1" si="749"/>
        <v>-</v>
      </c>
      <c r="P932" s="804"/>
      <c r="Q932" s="805"/>
      <c r="R932" s="806"/>
      <c r="S932" s="807"/>
      <c r="T932" s="798"/>
      <c r="U932" s="798" t="str">
        <f t="shared" si="750"/>
        <v>-</v>
      </c>
      <c r="V932" s="804" t="str">
        <f t="shared" ca="1" si="751"/>
        <v>-</v>
      </c>
      <c r="W932" s="808">
        <v>0</v>
      </c>
      <c r="X932" s="794" t="str">
        <f t="shared" si="744"/>
        <v>-</v>
      </c>
      <c r="Y932" s="794">
        <v>0</v>
      </c>
      <c r="Z932" s="809" t="str">
        <f t="shared" ca="1" si="752"/>
        <v>-----</v>
      </c>
      <c r="AA932" s="810">
        <f t="shared" ca="1" si="753"/>
        <v>43134</v>
      </c>
      <c r="AB932" s="804"/>
      <c r="AC932" s="811" t="str">
        <f t="shared" ca="1" si="754"/>
        <v>-----</v>
      </c>
      <c r="AD932" s="798"/>
      <c r="AE932" s="794" t="str">
        <f t="shared" ca="1" si="755"/>
        <v>-</v>
      </c>
      <c r="AF932" s="798" t="str">
        <f t="shared" si="756"/>
        <v>-</v>
      </c>
      <c r="AG932" s="812" t="str">
        <f t="shared" si="757"/>
        <v>---------</v>
      </c>
      <c r="AH932" s="807"/>
      <c r="AI932" s="807" t="str">
        <f t="shared" si="758"/>
        <v>-</v>
      </c>
      <c r="AJ932" s="807" t="str">
        <f t="shared" si="759"/>
        <v>-</v>
      </c>
      <c r="AK932" s="813"/>
      <c r="AL932" s="807" t="str">
        <f t="shared" si="760"/>
        <v>-</v>
      </c>
      <c r="AM932" s="807" t="str">
        <f t="shared" si="761"/>
        <v>-</v>
      </c>
      <c r="AN932" s="814" t="str">
        <f t="shared" ca="1" si="762"/>
        <v>-</v>
      </c>
      <c r="AO932" s="815">
        <v>1</v>
      </c>
      <c r="AP932" s="816" t="str">
        <f t="shared" ca="1" si="763"/>
        <v>-</v>
      </c>
      <c r="AQ932" s="817"/>
      <c r="AR932" s="794" t="str">
        <f t="shared" si="764"/>
        <v>-</v>
      </c>
      <c r="AS932" s="818"/>
      <c r="AT932" s="794" t="str">
        <f t="shared" si="765"/>
        <v>-</v>
      </c>
      <c r="AU932" s="819"/>
      <c r="AV932" s="865"/>
      <c r="AW932" s="821"/>
      <c r="AX932" s="821"/>
      <c r="AY932" s="969" t="str">
        <f t="shared" si="766"/>
        <v>-</v>
      </c>
      <c r="AZ932" s="966" t="str">
        <f t="shared" si="767"/>
        <v>-</v>
      </c>
      <c r="BA932" s="971" t="str">
        <f t="shared" si="768"/>
        <v>-</v>
      </c>
      <c r="BB932" s="975"/>
      <c r="BC932" s="821"/>
      <c r="BD932" s="821"/>
      <c r="BE932" s="963" t="str">
        <f t="shared" si="769"/>
        <v>-</v>
      </c>
      <c r="BF932" s="984"/>
      <c r="BG932" s="988"/>
      <c r="BH932" s="982"/>
      <c r="BI932" s="991"/>
      <c r="BJ932" s="991"/>
      <c r="BK932" s="993" t="str">
        <f t="shared" si="770"/>
        <v>-</v>
      </c>
      <c r="BL932" s="865"/>
      <c r="BM932" s="821"/>
      <c r="BN932" s="822" t="str">
        <f t="shared" si="771"/>
        <v>-</v>
      </c>
      <c r="BO932" s="823" t="str">
        <f t="shared" si="772"/>
        <v>-</v>
      </c>
      <c r="BP932" s="868"/>
      <c r="BQ932" s="821"/>
      <c r="BR932" s="822" t="str">
        <f t="shared" si="773"/>
        <v>-</v>
      </c>
      <c r="BS932" s="823" t="str">
        <f t="shared" si="774"/>
        <v>-</v>
      </c>
      <c r="BT932" s="825" t="str">
        <f t="shared" ca="1" si="775"/>
        <v>-</v>
      </c>
      <c r="BU932" s="860">
        <v>42900</v>
      </c>
      <c r="BV932" s="827">
        <v>2</v>
      </c>
      <c r="BW932" s="828">
        <f t="shared" si="776"/>
        <v>16</v>
      </c>
      <c r="BX932" s="829">
        <f t="shared" ca="1" si="777"/>
        <v>234</v>
      </c>
      <c r="BY932" s="830" t="str">
        <f t="shared" ca="1" si="778"/>
        <v>-</v>
      </c>
      <c r="BZ932" s="831">
        <v>42931</v>
      </c>
      <c r="CA932" s="832">
        <v>5</v>
      </c>
      <c r="CB932" s="833">
        <f t="shared" ca="1" si="779"/>
        <v>203</v>
      </c>
      <c r="CC932" s="834" t="str">
        <f t="shared" ca="1" si="780"/>
        <v>-</v>
      </c>
      <c r="CD932" s="835">
        <f t="shared" si="781"/>
        <v>42952</v>
      </c>
      <c r="CE932" s="831">
        <v>42954</v>
      </c>
      <c r="CF932" s="832">
        <v>5</v>
      </c>
      <c r="CG932" s="833">
        <f t="shared" ca="1" si="782"/>
        <v>180</v>
      </c>
      <c r="CH932" s="836">
        <f t="shared" si="783"/>
        <v>-2</v>
      </c>
      <c r="CI932" s="837" t="str">
        <f t="shared" si="784"/>
        <v>-</v>
      </c>
      <c r="CJ932" s="838" t="str">
        <f t="shared" ca="1" si="785"/>
        <v>-</v>
      </c>
      <c r="CK932" s="831"/>
      <c r="CL932" s="832"/>
      <c r="CM932" s="833" t="str">
        <f t="shared" si="786"/>
        <v>-</v>
      </c>
      <c r="CN932" s="834" t="str">
        <f t="shared" si="787"/>
        <v>-</v>
      </c>
      <c r="CO932" s="830" t="str">
        <f t="shared" ca="1" si="788"/>
        <v>-</v>
      </c>
      <c r="CP932" s="839"/>
      <c r="CQ932" s="832"/>
      <c r="CR932" s="833" t="str">
        <f t="shared" si="789"/>
        <v>-</v>
      </c>
      <c r="CS932" s="833" t="str">
        <f t="shared" si="790"/>
        <v>-</v>
      </c>
      <c r="CT932" s="834" t="str">
        <f t="shared" si="791"/>
        <v>-</v>
      </c>
      <c r="CU932" s="835" t="str">
        <f t="shared" si="792"/>
        <v>-</v>
      </c>
      <c r="CV932" s="839"/>
      <c r="CW932" s="832"/>
      <c r="CX932" s="833" t="str">
        <f t="shared" si="793"/>
        <v>-</v>
      </c>
      <c r="CY932" s="840" t="str">
        <f t="shared" si="794"/>
        <v>-</v>
      </c>
      <c r="CZ932" s="833" t="str">
        <f t="shared" si="795"/>
        <v>-</v>
      </c>
      <c r="DA932" s="838" t="str">
        <f t="shared" ca="1" si="796"/>
        <v>-</v>
      </c>
      <c r="DB932" s="841"/>
      <c r="DC932" s="832"/>
    </row>
    <row r="933" spans="1:107" x14ac:dyDescent="0.25">
      <c r="A933" s="790">
        <v>937</v>
      </c>
      <c r="B933" s="791">
        <f t="shared" ca="1" si="745"/>
        <v>43134</v>
      </c>
      <c r="C933" s="29" t="s">
        <v>2585</v>
      </c>
      <c r="D933" s="59" t="s">
        <v>2586</v>
      </c>
      <c r="E933" s="794" t="s">
        <v>1563</v>
      </c>
      <c r="F933" s="795" t="s">
        <v>2794</v>
      </c>
      <c r="G933" s="845"/>
      <c r="H933" s="797" t="s">
        <v>603</v>
      </c>
      <c r="I933" s="798">
        <v>42884</v>
      </c>
      <c r="J933" s="799">
        <f t="shared" ca="1" si="746"/>
        <v>0.68493150684931503</v>
      </c>
      <c r="K933" s="799">
        <f t="shared" ca="1" si="747"/>
        <v>8.3333333333333339</v>
      </c>
      <c r="L933" s="800">
        <f t="shared" ca="1" si="748"/>
        <v>250</v>
      </c>
      <c r="M933" s="801"/>
      <c r="N933" s="802"/>
      <c r="O933" s="803" t="str">
        <f t="shared" ca="1" si="749"/>
        <v>-</v>
      </c>
      <c r="P933" s="804"/>
      <c r="Q933" s="805"/>
      <c r="R933" s="806"/>
      <c r="S933" s="807"/>
      <c r="T933" s="798"/>
      <c r="U933" s="798" t="str">
        <f t="shared" si="750"/>
        <v>-</v>
      </c>
      <c r="V933" s="804" t="str">
        <f t="shared" ca="1" si="751"/>
        <v>-</v>
      </c>
      <c r="W933" s="808">
        <v>0</v>
      </c>
      <c r="X933" s="794" t="str">
        <f t="shared" si="744"/>
        <v>-</v>
      </c>
      <c r="Y933" s="794">
        <v>0</v>
      </c>
      <c r="Z933" s="809" t="str">
        <f t="shared" ca="1" si="752"/>
        <v>-----</v>
      </c>
      <c r="AA933" s="810">
        <f t="shared" ca="1" si="753"/>
        <v>43134</v>
      </c>
      <c r="AB933" s="804"/>
      <c r="AC933" s="811" t="str">
        <f t="shared" ca="1" si="754"/>
        <v>-----</v>
      </c>
      <c r="AD933" s="798"/>
      <c r="AE933" s="794" t="str">
        <f t="shared" ca="1" si="755"/>
        <v>-</v>
      </c>
      <c r="AF933" s="798" t="str">
        <f t="shared" si="756"/>
        <v>-</v>
      </c>
      <c r="AG933" s="812" t="str">
        <f t="shared" si="757"/>
        <v>---------</v>
      </c>
      <c r="AH933" s="807"/>
      <c r="AI933" s="807" t="str">
        <f t="shared" si="758"/>
        <v>-</v>
      </c>
      <c r="AJ933" s="807" t="str">
        <f t="shared" si="759"/>
        <v>-</v>
      </c>
      <c r="AK933" s="813"/>
      <c r="AL933" s="807" t="str">
        <f t="shared" si="760"/>
        <v>-</v>
      </c>
      <c r="AM933" s="807" t="str">
        <f t="shared" si="761"/>
        <v>-</v>
      </c>
      <c r="AN933" s="814" t="str">
        <f t="shared" ca="1" si="762"/>
        <v>-</v>
      </c>
      <c r="AO933" s="815">
        <v>1</v>
      </c>
      <c r="AP933" s="816" t="str">
        <f t="shared" ca="1" si="763"/>
        <v>-</v>
      </c>
      <c r="AQ933" s="817"/>
      <c r="AR933" s="794" t="str">
        <f t="shared" si="764"/>
        <v>-</v>
      </c>
      <c r="AS933" s="818"/>
      <c r="AT933" s="794" t="str">
        <f t="shared" si="765"/>
        <v>-</v>
      </c>
      <c r="AU933" s="819"/>
      <c r="AV933" s="865"/>
      <c r="AW933" s="821"/>
      <c r="AX933" s="821"/>
      <c r="AY933" s="969" t="str">
        <f t="shared" si="766"/>
        <v>-</v>
      </c>
      <c r="AZ933" s="966" t="str">
        <f t="shared" si="767"/>
        <v>-</v>
      </c>
      <c r="BA933" s="971" t="str">
        <f t="shared" si="768"/>
        <v>-</v>
      </c>
      <c r="BB933" s="975"/>
      <c r="BC933" s="821"/>
      <c r="BD933" s="821"/>
      <c r="BE933" s="963" t="str">
        <f t="shared" si="769"/>
        <v>-</v>
      </c>
      <c r="BF933" s="984"/>
      <c r="BG933" s="988"/>
      <c r="BH933" s="982"/>
      <c r="BI933" s="991"/>
      <c r="BJ933" s="991"/>
      <c r="BK933" s="993" t="str">
        <f t="shared" si="770"/>
        <v>-</v>
      </c>
      <c r="BL933" s="865"/>
      <c r="BM933" s="821"/>
      <c r="BN933" s="822" t="str">
        <f t="shared" si="771"/>
        <v>-</v>
      </c>
      <c r="BO933" s="823" t="str">
        <f t="shared" si="772"/>
        <v>-</v>
      </c>
      <c r="BP933" s="868"/>
      <c r="BQ933" s="821"/>
      <c r="BR933" s="822" t="str">
        <f t="shared" si="773"/>
        <v>-</v>
      </c>
      <c r="BS933" s="823" t="str">
        <f t="shared" si="774"/>
        <v>-</v>
      </c>
      <c r="BT933" s="825" t="str">
        <f t="shared" ca="1" si="775"/>
        <v>-</v>
      </c>
      <c r="BU933" s="860">
        <v>42900</v>
      </c>
      <c r="BV933" s="827">
        <v>2</v>
      </c>
      <c r="BW933" s="828">
        <f t="shared" si="776"/>
        <v>16</v>
      </c>
      <c r="BX933" s="829">
        <f t="shared" ca="1" si="777"/>
        <v>234</v>
      </c>
      <c r="BY933" s="830" t="str">
        <f t="shared" ca="1" si="778"/>
        <v>-</v>
      </c>
      <c r="BZ933" s="831">
        <v>42931</v>
      </c>
      <c r="CA933" s="832">
        <v>5</v>
      </c>
      <c r="CB933" s="833">
        <f t="shared" ca="1" si="779"/>
        <v>203</v>
      </c>
      <c r="CC933" s="834" t="str">
        <f t="shared" ca="1" si="780"/>
        <v>-</v>
      </c>
      <c r="CD933" s="835">
        <f t="shared" si="781"/>
        <v>42952</v>
      </c>
      <c r="CE933" s="831">
        <v>42954</v>
      </c>
      <c r="CF933" s="832">
        <v>5</v>
      </c>
      <c r="CG933" s="833">
        <f t="shared" ca="1" si="782"/>
        <v>180</v>
      </c>
      <c r="CH933" s="836">
        <f t="shared" si="783"/>
        <v>-2</v>
      </c>
      <c r="CI933" s="837" t="str">
        <f t="shared" si="784"/>
        <v>-</v>
      </c>
      <c r="CJ933" s="838" t="str">
        <f t="shared" ca="1" si="785"/>
        <v>-</v>
      </c>
      <c r="CK933" s="831"/>
      <c r="CL933" s="832"/>
      <c r="CM933" s="833" t="str">
        <f t="shared" si="786"/>
        <v>-</v>
      </c>
      <c r="CN933" s="834" t="str">
        <f t="shared" si="787"/>
        <v>-</v>
      </c>
      <c r="CO933" s="830" t="str">
        <f t="shared" ca="1" si="788"/>
        <v>-</v>
      </c>
      <c r="CP933" s="839"/>
      <c r="CQ933" s="832"/>
      <c r="CR933" s="833" t="str">
        <f t="shared" si="789"/>
        <v>-</v>
      </c>
      <c r="CS933" s="833" t="str">
        <f t="shared" si="790"/>
        <v>-</v>
      </c>
      <c r="CT933" s="834" t="str">
        <f t="shared" si="791"/>
        <v>-</v>
      </c>
      <c r="CU933" s="835" t="str">
        <f t="shared" si="792"/>
        <v>-</v>
      </c>
      <c r="CV933" s="839"/>
      <c r="CW933" s="832"/>
      <c r="CX933" s="833" t="str">
        <f t="shared" si="793"/>
        <v>-</v>
      </c>
      <c r="CY933" s="840" t="str">
        <f t="shared" si="794"/>
        <v>-</v>
      </c>
      <c r="CZ933" s="833" t="str">
        <f t="shared" si="795"/>
        <v>-</v>
      </c>
      <c r="DA933" s="838" t="str">
        <f t="shared" ca="1" si="796"/>
        <v>-</v>
      </c>
      <c r="DB933" s="841"/>
      <c r="DC933" s="832"/>
    </row>
    <row r="934" spans="1:107" x14ac:dyDescent="0.25">
      <c r="A934" s="790">
        <v>938</v>
      </c>
      <c r="B934" s="791">
        <f t="shared" ca="1" si="745"/>
        <v>43134</v>
      </c>
      <c r="C934" s="29" t="s">
        <v>2585</v>
      </c>
      <c r="D934" s="59" t="s">
        <v>2586</v>
      </c>
      <c r="E934" s="794" t="s">
        <v>1563</v>
      </c>
      <c r="F934" s="795" t="s">
        <v>2846</v>
      </c>
      <c r="G934" s="845"/>
      <c r="H934" s="797" t="s">
        <v>603</v>
      </c>
      <c r="I934" s="798">
        <v>42892</v>
      </c>
      <c r="J934" s="799">
        <f t="shared" ca="1" si="746"/>
        <v>0.66301369863013704</v>
      </c>
      <c r="K934" s="799">
        <f t="shared" ca="1" si="747"/>
        <v>8.0666666666666664</v>
      </c>
      <c r="L934" s="800">
        <f t="shared" ca="1" si="748"/>
        <v>242</v>
      </c>
      <c r="M934" s="801"/>
      <c r="N934" s="802"/>
      <c r="O934" s="803" t="str">
        <f t="shared" ca="1" si="749"/>
        <v>-</v>
      </c>
      <c r="P934" s="804"/>
      <c r="Q934" s="805"/>
      <c r="R934" s="806"/>
      <c r="S934" s="807"/>
      <c r="T934" s="798"/>
      <c r="U934" s="798" t="str">
        <f t="shared" si="750"/>
        <v>-</v>
      </c>
      <c r="V934" s="804" t="str">
        <f t="shared" ca="1" si="751"/>
        <v>-</v>
      </c>
      <c r="W934" s="808">
        <v>0</v>
      </c>
      <c r="X934" s="794" t="str">
        <f t="shared" si="744"/>
        <v>-</v>
      </c>
      <c r="Y934" s="794">
        <v>0</v>
      </c>
      <c r="Z934" s="809" t="str">
        <f t="shared" ca="1" si="752"/>
        <v>-----</v>
      </c>
      <c r="AA934" s="810">
        <f t="shared" ca="1" si="753"/>
        <v>43134</v>
      </c>
      <c r="AB934" s="804"/>
      <c r="AC934" s="811" t="str">
        <f t="shared" ca="1" si="754"/>
        <v>-----</v>
      </c>
      <c r="AD934" s="798"/>
      <c r="AE934" s="794" t="str">
        <f t="shared" ca="1" si="755"/>
        <v>-</v>
      </c>
      <c r="AF934" s="798" t="str">
        <f t="shared" si="756"/>
        <v>-</v>
      </c>
      <c r="AG934" s="812" t="str">
        <f t="shared" si="757"/>
        <v>---------</v>
      </c>
      <c r="AH934" s="807"/>
      <c r="AI934" s="807" t="str">
        <f t="shared" si="758"/>
        <v>-</v>
      </c>
      <c r="AJ934" s="807" t="str">
        <f t="shared" si="759"/>
        <v>-</v>
      </c>
      <c r="AK934" s="813"/>
      <c r="AL934" s="807" t="str">
        <f t="shared" si="760"/>
        <v>-</v>
      </c>
      <c r="AM934" s="807" t="str">
        <f t="shared" si="761"/>
        <v>-</v>
      </c>
      <c r="AN934" s="814" t="str">
        <f t="shared" ca="1" si="762"/>
        <v>-</v>
      </c>
      <c r="AO934" s="815">
        <v>1</v>
      </c>
      <c r="AP934" s="816" t="str">
        <f t="shared" ca="1" si="763"/>
        <v>-</v>
      </c>
      <c r="AQ934" s="817"/>
      <c r="AR934" s="794" t="str">
        <f t="shared" si="764"/>
        <v>-</v>
      </c>
      <c r="AS934" s="818"/>
      <c r="AT934" s="794" t="str">
        <f t="shared" si="765"/>
        <v>-</v>
      </c>
      <c r="AU934" s="819"/>
      <c r="AV934" s="865"/>
      <c r="AW934" s="821"/>
      <c r="AX934" s="821"/>
      <c r="AY934" s="969" t="str">
        <f t="shared" si="766"/>
        <v>-</v>
      </c>
      <c r="AZ934" s="966" t="str">
        <f t="shared" si="767"/>
        <v>-</v>
      </c>
      <c r="BA934" s="971" t="str">
        <f t="shared" si="768"/>
        <v>-</v>
      </c>
      <c r="BB934" s="975"/>
      <c r="BC934" s="821"/>
      <c r="BD934" s="821"/>
      <c r="BE934" s="963" t="str">
        <f t="shared" si="769"/>
        <v>-</v>
      </c>
      <c r="BF934" s="984"/>
      <c r="BG934" s="988"/>
      <c r="BH934" s="982"/>
      <c r="BI934" s="991"/>
      <c r="BJ934" s="991"/>
      <c r="BK934" s="993" t="str">
        <f t="shared" si="770"/>
        <v>-</v>
      </c>
      <c r="BL934" s="865"/>
      <c r="BM934" s="821"/>
      <c r="BN934" s="822" t="str">
        <f t="shared" si="771"/>
        <v>-</v>
      </c>
      <c r="BO934" s="823" t="str">
        <f t="shared" si="772"/>
        <v>-</v>
      </c>
      <c r="BP934" s="868"/>
      <c r="BQ934" s="821"/>
      <c r="BR934" s="822" t="str">
        <f t="shared" si="773"/>
        <v>-</v>
      </c>
      <c r="BS934" s="823" t="str">
        <f t="shared" si="774"/>
        <v>-</v>
      </c>
      <c r="BT934" s="825" t="str">
        <f t="shared" ca="1" si="775"/>
        <v>-</v>
      </c>
      <c r="BU934" s="860">
        <v>42900</v>
      </c>
      <c r="BV934" s="827">
        <v>2</v>
      </c>
      <c r="BW934" s="828">
        <f t="shared" si="776"/>
        <v>8</v>
      </c>
      <c r="BX934" s="829">
        <f t="shared" ca="1" si="777"/>
        <v>234</v>
      </c>
      <c r="BY934" s="830" t="str">
        <f t="shared" ca="1" si="778"/>
        <v>-</v>
      </c>
      <c r="BZ934" s="831">
        <v>42988</v>
      </c>
      <c r="CA934" s="832">
        <v>5</v>
      </c>
      <c r="CB934" s="833">
        <f t="shared" ca="1" si="779"/>
        <v>146</v>
      </c>
      <c r="CC934" s="834" t="str">
        <f t="shared" ca="1" si="780"/>
        <v>-</v>
      </c>
      <c r="CD934" s="835">
        <f t="shared" si="781"/>
        <v>43009</v>
      </c>
      <c r="CE934" s="831">
        <v>43009</v>
      </c>
      <c r="CF934" s="832">
        <v>5</v>
      </c>
      <c r="CG934" s="833">
        <f t="shared" ca="1" si="782"/>
        <v>125</v>
      </c>
      <c r="CH934" s="836">
        <f t="shared" si="783"/>
        <v>0</v>
      </c>
      <c r="CI934" s="837" t="str">
        <f t="shared" si="784"/>
        <v>УСПЕШНО</v>
      </c>
      <c r="CJ934" s="838" t="str">
        <f t="shared" ca="1" si="785"/>
        <v>-</v>
      </c>
      <c r="CK934" s="831"/>
      <c r="CL934" s="832"/>
      <c r="CM934" s="833" t="str">
        <f t="shared" si="786"/>
        <v>-</v>
      </c>
      <c r="CN934" s="834" t="str">
        <f t="shared" si="787"/>
        <v>-</v>
      </c>
      <c r="CO934" s="830" t="str">
        <f t="shared" ca="1" si="788"/>
        <v>-</v>
      </c>
      <c r="CP934" s="839"/>
      <c r="CQ934" s="832"/>
      <c r="CR934" s="833" t="str">
        <f t="shared" si="789"/>
        <v>-</v>
      </c>
      <c r="CS934" s="833" t="str">
        <f t="shared" si="790"/>
        <v>-</v>
      </c>
      <c r="CT934" s="834" t="str">
        <f t="shared" si="791"/>
        <v>-</v>
      </c>
      <c r="CU934" s="835" t="str">
        <f t="shared" si="792"/>
        <v>-</v>
      </c>
      <c r="CV934" s="839"/>
      <c r="CW934" s="832"/>
      <c r="CX934" s="833" t="str">
        <f t="shared" si="793"/>
        <v>-</v>
      </c>
      <c r="CY934" s="840" t="str">
        <f t="shared" si="794"/>
        <v>-</v>
      </c>
      <c r="CZ934" s="833" t="str">
        <f t="shared" si="795"/>
        <v>-</v>
      </c>
      <c r="DA934" s="838" t="str">
        <f t="shared" ca="1" si="796"/>
        <v>-</v>
      </c>
      <c r="DB934" s="841"/>
      <c r="DC934" s="832"/>
    </row>
    <row r="935" spans="1:107" x14ac:dyDescent="0.25">
      <c r="A935" s="790">
        <v>939</v>
      </c>
      <c r="B935" s="791">
        <f t="shared" ca="1" si="745"/>
        <v>43134</v>
      </c>
      <c r="C935" s="29" t="s">
        <v>2585</v>
      </c>
      <c r="D935" s="59" t="s">
        <v>2586</v>
      </c>
      <c r="E935" s="794" t="s">
        <v>1563</v>
      </c>
      <c r="F935" s="795" t="s">
        <v>2849</v>
      </c>
      <c r="G935" s="845"/>
      <c r="H935" s="797" t="s">
        <v>603</v>
      </c>
      <c r="I935" s="798">
        <v>42894</v>
      </c>
      <c r="J935" s="799">
        <f t="shared" ca="1" si="746"/>
        <v>0.65753424657534243</v>
      </c>
      <c r="K935" s="799">
        <f t="shared" ca="1" si="747"/>
        <v>8</v>
      </c>
      <c r="L935" s="800">
        <f t="shared" ca="1" si="748"/>
        <v>240</v>
      </c>
      <c r="M935" s="801"/>
      <c r="N935" s="802"/>
      <c r="O935" s="803" t="str">
        <f t="shared" ca="1" si="749"/>
        <v>-</v>
      </c>
      <c r="P935" s="804"/>
      <c r="Q935" s="805"/>
      <c r="R935" s="806"/>
      <c r="S935" s="807"/>
      <c r="T935" s="798"/>
      <c r="U935" s="798" t="str">
        <f t="shared" si="750"/>
        <v>-</v>
      </c>
      <c r="V935" s="804" t="str">
        <f t="shared" ca="1" si="751"/>
        <v>-</v>
      </c>
      <c r="W935" s="808">
        <v>0</v>
      </c>
      <c r="X935" s="794" t="str">
        <f t="shared" si="744"/>
        <v>-</v>
      </c>
      <c r="Y935" s="794">
        <v>0</v>
      </c>
      <c r="Z935" s="809" t="str">
        <f t="shared" ca="1" si="752"/>
        <v>-----</v>
      </c>
      <c r="AA935" s="810">
        <f t="shared" ca="1" si="753"/>
        <v>43134</v>
      </c>
      <c r="AB935" s="804"/>
      <c r="AC935" s="811" t="str">
        <f t="shared" ca="1" si="754"/>
        <v>-----</v>
      </c>
      <c r="AD935" s="798"/>
      <c r="AE935" s="794" t="str">
        <f t="shared" ca="1" si="755"/>
        <v>-</v>
      </c>
      <c r="AF935" s="798" t="str">
        <f t="shared" si="756"/>
        <v>-</v>
      </c>
      <c r="AG935" s="812" t="str">
        <f t="shared" si="757"/>
        <v>---------</v>
      </c>
      <c r="AH935" s="807"/>
      <c r="AI935" s="807" t="str">
        <f t="shared" si="758"/>
        <v>-</v>
      </c>
      <c r="AJ935" s="807" t="str">
        <f t="shared" si="759"/>
        <v>-</v>
      </c>
      <c r="AK935" s="813"/>
      <c r="AL935" s="807" t="str">
        <f t="shared" si="760"/>
        <v>-</v>
      </c>
      <c r="AM935" s="807" t="str">
        <f t="shared" si="761"/>
        <v>-</v>
      </c>
      <c r="AN935" s="814" t="str">
        <f t="shared" ca="1" si="762"/>
        <v>-</v>
      </c>
      <c r="AO935" s="815">
        <v>1</v>
      </c>
      <c r="AP935" s="816" t="str">
        <f t="shared" ca="1" si="763"/>
        <v>-</v>
      </c>
      <c r="AQ935" s="817"/>
      <c r="AR935" s="794" t="str">
        <f t="shared" si="764"/>
        <v>-</v>
      </c>
      <c r="AS935" s="818"/>
      <c r="AT935" s="794" t="str">
        <f t="shared" si="765"/>
        <v>-</v>
      </c>
      <c r="AU935" s="819"/>
      <c r="AV935" s="865"/>
      <c r="AW935" s="821"/>
      <c r="AX935" s="821"/>
      <c r="AY935" s="969" t="str">
        <f t="shared" si="766"/>
        <v>-</v>
      </c>
      <c r="AZ935" s="966" t="str">
        <f t="shared" si="767"/>
        <v>-</v>
      </c>
      <c r="BA935" s="971" t="str">
        <f t="shared" si="768"/>
        <v>-</v>
      </c>
      <c r="BB935" s="975"/>
      <c r="BC935" s="821"/>
      <c r="BD935" s="821"/>
      <c r="BE935" s="963" t="str">
        <f t="shared" si="769"/>
        <v>-</v>
      </c>
      <c r="BF935" s="984"/>
      <c r="BG935" s="988"/>
      <c r="BH935" s="982"/>
      <c r="BI935" s="991"/>
      <c r="BJ935" s="991"/>
      <c r="BK935" s="993" t="str">
        <f t="shared" si="770"/>
        <v>-</v>
      </c>
      <c r="BL935" s="865"/>
      <c r="BM935" s="821"/>
      <c r="BN935" s="822" t="str">
        <f t="shared" si="771"/>
        <v>-</v>
      </c>
      <c r="BO935" s="823" t="str">
        <f t="shared" si="772"/>
        <v>-</v>
      </c>
      <c r="BP935" s="868"/>
      <c r="BQ935" s="821"/>
      <c r="BR935" s="822" t="str">
        <f t="shared" si="773"/>
        <v>-</v>
      </c>
      <c r="BS935" s="823" t="str">
        <f t="shared" si="774"/>
        <v>-</v>
      </c>
      <c r="BT935" s="825" t="str">
        <f t="shared" ca="1" si="775"/>
        <v>-</v>
      </c>
      <c r="BU935" s="860">
        <v>42900</v>
      </c>
      <c r="BV935" s="827">
        <v>2</v>
      </c>
      <c r="BW935" s="828">
        <f t="shared" si="776"/>
        <v>6</v>
      </c>
      <c r="BX935" s="829">
        <f t="shared" ca="1" si="777"/>
        <v>234</v>
      </c>
      <c r="BY935" s="830" t="str">
        <f t="shared" ca="1" si="778"/>
        <v>-</v>
      </c>
      <c r="BZ935" s="831">
        <v>42988</v>
      </c>
      <c r="CA935" s="832">
        <v>5</v>
      </c>
      <c r="CB935" s="833">
        <f t="shared" ca="1" si="779"/>
        <v>146</v>
      </c>
      <c r="CC935" s="834" t="str">
        <f t="shared" ca="1" si="780"/>
        <v>-</v>
      </c>
      <c r="CD935" s="835">
        <f t="shared" si="781"/>
        <v>43009</v>
      </c>
      <c r="CE935" s="831">
        <v>43009</v>
      </c>
      <c r="CF935" s="832">
        <v>5</v>
      </c>
      <c r="CG935" s="833">
        <f t="shared" ca="1" si="782"/>
        <v>125</v>
      </c>
      <c r="CH935" s="836">
        <f t="shared" si="783"/>
        <v>0</v>
      </c>
      <c r="CI935" s="837" t="str">
        <f t="shared" si="784"/>
        <v>УСПЕШНО</v>
      </c>
      <c r="CJ935" s="838" t="str">
        <f t="shared" ca="1" si="785"/>
        <v>-</v>
      </c>
      <c r="CK935" s="831"/>
      <c r="CL935" s="832"/>
      <c r="CM935" s="833" t="str">
        <f t="shared" si="786"/>
        <v>-</v>
      </c>
      <c r="CN935" s="834" t="str">
        <f t="shared" si="787"/>
        <v>-</v>
      </c>
      <c r="CO935" s="830" t="str">
        <f t="shared" ca="1" si="788"/>
        <v>-</v>
      </c>
      <c r="CP935" s="839"/>
      <c r="CQ935" s="832"/>
      <c r="CR935" s="833" t="str">
        <f t="shared" si="789"/>
        <v>-</v>
      </c>
      <c r="CS935" s="833" t="str">
        <f t="shared" si="790"/>
        <v>-</v>
      </c>
      <c r="CT935" s="834" t="str">
        <f t="shared" si="791"/>
        <v>-</v>
      </c>
      <c r="CU935" s="835" t="str">
        <f t="shared" si="792"/>
        <v>-</v>
      </c>
      <c r="CV935" s="839"/>
      <c r="CW935" s="832"/>
      <c r="CX935" s="833" t="str">
        <f t="shared" si="793"/>
        <v>-</v>
      </c>
      <c r="CY935" s="840" t="str">
        <f t="shared" si="794"/>
        <v>-</v>
      </c>
      <c r="CZ935" s="833" t="str">
        <f t="shared" si="795"/>
        <v>-</v>
      </c>
      <c r="DA935" s="838" t="str">
        <f t="shared" ca="1" si="796"/>
        <v>-</v>
      </c>
      <c r="DB935" s="841"/>
      <c r="DC935" s="832"/>
    </row>
    <row r="936" spans="1:107" x14ac:dyDescent="0.25">
      <c r="A936" s="790">
        <v>940</v>
      </c>
      <c r="B936" s="791">
        <f t="shared" ca="1" si="745"/>
        <v>43134</v>
      </c>
      <c r="C936" s="29" t="s">
        <v>2585</v>
      </c>
      <c r="D936" s="59" t="s">
        <v>2586</v>
      </c>
      <c r="E936" s="794" t="s">
        <v>1563</v>
      </c>
      <c r="F936" s="795" t="s">
        <v>2853</v>
      </c>
      <c r="G936" s="845"/>
      <c r="H936" s="797" t="s">
        <v>603</v>
      </c>
      <c r="I936" s="798">
        <v>42895</v>
      </c>
      <c r="J936" s="799">
        <f t="shared" ca="1" si="746"/>
        <v>0.65479452054794518</v>
      </c>
      <c r="K936" s="799">
        <f t="shared" ca="1" si="747"/>
        <v>7.9666666666666668</v>
      </c>
      <c r="L936" s="800">
        <f t="shared" ca="1" si="748"/>
        <v>239</v>
      </c>
      <c r="M936" s="801"/>
      <c r="N936" s="802"/>
      <c r="O936" s="803" t="str">
        <f t="shared" ca="1" si="749"/>
        <v>-</v>
      </c>
      <c r="P936" s="804"/>
      <c r="Q936" s="805"/>
      <c r="R936" s="806"/>
      <c r="S936" s="807"/>
      <c r="T936" s="798"/>
      <c r="U936" s="798" t="str">
        <f t="shared" si="750"/>
        <v>-</v>
      </c>
      <c r="V936" s="804" t="str">
        <f t="shared" ca="1" si="751"/>
        <v>-</v>
      </c>
      <c r="W936" s="808">
        <v>0</v>
      </c>
      <c r="X936" s="794" t="str">
        <f t="shared" si="744"/>
        <v>-</v>
      </c>
      <c r="Y936" s="794">
        <v>0</v>
      </c>
      <c r="Z936" s="809" t="str">
        <f t="shared" ca="1" si="752"/>
        <v>-----</v>
      </c>
      <c r="AA936" s="810">
        <f t="shared" ca="1" si="753"/>
        <v>43134</v>
      </c>
      <c r="AB936" s="804"/>
      <c r="AC936" s="811" t="str">
        <f t="shared" ca="1" si="754"/>
        <v>-----</v>
      </c>
      <c r="AD936" s="798"/>
      <c r="AE936" s="794" t="str">
        <f t="shared" ca="1" si="755"/>
        <v>-</v>
      </c>
      <c r="AF936" s="798" t="str">
        <f t="shared" si="756"/>
        <v>-</v>
      </c>
      <c r="AG936" s="812" t="str">
        <f t="shared" si="757"/>
        <v>---------</v>
      </c>
      <c r="AH936" s="807"/>
      <c r="AI936" s="807" t="str">
        <f t="shared" si="758"/>
        <v>-</v>
      </c>
      <c r="AJ936" s="807" t="str">
        <f t="shared" si="759"/>
        <v>-</v>
      </c>
      <c r="AK936" s="813"/>
      <c r="AL936" s="807" t="str">
        <f t="shared" si="760"/>
        <v>-</v>
      </c>
      <c r="AM936" s="807" t="str">
        <f t="shared" si="761"/>
        <v>-</v>
      </c>
      <c r="AN936" s="814" t="str">
        <f t="shared" ca="1" si="762"/>
        <v>-</v>
      </c>
      <c r="AO936" s="815">
        <v>1</v>
      </c>
      <c r="AP936" s="816" t="str">
        <f t="shared" ca="1" si="763"/>
        <v>-</v>
      </c>
      <c r="AQ936" s="817"/>
      <c r="AR936" s="794" t="str">
        <f t="shared" si="764"/>
        <v>-</v>
      </c>
      <c r="AS936" s="818"/>
      <c r="AT936" s="794" t="str">
        <f t="shared" si="765"/>
        <v>-</v>
      </c>
      <c r="AU936" s="819"/>
      <c r="AV936" s="865"/>
      <c r="AW936" s="821"/>
      <c r="AX936" s="821"/>
      <c r="AY936" s="969" t="str">
        <f t="shared" si="766"/>
        <v>-</v>
      </c>
      <c r="AZ936" s="966" t="str">
        <f t="shared" si="767"/>
        <v>-</v>
      </c>
      <c r="BA936" s="971" t="str">
        <f t="shared" si="768"/>
        <v>-</v>
      </c>
      <c r="BB936" s="975"/>
      <c r="BC936" s="821"/>
      <c r="BD936" s="821"/>
      <c r="BE936" s="963" t="str">
        <f t="shared" si="769"/>
        <v>-</v>
      </c>
      <c r="BF936" s="984"/>
      <c r="BG936" s="988"/>
      <c r="BH936" s="982"/>
      <c r="BI936" s="991"/>
      <c r="BJ936" s="991"/>
      <c r="BK936" s="993" t="str">
        <f t="shared" si="770"/>
        <v>-</v>
      </c>
      <c r="BL936" s="865"/>
      <c r="BM936" s="821"/>
      <c r="BN936" s="822" t="str">
        <f t="shared" si="771"/>
        <v>-</v>
      </c>
      <c r="BO936" s="823" t="str">
        <f t="shared" si="772"/>
        <v>-</v>
      </c>
      <c r="BP936" s="868"/>
      <c r="BQ936" s="821"/>
      <c r="BR936" s="822" t="str">
        <f t="shared" si="773"/>
        <v>-</v>
      </c>
      <c r="BS936" s="823" t="str">
        <f t="shared" si="774"/>
        <v>-</v>
      </c>
      <c r="BT936" s="825" t="str">
        <f t="shared" ca="1" si="775"/>
        <v>-</v>
      </c>
      <c r="BU936" s="860">
        <v>42900</v>
      </c>
      <c r="BV936" s="827">
        <v>2</v>
      </c>
      <c r="BW936" s="828">
        <f t="shared" si="776"/>
        <v>5</v>
      </c>
      <c r="BX936" s="829">
        <f t="shared" ca="1" si="777"/>
        <v>234</v>
      </c>
      <c r="BY936" s="830" t="str">
        <f t="shared" ca="1" si="778"/>
        <v>-</v>
      </c>
      <c r="BZ936" s="831">
        <v>42988</v>
      </c>
      <c r="CA936" s="832">
        <v>5</v>
      </c>
      <c r="CB936" s="833">
        <f t="shared" ca="1" si="779"/>
        <v>146</v>
      </c>
      <c r="CC936" s="834" t="str">
        <f t="shared" ca="1" si="780"/>
        <v>-</v>
      </c>
      <c r="CD936" s="835">
        <f t="shared" si="781"/>
        <v>43009</v>
      </c>
      <c r="CE936" s="831">
        <v>43009</v>
      </c>
      <c r="CF936" s="832">
        <v>5</v>
      </c>
      <c r="CG936" s="833">
        <f t="shared" ca="1" si="782"/>
        <v>125</v>
      </c>
      <c r="CH936" s="836">
        <f t="shared" si="783"/>
        <v>0</v>
      </c>
      <c r="CI936" s="837" t="str">
        <f t="shared" si="784"/>
        <v>УСПЕШНО</v>
      </c>
      <c r="CJ936" s="838" t="str">
        <f t="shared" ca="1" si="785"/>
        <v>-</v>
      </c>
      <c r="CK936" s="831"/>
      <c r="CL936" s="832"/>
      <c r="CM936" s="833" t="str">
        <f t="shared" si="786"/>
        <v>-</v>
      </c>
      <c r="CN936" s="834" t="str">
        <f t="shared" si="787"/>
        <v>-</v>
      </c>
      <c r="CO936" s="830" t="str">
        <f t="shared" ca="1" si="788"/>
        <v>-</v>
      </c>
      <c r="CP936" s="839"/>
      <c r="CQ936" s="832"/>
      <c r="CR936" s="833" t="str">
        <f t="shared" si="789"/>
        <v>-</v>
      </c>
      <c r="CS936" s="833" t="str">
        <f t="shared" si="790"/>
        <v>-</v>
      </c>
      <c r="CT936" s="834" t="str">
        <f t="shared" si="791"/>
        <v>-</v>
      </c>
      <c r="CU936" s="835" t="str">
        <f t="shared" si="792"/>
        <v>-</v>
      </c>
      <c r="CV936" s="839"/>
      <c r="CW936" s="832"/>
      <c r="CX936" s="833" t="str">
        <f t="shared" si="793"/>
        <v>-</v>
      </c>
      <c r="CY936" s="840" t="str">
        <f t="shared" si="794"/>
        <v>-</v>
      </c>
      <c r="CZ936" s="833" t="str">
        <f t="shared" si="795"/>
        <v>-</v>
      </c>
      <c r="DA936" s="838" t="str">
        <f t="shared" ca="1" si="796"/>
        <v>-</v>
      </c>
      <c r="DB936" s="841"/>
      <c r="DC936" s="832"/>
    </row>
    <row r="937" spans="1:107" x14ac:dyDescent="0.25">
      <c r="A937" s="790">
        <v>941</v>
      </c>
      <c r="B937" s="791">
        <f t="shared" ca="1" si="745"/>
        <v>43134</v>
      </c>
      <c r="C937" s="29" t="s">
        <v>2585</v>
      </c>
      <c r="D937" s="59" t="s">
        <v>2586</v>
      </c>
      <c r="E937" s="794" t="s">
        <v>1563</v>
      </c>
      <c r="F937" s="795" t="s">
        <v>2855</v>
      </c>
      <c r="G937" s="845"/>
      <c r="H937" s="797" t="s">
        <v>603</v>
      </c>
      <c r="I937" s="798">
        <v>42896</v>
      </c>
      <c r="J937" s="799">
        <f t="shared" ca="1" si="746"/>
        <v>0.65205479452054793</v>
      </c>
      <c r="K937" s="799">
        <f t="shared" ca="1" si="747"/>
        <v>7.9333333333333336</v>
      </c>
      <c r="L937" s="800">
        <f t="shared" ca="1" si="748"/>
        <v>238</v>
      </c>
      <c r="M937" s="801"/>
      <c r="N937" s="802"/>
      <c r="O937" s="803" t="str">
        <f t="shared" ca="1" si="749"/>
        <v>-</v>
      </c>
      <c r="P937" s="804"/>
      <c r="Q937" s="805"/>
      <c r="R937" s="806"/>
      <c r="S937" s="807"/>
      <c r="T937" s="798"/>
      <c r="U937" s="798" t="str">
        <f t="shared" si="750"/>
        <v>-</v>
      </c>
      <c r="V937" s="804" t="str">
        <f t="shared" ca="1" si="751"/>
        <v>-</v>
      </c>
      <c r="W937" s="808">
        <v>0</v>
      </c>
      <c r="X937" s="794" t="str">
        <f t="shared" si="744"/>
        <v>-</v>
      </c>
      <c r="Y937" s="794">
        <v>0</v>
      </c>
      <c r="Z937" s="809" t="str">
        <f t="shared" ca="1" si="752"/>
        <v>-----</v>
      </c>
      <c r="AA937" s="810">
        <f t="shared" ca="1" si="753"/>
        <v>43134</v>
      </c>
      <c r="AB937" s="804"/>
      <c r="AC937" s="811" t="str">
        <f t="shared" ca="1" si="754"/>
        <v>-----</v>
      </c>
      <c r="AD937" s="798"/>
      <c r="AE937" s="794" t="str">
        <f t="shared" ca="1" si="755"/>
        <v>-</v>
      </c>
      <c r="AF937" s="798" t="str">
        <f t="shared" si="756"/>
        <v>-</v>
      </c>
      <c r="AG937" s="812" t="str">
        <f t="shared" si="757"/>
        <v>---------</v>
      </c>
      <c r="AH937" s="807"/>
      <c r="AI937" s="807" t="str">
        <f t="shared" si="758"/>
        <v>-</v>
      </c>
      <c r="AJ937" s="807" t="str">
        <f t="shared" si="759"/>
        <v>-</v>
      </c>
      <c r="AK937" s="813"/>
      <c r="AL937" s="807" t="str">
        <f t="shared" si="760"/>
        <v>-</v>
      </c>
      <c r="AM937" s="807" t="str">
        <f t="shared" si="761"/>
        <v>-</v>
      </c>
      <c r="AN937" s="814" t="str">
        <f t="shared" ca="1" si="762"/>
        <v>-</v>
      </c>
      <c r="AO937" s="815">
        <v>1</v>
      </c>
      <c r="AP937" s="816" t="str">
        <f t="shared" ca="1" si="763"/>
        <v>-</v>
      </c>
      <c r="AQ937" s="817"/>
      <c r="AR937" s="794" t="str">
        <f t="shared" si="764"/>
        <v>-</v>
      </c>
      <c r="AS937" s="818"/>
      <c r="AT937" s="794" t="str">
        <f t="shared" si="765"/>
        <v>-</v>
      </c>
      <c r="AU937" s="819"/>
      <c r="AV937" s="865"/>
      <c r="AW937" s="821"/>
      <c r="AX937" s="821"/>
      <c r="AY937" s="969" t="str">
        <f t="shared" si="766"/>
        <v>-</v>
      </c>
      <c r="AZ937" s="966" t="str">
        <f t="shared" si="767"/>
        <v>-</v>
      </c>
      <c r="BA937" s="971" t="str">
        <f t="shared" si="768"/>
        <v>-</v>
      </c>
      <c r="BB937" s="975"/>
      <c r="BC937" s="821"/>
      <c r="BD937" s="821"/>
      <c r="BE937" s="963" t="str">
        <f t="shared" si="769"/>
        <v>-</v>
      </c>
      <c r="BF937" s="984"/>
      <c r="BG937" s="988"/>
      <c r="BH937" s="982"/>
      <c r="BI937" s="991"/>
      <c r="BJ937" s="991"/>
      <c r="BK937" s="993" t="str">
        <f t="shared" si="770"/>
        <v>-</v>
      </c>
      <c r="BL937" s="865"/>
      <c r="BM937" s="821"/>
      <c r="BN937" s="822" t="str">
        <f t="shared" si="771"/>
        <v>-</v>
      </c>
      <c r="BO937" s="823" t="str">
        <f t="shared" si="772"/>
        <v>-</v>
      </c>
      <c r="BP937" s="868"/>
      <c r="BQ937" s="821"/>
      <c r="BR937" s="822" t="str">
        <f t="shared" si="773"/>
        <v>-</v>
      </c>
      <c r="BS937" s="823" t="str">
        <f t="shared" si="774"/>
        <v>-</v>
      </c>
      <c r="BT937" s="825" t="str">
        <f t="shared" ca="1" si="775"/>
        <v>-</v>
      </c>
      <c r="BU937" s="860">
        <v>42900</v>
      </c>
      <c r="BV937" s="827">
        <v>2</v>
      </c>
      <c r="BW937" s="828">
        <f t="shared" si="776"/>
        <v>4</v>
      </c>
      <c r="BX937" s="829">
        <f t="shared" ca="1" si="777"/>
        <v>234</v>
      </c>
      <c r="BY937" s="830" t="str">
        <f t="shared" ca="1" si="778"/>
        <v>-</v>
      </c>
      <c r="BZ937" s="831">
        <v>42988</v>
      </c>
      <c r="CA937" s="832">
        <v>5</v>
      </c>
      <c r="CB937" s="833">
        <f t="shared" ca="1" si="779"/>
        <v>146</v>
      </c>
      <c r="CC937" s="834" t="str">
        <f t="shared" ca="1" si="780"/>
        <v>-</v>
      </c>
      <c r="CD937" s="835">
        <f t="shared" si="781"/>
        <v>43009</v>
      </c>
      <c r="CE937" s="831">
        <v>43009</v>
      </c>
      <c r="CF937" s="832">
        <v>5</v>
      </c>
      <c r="CG937" s="833">
        <f t="shared" ca="1" si="782"/>
        <v>125</v>
      </c>
      <c r="CH937" s="836">
        <f t="shared" si="783"/>
        <v>0</v>
      </c>
      <c r="CI937" s="837" t="str">
        <f t="shared" si="784"/>
        <v>УСПЕШНО</v>
      </c>
      <c r="CJ937" s="838" t="str">
        <f t="shared" ca="1" si="785"/>
        <v>-</v>
      </c>
      <c r="CK937" s="831"/>
      <c r="CL937" s="832"/>
      <c r="CM937" s="833" t="str">
        <f t="shared" si="786"/>
        <v>-</v>
      </c>
      <c r="CN937" s="834" t="str">
        <f t="shared" si="787"/>
        <v>-</v>
      </c>
      <c r="CO937" s="830" t="str">
        <f t="shared" ca="1" si="788"/>
        <v>-</v>
      </c>
      <c r="CP937" s="839"/>
      <c r="CQ937" s="832"/>
      <c r="CR937" s="833" t="str">
        <f t="shared" si="789"/>
        <v>-</v>
      </c>
      <c r="CS937" s="833" t="str">
        <f t="shared" si="790"/>
        <v>-</v>
      </c>
      <c r="CT937" s="834" t="str">
        <f t="shared" si="791"/>
        <v>-</v>
      </c>
      <c r="CU937" s="835" t="str">
        <f t="shared" si="792"/>
        <v>-</v>
      </c>
      <c r="CV937" s="839"/>
      <c r="CW937" s="832"/>
      <c r="CX937" s="833" t="str">
        <f t="shared" si="793"/>
        <v>-</v>
      </c>
      <c r="CY937" s="840" t="str">
        <f t="shared" si="794"/>
        <v>-</v>
      </c>
      <c r="CZ937" s="833" t="str">
        <f t="shared" si="795"/>
        <v>-</v>
      </c>
      <c r="DA937" s="838" t="str">
        <f t="shared" ca="1" si="796"/>
        <v>-</v>
      </c>
      <c r="DB937" s="841"/>
      <c r="DC937" s="832"/>
    </row>
    <row r="938" spans="1:107" x14ac:dyDescent="0.25">
      <c r="A938" s="790">
        <v>942</v>
      </c>
      <c r="B938" s="791">
        <f t="shared" ca="1" si="745"/>
        <v>43134</v>
      </c>
      <c r="C938" s="29" t="s">
        <v>2585</v>
      </c>
      <c r="D938" s="59" t="s">
        <v>2586</v>
      </c>
      <c r="E938" s="794" t="s">
        <v>1563</v>
      </c>
      <c r="F938" s="795" t="s">
        <v>2866</v>
      </c>
      <c r="G938" s="845"/>
      <c r="H938" s="797" t="s">
        <v>603</v>
      </c>
      <c r="I938" s="798">
        <v>42903</v>
      </c>
      <c r="J938" s="799">
        <f t="shared" ca="1" si="746"/>
        <v>0.63287671232876708</v>
      </c>
      <c r="K938" s="799">
        <f t="shared" ca="1" si="747"/>
        <v>7.7</v>
      </c>
      <c r="L938" s="800">
        <f t="shared" ca="1" si="748"/>
        <v>231</v>
      </c>
      <c r="M938" s="801"/>
      <c r="N938" s="802"/>
      <c r="O938" s="803" t="str">
        <f t="shared" ca="1" si="749"/>
        <v>-</v>
      </c>
      <c r="P938" s="804"/>
      <c r="Q938" s="805"/>
      <c r="R938" s="806"/>
      <c r="S938" s="807"/>
      <c r="T938" s="798"/>
      <c r="U938" s="798" t="str">
        <f t="shared" si="750"/>
        <v>-</v>
      </c>
      <c r="V938" s="804" t="str">
        <f t="shared" ca="1" si="751"/>
        <v>-</v>
      </c>
      <c r="W938" s="808">
        <v>0</v>
      </c>
      <c r="X938" s="794" t="str">
        <f t="shared" si="744"/>
        <v>-</v>
      </c>
      <c r="Y938" s="794">
        <v>0</v>
      </c>
      <c r="Z938" s="809" t="str">
        <f t="shared" ca="1" si="752"/>
        <v>-----</v>
      </c>
      <c r="AA938" s="810">
        <f t="shared" ca="1" si="753"/>
        <v>43134</v>
      </c>
      <c r="AB938" s="804"/>
      <c r="AC938" s="811" t="str">
        <f t="shared" ca="1" si="754"/>
        <v>-----</v>
      </c>
      <c r="AD938" s="798"/>
      <c r="AE938" s="794" t="str">
        <f t="shared" ca="1" si="755"/>
        <v>-</v>
      </c>
      <c r="AF938" s="798" t="str">
        <f t="shared" si="756"/>
        <v>-</v>
      </c>
      <c r="AG938" s="812" t="str">
        <f t="shared" si="757"/>
        <v>---------</v>
      </c>
      <c r="AH938" s="807"/>
      <c r="AI938" s="807" t="str">
        <f t="shared" si="758"/>
        <v>-</v>
      </c>
      <c r="AJ938" s="807" t="str">
        <f t="shared" si="759"/>
        <v>-</v>
      </c>
      <c r="AK938" s="813"/>
      <c r="AL938" s="807" t="str">
        <f t="shared" si="760"/>
        <v>-</v>
      </c>
      <c r="AM938" s="807" t="str">
        <f t="shared" si="761"/>
        <v>-</v>
      </c>
      <c r="AN938" s="814" t="str">
        <f t="shared" ca="1" si="762"/>
        <v>-</v>
      </c>
      <c r="AO938" s="815">
        <v>1</v>
      </c>
      <c r="AP938" s="816" t="str">
        <f t="shared" ca="1" si="763"/>
        <v>-</v>
      </c>
      <c r="AQ938" s="817"/>
      <c r="AR938" s="794" t="str">
        <f t="shared" si="764"/>
        <v>-</v>
      </c>
      <c r="AS938" s="818"/>
      <c r="AT938" s="794" t="str">
        <f t="shared" si="765"/>
        <v>-</v>
      </c>
      <c r="AU938" s="819"/>
      <c r="AV938" s="865"/>
      <c r="AW938" s="821"/>
      <c r="AX938" s="821"/>
      <c r="AY938" s="969" t="str">
        <f t="shared" si="766"/>
        <v>-</v>
      </c>
      <c r="AZ938" s="966" t="str">
        <f t="shared" si="767"/>
        <v>-</v>
      </c>
      <c r="BA938" s="971" t="str">
        <f t="shared" si="768"/>
        <v>-</v>
      </c>
      <c r="BB938" s="975"/>
      <c r="BC938" s="821"/>
      <c r="BD938" s="821"/>
      <c r="BE938" s="963" t="str">
        <f t="shared" si="769"/>
        <v>-</v>
      </c>
      <c r="BF938" s="984"/>
      <c r="BG938" s="988"/>
      <c r="BH938" s="982"/>
      <c r="BI938" s="991"/>
      <c r="BJ938" s="991"/>
      <c r="BK938" s="993" t="str">
        <f t="shared" si="770"/>
        <v>-</v>
      </c>
      <c r="BL938" s="865"/>
      <c r="BM938" s="821"/>
      <c r="BN938" s="822" t="str">
        <f t="shared" si="771"/>
        <v>-</v>
      </c>
      <c r="BO938" s="823" t="str">
        <f t="shared" si="772"/>
        <v>-</v>
      </c>
      <c r="BP938" s="868"/>
      <c r="BQ938" s="821"/>
      <c r="BR938" s="822" t="str">
        <f t="shared" si="773"/>
        <v>-</v>
      </c>
      <c r="BS938" s="823" t="str">
        <f t="shared" si="774"/>
        <v>-</v>
      </c>
      <c r="BT938" s="825" t="str">
        <f t="shared" ca="1" si="775"/>
        <v>-</v>
      </c>
      <c r="BU938" s="860">
        <v>42913</v>
      </c>
      <c r="BV938" s="827">
        <v>2</v>
      </c>
      <c r="BW938" s="828">
        <f t="shared" si="776"/>
        <v>10</v>
      </c>
      <c r="BX938" s="829">
        <f t="shared" ca="1" si="777"/>
        <v>221</v>
      </c>
      <c r="BY938" s="830" t="str">
        <f t="shared" ca="1" si="778"/>
        <v>-</v>
      </c>
      <c r="BZ938" s="831">
        <v>42988</v>
      </c>
      <c r="CA938" s="832">
        <v>5</v>
      </c>
      <c r="CB938" s="833">
        <f t="shared" ca="1" si="779"/>
        <v>146</v>
      </c>
      <c r="CC938" s="834" t="str">
        <f t="shared" ca="1" si="780"/>
        <v>-</v>
      </c>
      <c r="CD938" s="835">
        <f t="shared" si="781"/>
        <v>43009</v>
      </c>
      <c r="CE938" s="831">
        <v>43009</v>
      </c>
      <c r="CF938" s="832">
        <v>5</v>
      </c>
      <c r="CG938" s="833">
        <f t="shared" ca="1" si="782"/>
        <v>125</v>
      </c>
      <c r="CH938" s="836">
        <f t="shared" si="783"/>
        <v>0</v>
      </c>
      <c r="CI938" s="837" t="str">
        <f t="shared" si="784"/>
        <v>УСПЕШНО</v>
      </c>
      <c r="CJ938" s="838" t="str">
        <f t="shared" ca="1" si="785"/>
        <v>-</v>
      </c>
      <c r="CK938" s="831"/>
      <c r="CL938" s="832"/>
      <c r="CM938" s="833" t="str">
        <f t="shared" si="786"/>
        <v>-</v>
      </c>
      <c r="CN938" s="834" t="str">
        <f t="shared" si="787"/>
        <v>-</v>
      </c>
      <c r="CO938" s="830" t="str">
        <f t="shared" ca="1" si="788"/>
        <v>-</v>
      </c>
      <c r="CP938" s="839"/>
      <c r="CQ938" s="832"/>
      <c r="CR938" s="833" t="str">
        <f t="shared" si="789"/>
        <v>-</v>
      </c>
      <c r="CS938" s="833" t="str">
        <f t="shared" si="790"/>
        <v>-</v>
      </c>
      <c r="CT938" s="834" t="str">
        <f t="shared" si="791"/>
        <v>-</v>
      </c>
      <c r="CU938" s="835" t="str">
        <f t="shared" si="792"/>
        <v>-</v>
      </c>
      <c r="CV938" s="839"/>
      <c r="CW938" s="832"/>
      <c r="CX938" s="833" t="str">
        <f t="shared" si="793"/>
        <v>-</v>
      </c>
      <c r="CY938" s="840" t="str">
        <f t="shared" si="794"/>
        <v>-</v>
      </c>
      <c r="CZ938" s="833" t="str">
        <f t="shared" si="795"/>
        <v>-</v>
      </c>
      <c r="DA938" s="838" t="str">
        <f t="shared" ca="1" si="796"/>
        <v>-</v>
      </c>
      <c r="DB938" s="841"/>
      <c r="DC938" s="832"/>
    </row>
    <row r="939" spans="1:107" x14ac:dyDescent="0.25">
      <c r="A939" s="790">
        <v>943</v>
      </c>
      <c r="B939" s="791">
        <f t="shared" ca="1" si="745"/>
        <v>43134</v>
      </c>
      <c r="C939" s="29" t="s">
        <v>2585</v>
      </c>
      <c r="D939" s="59" t="s">
        <v>2586</v>
      </c>
      <c r="E939" s="794" t="s">
        <v>1563</v>
      </c>
      <c r="F939" s="795" t="s">
        <v>2873</v>
      </c>
      <c r="G939" s="845"/>
      <c r="H939" s="797" t="s">
        <v>603</v>
      </c>
      <c r="I939" s="798">
        <v>42907</v>
      </c>
      <c r="J939" s="799">
        <f t="shared" ca="1" si="746"/>
        <v>0.62191780821917808</v>
      </c>
      <c r="K939" s="799">
        <f t="shared" ca="1" si="747"/>
        <v>7.5666666666666664</v>
      </c>
      <c r="L939" s="800">
        <f t="shared" ca="1" si="748"/>
        <v>227</v>
      </c>
      <c r="M939" s="801"/>
      <c r="N939" s="802"/>
      <c r="O939" s="803" t="str">
        <f t="shared" ca="1" si="749"/>
        <v>-</v>
      </c>
      <c r="P939" s="804"/>
      <c r="Q939" s="805"/>
      <c r="R939" s="806"/>
      <c r="S939" s="807"/>
      <c r="T939" s="798"/>
      <c r="U939" s="798" t="str">
        <f t="shared" si="750"/>
        <v>-</v>
      </c>
      <c r="V939" s="804" t="str">
        <f t="shared" ca="1" si="751"/>
        <v>-</v>
      </c>
      <c r="W939" s="808">
        <v>0</v>
      </c>
      <c r="X939" s="794" t="str">
        <f t="shared" si="744"/>
        <v>-</v>
      </c>
      <c r="Y939" s="794">
        <v>0</v>
      </c>
      <c r="Z939" s="809" t="str">
        <f t="shared" ca="1" si="752"/>
        <v>-----</v>
      </c>
      <c r="AA939" s="810">
        <f t="shared" ca="1" si="753"/>
        <v>43134</v>
      </c>
      <c r="AB939" s="804"/>
      <c r="AC939" s="811" t="str">
        <f t="shared" ca="1" si="754"/>
        <v>-----</v>
      </c>
      <c r="AD939" s="798"/>
      <c r="AE939" s="794" t="str">
        <f t="shared" ca="1" si="755"/>
        <v>-</v>
      </c>
      <c r="AF939" s="798" t="str">
        <f t="shared" si="756"/>
        <v>-</v>
      </c>
      <c r="AG939" s="812" t="str">
        <f t="shared" si="757"/>
        <v>---------</v>
      </c>
      <c r="AH939" s="807"/>
      <c r="AI939" s="807" t="str">
        <f t="shared" si="758"/>
        <v>-</v>
      </c>
      <c r="AJ939" s="807" t="str">
        <f t="shared" si="759"/>
        <v>-</v>
      </c>
      <c r="AK939" s="813"/>
      <c r="AL939" s="807" t="str">
        <f t="shared" si="760"/>
        <v>-</v>
      </c>
      <c r="AM939" s="807" t="str">
        <f t="shared" si="761"/>
        <v>-</v>
      </c>
      <c r="AN939" s="814" t="str">
        <f t="shared" ca="1" si="762"/>
        <v>-</v>
      </c>
      <c r="AO939" s="815">
        <v>1</v>
      </c>
      <c r="AP939" s="816" t="str">
        <f t="shared" ca="1" si="763"/>
        <v>-</v>
      </c>
      <c r="AQ939" s="817"/>
      <c r="AR939" s="794" t="str">
        <f t="shared" si="764"/>
        <v>-</v>
      </c>
      <c r="AS939" s="818"/>
      <c r="AT939" s="794" t="str">
        <f t="shared" si="765"/>
        <v>-</v>
      </c>
      <c r="AU939" s="819"/>
      <c r="AV939" s="865"/>
      <c r="AW939" s="821"/>
      <c r="AX939" s="821"/>
      <c r="AY939" s="969" t="str">
        <f t="shared" si="766"/>
        <v>-</v>
      </c>
      <c r="AZ939" s="966" t="str">
        <f t="shared" si="767"/>
        <v>-</v>
      </c>
      <c r="BA939" s="971" t="str">
        <f t="shared" si="768"/>
        <v>-</v>
      </c>
      <c r="BB939" s="975"/>
      <c r="BC939" s="821"/>
      <c r="BD939" s="821"/>
      <c r="BE939" s="963" t="str">
        <f t="shared" si="769"/>
        <v>-</v>
      </c>
      <c r="BF939" s="984"/>
      <c r="BG939" s="988"/>
      <c r="BH939" s="982"/>
      <c r="BI939" s="991"/>
      <c r="BJ939" s="991"/>
      <c r="BK939" s="993" t="str">
        <f t="shared" si="770"/>
        <v>-</v>
      </c>
      <c r="BL939" s="865"/>
      <c r="BM939" s="821"/>
      <c r="BN939" s="822" t="str">
        <f t="shared" si="771"/>
        <v>-</v>
      </c>
      <c r="BO939" s="823" t="str">
        <f t="shared" si="772"/>
        <v>-</v>
      </c>
      <c r="BP939" s="868"/>
      <c r="BQ939" s="821"/>
      <c r="BR939" s="822" t="str">
        <f t="shared" si="773"/>
        <v>-</v>
      </c>
      <c r="BS939" s="823" t="str">
        <f t="shared" si="774"/>
        <v>-</v>
      </c>
      <c r="BT939" s="825" t="str">
        <f t="shared" ca="1" si="775"/>
        <v>-</v>
      </c>
      <c r="BU939" s="860">
        <v>42913</v>
      </c>
      <c r="BV939" s="827">
        <v>2</v>
      </c>
      <c r="BW939" s="828">
        <f t="shared" si="776"/>
        <v>6</v>
      </c>
      <c r="BX939" s="829">
        <f t="shared" ca="1" si="777"/>
        <v>221</v>
      </c>
      <c r="BY939" s="830" t="str">
        <f t="shared" ca="1" si="778"/>
        <v>-</v>
      </c>
      <c r="BZ939" s="831">
        <v>42988</v>
      </c>
      <c r="CA939" s="832">
        <v>5</v>
      </c>
      <c r="CB939" s="833">
        <f t="shared" ca="1" si="779"/>
        <v>146</v>
      </c>
      <c r="CC939" s="834" t="str">
        <f t="shared" ca="1" si="780"/>
        <v>-</v>
      </c>
      <c r="CD939" s="835">
        <f t="shared" si="781"/>
        <v>43009</v>
      </c>
      <c r="CE939" s="831">
        <v>43009</v>
      </c>
      <c r="CF939" s="832">
        <v>5</v>
      </c>
      <c r="CG939" s="833">
        <f t="shared" ca="1" si="782"/>
        <v>125</v>
      </c>
      <c r="CH939" s="836">
        <f t="shared" si="783"/>
        <v>0</v>
      </c>
      <c r="CI939" s="837" t="str">
        <f t="shared" si="784"/>
        <v>УСПЕШНО</v>
      </c>
      <c r="CJ939" s="838" t="str">
        <f t="shared" ca="1" si="785"/>
        <v>-</v>
      </c>
      <c r="CK939" s="831"/>
      <c r="CL939" s="832"/>
      <c r="CM939" s="833" t="str">
        <f t="shared" si="786"/>
        <v>-</v>
      </c>
      <c r="CN939" s="834" t="str">
        <f t="shared" si="787"/>
        <v>-</v>
      </c>
      <c r="CO939" s="830" t="str">
        <f t="shared" ca="1" si="788"/>
        <v>-</v>
      </c>
      <c r="CP939" s="839"/>
      <c r="CQ939" s="832"/>
      <c r="CR939" s="833" t="str">
        <f t="shared" si="789"/>
        <v>-</v>
      </c>
      <c r="CS939" s="833" t="str">
        <f t="shared" si="790"/>
        <v>-</v>
      </c>
      <c r="CT939" s="834" t="str">
        <f t="shared" si="791"/>
        <v>-</v>
      </c>
      <c r="CU939" s="835" t="str">
        <f t="shared" si="792"/>
        <v>-</v>
      </c>
      <c r="CV939" s="839"/>
      <c r="CW939" s="832"/>
      <c r="CX939" s="833" t="str">
        <f t="shared" si="793"/>
        <v>-</v>
      </c>
      <c r="CY939" s="840" t="str">
        <f t="shared" si="794"/>
        <v>-</v>
      </c>
      <c r="CZ939" s="833" t="str">
        <f t="shared" si="795"/>
        <v>-</v>
      </c>
      <c r="DA939" s="838" t="str">
        <f t="shared" ca="1" si="796"/>
        <v>-</v>
      </c>
      <c r="DB939" s="841"/>
      <c r="DC939" s="832"/>
    </row>
    <row r="940" spans="1:107" x14ac:dyDescent="0.25">
      <c r="A940" s="790">
        <v>944</v>
      </c>
      <c r="B940" s="791">
        <f t="shared" ca="1" si="745"/>
        <v>43134</v>
      </c>
      <c r="C940" s="29" t="s">
        <v>2585</v>
      </c>
      <c r="D940" s="59" t="s">
        <v>2586</v>
      </c>
      <c r="E940" s="794" t="s">
        <v>1563</v>
      </c>
      <c r="F940" s="795" t="s">
        <v>2874</v>
      </c>
      <c r="G940" s="845"/>
      <c r="H940" s="797" t="s">
        <v>603</v>
      </c>
      <c r="I940" s="798">
        <v>42907</v>
      </c>
      <c r="J940" s="799">
        <f t="shared" ca="1" si="746"/>
        <v>0.62191780821917808</v>
      </c>
      <c r="K940" s="799">
        <f t="shared" ca="1" si="747"/>
        <v>7.5666666666666664</v>
      </c>
      <c r="L940" s="800">
        <f t="shared" ca="1" si="748"/>
        <v>227</v>
      </c>
      <c r="M940" s="801"/>
      <c r="N940" s="802"/>
      <c r="O940" s="803" t="str">
        <f t="shared" ca="1" si="749"/>
        <v>-</v>
      </c>
      <c r="P940" s="804"/>
      <c r="Q940" s="805"/>
      <c r="R940" s="806"/>
      <c r="S940" s="807"/>
      <c r="T940" s="798"/>
      <c r="U940" s="798" t="str">
        <f t="shared" si="750"/>
        <v>-</v>
      </c>
      <c r="V940" s="804" t="str">
        <f t="shared" ca="1" si="751"/>
        <v>-</v>
      </c>
      <c r="W940" s="808">
        <v>0</v>
      </c>
      <c r="X940" s="794" t="str">
        <f t="shared" si="744"/>
        <v>-</v>
      </c>
      <c r="Y940" s="794">
        <v>0</v>
      </c>
      <c r="Z940" s="809" t="str">
        <f t="shared" ca="1" si="752"/>
        <v>-----</v>
      </c>
      <c r="AA940" s="810">
        <f t="shared" ca="1" si="753"/>
        <v>43134</v>
      </c>
      <c r="AB940" s="804"/>
      <c r="AC940" s="811" t="str">
        <f t="shared" ca="1" si="754"/>
        <v>-----</v>
      </c>
      <c r="AD940" s="798"/>
      <c r="AE940" s="794" t="str">
        <f t="shared" ca="1" si="755"/>
        <v>-</v>
      </c>
      <c r="AF940" s="798" t="str">
        <f t="shared" si="756"/>
        <v>-</v>
      </c>
      <c r="AG940" s="812" t="str">
        <f t="shared" si="757"/>
        <v>---------</v>
      </c>
      <c r="AH940" s="807"/>
      <c r="AI940" s="807" t="str">
        <f t="shared" si="758"/>
        <v>-</v>
      </c>
      <c r="AJ940" s="807" t="str">
        <f t="shared" si="759"/>
        <v>-</v>
      </c>
      <c r="AK940" s="813"/>
      <c r="AL940" s="807" t="str">
        <f t="shared" si="760"/>
        <v>-</v>
      </c>
      <c r="AM940" s="807" t="str">
        <f t="shared" si="761"/>
        <v>-</v>
      </c>
      <c r="AN940" s="814" t="str">
        <f t="shared" ca="1" si="762"/>
        <v>-</v>
      </c>
      <c r="AO940" s="815">
        <v>1</v>
      </c>
      <c r="AP940" s="816" t="str">
        <f t="shared" ca="1" si="763"/>
        <v>-</v>
      </c>
      <c r="AQ940" s="817"/>
      <c r="AR940" s="794" t="str">
        <f t="shared" si="764"/>
        <v>-</v>
      </c>
      <c r="AS940" s="818"/>
      <c r="AT940" s="794" t="str">
        <f t="shared" si="765"/>
        <v>-</v>
      </c>
      <c r="AU940" s="819"/>
      <c r="AV940" s="865"/>
      <c r="AW940" s="821"/>
      <c r="AX940" s="821"/>
      <c r="AY940" s="969" t="str">
        <f t="shared" si="766"/>
        <v>-</v>
      </c>
      <c r="AZ940" s="966" t="str">
        <f t="shared" si="767"/>
        <v>-</v>
      </c>
      <c r="BA940" s="971" t="str">
        <f t="shared" si="768"/>
        <v>-</v>
      </c>
      <c r="BB940" s="975"/>
      <c r="BC940" s="821"/>
      <c r="BD940" s="821"/>
      <c r="BE940" s="963" t="str">
        <f t="shared" si="769"/>
        <v>-</v>
      </c>
      <c r="BF940" s="984"/>
      <c r="BG940" s="988"/>
      <c r="BH940" s="982"/>
      <c r="BI940" s="991"/>
      <c r="BJ940" s="991"/>
      <c r="BK940" s="993" t="str">
        <f t="shared" si="770"/>
        <v>-</v>
      </c>
      <c r="BL940" s="865"/>
      <c r="BM940" s="821"/>
      <c r="BN940" s="822" t="str">
        <f t="shared" si="771"/>
        <v>-</v>
      </c>
      <c r="BO940" s="823" t="str">
        <f t="shared" si="772"/>
        <v>-</v>
      </c>
      <c r="BP940" s="868"/>
      <c r="BQ940" s="821"/>
      <c r="BR940" s="822" t="str">
        <f t="shared" si="773"/>
        <v>-</v>
      </c>
      <c r="BS940" s="823" t="str">
        <f t="shared" si="774"/>
        <v>-</v>
      </c>
      <c r="BT940" s="825" t="str">
        <f t="shared" ca="1" si="775"/>
        <v>-</v>
      </c>
      <c r="BU940" s="860">
        <v>42913</v>
      </c>
      <c r="BV940" s="827">
        <v>2</v>
      </c>
      <c r="BW940" s="828">
        <f t="shared" si="776"/>
        <v>6</v>
      </c>
      <c r="BX940" s="829">
        <f t="shared" ca="1" si="777"/>
        <v>221</v>
      </c>
      <c r="BY940" s="830" t="str">
        <f t="shared" ca="1" si="778"/>
        <v>-</v>
      </c>
      <c r="BZ940" s="831">
        <v>42988</v>
      </c>
      <c r="CA940" s="832">
        <v>5</v>
      </c>
      <c r="CB940" s="833">
        <f t="shared" ca="1" si="779"/>
        <v>146</v>
      </c>
      <c r="CC940" s="834" t="str">
        <f t="shared" ca="1" si="780"/>
        <v>-</v>
      </c>
      <c r="CD940" s="835">
        <f t="shared" si="781"/>
        <v>43009</v>
      </c>
      <c r="CE940" s="831">
        <v>43009</v>
      </c>
      <c r="CF940" s="832">
        <v>5</v>
      </c>
      <c r="CG940" s="833">
        <f t="shared" ca="1" si="782"/>
        <v>125</v>
      </c>
      <c r="CH940" s="836">
        <f t="shared" si="783"/>
        <v>0</v>
      </c>
      <c r="CI940" s="837" t="str">
        <f t="shared" si="784"/>
        <v>УСПЕШНО</v>
      </c>
      <c r="CJ940" s="838" t="str">
        <f t="shared" ca="1" si="785"/>
        <v>-</v>
      </c>
      <c r="CK940" s="831"/>
      <c r="CL940" s="832"/>
      <c r="CM940" s="833" t="str">
        <f t="shared" si="786"/>
        <v>-</v>
      </c>
      <c r="CN940" s="834" t="str">
        <f t="shared" si="787"/>
        <v>-</v>
      </c>
      <c r="CO940" s="830" t="str">
        <f t="shared" ca="1" si="788"/>
        <v>-</v>
      </c>
      <c r="CP940" s="839"/>
      <c r="CQ940" s="832"/>
      <c r="CR940" s="833" t="str">
        <f t="shared" si="789"/>
        <v>-</v>
      </c>
      <c r="CS940" s="833" t="str">
        <f t="shared" si="790"/>
        <v>-</v>
      </c>
      <c r="CT940" s="834" t="str">
        <f t="shared" si="791"/>
        <v>-</v>
      </c>
      <c r="CU940" s="835" t="str">
        <f t="shared" si="792"/>
        <v>-</v>
      </c>
      <c r="CV940" s="839"/>
      <c r="CW940" s="832"/>
      <c r="CX940" s="833" t="str">
        <f t="shared" si="793"/>
        <v>-</v>
      </c>
      <c r="CY940" s="840" t="str">
        <f t="shared" si="794"/>
        <v>-</v>
      </c>
      <c r="CZ940" s="833" t="str">
        <f t="shared" si="795"/>
        <v>-</v>
      </c>
      <c r="DA940" s="838" t="str">
        <f t="shared" ca="1" si="796"/>
        <v>-</v>
      </c>
      <c r="DB940" s="841"/>
      <c r="DC940" s="832"/>
    </row>
    <row r="941" spans="1:107" x14ac:dyDescent="0.25">
      <c r="A941" s="790">
        <v>945</v>
      </c>
      <c r="B941" s="791">
        <f t="shared" ca="1" si="745"/>
        <v>43134</v>
      </c>
      <c r="C941" s="29" t="s">
        <v>2585</v>
      </c>
      <c r="D941" s="59" t="s">
        <v>2586</v>
      </c>
      <c r="E941" s="794" t="s">
        <v>1563</v>
      </c>
      <c r="F941" s="795" t="s">
        <v>2876</v>
      </c>
      <c r="G941" s="845"/>
      <c r="H941" s="797" t="s">
        <v>603</v>
      </c>
      <c r="I941" s="798">
        <v>42907</v>
      </c>
      <c r="J941" s="799">
        <f t="shared" ca="1" si="746"/>
        <v>0.62191780821917808</v>
      </c>
      <c r="K941" s="799">
        <f t="shared" ca="1" si="747"/>
        <v>7.5666666666666664</v>
      </c>
      <c r="L941" s="800">
        <f t="shared" ca="1" si="748"/>
        <v>227</v>
      </c>
      <c r="M941" s="801"/>
      <c r="N941" s="802"/>
      <c r="O941" s="803" t="str">
        <f t="shared" ca="1" si="749"/>
        <v>-</v>
      </c>
      <c r="P941" s="804"/>
      <c r="Q941" s="805"/>
      <c r="R941" s="806"/>
      <c r="S941" s="807"/>
      <c r="T941" s="798"/>
      <c r="U941" s="798" t="str">
        <f t="shared" si="750"/>
        <v>-</v>
      </c>
      <c r="V941" s="804" t="str">
        <f t="shared" ca="1" si="751"/>
        <v>-</v>
      </c>
      <c r="W941" s="808">
        <v>0</v>
      </c>
      <c r="X941" s="794" t="str">
        <f t="shared" si="744"/>
        <v>-</v>
      </c>
      <c r="Y941" s="794">
        <v>0</v>
      </c>
      <c r="Z941" s="809" t="str">
        <f t="shared" ca="1" si="752"/>
        <v>-----</v>
      </c>
      <c r="AA941" s="810">
        <f t="shared" ca="1" si="753"/>
        <v>43134</v>
      </c>
      <c r="AB941" s="804"/>
      <c r="AC941" s="811" t="str">
        <f t="shared" ca="1" si="754"/>
        <v>-----</v>
      </c>
      <c r="AD941" s="798"/>
      <c r="AE941" s="794" t="str">
        <f t="shared" ca="1" si="755"/>
        <v>-</v>
      </c>
      <c r="AF941" s="798" t="str">
        <f t="shared" si="756"/>
        <v>-</v>
      </c>
      <c r="AG941" s="812" t="str">
        <f t="shared" si="757"/>
        <v>---------</v>
      </c>
      <c r="AH941" s="807"/>
      <c r="AI941" s="807" t="str">
        <f t="shared" si="758"/>
        <v>-</v>
      </c>
      <c r="AJ941" s="807" t="str">
        <f t="shared" si="759"/>
        <v>-</v>
      </c>
      <c r="AK941" s="813"/>
      <c r="AL941" s="807" t="str">
        <f t="shared" si="760"/>
        <v>-</v>
      </c>
      <c r="AM941" s="807" t="str">
        <f t="shared" si="761"/>
        <v>-</v>
      </c>
      <c r="AN941" s="814" t="str">
        <f t="shared" ca="1" si="762"/>
        <v>-</v>
      </c>
      <c r="AO941" s="815">
        <v>1</v>
      </c>
      <c r="AP941" s="816" t="str">
        <f t="shared" ca="1" si="763"/>
        <v>-</v>
      </c>
      <c r="AQ941" s="817"/>
      <c r="AR941" s="794" t="str">
        <f t="shared" si="764"/>
        <v>-</v>
      </c>
      <c r="AS941" s="818"/>
      <c r="AT941" s="794" t="str">
        <f t="shared" si="765"/>
        <v>-</v>
      </c>
      <c r="AU941" s="819"/>
      <c r="AV941" s="865"/>
      <c r="AW941" s="821"/>
      <c r="AX941" s="821"/>
      <c r="AY941" s="969" t="str">
        <f t="shared" si="766"/>
        <v>-</v>
      </c>
      <c r="AZ941" s="966" t="str">
        <f t="shared" si="767"/>
        <v>-</v>
      </c>
      <c r="BA941" s="971" t="str">
        <f t="shared" si="768"/>
        <v>-</v>
      </c>
      <c r="BB941" s="975"/>
      <c r="BC941" s="821"/>
      <c r="BD941" s="821"/>
      <c r="BE941" s="963" t="str">
        <f t="shared" si="769"/>
        <v>-</v>
      </c>
      <c r="BF941" s="984"/>
      <c r="BG941" s="988"/>
      <c r="BH941" s="982"/>
      <c r="BI941" s="991"/>
      <c r="BJ941" s="991"/>
      <c r="BK941" s="993" t="str">
        <f t="shared" si="770"/>
        <v>-</v>
      </c>
      <c r="BL941" s="865"/>
      <c r="BM941" s="821"/>
      <c r="BN941" s="822" t="str">
        <f t="shared" si="771"/>
        <v>-</v>
      </c>
      <c r="BO941" s="823" t="str">
        <f t="shared" si="772"/>
        <v>-</v>
      </c>
      <c r="BP941" s="868"/>
      <c r="BQ941" s="821"/>
      <c r="BR941" s="822" t="str">
        <f t="shared" si="773"/>
        <v>-</v>
      </c>
      <c r="BS941" s="823" t="str">
        <f t="shared" si="774"/>
        <v>-</v>
      </c>
      <c r="BT941" s="825" t="str">
        <f t="shared" ca="1" si="775"/>
        <v>-</v>
      </c>
      <c r="BU941" s="860">
        <v>42913</v>
      </c>
      <c r="BV941" s="827">
        <v>2</v>
      </c>
      <c r="BW941" s="828">
        <f t="shared" si="776"/>
        <v>6</v>
      </c>
      <c r="BX941" s="829">
        <f t="shared" ca="1" si="777"/>
        <v>221</v>
      </c>
      <c r="BY941" s="830" t="str">
        <f t="shared" ca="1" si="778"/>
        <v>-</v>
      </c>
      <c r="BZ941" s="831">
        <v>42988</v>
      </c>
      <c r="CA941" s="832">
        <v>5</v>
      </c>
      <c r="CB941" s="833">
        <f t="shared" ca="1" si="779"/>
        <v>146</v>
      </c>
      <c r="CC941" s="834" t="str">
        <f t="shared" ca="1" si="780"/>
        <v>-</v>
      </c>
      <c r="CD941" s="835">
        <f t="shared" si="781"/>
        <v>43009</v>
      </c>
      <c r="CE941" s="831">
        <v>43009</v>
      </c>
      <c r="CF941" s="832">
        <v>5</v>
      </c>
      <c r="CG941" s="833">
        <f t="shared" ca="1" si="782"/>
        <v>125</v>
      </c>
      <c r="CH941" s="836">
        <f t="shared" si="783"/>
        <v>0</v>
      </c>
      <c r="CI941" s="837" t="str">
        <f t="shared" si="784"/>
        <v>УСПЕШНО</v>
      </c>
      <c r="CJ941" s="838" t="str">
        <f t="shared" ca="1" si="785"/>
        <v>-</v>
      </c>
      <c r="CK941" s="831"/>
      <c r="CL941" s="832"/>
      <c r="CM941" s="833" t="str">
        <f t="shared" si="786"/>
        <v>-</v>
      </c>
      <c r="CN941" s="834" t="str">
        <f t="shared" si="787"/>
        <v>-</v>
      </c>
      <c r="CO941" s="830" t="str">
        <f t="shared" ca="1" si="788"/>
        <v>-</v>
      </c>
      <c r="CP941" s="839"/>
      <c r="CQ941" s="832"/>
      <c r="CR941" s="833" t="str">
        <f t="shared" si="789"/>
        <v>-</v>
      </c>
      <c r="CS941" s="833" t="str">
        <f t="shared" si="790"/>
        <v>-</v>
      </c>
      <c r="CT941" s="834" t="str">
        <f t="shared" si="791"/>
        <v>-</v>
      </c>
      <c r="CU941" s="835" t="str">
        <f t="shared" si="792"/>
        <v>-</v>
      </c>
      <c r="CV941" s="839"/>
      <c r="CW941" s="832"/>
      <c r="CX941" s="833" t="str">
        <f t="shared" si="793"/>
        <v>-</v>
      </c>
      <c r="CY941" s="840" t="str">
        <f t="shared" si="794"/>
        <v>-</v>
      </c>
      <c r="CZ941" s="833" t="str">
        <f t="shared" si="795"/>
        <v>-</v>
      </c>
      <c r="DA941" s="838" t="str">
        <f t="shared" ca="1" si="796"/>
        <v>-</v>
      </c>
      <c r="DB941" s="841"/>
      <c r="DC941" s="832"/>
    </row>
    <row r="942" spans="1:107" x14ac:dyDescent="0.25">
      <c r="A942" s="790">
        <v>946</v>
      </c>
      <c r="B942" s="791">
        <f t="shared" ca="1" si="745"/>
        <v>43134</v>
      </c>
      <c r="C942" s="29" t="s">
        <v>2585</v>
      </c>
      <c r="D942" s="59" t="s">
        <v>2586</v>
      </c>
      <c r="E942" s="794" t="s">
        <v>1563</v>
      </c>
      <c r="F942" s="795" t="s">
        <v>2884</v>
      </c>
      <c r="G942" s="845"/>
      <c r="H942" s="797" t="s">
        <v>603</v>
      </c>
      <c r="I942" s="798">
        <v>42911</v>
      </c>
      <c r="J942" s="799">
        <f t="shared" ca="1" si="746"/>
        <v>0.61095890410958908</v>
      </c>
      <c r="K942" s="799">
        <f t="shared" ca="1" si="747"/>
        <v>7.4333333333333336</v>
      </c>
      <c r="L942" s="800">
        <f t="shared" ca="1" si="748"/>
        <v>223</v>
      </c>
      <c r="M942" s="801"/>
      <c r="N942" s="802"/>
      <c r="O942" s="803" t="str">
        <f t="shared" ca="1" si="749"/>
        <v>-</v>
      </c>
      <c r="P942" s="804"/>
      <c r="Q942" s="805"/>
      <c r="R942" s="806"/>
      <c r="S942" s="807"/>
      <c r="T942" s="798"/>
      <c r="U942" s="798" t="str">
        <f t="shared" si="750"/>
        <v>-</v>
      </c>
      <c r="V942" s="804" t="str">
        <f t="shared" ca="1" si="751"/>
        <v>-</v>
      </c>
      <c r="W942" s="808">
        <v>0</v>
      </c>
      <c r="X942" s="794" t="str">
        <f t="shared" si="744"/>
        <v>-</v>
      </c>
      <c r="Y942" s="794">
        <v>0</v>
      </c>
      <c r="Z942" s="809" t="str">
        <f t="shared" ca="1" si="752"/>
        <v>-----</v>
      </c>
      <c r="AA942" s="810">
        <f t="shared" ca="1" si="753"/>
        <v>43134</v>
      </c>
      <c r="AB942" s="804"/>
      <c r="AC942" s="811" t="str">
        <f t="shared" ca="1" si="754"/>
        <v>-----</v>
      </c>
      <c r="AD942" s="798"/>
      <c r="AE942" s="794" t="str">
        <f t="shared" ca="1" si="755"/>
        <v>-</v>
      </c>
      <c r="AF942" s="798" t="str">
        <f t="shared" si="756"/>
        <v>-</v>
      </c>
      <c r="AG942" s="812" t="str">
        <f t="shared" si="757"/>
        <v>---------</v>
      </c>
      <c r="AH942" s="807"/>
      <c r="AI942" s="807" t="str">
        <f t="shared" si="758"/>
        <v>-</v>
      </c>
      <c r="AJ942" s="807" t="str">
        <f t="shared" si="759"/>
        <v>-</v>
      </c>
      <c r="AK942" s="813"/>
      <c r="AL942" s="807" t="str">
        <f t="shared" si="760"/>
        <v>-</v>
      </c>
      <c r="AM942" s="807" t="str">
        <f t="shared" si="761"/>
        <v>-</v>
      </c>
      <c r="AN942" s="814" t="str">
        <f t="shared" ca="1" si="762"/>
        <v>-</v>
      </c>
      <c r="AO942" s="815">
        <v>1</v>
      </c>
      <c r="AP942" s="816" t="str">
        <f t="shared" ca="1" si="763"/>
        <v>-</v>
      </c>
      <c r="AQ942" s="817"/>
      <c r="AR942" s="794" t="str">
        <f t="shared" si="764"/>
        <v>-</v>
      </c>
      <c r="AS942" s="818"/>
      <c r="AT942" s="794" t="str">
        <f t="shared" si="765"/>
        <v>-</v>
      </c>
      <c r="AU942" s="819"/>
      <c r="AV942" s="865"/>
      <c r="AW942" s="821"/>
      <c r="AX942" s="821"/>
      <c r="AY942" s="969" t="str">
        <f t="shared" si="766"/>
        <v>-</v>
      </c>
      <c r="AZ942" s="966" t="str">
        <f t="shared" si="767"/>
        <v>-</v>
      </c>
      <c r="BA942" s="971" t="str">
        <f t="shared" si="768"/>
        <v>-</v>
      </c>
      <c r="BB942" s="975"/>
      <c r="BC942" s="821"/>
      <c r="BD942" s="821"/>
      <c r="BE942" s="963" t="str">
        <f t="shared" si="769"/>
        <v>-</v>
      </c>
      <c r="BF942" s="984"/>
      <c r="BG942" s="988"/>
      <c r="BH942" s="982"/>
      <c r="BI942" s="991"/>
      <c r="BJ942" s="991"/>
      <c r="BK942" s="993" t="str">
        <f t="shared" si="770"/>
        <v>-</v>
      </c>
      <c r="BL942" s="865"/>
      <c r="BM942" s="821"/>
      <c r="BN942" s="822" t="str">
        <f t="shared" si="771"/>
        <v>-</v>
      </c>
      <c r="BO942" s="823" t="str">
        <f t="shared" si="772"/>
        <v>-</v>
      </c>
      <c r="BP942" s="868"/>
      <c r="BQ942" s="821"/>
      <c r="BR942" s="822" t="str">
        <f t="shared" si="773"/>
        <v>-</v>
      </c>
      <c r="BS942" s="823" t="str">
        <f t="shared" si="774"/>
        <v>-</v>
      </c>
      <c r="BT942" s="825" t="str">
        <f t="shared" ca="1" si="775"/>
        <v>-</v>
      </c>
      <c r="BU942" s="860">
        <v>42913</v>
      </c>
      <c r="BV942" s="827">
        <v>2</v>
      </c>
      <c r="BW942" s="828">
        <f t="shared" si="776"/>
        <v>2</v>
      </c>
      <c r="BX942" s="829">
        <f t="shared" ca="1" si="777"/>
        <v>221</v>
      </c>
      <c r="BY942" s="830" t="str">
        <f t="shared" ca="1" si="778"/>
        <v>-</v>
      </c>
      <c r="BZ942" s="831">
        <v>42988</v>
      </c>
      <c r="CA942" s="832">
        <v>5</v>
      </c>
      <c r="CB942" s="833">
        <f t="shared" ca="1" si="779"/>
        <v>146</v>
      </c>
      <c r="CC942" s="834" t="str">
        <f t="shared" ca="1" si="780"/>
        <v>-</v>
      </c>
      <c r="CD942" s="835">
        <f t="shared" si="781"/>
        <v>43009</v>
      </c>
      <c r="CE942" s="831">
        <v>43009</v>
      </c>
      <c r="CF942" s="832">
        <v>5</v>
      </c>
      <c r="CG942" s="833">
        <f t="shared" ca="1" si="782"/>
        <v>125</v>
      </c>
      <c r="CH942" s="836">
        <f t="shared" si="783"/>
        <v>0</v>
      </c>
      <c r="CI942" s="837" t="str">
        <f t="shared" si="784"/>
        <v>УСПЕШНО</v>
      </c>
      <c r="CJ942" s="838" t="str">
        <f t="shared" ca="1" si="785"/>
        <v>-</v>
      </c>
      <c r="CK942" s="831"/>
      <c r="CL942" s="832"/>
      <c r="CM942" s="833" t="str">
        <f t="shared" si="786"/>
        <v>-</v>
      </c>
      <c r="CN942" s="834" t="str">
        <f t="shared" si="787"/>
        <v>-</v>
      </c>
      <c r="CO942" s="830" t="str">
        <f t="shared" ca="1" si="788"/>
        <v>-</v>
      </c>
      <c r="CP942" s="839"/>
      <c r="CQ942" s="832"/>
      <c r="CR942" s="833" t="str">
        <f t="shared" si="789"/>
        <v>-</v>
      </c>
      <c r="CS942" s="833" t="str">
        <f t="shared" si="790"/>
        <v>-</v>
      </c>
      <c r="CT942" s="834" t="str">
        <f t="shared" si="791"/>
        <v>-</v>
      </c>
      <c r="CU942" s="835" t="str">
        <f t="shared" si="792"/>
        <v>-</v>
      </c>
      <c r="CV942" s="839"/>
      <c r="CW942" s="832"/>
      <c r="CX942" s="833" t="str">
        <f t="shared" si="793"/>
        <v>-</v>
      </c>
      <c r="CY942" s="840" t="str">
        <f t="shared" si="794"/>
        <v>-</v>
      </c>
      <c r="CZ942" s="833" t="str">
        <f t="shared" si="795"/>
        <v>-</v>
      </c>
      <c r="DA942" s="838" t="str">
        <f t="shared" ca="1" si="796"/>
        <v>-</v>
      </c>
      <c r="DB942" s="841"/>
      <c r="DC942" s="832"/>
    </row>
    <row r="943" spans="1:107" x14ac:dyDescent="0.25">
      <c r="A943" s="790">
        <v>947</v>
      </c>
      <c r="B943" s="791">
        <f t="shared" ca="1" si="745"/>
        <v>43134</v>
      </c>
      <c r="C943" s="29" t="s">
        <v>2585</v>
      </c>
      <c r="D943" s="59" t="s">
        <v>2586</v>
      </c>
      <c r="E943" s="794" t="s">
        <v>1563</v>
      </c>
      <c r="F943" s="795" t="s">
        <v>2885</v>
      </c>
      <c r="G943" s="845"/>
      <c r="H943" s="797" t="s">
        <v>603</v>
      </c>
      <c r="I943" s="798">
        <v>42912</v>
      </c>
      <c r="J943" s="799">
        <f t="shared" ca="1" si="746"/>
        <v>0.60821917808219184</v>
      </c>
      <c r="K943" s="799">
        <f t="shared" ca="1" si="747"/>
        <v>7.4</v>
      </c>
      <c r="L943" s="800">
        <f t="shared" ca="1" si="748"/>
        <v>222</v>
      </c>
      <c r="M943" s="801"/>
      <c r="N943" s="802"/>
      <c r="O943" s="803" t="str">
        <f t="shared" ca="1" si="749"/>
        <v>-</v>
      </c>
      <c r="P943" s="804"/>
      <c r="Q943" s="805"/>
      <c r="R943" s="806"/>
      <c r="S943" s="807"/>
      <c r="T943" s="798"/>
      <c r="U943" s="798" t="str">
        <f t="shared" si="750"/>
        <v>-</v>
      </c>
      <c r="V943" s="804" t="str">
        <f t="shared" ca="1" si="751"/>
        <v>-</v>
      </c>
      <c r="W943" s="808">
        <v>0</v>
      </c>
      <c r="X943" s="794" t="str">
        <f t="shared" si="744"/>
        <v>-</v>
      </c>
      <c r="Y943" s="794">
        <v>0</v>
      </c>
      <c r="Z943" s="809" t="str">
        <f t="shared" ca="1" si="752"/>
        <v>-----</v>
      </c>
      <c r="AA943" s="810">
        <f t="shared" ca="1" si="753"/>
        <v>43134</v>
      </c>
      <c r="AB943" s="804"/>
      <c r="AC943" s="811" t="str">
        <f t="shared" ca="1" si="754"/>
        <v>-----</v>
      </c>
      <c r="AD943" s="798"/>
      <c r="AE943" s="794" t="str">
        <f t="shared" ca="1" si="755"/>
        <v>-</v>
      </c>
      <c r="AF943" s="798" t="str">
        <f t="shared" si="756"/>
        <v>-</v>
      </c>
      <c r="AG943" s="812" t="str">
        <f t="shared" si="757"/>
        <v>---------</v>
      </c>
      <c r="AH943" s="807"/>
      <c r="AI943" s="807" t="str">
        <f t="shared" si="758"/>
        <v>-</v>
      </c>
      <c r="AJ943" s="807" t="str">
        <f t="shared" si="759"/>
        <v>-</v>
      </c>
      <c r="AK943" s="813"/>
      <c r="AL943" s="807" t="str">
        <f t="shared" si="760"/>
        <v>-</v>
      </c>
      <c r="AM943" s="807" t="str">
        <f t="shared" si="761"/>
        <v>-</v>
      </c>
      <c r="AN943" s="814" t="str">
        <f t="shared" ca="1" si="762"/>
        <v>-</v>
      </c>
      <c r="AO943" s="815">
        <v>1</v>
      </c>
      <c r="AP943" s="816" t="str">
        <f t="shared" ca="1" si="763"/>
        <v>-</v>
      </c>
      <c r="AQ943" s="817"/>
      <c r="AR943" s="794" t="str">
        <f t="shared" si="764"/>
        <v>-</v>
      </c>
      <c r="AS943" s="818"/>
      <c r="AT943" s="794" t="str">
        <f t="shared" si="765"/>
        <v>-</v>
      </c>
      <c r="AU943" s="819"/>
      <c r="AV943" s="865"/>
      <c r="AW943" s="821"/>
      <c r="AX943" s="821"/>
      <c r="AY943" s="969" t="str">
        <f t="shared" si="766"/>
        <v>-</v>
      </c>
      <c r="AZ943" s="966" t="str">
        <f t="shared" si="767"/>
        <v>-</v>
      </c>
      <c r="BA943" s="971" t="str">
        <f t="shared" si="768"/>
        <v>-</v>
      </c>
      <c r="BB943" s="975"/>
      <c r="BC943" s="821"/>
      <c r="BD943" s="821"/>
      <c r="BE943" s="963" t="str">
        <f t="shared" si="769"/>
        <v>-</v>
      </c>
      <c r="BF943" s="984"/>
      <c r="BG943" s="988"/>
      <c r="BH943" s="982"/>
      <c r="BI943" s="991"/>
      <c r="BJ943" s="991"/>
      <c r="BK943" s="993" t="str">
        <f t="shared" si="770"/>
        <v>-</v>
      </c>
      <c r="BL943" s="865"/>
      <c r="BM943" s="821"/>
      <c r="BN943" s="822" t="str">
        <f t="shared" si="771"/>
        <v>-</v>
      </c>
      <c r="BO943" s="823" t="str">
        <f t="shared" si="772"/>
        <v>-</v>
      </c>
      <c r="BP943" s="868"/>
      <c r="BQ943" s="821"/>
      <c r="BR943" s="822" t="str">
        <f t="shared" si="773"/>
        <v>-</v>
      </c>
      <c r="BS943" s="823" t="str">
        <f t="shared" si="774"/>
        <v>-</v>
      </c>
      <c r="BT943" s="825" t="str">
        <f t="shared" ca="1" si="775"/>
        <v>-</v>
      </c>
      <c r="BU943" s="860">
        <v>42920</v>
      </c>
      <c r="BV943" s="827">
        <v>2</v>
      </c>
      <c r="BW943" s="828">
        <f t="shared" si="776"/>
        <v>8</v>
      </c>
      <c r="BX943" s="829">
        <f t="shared" ca="1" si="777"/>
        <v>214</v>
      </c>
      <c r="BY943" s="830" t="str">
        <f t="shared" ca="1" si="778"/>
        <v>-</v>
      </c>
      <c r="BZ943" s="831">
        <v>42988</v>
      </c>
      <c r="CA943" s="832">
        <v>5</v>
      </c>
      <c r="CB943" s="833">
        <f t="shared" ca="1" si="779"/>
        <v>146</v>
      </c>
      <c r="CC943" s="834" t="str">
        <f t="shared" ca="1" si="780"/>
        <v>-</v>
      </c>
      <c r="CD943" s="835">
        <f t="shared" si="781"/>
        <v>43009</v>
      </c>
      <c r="CE943" s="831">
        <v>43009</v>
      </c>
      <c r="CF943" s="832">
        <v>5</v>
      </c>
      <c r="CG943" s="833">
        <f t="shared" ca="1" si="782"/>
        <v>125</v>
      </c>
      <c r="CH943" s="836">
        <f t="shared" si="783"/>
        <v>0</v>
      </c>
      <c r="CI943" s="837" t="str">
        <f t="shared" si="784"/>
        <v>УСПЕШНО</v>
      </c>
      <c r="CJ943" s="838" t="str">
        <f t="shared" ca="1" si="785"/>
        <v>-</v>
      </c>
      <c r="CK943" s="831"/>
      <c r="CL943" s="832"/>
      <c r="CM943" s="833" t="str">
        <f t="shared" si="786"/>
        <v>-</v>
      </c>
      <c r="CN943" s="834" t="str">
        <f t="shared" si="787"/>
        <v>-</v>
      </c>
      <c r="CO943" s="830" t="str">
        <f t="shared" ca="1" si="788"/>
        <v>-</v>
      </c>
      <c r="CP943" s="839"/>
      <c r="CQ943" s="832"/>
      <c r="CR943" s="833" t="str">
        <f t="shared" si="789"/>
        <v>-</v>
      </c>
      <c r="CS943" s="833" t="str">
        <f t="shared" si="790"/>
        <v>-</v>
      </c>
      <c r="CT943" s="834" t="str">
        <f t="shared" si="791"/>
        <v>-</v>
      </c>
      <c r="CU943" s="835" t="str">
        <f t="shared" si="792"/>
        <v>-</v>
      </c>
      <c r="CV943" s="839"/>
      <c r="CW943" s="832"/>
      <c r="CX943" s="833" t="str">
        <f t="shared" si="793"/>
        <v>-</v>
      </c>
      <c r="CY943" s="840" t="str">
        <f t="shared" si="794"/>
        <v>-</v>
      </c>
      <c r="CZ943" s="833" t="str">
        <f t="shared" si="795"/>
        <v>-</v>
      </c>
      <c r="DA943" s="838" t="str">
        <f t="shared" ca="1" si="796"/>
        <v>-</v>
      </c>
      <c r="DB943" s="841"/>
      <c r="DC943" s="832"/>
    </row>
    <row r="944" spans="1:107" x14ac:dyDescent="0.25">
      <c r="A944" s="790">
        <v>948</v>
      </c>
      <c r="B944" s="791">
        <f t="shared" ca="1" si="745"/>
        <v>43134</v>
      </c>
      <c r="C944" s="792" t="s">
        <v>2583</v>
      </c>
      <c r="D944" s="793" t="s">
        <v>2582</v>
      </c>
      <c r="E944" s="794" t="s">
        <v>1563</v>
      </c>
      <c r="F944" s="795" t="s">
        <v>1638</v>
      </c>
      <c r="G944" s="845"/>
      <c r="H944" s="797" t="s">
        <v>603</v>
      </c>
      <c r="I944" s="798">
        <v>42546</v>
      </c>
      <c r="J944" s="799">
        <f t="shared" ca="1" si="746"/>
        <v>1.6109589041095891</v>
      </c>
      <c r="K944" s="799">
        <f t="shared" ca="1" si="747"/>
        <v>19.600000000000001</v>
      </c>
      <c r="L944" s="800">
        <f t="shared" ca="1" si="748"/>
        <v>588</v>
      </c>
      <c r="M944" s="801"/>
      <c r="N944" s="802"/>
      <c r="O944" s="803" t="str">
        <f t="shared" ca="1" si="749"/>
        <v>-</v>
      </c>
      <c r="P944" s="804"/>
      <c r="Q944" s="805"/>
      <c r="R944" s="806"/>
      <c r="S944" s="807"/>
      <c r="T944" s="798"/>
      <c r="U944" s="798" t="str">
        <f t="shared" si="750"/>
        <v>-</v>
      </c>
      <c r="V944" s="804" t="str">
        <f t="shared" ca="1" si="751"/>
        <v>-</v>
      </c>
      <c r="W944" s="808">
        <v>0</v>
      </c>
      <c r="X944" s="794" t="str">
        <f t="shared" si="744"/>
        <v>-</v>
      </c>
      <c r="Y944" s="794">
        <v>0</v>
      </c>
      <c r="Z944" s="809" t="str">
        <f t="shared" ca="1" si="752"/>
        <v>-----</v>
      </c>
      <c r="AA944" s="810">
        <f t="shared" ca="1" si="753"/>
        <v>43134</v>
      </c>
      <c r="AB944" s="804"/>
      <c r="AC944" s="811" t="str">
        <f t="shared" ca="1" si="754"/>
        <v>-----</v>
      </c>
      <c r="AD944" s="798"/>
      <c r="AE944" s="794" t="str">
        <f t="shared" ca="1" si="755"/>
        <v>-</v>
      </c>
      <c r="AF944" s="798" t="str">
        <f t="shared" si="756"/>
        <v>-</v>
      </c>
      <c r="AG944" s="812" t="str">
        <f t="shared" si="757"/>
        <v>---------</v>
      </c>
      <c r="AH944" s="807"/>
      <c r="AI944" s="807" t="str">
        <f t="shared" si="758"/>
        <v>-</v>
      </c>
      <c r="AJ944" s="807" t="str">
        <f t="shared" si="759"/>
        <v>-</v>
      </c>
      <c r="AK944" s="813"/>
      <c r="AL944" s="807" t="str">
        <f t="shared" si="760"/>
        <v>-</v>
      </c>
      <c r="AM944" s="807" t="str">
        <f t="shared" si="761"/>
        <v>-</v>
      </c>
      <c r="AN944" s="814" t="str">
        <f t="shared" ca="1" si="762"/>
        <v>-</v>
      </c>
      <c r="AO944" s="815">
        <v>1</v>
      </c>
      <c r="AP944" s="816" t="str">
        <f t="shared" ca="1" si="763"/>
        <v>-</v>
      </c>
      <c r="AQ944" s="817"/>
      <c r="AR944" s="794" t="str">
        <f t="shared" si="764"/>
        <v>-</v>
      </c>
      <c r="AS944" s="818"/>
      <c r="AT944" s="794" t="str">
        <f t="shared" si="765"/>
        <v>-</v>
      </c>
      <c r="AU944" s="819"/>
      <c r="AV944" s="820"/>
      <c r="AW944" s="821"/>
      <c r="AX944" s="821"/>
      <c r="AY944" s="969" t="str">
        <f t="shared" si="766"/>
        <v>-</v>
      </c>
      <c r="AZ944" s="966" t="str">
        <f t="shared" si="767"/>
        <v>-</v>
      </c>
      <c r="BA944" s="971" t="str">
        <f t="shared" si="768"/>
        <v>-</v>
      </c>
      <c r="BB944" s="975"/>
      <c r="BC944" s="821"/>
      <c r="BD944" s="821"/>
      <c r="BE944" s="963" t="str">
        <f t="shared" si="769"/>
        <v>-</v>
      </c>
      <c r="BF944" s="984"/>
      <c r="BG944" s="988"/>
      <c r="BH944" s="982"/>
      <c r="BI944" s="991"/>
      <c r="BJ944" s="991"/>
      <c r="BK944" s="993" t="str">
        <f t="shared" si="770"/>
        <v>-</v>
      </c>
      <c r="BL944" s="820">
        <v>42977</v>
      </c>
      <c r="BM944" s="821">
        <v>5</v>
      </c>
      <c r="BN944" s="822">
        <f t="shared" ca="1" si="771"/>
        <v>157</v>
      </c>
      <c r="BO944" s="823">
        <f t="shared" si="772"/>
        <v>14.366666666666667</v>
      </c>
      <c r="BP944" s="824"/>
      <c r="BQ944" s="821"/>
      <c r="BR944" s="822" t="str">
        <f t="shared" si="773"/>
        <v>-</v>
      </c>
      <c r="BS944" s="823" t="str">
        <f t="shared" si="774"/>
        <v>-</v>
      </c>
      <c r="BT944" s="825" t="str">
        <f t="shared" ca="1" si="775"/>
        <v>-</v>
      </c>
      <c r="BU944" s="826"/>
      <c r="BV944" s="827"/>
      <c r="BW944" s="828" t="str">
        <f t="shared" si="776"/>
        <v>Ж-Е НЕ ВАКЦ.</v>
      </c>
      <c r="BX944" s="829" t="str">
        <f t="shared" si="777"/>
        <v>-</v>
      </c>
      <c r="BY944" s="830" t="str">
        <f t="shared" ca="1" si="778"/>
        <v>-</v>
      </c>
      <c r="BZ944" s="831">
        <v>42892</v>
      </c>
      <c r="CA944" s="832">
        <v>5</v>
      </c>
      <c r="CB944" s="833">
        <f t="shared" ca="1" si="779"/>
        <v>242</v>
      </c>
      <c r="CC944" s="834" t="str">
        <f t="shared" ca="1" si="780"/>
        <v>-</v>
      </c>
      <c r="CD944" s="835">
        <f t="shared" si="781"/>
        <v>42913</v>
      </c>
      <c r="CE944" s="831">
        <v>42913</v>
      </c>
      <c r="CF944" s="832">
        <v>5</v>
      </c>
      <c r="CG944" s="833">
        <f t="shared" ca="1" si="782"/>
        <v>221</v>
      </c>
      <c r="CH944" s="836">
        <f t="shared" si="783"/>
        <v>0</v>
      </c>
      <c r="CI944" s="837" t="str">
        <f t="shared" si="784"/>
        <v>УСПЕШНО</v>
      </c>
      <c r="CJ944" s="838" t="str">
        <f t="shared" ca="1" si="785"/>
        <v>-</v>
      </c>
      <c r="CK944" s="831"/>
      <c r="CL944" s="832"/>
      <c r="CM944" s="833" t="str">
        <f t="shared" si="786"/>
        <v>-</v>
      </c>
      <c r="CN944" s="834" t="str">
        <f t="shared" si="787"/>
        <v>-</v>
      </c>
      <c r="CO944" s="830" t="str">
        <f t="shared" ca="1" si="788"/>
        <v>-</v>
      </c>
      <c r="CP944" s="839"/>
      <c r="CQ944" s="832"/>
      <c r="CR944" s="833" t="str">
        <f t="shared" si="789"/>
        <v>-</v>
      </c>
      <c r="CS944" s="833" t="str">
        <f t="shared" si="790"/>
        <v>-</v>
      </c>
      <c r="CT944" s="834" t="str">
        <f t="shared" si="791"/>
        <v>-</v>
      </c>
      <c r="CU944" s="835" t="str">
        <f t="shared" si="792"/>
        <v>-</v>
      </c>
      <c r="CV944" s="839"/>
      <c r="CW944" s="832"/>
      <c r="CX944" s="833" t="str">
        <f t="shared" si="793"/>
        <v>-</v>
      </c>
      <c r="CY944" s="840" t="str">
        <f t="shared" si="794"/>
        <v>-</v>
      </c>
      <c r="CZ944" s="833" t="str">
        <f t="shared" si="795"/>
        <v>-</v>
      </c>
      <c r="DA944" s="838" t="str">
        <f t="shared" ca="1" si="796"/>
        <v>-</v>
      </c>
      <c r="DB944" s="841"/>
      <c r="DC944" s="832"/>
    </row>
    <row r="945" spans="1:107" x14ac:dyDescent="0.25">
      <c r="A945" s="790">
        <v>949</v>
      </c>
      <c r="B945" s="791">
        <f t="shared" ca="1" si="745"/>
        <v>43134</v>
      </c>
      <c r="C945" s="792" t="s">
        <v>2583</v>
      </c>
      <c r="D945" s="793" t="s">
        <v>2582</v>
      </c>
      <c r="E945" s="794" t="s">
        <v>1563</v>
      </c>
      <c r="F945" s="795" t="s">
        <v>2139</v>
      </c>
      <c r="G945" s="845"/>
      <c r="H945" s="797" t="s">
        <v>603</v>
      </c>
      <c r="I945" s="798">
        <v>42657</v>
      </c>
      <c r="J945" s="799">
        <f t="shared" ca="1" si="746"/>
        <v>1.3068493150684932</v>
      </c>
      <c r="K945" s="799">
        <f t="shared" ca="1" si="747"/>
        <v>15.9</v>
      </c>
      <c r="L945" s="800">
        <f t="shared" ca="1" si="748"/>
        <v>477</v>
      </c>
      <c r="M945" s="801"/>
      <c r="N945" s="802"/>
      <c r="O945" s="803" t="str">
        <f t="shared" ca="1" si="749"/>
        <v>-</v>
      </c>
      <c r="P945" s="804"/>
      <c r="Q945" s="805"/>
      <c r="R945" s="806"/>
      <c r="S945" s="807"/>
      <c r="T945" s="798"/>
      <c r="U945" s="798" t="str">
        <f t="shared" si="750"/>
        <v>-</v>
      </c>
      <c r="V945" s="804" t="str">
        <f t="shared" ca="1" si="751"/>
        <v>-</v>
      </c>
      <c r="W945" s="808">
        <v>0</v>
      </c>
      <c r="X945" s="794" t="str">
        <f t="shared" si="744"/>
        <v>-</v>
      </c>
      <c r="Y945" s="794">
        <v>0</v>
      </c>
      <c r="Z945" s="809" t="str">
        <f t="shared" ca="1" si="752"/>
        <v>-----</v>
      </c>
      <c r="AA945" s="810">
        <f t="shared" ca="1" si="753"/>
        <v>43134</v>
      </c>
      <c r="AB945" s="804"/>
      <c r="AC945" s="811" t="str">
        <f t="shared" ca="1" si="754"/>
        <v>-----</v>
      </c>
      <c r="AD945" s="798"/>
      <c r="AE945" s="794" t="str">
        <f t="shared" ca="1" si="755"/>
        <v>-</v>
      </c>
      <c r="AF945" s="798" t="str">
        <f t="shared" si="756"/>
        <v>-</v>
      </c>
      <c r="AG945" s="812" t="str">
        <f t="shared" si="757"/>
        <v>---------</v>
      </c>
      <c r="AH945" s="807"/>
      <c r="AI945" s="807" t="str">
        <f t="shared" si="758"/>
        <v>-</v>
      </c>
      <c r="AJ945" s="807" t="str">
        <f t="shared" si="759"/>
        <v>-</v>
      </c>
      <c r="AK945" s="813"/>
      <c r="AL945" s="807" t="str">
        <f t="shared" si="760"/>
        <v>-</v>
      </c>
      <c r="AM945" s="807" t="str">
        <f t="shared" si="761"/>
        <v>-</v>
      </c>
      <c r="AN945" s="814" t="str">
        <f t="shared" ca="1" si="762"/>
        <v>-</v>
      </c>
      <c r="AO945" s="815">
        <v>1</v>
      </c>
      <c r="AP945" s="816" t="str">
        <f t="shared" ca="1" si="763"/>
        <v>-</v>
      </c>
      <c r="AQ945" s="817"/>
      <c r="AR945" s="794" t="str">
        <f t="shared" si="764"/>
        <v>-</v>
      </c>
      <c r="AS945" s="818"/>
      <c r="AT945" s="794" t="str">
        <f t="shared" si="765"/>
        <v>-</v>
      </c>
      <c r="AU945" s="819"/>
      <c r="AV945" s="820"/>
      <c r="AW945" s="821"/>
      <c r="AX945" s="821"/>
      <c r="AY945" s="969" t="str">
        <f t="shared" si="766"/>
        <v>-</v>
      </c>
      <c r="AZ945" s="966" t="str">
        <f t="shared" si="767"/>
        <v>-</v>
      </c>
      <c r="BA945" s="971" t="str">
        <f t="shared" si="768"/>
        <v>-</v>
      </c>
      <c r="BB945" s="975"/>
      <c r="BC945" s="821"/>
      <c r="BD945" s="821"/>
      <c r="BE945" s="963" t="str">
        <f t="shared" si="769"/>
        <v>-</v>
      </c>
      <c r="BF945" s="984"/>
      <c r="BG945" s="988"/>
      <c r="BH945" s="982"/>
      <c r="BI945" s="991"/>
      <c r="BJ945" s="991"/>
      <c r="BK945" s="993" t="str">
        <f t="shared" si="770"/>
        <v>-</v>
      </c>
      <c r="BL945" s="820">
        <v>42977</v>
      </c>
      <c r="BM945" s="821">
        <v>5</v>
      </c>
      <c r="BN945" s="822">
        <f t="shared" ca="1" si="771"/>
        <v>157</v>
      </c>
      <c r="BO945" s="823">
        <f t="shared" si="772"/>
        <v>10.666666666666666</v>
      </c>
      <c r="BP945" s="824"/>
      <c r="BQ945" s="821"/>
      <c r="BR945" s="822" t="str">
        <f t="shared" si="773"/>
        <v>-</v>
      </c>
      <c r="BS945" s="823" t="str">
        <f t="shared" si="774"/>
        <v>-</v>
      </c>
      <c r="BT945" s="825" t="str">
        <f t="shared" ca="1" si="775"/>
        <v>-</v>
      </c>
      <c r="BU945" s="826"/>
      <c r="BV945" s="827"/>
      <c r="BW945" s="828" t="str">
        <f t="shared" si="776"/>
        <v>Ж-Е НЕ ВАКЦ.</v>
      </c>
      <c r="BX945" s="829" t="str">
        <f t="shared" si="777"/>
        <v>-</v>
      </c>
      <c r="BY945" s="830" t="str">
        <f t="shared" ca="1" si="778"/>
        <v>-</v>
      </c>
      <c r="BZ945" s="831">
        <v>42892</v>
      </c>
      <c r="CA945" s="832">
        <v>5</v>
      </c>
      <c r="CB945" s="833">
        <f t="shared" ca="1" si="779"/>
        <v>242</v>
      </c>
      <c r="CC945" s="834" t="str">
        <f t="shared" ca="1" si="780"/>
        <v>-</v>
      </c>
      <c r="CD945" s="835">
        <f t="shared" si="781"/>
        <v>42913</v>
      </c>
      <c r="CE945" s="831">
        <v>42913</v>
      </c>
      <c r="CF945" s="832">
        <v>5</v>
      </c>
      <c r="CG945" s="833">
        <f t="shared" ca="1" si="782"/>
        <v>221</v>
      </c>
      <c r="CH945" s="836">
        <f t="shared" si="783"/>
        <v>0</v>
      </c>
      <c r="CI945" s="837" t="str">
        <f t="shared" si="784"/>
        <v>УСПЕШНО</v>
      </c>
      <c r="CJ945" s="838" t="str">
        <f t="shared" ca="1" si="785"/>
        <v>-</v>
      </c>
      <c r="CK945" s="831"/>
      <c r="CL945" s="832"/>
      <c r="CM945" s="833" t="str">
        <f t="shared" si="786"/>
        <v>-</v>
      </c>
      <c r="CN945" s="834" t="str">
        <f t="shared" si="787"/>
        <v>-</v>
      </c>
      <c r="CO945" s="830" t="str">
        <f t="shared" ca="1" si="788"/>
        <v>-</v>
      </c>
      <c r="CP945" s="839"/>
      <c r="CQ945" s="832"/>
      <c r="CR945" s="833" t="str">
        <f t="shared" si="789"/>
        <v>-</v>
      </c>
      <c r="CS945" s="833" t="str">
        <f t="shared" si="790"/>
        <v>-</v>
      </c>
      <c r="CT945" s="834" t="str">
        <f t="shared" si="791"/>
        <v>-</v>
      </c>
      <c r="CU945" s="835" t="str">
        <f t="shared" si="792"/>
        <v>-</v>
      </c>
      <c r="CV945" s="839"/>
      <c r="CW945" s="832"/>
      <c r="CX945" s="833" t="str">
        <f t="shared" si="793"/>
        <v>-</v>
      </c>
      <c r="CY945" s="840" t="str">
        <f t="shared" si="794"/>
        <v>-</v>
      </c>
      <c r="CZ945" s="833" t="str">
        <f t="shared" si="795"/>
        <v>-</v>
      </c>
      <c r="DA945" s="838" t="str">
        <f t="shared" ca="1" si="796"/>
        <v>-</v>
      </c>
      <c r="DB945" s="841"/>
      <c r="DC945" s="832"/>
    </row>
    <row r="946" spans="1:107" x14ac:dyDescent="0.25">
      <c r="A946" s="790">
        <v>950</v>
      </c>
      <c r="B946" s="791">
        <f t="shared" ca="1" si="745"/>
        <v>43134</v>
      </c>
      <c r="C946" s="792" t="s">
        <v>2583</v>
      </c>
      <c r="D946" s="793" t="s">
        <v>2582</v>
      </c>
      <c r="E946" s="794" t="s">
        <v>1563</v>
      </c>
      <c r="F946" s="795" t="s">
        <v>2144</v>
      </c>
      <c r="G946" s="845"/>
      <c r="H946" s="797" t="s">
        <v>603</v>
      </c>
      <c r="I946" s="798">
        <v>42661</v>
      </c>
      <c r="J946" s="799">
        <f t="shared" ca="1" si="746"/>
        <v>1.295890410958904</v>
      </c>
      <c r="K946" s="799">
        <f t="shared" ca="1" si="747"/>
        <v>15.766666666666667</v>
      </c>
      <c r="L946" s="800">
        <f t="shared" ca="1" si="748"/>
        <v>473</v>
      </c>
      <c r="M946" s="801"/>
      <c r="N946" s="802"/>
      <c r="O946" s="803" t="str">
        <f t="shared" ca="1" si="749"/>
        <v>-</v>
      </c>
      <c r="P946" s="804"/>
      <c r="Q946" s="805"/>
      <c r="R946" s="806"/>
      <c r="S946" s="807"/>
      <c r="T946" s="798"/>
      <c r="U946" s="798" t="str">
        <f t="shared" si="750"/>
        <v>-</v>
      </c>
      <c r="V946" s="804" t="str">
        <f t="shared" ca="1" si="751"/>
        <v>-</v>
      </c>
      <c r="W946" s="808">
        <v>0</v>
      </c>
      <c r="X946" s="794" t="str">
        <f t="shared" si="744"/>
        <v>-</v>
      </c>
      <c r="Y946" s="794">
        <v>0</v>
      </c>
      <c r="Z946" s="809" t="str">
        <f t="shared" ca="1" si="752"/>
        <v>-----</v>
      </c>
      <c r="AA946" s="810">
        <f t="shared" ca="1" si="753"/>
        <v>43134</v>
      </c>
      <c r="AB946" s="804"/>
      <c r="AC946" s="811" t="str">
        <f t="shared" ca="1" si="754"/>
        <v>-----</v>
      </c>
      <c r="AD946" s="798"/>
      <c r="AE946" s="794" t="str">
        <f t="shared" ca="1" si="755"/>
        <v>-</v>
      </c>
      <c r="AF946" s="798" t="str">
        <f t="shared" si="756"/>
        <v>-</v>
      </c>
      <c r="AG946" s="812" t="str">
        <f t="shared" si="757"/>
        <v>---------</v>
      </c>
      <c r="AH946" s="807"/>
      <c r="AI946" s="807" t="str">
        <f t="shared" si="758"/>
        <v>-</v>
      </c>
      <c r="AJ946" s="807" t="str">
        <f t="shared" si="759"/>
        <v>-</v>
      </c>
      <c r="AK946" s="813"/>
      <c r="AL946" s="807" t="str">
        <f t="shared" si="760"/>
        <v>-</v>
      </c>
      <c r="AM946" s="807" t="str">
        <f t="shared" si="761"/>
        <v>-</v>
      </c>
      <c r="AN946" s="814" t="str">
        <f t="shared" ca="1" si="762"/>
        <v>-</v>
      </c>
      <c r="AO946" s="815">
        <v>1</v>
      </c>
      <c r="AP946" s="816" t="str">
        <f t="shared" ca="1" si="763"/>
        <v>-</v>
      </c>
      <c r="AQ946" s="817"/>
      <c r="AR946" s="794" t="str">
        <f t="shared" si="764"/>
        <v>-</v>
      </c>
      <c r="AS946" s="818"/>
      <c r="AT946" s="794" t="str">
        <f t="shared" si="765"/>
        <v>-</v>
      </c>
      <c r="AU946" s="819"/>
      <c r="AV946" s="820"/>
      <c r="AW946" s="821"/>
      <c r="AX946" s="821"/>
      <c r="AY946" s="969" t="str">
        <f t="shared" si="766"/>
        <v>-</v>
      </c>
      <c r="AZ946" s="966" t="str">
        <f t="shared" si="767"/>
        <v>-</v>
      </c>
      <c r="BA946" s="971" t="str">
        <f t="shared" si="768"/>
        <v>-</v>
      </c>
      <c r="BB946" s="975"/>
      <c r="BC946" s="821"/>
      <c r="BD946" s="821"/>
      <c r="BE946" s="963" t="str">
        <f t="shared" si="769"/>
        <v>-</v>
      </c>
      <c r="BF946" s="984"/>
      <c r="BG946" s="988"/>
      <c r="BH946" s="982"/>
      <c r="BI946" s="991"/>
      <c r="BJ946" s="991"/>
      <c r="BK946" s="993" t="str">
        <f t="shared" si="770"/>
        <v>-</v>
      </c>
      <c r="BL946" s="820">
        <v>42977</v>
      </c>
      <c r="BM946" s="821">
        <v>5</v>
      </c>
      <c r="BN946" s="822">
        <f t="shared" ca="1" si="771"/>
        <v>157</v>
      </c>
      <c r="BO946" s="823">
        <f t="shared" si="772"/>
        <v>10.533333333333333</v>
      </c>
      <c r="BP946" s="824"/>
      <c r="BQ946" s="821"/>
      <c r="BR946" s="822" t="str">
        <f t="shared" si="773"/>
        <v>-</v>
      </c>
      <c r="BS946" s="823" t="str">
        <f t="shared" si="774"/>
        <v>-</v>
      </c>
      <c r="BT946" s="825" t="str">
        <f t="shared" ca="1" si="775"/>
        <v>-</v>
      </c>
      <c r="BU946" s="826"/>
      <c r="BV946" s="827"/>
      <c r="BW946" s="828" t="str">
        <f t="shared" si="776"/>
        <v>Ж-Е НЕ ВАКЦ.</v>
      </c>
      <c r="BX946" s="829" t="str">
        <f t="shared" si="777"/>
        <v>-</v>
      </c>
      <c r="BY946" s="830" t="str">
        <f t="shared" ca="1" si="778"/>
        <v>-</v>
      </c>
      <c r="BZ946" s="831">
        <v>42892</v>
      </c>
      <c r="CA946" s="832">
        <v>5</v>
      </c>
      <c r="CB946" s="833">
        <f t="shared" ca="1" si="779"/>
        <v>242</v>
      </c>
      <c r="CC946" s="834" t="str">
        <f t="shared" ca="1" si="780"/>
        <v>-</v>
      </c>
      <c r="CD946" s="835">
        <f t="shared" si="781"/>
        <v>42913</v>
      </c>
      <c r="CE946" s="831">
        <v>42913</v>
      </c>
      <c r="CF946" s="832">
        <v>5</v>
      </c>
      <c r="CG946" s="833">
        <f t="shared" ca="1" si="782"/>
        <v>221</v>
      </c>
      <c r="CH946" s="836">
        <f t="shared" si="783"/>
        <v>0</v>
      </c>
      <c r="CI946" s="837" t="str">
        <f t="shared" si="784"/>
        <v>УСПЕШНО</v>
      </c>
      <c r="CJ946" s="838" t="str">
        <f t="shared" ca="1" si="785"/>
        <v>-</v>
      </c>
      <c r="CK946" s="831"/>
      <c r="CL946" s="832"/>
      <c r="CM946" s="833" t="str">
        <f t="shared" si="786"/>
        <v>-</v>
      </c>
      <c r="CN946" s="834" t="str">
        <f t="shared" si="787"/>
        <v>-</v>
      </c>
      <c r="CO946" s="830" t="str">
        <f t="shared" ca="1" si="788"/>
        <v>-</v>
      </c>
      <c r="CP946" s="839"/>
      <c r="CQ946" s="832"/>
      <c r="CR946" s="833" t="str">
        <f t="shared" si="789"/>
        <v>-</v>
      </c>
      <c r="CS946" s="833" t="str">
        <f t="shared" si="790"/>
        <v>-</v>
      </c>
      <c r="CT946" s="834" t="str">
        <f t="shared" si="791"/>
        <v>-</v>
      </c>
      <c r="CU946" s="835" t="str">
        <f t="shared" si="792"/>
        <v>-</v>
      </c>
      <c r="CV946" s="839"/>
      <c r="CW946" s="832"/>
      <c r="CX946" s="833" t="str">
        <f t="shared" si="793"/>
        <v>-</v>
      </c>
      <c r="CY946" s="840" t="str">
        <f t="shared" si="794"/>
        <v>-</v>
      </c>
      <c r="CZ946" s="833" t="str">
        <f t="shared" si="795"/>
        <v>-</v>
      </c>
      <c r="DA946" s="838" t="str">
        <f t="shared" ca="1" si="796"/>
        <v>-</v>
      </c>
      <c r="DB946" s="841"/>
      <c r="DC946" s="832"/>
    </row>
    <row r="947" spans="1:107" x14ac:dyDescent="0.25">
      <c r="A947" s="790">
        <v>951</v>
      </c>
      <c r="B947" s="791">
        <f t="shared" ca="1" si="745"/>
        <v>43134</v>
      </c>
      <c r="C947" s="792" t="s">
        <v>2583</v>
      </c>
      <c r="D947" s="793" t="s">
        <v>2582</v>
      </c>
      <c r="E947" s="794" t="s">
        <v>1563</v>
      </c>
      <c r="F947" s="795" t="s">
        <v>2188</v>
      </c>
      <c r="G947" s="845"/>
      <c r="H947" s="797" t="s">
        <v>603</v>
      </c>
      <c r="I947" s="798">
        <v>42673</v>
      </c>
      <c r="J947" s="799">
        <f t="shared" ca="1" si="746"/>
        <v>1.263013698630137</v>
      </c>
      <c r="K947" s="799">
        <f t="shared" ca="1" si="747"/>
        <v>15.366666666666667</v>
      </c>
      <c r="L947" s="800">
        <f t="shared" ca="1" si="748"/>
        <v>461</v>
      </c>
      <c r="M947" s="801"/>
      <c r="N947" s="802"/>
      <c r="O947" s="803" t="str">
        <f t="shared" ca="1" si="749"/>
        <v>-</v>
      </c>
      <c r="P947" s="804"/>
      <c r="Q947" s="805"/>
      <c r="R947" s="806"/>
      <c r="S947" s="807"/>
      <c r="T947" s="798"/>
      <c r="U947" s="798" t="str">
        <f t="shared" si="750"/>
        <v>-</v>
      </c>
      <c r="V947" s="804" t="str">
        <f t="shared" ca="1" si="751"/>
        <v>-</v>
      </c>
      <c r="W947" s="808">
        <v>0</v>
      </c>
      <c r="X947" s="794" t="str">
        <f t="shared" si="744"/>
        <v>-</v>
      </c>
      <c r="Y947" s="794">
        <v>0</v>
      </c>
      <c r="Z947" s="809" t="str">
        <f t="shared" ca="1" si="752"/>
        <v>-----</v>
      </c>
      <c r="AA947" s="810">
        <f t="shared" ca="1" si="753"/>
        <v>43134</v>
      </c>
      <c r="AB947" s="804"/>
      <c r="AC947" s="811" t="str">
        <f t="shared" ca="1" si="754"/>
        <v>-----</v>
      </c>
      <c r="AD947" s="798"/>
      <c r="AE947" s="794" t="str">
        <f t="shared" ca="1" si="755"/>
        <v>-</v>
      </c>
      <c r="AF947" s="798" t="str">
        <f t="shared" si="756"/>
        <v>-</v>
      </c>
      <c r="AG947" s="812" t="str">
        <f t="shared" si="757"/>
        <v>---------</v>
      </c>
      <c r="AH947" s="807"/>
      <c r="AI947" s="807" t="str">
        <f t="shared" si="758"/>
        <v>-</v>
      </c>
      <c r="AJ947" s="807" t="str">
        <f t="shared" si="759"/>
        <v>-</v>
      </c>
      <c r="AK947" s="813"/>
      <c r="AL947" s="807" t="str">
        <f t="shared" si="760"/>
        <v>-</v>
      </c>
      <c r="AM947" s="807" t="str">
        <f t="shared" si="761"/>
        <v>-</v>
      </c>
      <c r="AN947" s="814" t="str">
        <f t="shared" ca="1" si="762"/>
        <v>-</v>
      </c>
      <c r="AO947" s="815">
        <v>1</v>
      </c>
      <c r="AP947" s="816" t="str">
        <f t="shared" ca="1" si="763"/>
        <v>-</v>
      </c>
      <c r="AQ947" s="817"/>
      <c r="AR947" s="794" t="str">
        <f t="shared" si="764"/>
        <v>-</v>
      </c>
      <c r="AS947" s="818"/>
      <c r="AT947" s="794" t="str">
        <f t="shared" si="765"/>
        <v>-</v>
      </c>
      <c r="AU947" s="819"/>
      <c r="AV947" s="820"/>
      <c r="AW947" s="821"/>
      <c r="AX947" s="821"/>
      <c r="AY947" s="969" t="str">
        <f t="shared" si="766"/>
        <v>-</v>
      </c>
      <c r="AZ947" s="966" t="str">
        <f t="shared" si="767"/>
        <v>-</v>
      </c>
      <c r="BA947" s="971" t="str">
        <f t="shared" si="768"/>
        <v>-</v>
      </c>
      <c r="BB947" s="975"/>
      <c r="BC947" s="821"/>
      <c r="BD947" s="821"/>
      <c r="BE947" s="963" t="str">
        <f t="shared" si="769"/>
        <v>-</v>
      </c>
      <c r="BF947" s="984"/>
      <c r="BG947" s="988"/>
      <c r="BH947" s="982"/>
      <c r="BI947" s="991"/>
      <c r="BJ947" s="991"/>
      <c r="BK947" s="993" t="str">
        <f t="shared" si="770"/>
        <v>-</v>
      </c>
      <c r="BL947" s="820">
        <v>42977</v>
      </c>
      <c r="BM947" s="821">
        <v>5</v>
      </c>
      <c r="BN947" s="822">
        <f t="shared" ca="1" si="771"/>
        <v>157</v>
      </c>
      <c r="BO947" s="823">
        <f t="shared" si="772"/>
        <v>10.133333333333333</v>
      </c>
      <c r="BP947" s="824"/>
      <c r="BQ947" s="821"/>
      <c r="BR947" s="822" t="str">
        <f t="shared" si="773"/>
        <v>-</v>
      </c>
      <c r="BS947" s="823" t="str">
        <f t="shared" si="774"/>
        <v>-</v>
      </c>
      <c r="BT947" s="825" t="str">
        <f t="shared" ca="1" si="775"/>
        <v>-</v>
      </c>
      <c r="BU947" s="826"/>
      <c r="BV947" s="827"/>
      <c r="BW947" s="828" t="str">
        <f t="shared" si="776"/>
        <v>Ж-Е НЕ ВАКЦ.</v>
      </c>
      <c r="BX947" s="829" t="str">
        <f t="shared" si="777"/>
        <v>-</v>
      </c>
      <c r="BY947" s="830" t="str">
        <f t="shared" ca="1" si="778"/>
        <v>-</v>
      </c>
      <c r="BZ947" s="831">
        <v>42888</v>
      </c>
      <c r="CA947" s="832">
        <v>5</v>
      </c>
      <c r="CB947" s="833">
        <f t="shared" ca="1" si="779"/>
        <v>246</v>
      </c>
      <c r="CC947" s="834" t="str">
        <f t="shared" ca="1" si="780"/>
        <v>-</v>
      </c>
      <c r="CD947" s="835">
        <f t="shared" si="781"/>
        <v>42909</v>
      </c>
      <c r="CE947" s="831">
        <v>42909</v>
      </c>
      <c r="CF947" s="832">
        <v>5</v>
      </c>
      <c r="CG947" s="833">
        <f t="shared" ca="1" si="782"/>
        <v>225</v>
      </c>
      <c r="CH947" s="836">
        <f t="shared" si="783"/>
        <v>0</v>
      </c>
      <c r="CI947" s="837" t="str">
        <f t="shared" si="784"/>
        <v>УСПЕШНО</v>
      </c>
      <c r="CJ947" s="838" t="str">
        <f t="shared" ca="1" si="785"/>
        <v>-</v>
      </c>
      <c r="CK947" s="831"/>
      <c r="CL947" s="832"/>
      <c r="CM947" s="833" t="str">
        <f t="shared" si="786"/>
        <v>-</v>
      </c>
      <c r="CN947" s="834" t="str">
        <f t="shared" si="787"/>
        <v>-</v>
      </c>
      <c r="CO947" s="830" t="str">
        <f t="shared" ca="1" si="788"/>
        <v>-</v>
      </c>
      <c r="CP947" s="839"/>
      <c r="CQ947" s="832"/>
      <c r="CR947" s="833" t="str">
        <f t="shared" si="789"/>
        <v>-</v>
      </c>
      <c r="CS947" s="833" t="str">
        <f t="shared" si="790"/>
        <v>-</v>
      </c>
      <c r="CT947" s="834" t="str">
        <f t="shared" si="791"/>
        <v>-</v>
      </c>
      <c r="CU947" s="835" t="str">
        <f t="shared" si="792"/>
        <v>-</v>
      </c>
      <c r="CV947" s="839"/>
      <c r="CW947" s="832"/>
      <c r="CX947" s="833" t="str">
        <f t="shared" si="793"/>
        <v>-</v>
      </c>
      <c r="CY947" s="840" t="str">
        <f t="shared" si="794"/>
        <v>-</v>
      </c>
      <c r="CZ947" s="833" t="str">
        <f t="shared" si="795"/>
        <v>-</v>
      </c>
      <c r="DA947" s="838" t="str">
        <f t="shared" ca="1" si="796"/>
        <v>-</v>
      </c>
      <c r="DB947" s="841"/>
      <c r="DC947" s="832"/>
    </row>
    <row r="948" spans="1:107" x14ac:dyDescent="0.25">
      <c r="A948" s="790">
        <v>952</v>
      </c>
      <c r="B948" s="791">
        <f t="shared" ca="1" si="745"/>
        <v>43134</v>
      </c>
      <c r="C948" s="792" t="s">
        <v>2583</v>
      </c>
      <c r="D948" s="793" t="s">
        <v>2582</v>
      </c>
      <c r="E948" s="794" t="s">
        <v>1563</v>
      </c>
      <c r="F948" s="795" t="s">
        <v>2192</v>
      </c>
      <c r="G948" s="845"/>
      <c r="H948" s="797" t="s">
        <v>603</v>
      </c>
      <c r="I948" s="798">
        <v>42677</v>
      </c>
      <c r="J948" s="799">
        <f t="shared" ca="1" si="746"/>
        <v>1.252054794520548</v>
      </c>
      <c r="K948" s="799">
        <f t="shared" ca="1" si="747"/>
        <v>15.233333333333333</v>
      </c>
      <c r="L948" s="800">
        <f t="shared" ca="1" si="748"/>
        <v>457</v>
      </c>
      <c r="M948" s="801"/>
      <c r="N948" s="802"/>
      <c r="O948" s="803" t="str">
        <f t="shared" ca="1" si="749"/>
        <v>-</v>
      </c>
      <c r="P948" s="804"/>
      <c r="Q948" s="805"/>
      <c r="R948" s="806"/>
      <c r="S948" s="807"/>
      <c r="T948" s="798"/>
      <c r="U948" s="798" t="str">
        <f t="shared" si="750"/>
        <v>-</v>
      </c>
      <c r="V948" s="804" t="str">
        <f t="shared" ca="1" si="751"/>
        <v>-</v>
      </c>
      <c r="W948" s="808">
        <v>0</v>
      </c>
      <c r="X948" s="794" t="str">
        <f t="shared" si="744"/>
        <v>-</v>
      </c>
      <c r="Y948" s="794">
        <v>0</v>
      </c>
      <c r="Z948" s="809" t="str">
        <f t="shared" ca="1" si="752"/>
        <v>-----</v>
      </c>
      <c r="AA948" s="810">
        <f t="shared" ca="1" si="753"/>
        <v>43134</v>
      </c>
      <c r="AB948" s="804"/>
      <c r="AC948" s="811" t="str">
        <f t="shared" ca="1" si="754"/>
        <v>-----</v>
      </c>
      <c r="AD948" s="798"/>
      <c r="AE948" s="794" t="str">
        <f t="shared" ca="1" si="755"/>
        <v>-</v>
      </c>
      <c r="AF948" s="798" t="str">
        <f t="shared" si="756"/>
        <v>-</v>
      </c>
      <c r="AG948" s="812" t="str">
        <f t="shared" si="757"/>
        <v>---------</v>
      </c>
      <c r="AH948" s="807"/>
      <c r="AI948" s="807" t="str">
        <f t="shared" si="758"/>
        <v>-</v>
      </c>
      <c r="AJ948" s="807" t="str">
        <f t="shared" si="759"/>
        <v>-</v>
      </c>
      <c r="AK948" s="813"/>
      <c r="AL948" s="807" t="str">
        <f t="shared" si="760"/>
        <v>-</v>
      </c>
      <c r="AM948" s="807" t="str">
        <f t="shared" si="761"/>
        <v>-</v>
      </c>
      <c r="AN948" s="814" t="str">
        <f t="shared" ca="1" si="762"/>
        <v>-</v>
      </c>
      <c r="AO948" s="815">
        <v>1</v>
      </c>
      <c r="AP948" s="816" t="str">
        <f t="shared" ca="1" si="763"/>
        <v>-</v>
      </c>
      <c r="AQ948" s="817"/>
      <c r="AR948" s="794" t="str">
        <f t="shared" si="764"/>
        <v>-</v>
      </c>
      <c r="AS948" s="818"/>
      <c r="AT948" s="794" t="str">
        <f t="shared" si="765"/>
        <v>-</v>
      </c>
      <c r="AU948" s="819"/>
      <c r="AV948" s="820"/>
      <c r="AW948" s="821"/>
      <c r="AX948" s="821"/>
      <c r="AY948" s="969" t="str">
        <f t="shared" si="766"/>
        <v>-</v>
      </c>
      <c r="AZ948" s="966" t="str">
        <f t="shared" si="767"/>
        <v>-</v>
      </c>
      <c r="BA948" s="971" t="str">
        <f t="shared" si="768"/>
        <v>-</v>
      </c>
      <c r="BB948" s="975"/>
      <c r="BC948" s="821"/>
      <c r="BD948" s="821"/>
      <c r="BE948" s="963" t="str">
        <f t="shared" si="769"/>
        <v>-</v>
      </c>
      <c r="BF948" s="984"/>
      <c r="BG948" s="988"/>
      <c r="BH948" s="982"/>
      <c r="BI948" s="991"/>
      <c r="BJ948" s="991"/>
      <c r="BK948" s="993" t="str">
        <f t="shared" si="770"/>
        <v>-</v>
      </c>
      <c r="BL948" s="820">
        <v>42977</v>
      </c>
      <c r="BM948" s="821">
        <v>5</v>
      </c>
      <c r="BN948" s="822">
        <f t="shared" ca="1" si="771"/>
        <v>157</v>
      </c>
      <c r="BO948" s="823">
        <f t="shared" si="772"/>
        <v>10</v>
      </c>
      <c r="BP948" s="824"/>
      <c r="BQ948" s="821"/>
      <c r="BR948" s="822" t="str">
        <f t="shared" si="773"/>
        <v>-</v>
      </c>
      <c r="BS948" s="823" t="str">
        <f t="shared" si="774"/>
        <v>-</v>
      </c>
      <c r="BT948" s="825" t="str">
        <f t="shared" ca="1" si="775"/>
        <v>-</v>
      </c>
      <c r="BU948" s="826"/>
      <c r="BV948" s="827"/>
      <c r="BW948" s="828" t="str">
        <f t="shared" si="776"/>
        <v>Ж-Е НЕ ВАКЦ.</v>
      </c>
      <c r="BX948" s="829" t="str">
        <f t="shared" si="777"/>
        <v>-</v>
      </c>
      <c r="BY948" s="830" t="str">
        <f t="shared" ca="1" si="778"/>
        <v>-</v>
      </c>
      <c r="BZ948" s="831">
        <v>42892</v>
      </c>
      <c r="CA948" s="832">
        <v>5</v>
      </c>
      <c r="CB948" s="833">
        <f t="shared" ca="1" si="779"/>
        <v>242</v>
      </c>
      <c r="CC948" s="834" t="str">
        <f t="shared" ca="1" si="780"/>
        <v>-</v>
      </c>
      <c r="CD948" s="835">
        <f t="shared" si="781"/>
        <v>42913</v>
      </c>
      <c r="CE948" s="831">
        <v>42913</v>
      </c>
      <c r="CF948" s="832">
        <v>5</v>
      </c>
      <c r="CG948" s="833">
        <f t="shared" ca="1" si="782"/>
        <v>221</v>
      </c>
      <c r="CH948" s="836">
        <f t="shared" si="783"/>
        <v>0</v>
      </c>
      <c r="CI948" s="837" t="str">
        <f t="shared" si="784"/>
        <v>УСПЕШНО</v>
      </c>
      <c r="CJ948" s="838" t="str">
        <f t="shared" ca="1" si="785"/>
        <v>-</v>
      </c>
      <c r="CK948" s="831"/>
      <c r="CL948" s="832"/>
      <c r="CM948" s="833" t="str">
        <f t="shared" si="786"/>
        <v>-</v>
      </c>
      <c r="CN948" s="834" t="str">
        <f t="shared" si="787"/>
        <v>-</v>
      </c>
      <c r="CO948" s="830" t="str">
        <f t="shared" ca="1" si="788"/>
        <v>-</v>
      </c>
      <c r="CP948" s="839"/>
      <c r="CQ948" s="832"/>
      <c r="CR948" s="833" t="str">
        <f t="shared" si="789"/>
        <v>-</v>
      </c>
      <c r="CS948" s="833" t="str">
        <f t="shared" si="790"/>
        <v>-</v>
      </c>
      <c r="CT948" s="834" t="str">
        <f t="shared" si="791"/>
        <v>-</v>
      </c>
      <c r="CU948" s="835" t="str">
        <f t="shared" si="792"/>
        <v>-</v>
      </c>
      <c r="CV948" s="839"/>
      <c r="CW948" s="832"/>
      <c r="CX948" s="833" t="str">
        <f t="shared" si="793"/>
        <v>-</v>
      </c>
      <c r="CY948" s="840" t="str">
        <f t="shared" si="794"/>
        <v>-</v>
      </c>
      <c r="CZ948" s="833" t="str">
        <f t="shared" si="795"/>
        <v>-</v>
      </c>
      <c r="DA948" s="838" t="str">
        <f t="shared" ca="1" si="796"/>
        <v>-</v>
      </c>
      <c r="DB948" s="841"/>
      <c r="DC948" s="832"/>
    </row>
    <row r="949" spans="1:107" x14ac:dyDescent="0.25">
      <c r="A949" s="790">
        <v>953</v>
      </c>
      <c r="B949" s="791">
        <f t="shared" ca="1" si="745"/>
        <v>43134</v>
      </c>
      <c r="C949" s="792" t="s">
        <v>2583</v>
      </c>
      <c r="D949" s="793" t="s">
        <v>2582</v>
      </c>
      <c r="E949" s="794" t="s">
        <v>1563</v>
      </c>
      <c r="F949" s="795" t="s">
        <v>2194</v>
      </c>
      <c r="G949" s="845"/>
      <c r="H949" s="797" t="s">
        <v>603</v>
      </c>
      <c r="I949" s="798">
        <v>42679</v>
      </c>
      <c r="J949" s="799">
        <f t="shared" ca="1" si="746"/>
        <v>1.2465753424657535</v>
      </c>
      <c r="K949" s="799">
        <f t="shared" ca="1" si="747"/>
        <v>15.166666666666666</v>
      </c>
      <c r="L949" s="800">
        <f t="shared" ca="1" si="748"/>
        <v>455</v>
      </c>
      <c r="M949" s="801"/>
      <c r="N949" s="802"/>
      <c r="O949" s="803" t="str">
        <f t="shared" ca="1" si="749"/>
        <v>-</v>
      </c>
      <c r="P949" s="804"/>
      <c r="Q949" s="805"/>
      <c r="R949" s="806"/>
      <c r="S949" s="807"/>
      <c r="T949" s="798"/>
      <c r="U949" s="798" t="str">
        <f t="shared" si="750"/>
        <v>-</v>
      </c>
      <c r="V949" s="804" t="str">
        <f t="shared" ca="1" si="751"/>
        <v>-</v>
      </c>
      <c r="W949" s="808">
        <v>0</v>
      </c>
      <c r="X949" s="794" t="str">
        <f t="shared" si="744"/>
        <v>-</v>
      </c>
      <c r="Y949" s="794">
        <v>0</v>
      </c>
      <c r="Z949" s="809" t="str">
        <f t="shared" ca="1" si="752"/>
        <v>-----</v>
      </c>
      <c r="AA949" s="810">
        <f t="shared" ca="1" si="753"/>
        <v>43134</v>
      </c>
      <c r="AB949" s="804"/>
      <c r="AC949" s="811" t="str">
        <f t="shared" ca="1" si="754"/>
        <v>-----</v>
      </c>
      <c r="AD949" s="798"/>
      <c r="AE949" s="794" t="str">
        <f t="shared" ca="1" si="755"/>
        <v>-</v>
      </c>
      <c r="AF949" s="798" t="str">
        <f t="shared" si="756"/>
        <v>-</v>
      </c>
      <c r="AG949" s="812" t="str">
        <f t="shared" si="757"/>
        <v>---------</v>
      </c>
      <c r="AH949" s="807"/>
      <c r="AI949" s="807" t="str">
        <f t="shared" si="758"/>
        <v>-</v>
      </c>
      <c r="AJ949" s="807" t="str">
        <f t="shared" si="759"/>
        <v>-</v>
      </c>
      <c r="AK949" s="813"/>
      <c r="AL949" s="807" t="str">
        <f t="shared" si="760"/>
        <v>-</v>
      </c>
      <c r="AM949" s="807" t="str">
        <f t="shared" si="761"/>
        <v>-</v>
      </c>
      <c r="AN949" s="814" t="str">
        <f t="shared" ca="1" si="762"/>
        <v>-</v>
      </c>
      <c r="AO949" s="815">
        <v>1</v>
      </c>
      <c r="AP949" s="816" t="str">
        <f t="shared" ca="1" si="763"/>
        <v>-</v>
      </c>
      <c r="AQ949" s="817"/>
      <c r="AR949" s="794" t="str">
        <f t="shared" si="764"/>
        <v>-</v>
      </c>
      <c r="AS949" s="818"/>
      <c r="AT949" s="794" t="str">
        <f t="shared" si="765"/>
        <v>-</v>
      </c>
      <c r="AU949" s="819"/>
      <c r="AV949" s="820"/>
      <c r="AW949" s="821"/>
      <c r="AX949" s="821"/>
      <c r="AY949" s="969" t="str">
        <f t="shared" si="766"/>
        <v>-</v>
      </c>
      <c r="AZ949" s="966" t="str">
        <f t="shared" si="767"/>
        <v>-</v>
      </c>
      <c r="BA949" s="971" t="str">
        <f t="shared" si="768"/>
        <v>-</v>
      </c>
      <c r="BB949" s="975"/>
      <c r="BC949" s="821"/>
      <c r="BD949" s="821"/>
      <c r="BE949" s="963" t="str">
        <f t="shared" si="769"/>
        <v>-</v>
      </c>
      <c r="BF949" s="984"/>
      <c r="BG949" s="988"/>
      <c r="BH949" s="982"/>
      <c r="BI949" s="991"/>
      <c r="BJ949" s="991"/>
      <c r="BK949" s="993" t="str">
        <f t="shared" si="770"/>
        <v>-</v>
      </c>
      <c r="BL949" s="820">
        <v>42977</v>
      </c>
      <c r="BM949" s="821">
        <v>5</v>
      </c>
      <c r="BN949" s="822">
        <f t="shared" ca="1" si="771"/>
        <v>157</v>
      </c>
      <c r="BO949" s="823">
        <f t="shared" si="772"/>
        <v>9.9333333333333336</v>
      </c>
      <c r="BP949" s="824"/>
      <c r="BQ949" s="821"/>
      <c r="BR949" s="822" t="str">
        <f t="shared" si="773"/>
        <v>-</v>
      </c>
      <c r="BS949" s="823" t="str">
        <f t="shared" si="774"/>
        <v>-</v>
      </c>
      <c r="BT949" s="825" t="str">
        <f t="shared" ca="1" si="775"/>
        <v>-</v>
      </c>
      <c r="BU949" s="826"/>
      <c r="BV949" s="827"/>
      <c r="BW949" s="828" t="str">
        <f t="shared" si="776"/>
        <v>Ж-Е НЕ ВАКЦ.</v>
      </c>
      <c r="BX949" s="829" t="str">
        <f t="shared" si="777"/>
        <v>-</v>
      </c>
      <c r="BY949" s="830" t="str">
        <f t="shared" ca="1" si="778"/>
        <v>-</v>
      </c>
      <c r="BZ949" s="831">
        <v>42892</v>
      </c>
      <c r="CA949" s="832">
        <v>5</v>
      </c>
      <c r="CB949" s="833">
        <f t="shared" ca="1" si="779"/>
        <v>242</v>
      </c>
      <c r="CC949" s="834" t="str">
        <f t="shared" ca="1" si="780"/>
        <v>-</v>
      </c>
      <c r="CD949" s="835">
        <f t="shared" si="781"/>
        <v>42913</v>
      </c>
      <c r="CE949" s="831">
        <v>42913</v>
      </c>
      <c r="CF949" s="832">
        <v>5</v>
      </c>
      <c r="CG949" s="833">
        <f t="shared" ca="1" si="782"/>
        <v>221</v>
      </c>
      <c r="CH949" s="836">
        <f t="shared" si="783"/>
        <v>0</v>
      </c>
      <c r="CI949" s="837" t="str">
        <f t="shared" si="784"/>
        <v>УСПЕШНО</v>
      </c>
      <c r="CJ949" s="838" t="str">
        <f t="shared" ca="1" si="785"/>
        <v>-</v>
      </c>
      <c r="CK949" s="831"/>
      <c r="CL949" s="832"/>
      <c r="CM949" s="833" t="str">
        <f t="shared" si="786"/>
        <v>-</v>
      </c>
      <c r="CN949" s="834" t="str">
        <f t="shared" si="787"/>
        <v>-</v>
      </c>
      <c r="CO949" s="830" t="str">
        <f t="shared" ca="1" si="788"/>
        <v>-</v>
      </c>
      <c r="CP949" s="839"/>
      <c r="CQ949" s="832"/>
      <c r="CR949" s="833" t="str">
        <f t="shared" si="789"/>
        <v>-</v>
      </c>
      <c r="CS949" s="833" t="str">
        <f t="shared" si="790"/>
        <v>-</v>
      </c>
      <c r="CT949" s="834" t="str">
        <f t="shared" si="791"/>
        <v>-</v>
      </c>
      <c r="CU949" s="835" t="str">
        <f t="shared" si="792"/>
        <v>-</v>
      </c>
      <c r="CV949" s="839"/>
      <c r="CW949" s="832"/>
      <c r="CX949" s="833" t="str">
        <f t="shared" si="793"/>
        <v>-</v>
      </c>
      <c r="CY949" s="840" t="str">
        <f t="shared" si="794"/>
        <v>-</v>
      </c>
      <c r="CZ949" s="833" t="str">
        <f t="shared" si="795"/>
        <v>-</v>
      </c>
      <c r="DA949" s="838" t="str">
        <f t="shared" ca="1" si="796"/>
        <v>-</v>
      </c>
      <c r="DB949" s="841"/>
      <c r="DC949" s="832"/>
    </row>
    <row r="950" spans="1:107" x14ac:dyDescent="0.25">
      <c r="A950" s="790">
        <v>954</v>
      </c>
      <c r="B950" s="791">
        <f t="shared" ca="1" si="745"/>
        <v>43134</v>
      </c>
      <c r="C950" s="792" t="s">
        <v>2583</v>
      </c>
      <c r="D950" s="793" t="s">
        <v>2582</v>
      </c>
      <c r="E950" s="794" t="s">
        <v>1563</v>
      </c>
      <c r="F950" s="795" t="s">
        <v>2201</v>
      </c>
      <c r="G950" s="845"/>
      <c r="H950" s="797" t="s">
        <v>603</v>
      </c>
      <c r="I950" s="798">
        <v>42683</v>
      </c>
      <c r="J950" s="799">
        <f t="shared" ca="1" si="746"/>
        <v>1.2356164383561643</v>
      </c>
      <c r="K950" s="799">
        <f t="shared" ca="1" si="747"/>
        <v>15.033333333333333</v>
      </c>
      <c r="L950" s="800">
        <f t="shared" ca="1" si="748"/>
        <v>451</v>
      </c>
      <c r="M950" s="801"/>
      <c r="N950" s="802"/>
      <c r="O950" s="803" t="str">
        <f t="shared" ca="1" si="749"/>
        <v>-</v>
      </c>
      <c r="P950" s="804"/>
      <c r="Q950" s="805"/>
      <c r="R950" s="806"/>
      <c r="S950" s="807"/>
      <c r="T950" s="798"/>
      <c r="U950" s="798" t="str">
        <f t="shared" si="750"/>
        <v>-</v>
      </c>
      <c r="V950" s="804" t="str">
        <f t="shared" ca="1" si="751"/>
        <v>-</v>
      </c>
      <c r="W950" s="808">
        <v>0</v>
      </c>
      <c r="X950" s="794" t="str">
        <f t="shared" ref="X950:X1013" si="797">IF(AND(N950&gt;0,T950&gt;0),T950-N950,"-")</f>
        <v>-</v>
      </c>
      <c r="Y950" s="794">
        <v>0</v>
      </c>
      <c r="Z950" s="809" t="str">
        <f t="shared" ca="1" si="752"/>
        <v>-----</v>
      </c>
      <c r="AA950" s="810">
        <f t="shared" ca="1" si="753"/>
        <v>43134</v>
      </c>
      <c r="AB950" s="804"/>
      <c r="AC950" s="811" t="str">
        <f t="shared" ca="1" si="754"/>
        <v>-----</v>
      </c>
      <c r="AD950" s="798"/>
      <c r="AE950" s="794" t="str">
        <f t="shared" ca="1" si="755"/>
        <v>-</v>
      </c>
      <c r="AF950" s="798" t="str">
        <f t="shared" si="756"/>
        <v>-</v>
      </c>
      <c r="AG950" s="812" t="str">
        <f t="shared" si="757"/>
        <v>---------</v>
      </c>
      <c r="AH950" s="807"/>
      <c r="AI950" s="807" t="str">
        <f t="shared" si="758"/>
        <v>-</v>
      </c>
      <c r="AJ950" s="807" t="str">
        <f t="shared" si="759"/>
        <v>-</v>
      </c>
      <c r="AK950" s="813"/>
      <c r="AL950" s="807" t="str">
        <f t="shared" si="760"/>
        <v>-</v>
      </c>
      <c r="AM950" s="807" t="str">
        <f t="shared" si="761"/>
        <v>-</v>
      </c>
      <c r="AN950" s="814" t="str">
        <f t="shared" ca="1" si="762"/>
        <v>-</v>
      </c>
      <c r="AO950" s="815">
        <v>1</v>
      </c>
      <c r="AP950" s="816" t="str">
        <f t="shared" ca="1" si="763"/>
        <v>-</v>
      </c>
      <c r="AQ950" s="817"/>
      <c r="AR950" s="794" t="str">
        <f t="shared" si="764"/>
        <v>-</v>
      </c>
      <c r="AS950" s="818"/>
      <c r="AT950" s="794" t="str">
        <f t="shared" si="765"/>
        <v>-</v>
      </c>
      <c r="AU950" s="819"/>
      <c r="AV950" s="820"/>
      <c r="AW950" s="821"/>
      <c r="AX950" s="821"/>
      <c r="AY950" s="969" t="str">
        <f t="shared" si="766"/>
        <v>-</v>
      </c>
      <c r="AZ950" s="966" t="str">
        <f t="shared" si="767"/>
        <v>-</v>
      </c>
      <c r="BA950" s="971" t="str">
        <f t="shared" si="768"/>
        <v>-</v>
      </c>
      <c r="BB950" s="975"/>
      <c r="BC950" s="821"/>
      <c r="BD950" s="821"/>
      <c r="BE950" s="963" t="str">
        <f t="shared" si="769"/>
        <v>-</v>
      </c>
      <c r="BF950" s="984"/>
      <c r="BG950" s="988"/>
      <c r="BH950" s="982"/>
      <c r="BI950" s="991"/>
      <c r="BJ950" s="991"/>
      <c r="BK950" s="993" t="str">
        <f t="shared" si="770"/>
        <v>-</v>
      </c>
      <c r="BL950" s="820">
        <v>42977</v>
      </c>
      <c r="BM950" s="821">
        <v>5</v>
      </c>
      <c r="BN950" s="822">
        <f t="shared" ca="1" si="771"/>
        <v>157</v>
      </c>
      <c r="BO950" s="823">
        <f t="shared" si="772"/>
        <v>9.8000000000000007</v>
      </c>
      <c r="BP950" s="824"/>
      <c r="BQ950" s="821"/>
      <c r="BR950" s="822" t="str">
        <f t="shared" si="773"/>
        <v>-</v>
      </c>
      <c r="BS950" s="823" t="str">
        <f t="shared" si="774"/>
        <v>-</v>
      </c>
      <c r="BT950" s="825" t="str">
        <f t="shared" ca="1" si="775"/>
        <v>-</v>
      </c>
      <c r="BU950" s="826"/>
      <c r="BV950" s="827"/>
      <c r="BW950" s="828" t="str">
        <f t="shared" si="776"/>
        <v>Ж-Е НЕ ВАКЦ.</v>
      </c>
      <c r="BX950" s="829" t="str">
        <f t="shared" si="777"/>
        <v>-</v>
      </c>
      <c r="BY950" s="830" t="str">
        <f t="shared" ca="1" si="778"/>
        <v>-</v>
      </c>
      <c r="BZ950" s="831">
        <v>42892</v>
      </c>
      <c r="CA950" s="832">
        <v>5</v>
      </c>
      <c r="CB950" s="833">
        <f t="shared" ca="1" si="779"/>
        <v>242</v>
      </c>
      <c r="CC950" s="834" t="str">
        <f t="shared" ca="1" si="780"/>
        <v>-</v>
      </c>
      <c r="CD950" s="835">
        <f t="shared" si="781"/>
        <v>42913</v>
      </c>
      <c r="CE950" s="831">
        <v>42913</v>
      </c>
      <c r="CF950" s="832">
        <v>5</v>
      </c>
      <c r="CG950" s="833">
        <f t="shared" ca="1" si="782"/>
        <v>221</v>
      </c>
      <c r="CH950" s="836">
        <f t="shared" si="783"/>
        <v>0</v>
      </c>
      <c r="CI950" s="837" t="str">
        <f t="shared" si="784"/>
        <v>УСПЕШНО</v>
      </c>
      <c r="CJ950" s="838" t="str">
        <f t="shared" ca="1" si="785"/>
        <v>-</v>
      </c>
      <c r="CK950" s="831"/>
      <c r="CL950" s="832"/>
      <c r="CM950" s="833" t="str">
        <f t="shared" si="786"/>
        <v>-</v>
      </c>
      <c r="CN950" s="834" t="str">
        <f t="shared" si="787"/>
        <v>-</v>
      </c>
      <c r="CO950" s="830" t="str">
        <f t="shared" ca="1" si="788"/>
        <v>-</v>
      </c>
      <c r="CP950" s="839"/>
      <c r="CQ950" s="832"/>
      <c r="CR950" s="833" t="str">
        <f t="shared" si="789"/>
        <v>-</v>
      </c>
      <c r="CS950" s="833" t="str">
        <f t="shared" si="790"/>
        <v>-</v>
      </c>
      <c r="CT950" s="834" t="str">
        <f t="shared" si="791"/>
        <v>-</v>
      </c>
      <c r="CU950" s="835" t="str">
        <f t="shared" si="792"/>
        <v>-</v>
      </c>
      <c r="CV950" s="839"/>
      <c r="CW950" s="832"/>
      <c r="CX950" s="833" t="str">
        <f t="shared" si="793"/>
        <v>-</v>
      </c>
      <c r="CY950" s="840" t="str">
        <f t="shared" si="794"/>
        <v>-</v>
      </c>
      <c r="CZ950" s="833" t="str">
        <f t="shared" si="795"/>
        <v>-</v>
      </c>
      <c r="DA950" s="838" t="str">
        <f t="shared" ca="1" si="796"/>
        <v>-</v>
      </c>
      <c r="DB950" s="841"/>
      <c r="DC950" s="832"/>
    </row>
    <row r="951" spans="1:107" x14ac:dyDescent="0.25">
      <c r="A951" s="790">
        <v>955</v>
      </c>
      <c r="B951" s="791">
        <f t="shared" ca="1" si="745"/>
        <v>43134</v>
      </c>
      <c r="C951" s="792" t="s">
        <v>2583</v>
      </c>
      <c r="D951" s="793" t="s">
        <v>2582</v>
      </c>
      <c r="E951" s="794" t="s">
        <v>1563</v>
      </c>
      <c r="F951" s="795" t="s">
        <v>2203</v>
      </c>
      <c r="G951" s="845"/>
      <c r="H951" s="797" t="s">
        <v>603</v>
      </c>
      <c r="I951" s="798">
        <v>42684</v>
      </c>
      <c r="J951" s="799">
        <f t="shared" ca="1" si="746"/>
        <v>1.2328767123287672</v>
      </c>
      <c r="K951" s="799">
        <f t="shared" ca="1" si="747"/>
        <v>15</v>
      </c>
      <c r="L951" s="800">
        <f t="shared" ca="1" si="748"/>
        <v>450</v>
      </c>
      <c r="M951" s="801"/>
      <c r="N951" s="802"/>
      <c r="O951" s="803" t="str">
        <f t="shared" ca="1" si="749"/>
        <v>-</v>
      </c>
      <c r="P951" s="804"/>
      <c r="Q951" s="805"/>
      <c r="R951" s="806"/>
      <c r="S951" s="807"/>
      <c r="T951" s="798"/>
      <c r="U951" s="798" t="str">
        <f t="shared" si="750"/>
        <v>-</v>
      </c>
      <c r="V951" s="804" t="str">
        <f t="shared" ca="1" si="751"/>
        <v>-</v>
      </c>
      <c r="W951" s="808">
        <v>0</v>
      </c>
      <c r="X951" s="794" t="str">
        <f t="shared" si="797"/>
        <v>-</v>
      </c>
      <c r="Y951" s="794">
        <v>0</v>
      </c>
      <c r="Z951" s="809" t="str">
        <f t="shared" ca="1" si="752"/>
        <v>-----</v>
      </c>
      <c r="AA951" s="810">
        <f t="shared" ca="1" si="753"/>
        <v>43134</v>
      </c>
      <c r="AB951" s="804"/>
      <c r="AC951" s="811" t="str">
        <f t="shared" ca="1" si="754"/>
        <v>-----</v>
      </c>
      <c r="AD951" s="798"/>
      <c r="AE951" s="794" t="str">
        <f t="shared" ca="1" si="755"/>
        <v>-</v>
      </c>
      <c r="AF951" s="798" t="str">
        <f t="shared" si="756"/>
        <v>-</v>
      </c>
      <c r="AG951" s="812" t="str">
        <f t="shared" si="757"/>
        <v>---------</v>
      </c>
      <c r="AH951" s="807"/>
      <c r="AI951" s="807" t="str">
        <f t="shared" si="758"/>
        <v>-</v>
      </c>
      <c r="AJ951" s="807" t="str">
        <f t="shared" si="759"/>
        <v>-</v>
      </c>
      <c r="AK951" s="813"/>
      <c r="AL951" s="807" t="str">
        <f t="shared" si="760"/>
        <v>-</v>
      </c>
      <c r="AM951" s="807" t="str">
        <f t="shared" si="761"/>
        <v>-</v>
      </c>
      <c r="AN951" s="814" t="str">
        <f t="shared" ca="1" si="762"/>
        <v>-</v>
      </c>
      <c r="AO951" s="815">
        <v>1</v>
      </c>
      <c r="AP951" s="816" t="str">
        <f t="shared" ca="1" si="763"/>
        <v>-</v>
      </c>
      <c r="AQ951" s="817"/>
      <c r="AR951" s="794" t="str">
        <f t="shared" si="764"/>
        <v>-</v>
      </c>
      <c r="AS951" s="818"/>
      <c r="AT951" s="794" t="str">
        <f t="shared" si="765"/>
        <v>-</v>
      </c>
      <c r="AU951" s="819"/>
      <c r="AV951" s="820"/>
      <c r="AW951" s="821"/>
      <c r="AX951" s="821"/>
      <c r="AY951" s="969" t="str">
        <f t="shared" si="766"/>
        <v>-</v>
      </c>
      <c r="AZ951" s="966" t="str">
        <f t="shared" si="767"/>
        <v>-</v>
      </c>
      <c r="BA951" s="971" t="str">
        <f t="shared" si="768"/>
        <v>-</v>
      </c>
      <c r="BB951" s="975"/>
      <c r="BC951" s="821"/>
      <c r="BD951" s="821"/>
      <c r="BE951" s="963" t="str">
        <f t="shared" si="769"/>
        <v>-</v>
      </c>
      <c r="BF951" s="984"/>
      <c r="BG951" s="988"/>
      <c r="BH951" s="982"/>
      <c r="BI951" s="991"/>
      <c r="BJ951" s="991"/>
      <c r="BK951" s="993" t="str">
        <f t="shared" si="770"/>
        <v>-</v>
      </c>
      <c r="BL951" s="820">
        <v>42977</v>
      </c>
      <c r="BM951" s="821">
        <v>5</v>
      </c>
      <c r="BN951" s="822">
        <f t="shared" ca="1" si="771"/>
        <v>157</v>
      </c>
      <c r="BO951" s="823">
        <f t="shared" si="772"/>
        <v>9.7666666666666675</v>
      </c>
      <c r="BP951" s="824"/>
      <c r="BQ951" s="821"/>
      <c r="BR951" s="822" t="str">
        <f t="shared" si="773"/>
        <v>-</v>
      </c>
      <c r="BS951" s="823" t="str">
        <f t="shared" si="774"/>
        <v>-</v>
      </c>
      <c r="BT951" s="825" t="str">
        <f t="shared" ca="1" si="775"/>
        <v>-</v>
      </c>
      <c r="BU951" s="826"/>
      <c r="BV951" s="827"/>
      <c r="BW951" s="828" t="str">
        <f t="shared" si="776"/>
        <v>Ж-Е НЕ ВАКЦ.</v>
      </c>
      <c r="BX951" s="829" t="str">
        <f t="shared" si="777"/>
        <v>-</v>
      </c>
      <c r="BY951" s="830" t="str">
        <f t="shared" ca="1" si="778"/>
        <v>-</v>
      </c>
      <c r="BZ951" s="831">
        <v>42888</v>
      </c>
      <c r="CA951" s="832">
        <v>5</v>
      </c>
      <c r="CB951" s="833">
        <f t="shared" ca="1" si="779"/>
        <v>246</v>
      </c>
      <c r="CC951" s="834" t="str">
        <f t="shared" ca="1" si="780"/>
        <v>-</v>
      </c>
      <c r="CD951" s="835">
        <f t="shared" si="781"/>
        <v>42909</v>
      </c>
      <c r="CE951" s="831">
        <v>42909</v>
      </c>
      <c r="CF951" s="832">
        <v>5</v>
      </c>
      <c r="CG951" s="833">
        <f t="shared" ca="1" si="782"/>
        <v>225</v>
      </c>
      <c r="CH951" s="836">
        <f t="shared" si="783"/>
        <v>0</v>
      </c>
      <c r="CI951" s="837" t="str">
        <f t="shared" si="784"/>
        <v>УСПЕШНО</v>
      </c>
      <c r="CJ951" s="838" t="str">
        <f t="shared" ca="1" si="785"/>
        <v>-</v>
      </c>
      <c r="CK951" s="831"/>
      <c r="CL951" s="832"/>
      <c r="CM951" s="833" t="str">
        <f t="shared" si="786"/>
        <v>-</v>
      </c>
      <c r="CN951" s="834" t="str">
        <f t="shared" si="787"/>
        <v>-</v>
      </c>
      <c r="CO951" s="830" t="str">
        <f t="shared" ca="1" si="788"/>
        <v>-</v>
      </c>
      <c r="CP951" s="839"/>
      <c r="CQ951" s="832"/>
      <c r="CR951" s="833" t="str">
        <f t="shared" si="789"/>
        <v>-</v>
      </c>
      <c r="CS951" s="833" t="str">
        <f t="shared" si="790"/>
        <v>-</v>
      </c>
      <c r="CT951" s="834" t="str">
        <f t="shared" si="791"/>
        <v>-</v>
      </c>
      <c r="CU951" s="835" t="str">
        <f t="shared" si="792"/>
        <v>-</v>
      </c>
      <c r="CV951" s="839"/>
      <c r="CW951" s="832"/>
      <c r="CX951" s="833" t="str">
        <f t="shared" si="793"/>
        <v>-</v>
      </c>
      <c r="CY951" s="840" t="str">
        <f t="shared" si="794"/>
        <v>-</v>
      </c>
      <c r="CZ951" s="833" t="str">
        <f t="shared" si="795"/>
        <v>-</v>
      </c>
      <c r="DA951" s="838" t="str">
        <f t="shared" ca="1" si="796"/>
        <v>-</v>
      </c>
      <c r="DB951" s="841"/>
      <c r="DC951" s="832"/>
    </row>
    <row r="952" spans="1:107" x14ac:dyDescent="0.25">
      <c r="A952" s="790">
        <v>956</v>
      </c>
      <c r="B952" s="791">
        <f t="shared" ca="1" si="745"/>
        <v>43134</v>
      </c>
      <c r="C952" s="792" t="s">
        <v>2583</v>
      </c>
      <c r="D952" s="793" t="s">
        <v>2582</v>
      </c>
      <c r="E952" s="794" t="s">
        <v>1563</v>
      </c>
      <c r="F952" s="795" t="s">
        <v>2205</v>
      </c>
      <c r="G952" s="845"/>
      <c r="H952" s="797" t="s">
        <v>603</v>
      </c>
      <c r="I952" s="798">
        <v>42685</v>
      </c>
      <c r="J952" s="799">
        <f t="shared" ca="1" si="746"/>
        <v>1.2301369863013698</v>
      </c>
      <c r="K952" s="799">
        <f t="shared" ca="1" si="747"/>
        <v>14.966666666666667</v>
      </c>
      <c r="L952" s="800">
        <f t="shared" ca="1" si="748"/>
        <v>449</v>
      </c>
      <c r="M952" s="801"/>
      <c r="N952" s="802"/>
      <c r="O952" s="803" t="str">
        <f t="shared" ca="1" si="749"/>
        <v>-</v>
      </c>
      <c r="P952" s="804"/>
      <c r="Q952" s="805"/>
      <c r="R952" s="806"/>
      <c r="S952" s="807"/>
      <c r="T952" s="798"/>
      <c r="U952" s="798" t="str">
        <f t="shared" si="750"/>
        <v>-</v>
      </c>
      <c r="V952" s="804" t="str">
        <f t="shared" ca="1" si="751"/>
        <v>-</v>
      </c>
      <c r="W952" s="808">
        <v>0</v>
      </c>
      <c r="X952" s="794" t="str">
        <f t="shared" si="797"/>
        <v>-</v>
      </c>
      <c r="Y952" s="794">
        <v>0</v>
      </c>
      <c r="Z952" s="809" t="str">
        <f t="shared" ca="1" si="752"/>
        <v>-----</v>
      </c>
      <c r="AA952" s="810">
        <f t="shared" ca="1" si="753"/>
        <v>43134</v>
      </c>
      <c r="AB952" s="804"/>
      <c r="AC952" s="811" t="str">
        <f t="shared" ca="1" si="754"/>
        <v>-----</v>
      </c>
      <c r="AD952" s="798"/>
      <c r="AE952" s="794" t="str">
        <f t="shared" ca="1" si="755"/>
        <v>-</v>
      </c>
      <c r="AF952" s="798" t="str">
        <f t="shared" si="756"/>
        <v>-</v>
      </c>
      <c r="AG952" s="812" t="str">
        <f t="shared" si="757"/>
        <v>---------</v>
      </c>
      <c r="AH952" s="807"/>
      <c r="AI952" s="807" t="str">
        <f t="shared" si="758"/>
        <v>-</v>
      </c>
      <c r="AJ952" s="807" t="str">
        <f t="shared" si="759"/>
        <v>-</v>
      </c>
      <c r="AK952" s="813"/>
      <c r="AL952" s="807" t="str">
        <f t="shared" si="760"/>
        <v>-</v>
      </c>
      <c r="AM952" s="807" t="str">
        <f t="shared" si="761"/>
        <v>-</v>
      </c>
      <c r="AN952" s="814" t="str">
        <f t="shared" ca="1" si="762"/>
        <v>-</v>
      </c>
      <c r="AO952" s="815">
        <v>1</v>
      </c>
      <c r="AP952" s="816" t="str">
        <f t="shared" ca="1" si="763"/>
        <v>-</v>
      </c>
      <c r="AQ952" s="817"/>
      <c r="AR952" s="794" t="str">
        <f t="shared" si="764"/>
        <v>-</v>
      </c>
      <c r="AS952" s="818"/>
      <c r="AT952" s="794" t="str">
        <f t="shared" si="765"/>
        <v>-</v>
      </c>
      <c r="AU952" s="819"/>
      <c r="AV952" s="820"/>
      <c r="AW952" s="821"/>
      <c r="AX952" s="821"/>
      <c r="AY952" s="969" t="str">
        <f t="shared" si="766"/>
        <v>-</v>
      </c>
      <c r="AZ952" s="966" t="str">
        <f t="shared" si="767"/>
        <v>-</v>
      </c>
      <c r="BA952" s="971" t="str">
        <f t="shared" si="768"/>
        <v>-</v>
      </c>
      <c r="BB952" s="975"/>
      <c r="BC952" s="821"/>
      <c r="BD952" s="821"/>
      <c r="BE952" s="963" t="str">
        <f t="shared" si="769"/>
        <v>-</v>
      </c>
      <c r="BF952" s="984"/>
      <c r="BG952" s="988"/>
      <c r="BH952" s="982"/>
      <c r="BI952" s="991"/>
      <c r="BJ952" s="991"/>
      <c r="BK952" s="993" t="str">
        <f t="shared" si="770"/>
        <v>-</v>
      </c>
      <c r="BL952" s="820">
        <v>42977</v>
      </c>
      <c r="BM952" s="821">
        <v>5</v>
      </c>
      <c r="BN952" s="822">
        <f t="shared" ca="1" si="771"/>
        <v>157</v>
      </c>
      <c r="BO952" s="823">
        <f t="shared" si="772"/>
        <v>9.7333333333333325</v>
      </c>
      <c r="BP952" s="824"/>
      <c r="BQ952" s="821"/>
      <c r="BR952" s="822" t="str">
        <f t="shared" si="773"/>
        <v>-</v>
      </c>
      <c r="BS952" s="823" t="str">
        <f t="shared" si="774"/>
        <v>-</v>
      </c>
      <c r="BT952" s="825" t="str">
        <f t="shared" ca="1" si="775"/>
        <v>-</v>
      </c>
      <c r="BU952" s="826"/>
      <c r="BV952" s="827"/>
      <c r="BW952" s="828" t="str">
        <f t="shared" si="776"/>
        <v>Ж-Е НЕ ВАКЦ.</v>
      </c>
      <c r="BX952" s="829" t="str">
        <f t="shared" si="777"/>
        <v>-</v>
      </c>
      <c r="BY952" s="830" t="str">
        <f t="shared" ca="1" si="778"/>
        <v>-</v>
      </c>
      <c r="BZ952" s="831">
        <v>42888</v>
      </c>
      <c r="CA952" s="832">
        <v>5</v>
      </c>
      <c r="CB952" s="833">
        <f t="shared" ca="1" si="779"/>
        <v>246</v>
      </c>
      <c r="CC952" s="834" t="str">
        <f t="shared" ca="1" si="780"/>
        <v>-</v>
      </c>
      <c r="CD952" s="835">
        <f t="shared" si="781"/>
        <v>42909</v>
      </c>
      <c r="CE952" s="831">
        <v>42909</v>
      </c>
      <c r="CF952" s="832">
        <v>5</v>
      </c>
      <c r="CG952" s="833">
        <f t="shared" ca="1" si="782"/>
        <v>225</v>
      </c>
      <c r="CH952" s="836">
        <f t="shared" si="783"/>
        <v>0</v>
      </c>
      <c r="CI952" s="837" t="str">
        <f t="shared" si="784"/>
        <v>УСПЕШНО</v>
      </c>
      <c r="CJ952" s="838" t="str">
        <f t="shared" ca="1" si="785"/>
        <v>-</v>
      </c>
      <c r="CK952" s="831"/>
      <c r="CL952" s="832"/>
      <c r="CM952" s="833" t="str">
        <f t="shared" si="786"/>
        <v>-</v>
      </c>
      <c r="CN952" s="834" t="str">
        <f t="shared" si="787"/>
        <v>-</v>
      </c>
      <c r="CO952" s="830" t="str">
        <f t="shared" ca="1" si="788"/>
        <v>-</v>
      </c>
      <c r="CP952" s="839"/>
      <c r="CQ952" s="832"/>
      <c r="CR952" s="833" t="str">
        <f t="shared" si="789"/>
        <v>-</v>
      </c>
      <c r="CS952" s="833" t="str">
        <f t="shared" si="790"/>
        <v>-</v>
      </c>
      <c r="CT952" s="834" t="str">
        <f t="shared" si="791"/>
        <v>-</v>
      </c>
      <c r="CU952" s="835" t="str">
        <f t="shared" si="792"/>
        <v>-</v>
      </c>
      <c r="CV952" s="839"/>
      <c r="CW952" s="832"/>
      <c r="CX952" s="833" t="str">
        <f t="shared" si="793"/>
        <v>-</v>
      </c>
      <c r="CY952" s="840" t="str">
        <f t="shared" si="794"/>
        <v>-</v>
      </c>
      <c r="CZ952" s="833" t="str">
        <f t="shared" si="795"/>
        <v>-</v>
      </c>
      <c r="DA952" s="838" t="str">
        <f t="shared" ca="1" si="796"/>
        <v>-</v>
      </c>
      <c r="DB952" s="841"/>
      <c r="DC952" s="832"/>
    </row>
    <row r="953" spans="1:107" x14ac:dyDescent="0.25">
      <c r="A953" s="790">
        <v>957</v>
      </c>
      <c r="B953" s="791">
        <f t="shared" ca="1" si="745"/>
        <v>43134</v>
      </c>
      <c r="C953" s="792" t="s">
        <v>2583</v>
      </c>
      <c r="D953" s="793" t="s">
        <v>2582</v>
      </c>
      <c r="E953" s="794" t="s">
        <v>1563</v>
      </c>
      <c r="F953" s="795" t="s">
        <v>2208</v>
      </c>
      <c r="G953" s="845"/>
      <c r="H953" s="797" t="s">
        <v>603</v>
      </c>
      <c r="I953" s="798">
        <v>42686</v>
      </c>
      <c r="J953" s="799">
        <f t="shared" ca="1" si="746"/>
        <v>1.2273972602739727</v>
      </c>
      <c r="K953" s="799">
        <f t="shared" ca="1" si="747"/>
        <v>14.933333333333334</v>
      </c>
      <c r="L953" s="800">
        <f t="shared" ca="1" si="748"/>
        <v>448</v>
      </c>
      <c r="M953" s="801"/>
      <c r="N953" s="802"/>
      <c r="O953" s="803" t="str">
        <f t="shared" ca="1" si="749"/>
        <v>-</v>
      </c>
      <c r="P953" s="804"/>
      <c r="Q953" s="805"/>
      <c r="R953" s="806"/>
      <c r="S953" s="807"/>
      <c r="T953" s="798"/>
      <c r="U953" s="798" t="str">
        <f t="shared" si="750"/>
        <v>-</v>
      </c>
      <c r="V953" s="804" t="str">
        <f t="shared" ca="1" si="751"/>
        <v>-</v>
      </c>
      <c r="W953" s="808">
        <v>0</v>
      </c>
      <c r="X953" s="794" t="str">
        <f t="shared" si="797"/>
        <v>-</v>
      </c>
      <c r="Y953" s="794">
        <v>0</v>
      </c>
      <c r="Z953" s="809" t="str">
        <f t="shared" ca="1" si="752"/>
        <v>-----</v>
      </c>
      <c r="AA953" s="810">
        <f t="shared" ca="1" si="753"/>
        <v>43134</v>
      </c>
      <c r="AB953" s="804"/>
      <c r="AC953" s="811" t="str">
        <f t="shared" ca="1" si="754"/>
        <v>-----</v>
      </c>
      <c r="AD953" s="798"/>
      <c r="AE953" s="794" t="str">
        <f t="shared" ca="1" si="755"/>
        <v>-</v>
      </c>
      <c r="AF953" s="798" t="str">
        <f t="shared" si="756"/>
        <v>-</v>
      </c>
      <c r="AG953" s="812" t="str">
        <f t="shared" si="757"/>
        <v>---------</v>
      </c>
      <c r="AH953" s="807"/>
      <c r="AI953" s="807" t="str">
        <f t="shared" si="758"/>
        <v>-</v>
      </c>
      <c r="AJ953" s="807" t="str">
        <f t="shared" si="759"/>
        <v>-</v>
      </c>
      <c r="AK953" s="813"/>
      <c r="AL953" s="807" t="str">
        <f t="shared" si="760"/>
        <v>-</v>
      </c>
      <c r="AM953" s="807" t="str">
        <f t="shared" si="761"/>
        <v>-</v>
      </c>
      <c r="AN953" s="814" t="str">
        <f t="shared" ca="1" si="762"/>
        <v>-</v>
      </c>
      <c r="AO953" s="815">
        <v>1</v>
      </c>
      <c r="AP953" s="816" t="str">
        <f t="shared" ca="1" si="763"/>
        <v>-</v>
      </c>
      <c r="AQ953" s="817"/>
      <c r="AR953" s="794" t="str">
        <f t="shared" si="764"/>
        <v>-</v>
      </c>
      <c r="AS953" s="818"/>
      <c r="AT953" s="794" t="str">
        <f t="shared" si="765"/>
        <v>-</v>
      </c>
      <c r="AU953" s="819"/>
      <c r="AV953" s="820"/>
      <c r="AW953" s="821"/>
      <c r="AX953" s="821"/>
      <c r="AY953" s="969" t="str">
        <f t="shared" si="766"/>
        <v>-</v>
      </c>
      <c r="AZ953" s="966" t="str">
        <f t="shared" si="767"/>
        <v>-</v>
      </c>
      <c r="BA953" s="971" t="str">
        <f t="shared" si="768"/>
        <v>-</v>
      </c>
      <c r="BB953" s="975"/>
      <c r="BC953" s="821"/>
      <c r="BD953" s="821"/>
      <c r="BE953" s="963" t="str">
        <f t="shared" si="769"/>
        <v>-</v>
      </c>
      <c r="BF953" s="984"/>
      <c r="BG953" s="988"/>
      <c r="BH953" s="982"/>
      <c r="BI953" s="991"/>
      <c r="BJ953" s="991"/>
      <c r="BK953" s="993" t="str">
        <f t="shared" si="770"/>
        <v>-</v>
      </c>
      <c r="BL953" s="820">
        <v>42977</v>
      </c>
      <c r="BM953" s="821">
        <v>5</v>
      </c>
      <c r="BN953" s="822">
        <f t="shared" ca="1" si="771"/>
        <v>157</v>
      </c>
      <c r="BO953" s="823">
        <f t="shared" si="772"/>
        <v>9.6999999999999993</v>
      </c>
      <c r="BP953" s="824"/>
      <c r="BQ953" s="821"/>
      <c r="BR953" s="822" t="str">
        <f t="shared" si="773"/>
        <v>-</v>
      </c>
      <c r="BS953" s="823" t="str">
        <f t="shared" si="774"/>
        <v>-</v>
      </c>
      <c r="BT953" s="825" t="str">
        <f t="shared" ca="1" si="775"/>
        <v>-</v>
      </c>
      <c r="BU953" s="826"/>
      <c r="BV953" s="827"/>
      <c r="BW953" s="828" t="str">
        <f t="shared" si="776"/>
        <v>Ж-Е НЕ ВАКЦ.</v>
      </c>
      <c r="BX953" s="829" t="str">
        <f t="shared" si="777"/>
        <v>-</v>
      </c>
      <c r="BY953" s="830" t="str">
        <f t="shared" ca="1" si="778"/>
        <v>-</v>
      </c>
      <c r="BZ953" s="831">
        <v>42892</v>
      </c>
      <c r="CA953" s="832">
        <v>5</v>
      </c>
      <c r="CB953" s="833">
        <f t="shared" ca="1" si="779"/>
        <v>242</v>
      </c>
      <c r="CC953" s="834" t="str">
        <f t="shared" ca="1" si="780"/>
        <v>-</v>
      </c>
      <c r="CD953" s="835">
        <f t="shared" si="781"/>
        <v>42913</v>
      </c>
      <c r="CE953" s="831">
        <v>42913</v>
      </c>
      <c r="CF953" s="832">
        <v>5</v>
      </c>
      <c r="CG953" s="833">
        <f t="shared" ca="1" si="782"/>
        <v>221</v>
      </c>
      <c r="CH953" s="836">
        <f t="shared" si="783"/>
        <v>0</v>
      </c>
      <c r="CI953" s="837" t="str">
        <f t="shared" si="784"/>
        <v>УСПЕШНО</v>
      </c>
      <c r="CJ953" s="838" t="str">
        <f t="shared" ca="1" si="785"/>
        <v>-</v>
      </c>
      <c r="CK953" s="831"/>
      <c r="CL953" s="832"/>
      <c r="CM953" s="833" t="str">
        <f t="shared" si="786"/>
        <v>-</v>
      </c>
      <c r="CN953" s="834" t="str">
        <f t="shared" si="787"/>
        <v>-</v>
      </c>
      <c r="CO953" s="830" t="str">
        <f t="shared" ca="1" si="788"/>
        <v>-</v>
      </c>
      <c r="CP953" s="839"/>
      <c r="CQ953" s="832"/>
      <c r="CR953" s="833" t="str">
        <f t="shared" si="789"/>
        <v>-</v>
      </c>
      <c r="CS953" s="833" t="str">
        <f t="shared" si="790"/>
        <v>-</v>
      </c>
      <c r="CT953" s="834" t="str">
        <f t="shared" si="791"/>
        <v>-</v>
      </c>
      <c r="CU953" s="835" t="str">
        <f t="shared" si="792"/>
        <v>-</v>
      </c>
      <c r="CV953" s="839"/>
      <c r="CW953" s="832"/>
      <c r="CX953" s="833" t="str">
        <f t="shared" si="793"/>
        <v>-</v>
      </c>
      <c r="CY953" s="840" t="str">
        <f t="shared" si="794"/>
        <v>-</v>
      </c>
      <c r="CZ953" s="833" t="str">
        <f t="shared" si="795"/>
        <v>-</v>
      </c>
      <c r="DA953" s="838" t="str">
        <f t="shared" ca="1" si="796"/>
        <v>-</v>
      </c>
      <c r="DB953" s="841"/>
      <c r="DC953" s="832"/>
    </row>
    <row r="954" spans="1:107" x14ac:dyDescent="0.25">
      <c r="A954" s="790">
        <v>958</v>
      </c>
      <c r="B954" s="791">
        <f t="shared" ca="1" si="745"/>
        <v>43134</v>
      </c>
      <c r="C954" s="792" t="s">
        <v>2583</v>
      </c>
      <c r="D954" s="793" t="s">
        <v>2582</v>
      </c>
      <c r="E954" s="794" t="s">
        <v>1563</v>
      </c>
      <c r="F954" s="795" t="s">
        <v>2212</v>
      </c>
      <c r="G954" s="845"/>
      <c r="H954" s="797" t="s">
        <v>603</v>
      </c>
      <c r="I954" s="798">
        <v>42689</v>
      </c>
      <c r="J954" s="799">
        <f t="shared" ca="1" si="746"/>
        <v>1.2191780821917808</v>
      </c>
      <c r="K954" s="799">
        <f t="shared" ca="1" si="747"/>
        <v>14.833333333333334</v>
      </c>
      <c r="L954" s="800">
        <f t="shared" ca="1" si="748"/>
        <v>445</v>
      </c>
      <c r="M954" s="801"/>
      <c r="N954" s="802"/>
      <c r="O954" s="803" t="str">
        <f t="shared" ca="1" si="749"/>
        <v>-</v>
      </c>
      <c r="P954" s="804"/>
      <c r="Q954" s="805"/>
      <c r="R954" s="806"/>
      <c r="S954" s="807"/>
      <c r="T954" s="798"/>
      <c r="U954" s="798" t="str">
        <f t="shared" si="750"/>
        <v>-</v>
      </c>
      <c r="V954" s="804" t="str">
        <f t="shared" ca="1" si="751"/>
        <v>-</v>
      </c>
      <c r="W954" s="808">
        <v>0</v>
      </c>
      <c r="X954" s="794" t="str">
        <f t="shared" si="797"/>
        <v>-</v>
      </c>
      <c r="Y954" s="794">
        <v>0</v>
      </c>
      <c r="Z954" s="809" t="str">
        <f t="shared" ca="1" si="752"/>
        <v>-----</v>
      </c>
      <c r="AA954" s="810">
        <f t="shared" ca="1" si="753"/>
        <v>43134</v>
      </c>
      <c r="AB954" s="804"/>
      <c r="AC954" s="811" t="str">
        <f t="shared" ca="1" si="754"/>
        <v>-----</v>
      </c>
      <c r="AD954" s="798"/>
      <c r="AE954" s="794" t="str">
        <f t="shared" ca="1" si="755"/>
        <v>-</v>
      </c>
      <c r="AF954" s="798" t="str">
        <f t="shared" si="756"/>
        <v>-</v>
      </c>
      <c r="AG954" s="812" t="str">
        <f t="shared" si="757"/>
        <v>---------</v>
      </c>
      <c r="AH954" s="807"/>
      <c r="AI954" s="807" t="str">
        <f t="shared" si="758"/>
        <v>-</v>
      </c>
      <c r="AJ954" s="807" t="str">
        <f t="shared" si="759"/>
        <v>-</v>
      </c>
      <c r="AK954" s="813"/>
      <c r="AL954" s="807" t="str">
        <f t="shared" si="760"/>
        <v>-</v>
      </c>
      <c r="AM954" s="807" t="str">
        <f t="shared" si="761"/>
        <v>-</v>
      </c>
      <c r="AN954" s="814" t="str">
        <f t="shared" ca="1" si="762"/>
        <v>-</v>
      </c>
      <c r="AO954" s="815">
        <v>1</v>
      </c>
      <c r="AP954" s="816" t="str">
        <f t="shared" ca="1" si="763"/>
        <v>-</v>
      </c>
      <c r="AQ954" s="817"/>
      <c r="AR954" s="794" t="str">
        <f t="shared" si="764"/>
        <v>-</v>
      </c>
      <c r="AS954" s="818"/>
      <c r="AT954" s="794" t="str">
        <f t="shared" si="765"/>
        <v>-</v>
      </c>
      <c r="AU954" s="819"/>
      <c r="AV954" s="820"/>
      <c r="AW954" s="821"/>
      <c r="AX954" s="821"/>
      <c r="AY954" s="969" t="str">
        <f t="shared" si="766"/>
        <v>-</v>
      </c>
      <c r="AZ954" s="966" t="str">
        <f t="shared" si="767"/>
        <v>-</v>
      </c>
      <c r="BA954" s="971" t="str">
        <f t="shared" si="768"/>
        <v>-</v>
      </c>
      <c r="BB954" s="975"/>
      <c r="BC954" s="821"/>
      <c r="BD954" s="821"/>
      <c r="BE954" s="963" t="str">
        <f t="shared" si="769"/>
        <v>-</v>
      </c>
      <c r="BF954" s="984"/>
      <c r="BG954" s="988"/>
      <c r="BH954" s="982"/>
      <c r="BI954" s="991"/>
      <c r="BJ954" s="991"/>
      <c r="BK954" s="993" t="str">
        <f t="shared" si="770"/>
        <v>-</v>
      </c>
      <c r="BL954" s="820">
        <v>42977</v>
      </c>
      <c r="BM954" s="821">
        <v>5</v>
      </c>
      <c r="BN954" s="822">
        <f t="shared" ca="1" si="771"/>
        <v>157</v>
      </c>
      <c r="BO954" s="823">
        <f t="shared" si="772"/>
        <v>9.6</v>
      </c>
      <c r="BP954" s="824"/>
      <c r="BQ954" s="821"/>
      <c r="BR954" s="822" t="str">
        <f t="shared" si="773"/>
        <v>-</v>
      </c>
      <c r="BS954" s="823" t="str">
        <f t="shared" si="774"/>
        <v>-</v>
      </c>
      <c r="BT954" s="825" t="str">
        <f t="shared" ca="1" si="775"/>
        <v>-</v>
      </c>
      <c r="BU954" s="826"/>
      <c r="BV954" s="827"/>
      <c r="BW954" s="828" t="str">
        <f t="shared" si="776"/>
        <v>Ж-Е НЕ ВАКЦ.</v>
      </c>
      <c r="BX954" s="829" t="str">
        <f t="shared" si="777"/>
        <v>-</v>
      </c>
      <c r="BY954" s="830" t="str">
        <f t="shared" ca="1" si="778"/>
        <v>-</v>
      </c>
      <c r="BZ954" s="831">
        <v>42888</v>
      </c>
      <c r="CA954" s="832">
        <v>5</v>
      </c>
      <c r="CB954" s="833">
        <f t="shared" ca="1" si="779"/>
        <v>246</v>
      </c>
      <c r="CC954" s="834" t="str">
        <f t="shared" ca="1" si="780"/>
        <v>-</v>
      </c>
      <c r="CD954" s="835">
        <f t="shared" si="781"/>
        <v>42909</v>
      </c>
      <c r="CE954" s="831">
        <v>42909</v>
      </c>
      <c r="CF954" s="832">
        <v>5</v>
      </c>
      <c r="CG954" s="833">
        <f t="shared" ca="1" si="782"/>
        <v>225</v>
      </c>
      <c r="CH954" s="836">
        <f t="shared" si="783"/>
        <v>0</v>
      </c>
      <c r="CI954" s="837" t="str">
        <f t="shared" si="784"/>
        <v>УСПЕШНО</v>
      </c>
      <c r="CJ954" s="838" t="str">
        <f t="shared" ca="1" si="785"/>
        <v>-</v>
      </c>
      <c r="CK954" s="831"/>
      <c r="CL954" s="832"/>
      <c r="CM954" s="833" t="str">
        <f t="shared" si="786"/>
        <v>-</v>
      </c>
      <c r="CN954" s="834" t="str">
        <f t="shared" si="787"/>
        <v>-</v>
      </c>
      <c r="CO954" s="830" t="str">
        <f t="shared" ca="1" si="788"/>
        <v>-</v>
      </c>
      <c r="CP954" s="839"/>
      <c r="CQ954" s="832"/>
      <c r="CR954" s="833" t="str">
        <f t="shared" si="789"/>
        <v>-</v>
      </c>
      <c r="CS954" s="833" t="str">
        <f t="shared" si="790"/>
        <v>-</v>
      </c>
      <c r="CT954" s="834" t="str">
        <f t="shared" si="791"/>
        <v>-</v>
      </c>
      <c r="CU954" s="835" t="str">
        <f t="shared" si="792"/>
        <v>-</v>
      </c>
      <c r="CV954" s="839"/>
      <c r="CW954" s="832"/>
      <c r="CX954" s="833" t="str">
        <f t="shared" si="793"/>
        <v>-</v>
      </c>
      <c r="CY954" s="840" t="str">
        <f t="shared" si="794"/>
        <v>-</v>
      </c>
      <c r="CZ954" s="833" t="str">
        <f t="shared" si="795"/>
        <v>-</v>
      </c>
      <c r="DA954" s="838" t="str">
        <f t="shared" ca="1" si="796"/>
        <v>-</v>
      </c>
      <c r="DB954" s="841"/>
      <c r="DC954" s="832"/>
    </row>
    <row r="955" spans="1:107" x14ac:dyDescent="0.25">
      <c r="A955" s="790">
        <v>959</v>
      </c>
      <c r="B955" s="791">
        <f t="shared" ca="1" si="745"/>
        <v>43134</v>
      </c>
      <c r="C955" s="792" t="s">
        <v>2583</v>
      </c>
      <c r="D955" s="793" t="s">
        <v>2582</v>
      </c>
      <c r="E955" s="794" t="s">
        <v>1563</v>
      </c>
      <c r="F955" s="795" t="s">
        <v>2213</v>
      </c>
      <c r="G955" s="845"/>
      <c r="H955" s="797" t="s">
        <v>603</v>
      </c>
      <c r="I955" s="798">
        <v>42690</v>
      </c>
      <c r="J955" s="799">
        <f t="shared" ca="1" si="746"/>
        <v>1.2164383561643837</v>
      </c>
      <c r="K955" s="799">
        <f t="shared" ca="1" si="747"/>
        <v>14.8</v>
      </c>
      <c r="L955" s="800">
        <f t="shared" ca="1" si="748"/>
        <v>444</v>
      </c>
      <c r="M955" s="801"/>
      <c r="N955" s="802"/>
      <c r="O955" s="803" t="str">
        <f t="shared" ca="1" si="749"/>
        <v>-</v>
      </c>
      <c r="P955" s="804"/>
      <c r="Q955" s="805"/>
      <c r="R955" s="806"/>
      <c r="S955" s="807"/>
      <c r="T955" s="798"/>
      <c r="U955" s="798" t="str">
        <f t="shared" si="750"/>
        <v>-</v>
      </c>
      <c r="V955" s="804" t="str">
        <f t="shared" ca="1" si="751"/>
        <v>-</v>
      </c>
      <c r="W955" s="808">
        <v>0</v>
      </c>
      <c r="X955" s="794" t="str">
        <f t="shared" si="797"/>
        <v>-</v>
      </c>
      <c r="Y955" s="794">
        <v>0</v>
      </c>
      <c r="Z955" s="809" t="str">
        <f t="shared" ca="1" si="752"/>
        <v>-----</v>
      </c>
      <c r="AA955" s="810">
        <f t="shared" ca="1" si="753"/>
        <v>43134</v>
      </c>
      <c r="AB955" s="804"/>
      <c r="AC955" s="811" t="str">
        <f t="shared" ca="1" si="754"/>
        <v>-----</v>
      </c>
      <c r="AD955" s="798"/>
      <c r="AE955" s="794" t="str">
        <f t="shared" ca="1" si="755"/>
        <v>-</v>
      </c>
      <c r="AF955" s="798" t="str">
        <f t="shared" si="756"/>
        <v>-</v>
      </c>
      <c r="AG955" s="812" t="str">
        <f t="shared" si="757"/>
        <v>---------</v>
      </c>
      <c r="AH955" s="807"/>
      <c r="AI955" s="807" t="str">
        <f t="shared" si="758"/>
        <v>-</v>
      </c>
      <c r="AJ955" s="807" t="str">
        <f t="shared" si="759"/>
        <v>-</v>
      </c>
      <c r="AK955" s="813"/>
      <c r="AL955" s="807" t="str">
        <f t="shared" si="760"/>
        <v>-</v>
      </c>
      <c r="AM955" s="807" t="str">
        <f t="shared" si="761"/>
        <v>-</v>
      </c>
      <c r="AN955" s="814" t="str">
        <f t="shared" ca="1" si="762"/>
        <v>-</v>
      </c>
      <c r="AO955" s="815">
        <v>1</v>
      </c>
      <c r="AP955" s="816" t="str">
        <f t="shared" ca="1" si="763"/>
        <v>-</v>
      </c>
      <c r="AQ955" s="817"/>
      <c r="AR955" s="794" t="str">
        <f t="shared" si="764"/>
        <v>-</v>
      </c>
      <c r="AS955" s="818"/>
      <c r="AT955" s="794" t="str">
        <f t="shared" si="765"/>
        <v>-</v>
      </c>
      <c r="AU955" s="819"/>
      <c r="AV955" s="820"/>
      <c r="AW955" s="821"/>
      <c r="AX955" s="821"/>
      <c r="AY955" s="969" t="str">
        <f t="shared" si="766"/>
        <v>-</v>
      </c>
      <c r="AZ955" s="966" t="str">
        <f t="shared" si="767"/>
        <v>-</v>
      </c>
      <c r="BA955" s="971" t="str">
        <f t="shared" si="768"/>
        <v>-</v>
      </c>
      <c r="BB955" s="975"/>
      <c r="BC955" s="821"/>
      <c r="BD955" s="821"/>
      <c r="BE955" s="963" t="str">
        <f t="shared" si="769"/>
        <v>-</v>
      </c>
      <c r="BF955" s="984"/>
      <c r="BG955" s="988"/>
      <c r="BH955" s="982"/>
      <c r="BI955" s="991"/>
      <c r="BJ955" s="991"/>
      <c r="BK955" s="993" t="str">
        <f t="shared" si="770"/>
        <v>-</v>
      </c>
      <c r="BL955" s="820">
        <v>42977</v>
      </c>
      <c r="BM955" s="821">
        <v>5</v>
      </c>
      <c r="BN955" s="822">
        <f t="shared" ca="1" si="771"/>
        <v>157</v>
      </c>
      <c r="BO955" s="823">
        <f t="shared" si="772"/>
        <v>9.5666666666666664</v>
      </c>
      <c r="BP955" s="824"/>
      <c r="BQ955" s="821"/>
      <c r="BR955" s="822" t="str">
        <f t="shared" si="773"/>
        <v>-</v>
      </c>
      <c r="BS955" s="823" t="str">
        <f t="shared" si="774"/>
        <v>-</v>
      </c>
      <c r="BT955" s="825" t="str">
        <f t="shared" ca="1" si="775"/>
        <v>-</v>
      </c>
      <c r="BU955" s="826"/>
      <c r="BV955" s="827"/>
      <c r="BW955" s="828" t="str">
        <f t="shared" si="776"/>
        <v>Ж-Е НЕ ВАКЦ.</v>
      </c>
      <c r="BX955" s="829" t="str">
        <f t="shared" si="777"/>
        <v>-</v>
      </c>
      <c r="BY955" s="830" t="str">
        <f t="shared" ca="1" si="778"/>
        <v>-</v>
      </c>
      <c r="BZ955" s="831">
        <v>42888</v>
      </c>
      <c r="CA955" s="832">
        <v>5</v>
      </c>
      <c r="CB955" s="833">
        <f t="shared" ca="1" si="779"/>
        <v>246</v>
      </c>
      <c r="CC955" s="834" t="str">
        <f t="shared" ca="1" si="780"/>
        <v>-</v>
      </c>
      <c r="CD955" s="835">
        <f t="shared" si="781"/>
        <v>42909</v>
      </c>
      <c r="CE955" s="831">
        <v>42909</v>
      </c>
      <c r="CF955" s="832">
        <v>5</v>
      </c>
      <c r="CG955" s="833">
        <f t="shared" ca="1" si="782"/>
        <v>225</v>
      </c>
      <c r="CH955" s="836">
        <f t="shared" si="783"/>
        <v>0</v>
      </c>
      <c r="CI955" s="837" t="str">
        <f t="shared" si="784"/>
        <v>УСПЕШНО</v>
      </c>
      <c r="CJ955" s="838" t="str">
        <f t="shared" ca="1" si="785"/>
        <v>-</v>
      </c>
      <c r="CK955" s="831"/>
      <c r="CL955" s="832"/>
      <c r="CM955" s="833" t="str">
        <f t="shared" si="786"/>
        <v>-</v>
      </c>
      <c r="CN955" s="834" t="str">
        <f t="shared" si="787"/>
        <v>-</v>
      </c>
      <c r="CO955" s="830" t="str">
        <f t="shared" ca="1" si="788"/>
        <v>-</v>
      </c>
      <c r="CP955" s="839"/>
      <c r="CQ955" s="832"/>
      <c r="CR955" s="833" t="str">
        <f t="shared" si="789"/>
        <v>-</v>
      </c>
      <c r="CS955" s="833" t="str">
        <f t="shared" si="790"/>
        <v>-</v>
      </c>
      <c r="CT955" s="834" t="str">
        <f t="shared" si="791"/>
        <v>-</v>
      </c>
      <c r="CU955" s="835" t="str">
        <f t="shared" si="792"/>
        <v>-</v>
      </c>
      <c r="CV955" s="839"/>
      <c r="CW955" s="832"/>
      <c r="CX955" s="833" t="str">
        <f t="shared" si="793"/>
        <v>-</v>
      </c>
      <c r="CY955" s="840" t="str">
        <f t="shared" si="794"/>
        <v>-</v>
      </c>
      <c r="CZ955" s="833" t="str">
        <f t="shared" si="795"/>
        <v>-</v>
      </c>
      <c r="DA955" s="838" t="str">
        <f t="shared" ca="1" si="796"/>
        <v>-</v>
      </c>
      <c r="DB955" s="841"/>
      <c r="DC955" s="832"/>
    </row>
    <row r="956" spans="1:107" x14ac:dyDescent="0.25">
      <c r="A956" s="790">
        <v>960</v>
      </c>
      <c r="B956" s="791">
        <f t="shared" ca="1" si="745"/>
        <v>43134</v>
      </c>
      <c r="C956" s="792" t="s">
        <v>2583</v>
      </c>
      <c r="D956" s="793" t="s">
        <v>2582</v>
      </c>
      <c r="E956" s="794" t="s">
        <v>1563</v>
      </c>
      <c r="F956" s="795" t="s">
        <v>2228</v>
      </c>
      <c r="G956" s="845"/>
      <c r="H956" s="797" t="s">
        <v>603</v>
      </c>
      <c r="I956" s="798">
        <v>42695</v>
      </c>
      <c r="J956" s="799">
        <f t="shared" ca="1" si="746"/>
        <v>1.2027397260273973</v>
      </c>
      <c r="K956" s="799">
        <f t="shared" ca="1" si="747"/>
        <v>14.633333333333333</v>
      </c>
      <c r="L956" s="800">
        <f t="shared" ca="1" si="748"/>
        <v>439</v>
      </c>
      <c r="M956" s="801"/>
      <c r="N956" s="802"/>
      <c r="O956" s="803" t="str">
        <f t="shared" ca="1" si="749"/>
        <v>-</v>
      </c>
      <c r="P956" s="804"/>
      <c r="Q956" s="805"/>
      <c r="R956" s="806"/>
      <c r="S956" s="807"/>
      <c r="T956" s="798"/>
      <c r="U956" s="798" t="str">
        <f t="shared" si="750"/>
        <v>-</v>
      </c>
      <c r="V956" s="804" t="str">
        <f t="shared" ca="1" si="751"/>
        <v>-</v>
      </c>
      <c r="W956" s="808">
        <v>0</v>
      </c>
      <c r="X956" s="794" t="str">
        <f t="shared" si="797"/>
        <v>-</v>
      </c>
      <c r="Y956" s="794">
        <v>0</v>
      </c>
      <c r="Z956" s="809" t="str">
        <f t="shared" ca="1" si="752"/>
        <v>-----</v>
      </c>
      <c r="AA956" s="810">
        <f t="shared" ca="1" si="753"/>
        <v>43134</v>
      </c>
      <c r="AB956" s="804"/>
      <c r="AC956" s="811" t="str">
        <f t="shared" ca="1" si="754"/>
        <v>-----</v>
      </c>
      <c r="AD956" s="798"/>
      <c r="AE956" s="794" t="str">
        <f t="shared" ca="1" si="755"/>
        <v>-</v>
      </c>
      <c r="AF956" s="798" t="str">
        <f t="shared" si="756"/>
        <v>-</v>
      </c>
      <c r="AG956" s="812" t="str">
        <f t="shared" si="757"/>
        <v>---------</v>
      </c>
      <c r="AH956" s="807"/>
      <c r="AI956" s="807" t="str">
        <f t="shared" si="758"/>
        <v>-</v>
      </c>
      <c r="AJ956" s="807" t="str">
        <f t="shared" si="759"/>
        <v>-</v>
      </c>
      <c r="AK956" s="813"/>
      <c r="AL956" s="807" t="str">
        <f t="shared" si="760"/>
        <v>-</v>
      </c>
      <c r="AM956" s="807" t="str">
        <f t="shared" si="761"/>
        <v>-</v>
      </c>
      <c r="AN956" s="814" t="str">
        <f t="shared" ca="1" si="762"/>
        <v>-</v>
      </c>
      <c r="AO956" s="815">
        <v>1</v>
      </c>
      <c r="AP956" s="816" t="str">
        <f t="shared" ca="1" si="763"/>
        <v>-</v>
      </c>
      <c r="AQ956" s="817"/>
      <c r="AR956" s="794" t="str">
        <f t="shared" si="764"/>
        <v>-</v>
      </c>
      <c r="AS956" s="818"/>
      <c r="AT956" s="794" t="str">
        <f t="shared" si="765"/>
        <v>-</v>
      </c>
      <c r="AU956" s="819"/>
      <c r="AV956" s="820"/>
      <c r="AW956" s="821"/>
      <c r="AX956" s="821"/>
      <c r="AY956" s="969" t="str">
        <f t="shared" si="766"/>
        <v>-</v>
      </c>
      <c r="AZ956" s="966" t="str">
        <f t="shared" si="767"/>
        <v>-</v>
      </c>
      <c r="BA956" s="971" t="str">
        <f t="shared" si="768"/>
        <v>-</v>
      </c>
      <c r="BB956" s="975"/>
      <c r="BC956" s="821"/>
      <c r="BD956" s="821"/>
      <c r="BE956" s="963" t="str">
        <f t="shared" si="769"/>
        <v>-</v>
      </c>
      <c r="BF956" s="984"/>
      <c r="BG956" s="988"/>
      <c r="BH956" s="982"/>
      <c r="BI956" s="991"/>
      <c r="BJ956" s="991"/>
      <c r="BK956" s="993" t="str">
        <f t="shared" si="770"/>
        <v>-</v>
      </c>
      <c r="BL956" s="820">
        <v>42977</v>
      </c>
      <c r="BM956" s="821">
        <v>5</v>
      </c>
      <c r="BN956" s="822">
        <f t="shared" ca="1" si="771"/>
        <v>157</v>
      </c>
      <c r="BO956" s="823">
        <f t="shared" si="772"/>
        <v>9.4</v>
      </c>
      <c r="BP956" s="824"/>
      <c r="BQ956" s="821"/>
      <c r="BR956" s="822" t="str">
        <f t="shared" si="773"/>
        <v>-</v>
      </c>
      <c r="BS956" s="823" t="str">
        <f t="shared" si="774"/>
        <v>-</v>
      </c>
      <c r="BT956" s="825" t="str">
        <f t="shared" ca="1" si="775"/>
        <v>-</v>
      </c>
      <c r="BU956" s="826"/>
      <c r="BV956" s="827"/>
      <c r="BW956" s="828" t="str">
        <f t="shared" si="776"/>
        <v>Ж-Е НЕ ВАКЦ.</v>
      </c>
      <c r="BX956" s="829" t="str">
        <f t="shared" si="777"/>
        <v>-</v>
      </c>
      <c r="BY956" s="830" t="str">
        <f t="shared" ca="1" si="778"/>
        <v>-</v>
      </c>
      <c r="BZ956" s="831">
        <v>42888</v>
      </c>
      <c r="CA956" s="832">
        <v>5</v>
      </c>
      <c r="CB956" s="833">
        <f t="shared" ca="1" si="779"/>
        <v>246</v>
      </c>
      <c r="CC956" s="834" t="str">
        <f t="shared" ca="1" si="780"/>
        <v>-</v>
      </c>
      <c r="CD956" s="835">
        <f t="shared" si="781"/>
        <v>42909</v>
      </c>
      <c r="CE956" s="831">
        <v>42909</v>
      </c>
      <c r="CF956" s="832">
        <v>5</v>
      </c>
      <c r="CG956" s="833">
        <f t="shared" ca="1" si="782"/>
        <v>225</v>
      </c>
      <c r="CH956" s="836">
        <f t="shared" si="783"/>
        <v>0</v>
      </c>
      <c r="CI956" s="837" t="str">
        <f t="shared" si="784"/>
        <v>УСПЕШНО</v>
      </c>
      <c r="CJ956" s="838" t="str">
        <f t="shared" ca="1" si="785"/>
        <v>-</v>
      </c>
      <c r="CK956" s="831"/>
      <c r="CL956" s="832"/>
      <c r="CM956" s="833" t="str">
        <f t="shared" si="786"/>
        <v>-</v>
      </c>
      <c r="CN956" s="834" t="str">
        <f t="shared" si="787"/>
        <v>-</v>
      </c>
      <c r="CO956" s="830" t="str">
        <f t="shared" ca="1" si="788"/>
        <v>-</v>
      </c>
      <c r="CP956" s="839"/>
      <c r="CQ956" s="832"/>
      <c r="CR956" s="833" t="str">
        <f t="shared" si="789"/>
        <v>-</v>
      </c>
      <c r="CS956" s="833" t="str">
        <f t="shared" si="790"/>
        <v>-</v>
      </c>
      <c r="CT956" s="834" t="str">
        <f t="shared" si="791"/>
        <v>-</v>
      </c>
      <c r="CU956" s="835" t="str">
        <f t="shared" si="792"/>
        <v>-</v>
      </c>
      <c r="CV956" s="839"/>
      <c r="CW956" s="832"/>
      <c r="CX956" s="833" t="str">
        <f t="shared" si="793"/>
        <v>-</v>
      </c>
      <c r="CY956" s="840" t="str">
        <f t="shared" si="794"/>
        <v>-</v>
      </c>
      <c r="CZ956" s="833" t="str">
        <f t="shared" si="795"/>
        <v>-</v>
      </c>
      <c r="DA956" s="838" t="str">
        <f t="shared" ca="1" si="796"/>
        <v>-</v>
      </c>
      <c r="DB956" s="841"/>
      <c r="DC956" s="832"/>
    </row>
    <row r="957" spans="1:107" x14ac:dyDescent="0.25">
      <c r="A957" s="790">
        <v>961</v>
      </c>
      <c r="B957" s="791">
        <f t="shared" ca="1" si="745"/>
        <v>43134</v>
      </c>
      <c r="C957" s="792" t="s">
        <v>2583</v>
      </c>
      <c r="D957" s="793" t="s">
        <v>2582</v>
      </c>
      <c r="E957" s="794" t="s">
        <v>1563</v>
      </c>
      <c r="F957" s="795" t="s">
        <v>2231</v>
      </c>
      <c r="G957" s="845"/>
      <c r="H957" s="797" t="s">
        <v>603</v>
      </c>
      <c r="I957" s="798">
        <v>42697</v>
      </c>
      <c r="J957" s="799">
        <f t="shared" ca="1" si="746"/>
        <v>1.1972602739726028</v>
      </c>
      <c r="K957" s="799">
        <f t="shared" ca="1" si="747"/>
        <v>14.566666666666666</v>
      </c>
      <c r="L957" s="800">
        <f t="shared" ca="1" si="748"/>
        <v>437</v>
      </c>
      <c r="M957" s="801"/>
      <c r="N957" s="802"/>
      <c r="O957" s="803" t="str">
        <f t="shared" ca="1" si="749"/>
        <v>-</v>
      </c>
      <c r="P957" s="804"/>
      <c r="Q957" s="805"/>
      <c r="R957" s="806"/>
      <c r="S957" s="807"/>
      <c r="T957" s="798"/>
      <c r="U957" s="798" t="str">
        <f t="shared" si="750"/>
        <v>-</v>
      </c>
      <c r="V957" s="804" t="str">
        <f t="shared" ca="1" si="751"/>
        <v>-</v>
      </c>
      <c r="W957" s="808">
        <v>0</v>
      </c>
      <c r="X957" s="794" t="str">
        <f t="shared" si="797"/>
        <v>-</v>
      </c>
      <c r="Y957" s="794">
        <v>0</v>
      </c>
      <c r="Z957" s="809" t="str">
        <f t="shared" ca="1" si="752"/>
        <v>-----</v>
      </c>
      <c r="AA957" s="810">
        <f t="shared" ca="1" si="753"/>
        <v>43134</v>
      </c>
      <c r="AB957" s="804"/>
      <c r="AC957" s="811" t="str">
        <f t="shared" ca="1" si="754"/>
        <v>-----</v>
      </c>
      <c r="AD957" s="798"/>
      <c r="AE957" s="794" t="str">
        <f t="shared" ca="1" si="755"/>
        <v>-</v>
      </c>
      <c r="AF957" s="798" t="str">
        <f t="shared" si="756"/>
        <v>-</v>
      </c>
      <c r="AG957" s="812" t="str">
        <f t="shared" si="757"/>
        <v>---------</v>
      </c>
      <c r="AH957" s="807"/>
      <c r="AI957" s="807" t="str">
        <f t="shared" si="758"/>
        <v>-</v>
      </c>
      <c r="AJ957" s="807" t="str">
        <f t="shared" si="759"/>
        <v>-</v>
      </c>
      <c r="AK957" s="813"/>
      <c r="AL957" s="807" t="str">
        <f t="shared" si="760"/>
        <v>-</v>
      </c>
      <c r="AM957" s="807" t="str">
        <f t="shared" si="761"/>
        <v>-</v>
      </c>
      <c r="AN957" s="814" t="str">
        <f t="shared" ca="1" si="762"/>
        <v>-</v>
      </c>
      <c r="AO957" s="815">
        <v>1</v>
      </c>
      <c r="AP957" s="816" t="str">
        <f t="shared" ca="1" si="763"/>
        <v>-</v>
      </c>
      <c r="AQ957" s="817"/>
      <c r="AR957" s="794" t="str">
        <f t="shared" si="764"/>
        <v>-</v>
      </c>
      <c r="AS957" s="818"/>
      <c r="AT957" s="794" t="str">
        <f t="shared" si="765"/>
        <v>-</v>
      </c>
      <c r="AU957" s="819"/>
      <c r="AV957" s="820"/>
      <c r="AW957" s="821"/>
      <c r="AX957" s="821"/>
      <c r="AY957" s="969" t="str">
        <f t="shared" si="766"/>
        <v>-</v>
      </c>
      <c r="AZ957" s="966" t="str">
        <f t="shared" si="767"/>
        <v>-</v>
      </c>
      <c r="BA957" s="971" t="str">
        <f t="shared" si="768"/>
        <v>-</v>
      </c>
      <c r="BB957" s="975"/>
      <c r="BC957" s="821"/>
      <c r="BD957" s="821"/>
      <c r="BE957" s="963" t="str">
        <f t="shared" si="769"/>
        <v>-</v>
      </c>
      <c r="BF957" s="984"/>
      <c r="BG957" s="988"/>
      <c r="BH957" s="982"/>
      <c r="BI957" s="991"/>
      <c r="BJ957" s="991"/>
      <c r="BK957" s="993" t="str">
        <f t="shared" si="770"/>
        <v>-</v>
      </c>
      <c r="BL957" s="820">
        <v>42977</v>
      </c>
      <c r="BM957" s="821">
        <v>5</v>
      </c>
      <c r="BN957" s="822">
        <f t="shared" ca="1" si="771"/>
        <v>157</v>
      </c>
      <c r="BO957" s="823">
        <f t="shared" si="772"/>
        <v>9.3333333333333339</v>
      </c>
      <c r="BP957" s="824"/>
      <c r="BQ957" s="821"/>
      <c r="BR957" s="822" t="str">
        <f t="shared" si="773"/>
        <v>-</v>
      </c>
      <c r="BS957" s="823" t="str">
        <f t="shared" si="774"/>
        <v>-</v>
      </c>
      <c r="BT957" s="825" t="str">
        <f t="shared" ca="1" si="775"/>
        <v>-</v>
      </c>
      <c r="BU957" s="826"/>
      <c r="BV957" s="827"/>
      <c r="BW957" s="828" t="str">
        <f t="shared" si="776"/>
        <v>Ж-Е НЕ ВАКЦ.</v>
      </c>
      <c r="BX957" s="829" t="str">
        <f t="shared" si="777"/>
        <v>-</v>
      </c>
      <c r="BY957" s="830" t="str">
        <f t="shared" ca="1" si="778"/>
        <v>-</v>
      </c>
      <c r="BZ957" s="831">
        <v>42888</v>
      </c>
      <c r="CA957" s="832">
        <v>5</v>
      </c>
      <c r="CB957" s="833">
        <f t="shared" ca="1" si="779"/>
        <v>246</v>
      </c>
      <c r="CC957" s="834" t="str">
        <f t="shared" ca="1" si="780"/>
        <v>-</v>
      </c>
      <c r="CD957" s="835">
        <f t="shared" si="781"/>
        <v>42909</v>
      </c>
      <c r="CE957" s="831">
        <v>42909</v>
      </c>
      <c r="CF957" s="832">
        <v>5</v>
      </c>
      <c r="CG957" s="833">
        <f t="shared" ca="1" si="782"/>
        <v>225</v>
      </c>
      <c r="CH957" s="836">
        <f t="shared" si="783"/>
        <v>0</v>
      </c>
      <c r="CI957" s="837" t="str">
        <f t="shared" si="784"/>
        <v>УСПЕШНО</v>
      </c>
      <c r="CJ957" s="838" t="str">
        <f t="shared" ca="1" si="785"/>
        <v>-</v>
      </c>
      <c r="CK957" s="831"/>
      <c r="CL957" s="832"/>
      <c r="CM957" s="833" t="str">
        <f t="shared" si="786"/>
        <v>-</v>
      </c>
      <c r="CN957" s="834" t="str">
        <f t="shared" si="787"/>
        <v>-</v>
      </c>
      <c r="CO957" s="830" t="str">
        <f t="shared" ca="1" si="788"/>
        <v>-</v>
      </c>
      <c r="CP957" s="839"/>
      <c r="CQ957" s="832"/>
      <c r="CR957" s="833" t="str">
        <f t="shared" si="789"/>
        <v>-</v>
      </c>
      <c r="CS957" s="833" t="str">
        <f t="shared" si="790"/>
        <v>-</v>
      </c>
      <c r="CT957" s="834" t="str">
        <f t="shared" si="791"/>
        <v>-</v>
      </c>
      <c r="CU957" s="835" t="str">
        <f t="shared" si="792"/>
        <v>-</v>
      </c>
      <c r="CV957" s="839"/>
      <c r="CW957" s="832"/>
      <c r="CX957" s="833" t="str">
        <f t="shared" si="793"/>
        <v>-</v>
      </c>
      <c r="CY957" s="840" t="str">
        <f t="shared" si="794"/>
        <v>-</v>
      </c>
      <c r="CZ957" s="833" t="str">
        <f t="shared" si="795"/>
        <v>-</v>
      </c>
      <c r="DA957" s="838" t="str">
        <f t="shared" ca="1" si="796"/>
        <v>-</v>
      </c>
      <c r="DB957" s="841"/>
      <c r="DC957" s="832"/>
    </row>
    <row r="958" spans="1:107" x14ac:dyDescent="0.25">
      <c r="A958" s="790">
        <v>962</v>
      </c>
      <c r="B958" s="791">
        <f t="shared" ca="1" si="745"/>
        <v>43134</v>
      </c>
      <c r="C958" s="792" t="s">
        <v>2583</v>
      </c>
      <c r="D958" s="793" t="s">
        <v>2582</v>
      </c>
      <c r="E958" s="794" t="s">
        <v>1563</v>
      </c>
      <c r="F958" s="795" t="s">
        <v>2234</v>
      </c>
      <c r="G958" s="845"/>
      <c r="H958" s="797" t="s">
        <v>603</v>
      </c>
      <c r="I958" s="798">
        <v>42700</v>
      </c>
      <c r="J958" s="799">
        <f t="shared" ca="1" si="746"/>
        <v>1.189041095890411</v>
      </c>
      <c r="K958" s="799">
        <f t="shared" ca="1" si="747"/>
        <v>14.466666666666667</v>
      </c>
      <c r="L958" s="800">
        <f t="shared" ca="1" si="748"/>
        <v>434</v>
      </c>
      <c r="M958" s="801"/>
      <c r="N958" s="802"/>
      <c r="O958" s="803" t="str">
        <f t="shared" ca="1" si="749"/>
        <v>-</v>
      </c>
      <c r="P958" s="804"/>
      <c r="Q958" s="805"/>
      <c r="R958" s="806"/>
      <c r="S958" s="807"/>
      <c r="T958" s="798"/>
      <c r="U958" s="798" t="str">
        <f t="shared" si="750"/>
        <v>-</v>
      </c>
      <c r="V958" s="804" t="str">
        <f t="shared" ca="1" si="751"/>
        <v>-</v>
      </c>
      <c r="W958" s="808">
        <v>0</v>
      </c>
      <c r="X958" s="794" t="str">
        <f t="shared" si="797"/>
        <v>-</v>
      </c>
      <c r="Y958" s="794">
        <v>0</v>
      </c>
      <c r="Z958" s="809" t="str">
        <f t="shared" ca="1" si="752"/>
        <v>-----</v>
      </c>
      <c r="AA958" s="810">
        <f t="shared" ca="1" si="753"/>
        <v>43134</v>
      </c>
      <c r="AB958" s="804"/>
      <c r="AC958" s="811" t="str">
        <f t="shared" ca="1" si="754"/>
        <v>-----</v>
      </c>
      <c r="AD958" s="798"/>
      <c r="AE958" s="794" t="str">
        <f t="shared" ca="1" si="755"/>
        <v>-</v>
      </c>
      <c r="AF958" s="798" t="str">
        <f t="shared" si="756"/>
        <v>-</v>
      </c>
      <c r="AG958" s="812" t="str">
        <f t="shared" si="757"/>
        <v>---------</v>
      </c>
      <c r="AH958" s="807"/>
      <c r="AI958" s="807" t="str">
        <f t="shared" si="758"/>
        <v>-</v>
      </c>
      <c r="AJ958" s="807" t="str">
        <f t="shared" si="759"/>
        <v>-</v>
      </c>
      <c r="AK958" s="813"/>
      <c r="AL958" s="807" t="str">
        <f t="shared" si="760"/>
        <v>-</v>
      </c>
      <c r="AM958" s="807" t="str">
        <f t="shared" si="761"/>
        <v>-</v>
      </c>
      <c r="AN958" s="814" t="str">
        <f t="shared" ca="1" si="762"/>
        <v>-</v>
      </c>
      <c r="AO958" s="815">
        <v>1</v>
      </c>
      <c r="AP958" s="816" t="str">
        <f t="shared" ca="1" si="763"/>
        <v>-</v>
      </c>
      <c r="AQ958" s="817"/>
      <c r="AR958" s="794" t="str">
        <f t="shared" si="764"/>
        <v>-</v>
      </c>
      <c r="AS958" s="818"/>
      <c r="AT958" s="794" t="str">
        <f t="shared" si="765"/>
        <v>-</v>
      </c>
      <c r="AU958" s="819"/>
      <c r="AV958" s="820"/>
      <c r="AW958" s="821"/>
      <c r="AX958" s="821"/>
      <c r="AY958" s="969" t="str">
        <f t="shared" si="766"/>
        <v>-</v>
      </c>
      <c r="AZ958" s="966" t="str">
        <f t="shared" si="767"/>
        <v>-</v>
      </c>
      <c r="BA958" s="971" t="str">
        <f t="shared" si="768"/>
        <v>-</v>
      </c>
      <c r="BB958" s="975"/>
      <c r="BC958" s="821"/>
      <c r="BD958" s="821"/>
      <c r="BE958" s="963" t="str">
        <f t="shared" si="769"/>
        <v>-</v>
      </c>
      <c r="BF958" s="984"/>
      <c r="BG958" s="988"/>
      <c r="BH958" s="982"/>
      <c r="BI958" s="991"/>
      <c r="BJ958" s="991"/>
      <c r="BK958" s="993" t="str">
        <f t="shared" si="770"/>
        <v>-</v>
      </c>
      <c r="BL958" s="820">
        <v>42977</v>
      </c>
      <c r="BM958" s="821">
        <v>5</v>
      </c>
      <c r="BN958" s="822">
        <f t="shared" ca="1" si="771"/>
        <v>157</v>
      </c>
      <c r="BO958" s="823">
        <f t="shared" si="772"/>
        <v>9.2333333333333325</v>
      </c>
      <c r="BP958" s="824"/>
      <c r="BQ958" s="821"/>
      <c r="BR958" s="822" t="str">
        <f t="shared" si="773"/>
        <v>-</v>
      </c>
      <c r="BS958" s="823" t="str">
        <f t="shared" si="774"/>
        <v>-</v>
      </c>
      <c r="BT958" s="825" t="str">
        <f t="shared" ca="1" si="775"/>
        <v>-</v>
      </c>
      <c r="BU958" s="826"/>
      <c r="BV958" s="827"/>
      <c r="BW958" s="828" t="str">
        <f t="shared" si="776"/>
        <v>Ж-Е НЕ ВАКЦ.</v>
      </c>
      <c r="BX958" s="829" t="str">
        <f t="shared" si="777"/>
        <v>-</v>
      </c>
      <c r="BY958" s="830" t="str">
        <f t="shared" ca="1" si="778"/>
        <v>-</v>
      </c>
      <c r="BZ958" s="831">
        <v>42888</v>
      </c>
      <c r="CA958" s="832">
        <v>5</v>
      </c>
      <c r="CB958" s="833">
        <f t="shared" ca="1" si="779"/>
        <v>246</v>
      </c>
      <c r="CC958" s="834" t="str">
        <f t="shared" ca="1" si="780"/>
        <v>-</v>
      </c>
      <c r="CD958" s="835">
        <f t="shared" si="781"/>
        <v>42909</v>
      </c>
      <c r="CE958" s="831">
        <v>42909</v>
      </c>
      <c r="CF958" s="832">
        <v>5</v>
      </c>
      <c r="CG958" s="833">
        <f t="shared" ca="1" si="782"/>
        <v>225</v>
      </c>
      <c r="CH958" s="836">
        <f t="shared" si="783"/>
        <v>0</v>
      </c>
      <c r="CI958" s="837" t="str">
        <f t="shared" si="784"/>
        <v>УСПЕШНО</v>
      </c>
      <c r="CJ958" s="838" t="str">
        <f t="shared" ca="1" si="785"/>
        <v>-</v>
      </c>
      <c r="CK958" s="831"/>
      <c r="CL958" s="832"/>
      <c r="CM958" s="833" t="str">
        <f t="shared" si="786"/>
        <v>-</v>
      </c>
      <c r="CN958" s="834" t="str">
        <f t="shared" si="787"/>
        <v>-</v>
      </c>
      <c r="CO958" s="830" t="str">
        <f t="shared" ca="1" si="788"/>
        <v>-</v>
      </c>
      <c r="CP958" s="839"/>
      <c r="CQ958" s="832"/>
      <c r="CR958" s="833" t="str">
        <f t="shared" si="789"/>
        <v>-</v>
      </c>
      <c r="CS958" s="833" t="str">
        <f t="shared" si="790"/>
        <v>-</v>
      </c>
      <c r="CT958" s="834" t="str">
        <f t="shared" si="791"/>
        <v>-</v>
      </c>
      <c r="CU958" s="835" t="str">
        <f t="shared" si="792"/>
        <v>-</v>
      </c>
      <c r="CV958" s="839"/>
      <c r="CW958" s="832"/>
      <c r="CX958" s="833" t="str">
        <f t="shared" si="793"/>
        <v>-</v>
      </c>
      <c r="CY958" s="840" t="str">
        <f t="shared" si="794"/>
        <v>-</v>
      </c>
      <c r="CZ958" s="833" t="str">
        <f t="shared" si="795"/>
        <v>-</v>
      </c>
      <c r="DA958" s="838" t="str">
        <f t="shared" ca="1" si="796"/>
        <v>-</v>
      </c>
      <c r="DB958" s="841"/>
      <c r="DC958" s="832"/>
    </row>
    <row r="959" spans="1:107" x14ac:dyDescent="0.25">
      <c r="A959" s="790">
        <v>963</v>
      </c>
      <c r="B959" s="791">
        <f t="shared" ca="1" si="745"/>
        <v>43134</v>
      </c>
      <c r="C959" s="792" t="s">
        <v>2583</v>
      </c>
      <c r="D959" s="793" t="s">
        <v>2582</v>
      </c>
      <c r="E959" s="794" t="s">
        <v>1563</v>
      </c>
      <c r="F959" s="795" t="s">
        <v>2235</v>
      </c>
      <c r="G959" s="845"/>
      <c r="H959" s="797" t="s">
        <v>603</v>
      </c>
      <c r="I959" s="798">
        <v>42702</v>
      </c>
      <c r="J959" s="799">
        <f t="shared" ca="1" si="746"/>
        <v>1.1835616438356165</v>
      </c>
      <c r="K959" s="799">
        <f t="shared" ca="1" si="747"/>
        <v>14.4</v>
      </c>
      <c r="L959" s="800">
        <f t="shared" ca="1" si="748"/>
        <v>432</v>
      </c>
      <c r="M959" s="801"/>
      <c r="N959" s="802"/>
      <c r="O959" s="803" t="str">
        <f t="shared" ca="1" si="749"/>
        <v>-</v>
      </c>
      <c r="P959" s="804"/>
      <c r="Q959" s="805"/>
      <c r="R959" s="806"/>
      <c r="S959" s="807"/>
      <c r="T959" s="798"/>
      <c r="U959" s="798" t="str">
        <f t="shared" si="750"/>
        <v>-</v>
      </c>
      <c r="V959" s="804" t="str">
        <f t="shared" ca="1" si="751"/>
        <v>-</v>
      </c>
      <c r="W959" s="808">
        <v>0</v>
      </c>
      <c r="X959" s="794" t="str">
        <f t="shared" si="797"/>
        <v>-</v>
      </c>
      <c r="Y959" s="794">
        <v>0</v>
      </c>
      <c r="Z959" s="809" t="str">
        <f t="shared" ca="1" si="752"/>
        <v>-----</v>
      </c>
      <c r="AA959" s="810">
        <f t="shared" ca="1" si="753"/>
        <v>43134</v>
      </c>
      <c r="AB959" s="804"/>
      <c r="AC959" s="811" t="str">
        <f t="shared" ca="1" si="754"/>
        <v>-----</v>
      </c>
      <c r="AD959" s="798"/>
      <c r="AE959" s="794" t="str">
        <f t="shared" ca="1" si="755"/>
        <v>-</v>
      </c>
      <c r="AF959" s="798" t="str">
        <f t="shared" si="756"/>
        <v>-</v>
      </c>
      <c r="AG959" s="812" t="str">
        <f t="shared" si="757"/>
        <v>---------</v>
      </c>
      <c r="AH959" s="807"/>
      <c r="AI959" s="807" t="str">
        <f t="shared" si="758"/>
        <v>-</v>
      </c>
      <c r="AJ959" s="807" t="str">
        <f t="shared" si="759"/>
        <v>-</v>
      </c>
      <c r="AK959" s="813"/>
      <c r="AL959" s="807" t="str">
        <f t="shared" si="760"/>
        <v>-</v>
      </c>
      <c r="AM959" s="807" t="str">
        <f t="shared" si="761"/>
        <v>-</v>
      </c>
      <c r="AN959" s="814" t="str">
        <f t="shared" ca="1" si="762"/>
        <v>-</v>
      </c>
      <c r="AO959" s="815">
        <v>1</v>
      </c>
      <c r="AP959" s="816" t="str">
        <f t="shared" ca="1" si="763"/>
        <v>-</v>
      </c>
      <c r="AQ959" s="817"/>
      <c r="AR959" s="794" t="str">
        <f t="shared" si="764"/>
        <v>-</v>
      </c>
      <c r="AS959" s="818"/>
      <c r="AT959" s="794" t="str">
        <f t="shared" si="765"/>
        <v>-</v>
      </c>
      <c r="AU959" s="819"/>
      <c r="AV959" s="820"/>
      <c r="AW959" s="821"/>
      <c r="AX959" s="821"/>
      <c r="AY959" s="969" t="str">
        <f t="shared" si="766"/>
        <v>-</v>
      </c>
      <c r="AZ959" s="966" t="str">
        <f t="shared" si="767"/>
        <v>-</v>
      </c>
      <c r="BA959" s="971" t="str">
        <f t="shared" si="768"/>
        <v>-</v>
      </c>
      <c r="BB959" s="975"/>
      <c r="BC959" s="821"/>
      <c r="BD959" s="821"/>
      <c r="BE959" s="963" t="str">
        <f t="shared" si="769"/>
        <v>-</v>
      </c>
      <c r="BF959" s="984"/>
      <c r="BG959" s="988"/>
      <c r="BH959" s="982"/>
      <c r="BI959" s="991"/>
      <c r="BJ959" s="991"/>
      <c r="BK959" s="993" t="str">
        <f t="shared" si="770"/>
        <v>-</v>
      </c>
      <c r="BL959" s="820">
        <v>42977</v>
      </c>
      <c r="BM959" s="821">
        <v>5</v>
      </c>
      <c r="BN959" s="822">
        <f t="shared" ca="1" si="771"/>
        <v>157</v>
      </c>
      <c r="BO959" s="823">
        <f t="shared" si="772"/>
        <v>9.1666666666666661</v>
      </c>
      <c r="BP959" s="824"/>
      <c r="BQ959" s="821"/>
      <c r="BR959" s="822" t="str">
        <f t="shared" si="773"/>
        <v>-</v>
      </c>
      <c r="BS959" s="823" t="str">
        <f t="shared" si="774"/>
        <v>-</v>
      </c>
      <c r="BT959" s="825" t="str">
        <f t="shared" ca="1" si="775"/>
        <v>-</v>
      </c>
      <c r="BU959" s="826"/>
      <c r="BV959" s="827"/>
      <c r="BW959" s="828" t="str">
        <f t="shared" si="776"/>
        <v>Ж-Е НЕ ВАКЦ.</v>
      </c>
      <c r="BX959" s="829" t="str">
        <f t="shared" si="777"/>
        <v>-</v>
      </c>
      <c r="BY959" s="830" t="str">
        <f t="shared" ca="1" si="778"/>
        <v>-</v>
      </c>
      <c r="BZ959" s="831">
        <v>42888</v>
      </c>
      <c r="CA959" s="832">
        <v>5</v>
      </c>
      <c r="CB959" s="833">
        <f t="shared" ca="1" si="779"/>
        <v>246</v>
      </c>
      <c r="CC959" s="834" t="str">
        <f t="shared" ca="1" si="780"/>
        <v>-</v>
      </c>
      <c r="CD959" s="835">
        <f t="shared" si="781"/>
        <v>42909</v>
      </c>
      <c r="CE959" s="831">
        <v>42909</v>
      </c>
      <c r="CF959" s="832">
        <v>5</v>
      </c>
      <c r="CG959" s="833">
        <f t="shared" ca="1" si="782"/>
        <v>225</v>
      </c>
      <c r="CH959" s="836">
        <f t="shared" si="783"/>
        <v>0</v>
      </c>
      <c r="CI959" s="837" t="str">
        <f t="shared" si="784"/>
        <v>УСПЕШНО</v>
      </c>
      <c r="CJ959" s="838" t="str">
        <f t="shared" ca="1" si="785"/>
        <v>-</v>
      </c>
      <c r="CK959" s="831"/>
      <c r="CL959" s="832"/>
      <c r="CM959" s="833" t="str">
        <f t="shared" si="786"/>
        <v>-</v>
      </c>
      <c r="CN959" s="834" t="str">
        <f t="shared" si="787"/>
        <v>-</v>
      </c>
      <c r="CO959" s="830" t="str">
        <f t="shared" ca="1" si="788"/>
        <v>-</v>
      </c>
      <c r="CP959" s="839"/>
      <c r="CQ959" s="832"/>
      <c r="CR959" s="833" t="str">
        <f t="shared" si="789"/>
        <v>-</v>
      </c>
      <c r="CS959" s="833" t="str">
        <f t="shared" si="790"/>
        <v>-</v>
      </c>
      <c r="CT959" s="834" t="str">
        <f t="shared" si="791"/>
        <v>-</v>
      </c>
      <c r="CU959" s="835" t="str">
        <f t="shared" si="792"/>
        <v>-</v>
      </c>
      <c r="CV959" s="839"/>
      <c r="CW959" s="832"/>
      <c r="CX959" s="833" t="str">
        <f t="shared" si="793"/>
        <v>-</v>
      </c>
      <c r="CY959" s="840" t="str">
        <f t="shared" si="794"/>
        <v>-</v>
      </c>
      <c r="CZ959" s="833" t="str">
        <f t="shared" si="795"/>
        <v>-</v>
      </c>
      <c r="DA959" s="838" t="str">
        <f t="shared" ca="1" si="796"/>
        <v>-</v>
      </c>
      <c r="DB959" s="841"/>
      <c r="DC959" s="832"/>
    </row>
    <row r="960" spans="1:107" x14ac:dyDescent="0.25">
      <c r="A960" s="790">
        <v>964</v>
      </c>
      <c r="B960" s="791">
        <f t="shared" ca="1" si="745"/>
        <v>43134</v>
      </c>
      <c r="C960" s="792" t="s">
        <v>2583</v>
      </c>
      <c r="D960" s="793" t="s">
        <v>2582</v>
      </c>
      <c r="E960" s="794" t="s">
        <v>1563</v>
      </c>
      <c r="F960" s="795" t="s">
        <v>2250</v>
      </c>
      <c r="G960" s="845"/>
      <c r="H960" s="797" t="s">
        <v>603</v>
      </c>
      <c r="I960" s="798">
        <v>42712</v>
      </c>
      <c r="J960" s="799">
        <f t="shared" ca="1" si="746"/>
        <v>1.1561643835616437</v>
      </c>
      <c r="K960" s="799">
        <f t="shared" ca="1" si="747"/>
        <v>14.066666666666666</v>
      </c>
      <c r="L960" s="800">
        <f t="shared" ca="1" si="748"/>
        <v>422</v>
      </c>
      <c r="M960" s="801"/>
      <c r="N960" s="802"/>
      <c r="O960" s="803" t="str">
        <f t="shared" ca="1" si="749"/>
        <v>-</v>
      </c>
      <c r="P960" s="804"/>
      <c r="Q960" s="805"/>
      <c r="R960" s="806"/>
      <c r="S960" s="807"/>
      <c r="T960" s="798"/>
      <c r="U960" s="798" t="str">
        <f t="shared" si="750"/>
        <v>-</v>
      </c>
      <c r="V960" s="804" t="str">
        <f t="shared" ca="1" si="751"/>
        <v>-</v>
      </c>
      <c r="W960" s="808">
        <v>0</v>
      </c>
      <c r="X960" s="794" t="str">
        <f t="shared" si="797"/>
        <v>-</v>
      </c>
      <c r="Y960" s="794">
        <v>0</v>
      </c>
      <c r="Z960" s="809" t="str">
        <f t="shared" ca="1" si="752"/>
        <v>-----</v>
      </c>
      <c r="AA960" s="810">
        <f t="shared" ca="1" si="753"/>
        <v>43134</v>
      </c>
      <c r="AB960" s="804"/>
      <c r="AC960" s="811" t="str">
        <f t="shared" ca="1" si="754"/>
        <v>-----</v>
      </c>
      <c r="AD960" s="798"/>
      <c r="AE960" s="794" t="str">
        <f t="shared" ca="1" si="755"/>
        <v>-</v>
      </c>
      <c r="AF960" s="798" t="str">
        <f t="shared" si="756"/>
        <v>-</v>
      </c>
      <c r="AG960" s="812" t="str">
        <f t="shared" si="757"/>
        <v>---------</v>
      </c>
      <c r="AH960" s="807"/>
      <c r="AI960" s="807" t="str">
        <f t="shared" si="758"/>
        <v>-</v>
      </c>
      <c r="AJ960" s="807" t="str">
        <f t="shared" si="759"/>
        <v>-</v>
      </c>
      <c r="AK960" s="813"/>
      <c r="AL960" s="807" t="str">
        <f t="shared" si="760"/>
        <v>-</v>
      </c>
      <c r="AM960" s="807" t="str">
        <f t="shared" si="761"/>
        <v>-</v>
      </c>
      <c r="AN960" s="814" t="str">
        <f t="shared" ca="1" si="762"/>
        <v>-</v>
      </c>
      <c r="AO960" s="815">
        <v>1</v>
      </c>
      <c r="AP960" s="816" t="str">
        <f t="shared" ca="1" si="763"/>
        <v>-</v>
      </c>
      <c r="AQ960" s="817"/>
      <c r="AR960" s="794" t="str">
        <f t="shared" si="764"/>
        <v>-</v>
      </c>
      <c r="AS960" s="818"/>
      <c r="AT960" s="794" t="str">
        <f t="shared" si="765"/>
        <v>-</v>
      </c>
      <c r="AU960" s="819"/>
      <c r="AV960" s="820"/>
      <c r="AW960" s="821"/>
      <c r="AX960" s="821"/>
      <c r="AY960" s="969" t="str">
        <f t="shared" si="766"/>
        <v>-</v>
      </c>
      <c r="AZ960" s="966" t="str">
        <f t="shared" si="767"/>
        <v>-</v>
      </c>
      <c r="BA960" s="971" t="str">
        <f t="shared" si="768"/>
        <v>-</v>
      </c>
      <c r="BB960" s="975"/>
      <c r="BC960" s="821"/>
      <c r="BD960" s="821"/>
      <c r="BE960" s="963" t="str">
        <f t="shared" si="769"/>
        <v>-</v>
      </c>
      <c r="BF960" s="984"/>
      <c r="BG960" s="988"/>
      <c r="BH960" s="982"/>
      <c r="BI960" s="991"/>
      <c r="BJ960" s="991"/>
      <c r="BK960" s="993" t="str">
        <f t="shared" si="770"/>
        <v>-</v>
      </c>
      <c r="BL960" s="820">
        <v>42977</v>
      </c>
      <c r="BM960" s="821">
        <v>5</v>
      </c>
      <c r="BN960" s="822">
        <f t="shared" ca="1" si="771"/>
        <v>157</v>
      </c>
      <c r="BO960" s="823">
        <f t="shared" si="772"/>
        <v>8.8333333333333339</v>
      </c>
      <c r="BP960" s="824"/>
      <c r="BQ960" s="821"/>
      <c r="BR960" s="822" t="str">
        <f t="shared" si="773"/>
        <v>-</v>
      </c>
      <c r="BS960" s="823" t="str">
        <f t="shared" si="774"/>
        <v>-</v>
      </c>
      <c r="BT960" s="825" t="str">
        <f t="shared" ca="1" si="775"/>
        <v>-</v>
      </c>
      <c r="BU960" s="826"/>
      <c r="BV960" s="827"/>
      <c r="BW960" s="828" t="str">
        <f t="shared" si="776"/>
        <v>Ж-Е НЕ ВАКЦ.</v>
      </c>
      <c r="BX960" s="829" t="str">
        <f t="shared" si="777"/>
        <v>-</v>
      </c>
      <c r="BY960" s="830" t="str">
        <f t="shared" ca="1" si="778"/>
        <v>-</v>
      </c>
      <c r="BZ960" s="831">
        <v>42888</v>
      </c>
      <c r="CA960" s="832">
        <v>5</v>
      </c>
      <c r="CB960" s="833">
        <f t="shared" ca="1" si="779"/>
        <v>246</v>
      </c>
      <c r="CC960" s="834" t="str">
        <f t="shared" ca="1" si="780"/>
        <v>-</v>
      </c>
      <c r="CD960" s="835">
        <f t="shared" si="781"/>
        <v>42909</v>
      </c>
      <c r="CE960" s="831">
        <v>42909</v>
      </c>
      <c r="CF960" s="832">
        <v>5</v>
      </c>
      <c r="CG960" s="833">
        <f t="shared" ca="1" si="782"/>
        <v>225</v>
      </c>
      <c r="CH960" s="836">
        <f t="shared" si="783"/>
        <v>0</v>
      </c>
      <c r="CI960" s="837" t="str">
        <f t="shared" si="784"/>
        <v>УСПЕШНО</v>
      </c>
      <c r="CJ960" s="838" t="str">
        <f t="shared" ca="1" si="785"/>
        <v>-</v>
      </c>
      <c r="CK960" s="831"/>
      <c r="CL960" s="832"/>
      <c r="CM960" s="833" t="str">
        <f t="shared" si="786"/>
        <v>-</v>
      </c>
      <c r="CN960" s="834" t="str">
        <f t="shared" si="787"/>
        <v>-</v>
      </c>
      <c r="CO960" s="830" t="str">
        <f t="shared" ca="1" si="788"/>
        <v>-</v>
      </c>
      <c r="CP960" s="839"/>
      <c r="CQ960" s="832"/>
      <c r="CR960" s="833" t="str">
        <f t="shared" si="789"/>
        <v>-</v>
      </c>
      <c r="CS960" s="833" t="str">
        <f t="shared" si="790"/>
        <v>-</v>
      </c>
      <c r="CT960" s="834" t="str">
        <f t="shared" si="791"/>
        <v>-</v>
      </c>
      <c r="CU960" s="835" t="str">
        <f t="shared" si="792"/>
        <v>-</v>
      </c>
      <c r="CV960" s="839"/>
      <c r="CW960" s="832"/>
      <c r="CX960" s="833" t="str">
        <f t="shared" si="793"/>
        <v>-</v>
      </c>
      <c r="CY960" s="840" t="str">
        <f t="shared" si="794"/>
        <v>-</v>
      </c>
      <c r="CZ960" s="833" t="str">
        <f t="shared" si="795"/>
        <v>-</v>
      </c>
      <c r="DA960" s="838" t="str">
        <f t="shared" ca="1" si="796"/>
        <v>-</v>
      </c>
      <c r="DB960" s="841"/>
      <c r="DC960" s="832"/>
    </row>
    <row r="961" spans="1:107" x14ac:dyDescent="0.25">
      <c r="A961" s="790">
        <v>965</v>
      </c>
      <c r="B961" s="791">
        <f t="shared" ca="1" si="745"/>
        <v>43134</v>
      </c>
      <c r="C961" s="792" t="s">
        <v>2583</v>
      </c>
      <c r="D961" s="793" t="s">
        <v>2582</v>
      </c>
      <c r="E961" s="794" t="s">
        <v>1563</v>
      </c>
      <c r="F961" s="795" t="s">
        <v>2252</v>
      </c>
      <c r="G961" s="845"/>
      <c r="H961" s="797" t="s">
        <v>603</v>
      </c>
      <c r="I961" s="798">
        <v>42712</v>
      </c>
      <c r="J961" s="799">
        <f t="shared" ca="1" si="746"/>
        <v>1.1561643835616437</v>
      </c>
      <c r="K961" s="799">
        <f t="shared" ca="1" si="747"/>
        <v>14.066666666666666</v>
      </c>
      <c r="L961" s="800">
        <f t="shared" ca="1" si="748"/>
        <v>422</v>
      </c>
      <c r="M961" s="801"/>
      <c r="N961" s="802"/>
      <c r="O961" s="803" t="str">
        <f t="shared" ca="1" si="749"/>
        <v>-</v>
      </c>
      <c r="P961" s="804"/>
      <c r="Q961" s="805"/>
      <c r="R961" s="806"/>
      <c r="S961" s="807"/>
      <c r="T961" s="798"/>
      <c r="U961" s="798" t="str">
        <f t="shared" si="750"/>
        <v>-</v>
      </c>
      <c r="V961" s="804" t="str">
        <f t="shared" ca="1" si="751"/>
        <v>-</v>
      </c>
      <c r="W961" s="808">
        <v>0</v>
      </c>
      <c r="X961" s="794" t="str">
        <f t="shared" si="797"/>
        <v>-</v>
      </c>
      <c r="Y961" s="794">
        <v>0</v>
      </c>
      <c r="Z961" s="809" t="str">
        <f t="shared" ca="1" si="752"/>
        <v>-----</v>
      </c>
      <c r="AA961" s="810">
        <f t="shared" ca="1" si="753"/>
        <v>43134</v>
      </c>
      <c r="AB961" s="804"/>
      <c r="AC961" s="811" t="str">
        <f t="shared" ca="1" si="754"/>
        <v>-----</v>
      </c>
      <c r="AD961" s="798"/>
      <c r="AE961" s="794" t="str">
        <f t="shared" ca="1" si="755"/>
        <v>-</v>
      </c>
      <c r="AF961" s="798" t="str">
        <f t="shared" si="756"/>
        <v>-</v>
      </c>
      <c r="AG961" s="812" t="str">
        <f t="shared" si="757"/>
        <v>---------</v>
      </c>
      <c r="AH961" s="807"/>
      <c r="AI961" s="807" t="str">
        <f t="shared" si="758"/>
        <v>-</v>
      </c>
      <c r="AJ961" s="807" t="str">
        <f t="shared" si="759"/>
        <v>-</v>
      </c>
      <c r="AK961" s="813"/>
      <c r="AL961" s="807" t="str">
        <f t="shared" si="760"/>
        <v>-</v>
      </c>
      <c r="AM961" s="807" t="str">
        <f t="shared" si="761"/>
        <v>-</v>
      </c>
      <c r="AN961" s="814" t="str">
        <f t="shared" ca="1" si="762"/>
        <v>-</v>
      </c>
      <c r="AO961" s="815">
        <v>1</v>
      </c>
      <c r="AP961" s="816" t="str">
        <f t="shared" ca="1" si="763"/>
        <v>-</v>
      </c>
      <c r="AQ961" s="817"/>
      <c r="AR961" s="794" t="str">
        <f t="shared" si="764"/>
        <v>-</v>
      </c>
      <c r="AS961" s="818"/>
      <c r="AT961" s="794" t="str">
        <f t="shared" si="765"/>
        <v>-</v>
      </c>
      <c r="AU961" s="819"/>
      <c r="AV961" s="820"/>
      <c r="AW961" s="821"/>
      <c r="AX961" s="821"/>
      <c r="AY961" s="969" t="str">
        <f t="shared" si="766"/>
        <v>-</v>
      </c>
      <c r="AZ961" s="966" t="str">
        <f t="shared" si="767"/>
        <v>-</v>
      </c>
      <c r="BA961" s="971" t="str">
        <f t="shared" si="768"/>
        <v>-</v>
      </c>
      <c r="BB961" s="975"/>
      <c r="BC961" s="821"/>
      <c r="BD961" s="821"/>
      <c r="BE961" s="963" t="str">
        <f t="shared" si="769"/>
        <v>-</v>
      </c>
      <c r="BF961" s="984"/>
      <c r="BG961" s="988"/>
      <c r="BH961" s="982"/>
      <c r="BI961" s="991"/>
      <c r="BJ961" s="991"/>
      <c r="BK961" s="993" t="str">
        <f t="shared" si="770"/>
        <v>-</v>
      </c>
      <c r="BL961" s="820">
        <v>42977</v>
      </c>
      <c r="BM961" s="821">
        <v>5</v>
      </c>
      <c r="BN961" s="822">
        <f t="shared" ca="1" si="771"/>
        <v>157</v>
      </c>
      <c r="BO961" s="823">
        <f t="shared" si="772"/>
        <v>8.8333333333333339</v>
      </c>
      <c r="BP961" s="824"/>
      <c r="BQ961" s="821"/>
      <c r="BR961" s="822" t="str">
        <f t="shared" si="773"/>
        <v>-</v>
      </c>
      <c r="BS961" s="823" t="str">
        <f t="shared" si="774"/>
        <v>-</v>
      </c>
      <c r="BT961" s="825" t="str">
        <f t="shared" ca="1" si="775"/>
        <v>-</v>
      </c>
      <c r="BU961" s="826"/>
      <c r="BV961" s="827"/>
      <c r="BW961" s="828" t="str">
        <f t="shared" si="776"/>
        <v>Ж-Е НЕ ВАКЦ.</v>
      </c>
      <c r="BX961" s="829" t="str">
        <f t="shared" si="777"/>
        <v>-</v>
      </c>
      <c r="BY961" s="830" t="str">
        <f t="shared" ca="1" si="778"/>
        <v>-</v>
      </c>
      <c r="BZ961" s="831">
        <v>42888</v>
      </c>
      <c r="CA961" s="832">
        <v>5</v>
      </c>
      <c r="CB961" s="833">
        <f t="shared" ca="1" si="779"/>
        <v>246</v>
      </c>
      <c r="CC961" s="834" t="str">
        <f t="shared" ca="1" si="780"/>
        <v>-</v>
      </c>
      <c r="CD961" s="835">
        <f t="shared" si="781"/>
        <v>42909</v>
      </c>
      <c r="CE961" s="831">
        <v>42909</v>
      </c>
      <c r="CF961" s="832">
        <v>5</v>
      </c>
      <c r="CG961" s="833">
        <f t="shared" ca="1" si="782"/>
        <v>225</v>
      </c>
      <c r="CH961" s="836">
        <f t="shared" si="783"/>
        <v>0</v>
      </c>
      <c r="CI961" s="837" t="str">
        <f t="shared" si="784"/>
        <v>УСПЕШНО</v>
      </c>
      <c r="CJ961" s="838" t="str">
        <f t="shared" ca="1" si="785"/>
        <v>-</v>
      </c>
      <c r="CK961" s="831"/>
      <c r="CL961" s="832"/>
      <c r="CM961" s="833" t="str">
        <f t="shared" si="786"/>
        <v>-</v>
      </c>
      <c r="CN961" s="834" t="str">
        <f t="shared" si="787"/>
        <v>-</v>
      </c>
      <c r="CO961" s="830" t="str">
        <f t="shared" ca="1" si="788"/>
        <v>-</v>
      </c>
      <c r="CP961" s="839"/>
      <c r="CQ961" s="832"/>
      <c r="CR961" s="833" t="str">
        <f t="shared" si="789"/>
        <v>-</v>
      </c>
      <c r="CS961" s="833" t="str">
        <f t="shared" si="790"/>
        <v>-</v>
      </c>
      <c r="CT961" s="834" t="str">
        <f t="shared" si="791"/>
        <v>-</v>
      </c>
      <c r="CU961" s="835" t="str">
        <f t="shared" si="792"/>
        <v>-</v>
      </c>
      <c r="CV961" s="839"/>
      <c r="CW961" s="832"/>
      <c r="CX961" s="833" t="str">
        <f t="shared" si="793"/>
        <v>-</v>
      </c>
      <c r="CY961" s="840" t="str">
        <f t="shared" si="794"/>
        <v>-</v>
      </c>
      <c r="CZ961" s="833" t="str">
        <f t="shared" si="795"/>
        <v>-</v>
      </c>
      <c r="DA961" s="838" t="str">
        <f t="shared" ca="1" si="796"/>
        <v>-</v>
      </c>
      <c r="DB961" s="841"/>
      <c r="DC961" s="832"/>
    </row>
    <row r="962" spans="1:107" x14ac:dyDescent="0.25">
      <c r="A962" s="790">
        <v>966</v>
      </c>
      <c r="B962" s="791">
        <f t="shared" ca="1" si="745"/>
        <v>43134</v>
      </c>
      <c r="C962" s="792" t="s">
        <v>2583</v>
      </c>
      <c r="D962" s="793" t="s">
        <v>2582</v>
      </c>
      <c r="E962" s="794" t="s">
        <v>1563</v>
      </c>
      <c r="F962" s="795" t="s">
        <v>2258</v>
      </c>
      <c r="G962" s="845"/>
      <c r="H962" s="797" t="s">
        <v>603</v>
      </c>
      <c r="I962" s="798">
        <v>42718</v>
      </c>
      <c r="J962" s="799">
        <f t="shared" ca="1" si="746"/>
        <v>1.1397260273972603</v>
      </c>
      <c r="K962" s="799">
        <f t="shared" ca="1" si="747"/>
        <v>13.866666666666667</v>
      </c>
      <c r="L962" s="800">
        <f t="shared" ca="1" si="748"/>
        <v>416</v>
      </c>
      <c r="M962" s="801"/>
      <c r="N962" s="802"/>
      <c r="O962" s="803" t="str">
        <f t="shared" ca="1" si="749"/>
        <v>-</v>
      </c>
      <c r="P962" s="804"/>
      <c r="Q962" s="805"/>
      <c r="R962" s="806"/>
      <c r="S962" s="807"/>
      <c r="T962" s="798"/>
      <c r="U962" s="798" t="str">
        <f t="shared" si="750"/>
        <v>-</v>
      </c>
      <c r="V962" s="804" t="str">
        <f t="shared" ca="1" si="751"/>
        <v>-</v>
      </c>
      <c r="W962" s="808">
        <v>0</v>
      </c>
      <c r="X962" s="794" t="str">
        <f t="shared" si="797"/>
        <v>-</v>
      </c>
      <c r="Y962" s="794">
        <v>0</v>
      </c>
      <c r="Z962" s="809" t="str">
        <f t="shared" ca="1" si="752"/>
        <v>-----</v>
      </c>
      <c r="AA962" s="810">
        <f t="shared" ca="1" si="753"/>
        <v>43134</v>
      </c>
      <c r="AB962" s="804"/>
      <c r="AC962" s="811" t="str">
        <f t="shared" ca="1" si="754"/>
        <v>-----</v>
      </c>
      <c r="AD962" s="798"/>
      <c r="AE962" s="794" t="str">
        <f t="shared" ca="1" si="755"/>
        <v>-</v>
      </c>
      <c r="AF962" s="798" t="str">
        <f t="shared" si="756"/>
        <v>-</v>
      </c>
      <c r="AG962" s="812" t="str">
        <f t="shared" si="757"/>
        <v>---------</v>
      </c>
      <c r="AH962" s="807"/>
      <c r="AI962" s="807" t="str">
        <f t="shared" si="758"/>
        <v>-</v>
      </c>
      <c r="AJ962" s="807" t="str">
        <f t="shared" si="759"/>
        <v>-</v>
      </c>
      <c r="AK962" s="813"/>
      <c r="AL962" s="807" t="str">
        <f t="shared" si="760"/>
        <v>-</v>
      </c>
      <c r="AM962" s="807" t="str">
        <f t="shared" si="761"/>
        <v>-</v>
      </c>
      <c r="AN962" s="814" t="str">
        <f t="shared" ca="1" si="762"/>
        <v>-</v>
      </c>
      <c r="AO962" s="815">
        <v>1</v>
      </c>
      <c r="AP962" s="816" t="str">
        <f t="shared" ca="1" si="763"/>
        <v>-</v>
      </c>
      <c r="AQ962" s="817"/>
      <c r="AR962" s="794" t="str">
        <f t="shared" si="764"/>
        <v>-</v>
      </c>
      <c r="AS962" s="818"/>
      <c r="AT962" s="794" t="str">
        <f t="shared" si="765"/>
        <v>-</v>
      </c>
      <c r="AU962" s="819"/>
      <c r="AV962" s="820"/>
      <c r="AW962" s="821"/>
      <c r="AX962" s="821"/>
      <c r="AY962" s="969" t="str">
        <f t="shared" si="766"/>
        <v>-</v>
      </c>
      <c r="AZ962" s="966" t="str">
        <f t="shared" si="767"/>
        <v>-</v>
      </c>
      <c r="BA962" s="971" t="str">
        <f t="shared" si="768"/>
        <v>-</v>
      </c>
      <c r="BB962" s="975"/>
      <c r="BC962" s="821"/>
      <c r="BD962" s="821"/>
      <c r="BE962" s="963" t="str">
        <f t="shared" si="769"/>
        <v>-</v>
      </c>
      <c r="BF962" s="984"/>
      <c r="BG962" s="988"/>
      <c r="BH962" s="982"/>
      <c r="BI962" s="991"/>
      <c r="BJ962" s="991"/>
      <c r="BK962" s="993" t="str">
        <f t="shared" si="770"/>
        <v>-</v>
      </c>
      <c r="BL962" s="820">
        <v>42977</v>
      </c>
      <c r="BM962" s="821">
        <v>5</v>
      </c>
      <c r="BN962" s="822">
        <f t="shared" ca="1" si="771"/>
        <v>157</v>
      </c>
      <c r="BO962" s="823">
        <f t="shared" si="772"/>
        <v>8.6333333333333329</v>
      </c>
      <c r="BP962" s="824"/>
      <c r="BQ962" s="821"/>
      <c r="BR962" s="822" t="str">
        <f t="shared" si="773"/>
        <v>-</v>
      </c>
      <c r="BS962" s="823" t="str">
        <f t="shared" si="774"/>
        <v>-</v>
      </c>
      <c r="BT962" s="825" t="str">
        <f t="shared" ca="1" si="775"/>
        <v>-</v>
      </c>
      <c r="BU962" s="826"/>
      <c r="BV962" s="827"/>
      <c r="BW962" s="828" t="str">
        <f t="shared" si="776"/>
        <v>Ж-Е НЕ ВАКЦ.</v>
      </c>
      <c r="BX962" s="829" t="str">
        <f t="shared" si="777"/>
        <v>-</v>
      </c>
      <c r="BY962" s="830" t="str">
        <f t="shared" ca="1" si="778"/>
        <v>-</v>
      </c>
      <c r="BZ962" s="831">
        <v>42888</v>
      </c>
      <c r="CA962" s="832">
        <v>5</v>
      </c>
      <c r="CB962" s="833">
        <f t="shared" ca="1" si="779"/>
        <v>246</v>
      </c>
      <c r="CC962" s="834" t="str">
        <f t="shared" ca="1" si="780"/>
        <v>-</v>
      </c>
      <c r="CD962" s="835">
        <f t="shared" si="781"/>
        <v>42909</v>
      </c>
      <c r="CE962" s="831">
        <v>42909</v>
      </c>
      <c r="CF962" s="832">
        <v>5</v>
      </c>
      <c r="CG962" s="833">
        <f t="shared" ca="1" si="782"/>
        <v>225</v>
      </c>
      <c r="CH962" s="836">
        <f t="shared" si="783"/>
        <v>0</v>
      </c>
      <c r="CI962" s="837" t="str">
        <f t="shared" si="784"/>
        <v>УСПЕШНО</v>
      </c>
      <c r="CJ962" s="838" t="str">
        <f t="shared" ca="1" si="785"/>
        <v>-</v>
      </c>
      <c r="CK962" s="831"/>
      <c r="CL962" s="832"/>
      <c r="CM962" s="833" t="str">
        <f t="shared" si="786"/>
        <v>-</v>
      </c>
      <c r="CN962" s="834" t="str">
        <f t="shared" si="787"/>
        <v>-</v>
      </c>
      <c r="CO962" s="830" t="str">
        <f t="shared" ca="1" si="788"/>
        <v>-</v>
      </c>
      <c r="CP962" s="839"/>
      <c r="CQ962" s="832"/>
      <c r="CR962" s="833" t="str">
        <f t="shared" si="789"/>
        <v>-</v>
      </c>
      <c r="CS962" s="833" t="str">
        <f t="shared" si="790"/>
        <v>-</v>
      </c>
      <c r="CT962" s="834" t="str">
        <f t="shared" si="791"/>
        <v>-</v>
      </c>
      <c r="CU962" s="835" t="str">
        <f t="shared" si="792"/>
        <v>-</v>
      </c>
      <c r="CV962" s="839"/>
      <c r="CW962" s="832"/>
      <c r="CX962" s="833" t="str">
        <f t="shared" si="793"/>
        <v>-</v>
      </c>
      <c r="CY962" s="840" t="str">
        <f t="shared" si="794"/>
        <v>-</v>
      </c>
      <c r="CZ962" s="833" t="str">
        <f t="shared" si="795"/>
        <v>-</v>
      </c>
      <c r="DA962" s="838" t="str">
        <f t="shared" ca="1" si="796"/>
        <v>-</v>
      </c>
      <c r="DB962" s="841"/>
      <c r="DC962" s="832"/>
    </row>
    <row r="963" spans="1:107" x14ac:dyDescent="0.25">
      <c r="A963" s="790">
        <v>967</v>
      </c>
      <c r="B963" s="791">
        <f t="shared" ref="B963:B1026" ca="1" si="798">TODAY()</f>
        <v>43134</v>
      </c>
      <c r="C963" s="792" t="s">
        <v>2583</v>
      </c>
      <c r="D963" s="793" t="s">
        <v>2582</v>
      </c>
      <c r="E963" s="794" t="s">
        <v>1563</v>
      </c>
      <c r="F963" s="795" t="s">
        <v>2259</v>
      </c>
      <c r="G963" s="845"/>
      <c r="H963" s="797" t="s">
        <v>603</v>
      </c>
      <c r="I963" s="798">
        <v>42718</v>
      </c>
      <c r="J963" s="799">
        <f t="shared" ref="J963:J1026" ca="1" si="799">(B963-I963)/365</f>
        <v>1.1397260273972603</v>
      </c>
      <c r="K963" s="799">
        <f t="shared" ref="K963:K1026" ca="1" si="800">(B963-I963)/30</f>
        <v>13.866666666666667</v>
      </c>
      <c r="L963" s="800">
        <f t="shared" ref="L963:L1026" ca="1" si="801">B963-I963</f>
        <v>416</v>
      </c>
      <c r="M963" s="801"/>
      <c r="N963" s="802"/>
      <c r="O963" s="803" t="str">
        <f t="shared" ref="O963:O1026" ca="1" si="802">IF(AND(B963&gt;0,N963&gt;0),B963-N963,"-")</f>
        <v>-</v>
      </c>
      <c r="P963" s="804"/>
      <c r="Q963" s="805"/>
      <c r="R963" s="806"/>
      <c r="S963" s="807">
        <v>43012</v>
      </c>
      <c r="T963" s="798">
        <v>43012</v>
      </c>
      <c r="U963" s="798">
        <f t="shared" ref="U963:U1026" si="803">IF(AND(Y963&gt;1,T963&gt;0),T963+18,"-")</f>
        <v>43030</v>
      </c>
      <c r="V963" s="804">
        <f t="shared" ref="V963:V1026" ca="1" si="804">IF(AND(U963&gt;0,B963&gt;0,Y963&gt;1),B963-U963,"-")</f>
        <v>104</v>
      </c>
      <c r="W963" s="808">
        <v>0</v>
      </c>
      <c r="X963" s="794" t="str">
        <f t="shared" si="797"/>
        <v>-</v>
      </c>
      <c r="Y963" s="794">
        <v>5</v>
      </c>
      <c r="Z963" s="809" t="str">
        <f t="shared" ref="Z963:Z1026" ca="1" si="805">IF(AND(Y963=1,AA963&gt;71,OR(ISBLANK(AB963),AB963=2)),"ПОДЛЕЖИТ ПЕРЕПРОВЕРКЕ","-----")</f>
        <v>-----</v>
      </c>
      <c r="AA963" s="810">
        <f t="shared" ref="AA963:AA1026" ca="1" si="806">IF(AND(O963&gt;-1,W963&gt;0,Y963=1,AB963=1),"-----",B963-T963)</f>
        <v>122</v>
      </c>
      <c r="AB963" s="804"/>
      <c r="AC963" s="811" t="str">
        <f t="shared" ref="AC963:AC1026" ca="1" si="807">IF(AND(AB963&lt;1,Z963="ПОДЛЕЖИТ ПЕРЕПРОВЕРКЕ",Y963=1),T963+72,"-----")</f>
        <v>-----</v>
      </c>
      <c r="AD963" s="798"/>
      <c r="AE963" s="794" t="str">
        <f t="shared" ref="AE963:AE1026" ca="1" si="808">IF(AND(O963&gt;120,Y963=0,N963&gt;0),"яловая","-")</f>
        <v>-</v>
      </c>
      <c r="AF963" s="798" t="str">
        <f t="shared" ref="AF963:AF1026" si="809">IF(AND(T963&gt;0,OR(Y963=3,Y963=2)),T963+35,"-")</f>
        <v>-</v>
      </c>
      <c r="AG963" s="812" t="str">
        <f t="shared" ref="AG963:AG1026" si="810">IF(AND(T963&gt;0,W963&gt;0,Q963&gt;0,OR(Y963=3,Y963=2)),B963-AF963,"---------")</f>
        <v>---------</v>
      </c>
      <c r="AH963" s="807"/>
      <c r="AI963" s="807" t="str">
        <f t="shared" ref="AI963:AI1026" si="811">IF(AND($T963&gt;0,$N963&gt;0,$Y963=1),$T963+280-90,"-")</f>
        <v>-</v>
      </c>
      <c r="AJ963" s="807" t="str">
        <f t="shared" ref="AJ963:AJ1026" si="812">IF(AND(T963&gt;0,Y963=1,N963&gt;0),T963+280-60,"-")</f>
        <v>-</v>
      </c>
      <c r="AK963" s="813"/>
      <c r="AL963" s="807" t="str">
        <f t="shared" ref="AL963:AL1026" si="813">IF(AND($T963&gt;0,$Y963=1),$T963+280-21,"-")</f>
        <v>-</v>
      </c>
      <c r="AM963" s="807" t="str">
        <f t="shared" ref="AM963:AM1026" si="814">IF(AND(T963&gt;0,Y963=1),T963+280,"-")</f>
        <v>-</v>
      </c>
      <c r="AN963" s="814" t="str">
        <f t="shared" ref="AN963:AN1026" ca="1" si="815">IF(AND(B963&gt;0,AM963&gt;0,AH963&gt;0,Y963=1),B963-AM963,"-")</f>
        <v>-</v>
      </c>
      <c r="AO963" s="815">
        <v>1</v>
      </c>
      <c r="AP963" s="816" t="str">
        <f t="shared" ref="AP963:AP1026" ca="1" si="816">IF(AND(AE963="яловая",O963&gt;300),"БРАК","-")</f>
        <v>-</v>
      </c>
      <c r="AQ963" s="817"/>
      <c r="AR963" s="794" t="str">
        <f t="shared" ref="AR963:AR1026" si="817">IF(AND(Y963=1,P963=0),"НЕТЕЛЬ","-")</f>
        <v>-</v>
      </c>
      <c r="AS963" s="818"/>
      <c r="AT963" s="794" t="str">
        <f t="shared" ref="AT963:AT1026" si="818">IF(AND(N963&gt;0,T963&gt;0,W963&gt;0,Y963=1,AH963&gt;0,AK963&gt;0),"DRY COW","-")</f>
        <v>-</v>
      </c>
      <c r="AU963" s="819"/>
      <c r="AV963" s="820"/>
      <c r="AW963" s="821"/>
      <c r="AX963" s="821"/>
      <c r="AY963" s="969" t="str">
        <f t="shared" ref="AY963:AY1026" si="819">IF(AND(AV963&gt;0,AW963&gt;0,AX963&gt;0),B963-AV963,"-")</f>
        <v>-</v>
      </c>
      <c r="AZ963" s="966" t="str">
        <f t="shared" ref="AZ963:AZ1026" si="820">IF(AND(AV963&gt;0,AW963&gt;0,AX963&gt;0,AY963&gt;10,BB963=0,BC963=0,BD963=0),"РЕВАКЦИНАЦИЯ","-")</f>
        <v>-</v>
      </c>
      <c r="BA963" s="971" t="str">
        <f t="shared" ref="BA963:BA1026" si="821">IF(AND(AV963&gt;0,AW963&gt;0,AX963&gt;0),AV963+10,"-")</f>
        <v>-</v>
      </c>
      <c r="BB963" s="975"/>
      <c r="BC963" s="821"/>
      <c r="BD963" s="821"/>
      <c r="BE963" s="963" t="str">
        <f t="shared" ref="BE963:BE1026" si="822">IF(AND(BB963&gt;0,BC963&gt;0,BD963&gt;0),B963-BB963,"-")</f>
        <v>-</v>
      </c>
      <c r="BF963" s="984"/>
      <c r="BG963" s="988"/>
      <c r="BH963" s="982"/>
      <c r="BI963" s="991"/>
      <c r="BJ963" s="991"/>
      <c r="BK963" s="993" t="str">
        <f t="shared" ref="BK963:BK1026" si="823">IF(AND(BF963&gt;0,BG963&gt;0,BH963&gt;0,BI963&gt;0,BJ963&gt;0),B963-BF963,"-")</f>
        <v>-</v>
      </c>
      <c r="BL963" s="820">
        <v>42977</v>
      </c>
      <c r="BM963" s="821">
        <v>5</v>
      </c>
      <c r="BN963" s="822">
        <f t="shared" ref="BN963:BN1026" ca="1" si="824">IF(AND(BL963&gt;0,BM963&gt;0),B963-BL963,"-")</f>
        <v>157</v>
      </c>
      <c r="BO963" s="823">
        <f t="shared" ref="BO963:BO1026" si="825">IF(AND(BL963&gt;0,BM963&gt;0),(BL963-I963)/30,"-")</f>
        <v>8.6333333333333329</v>
      </c>
      <c r="BP963" s="824"/>
      <c r="BQ963" s="821"/>
      <c r="BR963" s="822" t="str">
        <f t="shared" ref="BR963:BR1026" si="826">IF(AND(BP963&gt;0,BQ963&gt;0),B963-BP963,"-")</f>
        <v>-</v>
      </c>
      <c r="BS963" s="823" t="str">
        <f t="shared" ref="BS963:BS1026" si="827">IF(AND(BP963&gt;0,BQ963&gt;0),(BP963-M963)/30,"-")</f>
        <v>-</v>
      </c>
      <c r="BT963" s="825" t="str">
        <f t="shared" ref="BT963:BT1026" ca="1" si="828">IF(AND(OR(E963="тёлочка",E963="бычок"),L963&gt;0,BV963&lt;2,L963&lt;60),"ПОДЛЕЖИТ ВАКЦИНАЦИИ","-")</f>
        <v>-</v>
      </c>
      <c r="BU963" s="826"/>
      <c r="BV963" s="827"/>
      <c r="BW963" s="828" t="str">
        <f t="shared" ref="BW963:BW1026" si="829">IF(AND(BU963&gt;0,BV963=2),BU963-I963,"Ж-Е НЕ ВАКЦ.")</f>
        <v>Ж-Е НЕ ВАКЦ.</v>
      </c>
      <c r="BX963" s="829" t="str">
        <f t="shared" ref="BX963:BX1026" si="830">IF(AND(BU963&gt;0,BV963=2),B963-BU963,"-")</f>
        <v>-</v>
      </c>
      <c r="BY963" s="830" t="str">
        <f t="shared" ref="BY963:BY1026" ca="1" si="831">IF(AND(L963&gt;42,CA963&lt;5),"ПОДЛЕЖИТ ВАКЦИНАЦИИ","-")</f>
        <v>-</v>
      </c>
      <c r="BZ963" s="831">
        <v>42888</v>
      </c>
      <c r="CA963" s="832">
        <v>5</v>
      </c>
      <c r="CB963" s="833">
        <f t="shared" ref="CB963:CB1026" ca="1" si="832">IF(AND(BZ963&gt;0,CA963=5),B963-BZ963,"-")</f>
        <v>246</v>
      </c>
      <c r="CC963" s="834" t="str">
        <f t="shared" ref="CC963:CC1026" ca="1" si="833">IF(AND(CA963=5,CB963&gt;20,CF963&lt;5),"ТРЕБУЕТСЯ БУСТЕРНАЯ ДОЗА","-")</f>
        <v>-</v>
      </c>
      <c r="CD963" s="835">
        <f t="shared" ref="CD963:CD1026" si="834">IF(AND(BZ963&gt;0,CA963=5),BZ963+21,"-")</f>
        <v>42909</v>
      </c>
      <c r="CE963" s="831">
        <v>42909</v>
      </c>
      <c r="CF963" s="832">
        <v>5</v>
      </c>
      <c r="CG963" s="833">
        <f t="shared" ref="CG963:CG1026" ca="1" si="835">IF(AND(CE963&gt;0,CF963=5),B963-CE963,"-")</f>
        <v>225</v>
      </c>
      <c r="CH963" s="836">
        <f t="shared" ref="CH963:CH1026" si="836">IF(AND(CD963&gt;0,CE963&gt;0,CF963=5),CD963-CE963,"-")</f>
        <v>0</v>
      </c>
      <c r="CI963" s="837" t="str">
        <f t="shared" ref="CI963:CI1026" si="837">IF(AND(CF963=5,CH963=0),"УСПЕШНО","-")</f>
        <v>УСПЕШНО</v>
      </c>
      <c r="CJ963" s="838" t="str">
        <f t="shared" ref="CJ963:CJ1026" ca="1" si="838">IF(AND(BZ963&gt;0,CA963=5,CE963&gt;0,CF963=5,CG963&gt;240,CL963&lt;5),"НЕОБХОДИМА РЕВАКЦИНАЦИЯ","-")</f>
        <v>-</v>
      </c>
      <c r="CK963" s="831"/>
      <c r="CL963" s="832"/>
      <c r="CM963" s="833" t="str">
        <f t="shared" ref="CM963:CM1026" si="839">IF(AND(CK963&gt;0,CL963=5),N963-CK963,"-")</f>
        <v>-</v>
      </c>
      <c r="CN963" s="834" t="str">
        <f t="shared" ref="CN963:CN1026" si="840">IF(AND(CK963&gt;0,CL963=5,CM963&gt;240),"НЕОБХОДИМА РЕВАКЦИНАЦИЯ","-")</f>
        <v>-</v>
      </c>
      <c r="CO963" s="830" t="str">
        <f t="shared" ref="CO963:CO1026" ca="1" si="841">IF(AND(Y963=1,AN963&gt;-70,CQ963&lt;2),"ТРЕБУЕТСЯ ВАКЦИНАЦИЯ","-")</f>
        <v>-</v>
      </c>
      <c r="CP963" s="839"/>
      <c r="CQ963" s="832"/>
      <c r="CR963" s="833" t="str">
        <f t="shared" ref="CR963:CR1026" si="842">IF(AND(CP963&gt;0,CQ963=2),CP963-T963,"-")</f>
        <v>-</v>
      </c>
      <c r="CS963" s="833" t="str">
        <f t="shared" ref="CS963:CS1026" si="843">IF(AND(CP963&gt;0,CQ963=2),B963-CP963,"-")</f>
        <v>-</v>
      </c>
      <c r="CT963" s="834" t="str">
        <f t="shared" ref="CT963:CT1026" si="844">IF(AND(CQ963=2,CS963&gt;20,CW963&lt;2),"ТРЕБУЕТСЯ БУСТЕРНАЯ ДОЗА","-")</f>
        <v>-</v>
      </c>
      <c r="CU963" s="835" t="str">
        <f t="shared" ref="CU963:CU1026" si="845">IF(AND(CP963&gt;0,CQ963=2),CP963+21,"-")</f>
        <v>-</v>
      </c>
      <c r="CV963" s="839"/>
      <c r="CW963" s="832"/>
      <c r="CX963" s="833" t="str">
        <f t="shared" ref="CX963:CX1026" si="846">IF(AND(CU963&gt;0,CV963&gt;0,CW963=2),CV963-CU963,"-")</f>
        <v>-</v>
      </c>
      <c r="CY963" s="840" t="str">
        <f t="shared" ref="CY963:CY1026" si="847">IF(AND(CW963=2,CX963=0),"УСПЕШНО","-")</f>
        <v>-</v>
      </c>
      <c r="CZ963" s="833" t="str">
        <f t="shared" ref="CZ963:CZ1026" si="848">IF(AND(CV963&gt;0,CW963=2),CV963-T963,"-")</f>
        <v>-</v>
      </c>
      <c r="DA963" s="838" t="str">
        <f t="shared" ref="DA963:DA1026" ca="1" si="849">IF(AND(CP963&gt;0,CQ963=2,CV963&gt;0,CW963=2,Y963=1,AN963&gt;-50,DC963&lt;2),"ТРЕБУЕТСЯ РЕВАКЦИНАЦИЯ","-")</f>
        <v>-</v>
      </c>
      <c r="DB963" s="841"/>
      <c r="DC963" s="832"/>
    </row>
    <row r="964" spans="1:107" x14ac:dyDescent="0.25">
      <c r="A964" s="790">
        <v>968</v>
      </c>
      <c r="B964" s="791">
        <f t="shared" ca="1" si="798"/>
        <v>43134</v>
      </c>
      <c r="C964" s="792" t="s">
        <v>2583</v>
      </c>
      <c r="D964" s="793" t="s">
        <v>2582</v>
      </c>
      <c r="E964" s="794" t="s">
        <v>1563</v>
      </c>
      <c r="F964" s="795" t="s">
        <v>2261</v>
      </c>
      <c r="G964" s="845"/>
      <c r="H964" s="797" t="s">
        <v>603</v>
      </c>
      <c r="I964" s="798">
        <v>42719</v>
      </c>
      <c r="J964" s="799">
        <f t="shared" ca="1" si="799"/>
        <v>1.1369863013698631</v>
      </c>
      <c r="K964" s="799">
        <f t="shared" ca="1" si="800"/>
        <v>13.833333333333334</v>
      </c>
      <c r="L964" s="800">
        <f t="shared" ca="1" si="801"/>
        <v>415</v>
      </c>
      <c r="M964" s="801"/>
      <c r="N964" s="802"/>
      <c r="O964" s="803" t="str">
        <f t="shared" ca="1" si="802"/>
        <v>-</v>
      </c>
      <c r="P964" s="804"/>
      <c r="Q964" s="805"/>
      <c r="R964" s="806"/>
      <c r="S964" s="807"/>
      <c r="T964" s="798"/>
      <c r="U964" s="798" t="str">
        <f t="shared" si="803"/>
        <v>-</v>
      </c>
      <c r="V964" s="804" t="str">
        <f t="shared" ca="1" si="804"/>
        <v>-</v>
      </c>
      <c r="W964" s="808">
        <v>0</v>
      </c>
      <c r="X964" s="794" t="str">
        <f t="shared" si="797"/>
        <v>-</v>
      </c>
      <c r="Y964" s="794">
        <v>0</v>
      </c>
      <c r="Z964" s="809" t="str">
        <f t="shared" ca="1" si="805"/>
        <v>-----</v>
      </c>
      <c r="AA964" s="810">
        <f t="shared" ca="1" si="806"/>
        <v>43134</v>
      </c>
      <c r="AB964" s="804"/>
      <c r="AC964" s="811" t="str">
        <f t="shared" ca="1" si="807"/>
        <v>-----</v>
      </c>
      <c r="AD964" s="798"/>
      <c r="AE964" s="794" t="str">
        <f t="shared" ca="1" si="808"/>
        <v>-</v>
      </c>
      <c r="AF964" s="798" t="str">
        <f t="shared" si="809"/>
        <v>-</v>
      </c>
      <c r="AG964" s="812" t="str">
        <f t="shared" si="810"/>
        <v>---------</v>
      </c>
      <c r="AH964" s="807"/>
      <c r="AI964" s="807" t="str">
        <f t="shared" si="811"/>
        <v>-</v>
      </c>
      <c r="AJ964" s="807" t="str">
        <f t="shared" si="812"/>
        <v>-</v>
      </c>
      <c r="AK964" s="813"/>
      <c r="AL964" s="807" t="str">
        <f t="shared" si="813"/>
        <v>-</v>
      </c>
      <c r="AM964" s="807" t="str">
        <f t="shared" si="814"/>
        <v>-</v>
      </c>
      <c r="AN964" s="814" t="str">
        <f t="shared" ca="1" si="815"/>
        <v>-</v>
      </c>
      <c r="AO964" s="815">
        <v>1</v>
      </c>
      <c r="AP964" s="816" t="str">
        <f t="shared" ca="1" si="816"/>
        <v>-</v>
      </c>
      <c r="AQ964" s="817"/>
      <c r="AR964" s="794" t="str">
        <f t="shared" si="817"/>
        <v>-</v>
      </c>
      <c r="AS964" s="818"/>
      <c r="AT964" s="794" t="str">
        <f t="shared" si="818"/>
        <v>-</v>
      </c>
      <c r="AU964" s="819"/>
      <c r="AV964" s="820"/>
      <c r="AW964" s="821"/>
      <c r="AX964" s="821"/>
      <c r="AY964" s="969" t="str">
        <f t="shared" si="819"/>
        <v>-</v>
      </c>
      <c r="AZ964" s="966" t="str">
        <f t="shared" si="820"/>
        <v>-</v>
      </c>
      <c r="BA964" s="971" t="str">
        <f t="shared" si="821"/>
        <v>-</v>
      </c>
      <c r="BB964" s="975"/>
      <c r="BC964" s="821"/>
      <c r="BD964" s="821"/>
      <c r="BE964" s="963" t="str">
        <f t="shared" si="822"/>
        <v>-</v>
      </c>
      <c r="BF964" s="984"/>
      <c r="BG964" s="988"/>
      <c r="BH964" s="982"/>
      <c r="BI964" s="991"/>
      <c r="BJ964" s="991"/>
      <c r="BK964" s="993" t="str">
        <f t="shared" si="823"/>
        <v>-</v>
      </c>
      <c r="BL964" s="820">
        <v>42977</v>
      </c>
      <c r="BM964" s="821">
        <v>5</v>
      </c>
      <c r="BN964" s="822">
        <f t="shared" ca="1" si="824"/>
        <v>157</v>
      </c>
      <c r="BO964" s="823">
        <f t="shared" si="825"/>
        <v>8.6</v>
      </c>
      <c r="BP964" s="824"/>
      <c r="BQ964" s="821"/>
      <c r="BR964" s="822" t="str">
        <f t="shared" si="826"/>
        <v>-</v>
      </c>
      <c r="BS964" s="823" t="str">
        <f t="shared" si="827"/>
        <v>-</v>
      </c>
      <c r="BT964" s="825" t="str">
        <f t="shared" ca="1" si="828"/>
        <v>-</v>
      </c>
      <c r="BU964" s="826"/>
      <c r="BV964" s="827"/>
      <c r="BW964" s="828" t="str">
        <f t="shared" si="829"/>
        <v>Ж-Е НЕ ВАКЦ.</v>
      </c>
      <c r="BX964" s="829" t="str">
        <f t="shared" si="830"/>
        <v>-</v>
      </c>
      <c r="BY964" s="830" t="str">
        <f t="shared" ca="1" si="831"/>
        <v>-</v>
      </c>
      <c r="BZ964" s="831">
        <v>42888</v>
      </c>
      <c r="CA964" s="832">
        <v>5</v>
      </c>
      <c r="CB964" s="833">
        <f t="shared" ca="1" si="832"/>
        <v>246</v>
      </c>
      <c r="CC964" s="834" t="str">
        <f t="shared" ca="1" si="833"/>
        <v>-</v>
      </c>
      <c r="CD964" s="835">
        <f t="shared" si="834"/>
        <v>42909</v>
      </c>
      <c r="CE964" s="831">
        <v>42909</v>
      </c>
      <c r="CF964" s="832">
        <v>5</v>
      </c>
      <c r="CG964" s="833">
        <f t="shared" ca="1" si="835"/>
        <v>225</v>
      </c>
      <c r="CH964" s="836">
        <f t="shared" si="836"/>
        <v>0</v>
      </c>
      <c r="CI964" s="837" t="str">
        <f t="shared" si="837"/>
        <v>УСПЕШНО</v>
      </c>
      <c r="CJ964" s="838" t="str">
        <f t="shared" ca="1" si="838"/>
        <v>-</v>
      </c>
      <c r="CK964" s="831"/>
      <c r="CL964" s="832"/>
      <c r="CM964" s="833" t="str">
        <f t="shared" si="839"/>
        <v>-</v>
      </c>
      <c r="CN964" s="834" t="str">
        <f t="shared" si="840"/>
        <v>-</v>
      </c>
      <c r="CO964" s="830" t="str">
        <f t="shared" ca="1" si="841"/>
        <v>-</v>
      </c>
      <c r="CP964" s="839"/>
      <c r="CQ964" s="832"/>
      <c r="CR964" s="833" t="str">
        <f t="shared" si="842"/>
        <v>-</v>
      </c>
      <c r="CS964" s="833" t="str">
        <f t="shared" si="843"/>
        <v>-</v>
      </c>
      <c r="CT964" s="834" t="str">
        <f t="shared" si="844"/>
        <v>-</v>
      </c>
      <c r="CU964" s="835" t="str">
        <f t="shared" si="845"/>
        <v>-</v>
      </c>
      <c r="CV964" s="839"/>
      <c r="CW964" s="832"/>
      <c r="CX964" s="833" t="str">
        <f t="shared" si="846"/>
        <v>-</v>
      </c>
      <c r="CY964" s="840" t="str">
        <f t="shared" si="847"/>
        <v>-</v>
      </c>
      <c r="CZ964" s="833" t="str">
        <f t="shared" si="848"/>
        <v>-</v>
      </c>
      <c r="DA964" s="838" t="str">
        <f t="shared" ca="1" si="849"/>
        <v>-</v>
      </c>
      <c r="DB964" s="841"/>
      <c r="DC964" s="832"/>
    </row>
    <row r="965" spans="1:107" x14ac:dyDescent="0.25">
      <c r="A965" s="790">
        <v>969</v>
      </c>
      <c r="B965" s="791">
        <f t="shared" ca="1" si="798"/>
        <v>43134</v>
      </c>
      <c r="C965" s="792" t="s">
        <v>2583</v>
      </c>
      <c r="D965" s="793" t="s">
        <v>2582</v>
      </c>
      <c r="E965" s="794" t="s">
        <v>1563</v>
      </c>
      <c r="F965" s="795" t="s">
        <v>2272</v>
      </c>
      <c r="G965" s="845"/>
      <c r="H965" s="797" t="s">
        <v>603</v>
      </c>
      <c r="I965" s="798">
        <v>42721</v>
      </c>
      <c r="J965" s="799">
        <f t="shared" ca="1" si="799"/>
        <v>1.1315068493150684</v>
      </c>
      <c r="K965" s="799">
        <f t="shared" ca="1" si="800"/>
        <v>13.766666666666667</v>
      </c>
      <c r="L965" s="800">
        <f t="shared" ca="1" si="801"/>
        <v>413</v>
      </c>
      <c r="M965" s="801"/>
      <c r="N965" s="802"/>
      <c r="O965" s="803" t="str">
        <f t="shared" ca="1" si="802"/>
        <v>-</v>
      </c>
      <c r="P965" s="804"/>
      <c r="Q965" s="805"/>
      <c r="R965" s="806"/>
      <c r="S965" s="807"/>
      <c r="T965" s="798"/>
      <c r="U965" s="798" t="str">
        <f t="shared" si="803"/>
        <v>-</v>
      </c>
      <c r="V965" s="804" t="str">
        <f t="shared" ca="1" si="804"/>
        <v>-</v>
      </c>
      <c r="W965" s="808">
        <v>0</v>
      </c>
      <c r="X965" s="794" t="str">
        <f t="shared" si="797"/>
        <v>-</v>
      </c>
      <c r="Y965" s="794">
        <v>0</v>
      </c>
      <c r="Z965" s="809" t="str">
        <f t="shared" ca="1" si="805"/>
        <v>-----</v>
      </c>
      <c r="AA965" s="810">
        <f t="shared" ca="1" si="806"/>
        <v>43134</v>
      </c>
      <c r="AB965" s="804"/>
      <c r="AC965" s="811" t="str">
        <f t="shared" ca="1" si="807"/>
        <v>-----</v>
      </c>
      <c r="AD965" s="798"/>
      <c r="AE965" s="794" t="str">
        <f t="shared" ca="1" si="808"/>
        <v>-</v>
      </c>
      <c r="AF965" s="798" t="str">
        <f t="shared" si="809"/>
        <v>-</v>
      </c>
      <c r="AG965" s="812" t="str">
        <f t="shared" si="810"/>
        <v>---------</v>
      </c>
      <c r="AH965" s="807"/>
      <c r="AI965" s="807" t="str">
        <f t="shared" si="811"/>
        <v>-</v>
      </c>
      <c r="AJ965" s="807" t="str">
        <f t="shared" si="812"/>
        <v>-</v>
      </c>
      <c r="AK965" s="813"/>
      <c r="AL965" s="807" t="str">
        <f t="shared" si="813"/>
        <v>-</v>
      </c>
      <c r="AM965" s="807" t="str">
        <f t="shared" si="814"/>
        <v>-</v>
      </c>
      <c r="AN965" s="814" t="str">
        <f t="shared" ca="1" si="815"/>
        <v>-</v>
      </c>
      <c r="AO965" s="815">
        <v>1</v>
      </c>
      <c r="AP965" s="816" t="str">
        <f t="shared" ca="1" si="816"/>
        <v>-</v>
      </c>
      <c r="AQ965" s="817"/>
      <c r="AR965" s="794" t="str">
        <f t="shared" si="817"/>
        <v>-</v>
      </c>
      <c r="AS965" s="818"/>
      <c r="AT965" s="794" t="str">
        <f t="shared" si="818"/>
        <v>-</v>
      </c>
      <c r="AU965" s="819"/>
      <c r="AV965" s="820"/>
      <c r="AW965" s="821"/>
      <c r="AX965" s="821"/>
      <c r="AY965" s="969" t="str">
        <f t="shared" si="819"/>
        <v>-</v>
      </c>
      <c r="AZ965" s="966" t="str">
        <f t="shared" si="820"/>
        <v>-</v>
      </c>
      <c r="BA965" s="971" t="str">
        <f t="shared" si="821"/>
        <v>-</v>
      </c>
      <c r="BB965" s="975"/>
      <c r="BC965" s="821"/>
      <c r="BD965" s="821"/>
      <c r="BE965" s="963" t="str">
        <f t="shared" si="822"/>
        <v>-</v>
      </c>
      <c r="BF965" s="984"/>
      <c r="BG965" s="988"/>
      <c r="BH965" s="982"/>
      <c r="BI965" s="991"/>
      <c r="BJ965" s="991"/>
      <c r="BK965" s="993" t="str">
        <f t="shared" si="823"/>
        <v>-</v>
      </c>
      <c r="BL965" s="820">
        <v>42977</v>
      </c>
      <c r="BM965" s="821">
        <v>5</v>
      </c>
      <c r="BN965" s="822">
        <f t="shared" ca="1" si="824"/>
        <v>157</v>
      </c>
      <c r="BO965" s="823">
        <f t="shared" si="825"/>
        <v>8.5333333333333332</v>
      </c>
      <c r="BP965" s="824"/>
      <c r="BQ965" s="821"/>
      <c r="BR965" s="822" t="str">
        <f t="shared" si="826"/>
        <v>-</v>
      </c>
      <c r="BS965" s="823" t="str">
        <f t="shared" si="827"/>
        <v>-</v>
      </c>
      <c r="BT965" s="825" t="str">
        <f t="shared" ca="1" si="828"/>
        <v>-</v>
      </c>
      <c r="BU965" s="826"/>
      <c r="BV965" s="827"/>
      <c r="BW965" s="828" t="str">
        <f t="shared" si="829"/>
        <v>Ж-Е НЕ ВАКЦ.</v>
      </c>
      <c r="BX965" s="829" t="str">
        <f t="shared" si="830"/>
        <v>-</v>
      </c>
      <c r="BY965" s="830" t="str">
        <f t="shared" ca="1" si="831"/>
        <v>-</v>
      </c>
      <c r="BZ965" s="831">
        <v>42888</v>
      </c>
      <c r="CA965" s="832">
        <v>5</v>
      </c>
      <c r="CB965" s="833">
        <f t="shared" ca="1" si="832"/>
        <v>246</v>
      </c>
      <c r="CC965" s="834" t="str">
        <f t="shared" ca="1" si="833"/>
        <v>-</v>
      </c>
      <c r="CD965" s="835">
        <f t="shared" si="834"/>
        <v>42909</v>
      </c>
      <c r="CE965" s="831">
        <v>42909</v>
      </c>
      <c r="CF965" s="832">
        <v>5</v>
      </c>
      <c r="CG965" s="833">
        <f t="shared" ca="1" si="835"/>
        <v>225</v>
      </c>
      <c r="CH965" s="836">
        <f t="shared" si="836"/>
        <v>0</v>
      </c>
      <c r="CI965" s="837" t="str">
        <f t="shared" si="837"/>
        <v>УСПЕШНО</v>
      </c>
      <c r="CJ965" s="838" t="str">
        <f t="shared" ca="1" si="838"/>
        <v>-</v>
      </c>
      <c r="CK965" s="831"/>
      <c r="CL965" s="832"/>
      <c r="CM965" s="833" t="str">
        <f t="shared" si="839"/>
        <v>-</v>
      </c>
      <c r="CN965" s="834" t="str">
        <f t="shared" si="840"/>
        <v>-</v>
      </c>
      <c r="CO965" s="830" t="str">
        <f t="shared" ca="1" si="841"/>
        <v>-</v>
      </c>
      <c r="CP965" s="839"/>
      <c r="CQ965" s="832"/>
      <c r="CR965" s="833" t="str">
        <f t="shared" si="842"/>
        <v>-</v>
      </c>
      <c r="CS965" s="833" t="str">
        <f t="shared" si="843"/>
        <v>-</v>
      </c>
      <c r="CT965" s="834" t="str">
        <f t="shared" si="844"/>
        <v>-</v>
      </c>
      <c r="CU965" s="835" t="str">
        <f t="shared" si="845"/>
        <v>-</v>
      </c>
      <c r="CV965" s="839"/>
      <c r="CW965" s="832"/>
      <c r="CX965" s="833" t="str">
        <f t="shared" si="846"/>
        <v>-</v>
      </c>
      <c r="CY965" s="840" t="str">
        <f t="shared" si="847"/>
        <v>-</v>
      </c>
      <c r="CZ965" s="833" t="str">
        <f t="shared" si="848"/>
        <v>-</v>
      </c>
      <c r="DA965" s="838" t="str">
        <f t="shared" ca="1" si="849"/>
        <v>-</v>
      </c>
      <c r="DB965" s="841"/>
      <c r="DC965" s="832"/>
    </row>
    <row r="966" spans="1:107" x14ac:dyDescent="0.25">
      <c r="A966" s="790">
        <v>970</v>
      </c>
      <c r="B966" s="791">
        <f t="shared" ca="1" si="798"/>
        <v>43134</v>
      </c>
      <c r="C966" s="792" t="s">
        <v>2583</v>
      </c>
      <c r="D966" s="793" t="s">
        <v>2582</v>
      </c>
      <c r="E966" s="794" t="s">
        <v>1563</v>
      </c>
      <c r="F966" s="795" t="s">
        <v>2278</v>
      </c>
      <c r="G966" s="845"/>
      <c r="H966" s="797" t="s">
        <v>603</v>
      </c>
      <c r="I966" s="798">
        <v>42723</v>
      </c>
      <c r="J966" s="799">
        <f t="shared" ca="1" si="799"/>
        <v>1.1260273972602739</v>
      </c>
      <c r="K966" s="799">
        <f t="shared" ca="1" si="800"/>
        <v>13.7</v>
      </c>
      <c r="L966" s="800">
        <f t="shared" ca="1" si="801"/>
        <v>411</v>
      </c>
      <c r="M966" s="801"/>
      <c r="N966" s="802"/>
      <c r="O966" s="803" t="str">
        <f t="shared" ca="1" si="802"/>
        <v>-</v>
      </c>
      <c r="P966" s="804"/>
      <c r="Q966" s="805"/>
      <c r="R966" s="806"/>
      <c r="S966" s="807"/>
      <c r="T966" s="798"/>
      <c r="U966" s="798" t="str">
        <f t="shared" si="803"/>
        <v>-</v>
      </c>
      <c r="V966" s="804" t="str">
        <f t="shared" ca="1" si="804"/>
        <v>-</v>
      </c>
      <c r="W966" s="808">
        <v>0</v>
      </c>
      <c r="X966" s="794" t="str">
        <f t="shared" si="797"/>
        <v>-</v>
      </c>
      <c r="Y966" s="794">
        <v>0</v>
      </c>
      <c r="Z966" s="809" t="str">
        <f t="shared" ca="1" si="805"/>
        <v>-----</v>
      </c>
      <c r="AA966" s="810">
        <f t="shared" ca="1" si="806"/>
        <v>43134</v>
      </c>
      <c r="AB966" s="804"/>
      <c r="AC966" s="811" t="str">
        <f t="shared" ca="1" si="807"/>
        <v>-----</v>
      </c>
      <c r="AD966" s="798"/>
      <c r="AE966" s="794" t="str">
        <f t="shared" ca="1" si="808"/>
        <v>-</v>
      </c>
      <c r="AF966" s="798" t="str">
        <f t="shared" si="809"/>
        <v>-</v>
      </c>
      <c r="AG966" s="812" t="str">
        <f t="shared" si="810"/>
        <v>---------</v>
      </c>
      <c r="AH966" s="807"/>
      <c r="AI966" s="807" t="str">
        <f t="shared" si="811"/>
        <v>-</v>
      </c>
      <c r="AJ966" s="807" t="str">
        <f t="shared" si="812"/>
        <v>-</v>
      </c>
      <c r="AK966" s="813"/>
      <c r="AL966" s="807" t="str">
        <f t="shared" si="813"/>
        <v>-</v>
      </c>
      <c r="AM966" s="807" t="str">
        <f t="shared" si="814"/>
        <v>-</v>
      </c>
      <c r="AN966" s="814" t="str">
        <f t="shared" ca="1" si="815"/>
        <v>-</v>
      </c>
      <c r="AO966" s="815">
        <v>1</v>
      </c>
      <c r="AP966" s="816" t="str">
        <f t="shared" ca="1" si="816"/>
        <v>-</v>
      </c>
      <c r="AQ966" s="817"/>
      <c r="AR966" s="794" t="str">
        <f t="shared" si="817"/>
        <v>-</v>
      </c>
      <c r="AS966" s="818"/>
      <c r="AT966" s="794" t="str">
        <f t="shared" si="818"/>
        <v>-</v>
      </c>
      <c r="AU966" s="819"/>
      <c r="AV966" s="820"/>
      <c r="AW966" s="821"/>
      <c r="AX966" s="821"/>
      <c r="AY966" s="969" t="str">
        <f t="shared" si="819"/>
        <v>-</v>
      </c>
      <c r="AZ966" s="966" t="str">
        <f t="shared" si="820"/>
        <v>-</v>
      </c>
      <c r="BA966" s="971" t="str">
        <f t="shared" si="821"/>
        <v>-</v>
      </c>
      <c r="BB966" s="975"/>
      <c r="BC966" s="821"/>
      <c r="BD966" s="821"/>
      <c r="BE966" s="963" t="str">
        <f t="shared" si="822"/>
        <v>-</v>
      </c>
      <c r="BF966" s="984"/>
      <c r="BG966" s="988"/>
      <c r="BH966" s="982"/>
      <c r="BI966" s="991"/>
      <c r="BJ966" s="991"/>
      <c r="BK966" s="993" t="str">
        <f t="shared" si="823"/>
        <v>-</v>
      </c>
      <c r="BL966" s="820">
        <v>42977</v>
      </c>
      <c r="BM966" s="821">
        <v>5</v>
      </c>
      <c r="BN966" s="822">
        <f t="shared" ca="1" si="824"/>
        <v>157</v>
      </c>
      <c r="BO966" s="823">
        <f t="shared" si="825"/>
        <v>8.4666666666666668</v>
      </c>
      <c r="BP966" s="824"/>
      <c r="BQ966" s="821"/>
      <c r="BR966" s="822" t="str">
        <f t="shared" si="826"/>
        <v>-</v>
      </c>
      <c r="BS966" s="823" t="str">
        <f t="shared" si="827"/>
        <v>-</v>
      </c>
      <c r="BT966" s="825" t="str">
        <f t="shared" ca="1" si="828"/>
        <v>-</v>
      </c>
      <c r="BU966" s="826"/>
      <c r="BV966" s="827"/>
      <c r="BW966" s="828" t="str">
        <f t="shared" si="829"/>
        <v>Ж-Е НЕ ВАКЦ.</v>
      </c>
      <c r="BX966" s="829" t="str">
        <f t="shared" si="830"/>
        <v>-</v>
      </c>
      <c r="BY966" s="830" t="str">
        <f t="shared" ca="1" si="831"/>
        <v>-</v>
      </c>
      <c r="BZ966" s="831">
        <v>42888</v>
      </c>
      <c r="CA966" s="832">
        <v>5</v>
      </c>
      <c r="CB966" s="833">
        <f t="shared" ca="1" si="832"/>
        <v>246</v>
      </c>
      <c r="CC966" s="834" t="str">
        <f t="shared" ca="1" si="833"/>
        <v>-</v>
      </c>
      <c r="CD966" s="835">
        <f t="shared" si="834"/>
        <v>42909</v>
      </c>
      <c r="CE966" s="831">
        <v>42909</v>
      </c>
      <c r="CF966" s="832">
        <v>5</v>
      </c>
      <c r="CG966" s="833">
        <f t="shared" ca="1" si="835"/>
        <v>225</v>
      </c>
      <c r="CH966" s="836">
        <f t="shared" si="836"/>
        <v>0</v>
      </c>
      <c r="CI966" s="837" t="str">
        <f t="shared" si="837"/>
        <v>УСПЕШНО</v>
      </c>
      <c r="CJ966" s="838" t="str">
        <f t="shared" ca="1" si="838"/>
        <v>-</v>
      </c>
      <c r="CK966" s="831"/>
      <c r="CL966" s="832"/>
      <c r="CM966" s="833" t="str">
        <f t="shared" si="839"/>
        <v>-</v>
      </c>
      <c r="CN966" s="834" t="str">
        <f t="shared" si="840"/>
        <v>-</v>
      </c>
      <c r="CO966" s="830" t="str">
        <f t="shared" ca="1" si="841"/>
        <v>-</v>
      </c>
      <c r="CP966" s="839"/>
      <c r="CQ966" s="832"/>
      <c r="CR966" s="833" t="str">
        <f t="shared" si="842"/>
        <v>-</v>
      </c>
      <c r="CS966" s="833" t="str">
        <f t="shared" si="843"/>
        <v>-</v>
      </c>
      <c r="CT966" s="834" t="str">
        <f t="shared" si="844"/>
        <v>-</v>
      </c>
      <c r="CU966" s="835" t="str">
        <f t="shared" si="845"/>
        <v>-</v>
      </c>
      <c r="CV966" s="839"/>
      <c r="CW966" s="832"/>
      <c r="CX966" s="833" t="str">
        <f t="shared" si="846"/>
        <v>-</v>
      </c>
      <c r="CY966" s="840" t="str">
        <f t="shared" si="847"/>
        <v>-</v>
      </c>
      <c r="CZ966" s="833" t="str">
        <f t="shared" si="848"/>
        <v>-</v>
      </c>
      <c r="DA966" s="838" t="str">
        <f t="shared" ca="1" si="849"/>
        <v>-</v>
      </c>
      <c r="DB966" s="841"/>
      <c r="DC966" s="832"/>
    </row>
    <row r="967" spans="1:107" x14ac:dyDescent="0.25">
      <c r="A967" s="790">
        <v>971</v>
      </c>
      <c r="B967" s="791">
        <f t="shared" ca="1" si="798"/>
        <v>43134</v>
      </c>
      <c r="C967" s="792" t="s">
        <v>2583</v>
      </c>
      <c r="D967" s="793" t="s">
        <v>2582</v>
      </c>
      <c r="E967" s="794" t="s">
        <v>1563</v>
      </c>
      <c r="F967" s="795" t="s">
        <v>2282</v>
      </c>
      <c r="G967" s="845"/>
      <c r="H967" s="797" t="s">
        <v>603</v>
      </c>
      <c r="I967" s="798">
        <v>42724</v>
      </c>
      <c r="J967" s="799">
        <f t="shared" ca="1" si="799"/>
        <v>1.1232876712328768</v>
      </c>
      <c r="K967" s="799">
        <f t="shared" ca="1" si="800"/>
        <v>13.666666666666666</v>
      </c>
      <c r="L967" s="800">
        <f t="shared" ca="1" si="801"/>
        <v>410</v>
      </c>
      <c r="M967" s="801"/>
      <c r="N967" s="802"/>
      <c r="O967" s="803" t="str">
        <f t="shared" ca="1" si="802"/>
        <v>-</v>
      </c>
      <c r="P967" s="804"/>
      <c r="Q967" s="805"/>
      <c r="R967" s="806"/>
      <c r="S967" s="807"/>
      <c r="T967" s="798"/>
      <c r="U967" s="798" t="str">
        <f t="shared" si="803"/>
        <v>-</v>
      </c>
      <c r="V967" s="804" t="str">
        <f t="shared" ca="1" si="804"/>
        <v>-</v>
      </c>
      <c r="W967" s="808">
        <v>0</v>
      </c>
      <c r="X967" s="794" t="str">
        <f t="shared" si="797"/>
        <v>-</v>
      </c>
      <c r="Y967" s="794">
        <v>0</v>
      </c>
      <c r="Z967" s="809" t="str">
        <f t="shared" ca="1" si="805"/>
        <v>-----</v>
      </c>
      <c r="AA967" s="810">
        <f t="shared" ca="1" si="806"/>
        <v>43134</v>
      </c>
      <c r="AB967" s="804"/>
      <c r="AC967" s="811" t="str">
        <f t="shared" ca="1" si="807"/>
        <v>-----</v>
      </c>
      <c r="AD967" s="798"/>
      <c r="AE967" s="794" t="str">
        <f t="shared" ca="1" si="808"/>
        <v>-</v>
      </c>
      <c r="AF967" s="798" t="str">
        <f t="shared" si="809"/>
        <v>-</v>
      </c>
      <c r="AG967" s="812" t="str">
        <f t="shared" si="810"/>
        <v>---------</v>
      </c>
      <c r="AH967" s="807"/>
      <c r="AI967" s="807" t="str">
        <f t="shared" si="811"/>
        <v>-</v>
      </c>
      <c r="AJ967" s="807" t="str">
        <f t="shared" si="812"/>
        <v>-</v>
      </c>
      <c r="AK967" s="813"/>
      <c r="AL967" s="807" t="str">
        <f t="shared" si="813"/>
        <v>-</v>
      </c>
      <c r="AM967" s="807" t="str">
        <f t="shared" si="814"/>
        <v>-</v>
      </c>
      <c r="AN967" s="814" t="str">
        <f t="shared" ca="1" si="815"/>
        <v>-</v>
      </c>
      <c r="AO967" s="815">
        <v>1</v>
      </c>
      <c r="AP967" s="816" t="str">
        <f t="shared" ca="1" si="816"/>
        <v>-</v>
      </c>
      <c r="AQ967" s="817"/>
      <c r="AR967" s="794" t="str">
        <f t="shared" si="817"/>
        <v>-</v>
      </c>
      <c r="AS967" s="818"/>
      <c r="AT967" s="794" t="str">
        <f t="shared" si="818"/>
        <v>-</v>
      </c>
      <c r="AU967" s="819"/>
      <c r="AV967" s="820"/>
      <c r="AW967" s="821"/>
      <c r="AX967" s="821"/>
      <c r="AY967" s="969" t="str">
        <f t="shared" si="819"/>
        <v>-</v>
      </c>
      <c r="AZ967" s="966" t="str">
        <f t="shared" si="820"/>
        <v>-</v>
      </c>
      <c r="BA967" s="971" t="str">
        <f t="shared" si="821"/>
        <v>-</v>
      </c>
      <c r="BB967" s="975"/>
      <c r="BC967" s="821"/>
      <c r="BD967" s="821"/>
      <c r="BE967" s="963" t="str">
        <f t="shared" si="822"/>
        <v>-</v>
      </c>
      <c r="BF967" s="984"/>
      <c r="BG967" s="988"/>
      <c r="BH967" s="982"/>
      <c r="BI967" s="991"/>
      <c r="BJ967" s="991"/>
      <c r="BK967" s="993" t="str">
        <f t="shared" si="823"/>
        <v>-</v>
      </c>
      <c r="BL967" s="820">
        <v>42977</v>
      </c>
      <c r="BM967" s="821">
        <v>5</v>
      </c>
      <c r="BN967" s="822">
        <f t="shared" ca="1" si="824"/>
        <v>157</v>
      </c>
      <c r="BO967" s="823">
        <f t="shared" si="825"/>
        <v>8.4333333333333336</v>
      </c>
      <c r="BP967" s="824"/>
      <c r="BQ967" s="821"/>
      <c r="BR967" s="822" t="str">
        <f t="shared" si="826"/>
        <v>-</v>
      </c>
      <c r="BS967" s="823" t="str">
        <f t="shared" si="827"/>
        <v>-</v>
      </c>
      <c r="BT967" s="825" t="str">
        <f t="shared" ca="1" si="828"/>
        <v>-</v>
      </c>
      <c r="BU967" s="826"/>
      <c r="BV967" s="827"/>
      <c r="BW967" s="828" t="str">
        <f t="shared" si="829"/>
        <v>Ж-Е НЕ ВАКЦ.</v>
      </c>
      <c r="BX967" s="829" t="str">
        <f t="shared" si="830"/>
        <v>-</v>
      </c>
      <c r="BY967" s="830" t="str">
        <f t="shared" ca="1" si="831"/>
        <v>-</v>
      </c>
      <c r="BZ967" s="831">
        <v>42888</v>
      </c>
      <c r="CA967" s="832">
        <v>5</v>
      </c>
      <c r="CB967" s="833">
        <f t="shared" ca="1" si="832"/>
        <v>246</v>
      </c>
      <c r="CC967" s="834" t="str">
        <f t="shared" ca="1" si="833"/>
        <v>-</v>
      </c>
      <c r="CD967" s="835">
        <f t="shared" si="834"/>
        <v>42909</v>
      </c>
      <c r="CE967" s="831">
        <v>42909</v>
      </c>
      <c r="CF967" s="832">
        <v>5</v>
      </c>
      <c r="CG967" s="833">
        <f t="shared" ca="1" si="835"/>
        <v>225</v>
      </c>
      <c r="CH967" s="836">
        <f t="shared" si="836"/>
        <v>0</v>
      </c>
      <c r="CI967" s="837" t="str">
        <f t="shared" si="837"/>
        <v>УСПЕШНО</v>
      </c>
      <c r="CJ967" s="838" t="str">
        <f t="shared" ca="1" si="838"/>
        <v>-</v>
      </c>
      <c r="CK967" s="831"/>
      <c r="CL967" s="832"/>
      <c r="CM967" s="833" t="str">
        <f t="shared" si="839"/>
        <v>-</v>
      </c>
      <c r="CN967" s="834" t="str">
        <f t="shared" si="840"/>
        <v>-</v>
      </c>
      <c r="CO967" s="830" t="str">
        <f t="shared" ca="1" si="841"/>
        <v>-</v>
      </c>
      <c r="CP967" s="839"/>
      <c r="CQ967" s="832"/>
      <c r="CR967" s="833" t="str">
        <f t="shared" si="842"/>
        <v>-</v>
      </c>
      <c r="CS967" s="833" t="str">
        <f t="shared" si="843"/>
        <v>-</v>
      </c>
      <c r="CT967" s="834" t="str">
        <f t="shared" si="844"/>
        <v>-</v>
      </c>
      <c r="CU967" s="835" t="str">
        <f t="shared" si="845"/>
        <v>-</v>
      </c>
      <c r="CV967" s="839"/>
      <c r="CW967" s="832"/>
      <c r="CX967" s="833" t="str">
        <f t="shared" si="846"/>
        <v>-</v>
      </c>
      <c r="CY967" s="840" t="str">
        <f t="shared" si="847"/>
        <v>-</v>
      </c>
      <c r="CZ967" s="833" t="str">
        <f t="shared" si="848"/>
        <v>-</v>
      </c>
      <c r="DA967" s="838" t="str">
        <f t="shared" ca="1" si="849"/>
        <v>-</v>
      </c>
      <c r="DB967" s="841"/>
      <c r="DC967" s="832"/>
    </row>
    <row r="968" spans="1:107" x14ac:dyDescent="0.25">
      <c r="A968" s="790">
        <v>972</v>
      </c>
      <c r="B968" s="791">
        <f t="shared" ca="1" si="798"/>
        <v>43134</v>
      </c>
      <c r="C968" s="792" t="s">
        <v>2583</v>
      </c>
      <c r="D968" s="793" t="s">
        <v>2582</v>
      </c>
      <c r="E968" s="794" t="s">
        <v>1563</v>
      </c>
      <c r="F968" s="795" t="s">
        <v>2288</v>
      </c>
      <c r="G968" s="845"/>
      <c r="H968" s="797" t="s">
        <v>603</v>
      </c>
      <c r="I968" s="798">
        <v>42727</v>
      </c>
      <c r="J968" s="799">
        <f t="shared" ca="1" si="799"/>
        <v>1.1150684931506849</v>
      </c>
      <c r="K968" s="799">
        <f t="shared" ca="1" si="800"/>
        <v>13.566666666666666</v>
      </c>
      <c r="L968" s="800">
        <f t="shared" ca="1" si="801"/>
        <v>407</v>
      </c>
      <c r="M968" s="801"/>
      <c r="N968" s="802"/>
      <c r="O968" s="803" t="str">
        <f t="shared" ca="1" si="802"/>
        <v>-</v>
      </c>
      <c r="P968" s="804"/>
      <c r="Q968" s="805"/>
      <c r="R968" s="806"/>
      <c r="S968" s="807"/>
      <c r="T968" s="798"/>
      <c r="U968" s="798" t="str">
        <f t="shared" si="803"/>
        <v>-</v>
      </c>
      <c r="V968" s="804" t="str">
        <f t="shared" ca="1" si="804"/>
        <v>-</v>
      </c>
      <c r="W968" s="808">
        <v>0</v>
      </c>
      <c r="X968" s="794" t="str">
        <f t="shared" si="797"/>
        <v>-</v>
      </c>
      <c r="Y968" s="794">
        <v>0</v>
      </c>
      <c r="Z968" s="809" t="str">
        <f t="shared" ca="1" si="805"/>
        <v>-----</v>
      </c>
      <c r="AA968" s="810">
        <f t="shared" ca="1" si="806"/>
        <v>43134</v>
      </c>
      <c r="AB968" s="804"/>
      <c r="AC968" s="811" t="str">
        <f t="shared" ca="1" si="807"/>
        <v>-----</v>
      </c>
      <c r="AD968" s="798"/>
      <c r="AE968" s="794" t="str">
        <f t="shared" ca="1" si="808"/>
        <v>-</v>
      </c>
      <c r="AF968" s="798" t="str">
        <f t="shared" si="809"/>
        <v>-</v>
      </c>
      <c r="AG968" s="812" t="str">
        <f t="shared" si="810"/>
        <v>---------</v>
      </c>
      <c r="AH968" s="807"/>
      <c r="AI968" s="807" t="str">
        <f t="shared" si="811"/>
        <v>-</v>
      </c>
      <c r="AJ968" s="807" t="str">
        <f t="shared" si="812"/>
        <v>-</v>
      </c>
      <c r="AK968" s="813"/>
      <c r="AL968" s="807" t="str">
        <f t="shared" si="813"/>
        <v>-</v>
      </c>
      <c r="AM968" s="807" t="str">
        <f t="shared" si="814"/>
        <v>-</v>
      </c>
      <c r="AN968" s="814" t="str">
        <f t="shared" ca="1" si="815"/>
        <v>-</v>
      </c>
      <c r="AO968" s="815">
        <v>1</v>
      </c>
      <c r="AP968" s="816" t="str">
        <f t="shared" ca="1" si="816"/>
        <v>-</v>
      </c>
      <c r="AQ968" s="817"/>
      <c r="AR968" s="794" t="str">
        <f t="shared" si="817"/>
        <v>-</v>
      </c>
      <c r="AS968" s="818"/>
      <c r="AT968" s="794" t="str">
        <f t="shared" si="818"/>
        <v>-</v>
      </c>
      <c r="AU968" s="819"/>
      <c r="AV968" s="820"/>
      <c r="AW968" s="821"/>
      <c r="AX968" s="821"/>
      <c r="AY968" s="969" t="str">
        <f t="shared" si="819"/>
        <v>-</v>
      </c>
      <c r="AZ968" s="966" t="str">
        <f t="shared" si="820"/>
        <v>-</v>
      </c>
      <c r="BA968" s="971" t="str">
        <f t="shared" si="821"/>
        <v>-</v>
      </c>
      <c r="BB968" s="975"/>
      <c r="BC968" s="821"/>
      <c r="BD968" s="821"/>
      <c r="BE968" s="963" t="str">
        <f t="shared" si="822"/>
        <v>-</v>
      </c>
      <c r="BF968" s="984"/>
      <c r="BG968" s="988"/>
      <c r="BH968" s="982"/>
      <c r="BI968" s="991"/>
      <c r="BJ968" s="991"/>
      <c r="BK968" s="993" t="str">
        <f t="shared" si="823"/>
        <v>-</v>
      </c>
      <c r="BL968" s="820">
        <v>42977</v>
      </c>
      <c r="BM968" s="821">
        <v>5</v>
      </c>
      <c r="BN968" s="822">
        <f t="shared" ca="1" si="824"/>
        <v>157</v>
      </c>
      <c r="BO968" s="823">
        <f t="shared" si="825"/>
        <v>8.3333333333333339</v>
      </c>
      <c r="BP968" s="824"/>
      <c r="BQ968" s="821"/>
      <c r="BR968" s="822" t="str">
        <f t="shared" si="826"/>
        <v>-</v>
      </c>
      <c r="BS968" s="823" t="str">
        <f t="shared" si="827"/>
        <v>-</v>
      </c>
      <c r="BT968" s="825" t="str">
        <f t="shared" ca="1" si="828"/>
        <v>-</v>
      </c>
      <c r="BU968" s="860"/>
      <c r="BV968" s="827"/>
      <c r="BW968" s="828" t="str">
        <f t="shared" si="829"/>
        <v>Ж-Е НЕ ВАКЦ.</v>
      </c>
      <c r="BX968" s="829" t="str">
        <f t="shared" si="830"/>
        <v>-</v>
      </c>
      <c r="BY968" s="830" t="str">
        <f t="shared" ca="1" si="831"/>
        <v>-</v>
      </c>
      <c r="BZ968" s="831">
        <v>42888</v>
      </c>
      <c r="CA968" s="832">
        <v>5</v>
      </c>
      <c r="CB968" s="833">
        <f t="shared" ca="1" si="832"/>
        <v>246</v>
      </c>
      <c r="CC968" s="834" t="str">
        <f t="shared" ca="1" si="833"/>
        <v>-</v>
      </c>
      <c r="CD968" s="835">
        <f t="shared" si="834"/>
        <v>42909</v>
      </c>
      <c r="CE968" s="831">
        <v>42909</v>
      </c>
      <c r="CF968" s="832">
        <v>5</v>
      </c>
      <c r="CG968" s="833">
        <f t="shared" ca="1" si="835"/>
        <v>225</v>
      </c>
      <c r="CH968" s="836">
        <f t="shared" si="836"/>
        <v>0</v>
      </c>
      <c r="CI968" s="837" t="str">
        <f t="shared" si="837"/>
        <v>УСПЕШНО</v>
      </c>
      <c r="CJ968" s="838" t="str">
        <f t="shared" ca="1" si="838"/>
        <v>-</v>
      </c>
      <c r="CK968" s="831"/>
      <c r="CL968" s="832"/>
      <c r="CM968" s="833" t="str">
        <f t="shared" si="839"/>
        <v>-</v>
      </c>
      <c r="CN968" s="834" t="str">
        <f t="shared" si="840"/>
        <v>-</v>
      </c>
      <c r="CO968" s="830" t="str">
        <f t="shared" ca="1" si="841"/>
        <v>-</v>
      </c>
      <c r="CP968" s="839"/>
      <c r="CQ968" s="832"/>
      <c r="CR968" s="833" t="str">
        <f t="shared" si="842"/>
        <v>-</v>
      </c>
      <c r="CS968" s="833" t="str">
        <f t="shared" si="843"/>
        <v>-</v>
      </c>
      <c r="CT968" s="834" t="str">
        <f t="shared" si="844"/>
        <v>-</v>
      </c>
      <c r="CU968" s="835" t="str">
        <f t="shared" si="845"/>
        <v>-</v>
      </c>
      <c r="CV968" s="839"/>
      <c r="CW968" s="832"/>
      <c r="CX968" s="833" t="str">
        <f t="shared" si="846"/>
        <v>-</v>
      </c>
      <c r="CY968" s="840" t="str">
        <f t="shared" si="847"/>
        <v>-</v>
      </c>
      <c r="CZ968" s="833" t="str">
        <f t="shared" si="848"/>
        <v>-</v>
      </c>
      <c r="DA968" s="838" t="str">
        <f t="shared" ca="1" si="849"/>
        <v>-</v>
      </c>
      <c r="DB968" s="841"/>
      <c r="DC968" s="832"/>
    </row>
    <row r="969" spans="1:107" x14ac:dyDescent="0.25">
      <c r="A969" s="790">
        <v>973</v>
      </c>
      <c r="B969" s="791">
        <f t="shared" ca="1" si="798"/>
        <v>43134</v>
      </c>
      <c r="C969" s="792" t="s">
        <v>2583</v>
      </c>
      <c r="D969" s="793" t="s">
        <v>2582</v>
      </c>
      <c r="E969" s="794" t="s">
        <v>1563</v>
      </c>
      <c r="F969" s="795" t="s">
        <v>2575</v>
      </c>
      <c r="G969" s="845"/>
      <c r="H969" s="797" t="s">
        <v>603</v>
      </c>
      <c r="I969" s="798">
        <v>42727</v>
      </c>
      <c r="J969" s="799">
        <f t="shared" ca="1" si="799"/>
        <v>1.1150684931506849</v>
      </c>
      <c r="K969" s="799">
        <f t="shared" ca="1" si="800"/>
        <v>13.566666666666666</v>
      </c>
      <c r="L969" s="800">
        <f t="shared" ca="1" si="801"/>
        <v>407</v>
      </c>
      <c r="M969" s="801"/>
      <c r="N969" s="802"/>
      <c r="O969" s="803" t="str">
        <f t="shared" ca="1" si="802"/>
        <v>-</v>
      </c>
      <c r="P969" s="804"/>
      <c r="Q969" s="805"/>
      <c r="R969" s="806"/>
      <c r="S969" s="807"/>
      <c r="T969" s="798"/>
      <c r="U969" s="798" t="str">
        <f t="shared" si="803"/>
        <v>-</v>
      </c>
      <c r="V969" s="804" t="str">
        <f t="shared" ca="1" si="804"/>
        <v>-</v>
      </c>
      <c r="W969" s="808">
        <v>0</v>
      </c>
      <c r="X969" s="794" t="str">
        <f t="shared" si="797"/>
        <v>-</v>
      </c>
      <c r="Y969" s="794">
        <v>0</v>
      </c>
      <c r="Z969" s="809" t="str">
        <f t="shared" ca="1" si="805"/>
        <v>-----</v>
      </c>
      <c r="AA969" s="810">
        <f t="shared" ca="1" si="806"/>
        <v>43134</v>
      </c>
      <c r="AB969" s="804"/>
      <c r="AC969" s="811" t="str">
        <f t="shared" ca="1" si="807"/>
        <v>-----</v>
      </c>
      <c r="AD969" s="798"/>
      <c r="AE969" s="794" t="str">
        <f t="shared" ca="1" si="808"/>
        <v>-</v>
      </c>
      <c r="AF969" s="798" t="str">
        <f t="shared" si="809"/>
        <v>-</v>
      </c>
      <c r="AG969" s="812" t="str">
        <f t="shared" si="810"/>
        <v>---------</v>
      </c>
      <c r="AH969" s="807"/>
      <c r="AI969" s="807" t="str">
        <f t="shared" si="811"/>
        <v>-</v>
      </c>
      <c r="AJ969" s="807" t="str">
        <f t="shared" si="812"/>
        <v>-</v>
      </c>
      <c r="AK969" s="813"/>
      <c r="AL969" s="807" t="str">
        <f t="shared" si="813"/>
        <v>-</v>
      </c>
      <c r="AM969" s="807" t="str">
        <f t="shared" si="814"/>
        <v>-</v>
      </c>
      <c r="AN969" s="814" t="str">
        <f t="shared" ca="1" si="815"/>
        <v>-</v>
      </c>
      <c r="AO969" s="815">
        <v>1</v>
      </c>
      <c r="AP969" s="816" t="str">
        <f t="shared" ca="1" si="816"/>
        <v>-</v>
      </c>
      <c r="AQ969" s="817"/>
      <c r="AR969" s="794" t="str">
        <f t="shared" si="817"/>
        <v>-</v>
      </c>
      <c r="AS969" s="818"/>
      <c r="AT969" s="794" t="str">
        <f t="shared" si="818"/>
        <v>-</v>
      </c>
      <c r="AU969" s="819"/>
      <c r="AV969" s="820"/>
      <c r="AW969" s="821"/>
      <c r="AX969" s="821"/>
      <c r="AY969" s="969" t="str">
        <f t="shared" si="819"/>
        <v>-</v>
      </c>
      <c r="AZ969" s="966" t="str">
        <f t="shared" si="820"/>
        <v>-</v>
      </c>
      <c r="BA969" s="971" t="str">
        <f t="shared" si="821"/>
        <v>-</v>
      </c>
      <c r="BB969" s="975"/>
      <c r="BC969" s="821"/>
      <c r="BD969" s="821"/>
      <c r="BE969" s="963" t="str">
        <f t="shared" si="822"/>
        <v>-</v>
      </c>
      <c r="BF969" s="984"/>
      <c r="BG969" s="988"/>
      <c r="BH969" s="982"/>
      <c r="BI969" s="991"/>
      <c r="BJ969" s="991"/>
      <c r="BK969" s="993" t="str">
        <f t="shared" si="823"/>
        <v>-</v>
      </c>
      <c r="BL969" s="820">
        <v>42977</v>
      </c>
      <c r="BM969" s="821">
        <v>5</v>
      </c>
      <c r="BN969" s="822">
        <f t="shared" ca="1" si="824"/>
        <v>157</v>
      </c>
      <c r="BO969" s="823">
        <f t="shared" si="825"/>
        <v>8.3333333333333339</v>
      </c>
      <c r="BP969" s="824"/>
      <c r="BQ969" s="821"/>
      <c r="BR969" s="822" t="str">
        <f t="shared" si="826"/>
        <v>-</v>
      </c>
      <c r="BS969" s="823" t="str">
        <f t="shared" si="827"/>
        <v>-</v>
      </c>
      <c r="BT969" s="825" t="str">
        <f t="shared" ca="1" si="828"/>
        <v>-</v>
      </c>
      <c r="BU969" s="826"/>
      <c r="BV969" s="827"/>
      <c r="BW969" s="828" t="str">
        <f t="shared" si="829"/>
        <v>Ж-Е НЕ ВАКЦ.</v>
      </c>
      <c r="BX969" s="829" t="str">
        <f t="shared" si="830"/>
        <v>-</v>
      </c>
      <c r="BY969" s="830" t="str">
        <f t="shared" ca="1" si="831"/>
        <v>-</v>
      </c>
      <c r="BZ969" s="831">
        <v>42888</v>
      </c>
      <c r="CA969" s="832">
        <v>5</v>
      </c>
      <c r="CB969" s="833">
        <f t="shared" ca="1" si="832"/>
        <v>246</v>
      </c>
      <c r="CC969" s="834" t="str">
        <f t="shared" ca="1" si="833"/>
        <v>-</v>
      </c>
      <c r="CD969" s="835">
        <f t="shared" si="834"/>
        <v>42909</v>
      </c>
      <c r="CE969" s="831">
        <v>42909</v>
      </c>
      <c r="CF969" s="832">
        <v>5</v>
      </c>
      <c r="CG969" s="833">
        <f t="shared" ca="1" si="835"/>
        <v>225</v>
      </c>
      <c r="CH969" s="836">
        <f t="shared" si="836"/>
        <v>0</v>
      </c>
      <c r="CI969" s="837" t="str">
        <f t="shared" si="837"/>
        <v>УСПЕШНО</v>
      </c>
      <c r="CJ969" s="838" t="str">
        <f t="shared" ca="1" si="838"/>
        <v>-</v>
      </c>
      <c r="CK969" s="831"/>
      <c r="CL969" s="832"/>
      <c r="CM969" s="833" t="str">
        <f t="shared" si="839"/>
        <v>-</v>
      </c>
      <c r="CN969" s="834" t="str">
        <f t="shared" si="840"/>
        <v>-</v>
      </c>
      <c r="CO969" s="830" t="str">
        <f t="shared" ca="1" si="841"/>
        <v>-</v>
      </c>
      <c r="CP969" s="839"/>
      <c r="CQ969" s="832"/>
      <c r="CR969" s="833" t="str">
        <f t="shared" si="842"/>
        <v>-</v>
      </c>
      <c r="CS969" s="833" t="str">
        <f t="shared" si="843"/>
        <v>-</v>
      </c>
      <c r="CT969" s="834" t="str">
        <f t="shared" si="844"/>
        <v>-</v>
      </c>
      <c r="CU969" s="835" t="str">
        <f t="shared" si="845"/>
        <v>-</v>
      </c>
      <c r="CV969" s="839"/>
      <c r="CW969" s="832"/>
      <c r="CX969" s="833" t="str">
        <f t="shared" si="846"/>
        <v>-</v>
      </c>
      <c r="CY969" s="840" t="str">
        <f t="shared" si="847"/>
        <v>-</v>
      </c>
      <c r="CZ969" s="833" t="str">
        <f t="shared" si="848"/>
        <v>-</v>
      </c>
      <c r="DA969" s="838" t="str">
        <f t="shared" ca="1" si="849"/>
        <v>-</v>
      </c>
      <c r="DB969" s="841"/>
      <c r="DC969" s="832"/>
    </row>
    <row r="970" spans="1:107" x14ac:dyDescent="0.25">
      <c r="A970" s="790">
        <v>974</v>
      </c>
      <c r="B970" s="791">
        <f t="shared" ca="1" si="798"/>
        <v>43134</v>
      </c>
      <c r="C970" s="792" t="s">
        <v>2583</v>
      </c>
      <c r="D970" s="793" t="s">
        <v>2582</v>
      </c>
      <c r="E970" s="794" t="s">
        <v>1563</v>
      </c>
      <c r="F970" s="795" t="s">
        <v>2576</v>
      </c>
      <c r="G970" s="845"/>
      <c r="H970" s="797" t="s">
        <v>603</v>
      </c>
      <c r="I970" s="798">
        <v>42728</v>
      </c>
      <c r="J970" s="799">
        <f t="shared" ca="1" si="799"/>
        <v>1.1123287671232878</v>
      </c>
      <c r="K970" s="799">
        <f t="shared" ca="1" si="800"/>
        <v>13.533333333333333</v>
      </c>
      <c r="L970" s="800">
        <f t="shared" ca="1" si="801"/>
        <v>406</v>
      </c>
      <c r="M970" s="801"/>
      <c r="N970" s="802"/>
      <c r="O970" s="803" t="str">
        <f t="shared" ca="1" si="802"/>
        <v>-</v>
      </c>
      <c r="P970" s="804"/>
      <c r="Q970" s="805"/>
      <c r="R970" s="806"/>
      <c r="S970" s="807"/>
      <c r="T970" s="798"/>
      <c r="U970" s="798" t="str">
        <f t="shared" si="803"/>
        <v>-</v>
      </c>
      <c r="V970" s="804" t="str">
        <f t="shared" ca="1" si="804"/>
        <v>-</v>
      </c>
      <c r="W970" s="808">
        <v>0</v>
      </c>
      <c r="X970" s="794" t="str">
        <f t="shared" si="797"/>
        <v>-</v>
      </c>
      <c r="Y970" s="794">
        <v>0</v>
      </c>
      <c r="Z970" s="809" t="str">
        <f t="shared" ca="1" si="805"/>
        <v>-----</v>
      </c>
      <c r="AA970" s="810">
        <f t="shared" ca="1" si="806"/>
        <v>43134</v>
      </c>
      <c r="AB970" s="804"/>
      <c r="AC970" s="811" t="str">
        <f t="shared" ca="1" si="807"/>
        <v>-----</v>
      </c>
      <c r="AD970" s="798"/>
      <c r="AE970" s="794" t="str">
        <f t="shared" ca="1" si="808"/>
        <v>-</v>
      </c>
      <c r="AF970" s="798" t="str">
        <f t="shared" si="809"/>
        <v>-</v>
      </c>
      <c r="AG970" s="812" t="str">
        <f t="shared" si="810"/>
        <v>---------</v>
      </c>
      <c r="AH970" s="807"/>
      <c r="AI970" s="807" t="str">
        <f t="shared" si="811"/>
        <v>-</v>
      </c>
      <c r="AJ970" s="807" t="str">
        <f t="shared" si="812"/>
        <v>-</v>
      </c>
      <c r="AK970" s="813"/>
      <c r="AL970" s="807" t="str">
        <f t="shared" si="813"/>
        <v>-</v>
      </c>
      <c r="AM970" s="807" t="str">
        <f t="shared" si="814"/>
        <v>-</v>
      </c>
      <c r="AN970" s="814" t="str">
        <f t="shared" ca="1" si="815"/>
        <v>-</v>
      </c>
      <c r="AO970" s="815">
        <v>1</v>
      </c>
      <c r="AP970" s="816" t="str">
        <f t="shared" ca="1" si="816"/>
        <v>-</v>
      </c>
      <c r="AQ970" s="817"/>
      <c r="AR970" s="794" t="str">
        <f t="shared" si="817"/>
        <v>-</v>
      </c>
      <c r="AS970" s="818"/>
      <c r="AT970" s="794" t="str">
        <f t="shared" si="818"/>
        <v>-</v>
      </c>
      <c r="AU970" s="819"/>
      <c r="AV970" s="820"/>
      <c r="AW970" s="821"/>
      <c r="AX970" s="821"/>
      <c r="AY970" s="969" t="str">
        <f t="shared" si="819"/>
        <v>-</v>
      </c>
      <c r="AZ970" s="966" t="str">
        <f t="shared" si="820"/>
        <v>-</v>
      </c>
      <c r="BA970" s="971" t="str">
        <f t="shared" si="821"/>
        <v>-</v>
      </c>
      <c r="BB970" s="975"/>
      <c r="BC970" s="821"/>
      <c r="BD970" s="821"/>
      <c r="BE970" s="963" t="str">
        <f t="shared" si="822"/>
        <v>-</v>
      </c>
      <c r="BF970" s="984"/>
      <c r="BG970" s="988"/>
      <c r="BH970" s="982"/>
      <c r="BI970" s="991"/>
      <c r="BJ970" s="991"/>
      <c r="BK970" s="993" t="str">
        <f t="shared" si="823"/>
        <v>-</v>
      </c>
      <c r="BL970" s="820">
        <v>42977</v>
      </c>
      <c r="BM970" s="821">
        <v>5</v>
      </c>
      <c r="BN970" s="822">
        <f t="shared" ca="1" si="824"/>
        <v>157</v>
      </c>
      <c r="BO970" s="823">
        <f t="shared" si="825"/>
        <v>8.3000000000000007</v>
      </c>
      <c r="BP970" s="824"/>
      <c r="BQ970" s="821"/>
      <c r="BR970" s="822" t="str">
        <f t="shared" si="826"/>
        <v>-</v>
      </c>
      <c r="BS970" s="823" t="str">
        <f t="shared" si="827"/>
        <v>-</v>
      </c>
      <c r="BT970" s="825" t="str">
        <f t="shared" ca="1" si="828"/>
        <v>-</v>
      </c>
      <c r="BU970" s="826"/>
      <c r="BV970" s="827"/>
      <c r="BW970" s="828" t="str">
        <f t="shared" si="829"/>
        <v>Ж-Е НЕ ВАКЦ.</v>
      </c>
      <c r="BX970" s="829" t="str">
        <f t="shared" si="830"/>
        <v>-</v>
      </c>
      <c r="BY970" s="830" t="str">
        <f t="shared" ca="1" si="831"/>
        <v>-</v>
      </c>
      <c r="BZ970" s="831">
        <v>42888</v>
      </c>
      <c r="CA970" s="832">
        <v>5</v>
      </c>
      <c r="CB970" s="833">
        <f t="shared" ca="1" si="832"/>
        <v>246</v>
      </c>
      <c r="CC970" s="834" t="str">
        <f t="shared" ca="1" si="833"/>
        <v>-</v>
      </c>
      <c r="CD970" s="835">
        <f t="shared" si="834"/>
        <v>42909</v>
      </c>
      <c r="CE970" s="831">
        <v>42909</v>
      </c>
      <c r="CF970" s="832">
        <v>5</v>
      </c>
      <c r="CG970" s="833">
        <f t="shared" ca="1" si="835"/>
        <v>225</v>
      </c>
      <c r="CH970" s="836">
        <f t="shared" si="836"/>
        <v>0</v>
      </c>
      <c r="CI970" s="837" t="str">
        <f t="shared" si="837"/>
        <v>УСПЕШНО</v>
      </c>
      <c r="CJ970" s="838" t="str">
        <f t="shared" ca="1" si="838"/>
        <v>-</v>
      </c>
      <c r="CK970" s="831"/>
      <c r="CL970" s="832"/>
      <c r="CM970" s="833" t="str">
        <f t="shared" si="839"/>
        <v>-</v>
      </c>
      <c r="CN970" s="834" t="str">
        <f t="shared" si="840"/>
        <v>-</v>
      </c>
      <c r="CO970" s="830" t="str">
        <f t="shared" ca="1" si="841"/>
        <v>-</v>
      </c>
      <c r="CP970" s="839"/>
      <c r="CQ970" s="832"/>
      <c r="CR970" s="833" t="str">
        <f t="shared" si="842"/>
        <v>-</v>
      </c>
      <c r="CS970" s="833" t="str">
        <f t="shared" si="843"/>
        <v>-</v>
      </c>
      <c r="CT970" s="834" t="str">
        <f t="shared" si="844"/>
        <v>-</v>
      </c>
      <c r="CU970" s="835" t="str">
        <f t="shared" si="845"/>
        <v>-</v>
      </c>
      <c r="CV970" s="839"/>
      <c r="CW970" s="832"/>
      <c r="CX970" s="833" t="str">
        <f t="shared" si="846"/>
        <v>-</v>
      </c>
      <c r="CY970" s="840" t="str">
        <f t="shared" si="847"/>
        <v>-</v>
      </c>
      <c r="CZ970" s="833" t="str">
        <f t="shared" si="848"/>
        <v>-</v>
      </c>
      <c r="DA970" s="838" t="str">
        <f t="shared" ca="1" si="849"/>
        <v>-</v>
      </c>
      <c r="DB970" s="841"/>
      <c r="DC970" s="832"/>
    </row>
    <row r="971" spans="1:107" x14ac:dyDescent="0.25">
      <c r="A971" s="790">
        <v>975</v>
      </c>
      <c r="B971" s="791">
        <f t="shared" ca="1" si="798"/>
        <v>43134</v>
      </c>
      <c r="C971" s="792" t="s">
        <v>2583</v>
      </c>
      <c r="D971" s="793" t="s">
        <v>2582</v>
      </c>
      <c r="E971" s="794" t="s">
        <v>1563</v>
      </c>
      <c r="F971" s="795" t="s">
        <v>2573</v>
      </c>
      <c r="G971" s="845"/>
      <c r="H971" s="797" t="s">
        <v>603</v>
      </c>
      <c r="I971" s="798">
        <v>42729</v>
      </c>
      <c r="J971" s="799">
        <f t="shared" ca="1" si="799"/>
        <v>1.1095890410958904</v>
      </c>
      <c r="K971" s="799">
        <f t="shared" ca="1" si="800"/>
        <v>13.5</v>
      </c>
      <c r="L971" s="800">
        <f t="shared" ca="1" si="801"/>
        <v>405</v>
      </c>
      <c r="M971" s="801"/>
      <c r="N971" s="802"/>
      <c r="O971" s="803" t="str">
        <f t="shared" ca="1" si="802"/>
        <v>-</v>
      </c>
      <c r="P971" s="804"/>
      <c r="Q971" s="805"/>
      <c r="R971" s="806"/>
      <c r="S971" s="807"/>
      <c r="T971" s="798"/>
      <c r="U971" s="798" t="str">
        <f t="shared" si="803"/>
        <v>-</v>
      </c>
      <c r="V971" s="804" t="str">
        <f t="shared" ca="1" si="804"/>
        <v>-</v>
      </c>
      <c r="W971" s="808">
        <v>0</v>
      </c>
      <c r="X971" s="794" t="str">
        <f t="shared" si="797"/>
        <v>-</v>
      </c>
      <c r="Y971" s="794">
        <v>0</v>
      </c>
      <c r="Z971" s="809" t="str">
        <f t="shared" ca="1" si="805"/>
        <v>-----</v>
      </c>
      <c r="AA971" s="810">
        <f t="shared" ca="1" si="806"/>
        <v>43134</v>
      </c>
      <c r="AB971" s="804"/>
      <c r="AC971" s="811" t="str">
        <f t="shared" ca="1" si="807"/>
        <v>-----</v>
      </c>
      <c r="AD971" s="798"/>
      <c r="AE971" s="794" t="str">
        <f t="shared" ca="1" si="808"/>
        <v>-</v>
      </c>
      <c r="AF971" s="798" t="str">
        <f t="shared" si="809"/>
        <v>-</v>
      </c>
      <c r="AG971" s="812" t="str">
        <f t="shared" si="810"/>
        <v>---------</v>
      </c>
      <c r="AH971" s="807"/>
      <c r="AI971" s="807" t="str">
        <f t="shared" si="811"/>
        <v>-</v>
      </c>
      <c r="AJ971" s="807" t="str">
        <f t="shared" si="812"/>
        <v>-</v>
      </c>
      <c r="AK971" s="813"/>
      <c r="AL971" s="807" t="str">
        <f t="shared" si="813"/>
        <v>-</v>
      </c>
      <c r="AM971" s="807" t="str">
        <f t="shared" si="814"/>
        <v>-</v>
      </c>
      <c r="AN971" s="814" t="str">
        <f t="shared" ca="1" si="815"/>
        <v>-</v>
      </c>
      <c r="AO971" s="815">
        <v>1</v>
      </c>
      <c r="AP971" s="816" t="str">
        <f t="shared" ca="1" si="816"/>
        <v>-</v>
      </c>
      <c r="AQ971" s="817"/>
      <c r="AR971" s="794" t="str">
        <f t="shared" si="817"/>
        <v>-</v>
      </c>
      <c r="AS971" s="818"/>
      <c r="AT971" s="794" t="str">
        <f t="shared" si="818"/>
        <v>-</v>
      </c>
      <c r="AU971" s="819"/>
      <c r="AV971" s="820"/>
      <c r="AW971" s="821"/>
      <c r="AX971" s="821"/>
      <c r="AY971" s="969" t="str">
        <f t="shared" si="819"/>
        <v>-</v>
      </c>
      <c r="AZ971" s="966" t="str">
        <f t="shared" si="820"/>
        <v>-</v>
      </c>
      <c r="BA971" s="971" t="str">
        <f t="shared" si="821"/>
        <v>-</v>
      </c>
      <c r="BB971" s="975"/>
      <c r="BC971" s="821"/>
      <c r="BD971" s="821"/>
      <c r="BE971" s="963" t="str">
        <f t="shared" si="822"/>
        <v>-</v>
      </c>
      <c r="BF971" s="984"/>
      <c r="BG971" s="988"/>
      <c r="BH971" s="982"/>
      <c r="BI971" s="991"/>
      <c r="BJ971" s="991"/>
      <c r="BK971" s="993" t="str">
        <f t="shared" si="823"/>
        <v>-</v>
      </c>
      <c r="BL971" s="820">
        <v>42977</v>
      </c>
      <c r="BM971" s="821">
        <v>5</v>
      </c>
      <c r="BN971" s="822">
        <f t="shared" ca="1" si="824"/>
        <v>157</v>
      </c>
      <c r="BO971" s="823">
        <f t="shared" si="825"/>
        <v>8.2666666666666675</v>
      </c>
      <c r="BP971" s="824"/>
      <c r="BQ971" s="821"/>
      <c r="BR971" s="822" t="str">
        <f t="shared" si="826"/>
        <v>-</v>
      </c>
      <c r="BS971" s="823" t="str">
        <f t="shared" si="827"/>
        <v>-</v>
      </c>
      <c r="BT971" s="825" t="str">
        <f t="shared" ca="1" si="828"/>
        <v>-</v>
      </c>
      <c r="BU971" s="826"/>
      <c r="BV971" s="827"/>
      <c r="BW971" s="828" t="str">
        <f t="shared" si="829"/>
        <v>Ж-Е НЕ ВАКЦ.</v>
      </c>
      <c r="BX971" s="829" t="str">
        <f t="shared" si="830"/>
        <v>-</v>
      </c>
      <c r="BY971" s="830" t="str">
        <f t="shared" ca="1" si="831"/>
        <v>-</v>
      </c>
      <c r="BZ971" s="831">
        <v>42888</v>
      </c>
      <c r="CA971" s="832">
        <v>5</v>
      </c>
      <c r="CB971" s="833">
        <f t="shared" ca="1" si="832"/>
        <v>246</v>
      </c>
      <c r="CC971" s="834" t="str">
        <f t="shared" ca="1" si="833"/>
        <v>-</v>
      </c>
      <c r="CD971" s="835">
        <f t="shared" si="834"/>
        <v>42909</v>
      </c>
      <c r="CE971" s="831">
        <v>42909</v>
      </c>
      <c r="CF971" s="832">
        <v>5</v>
      </c>
      <c r="CG971" s="833">
        <f t="shared" ca="1" si="835"/>
        <v>225</v>
      </c>
      <c r="CH971" s="836">
        <f t="shared" si="836"/>
        <v>0</v>
      </c>
      <c r="CI971" s="837" t="str">
        <f t="shared" si="837"/>
        <v>УСПЕШНО</v>
      </c>
      <c r="CJ971" s="838" t="str">
        <f t="shared" ca="1" si="838"/>
        <v>-</v>
      </c>
      <c r="CK971" s="831"/>
      <c r="CL971" s="832"/>
      <c r="CM971" s="833" t="str">
        <f t="shared" si="839"/>
        <v>-</v>
      </c>
      <c r="CN971" s="834" t="str">
        <f t="shared" si="840"/>
        <v>-</v>
      </c>
      <c r="CO971" s="830" t="str">
        <f t="shared" ca="1" si="841"/>
        <v>-</v>
      </c>
      <c r="CP971" s="839"/>
      <c r="CQ971" s="832"/>
      <c r="CR971" s="833" t="str">
        <f t="shared" si="842"/>
        <v>-</v>
      </c>
      <c r="CS971" s="833" t="str">
        <f t="shared" si="843"/>
        <v>-</v>
      </c>
      <c r="CT971" s="834" t="str">
        <f t="shared" si="844"/>
        <v>-</v>
      </c>
      <c r="CU971" s="835" t="str">
        <f t="shared" si="845"/>
        <v>-</v>
      </c>
      <c r="CV971" s="839"/>
      <c r="CW971" s="832"/>
      <c r="CX971" s="833" t="str">
        <f t="shared" si="846"/>
        <v>-</v>
      </c>
      <c r="CY971" s="840" t="str">
        <f t="shared" si="847"/>
        <v>-</v>
      </c>
      <c r="CZ971" s="833" t="str">
        <f t="shared" si="848"/>
        <v>-</v>
      </c>
      <c r="DA971" s="838" t="str">
        <f t="shared" ca="1" si="849"/>
        <v>-</v>
      </c>
      <c r="DB971" s="841"/>
      <c r="DC971" s="832"/>
    </row>
    <row r="972" spans="1:107" x14ac:dyDescent="0.25">
      <c r="A972" s="790">
        <v>976</v>
      </c>
      <c r="B972" s="791">
        <f t="shared" ca="1" si="798"/>
        <v>43134</v>
      </c>
      <c r="C972" s="792" t="s">
        <v>2583</v>
      </c>
      <c r="D972" s="793" t="s">
        <v>2582</v>
      </c>
      <c r="E972" s="794" t="s">
        <v>1563</v>
      </c>
      <c r="F972" s="795" t="s">
        <v>2574</v>
      </c>
      <c r="G972" s="845"/>
      <c r="H972" s="797" t="s">
        <v>603</v>
      </c>
      <c r="I972" s="798">
        <v>42729</v>
      </c>
      <c r="J972" s="799">
        <f t="shared" ca="1" si="799"/>
        <v>1.1095890410958904</v>
      </c>
      <c r="K972" s="799">
        <f t="shared" ca="1" si="800"/>
        <v>13.5</v>
      </c>
      <c r="L972" s="800">
        <f t="shared" ca="1" si="801"/>
        <v>405</v>
      </c>
      <c r="M972" s="801"/>
      <c r="N972" s="802"/>
      <c r="O972" s="803" t="str">
        <f t="shared" ca="1" si="802"/>
        <v>-</v>
      </c>
      <c r="P972" s="804"/>
      <c r="Q972" s="805"/>
      <c r="R972" s="806"/>
      <c r="S972" s="807"/>
      <c r="T972" s="798"/>
      <c r="U972" s="798" t="str">
        <f t="shared" si="803"/>
        <v>-</v>
      </c>
      <c r="V972" s="804" t="str">
        <f t="shared" ca="1" si="804"/>
        <v>-</v>
      </c>
      <c r="W972" s="808">
        <v>0</v>
      </c>
      <c r="X972" s="794" t="str">
        <f t="shared" si="797"/>
        <v>-</v>
      </c>
      <c r="Y972" s="794">
        <v>0</v>
      </c>
      <c r="Z972" s="809" t="str">
        <f t="shared" ca="1" si="805"/>
        <v>-----</v>
      </c>
      <c r="AA972" s="810">
        <f t="shared" ca="1" si="806"/>
        <v>43134</v>
      </c>
      <c r="AB972" s="804"/>
      <c r="AC972" s="811" t="str">
        <f t="shared" ca="1" si="807"/>
        <v>-----</v>
      </c>
      <c r="AD972" s="798"/>
      <c r="AE972" s="794" t="str">
        <f t="shared" ca="1" si="808"/>
        <v>-</v>
      </c>
      <c r="AF972" s="798" t="str">
        <f t="shared" si="809"/>
        <v>-</v>
      </c>
      <c r="AG972" s="812" t="str">
        <f t="shared" si="810"/>
        <v>---------</v>
      </c>
      <c r="AH972" s="807"/>
      <c r="AI972" s="807" t="str">
        <f t="shared" si="811"/>
        <v>-</v>
      </c>
      <c r="AJ972" s="807" t="str">
        <f t="shared" si="812"/>
        <v>-</v>
      </c>
      <c r="AK972" s="813"/>
      <c r="AL972" s="807" t="str">
        <f t="shared" si="813"/>
        <v>-</v>
      </c>
      <c r="AM972" s="807" t="str">
        <f t="shared" si="814"/>
        <v>-</v>
      </c>
      <c r="AN972" s="814" t="str">
        <f t="shared" ca="1" si="815"/>
        <v>-</v>
      </c>
      <c r="AO972" s="815">
        <v>1</v>
      </c>
      <c r="AP972" s="816" t="str">
        <f t="shared" ca="1" si="816"/>
        <v>-</v>
      </c>
      <c r="AQ972" s="817"/>
      <c r="AR972" s="794" t="str">
        <f t="shared" si="817"/>
        <v>-</v>
      </c>
      <c r="AS972" s="818"/>
      <c r="AT972" s="794" t="str">
        <f t="shared" si="818"/>
        <v>-</v>
      </c>
      <c r="AU972" s="819"/>
      <c r="AV972" s="820"/>
      <c r="AW972" s="821"/>
      <c r="AX972" s="821"/>
      <c r="AY972" s="969" t="str">
        <f t="shared" si="819"/>
        <v>-</v>
      </c>
      <c r="AZ972" s="966" t="str">
        <f t="shared" si="820"/>
        <v>-</v>
      </c>
      <c r="BA972" s="971" t="str">
        <f t="shared" si="821"/>
        <v>-</v>
      </c>
      <c r="BB972" s="975"/>
      <c r="BC972" s="821"/>
      <c r="BD972" s="821"/>
      <c r="BE972" s="963" t="str">
        <f t="shared" si="822"/>
        <v>-</v>
      </c>
      <c r="BF972" s="984"/>
      <c r="BG972" s="988"/>
      <c r="BH972" s="982"/>
      <c r="BI972" s="991"/>
      <c r="BJ972" s="991"/>
      <c r="BK972" s="993" t="str">
        <f t="shared" si="823"/>
        <v>-</v>
      </c>
      <c r="BL972" s="820">
        <v>42977</v>
      </c>
      <c r="BM972" s="821">
        <v>5</v>
      </c>
      <c r="BN972" s="822">
        <f t="shared" ca="1" si="824"/>
        <v>157</v>
      </c>
      <c r="BO972" s="823">
        <f t="shared" si="825"/>
        <v>8.2666666666666675</v>
      </c>
      <c r="BP972" s="824"/>
      <c r="BQ972" s="821"/>
      <c r="BR972" s="822" t="str">
        <f t="shared" si="826"/>
        <v>-</v>
      </c>
      <c r="BS972" s="823" t="str">
        <f t="shared" si="827"/>
        <v>-</v>
      </c>
      <c r="BT972" s="825" t="str">
        <f t="shared" ca="1" si="828"/>
        <v>-</v>
      </c>
      <c r="BU972" s="826"/>
      <c r="BV972" s="827"/>
      <c r="BW972" s="828" t="str">
        <f t="shared" si="829"/>
        <v>Ж-Е НЕ ВАКЦ.</v>
      </c>
      <c r="BX972" s="829" t="str">
        <f t="shared" si="830"/>
        <v>-</v>
      </c>
      <c r="BY972" s="830" t="str">
        <f t="shared" ca="1" si="831"/>
        <v>-</v>
      </c>
      <c r="BZ972" s="831">
        <v>42888</v>
      </c>
      <c r="CA972" s="832">
        <v>5</v>
      </c>
      <c r="CB972" s="833">
        <f t="shared" ca="1" si="832"/>
        <v>246</v>
      </c>
      <c r="CC972" s="834" t="str">
        <f t="shared" ca="1" si="833"/>
        <v>-</v>
      </c>
      <c r="CD972" s="835">
        <f t="shared" si="834"/>
        <v>42909</v>
      </c>
      <c r="CE972" s="831">
        <v>42909</v>
      </c>
      <c r="CF972" s="832">
        <v>5</v>
      </c>
      <c r="CG972" s="833">
        <f t="shared" ca="1" si="835"/>
        <v>225</v>
      </c>
      <c r="CH972" s="836">
        <f t="shared" si="836"/>
        <v>0</v>
      </c>
      <c r="CI972" s="837" t="str">
        <f t="shared" si="837"/>
        <v>УСПЕШНО</v>
      </c>
      <c r="CJ972" s="838" t="str">
        <f t="shared" ca="1" si="838"/>
        <v>-</v>
      </c>
      <c r="CK972" s="831"/>
      <c r="CL972" s="832"/>
      <c r="CM972" s="833" t="str">
        <f t="shared" si="839"/>
        <v>-</v>
      </c>
      <c r="CN972" s="834" t="str">
        <f t="shared" si="840"/>
        <v>-</v>
      </c>
      <c r="CO972" s="830" t="str">
        <f t="shared" ca="1" si="841"/>
        <v>-</v>
      </c>
      <c r="CP972" s="839"/>
      <c r="CQ972" s="832"/>
      <c r="CR972" s="833" t="str">
        <f t="shared" si="842"/>
        <v>-</v>
      </c>
      <c r="CS972" s="833" t="str">
        <f t="shared" si="843"/>
        <v>-</v>
      </c>
      <c r="CT972" s="834" t="str">
        <f t="shared" si="844"/>
        <v>-</v>
      </c>
      <c r="CU972" s="835" t="str">
        <f t="shared" si="845"/>
        <v>-</v>
      </c>
      <c r="CV972" s="839"/>
      <c r="CW972" s="832"/>
      <c r="CX972" s="833" t="str">
        <f t="shared" si="846"/>
        <v>-</v>
      </c>
      <c r="CY972" s="840" t="str">
        <f t="shared" si="847"/>
        <v>-</v>
      </c>
      <c r="CZ972" s="833" t="str">
        <f t="shared" si="848"/>
        <v>-</v>
      </c>
      <c r="DA972" s="838" t="str">
        <f t="shared" ca="1" si="849"/>
        <v>-</v>
      </c>
      <c r="DB972" s="841"/>
      <c r="DC972" s="832"/>
    </row>
    <row r="973" spans="1:107" x14ac:dyDescent="0.25">
      <c r="A973" s="790">
        <v>977</v>
      </c>
      <c r="B973" s="791">
        <f t="shared" ca="1" si="798"/>
        <v>43134</v>
      </c>
      <c r="C973" s="792" t="s">
        <v>2583</v>
      </c>
      <c r="D973" s="793" t="s">
        <v>2582</v>
      </c>
      <c r="E973" s="794" t="s">
        <v>1563</v>
      </c>
      <c r="F973" s="795" t="s">
        <v>2292</v>
      </c>
      <c r="G973" s="845"/>
      <c r="H973" s="797" t="s">
        <v>603</v>
      </c>
      <c r="I973" s="798">
        <v>42730</v>
      </c>
      <c r="J973" s="799">
        <f t="shared" ca="1" si="799"/>
        <v>1.106849315068493</v>
      </c>
      <c r="K973" s="799">
        <f t="shared" ca="1" si="800"/>
        <v>13.466666666666667</v>
      </c>
      <c r="L973" s="800">
        <f t="shared" ca="1" si="801"/>
        <v>404</v>
      </c>
      <c r="M973" s="801"/>
      <c r="N973" s="802"/>
      <c r="O973" s="803" t="str">
        <f t="shared" ca="1" si="802"/>
        <v>-</v>
      </c>
      <c r="P973" s="804"/>
      <c r="Q973" s="805"/>
      <c r="R973" s="806"/>
      <c r="S973" s="807"/>
      <c r="T973" s="798"/>
      <c r="U973" s="798" t="str">
        <f t="shared" si="803"/>
        <v>-</v>
      </c>
      <c r="V973" s="804" t="str">
        <f t="shared" ca="1" si="804"/>
        <v>-</v>
      </c>
      <c r="W973" s="808">
        <v>0</v>
      </c>
      <c r="X973" s="794" t="str">
        <f t="shared" si="797"/>
        <v>-</v>
      </c>
      <c r="Y973" s="794">
        <v>0</v>
      </c>
      <c r="Z973" s="809" t="str">
        <f t="shared" ca="1" si="805"/>
        <v>-----</v>
      </c>
      <c r="AA973" s="810">
        <f t="shared" ca="1" si="806"/>
        <v>43134</v>
      </c>
      <c r="AB973" s="804"/>
      <c r="AC973" s="811" t="str">
        <f t="shared" ca="1" si="807"/>
        <v>-----</v>
      </c>
      <c r="AD973" s="798"/>
      <c r="AE973" s="794" t="str">
        <f t="shared" ca="1" si="808"/>
        <v>-</v>
      </c>
      <c r="AF973" s="798" t="str">
        <f t="shared" si="809"/>
        <v>-</v>
      </c>
      <c r="AG973" s="812" t="str">
        <f t="shared" si="810"/>
        <v>---------</v>
      </c>
      <c r="AH973" s="807"/>
      <c r="AI973" s="807" t="str">
        <f t="shared" si="811"/>
        <v>-</v>
      </c>
      <c r="AJ973" s="807" t="str">
        <f t="shared" si="812"/>
        <v>-</v>
      </c>
      <c r="AK973" s="813"/>
      <c r="AL973" s="807" t="str">
        <f t="shared" si="813"/>
        <v>-</v>
      </c>
      <c r="AM973" s="807" t="str">
        <f t="shared" si="814"/>
        <v>-</v>
      </c>
      <c r="AN973" s="814" t="str">
        <f t="shared" ca="1" si="815"/>
        <v>-</v>
      </c>
      <c r="AO973" s="815">
        <v>1</v>
      </c>
      <c r="AP973" s="816" t="str">
        <f t="shared" ca="1" si="816"/>
        <v>-</v>
      </c>
      <c r="AQ973" s="817"/>
      <c r="AR973" s="794" t="str">
        <f t="shared" si="817"/>
        <v>-</v>
      </c>
      <c r="AS973" s="818"/>
      <c r="AT973" s="794" t="str">
        <f t="shared" si="818"/>
        <v>-</v>
      </c>
      <c r="AU973" s="819"/>
      <c r="AV973" s="820"/>
      <c r="AW973" s="821"/>
      <c r="AX973" s="821"/>
      <c r="AY973" s="969" t="str">
        <f t="shared" si="819"/>
        <v>-</v>
      </c>
      <c r="AZ973" s="966" t="str">
        <f t="shared" si="820"/>
        <v>-</v>
      </c>
      <c r="BA973" s="971" t="str">
        <f t="shared" si="821"/>
        <v>-</v>
      </c>
      <c r="BB973" s="975"/>
      <c r="BC973" s="821"/>
      <c r="BD973" s="821"/>
      <c r="BE973" s="963" t="str">
        <f t="shared" si="822"/>
        <v>-</v>
      </c>
      <c r="BF973" s="984"/>
      <c r="BG973" s="988"/>
      <c r="BH973" s="982"/>
      <c r="BI973" s="991"/>
      <c r="BJ973" s="991"/>
      <c r="BK973" s="993" t="str">
        <f t="shared" si="823"/>
        <v>-</v>
      </c>
      <c r="BL973" s="820">
        <v>42977</v>
      </c>
      <c r="BM973" s="821">
        <v>5</v>
      </c>
      <c r="BN973" s="822">
        <f t="shared" ca="1" si="824"/>
        <v>157</v>
      </c>
      <c r="BO973" s="823">
        <f t="shared" si="825"/>
        <v>8.2333333333333325</v>
      </c>
      <c r="BP973" s="824"/>
      <c r="BQ973" s="821"/>
      <c r="BR973" s="822" t="str">
        <f t="shared" si="826"/>
        <v>-</v>
      </c>
      <c r="BS973" s="823" t="str">
        <f t="shared" si="827"/>
        <v>-</v>
      </c>
      <c r="BT973" s="825" t="str">
        <f t="shared" ca="1" si="828"/>
        <v>-</v>
      </c>
      <c r="BU973" s="826"/>
      <c r="BV973" s="827"/>
      <c r="BW973" s="828" t="str">
        <f t="shared" si="829"/>
        <v>Ж-Е НЕ ВАКЦ.</v>
      </c>
      <c r="BX973" s="829" t="str">
        <f t="shared" si="830"/>
        <v>-</v>
      </c>
      <c r="BY973" s="830" t="str">
        <f t="shared" ca="1" si="831"/>
        <v>-</v>
      </c>
      <c r="BZ973" s="831">
        <v>42888</v>
      </c>
      <c r="CA973" s="832">
        <v>5</v>
      </c>
      <c r="CB973" s="833">
        <f t="shared" ca="1" si="832"/>
        <v>246</v>
      </c>
      <c r="CC973" s="834" t="str">
        <f t="shared" ca="1" si="833"/>
        <v>-</v>
      </c>
      <c r="CD973" s="835">
        <f t="shared" si="834"/>
        <v>42909</v>
      </c>
      <c r="CE973" s="831">
        <v>42909</v>
      </c>
      <c r="CF973" s="832">
        <v>5</v>
      </c>
      <c r="CG973" s="833">
        <f t="shared" ca="1" si="835"/>
        <v>225</v>
      </c>
      <c r="CH973" s="836">
        <f t="shared" si="836"/>
        <v>0</v>
      </c>
      <c r="CI973" s="837" t="str">
        <f t="shared" si="837"/>
        <v>УСПЕШНО</v>
      </c>
      <c r="CJ973" s="838" t="str">
        <f t="shared" ca="1" si="838"/>
        <v>-</v>
      </c>
      <c r="CK973" s="831"/>
      <c r="CL973" s="832"/>
      <c r="CM973" s="833" t="str">
        <f t="shared" si="839"/>
        <v>-</v>
      </c>
      <c r="CN973" s="834" t="str">
        <f t="shared" si="840"/>
        <v>-</v>
      </c>
      <c r="CO973" s="830" t="str">
        <f t="shared" ca="1" si="841"/>
        <v>-</v>
      </c>
      <c r="CP973" s="839"/>
      <c r="CQ973" s="832"/>
      <c r="CR973" s="833" t="str">
        <f t="shared" si="842"/>
        <v>-</v>
      </c>
      <c r="CS973" s="833" t="str">
        <f t="shared" si="843"/>
        <v>-</v>
      </c>
      <c r="CT973" s="834" t="str">
        <f t="shared" si="844"/>
        <v>-</v>
      </c>
      <c r="CU973" s="835" t="str">
        <f t="shared" si="845"/>
        <v>-</v>
      </c>
      <c r="CV973" s="839"/>
      <c r="CW973" s="832"/>
      <c r="CX973" s="833" t="str">
        <f t="shared" si="846"/>
        <v>-</v>
      </c>
      <c r="CY973" s="840" t="str">
        <f t="shared" si="847"/>
        <v>-</v>
      </c>
      <c r="CZ973" s="833" t="str">
        <f t="shared" si="848"/>
        <v>-</v>
      </c>
      <c r="DA973" s="838" t="str">
        <f t="shared" ca="1" si="849"/>
        <v>-</v>
      </c>
      <c r="DB973" s="841"/>
      <c r="DC973" s="832"/>
    </row>
    <row r="974" spans="1:107" x14ac:dyDescent="0.25">
      <c r="A974" s="790">
        <v>978</v>
      </c>
      <c r="B974" s="791">
        <f t="shared" ca="1" si="798"/>
        <v>43134</v>
      </c>
      <c r="C974" s="792" t="s">
        <v>2583</v>
      </c>
      <c r="D974" s="793" t="s">
        <v>2582</v>
      </c>
      <c r="E974" s="794" t="s">
        <v>1563</v>
      </c>
      <c r="F974" s="795" t="s">
        <v>2293</v>
      </c>
      <c r="G974" s="845"/>
      <c r="H974" s="797" t="s">
        <v>603</v>
      </c>
      <c r="I974" s="798">
        <v>42730</v>
      </c>
      <c r="J974" s="799">
        <f t="shared" ca="1" si="799"/>
        <v>1.106849315068493</v>
      </c>
      <c r="K974" s="799">
        <f t="shared" ca="1" si="800"/>
        <v>13.466666666666667</v>
      </c>
      <c r="L974" s="800">
        <f t="shared" ca="1" si="801"/>
        <v>404</v>
      </c>
      <c r="M974" s="801"/>
      <c r="N974" s="802"/>
      <c r="O974" s="803" t="str">
        <f t="shared" ca="1" si="802"/>
        <v>-</v>
      </c>
      <c r="P974" s="804"/>
      <c r="Q974" s="805"/>
      <c r="R974" s="806"/>
      <c r="S974" s="807"/>
      <c r="T974" s="798"/>
      <c r="U974" s="798" t="str">
        <f t="shared" si="803"/>
        <v>-</v>
      </c>
      <c r="V974" s="804" t="str">
        <f t="shared" ca="1" si="804"/>
        <v>-</v>
      </c>
      <c r="W974" s="808">
        <v>0</v>
      </c>
      <c r="X974" s="794" t="str">
        <f t="shared" si="797"/>
        <v>-</v>
      </c>
      <c r="Y974" s="794">
        <v>0</v>
      </c>
      <c r="Z974" s="809" t="str">
        <f t="shared" ca="1" si="805"/>
        <v>-----</v>
      </c>
      <c r="AA974" s="810">
        <f t="shared" ca="1" si="806"/>
        <v>43134</v>
      </c>
      <c r="AB974" s="804"/>
      <c r="AC974" s="811" t="str">
        <f t="shared" ca="1" si="807"/>
        <v>-----</v>
      </c>
      <c r="AD974" s="798"/>
      <c r="AE974" s="794" t="str">
        <f t="shared" ca="1" si="808"/>
        <v>-</v>
      </c>
      <c r="AF974" s="798" t="str">
        <f t="shared" si="809"/>
        <v>-</v>
      </c>
      <c r="AG974" s="812" t="str">
        <f t="shared" si="810"/>
        <v>---------</v>
      </c>
      <c r="AH974" s="807"/>
      <c r="AI974" s="807" t="str">
        <f t="shared" si="811"/>
        <v>-</v>
      </c>
      <c r="AJ974" s="807" t="str">
        <f t="shared" si="812"/>
        <v>-</v>
      </c>
      <c r="AK974" s="813"/>
      <c r="AL974" s="807" t="str">
        <f t="shared" si="813"/>
        <v>-</v>
      </c>
      <c r="AM974" s="807" t="str">
        <f t="shared" si="814"/>
        <v>-</v>
      </c>
      <c r="AN974" s="814" t="str">
        <f t="shared" ca="1" si="815"/>
        <v>-</v>
      </c>
      <c r="AO974" s="815">
        <v>1</v>
      </c>
      <c r="AP974" s="816" t="str">
        <f t="shared" ca="1" si="816"/>
        <v>-</v>
      </c>
      <c r="AQ974" s="817"/>
      <c r="AR974" s="794" t="str">
        <f t="shared" si="817"/>
        <v>-</v>
      </c>
      <c r="AS974" s="818"/>
      <c r="AT974" s="794" t="str">
        <f t="shared" si="818"/>
        <v>-</v>
      </c>
      <c r="AU974" s="819"/>
      <c r="AV974" s="820"/>
      <c r="AW974" s="821"/>
      <c r="AX974" s="821"/>
      <c r="AY974" s="969" t="str">
        <f t="shared" si="819"/>
        <v>-</v>
      </c>
      <c r="AZ974" s="966" t="str">
        <f t="shared" si="820"/>
        <v>-</v>
      </c>
      <c r="BA974" s="971" t="str">
        <f t="shared" si="821"/>
        <v>-</v>
      </c>
      <c r="BB974" s="975"/>
      <c r="BC974" s="821"/>
      <c r="BD974" s="821"/>
      <c r="BE974" s="963" t="str">
        <f t="shared" si="822"/>
        <v>-</v>
      </c>
      <c r="BF974" s="984"/>
      <c r="BG974" s="988"/>
      <c r="BH974" s="982"/>
      <c r="BI974" s="991"/>
      <c r="BJ974" s="991"/>
      <c r="BK974" s="993" t="str">
        <f t="shared" si="823"/>
        <v>-</v>
      </c>
      <c r="BL974" s="820">
        <v>42977</v>
      </c>
      <c r="BM974" s="821">
        <v>5</v>
      </c>
      <c r="BN974" s="822">
        <f t="shared" ca="1" si="824"/>
        <v>157</v>
      </c>
      <c r="BO974" s="823">
        <f t="shared" si="825"/>
        <v>8.2333333333333325</v>
      </c>
      <c r="BP974" s="824"/>
      <c r="BQ974" s="821"/>
      <c r="BR974" s="822" t="str">
        <f t="shared" si="826"/>
        <v>-</v>
      </c>
      <c r="BS974" s="823" t="str">
        <f t="shared" si="827"/>
        <v>-</v>
      </c>
      <c r="BT974" s="825" t="str">
        <f t="shared" ca="1" si="828"/>
        <v>-</v>
      </c>
      <c r="BU974" s="826"/>
      <c r="BV974" s="827"/>
      <c r="BW974" s="828" t="str">
        <f t="shared" si="829"/>
        <v>Ж-Е НЕ ВАКЦ.</v>
      </c>
      <c r="BX974" s="829" t="str">
        <f t="shared" si="830"/>
        <v>-</v>
      </c>
      <c r="BY974" s="830" t="str">
        <f t="shared" ca="1" si="831"/>
        <v>-</v>
      </c>
      <c r="BZ974" s="831">
        <v>42888</v>
      </c>
      <c r="CA974" s="832">
        <v>5</v>
      </c>
      <c r="CB974" s="833">
        <f t="shared" ca="1" si="832"/>
        <v>246</v>
      </c>
      <c r="CC974" s="834" t="str">
        <f t="shared" ca="1" si="833"/>
        <v>-</v>
      </c>
      <c r="CD974" s="835">
        <f t="shared" si="834"/>
        <v>42909</v>
      </c>
      <c r="CE974" s="831">
        <v>42909</v>
      </c>
      <c r="CF974" s="832">
        <v>5</v>
      </c>
      <c r="CG974" s="833">
        <f t="shared" ca="1" si="835"/>
        <v>225</v>
      </c>
      <c r="CH974" s="836">
        <f t="shared" si="836"/>
        <v>0</v>
      </c>
      <c r="CI974" s="837" t="str">
        <f t="shared" si="837"/>
        <v>УСПЕШНО</v>
      </c>
      <c r="CJ974" s="838" t="str">
        <f t="shared" ca="1" si="838"/>
        <v>-</v>
      </c>
      <c r="CK974" s="831"/>
      <c r="CL974" s="832"/>
      <c r="CM974" s="833" t="str">
        <f t="shared" si="839"/>
        <v>-</v>
      </c>
      <c r="CN974" s="834" t="str">
        <f t="shared" si="840"/>
        <v>-</v>
      </c>
      <c r="CO974" s="830" t="str">
        <f t="shared" ca="1" si="841"/>
        <v>-</v>
      </c>
      <c r="CP974" s="839"/>
      <c r="CQ974" s="832"/>
      <c r="CR974" s="833" t="str">
        <f t="shared" si="842"/>
        <v>-</v>
      </c>
      <c r="CS974" s="833" t="str">
        <f t="shared" si="843"/>
        <v>-</v>
      </c>
      <c r="CT974" s="834" t="str">
        <f t="shared" si="844"/>
        <v>-</v>
      </c>
      <c r="CU974" s="835" t="str">
        <f t="shared" si="845"/>
        <v>-</v>
      </c>
      <c r="CV974" s="839"/>
      <c r="CW974" s="832"/>
      <c r="CX974" s="833" t="str">
        <f t="shared" si="846"/>
        <v>-</v>
      </c>
      <c r="CY974" s="840" t="str">
        <f t="shared" si="847"/>
        <v>-</v>
      </c>
      <c r="CZ974" s="833" t="str">
        <f t="shared" si="848"/>
        <v>-</v>
      </c>
      <c r="DA974" s="838" t="str">
        <f t="shared" ca="1" si="849"/>
        <v>-</v>
      </c>
      <c r="DB974" s="841"/>
      <c r="DC974" s="832"/>
    </row>
    <row r="975" spans="1:107" x14ac:dyDescent="0.25">
      <c r="A975" s="790">
        <v>979</v>
      </c>
      <c r="B975" s="791">
        <f t="shared" ca="1" si="798"/>
        <v>43134</v>
      </c>
      <c r="C975" s="792" t="s">
        <v>2583</v>
      </c>
      <c r="D975" s="793" t="s">
        <v>2582</v>
      </c>
      <c r="E975" s="794" t="s">
        <v>1563</v>
      </c>
      <c r="F975" s="795" t="s">
        <v>2297</v>
      </c>
      <c r="G975" s="845"/>
      <c r="H975" s="797" t="s">
        <v>603</v>
      </c>
      <c r="I975" s="798">
        <v>42731</v>
      </c>
      <c r="J975" s="799">
        <f t="shared" ca="1" si="799"/>
        <v>1.1041095890410959</v>
      </c>
      <c r="K975" s="799">
        <f t="shared" ca="1" si="800"/>
        <v>13.433333333333334</v>
      </c>
      <c r="L975" s="800">
        <f t="shared" ca="1" si="801"/>
        <v>403</v>
      </c>
      <c r="M975" s="801"/>
      <c r="N975" s="802"/>
      <c r="O975" s="803" t="str">
        <f t="shared" ca="1" si="802"/>
        <v>-</v>
      </c>
      <c r="P975" s="804"/>
      <c r="Q975" s="805"/>
      <c r="R975" s="806"/>
      <c r="S975" s="807"/>
      <c r="T975" s="798"/>
      <c r="U975" s="798" t="str">
        <f t="shared" si="803"/>
        <v>-</v>
      </c>
      <c r="V975" s="804" t="str">
        <f t="shared" ca="1" si="804"/>
        <v>-</v>
      </c>
      <c r="W975" s="808">
        <v>0</v>
      </c>
      <c r="X975" s="794" t="str">
        <f t="shared" si="797"/>
        <v>-</v>
      </c>
      <c r="Y975" s="794">
        <v>0</v>
      </c>
      <c r="Z975" s="809" t="str">
        <f t="shared" ca="1" si="805"/>
        <v>-----</v>
      </c>
      <c r="AA975" s="810">
        <f t="shared" ca="1" si="806"/>
        <v>43134</v>
      </c>
      <c r="AB975" s="804"/>
      <c r="AC975" s="811" t="str">
        <f t="shared" ca="1" si="807"/>
        <v>-----</v>
      </c>
      <c r="AD975" s="798"/>
      <c r="AE975" s="794" t="str">
        <f t="shared" ca="1" si="808"/>
        <v>-</v>
      </c>
      <c r="AF975" s="798" t="str">
        <f t="shared" si="809"/>
        <v>-</v>
      </c>
      <c r="AG975" s="812" t="str">
        <f t="shared" si="810"/>
        <v>---------</v>
      </c>
      <c r="AH975" s="807"/>
      <c r="AI975" s="807" t="str">
        <f t="shared" si="811"/>
        <v>-</v>
      </c>
      <c r="AJ975" s="807" t="str">
        <f t="shared" si="812"/>
        <v>-</v>
      </c>
      <c r="AK975" s="813"/>
      <c r="AL975" s="807" t="str">
        <f t="shared" si="813"/>
        <v>-</v>
      </c>
      <c r="AM975" s="807" t="str">
        <f t="shared" si="814"/>
        <v>-</v>
      </c>
      <c r="AN975" s="814" t="str">
        <f t="shared" ca="1" si="815"/>
        <v>-</v>
      </c>
      <c r="AO975" s="815">
        <v>1</v>
      </c>
      <c r="AP975" s="816" t="str">
        <f t="shared" ca="1" si="816"/>
        <v>-</v>
      </c>
      <c r="AQ975" s="817"/>
      <c r="AR975" s="794" t="str">
        <f t="shared" si="817"/>
        <v>-</v>
      </c>
      <c r="AS975" s="818"/>
      <c r="AT975" s="794" t="str">
        <f t="shared" si="818"/>
        <v>-</v>
      </c>
      <c r="AU975" s="819"/>
      <c r="AV975" s="820"/>
      <c r="AW975" s="821"/>
      <c r="AX975" s="821"/>
      <c r="AY975" s="969" t="str">
        <f t="shared" si="819"/>
        <v>-</v>
      </c>
      <c r="AZ975" s="966" t="str">
        <f t="shared" si="820"/>
        <v>-</v>
      </c>
      <c r="BA975" s="971" t="str">
        <f t="shared" si="821"/>
        <v>-</v>
      </c>
      <c r="BB975" s="975"/>
      <c r="BC975" s="821"/>
      <c r="BD975" s="821"/>
      <c r="BE975" s="963" t="str">
        <f t="shared" si="822"/>
        <v>-</v>
      </c>
      <c r="BF975" s="984"/>
      <c r="BG975" s="988"/>
      <c r="BH975" s="982"/>
      <c r="BI975" s="991"/>
      <c r="BJ975" s="991"/>
      <c r="BK975" s="993" t="str">
        <f t="shared" si="823"/>
        <v>-</v>
      </c>
      <c r="BL975" s="820">
        <v>42977</v>
      </c>
      <c r="BM975" s="821">
        <v>5</v>
      </c>
      <c r="BN975" s="822">
        <f t="shared" ca="1" si="824"/>
        <v>157</v>
      </c>
      <c r="BO975" s="823">
        <f t="shared" si="825"/>
        <v>8.1999999999999993</v>
      </c>
      <c r="BP975" s="824"/>
      <c r="BQ975" s="821"/>
      <c r="BR975" s="822" t="str">
        <f t="shared" si="826"/>
        <v>-</v>
      </c>
      <c r="BS975" s="823" t="str">
        <f t="shared" si="827"/>
        <v>-</v>
      </c>
      <c r="BT975" s="825" t="str">
        <f t="shared" ca="1" si="828"/>
        <v>-</v>
      </c>
      <c r="BU975" s="826"/>
      <c r="BV975" s="827"/>
      <c r="BW975" s="828" t="str">
        <f t="shared" si="829"/>
        <v>Ж-Е НЕ ВАКЦ.</v>
      </c>
      <c r="BX975" s="829" t="str">
        <f t="shared" si="830"/>
        <v>-</v>
      </c>
      <c r="BY975" s="830" t="str">
        <f t="shared" ca="1" si="831"/>
        <v>-</v>
      </c>
      <c r="BZ975" s="831">
        <v>42888</v>
      </c>
      <c r="CA975" s="832">
        <v>5</v>
      </c>
      <c r="CB975" s="833">
        <f t="shared" ca="1" si="832"/>
        <v>246</v>
      </c>
      <c r="CC975" s="834" t="str">
        <f t="shared" ca="1" si="833"/>
        <v>-</v>
      </c>
      <c r="CD975" s="835">
        <f t="shared" si="834"/>
        <v>42909</v>
      </c>
      <c r="CE975" s="831">
        <v>42909</v>
      </c>
      <c r="CF975" s="832">
        <v>5</v>
      </c>
      <c r="CG975" s="833">
        <f t="shared" ca="1" si="835"/>
        <v>225</v>
      </c>
      <c r="CH975" s="836">
        <f t="shared" si="836"/>
        <v>0</v>
      </c>
      <c r="CI975" s="837" t="str">
        <f t="shared" si="837"/>
        <v>УСПЕШНО</v>
      </c>
      <c r="CJ975" s="838" t="str">
        <f t="shared" ca="1" si="838"/>
        <v>-</v>
      </c>
      <c r="CK975" s="831"/>
      <c r="CL975" s="832"/>
      <c r="CM975" s="833" t="str">
        <f t="shared" si="839"/>
        <v>-</v>
      </c>
      <c r="CN975" s="834" t="str">
        <f t="shared" si="840"/>
        <v>-</v>
      </c>
      <c r="CO975" s="830" t="str">
        <f t="shared" ca="1" si="841"/>
        <v>-</v>
      </c>
      <c r="CP975" s="839"/>
      <c r="CQ975" s="832"/>
      <c r="CR975" s="833" t="str">
        <f t="shared" si="842"/>
        <v>-</v>
      </c>
      <c r="CS975" s="833" t="str">
        <f t="shared" si="843"/>
        <v>-</v>
      </c>
      <c r="CT975" s="834" t="str">
        <f t="shared" si="844"/>
        <v>-</v>
      </c>
      <c r="CU975" s="835" t="str">
        <f t="shared" si="845"/>
        <v>-</v>
      </c>
      <c r="CV975" s="839"/>
      <c r="CW975" s="832"/>
      <c r="CX975" s="833" t="str">
        <f t="shared" si="846"/>
        <v>-</v>
      </c>
      <c r="CY975" s="840" t="str">
        <f t="shared" si="847"/>
        <v>-</v>
      </c>
      <c r="CZ975" s="833" t="str">
        <f t="shared" si="848"/>
        <v>-</v>
      </c>
      <c r="DA975" s="838" t="str">
        <f t="shared" ca="1" si="849"/>
        <v>-</v>
      </c>
      <c r="DB975" s="841"/>
      <c r="DC975" s="832"/>
    </row>
    <row r="976" spans="1:107" x14ac:dyDescent="0.25">
      <c r="A976" s="790">
        <v>980</v>
      </c>
      <c r="B976" s="791">
        <f t="shared" ca="1" si="798"/>
        <v>43134</v>
      </c>
      <c r="C976" s="792" t="s">
        <v>2583</v>
      </c>
      <c r="D976" s="793" t="s">
        <v>2582</v>
      </c>
      <c r="E976" s="794" t="s">
        <v>1563</v>
      </c>
      <c r="F976" s="795" t="s">
        <v>2580</v>
      </c>
      <c r="G976" s="845"/>
      <c r="H976" s="797" t="s">
        <v>603</v>
      </c>
      <c r="I976" s="798">
        <v>42732</v>
      </c>
      <c r="J976" s="799">
        <f t="shared" ca="1" si="799"/>
        <v>1.1013698630136985</v>
      </c>
      <c r="K976" s="799">
        <f t="shared" ca="1" si="800"/>
        <v>13.4</v>
      </c>
      <c r="L976" s="800">
        <f t="shared" ca="1" si="801"/>
        <v>402</v>
      </c>
      <c r="M976" s="801"/>
      <c r="N976" s="802"/>
      <c r="O976" s="803" t="str">
        <f t="shared" ca="1" si="802"/>
        <v>-</v>
      </c>
      <c r="P976" s="804"/>
      <c r="Q976" s="805"/>
      <c r="R976" s="806"/>
      <c r="S976" s="807"/>
      <c r="T976" s="798"/>
      <c r="U976" s="798" t="str">
        <f t="shared" si="803"/>
        <v>-</v>
      </c>
      <c r="V976" s="804" t="str">
        <f t="shared" ca="1" si="804"/>
        <v>-</v>
      </c>
      <c r="W976" s="808">
        <v>0</v>
      </c>
      <c r="X976" s="794" t="str">
        <f t="shared" si="797"/>
        <v>-</v>
      </c>
      <c r="Y976" s="794">
        <v>0</v>
      </c>
      <c r="Z976" s="809" t="str">
        <f t="shared" ca="1" si="805"/>
        <v>-----</v>
      </c>
      <c r="AA976" s="810">
        <f t="shared" ca="1" si="806"/>
        <v>43134</v>
      </c>
      <c r="AB976" s="804"/>
      <c r="AC976" s="811" t="str">
        <f t="shared" ca="1" si="807"/>
        <v>-----</v>
      </c>
      <c r="AD976" s="798"/>
      <c r="AE976" s="794" t="str">
        <f t="shared" ca="1" si="808"/>
        <v>-</v>
      </c>
      <c r="AF976" s="798" t="str">
        <f t="shared" si="809"/>
        <v>-</v>
      </c>
      <c r="AG976" s="812" t="str">
        <f t="shared" si="810"/>
        <v>---------</v>
      </c>
      <c r="AH976" s="807"/>
      <c r="AI976" s="807" t="str">
        <f t="shared" si="811"/>
        <v>-</v>
      </c>
      <c r="AJ976" s="807" t="str">
        <f t="shared" si="812"/>
        <v>-</v>
      </c>
      <c r="AK976" s="813"/>
      <c r="AL976" s="807" t="str">
        <f t="shared" si="813"/>
        <v>-</v>
      </c>
      <c r="AM976" s="807" t="str">
        <f t="shared" si="814"/>
        <v>-</v>
      </c>
      <c r="AN976" s="814" t="str">
        <f t="shared" ca="1" si="815"/>
        <v>-</v>
      </c>
      <c r="AO976" s="815">
        <v>1</v>
      </c>
      <c r="AP976" s="816" t="str">
        <f t="shared" ca="1" si="816"/>
        <v>-</v>
      </c>
      <c r="AQ976" s="817"/>
      <c r="AR976" s="794" t="str">
        <f t="shared" si="817"/>
        <v>-</v>
      </c>
      <c r="AS976" s="818"/>
      <c r="AT976" s="794" t="str">
        <f t="shared" si="818"/>
        <v>-</v>
      </c>
      <c r="AU976" s="819"/>
      <c r="AV976" s="820"/>
      <c r="AW976" s="821"/>
      <c r="AX976" s="821"/>
      <c r="AY976" s="969" t="str">
        <f t="shared" si="819"/>
        <v>-</v>
      </c>
      <c r="AZ976" s="966" t="str">
        <f t="shared" si="820"/>
        <v>-</v>
      </c>
      <c r="BA976" s="971" t="str">
        <f t="shared" si="821"/>
        <v>-</v>
      </c>
      <c r="BB976" s="975"/>
      <c r="BC976" s="821"/>
      <c r="BD976" s="821"/>
      <c r="BE976" s="963" t="str">
        <f t="shared" si="822"/>
        <v>-</v>
      </c>
      <c r="BF976" s="984"/>
      <c r="BG976" s="988"/>
      <c r="BH976" s="982"/>
      <c r="BI976" s="991"/>
      <c r="BJ976" s="991"/>
      <c r="BK976" s="993" t="str">
        <f t="shared" si="823"/>
        <v>-</v>
      </c>
      <c r="BL976" s="820">
        <v>42977</v>
      </c>
      <c r="BM976" s="821">
        <v>5</v>
      </c>
      <c r="BN976" s="822">
        <f t="shared" ca="1" si="824"/>
        <v>157</v>
      </c>
      <c r="BO976" s="823">
        <f t="shared" si="825"/>
        <v>8.1666666666666661</v>
      </c>
      <c r="BP976" s="824"/>
      <c r="BQ976" s="821"/>
      <c r="BR976" s="822" t="str">
        <f t="shared" si="826"/>
        <v>-</v>
      </c>
      <c r="BS976" s="823" t="str">
        <f t="shared" si="827"/>
        <v>-</v>
      </c>
      <c r="BT976" s="825" t="str">
        <f t="shared" ca="1" si="828"/>
        <v>-</v>
      </c>
      <c r="BU976" s="826"/>
      <c r="BV976" s="827"/>
      <c r="BW976" s="828" t="str">
        <f t="shared" si="829"/>
        <v>Ж-Е НЕ ВАКЦ.</v>
      </c>
      <c r="BX976" s="829" t="str">
        <f t="shared" si="830"/>
        <v>-</v>
      </c>
      <c r="BY976" s="830" t="str">
        <f t="shared" ca="1" si="831"/>
        <v>-</v>
      </c>
      <c r="BZ976" s="831">
        <v>42888</v>
      </c>
      <c r="CA976" s="832">
        <v>5</v>
      </c>
      <c r="CB976" s="833">
        <f t="shared" ca="1" si="832"/>
        <v>246</v>
      </c>
      <c r="CC976" s="834" t="str">
        <f t="shared" ca="1" si="833"/>
        <v>-</v>
      </c>
      <c r="CD976" s="835">
        <f t="shared" si="834"/>
        <v>42909</v>
      </c>
      <c r="CE976" s="831">
        <v>42909</v>
      </c>
      <c r="CF976" s="832">
        <v>5</v>
      </c>
      <c r="CG976" s="833">
        <f t="shared" ca="1" si="835"/>
        <v>225</v>
      </c>
      <c r="CH976" s="836">
        <f t="shared" si="836"/>
        <v>0</v>
      </c>
      <c r="CI976" s="837" t="str">
        <f t="shared" si="837"/>
        <v>УСПЕШНО</v>
      </c>
      <c r="CJ976" s="838" t="str">
        <f t="shared" ca="1" si="838"/>
        <v>-</v>
      </c>
      <c r="CK976" s="831"/>
      <c r="CL976" s="832"/>
      <c r="CM976" s="833" t="str">
        <f t="shared" si="839"/>
        <v>-</v>
      </c>
      <c r="CN976" s="834" t="str">
        <f t="shared" si="840"/>
        <v>-</v>
      </c>
      <c r="CO976" s="830" t="str">
        <f t="shared" ca="1" si="841"/>
        <v>-</v>
      </c>
      <c r="CP976" s="839"/>
      <c r="CQ976" s="832"/>
      <c r="CR976" s="833" t="str">
        <f t="shared" si="842"/>
        <v>-</v>
      </c>
      <c r="CS976" s="833" t="str">
        <f t="shared" si="843"/>
        <v>-</v>
      </c>
      <c r="CT976" s="834" t="str">
        <f t="shared" si="844"/>
        <v>-</v>
      </c>
      <c r="CU976" s="835" t="str">
        <f t="shared" si="845"/>
        <v>-</v>
      </c>
      <c r="CV976" s="839"/>
      <c r="CW976" s="832"/>
      <c r="CX976" s="833" t="str">
        <f t="shared" si="846"/>
        <v>-</v>
      </c>
      <c r="CY976" s="840" t="str">
        <f t="shared" si="847"/>
        <v>-</v>
      </c>
      <c r="CZ976" s="833" t="str">
        <f t="shared" si="848"/>
        <v>-</v>
      </c>
      <c r="DA976" s="838" t="str">
        <f t="shared" ca="1" si="849"/>
        <v>-</v>
      </c>
      <c r="DB976" s="841"/>
      <c r="DC976" s="832"/>
    </row>
    <row r="977" spans="1:107" x14ac:dyDescent="0.25">
      <c r="A977" s="790">
        <v>981</v>
      </c>
      <c r="B977" s="791">
        <f t="shared" ca="1" si="798"/>
        <v>43134</v>
      </c>
      <c r="C977" s="792" t="s">
        <v>2583</v>
      </c>
      <c r="D977" s="793" t="s">
        <v>2582</v>
      </c>
      <c r="E977" s="794" t="s">
        <v>1563</v>
      </c>
      <c r="F977" s="795" t="s">
        <v>2577</v>
      </c>
      <c r="G977" s="845"/>
      <c r="H977" s="797" t="s">
        <v>603</v>
      </c>
      <c r="I977" s="798">
        <v>42736</v>
      </c>
      <c r="J977" s="799">
        <f t="shared" ca="1" si="799"/>
        <v>1.0904109589041096</v>
      </c>
      <c r="K977" s="799">
        <f t="shared" ca="1" si="800"/>
        <v>13.266666666666667</v>
      </c>
      <c r="L977" s="800">
        <f t="shared" ca="1" si="801"/>
        <v>398</v>
      </c>
      <c r="M977" s="801"/>
      <c r="N977" s="802"/>
      <c r="O977" s="803" t="str">
        <f t="shared" ca="1" si="802"/>
        <v>-</v>
      </c>
      <c r="P977" s="804"/>
      <c r="Q977" s="805"/>
      <c r="R977" s="806"/>
      <c r="S977" s="807"/>
      <c r="T977" s="798"/>
      <c r="U977" s="798" t="str">
        <f t="shared" si="803"/>
        <v>-</v>
      </c>
      <c r="V977" s="804" t="str">
        <f t="shared" ca="1" si="804"/>
        <v>-</v>
      </c>
      <c r="W977" s="808">
        <v>0</v>
      </c>
      <c r="X977" s="794" t="str">
        <f t="shared" si="797"/>
        <v>-</v>
      </c>
      <c r="Y977" s="794">
        <v>0</v>
      </c>
      <c r="Z977" s="809" t="str">
        <f t="shared" ca="1" si="805"/>
        <v>-----</v>
      </c>
      <c r="AA977" s="810">
        <f t="shared" ca="1" si="806"/>
        <v>43134</v>
      </c>
      <c r="AB977" s="804"/>
      <c r="AC977" s="811" t="str">
        <f t="shared" ca="1" si="807"/>
        <v>-----</v>
      </c>
      <c r="AD977" s="798"/>
      <c r="AE977" s="794" t="str">
        <f t="shared" ca="1" si="808"/>
        <v>-</v>
      </c>
      <c r="AF977" s="798" t="str">
        <f t="shared" si="809"/>
        <v>-</v>
      </c>
      <c r="AG977" s="812" t="str">
        <f t="shared" si="810"/>
        <v>---------</v>
      </c>
      <c r="AH977" s="807"/>
      <c r="AI977" s="807" t="str">
        <f t="shared" si="811"/>
        <v>-</v>
      </c>
      <c r="AJ977" s="807" t="str">
        <f t="shared" si="812"/>
        <v>-</v>
      </c>
      <c r="AK977" s="813"/>
      <c r="AL977" s="807" t="str">
        <f t="shared" si="813"/>
        <v>-</v>
      </c>
      <c r="AM977" s="807" t="str">
        <f t="shared" si="814"/>
        <v>-</v>
      </c>
      <c r="AN977" s="814" t="str">
        <f t="shared" ca="1" si="815"/>
        <v>-</v>
      </c>
      <c r="AO977" s="815">
        <v>1</v>
      </c>
      <c r="AP977" s="816" t="str">
        <f t="shared" ca="1" si="816"/>
        <v>-</v>
      </c>
      <c r="AQ977" s="817"/>
      <c r="AR977" s="794" t="str">
        <f t="shared" si="817"/>
        <v>-</v>
      </c>
      <c r="AS977" s="818"/>
      <c r="AT977" s="794" t="str">
        <f t="shared" si="818"/>
        <v>-</v>
      </c>
      <c r="AU977" s="819"/>
      <c r="AV977" s="820"/>
      <c r="AW977" s="821"/>
      <c r="AX977" s="821"/>
      <c r="AY977" s="969" t="str">
        <f t="shared" si="819"/>
        <v>-</v>
      </c>
      <c r="AZ977" s="966" t="str">
        <f t="shared" si="820"/>
        <v>-</v>
      </c>
      <c r="BA977" s="971" t="str">
        <f t="shared" si="821"/>
        <v>-</v>
      </c>
      <c r="BB977" s="975"/>
      <c r="BC977" s="821"/>
      <c r="BD977" s="821"/>
      <c r="BE977" s="963" t="str">
        <f t="shared" si="822"/>
        <v>-</v>
      </c>
      <c r="BF977" s="984"/>
      <c r="BG977" s="988"/>
      <c r="BH977" s="982"/>
      <c r="BI977" s="991"/>
      <c r="BJ977" s="991"/>
      <c r="BK977" s="993" t="str">
        <f t="shared" si="823"/>
        <v>-</v>
      </c>
      <c r="BL977" s="820">
        <v>42977</v>
      </c>
      <c r="BM977" s="821">
        <v>5</v>
      </c>
      <c r="BN977" s="822">
        <f t="shared" ca="1" si="824"/>
        <v>157</v>
      </c>
      <c r="BO977" s="823">
        <f t="shared" si="825"/>
        <v>8.0333333333333332</v>
      </c>
      <c r="BP977" s="824"/>
      <c r="BQ977" s="821"/>
      <c r="BR977" s="822" t="str">
        <f t="shared" si="826"/>
        <v>-</v>
      </c>
      <c r="BS977" s="823" t="str">
        <f t="shared" si="827"/>
        <v>-</v>
      </c>
      <c r="BT977" s="825" t="str">
        <f t="shared" ca="1" si="828"/>
        <v>-</v>
      </c>
      <c r="BU977" s="826"/>
      <c r="BV977" s="827"/>
      <c r="BW977" s="828" t="str">
        <f t="shared" si="829"/>
        <v>Ж-Е НЕ ВАКЦ.</v>
      </c>
      <c r="BX977" s="829" t="str">
        <f t="shared" si="830"/>
        <v>-</v>
      </c>
      <c r="BY977" s="830" t="str">
        <f t="shared" ca="1" si="831"/>
        <v>-</v>
      </c>
      <c r="BZ977" s="831">
        <v>42888</v>
      </c>
      <c r="CA977" s="832">
        <v>5</v>
      </c>
      <c r="CB977" s="833">
        <f t="shared" ca="1" si="832"/>
        <v>246</v>
      </c>
      <c r="CC977" s="834" t="str">
        <f t="shared" ca="1" si="833"/>
        <v>-</v>
      </c>
      <c r="CD977" s="835">
        <f t="shared" si="834"/>
        <v>42909</v>
      </c>
      <c r="CE977" s="831">
        <v>42909</v>
      </c>
      <c r="CF977" s="832">
        <v>5</v>
      </c>
      <c r="CG977" s="833">
        <f t="shared" ca="1" si="835"/>
        <v>225</v>
      </c>
      <c r="CH977" s="836">
        <f t="shared" si="836"/>
        <v>0</v>
      </c>
      <c r="CI977" s="837" t="str">
        <f t="shared" si="837"/>
        <v>УСПЕШНО</v>
      </c>
      <c r="CJ977" s="838" t="str">
        <f t="shared" ca="1" si="838"/>
        <v>-</v>
      </c>
      <c r="CK977" s="831"/>
      <c r="CL977" s="832"/>
      <c r="CM977" s="833" t="str">
        <f t="shared" si="839"/>
        <v>-</v>
      </c>
      <c r="CN977" s="834" t="str">
        <f t="shared" si="840"/>
        <v>-</v>
      </c>
      <c r="CO977" s="830" t="str">
        <f t="shared" ca="1" si="841"/>
        <v>-</v>
      </c>
      <c r="CP977" s="839"/>
      <c r="CQ977" s="832"/>
      <c r="CR977" s="833" t="str">
        <f t="shared" si="842"/>
        <v>-</v>
      </c>
      <c r="CS977" s="833" t="str">
        <f t="shared" si="843"/>
        <v>-</v>
      </c>
      <c r="CT977" s="834" t="str">
        <f t="shared" si="844"/>
        <v>-</v>
      </c>
      <c r="CU977" s="835" t="str">
        <f t="shared" si="845"/>
        <v>-</v>
      </c>
      <c r="CV977" s="839"/>
      <c r="CW977" s="832"/>
      <c r="CX977" s="833" t="str">
        <f t="shared" si="846"/>
        <v>-</v>
      </c>
      <c r="CY977" s="840" t="str">
        <f t="shared" si="847"/>
        <v>-</v>
      </c>
      <c r="CZ977" s="833" t="str">
        <f t="shared" si="848"/>
        <v>-</v>
      </c>
      <c r="DA977" s="838" t="str">
        <f t="shared" ca="1" si="849"/>
        <v>-</v>
      </c>
      <c r="DB977" s="841"/>
      <c r="DC977" s="832"/>
    </row>
    <row r="978" spans="1:107" x14ac:dyDescent="0.25">
      <c r="A978" s="790">
        <v>982</v>
      </c>
      <c r="B978" s="791">
        <f t="shared" ca="1" si="798"/>
        <v>43134</v>
      </c>
      <c r="C978" s="792" t="s">
        <v>2583</v>
      </c>
      <c r="D978" s="793" t="s">
        <v>2582</v>
      </c>
      <c r="E978" s="794" t="s">
        <v>1563</v>
      </c>
      <c r="F978" s="795" t="s">
        <v>2579</v>
      </c>
      <c r="G978" s="845"/>
      <c r="H978" s="797" t="s">
        <v>603</v>
      </c>
      <c r="I978" s="798">
        <v>42736</v>
      </c>
      <c r="J978" s="799">
        <f t="shared" ca="1" si="799"/>
        <v>1.0904109589041096</v>
      </c>
      <c r="K978" s="799">
        <f t="shared" ca="1" si="800"/>
        <v>13.266666666666667</v>
      </c>
      <c r="L978" s="800">
        <f t="shared" ca="1" si="801"/>
        <v>398</v>
      </c>
      <c r="M978" s="801"/>
      <c r="N978" s="802"/>
      <c r="O978" s="803" t="str">
        <f t="shared" ca="1" si="802"/>
        <v>-</v>
      </c>
      <c r="P978" s="804"/>
      <c r="Q978" s="805"/>
      <c r="R978" s="806"/>
      <c r="S978" s="807"/>
      <c r="T978" s="798"/>
      <c r="U978" s="798" t="str">
        <f t="shared" si="803"/>
        <v>-</v>
      </c>
      <c r="V978" s="804" t="str">
        <f t="shared" ca="1" si="804"/>
        <v>-</v>
      </c>
      <c r="W978" s="808">
        <v>0</v>
      </c>
      <c r="X978" s="794" t="str">
        <f t="shared" si="797"/>
        <v>-</v>
      </c>
      <c r="Y978" s="794">
        <v>0</v>
      </c>
      <c r="Z978" s="809" t="str">
        <f t="shared" ca="1" si="805"/>
        <v>-----</v>
      </c>
      <c r="AA978" s="810">
        <f t="shared" ca="1" si="806"/>
        <v>43134</v>
      </c>
      <c r="AB978" s="804"/>
      <c r="AC978" s="811" t="str">
        <f t="shared" ca="1" si="807"/>
        <v>-----</v>
      </c>
      <c r="AD978" s="798"/>
      <c r="AE978" s="794" t="str">
        <f t="shared" ca="1" si="808"/>
        <v>-</v>
      </c>
      <c r="AF978" s="798" t="str">
        <f t="shared" si="809"/>
        <v>-</v>
      </c>
      <c r="AG978" s="812" t="str">
        <f t="shared" si="810"/>
        <v>---------</v>
      </c>
      <c r="AH978" s="807"/>
      <c r="AI978" s="807" t="str">
        <f t="shared" si="811"/>
        <v>-</v>
      </c>
      <c r="AJ978" s="807" t="str">
        <f t="shared" si="812"/>
        <v>-</v>
      </c>
      <c r="AK978" s="813"/>
      <c r="AL978" s="807" t="str">
        <f t="shared" si="813"/>
        <v>-</v>
      </c>
      <c r="AM978" s="807" t="str">
        <f t="shared" si="814"/>
        <v>-</v>
      </c>
      <c r="AN978" s="814" t="str">
        <f t="shared" ca="1" si="815"/>
        <v>-</v>
      </c>
      <c r="AO978" s="815">
        <v>1</v>
      </c>
      <c r="AP978" s="816" t="str">
        <f t="shared" ca="1" si="816"/>
        <v>-</v>
      </c>
      <c r="AQ978" s="817"/>
      <c r="AR978" s="794" t="str">
        <f t="shared" si="817"/>
        <v>-</v>
      </c>
      <c r="AS978" s="818"/>
      <c r="AT978" s="794" t="str">
        <f t="shared" si="818"/>
        <v>-</v>
      </c>
      <c r="AU978" s="819"/>
      <c r="AV978" s="820"/>
      <c r="AW978" s="821"/>
      <c r="AX978" s="821"/>
      <c r="AY978" s="969" t="str">
        <f t="shared" si="819"/>
        <v>-</v>
      </c>
      <c r="AZ978" s="966" t="str">
        <f t="shared" si="820"/>
        <v>-</v>
      </c>
      <c r="BA978" s="971" t="str">
        <f t="shared" si="821"/>
        <v>-</v>
      </c>
      <c r="BB978" s="975"/>
      <c r="BC978" s="821"/>
      <c r="BD978" s="821"/>
      <c r="BE978" s="963" t="str">
        <f t="shared" si="822"/>
        <v>-</v>
      </c>
      <c r="BF978" s="984"/>
      <c r="BG978" s="988"/>
      <c r="BH978" s="982"/>
      <c r="BI978" s="991"/>
      <c r="BJ978" s="991"/>
      <c r="BK978" s="993" t="str">
        <f t="shared" si="823"/>
        <v>-</v>
      </c>
      <c r="BL978" s="820">
        <v>42977</v>
      </c>
      <c r="BM978" s="821">
        <v>5</v>
      </c>
      <c r="BN978" s="822">
        <f t="shared" ca="1" si="824"/>
        <v>157</v>
      </c>
      <c r="BO978" s="823">
        <f t="shared" si="825"/>
        <v>8.0333333333333332</v>
      </c>
      <c r="BP978" s="824"/>
      <c r="BQ978" s="821"/>
      <c r="BR978" s="822" t="str">
        <f t="shared" si="826"/>
        <v>-</v>
      </c>
      <c r="BS978" s="823" t="str">
        <f t="shared" si="827"/>
        <v>-</v>
      </c>
      <c r="BT978" s="825" t="str">
        <f t="shared" ca="1" si="828"/>
        <v>-</v>
      </c>
      <c r="BU978" s="826"/>
      <c r="BV978" s="827"/>
      <c r="BW978" s="828" t="str">
        <f t="shared" si="829"/>
        <v>Ж-Е НЕ ВАКЦ.</v>
      </c>
      <c r="BX978" s="829" t="str">
        <f t="shared" si="830"/>
        <v>-</v>
      </c>
      <c r="BY978" s="830" t="str">
        <f t="shared" ca="1" si="831"/>
        <v>-</v>
      </c>
      <c r="BZ978" s="831">
        <v>42888</v>
      </c>
      <c r="CA978" s="832">
        <v>5</v>
      </c>
      <c r="CB978" s="833">
        <f t="shared" ca="1" si="832"/>
        <v>246</v>
      </c>
      <c r="CC978" s="834" t="str">
        <f t="shared" ca="1" si="833"/>
        <v>-</v>
      </c>
      <c r="CD978" s="835">
        <f t="shared" si="834"/>
        <v>42909</v>
      </c>
      <c r="CE978" s="831">
        <v>42909</v>
      </c>
      <c r="CF978" s="832">
        <v>5</v>
      </c>
      <c r="CG978" s="833">
        <f t="shared" ca="1" si="835"/>
        <v>225</v>
      </c>
      <c r="CH978" s="836">
        <f t="shared" si="836"/>
        <v>0</v>
      </c>
      <c r="CI978" s="837" t="str">
        <f t="shared" si="837"/>
        <v>УСПЕШНО</v>
      </c>
      <c r="CJ978" s="838" t="str">
        <f t="shared" ca="1" si="838"/>
        <v>-</v>
      </c>
      <c r="CK978" s="831"/>
      <c r="CL978" s="832"/>
      <c r="CM978" s="833" t="str">
        <f t="shared" si="839"/>
        <v>-</v>
      </c>
      <c r="CN978" s="834" t="str">
        <f t="shared" si="840"/>
        <v>-</v>
      </c>
      <c r="CO978" s="830" t="str">
        <f t="shared" ca="1" si="841"/>
        <v>-</v>
      </c>
      <c r="CP978" s="839"/>
      <c r="CQ978" s="832"/>
      <c r="CR978" s="833" t="str">
        <f t="shared" si="842"/>
        <v>-</v>
      </c>
      <c r="CS978" s="833" t="str">
        <f t="shared" si="843"/>
        <v>-</v>
      </c>
      <c r="CT978" s="834" t="str">
        <f t="shared" si="844"/>
        <v>-</v>
      </c>
      <c r="CU978" s="835" t="str">
        <f t="shared" si="845"/>
        <v>-</v>
      </c>
      <c r="CV978" s="839"/>
      <c r="CW978" s="832"/>
      <c r="CX978" s="833" t="str">
        <f t="shared" si="846"/>
        <v>-</v>
      </c>
      <c r="CY978" s="840" t="str">
        <f t="shared" si="847"/>
        <v>-</v>
      </c>
      <c r="CZ978" s="833" t="str">
        <f t="shared" si="848"/>
        <v>-</v>
      </c>
      <c r="DA978" s="838" t="str">
        <f t="shared" ca="1" si="849"/>
        <v>-</v>
      </c>
      <c r="DB978" s="841"/>
      <c r="DC978" s="832"/>
    </row>
    <row r="979" spans="1:107" x14ac:dyDescent="0.25">
      <c r="A979" s="790">
        <v>983</v>
      </c>
      <c r="B979" s="791">
        <f t="shared" ca="1" si="798"/>
        <v>43134</v>
      </c>
      <c r="C979" s="792" t="s">
        <v>2583</v>
      </c>
      <c r="D979" s="793" t="s">
        <v>2582</v>
      </c>
      <c r="E979" s="794" t="s">
        <v>1563</v>
      </c>
      <c r="F979" s="795" t="s">
        <v>2305</v>
      </c>
      <c r="G979" s="845"/>
      <c r="H979" s="797" t="s">
        <v>603</v>
      </c>
      <c r="I979" s="798">
        <v>42737</v>
      </c>
      <c r="J979" s="799">
        <f t="shared" ca="1" si="799"/>
        <v>1.0876712328767124</v>
      </c>
      <c r="K979" s="799">
        <f t="shared" ca="1" si="800"/>
        <v>13.233333333333333</v>
      </c>
      <c r="L979" s="800">
        <f t="shared" ca="1" si="801"/>
        <v>397</v>
      </c>
      <c r="M979" s="801"/>
      <c r="N979" s="802"/>
      <c r="O979" s="803" t="str">
        <f t="shared" ca="1" si="802"/>
        <v>-</v>
      </c>
      <c r="P979" s="804"/>
      <c r="Q979" s="805"/>
      <c r="R979" s="806"/>
      <c r="S979" s="807"/>
      <c r="T979" s="798"/>
      <c r="U979" s="798" t="str">
        <f t="shared" si="803"/>
        <v>-</v>
      </c>
      <c r="V979" s="804" t="str">
        <f t="shared" ca="1" si="804"/>
        <v>-</v>
      </c>
      <c r="W979" s="808">
        <v>0</v>
      </c>
      <c r="X979" s="794" t="str">
        <f t="shared" si="797"/>
        <v>-</v>
      </c>
      <c r="Y979" s="794">
        <v>0</v>
      </c>
      <c r="Z979" s="809" t="str">
        <f t="shared" ca="1" si="805"/>
        <v>-----</v>
      </c>
      <c r="AA979" s="810">
        <f t="shared" ca="1" si="806"/>
        <v>43134</v>
      </c>
      <c r="AB979" s="804"/>
      <c r="AC979" s="811" t="str">
        <f t="shared" ca="1" si="807"/>
        <v>-----</v>
      </c>
      <c r="AD979" s="798"/>
      <c r="AE979" s="794" t="str">
        <f t="shared" ca="1" si="808"/>
        <v>-</v>
      </c>
      <c r="AF979" s="798" t="str">
        <f t="shared" si="809"/>
        <v>-</v>
      </c>
      <c r="AG979" s="812" t="str">
        <f t="shared" si="810"/>
        <v>---------</v>
      </c>
      <c r="AH979" s="807"/>
      <c r="AI979" s="807" t="str">
        <f t="shared" si="811"/>
        <v>-</v>
      </c>
      <c r="AJ979" s="807" t="str">
        <f t="shared" si="812"/>
        <v>-</v>
      </c>
      <c r="AK979" s="813"/>
      <c r="AL979" s="807" t="str">
        <f t="shared" si="813"/>
        <v>-</v>
      </c>
      <c r="AM979" s="807" t="str">
        <f t="shared" si="814"/>
        <v>-</v>
      </c>
      <c r="AN979" s="814" t="str">
        <f t="shared" ca="1" si="815"/>
        <v>-</v>
      </c>
      <c r="AO979" s="815">
        <v>1</v>
      </c>
      <c r="AP979" s="816" t="str">
        <f t="shared" ca="1" si="816"/>
        <v>-</v>
      </c>
      <c r="AQ979" s="817"/>
      <c r="AR979" s="794" t="str">
        <f t="shared" si="817"/>
        <v>-</v>
      </c>
      <c r="AS979" s="818"/>
      <c r="AT979" s="794" t="str">
        <f t="shared" si="818"/>
        <v>-</v>
      </c>
      <c r="AU979" s="819"/>
      <c r="AV979" s="820"/>
      <c r="AW979" s="821"/>
      <c r="AX979" s="821"/>
      <c r="AY979" s="969" t="str">
        <f t="shared" si="819"/>
        <v>-</v>
      </c>
      <c r="AZ979" s="966" t="str">
        <f t="shared" si="820"/>
        <v>-</v>
      </c>
      <c r="BA979" s="971" t="str">
        <f t="shared" si="821"/>
        <v>-</v>
      </c>
      <c r="BB979" s="975"/>
      <c r="BC979" s="821"/>
      <c r="BD979" s="821"/>
      <c r="BE979" s="963" t="str">
        <f t="shared" si="822"/>
        <v>-</v>
      </c>
      <c r="BF979" s="984"/>
      <c r="BG979" s="988"/>
      <c r="BH979" s="982"/>
      <c r="BI979" s="991"/>
      <c r="BJ979" s="991"/>
      <c r="BK979" s="993" t="str">
        <f t="shared" si="823"/>
        <v>-</v>
      </c>
      <c r="BL979" s="820">
        <v>42977</v>
      </c>
      <c r="BM979" s="821">
        <v>5</v>
      </c>
      <c r="BN979" s="822">
        <f t="shared" ca="1" si="824"/>
        <v>157</v>
      </c>
      <c r="BO979" s="823">
        <f t="shared" si="825"/>
        <v>8</v>
      </c>
      <c r="BP979" s="824"/>
      <c r="BQ979" s="821"/>
      <c r="BR979" s="822" t="str">
        <f t="shared" si="826"/>
        <v>-</v>
      </c>
      <c r="BS979" s="823" t="str">
        <f t="shared" si="827"/>
        <v>-</v>
      </c>
      <c r="BT979" s="825" t="str">
        <f t="shared" ca="1" si="828"/>
        <v>-</v>
      </c>
      <c r="BU979" s="826"/>
      <c r="BV979" s="827"/>
      <c r="BW979" s="828" t="str">
        <f t="shared" si="829"/>
        <v>Ж-Е НЕ ВАКЦ.</v>
      </c>
      <c r="BX979" s="829" t="str">
        <f t="shared" si="830"/>
        <v>-</v>
      </c>
      <c r="BY979" s="830" t="str">
        <f t="shared" ca="1" si="831"/>
        <v>-</v>
      </c>
      <c r="BZ979" s="831">
        <v>42888</v>
      </c>
      <c r="CA979" s="832">
        <v>5</v>
      </c>
      <c r="CB979" s="833">
        <f t="shared" ca="1" si="832"/>
        <v>246</v>
      </c>
      <c r="CC979" s="834" t="str">
        <f t="shared" ca="1" si="833"/>
        <v>-</v>
      </c>
      <c r="CD979" s="835">
        <f t="shared" si="834"/>
        <v>42909</v>
      </c>
      <c r="CE979" s="831">
        <v>42909</v>
      </c>
      <c r="CF979" s="832">
        <v>5</v>
      </c>
      <c r="CG979" s="833">
        <f t="shared" ca="1" si="835"/>
        <v>225</v>
      </c>
      <c r="CH979" s="836">
        <f t="shared" si="836"/>
        <v>0</v>
      </c>
      <c r="CI979" s="837" t="str">
        <f t="shared" si="837"/>
        <v>УСПЕШНО</v>
      </c>
      <c r="CJ979" s="838" t="str">
        <f t="shared" ca="1" si="838"/>
        <v>-</v>
      </c>
      <c r="CK979" s="831"/>
      <c r="CL979" s="832"/>
      <c r="CM979" s="833" t="str">
        <f t="shared" si="839"/>
        <v>-</v>
      </c>
      <c r="CN979" s="834" t="str">
        <f t="shared" si="840"/>
        <v>-</v>
      </c>
      <c r="CO979" s="830" t="str">
        <f t="shared" ca="1" si="841"/>
        <v>-</v>
      </c>
      <c r="CP979" s="839"/>
      <c r="CQ979" s="832"/>
      <c r="CR979" s="833" t="str">
        <f t="shared" si="842"/>
        <v>-</v>
      </c>
      <c r="CS979" s="833" t="str">
        <f t="shared" si="843"/>
        <v>-</v>
      </c>
      <c r="CT979" s="834" t="str">
        <f t="shared" si="844"/>
        <v>-</v>
      </c>
      <c r="CU979" s="835" t="str">
        <f t="shared" si="845"/>
        <v>-</v>
      </c>
      <c r="CV979" s="839"/>
      <c r="CW979" s="832"/>
      <c r="CX979" s="833" t="str">
        <f t="shared" si="846"/>
        <v>-</v>
      </c>
      <c r="CY979" s="840" t="str">
        <f t="shared" si="847"/>
        <v>-</v>
      </c>
      <c r="CZ979" s="833" t="str">
        <f t="shared" si="848"/>
        <v>-</v>
      </c>
      <c r="DA979" s="838" t="str">
        <f t="shared" ca="1" si="849"/>
        <v>-</v>
      </c>
      <c r="DB979" s="841"/>
      <c r="DC979" s="832"/>
    </row>
    <row r="980" spans="1:107" x14ac:dyDescent="0.25">
      <c r="A980" s="790">
        <v>984</v>
      </c>
      <c r="B980" s="791">
        <f t="shared" ca="1" si="798"/>
        <v>43134</v>
      </c>
      <c r="C980" s="792" t="s">
        <v>2583</v>
      </c>
      <c r="D980" s="793" t="s">
        <v>2582</v>
      </c>
      <c r="E980" s="794" t="s">
        <v>1563</v>
      </c>
      <c r="F980" s="795" t="s">
        <v>2308</v>
      </c>
      <c r="G980" s="845"/>
      <c r="H980" s="797" t="s">
        <v>603</v>
      </c>
      <c r="I980" s="798">
        <v>42739</v>
      </c>
      <c r="J980" s="799">
        <f t="shared" ca="1" si="799"/>
        <v>1.0821917808219179</v>
      </c>
      <c r="K980" s="799">
        <f t="shared" ca="1" si="800"/>
        <v>13.166666666666666</v>
      </c>
      <c r="L980" s="800">
        <f t="shared" ca="1" si="801"/>
        <v>395</v>
      </c>
      <c r="M980" s="801"/>
      <c r="N980" s="802"/>
      <c r="O980" s="803" t="str">
        <f t="shared" ca="1" si="802"/>
        <v>-</v>
      </c>
      <c r="P980" s="804"/>
      <c r="Q980" s="805"/>
      <c r="R980" s="806"/>
      <c r="S980" s="807"/>
      <c r="T980" s="798"/>
      <c r="U980" s="798" t="str">
        <f t="shared" si="803"/>
        <v>-</v>
      </c>
      <c r="V980" s="804" t="str">
        <f t="shared" ca="1" si="804"/>
        <v>-</v>
      </c>
      <c r="W980" s="808">
        <v>0</v>
      </c>
      <c r="X980" s="794" t="str">
        <f t="shared" si="797"/>
        <v>-</v>
      </c>
      <c r="Y980" s="794">
        <v>0</v>
      </c>
      <c r="Z980" s="809" t="str">
        <f t="shared" ca="1" si="805"/>
        <v>-----</v>
      </c>
      <c r="AA980" s="810">
        <f t="shared" ca="1" si="806"/>
        <v>43134</v>
      </c>
      <c r="AB980" s="804"/>
      <c r="AC980" s="811" t="str">
        <f t="shared" ca="1" si="807"/>
        <v>-----</v>
      </c>
      <c r="AD980" s="798"/>
      <c r="AE980" s="794" t="str">
        <f t="shared" ca="1" si="808"/>
        <v>-</v>
      </c>
      <c r="AF980" s="798" t="str">
        <f t="shared" si="809"/>
        <v>-</v>
      </c>
      <c r="AG980" s="812" t="str">
        <f t="shared" si="810"/>
        <v>---------</v>
      </c>
      <c r="AH980" s="807"/>
      <c r="AI980" s="807" t="str">
        <f t="shared" si="811"/>
        <v>-</v>
      </c>
      <c r="AJ980" s="807" t="str">
        <f t="shared" si="812"/>
        <v>-</v>
      </c>
      <c r="AK980" s="813"/>
      <c r="AL980" s="807" t="str">
        <f t="shared" si="813"/>
        <v>-</v>
      </c>
      <c r="AM980" s="807" t="str">
        <f t="shared" si="814"/>
        <v>-</v>
      </c>
      <c r="AN980" s="814" t="str">
        <f t="shared" ca="1" si="815"/>
        <v>-</v>
      </c>
      <c r="AO980" s="815">
        <v>1</v>
      </c>
      <c r="AP980" s="816" t="str">
        <f t="shared" ca="1" si="816"/>
        <v>-</v>
      </c>
      <c r="AQ980" s="817"/>
      <c r="AR980" s="794" t="str">
        <f t="shared" si="817"/>
        <v>-</v>
      </c>
      <c r="AS980" s="818"/>
      <c r="AT980" s="794" t="str">
        <f t="shared" si="818"/>
        <v>-</v>
      </c>
      <c r="AU980" s="819"/>
      <c r="AV980" s="820"/>
      <c r="AW980" s="821"/>
      <c r="AX980" s="821"/>
      <c r="AY980" s="969" t="str">
        <f t="shared" si="819"/>
        <v>-</v>
      </c>
      <c r="AZ980" s="966" t="str">
        <f t="shared" si="820"/>
        <v>-</v>
      </c>
      <c r="BA980" s="971" t="str">
        <f t="shared" si="821"/>
        <v>-</v>
      </c>
      <c r="BB980" s="975"/>
      <c r="BC980" s="821"/>
      <c r="BD980" s="821"/>
      <c r="BE980" s="963" t="str">
        <f t="shared" si="822"/>
        <v>-</v>
      </c>
      <c r="BF980" s="984"/>
      <c r="BG980" s="988"/>
      <c r="BH980" s="982"/>
      <c r="BI980" s="991"/>
      <c r="BJ980" s="991"/>
      <c r="BK980" s="993" t="str">
        <f t="shared" si="823"/>
        <v>-</v>
      </c>
      <c r="BL980" s="820">
        <v>42977</v>
      </c>
      <c r="BM980" s="821">
        <v>5</v>
      </c>
      <c r="BN980" s="822">
        <f t="shared" ca="1" si="824"/>
        <v>157</v>
      </c>
      <c r="BO980" s="823">
        <f t="shared" si="825"/>
        <v>7.9333333333333336</v>
      </c>
      <c r="BP980" s="824"/>
      <c r="BQ980" s="821"/>
      <c r="BR980" s="822" t="str">
        <f t="shared" si="826"/>
        <v>-</v>
      </c>
      <c r="BS980" s="823" t="str">
        <f t="shared" si="827"/>
        <v>-</v>
      </c>
      <c r="BT980" s="825" t="str">
        <f t="shared" ca="1" si="828"/>
        <v>-</v>
      </c>
      <c r="BU980" s="826"/>
      <c r="BV980" s="827"/>
      <c r="BW980" s="828" t="str">
        <f t="shared" si="829"/>
        <v>Ж-Е НЕ ВАКЦ.</v>
      </c>
      <c r="BX980" s="829" t="str">
        <f t="shared" si="830"/>
        <v>-</v>
      </c>
      <c r="BY980" s="830" t="str">
        <f t="shared" ca="1" si="831"/>
        <v>-</v>
      </c>
      <c r="BZ980" s="831">
        <v>42888</v>
      </c>
      <c r="CA980" s="832">
        <v>5</v>
      </c>
      <c r="CB980" s="833">
        <f t="shared" ca="1" si="832"/>
        <v>246</v>
      </c>
      <c r="CC980" s="834" t="str">
        <f t="shared" ca="1" si="833"/>
        <v>-</v>
      </c>
      <c r="CD980" s="835">
        <f t="shared" si="834"/>
        <v>42909</v>
      </c>
      <c r="CE980" s="831">
        <v>42909</v>
      </c>
      <c r="CF980" s="832">
        <v>5</v>
      </c>
      <c r="CG980" s="833">
        <f t="shared" ca="1" si="835"/>
        <v>225</v>
      </c>
      <c r="CH980" s="836">
        <f t="shared" si="836"/>
        <v>0</v>
      </c>
      <c r="CI980" s="837" t="str">
        <f t="shared" si="837"/>
        <v>УСПЕШНО</v>
      </c>
      <c r="CJ980" s="838" t="str">
        <f t="shared" ca="1" si="838"/>
        <v>-</v>
      </c>
      <c r="CK980" s="831"/>
      <c r="CL980" s="832"/>
      <c r="CM980" s="833" t="str">
        <f t="shared" si="839"/>
        <v>-</v>
      </c>
      <c r="CN980" s="834" t="str">
        <f t="shared" si="840"/>
        <v>-</v>
      </c>
      <c r="CO980" s="830" t="str">
        <f t="shared" ca="1" si="841"/>
        <v>-</v>
      </c>
      <c r="CP980" s="839"/>
      <c r="CQ980" s="832"/>
      <c r="CR980" s="833" t="str">
        <f t="shared" si="842"/>
        <v>-</v>
      </c>
      <c r="CS980" s="833" t="str">
        <f t="shared" si="843"/>
        <v>-</v>
      </c>
      <c r="CT980" s="834" t="str">
        <f t="shared" si="844"/>
        <v>-</v>
      </c>
      <c r="CU980" s="835" t="str">
        <f t="shared" si="845"/>
        <v>-</v>
      </c>
      <c r="CV980" s="839"/>
      <c r="CW980" s="832"/>
      <c r="CX980" s="833" t="str">
        <f t="shared" si="846"/>
        <v>-</v>
      </c>
      <c r="CY980" s="840" t="str">
        <f t="shared" si="847"/>
        <v>-</v>
      </c>
      <c r="CZ980" s="833" t="str">
        <f t="shared" si="848"/>
        <v>-</v>
      </c>
      <c r="DA980" s="838" t="str">
        <f t="shared" ca="1" si="849"/>
        <v>-</v>
      </c>
      <c r="DB980" s="841"/>
      <c r="DC980" s="832"/>
    </row>
    <row r="981" spans="1:107" x14ac:dyDescent="0.25">
      <c r="A981" s="790">
        <v>985</v>
      </c>
      <c r="B981" s="791">
        <f t="shared" ca="1" si="798"/>
        <v>43134</v>
      </c>
      <c r="C981" s="792" t="s">
        <v>2583</v>
      </c>
      <c r="D981" s="793" t="s">
        <v>2582</v>
      </c>
      <c r="E981" s="794" t="s">
        <v>1563</v>
      </c>
      <c r="F981" s="795" t="s">
        <v>2310</v>
      </c>
      <c r="G981" s="845"/>
      <c r="H981" s="797" t="s">
        <v>603</v>
      </c>
      <c r="I981" s="798">
        <v>42740</v>
      </c>
      <c r="J981" s="799">
        <f t="shared" ca="1" si="799"/>
        <v>1.0794520547945206</v>
      </c>
      <c r="K981" s="799">
        <f t="shared" ca="1" si="800"/>
        <v>13.133333333333333</v>
      </c>
      <c r="L981" s="800">
        <f t="shared" ca="1" si="801"/>
        <v>394</v>
      </c>
      <c r="M981" s="801"/>
      <c r="N981" s="802"/>
      <c r="O981" s="803" t="str">
        <f t="shared" ca="1" si="802"/>
        <v>-</v>
      </c>
      <c r="P981" s="804"/>
      <c r="Q981" s="805"/>
      <c r="R981" s="806"/>
      <c r="S981" s="807"/>
      <c r="T981" s="798"/>
      <c r="U981" s="798" t="str">
        <f t="shared" si="803"/>
        <v>-</v>
      </c>
      <c r="V981" s="804" t="str">
        <f t="shared" ca="1" si="804"/>
        <v>-</v>
      </c>
      <c r="W981" s="808">
        <v>0</v>
      </c>
      <c r="X981" s="794" t="str">
        <f t="shared" si="797"/>
        <v>-</v>
      </c>
      <c r="Y981" s="794">
        <v>0</v>
      </c>
      <c r="Z981" s="809" t="str">
        <f t="shared" ca="1" si="805"/>
        <v>-----</v>
      </c>
      <c r="AA981" s="810">
        <f t="shared" ca="1" si="806"/>
        <v>43134</v>
      </c>
      <c r="AB981" s="804"/>
      <c r="AC981" s="811" t="str">
        <f t="shared" ca="1" si="807"/>
        <v>-----</v>
      </c>
      <c r="AD981" s="798"/>
      <c r="AE981" s="794" t="str">
        <f t="shared" ca="1" si="808"/>
        <v>-</v>
      </c>
      <c r="AF981" s="798" t="str">
        <f t="shared" si="809"/>
        <v>-</v>
      </c>
      <c r="AG981" s="812" t="str">
        <f t="shared" si="810"/>
        <v>---------</v>
      </c>
      <c r="AH981" s="807"/>
      <c r="AI981" s="807" t="str">
        <f t="shared" si="811"/>
        <v>-</v>
      </c>
      <c r="AJ981" s="807" t="str">
        <f t="shared" si="812"/>
        <v>-</v>
      </c>
      <c r="AK981" s="813"/>
      <c r="AL981" s="807" t="str">
        <f t="shared" si="813"/>
        <v>-</v>
      </c>
      <c r="AM981" s="807" t="str">
        <f t="shared" si="814"/>
        <v>-</v>
      </c>
      <c r="AN981" s="814" t="str">
        <f t="shared" ca="1" si="815"/>
        <v>-</v>
      </c>
      <c r="AO981" s="815">
        <v>1</v>
      </c>
      <c r="AP981" s="816" t="str">
        <f t="shared" ca="1" si="816"/>
        <v>-</v>
      </c>
      <c r="AQ981" s="817"/>
      <c r="AR981" s="794" t="str">
        <f t="shared" si="817"/>
        <v>-</v>
      </c>
      <c r="AS981" s="818"/>
      <c r="AT981" s="794" t="str">
        <f t="shared" si="818"/>
        <v>-</v>
      </c>
      <c r="AU981" s="819"/>
      <c r="AV981" s="820"/>
      <c r="AW981" s="821"/>
      <c r="AX981" s="821"/>
      <c r="AY981" s="969" t="str">
        <f t="shared" si="819"/>
        <v>-</v>
      </c>
      <c r="AZ981" s="966" t="str">
        <f t="shared" si="820"/>
        <v>-</v>
      </c>
      <c r="BA981" s="971" t="str">
        <f t="shared" si="821"/>
        <v>-</v>
      </c>
      <c r="BB981" s="975"/>
      <c r="BC981" s="821"/>
      <c r="BD981" s="821"/>
      <c r="BE981" s="963" t="str">
        <f t="shared" si="822"/>
        <v>-</v>
      </c>
      <c r="BF981" s="984"/>
      <c r="BG981" s="988"/>
      <c r="BH981" s="982"/>
      <c r="BI981" s="991"/>
      <c r="BJ981" s="991"/>
      <c r="BK981" s="993" t="str">
        <f t="shared" si="823"/>
        <v>-</v>
      </c>
      <c r="BL981" s="820">
        <v>42977</v>
      </c>
      <c r="BM981" s="821">
        <v>5</v>
      </c>
      <c r="BN981" s="822">
        <f t="shared" ca="1" si="824"/>
        <v>157</v>
      </c>
      <c r="BO981" s="823">
        <f t="shared" si="825"/>
        <v>7.9</v>
      </c>
      <c r="BP981" s="824"/>
      <c r="BQ981" s="821"/>
      <c r="BR981" s="822" t="str">
        <f t="shared" si="826"/>
        <v>-</v>
      </c>
      <c r="BS981" s="823" t="str">
        <f t="shared" si="827"/>
        <v>-</v>
      </c>
      <c r="BT981" s="825" t="str">
        <f t="shared" ca="1" si="828"/>
        <v>-</v>
      </c>
      <c r="BU981" s="826"/>
      <c r="BV981" s="827"/>
      <c r="BW981" s="828" t="str">
        <f t="shared" si="829"/>
        <v>Ж-Е НЕ ВАКЦ.</v>
      </c>
      <c r="BX981" s="829" t="str">
        <f t="shared" si="830"/>
        <v>-</v>
      </c>
      <c r="BY981" s="830" t="str">
        <f t="shared" ca="1" si="831"/>
        <v>-</v>
      </c>
      <c r="BZ981" s="831">
        <v>42888</v>
      </c>
      <c r="CA981" s="832">
        <v>5</v>
      </c>
      <c r="CB981" s="833">
        <f t="shared" ca="1" si="832"/>
        <v>246</v>
      </c>
      <c r="CC981" s="834" t="str">
        <f t="shared" ca="1" si="833"/>
        <v>-</v>
      </c>
      <c r="CD981" s="835">
        <f t="shared" si="834"/>
        <v>42909</v>
      </c>
      <c r="CE981" s="831">
        <v>42909</v>
      </c>
      <c r="CF981" s="832">
        <v>5</v>
      </c>
      <c r="CG981" s="833">
        <f t="shared" ca="1" si="835"/>
        <v>225</v>
      </c>
      <c r="CH981" s="836">
        <f t="shared" si="836"/>
        <v>0</v>
      </c>
      <c r="CI981" s="837" t="str">
        <f t="shared" si="837"/>
        <v>УСПЕШНО</v>
      </c>
      <c r="CJ981" s="838" t="str">
        <f t="shared" ca="1" si="838"/>
        <v>-</v>
      </c>
      <c r="CK981" s="831"/>
      <c r="CL981" s="832"/>
      <c r="CM981" s="833" t="str">
        <f t="shared" si="839"/>
        <v>-</v>
      </c>
      <c r="CN981" s="834" t="str">
        <f t="shared" si="840"/>
        <v>-</v>
      </c>
      <c r="CO981" s="830" t="str">
        <f t="shared" ca="1" si="841"/>
        <v>-</v>
      </c>
      <c r="CP981" s="839"/>
      <c r="CQ981" s="832"/>
      <c r="CR981" s="833" t="str">
        <f t="shared" si="842"/>
        <v>-</v>
      </c>
      <c r="CS981" s="833" t="str">
        <f t="shared" si="843"/>
        <v>-</v>
      </c>
      <c r="CT981" s="834" t="str">
        <f t="shared" si="844"/>
        <v>-</v>
      </c>
      <c r="CU981" s="835" t="str">
        <f t="shared" si="845"/>
        <v>-</v>
      </c>
      <c r="CV981" s="839"/>
      <c r="CW981" s="832"/>
      <c r="CX981" s="833" t="str">
        <f t="shared" si="846"/>
        <v>-</v>
      </c>
      <c r="CY981" s="840" t="str">
        <f t="shared" si="847"/>
        <v>-</v>
      </c>
      <c r="CZ981" s="833" t="str">
        <f t="shared" si="848"/>
        <v>-</v>
      </c>
      <c r="DA981" s="838" t="str">
        <f t="shared" ca="1" si="849"/>
        <v>-</v>
      </c>
      <c r="DB981" s="841"/>
      <c r="DC981" s="832"/>
    </row>
    <row r="982" spans="1:107" x14ac:dyDescent="0.25">
      <c r="A982" s="790">
        <v>986</v>
      </c>
      <c r="B982" s="791">
        <f t="shared" ca="1" si="798"/>
        <v>43134</v>
      </c>
      <c r="C982" s="792" t="s">
        <v>2583</v>
      </c>
      <c r="D982" s="793" t="s">
        <v>2582</v>
      </c>
      <c r="E982" s="794" t="s">
        <v>1563</v>
      </c>
      <c r="F982" s="795" t="s">
        <v>2311</v>
      </c>
      <c r="G982" s="845"/>
      <c r="H982" s="797" t="s">
        <v>603</v>
      </c>
      <c r="I982" s="798">
        <v>42741</v>
      </c>
      <c r="J982" s="799">
        <f t="shared" ca="1" si="799"/>
        <v>1.0767123287671232</v>
      </c>
      <c r="K982" s="799">
        <f t="shared" ca="1" si="800"/>
        <v>13.1</v>
      </c>
      <c r="L982" s="800">
        <f t="shared" ca="1" si="801"/>
        <v>393</v>
      </c>
      <c r="M982" s="801"/>
      <c r="N982" s="802"/>
      <c r="O982" s="803" t="str">
        <f t="shared" ca="1" si="802"/>
        <v>-</v>
      </c>
      <c r="P982" s="804"/>
      <c r="Q982" s="805"/>
      <c r="R982" s="806"/>
      <c r="S982" s="807"/>
      <c r="T982" s="798"/>
      <c r="U982" s="798" t="str">
        <f t="shared" si="803"/>
        <v>-</v>
      </c>
      <c r="V982" s="804" t="str">
        <f t="shared" ca="1" si="804"/>
        <v>-</v>
      </c>
      <c r="W982" s="808">
        <v>0</v>
      </c>
      <c r="X982" s="794" t="str">
        <f t="shared" si="797"/>
        <v>-</v>
      </c>
      <c r="Y982" s="794">
        <v>0</v>
      </c>
      <c r="Z982" s="809" t="str">
        <f t="shared" ca="1" si="805"/>
        <v>-----</v>
      </c>
      <c r="AA982" s="810">
        <f t="shared" ca="1" si="806"/>
        <v>43134</v>
      </c>
      <c r="AB982" s="804"/>
      <c r="AC982" s="811" t="str">
        <f t="shared" ca="1" si="807"/>
        <v>-----</v>
      </c>
      <c r="AD982" s="798"/>
      <c r="AE982" s="794" t="str">
        <f t="shared" ca="1" si="808"/>
        <v>-</v>
      </c>
      <c r="AF982" s="798" t="str">
        <f t="shared" si="809"/>
        <v>-</v>
      </c>
      <c r="AG982" s="812" t="str">
        <f t="shared" si="810"/>
        <v>---------</v>
      </c>
      <c r="AH982" s="807"/>
      <c r="AI982" s="807" t="str">
        <f t="shared" si="811"/>
        <v>-</v>
      </c>
      <c r="AJ982" s="807" t="str">
        <f t="shared" si="812"/>
        <v>-</v>
      </c>
      <c r="AK982" s="813"/>
      <c r="AL982" s="807" t="str">
        <f t="shared" si="813"/>
        <v>-</v>
      </c>
      <c r="AM982" s="807" t="str">
        <f t="shared" si="814"/>
        <v>-</v>
      </c>
      <c r="AN982" s="814" t="str">
        <f t="shared" ca="1" si="815"/>
        <v>-</v>
      </c>
      <c r="AO982" s="815">
        <v>1</v>
      </c>
      <c r="AP982" s="816" t="str">
        <f t="shared" ca="1" si="816"/>
        <v>-</v>
      </c>
      <c r="AQ982" s="817"/>
      <c r="AR982" s="794" t="str">
        <f t="shared" si="817"/>
        <v>-</v>
      </c>
      <c r="AS982" s="818"/>
      <c r="AT982" s="794" t="str">
        <f t="shared" si="818"/>
        <v>-</v>
      </c>
      <c r="AU982" s="819"/>
      <c r="AV982" s="820"/>
      <c r="AW982" s="821"/>
      <c r="AX982" s="821"/>
      <c r="AY982" s="969" t="str">
        <f t="shared" si="819"/>
        <v>-</v>
      </c>
      <c r="AZ982" s="966" t="str">
        <f t="shared" si="820"/>
        <v>-</v>
      </c>
      <c r="BA982" s="971" t="str">
        <f t="shared" si="821"/>
        <v>-</v>
      </c>
      <c r="BB982" s="975"/>
      <c r="BC982" s="821"/>
      <c r="BD982" s="821"/>
      <c r="BE982" s="963" t="str">
        <f t="shared" si="822"/>
        <v>-</v>
      </c>
      <c r="BF982" s="984"/>
      <c r="BG982" s="988"/>
      <c r="BH982" s="982"/>
      <c r="BI982" s="991"/>
      <c r="BJ982" s="991"/>
      <c r="BK982" s="993" t="str">
        <f t="shared" si="823"/>
        <v>-</v>
      </c>
      <c r="BL982" s="820">
        <v>42977</v>
      </c>
      <c r="BM982" s="821">
        <v>5</v>
      </c>
      <c r="BN982" s="822">
        <f t="shared" ca="1" si="824"/>
        <v>157</v>
      </c>
      <c r="BO982" s="823">
        <f t="shared" si="825"/>
        <v>7.8666666666666663</v>
      </c>
      <c r="BP982" s="824"/>
      <c r="BQ982" s="821"/>
      <c r="BR982" s="822" t="str">
        <f t="shared" si="826"/>
        <v>-</v>
      </c>
      <c r="BS982" s="823" t="str">
        <f t="shared" si="827"/>
        <v>-</v>
      </c>
      <c r="BT982" s="825" t="str">
        <f t="shared" ca="1" si="828"/>
        <v>-</v>
      </c>
      <c r="BU982" s="826"/>
      <c r="BV982" s="827"/>
      <c r="BW982" s="828" t="str">
        <f t="shared" si="829"/>
        <v>Ж-Е НЕ ВАКЦ.</v>
      </c>
      <c r="BX982" s="829" t="str">
        <f t="shared" si="830"/>
        <v>-</v>
      </c>
      <c r="BY982" s="830" t="str">
        <f t="shared" ca="1" si="831"/>
        <v>-</v>
      </c>
      <c r="BZ982" s="831">
        <v>42888</v>
      </c>
      <c r="CA982" s="832">
        <v>5</v>
      </c>
      <c r="CB982" s="833">
        <f t="shared" ca="1" si="832"/>
        <v>246</v>
      </c>
      <c r="CC982" s="834" t="str">
        <f t="shared" ca="1" si="833"/>
        <v>-</v>
      </c>
      <c r="CD982" s="835">
        <f t="shared" si="834"/>
        <v>42909</v>
      </c>
      <c r="CE982" s="831">
        <v>42909</v>
      </c>
      <c r="CF982" s="832">
        <v>5</v>
      </c>
      <c r="CG982" s="833">
        <f t="shared" ca="1" si="835"/>
        <v>225</v>
      </c>
      <c r="CH982" s="836">
        <f t="shared" si="836"/>
        <v>0</v>
      </c>
      <c r="CI982" s="837" t="str">
        <f t="shared" si="837"/>
        <v>УСПЕШНО</v>
      </c>
      <c r="CJ982" s="838" t="str">
        <f t="shared" ca="1" si="838"/>
        <v>-</v>
      </c>
      <c r="CK982" s="831"/>
      <c r="CL982" s="832"/>
      <c r="CM982" s="833" t="str">
        <f t="shared" si="839"/>
        <v>-</v>
      </c>
      <c r="CN982" s="834" t="str">
        <f t="shared" si="840"/>
        <v>-</v>
      </c>
      <c r="CO982" s="830" t="str">
        <f t="shared" ca="1" si="841"/>
        <v>-</v>
      </c>
      <c r="CP982" s="839"/>
      <c r="CQ982" s="832"/>
      <c r="CR982" s="833" t="str">
        <f t="shared" si="842"/>
        <v>-</v>
      </c>
      <c r="CS982" s="833" t="str">
        <f t="shared" si="843"/>
        <v>-</v>
      </c>
      <c r="CT982" s="834" t="str">
        <f t="shared" si="844"/>
        <v>-</v>
      </c>
      <c r="CU982" s="835" t="str">
        <f t="shared" si="845"/>
        <v>-</v>
      </c>
      <c r="CV982" s="839"/>
      <c r="CW982" s="832"/>
      <c r="CX982" s="833" t="str">
        <f t="shared" si="846"/>
        <v>-</v>
      </c>
      <c r="CY982" s="840" t="str">
        <f t="shared" si="847"/>
        <v>-</v>
      </c>
      <c r="CZ982" s="833" t="str">
        <f t="shared" si="848"/>
        <v>-</v>
      </c>
      <c r="DA982" s="838" t="str">
        <f t="shared" ca="1" si="849"/>
        <v>-</v>
      </c>
      <c r="DB982" s="841"/>
      <c r="DC982" s="832"/>
    </row>
    <row r="983" spans="1:107" x14ac:dyDescent="0.25">
      <c r="A983" s="790">
        <v>987</v>
      </c>
      <c r="B983" s="791">
        <f t="shared" ca="1" si="798"/>
        <v>43134</v>
      </c>
      <c r="C983" s="792" t="s">
        <v>2583</v>
      </c>
      <c r="D983" s="793" t="s">
        <v>2582</v>
      </c>
      <c r="E983" s="794" t="s">
        <v>1563</v>
      </c>
      <c r="F983" s="795" t="s">
        <v>2312</v>
      </c>
      <c r="G983" s="845"/>
      <c r="H983" s="797" t="s">
        <v>603</v>
      </c>
      <c r="I983" s="798">
        <v>42741</v>
      </c>
      <c r="J983" s="799">
        <f t="shared" ca="1" si="799"/>
        <v>1.0767123287671232</v>
      </c>
      <c r="K983" s="799">
        <f t="shared" ca="1" si="800"/>
        <v>13.1</v>
      </c>
      <c r="L983" s="800">
        <f t="shared" ca="1" si="801"/>
        <v>393</v>
      </c>
      <c r="M983" s="801"/>
      <c r="N983" s="802"/>
      <c r="O983" s="803" t="str">
        <f t="shared" ca="1" si="802"/>
        <v>-</v>
      </c>
      <c r="P983" s="804"/>
      <c r="Q983" s="805"/>
      <c r="R983" s="806"/>
      <c r="S983" s="807"/>
      <c r="T983" s="798"/>
      <c r="U983" s="798" t="str">
        <f t="shared" si="803"/>
        <v>-</v>
      </c>
      <c r="V983" s="804" t="str">
        <f t="shared" ca="1" si="804"/>
        <v>-</v>
      </c>
      <c r="W983" s="808">
        <v>0</v>
      </c>
      <c r="X983" s="794" t="str">
        <f t="shared" si="797"/>
        <v>-</v>
      </c>
      <c r="Y983" s="794">
        <v>0</v>
      </c>
      <c r="Z983" s="809" t="str">
        <f t="shared" ca="1" si="805"/>
        <v>-----</v>
      </c>
      <c r="AA983" s="810">
        <f t="shared" ca="1" si="806"/>
        <v>43134</v>
      </c>
      <c r="AB983" s="804"/>
      <c r="AC983" s="811" t="str">
        <f t="shared" ca="1" si="807"/>
        <v>-----</v>
      </c>
      <c r="AD983" s="798"/>
      <c r="AE983" s="794" t="str">
        <f t="shared" ca="1" si="808"/>
        <v>-</v>
      </c>
      <c r="AF983" s="798" t="str">
        <f t="shared" si="809"/>
        <v>-</v>
      </c>
      <c r="AG983" s="812" t="str">
        <f t="shared" si="810"/>
        <v>---------</v>
      </c>
      <c r="AH983" s="807"/>
      <c r="AI983" s="807" t="str">
        <f t="shared" si="811"/>
        <v>-</v>
      </c>
      <c r="AJ983" s="807" t="str">
        <f t="shared" si="812"/>
        <v>-</v>
      </c>
      <c r="AK983" s="813"/>
      <c r="AL983" s="807" t="str">
        <f t="shared" si="813"/>
        <v>-</v>
      </c>
      <c r="AM983" s="807" t="str">
        <f t="shared" si="814"/>
        <v>-</v>
      </c>
      <c r="AN983" s="814" t="str">
        <f t="shared" ca="1" si="815"/>
        <v>-</v>
      </c>
      <c r="AO983" s="815">
        <v>1</v>
      </c>
      <c r="AP983" s="816" t="str">
        <f t="shared" ca="1" si="816"/>
        <v>-</v>
      </c>
      <c r="AQ983" s="817"/>
      <c r="AR983" s="794" t="str">
        <f t="shared" si="817"/>
        <v>-</v>
      </c>
      <c r="AS983" s="818"/>
      <c r="AT983" s="794" t="str">
        <f t="shared" si="818"/>
        <v>-</v>
      </c>
      <c r="AU983" s="819"/>
      <c r="AV983" s="820"/>
      <c r="AW983" s="821"/>
      <c r="AX983" s="821"/>
      <c r="AY983" s="969" t="str">
        <f t="shared" si="819"/>
        <v>-</v>
      </c>
      <c r="AZ983" s="966" t="str">
        <f t="shared" si="820"/>
        <v>-</v>
      </c>
      <c r="BA983" s="971" t="str">
        <f t="shared" si="821"/>
        <v>-</v>
      </c>
      <c r="BB983" s="975"/>
      <c r="BC983" s="821"/>
      <c r="BD983" s="821"/>
      <c r="BE983" s="963" t="str">
        <f t="shared" si="822"/>
        <v>-</v>
      </c>
      <c r="BF983" s="984"/>
      <c r="BG983" s="988"/>
      <c r="BH983" s="982"/>
      <c r="BI983" s="991"/>
      <c r="BJ983" s="991"/>
      <c r="BK983" s="993" t="str">
        <f t="shared" si="823"/>
        <v>-</v>
      </c>
      <c r="BL983" s="820">
        <v>42977</v>
      </c>
      <c r="BM983" s="821">
        <v>5</v>
      </c>
      <c r="BN983" s="822">
        <f t="shared" ca="1" si="824"/>
        <v>157</v>
      </c>
      <c r="BO983" s="823">
        <f t="shared" si="825"/>
        <v>7.8666666666666663</v>
      </c>
      <c r="BP983" s="824"/>
      <c r="BQ983" s="821"/>
      <c r="BR983" s="822" t="str">
        <f t="shared" si="826"/>
        <v>-</v>
      </c>
      <c r="BS983" s="823" t="str">
        <f t="shared" si="827"/>
        <v>-</v>
      </c>
      <c r="BT983" s="825" t="str">
        <f t="shared" ca="1" si="828"/>
        <v>-</v>
      </c>
      <c r="BU983" s="826"/>
      <c r="BV983" s="827"/>
      <c r="BW983" s="828" t="str">
        <f t="shared" si="829"/>
        <v>Ж-Е НЕ ВАКЦ.</v>
      </c>
      <c r="BX983" s="829" t="str">
        <f t="shared" si="830"/>
        <v>-</v>
      </c>
      <c r="BY983" s="830" t="str">
        <f t="shared" ca="1" si="831"/>
        <v>-</v>
      </c>
      <c r="BZ983" s="831">
        <v>42888</v>
      </c>
      <c r="CA983" s="832">
        <v>5</v>
      </c>
      <c r="CB983" s="833">
        <f t="shared" ca="1" si="832"/>
        <v>246</v>
      </c>
      <c r="CC983" s="834" t="str">
        <f t="shared" ca="1" si="833"/>
        <v>-</v>
      </c>
      <c r="CD983" s="835">
        <f t="shared" si="834"/>
        <v>42909</v>
      </c>
      <c r="CE983" s="831">
        <v>42909</v>
      </c>
      <c r="CF983" s="832">
        <v>5</v>
      </c>
      <c r="CG983" s="833">
        <f t="shared" ca="1" si="835"/>
        <v>225</v>
      </c>
      <c r="CH983" s="836">
        <f t="shared" si="836"/>
        <v>0</v>
      </c>
      <c r="CI983" s="837" t="str">
        <f t="shared" si="837"/>
        <v>УСПЕШНО</v>
      </c>
      <c r="CJ983" s="838" t="str">
        <f t="shared" ca="1" si="838"/>
        <v>-</v>
      </c>
      <c r="CK983" s="831"/>
      <c r="CL983" s="832"/>
      <c r="CM983" s="833" t="str">
        <f t="shared" si="839"/>
        <v>-</v>
      </c>
      <c r="CN983" s="834" t="str">
        <f t="shared" si="840"/>
        <v>-</v>
      </c>
      <c r="CO983" s="830" t="str">
        <f t="shared" ca="1" si="841"/>
        <v>-</v>
      </c>
      <c r="CP983" s="839"/>
      <c r="CQ983" s="832"/>
      <c r="CR983" s="833" t="str">
        <f t="shared" si="842"/>
        <v>-</v>
      </c>
      <c r="CS983" s="833" t="str">
        <f t="shared" si="843"/>
        <v>-</v>
      </c>
      <c r="CT983" s="834" t="str">
        <f t="shared" si="844"/>
        <v>-</v>
      </c>
      <c r="CU983" s="835" t="str">
        <f t="shared" si="845"/>
        <v>-</v>
      </c>
      <c r="CV983" s="839"/>
      <c r="CW983" s="832"/>
      <c r="CX983" s="833" t="str">
        <f t="shared" si="846"/>
        <v>-</v>
      </c>
      <c r="CY983" s="840" t="str">
        <f t="shared" si="847"/>
        <v>-</v>
      </c>
      <c r="CZ983" s="833" t="str">
        <f t="shared" si="848"/>
        <v>-</v>
      </c>
      <c r="DA983" s="838" t="str">
        <f t="shared" ca="1" si="849"/>
        <v>-</v>
      </c>
      <c r="DB983" s="841"/>
      <c r="DC983" s="832"/>
    </row>
    <row r="984" spans="1:107" x14ac:dyDescent="0.25">
      <c r="A984" s="790">
        <v>988</v>
      </c>
      <c r="B984" s="791">
        <f t="shared" ca="1" si="798"/>
        <v>43134</v>
      </c>
      <c r="C984" s="792" t="s">
        <v>2583</v>
      </c>
      <c r="D984" s="793" t="s">
        <v>2582</v>
      </c>
      <c r="E984" s="794" t="s">
        <v>1563</v>
      </c>
      <c r="F984" s="795" t="s">
        <v>2313</v>
      </c>
      <c r="G984" s="845"/>
      <c r="H984" s="797" t="s">
        <v>603</v>
      </c>
      <c r="I984" s="798">
        <v>42741</v>
      </c>
      <c r="J984" s="799">
        <f t="shared" ca="1" si="799"/>
        <v>1.0767123287671232</v>
      </c>
      <c r="K984" s="799">
        <f t="shared" ca="1" si="800"/>
        <v>13.1</v>
      </c>
      <c r="L984" s="800">
        <f t="shared" ca="1" si="801"/>
        <v>393</v>
      </c>
      <c r="M984" s="801"/>
      <c r="N984" s="802"/>
      <c r="O984" s="803" t="str">
        <f t="shared" ca="1" si="802"/>
        <v>-</v>
      </c>
      <c r="P984" s="804"/>
      <c r="Q984" s="805"/>
      <c r="R984" s="806"/>
      <c r="S984" s="807"/>
      <c r="T984" s="798"/>
      <c r="U984" s="798" t="str">
        <f t="shared" si="803"/>
        <v>-</v>
      </c>
      <c r="V984" s="804" t="str">
        <f t="shared" ca="1" si="804"/>
        <v>-</v>
      </c>
      <c r="W984" s="808">
        <v>0</v>
      </c>
      <c r="X984" s="794" t="str">
        <f t="shared" si="797"/>
        <v>-</v>
      </c>
      <c r="Y984" s="794">
        <v>0</v>
      </c>
      <c r="Z984" s="809" t="str">
        <f t="shared" ca="1" si="805"/>
        <v>-----</v>
      </c>
      <c r="AA984" s="810">
        <f t="shared" ca="1" si="806"/>
        <v>43134</v>
      </c>
      <c r="AB984" s="804"/>
      <c r="AC984" s="811" t="str">
        <f t="shared" ca="1" si="807"/>
        <v>-----</v>
      </c>
      <c r="AD984" s="798"/>
      <c r="AE984" s="794" t="str">
        <f t="shared" ca="1" si="808"/>
        <v>-</v>
      </c>
      <c r="AF984" s="798" t="str">
        <f t="shared" si="809"/>
        <v>-</v>
      </c>
      <c r="AG984" s="812" t="str">
        <f t="shared" si="810"/>
        <v>---------</v>
      </c>
      <c r="AH984" s="807"/>
      <c r="AI984" s="807" t="str">
        <f t="shared" si="811"/>
        <v>-</v>
      </c>
      <c r="AJ984" s="807" t="str">
        <f t="shared" si="812"/>
        <v>-</v>
      </c>
      <c r="AK984" s="813"/>
      <c r="AL984" s="807" t="str">
        <f t="shared" si="813"/>
        <v>-</v>
      </c>
      <c r="AM984" s="807" t="str">
        <f t="shared" si="814"/>
        <v>-</v>
      </c>
      <c r="AN984" s="814" t="str">
        <f t="shared" ca="1" si="815"/>
        <v>-</v>
      </c>
      <c r="AO984" s="815">
        <v>1</v>
      </c>
      <c r="AP984" s="816" t="str">
        <f t="shared" ca="1" si="816"/>
        <v>-</v>
      </c>
      <c r="AQ984" s="817"/>
      <c r="AR984" s="794" t="str">
        <f t="shared" si="817"/>
        <v>-</v>
      </c>
      <c r="AS984" s="818"/>
      <c r="AT984" s="794" t="str">
        <f t="shared" si="818"/>
        <v>-</v>
      </c>
      <c r="AU984" s="819"/>
      <c r="AV984" s="820"/>
      <c r="AW984" s="821"/>
      <c r="AX984" s="821"/>
      <c r="AY984" s="969" t="str">
        <f t="shared" si="819"/>
        <v>-</v>
      </c>
      <c r="AZ984" s="966" t="str">
        <f t="shared" si="820"/>
        <v>-</v>
      </c>
      <c r="BA984" s="971" t="str">
        <f t="shared" si="821"/>
        <v>-</v>
      </c>
      <c r="BB984" s="975"/>
      <c r="BC984" s="821"/>
      <c r="BD984" s="821"/>
      <c r="BE984" s="963" t="str">
        <f t="shared" si="822"/>
        <v>-</v>
      </c>
      <c r="BF984" s="984"/>
      <c r="BG984" s="988"/>
      <c r="BH984" s="982"/>
      <c r="BI984" s="991"/>
      <c r="BJ984" s="991"/>
      <c r="BK984" s="993" t="str">
        <f t="shared" si="823"/>
        <v>-</v>
      </c>
      <c r="BL984" s="820">
        <v>42978</v>
      </c>
      <c r="BM984" s="821">
        <v>5</v>
      </c>
      <c r="BN984" s="822">
        <f t="shared" ca="1" si="824"/>
        <v>156</v>
      </c>
      <c r="BO984" s="823">
        <f t="shared" si="825"/>
        <v>7.9</v>
      </c>
      <c r="BP984" s="824"/>
      <c r="BQ984" s="821"/>
      <c r="BR984" s="822" t="str">
        <f t="shared" si="826"/>
        <v>-</v>
      </c>
      <c r="BS984" s="823" t="str">
        <f t="shared" si="827"/>
        <v>-</v>
      </c>
      <c r="BT984" s="825" t="str">
        <f t="shared" ca="1" si="828"/>
        <v>-</v>
      </c>
      <c r="BU984" s="826"/>
      <c r="BV984" s="827"/>
      <c r="BW984" s="828" t="str">
        <f t="shared" si="829"/>
        <v>Ж-Е НЕ ВАКЦ.</v>
      </c>
      <c r="BX984" s="829" t="str">
        <f t="shared" si="830"/>
        <v>-</v>
      </c>
      <c r="BY984" s="830" t="str">
        <f t="shared" ca="1" si="831"/>
        <v>-</v>
      </c>
      <c r="BZ984" s="831">
        <v>42888</v>
      </c>
      <c r="CA984" s="832">
        <v>5</v>
      </c>
      <c r="CB984" s="833">
        <f t="shared" ca="1" si="832"/>
        <v>246</v>
      </c>
      <c r="CC984" s="834" t="str">
        <f t="shared" ca="1" si="833"/>
        <v>-</v>
      </c>
      <c r="CD984" s="835">
        <f t="shared" si="834"/>
        <v>42909</v>
      </c>
      <c r="CE984" s="831">
        <v>42909</v>
      </c>
      <c r="CF984" s="832">
        <v>5</v>
      </c>
      <c r="CG984" s="833">
        <f t="shared" ca="1" si="835"/>
        <v>225</v>
      </c>
      <c r="CH984" s="836">
        <f t="shared" si="836"/>
        <v>0</v>
      </c>
      <c r="CI984" s="837" t="str">
        <f t="shared" si="837"/>
        <v>УСПЕШНО</v>
      </c>
      <c r="CJ984" s="838" t="str">
        <f t="shared" ca="1" si="838"/>
        <v>-</v>
      </c>
      <c r="CK984" s="831"/>
      <c r="CL984" s="832"/>
      <c r="CM984" s="833" t="str">
        <f t="shared" si="839"/>
        <v>-</v>
      </c>
      <c r="CN984" s="834" t="str">
        <f t="shared" si="840"/>
        <v>-</v>
      </c>
      <c r="CO984" s="830" t="str">
        <f t="shared" ca="1" si="841"/>
        <v>-</v>
      </c>
      <c r="CP984" s="839"/>
      <c r="CQ984" s="832"/>
      <c r="CR984" s="833" t="str">
        <f t="shared" si="842"/>
        <v>-</v>
      </c>
      <c r="CS984" s="833" t="str">
        <f t="shared" si="843"/>
        <v>-</v>
      </c>
      <c r="CT984" s="834" t="str">
        <f t="shared" si="844"/>
        <v>-</v>
      </c>
      <c r="CU984" s="835" t="str">
        <f t="shared" si="845"/>
        <v>-</v>
      </c>
      <c r="CV984" s="839"/>
      <c r="CW984" s="832"/>
      <c r="CX984" s="833" t="str">
        <f t="shared" si="846"/>
        <v>-</v>
      </c>
      <c r="CY984" s="840" t="str">
        <f t="shared" si="847"/>
        <v>-</v>
      </c>
      <c r="CZ984" s="833" t="str">
        <f t="shared" si="848"/>
        <v>-</v>
      </c>
      <c r="DA984" s="838" t="str">
        <f t="shared" ca="1" si="849"/>
        <v>-</v>
      </c>
      <c r="DB984" s="841"/>
      <c r="DC984" s="832"/>
    </row>
    <row r="985" spans="1:107" x14ac:dyDescent="0.25">
      <c r="A985" s="790">
        <v>989</v>
      </c>
      <c r="B985" s="791">
        <f t="shared" ca="1" si="798"/>
        <v>43134</v>
      </c>
      <c r="C985" s="792" t="s">
        <v>2583</v>
      </c>
      <c r="D985" s="793" t="s">
        <v>2582</v>
      </c>
      <c r="E985" s="794" t="s">
        <v>1563</v>
      </c>
      <c r="F985" s="795" t="s">
        <v>2320</v>
      </c>
      <c r="G985" s="845"/>
      <c r="H985" s="797" t="s">
        <v>603</v>
      </c>
      <c r="I985" s="798">
        <v>42742</v>
      </c>
      <c r="J985" s="799">
        <f t="shared" ca="1" si="799"/>
        <v>1.0739726027397261</v>
      </c>
      <c r="K985" s="799">
        <f t="shared" ca="1" si="800"/>
        <v>13.066666666666666</v>
      </c>
      <c r="L985" s="800">
        <f t="shared" ca="1" si="801"/>
        <v>392</v>
      </c>
      <c r="M985" s="801"/>
      <c r="N985" s="802"/>
      <c r="O985" s="803" t="str">
        <f t="shared" ca="1" si="802"/>
        <v>-</v>
      </c>
      <c r="P985" s="804"/>
      <c r="Q985" s="805"/>
      <c r="R985" s="806"/>
      <c r="S985" s="807"/>
      <c r="T985" s="798"/>
      <c r="U985" s="798" t="str">
        <f t="shared" si="803"/>
        <v>-</v>
      </c>
      <c r="V985" s="804" t="str">
        <f t="shared" ca="1" si="804"/>
        <v>-</v>
      </c>
      <c r="W985" s="808">
        <v>0</v>
      </c>
      <c r="X985" s="794" t="str">
        <f t="shared" si="797"/>
        <v>-</v>
      </c>
      <c r="Y985" s="794">
        <v>0</v>
      </c>
      <c r="Z985" s="809" t="str">
        <f t="shared" ca="1" si="805"/>
        <v>-----</v>
      </c>
      <c r="AA985" s="810">
        <f t="shared" ca="1" si="806"/>
        <v>43134</v>
      </c>
      <c r="AB985" s="804"/>
      <c r="AC985" s="811" t="str">
        <f t="shared" ca="1" si="807"/>
        <v>-----</v>
      </c>
      <c r="AD985" s="798"/>
      <c r="AE985" s="794" t="str">
        <f t="shared" ca="1" si="808"/>
        <v>-</v>
      </c>
      <c r="AF985" s="798" t="str">
        <f t="shared" si="809"/>
        <v>-</v>
      </c>
      <c r="AG985" s="812" t="str">
        <f t="shared" si="810"/>
        <v>---------</v>
      </c>
      <c r="AH985" s="807"/>
      <c r="AI985" s="807" t="str">
        <f t="shared" si="811"/>
        <v>-</v>
      </c>
      <c r="AJ985" s="807" t="str">
        <f t="shared" si="812"/>
        <v>-</v>
      </c>
      <c r="AK985" s="813"/>
      <c r="AL985" s="807" t="str">
        <f t="shared" si="813"/>
        <v>-</v>
      </c>
      <c r="AM985" s="807" t="str">
        <f t="shared" si="814"/>
        <v>-</v>
      </c>
      <c r="AN985" s="814" t="str">
        <f t="shared" ca="1" si="815"/>
        <v>-</v>
      </c>
      <c r="AO985" s="815">
        <v>1</v>
      </c>
      <c r="AP985" s="816" t="str">
        <f t="shared" ca="1" si="816"/>
        <v>-</v>
      </c>
      <c r="AQ985" s="817"/>
      <c r="AR985" s="794" t="str">
        <f t="shared" si="817"/>
        <v>-</v>
      </c>
      <c r="AS985" s="818"/>
      <c r="AT985" s="794" t="str">
        <f t="shared" si="818"/>
        <v>-</v>
      </c>
      <c r="AU985" s="819"/>
      <c r="AV985" s="820"/>
      <c r="AW985" s="821"/>
      <c r="AX985" s="821"/>
      <c r="AY985" s="969" t="str">
        <f t="shared" si="819"/>
        <v>-</v>
      </c>
      <c r="AZ985" s="966" t="str">
        <f t="shared" si="820"/>
        <v>-</v>
      </c>
      <c r="BA985" s="971" t="str">
        <f t="shared" si="821"/>
        <v>-</v>
      </c>
      <c r="BB985" s="975"/>
      <c r="BC985" s="821"/>
      <c r="BD985" s="821"/>
      <c r="BE985" s="963" t="str">
        <f t="shared" si="822"/>
        <v>-</v>
      </c>
      <c r="BF985" s="984"/>
      <c r="BG985" s="988"/>
      <c r="BH985" s="982"/>
      <c r="BI985" s="991"/>
      <c r="BJ985" s="991"/>
      <c r="BK985" s="993" t="str">
        <f t="shared" si="823"/>
        <v>-</v>
      </c>
      <c r="BL985" s="820">
        <v>42977</v>
      </c>
      <c r="BM985" s="821">
        <v>5</v>
      </c>
      <c r="BN985" s="822">
        <f t="shared" ca="1" si="824"/>
        <v>157</v>
      </c>
      <c r="BO985" s="823">
        <f t="shared" si="825"/>
        <v>7.833333333333333</v>
      </c>
      <c r="BP985" s="824"/>
      <c r="BQ985" s="821"/>
      <c r="BR985" s="822" t="str">
        <f t="shared" si="826"/>
        <v>-</v>
      </c>
      <c r="BS985" s="823" t="str">
        <f t="shared" si="827"/>
        <v>-</v>
      </c>
      <c r="BT985" s="825" t="str">
        <f t="shared" ca="1" si="828"/>
        <v>-</v>
      </c>
      <c r="BU985" s="826"/>
      <c r="BV985" s="827"/>
      <c r="BW985" s="828" t="str">
        <f t="shared" si="829"/>
        <v>Ж-Е НЕ ВАКЦ.</v>
      </c>
      <c r="BX985" s="829" t="str">
        <f t="shared" si="830"/>
        <v>-</v>
      </c>
      <c r="BY985" s="830" t="str">
        <f t="shared" ca="1" si="831"/>
        <v>-</v>
      </c>
      <c r="BZ985" s="831">
        <v>42888</v>
      </c>
      <c r="CA985" s="832">
        <v>5</v>
      </c>
      <c r="CB985" s="833">
        <f t="shared" ca="1" si="832"/>
        <v>246</v>
      </c>
      <c r="CC985" s="834" t="str">
        <f t="shared" ca="1" si="833"/>
        <v>-</v>
      </c>
      <c r="CD985" s="835">
        <f t="shared" si="834"/>
        <v>42909</v>
      </c>
      <c r="CE985" s="831">
        <v>42909</v>
      </c>
      <c r="CF985" s="832">
        <v>5</v>
      </c>
      <c r="CG985" s="833">
        <f t="shared" ca="1" si="835"/>
        <v>225</v>
      </c>
      <c r="CH985" s="836">
        <f t="shared" si="836"/>
        <v>0</v>
      </c>
      <c r="CI985" s="837" t="str">
        <f t="shared" si="837"/>
        <v>УСПЕШНО</v>
      </c>
      <c r="CJ985" s="838" t="str">
        <f t="shared" ca="1" si="838"/>
        <v>-</v>
      </c>
      <c r="CK985" s="831"/>
      <c r="CL985" s="832"/>
      <c r="CM985" s="833" t="str">
        <f t="shared" si="839"/>
        <v>-</v>
      </c>
      <c r="CN985" s="834" t="str">
        <f t="shared" si="840"/>
        <v>-</v>
      </c>
      <c r="CO985" s="830" t="str">
        <f t="shared" ca="1" si="841"/>
        <v>-</v>
      </c>
      <c r="CP985" s="839"/>
      <c r="CQ985" s="832"/>
      <c r="CR985" s="833" t="str">
        <f t="shared" si="842"/>
        <v>-</v>
      </c>
      <c r="CS985" s="833" t="str">
        <f t="shared" si="843"/>
        <v>-</v>
      </c>
      <c r="CT985" s="834" t="str">
        <f t="shared" si="844"/>
        <v>-</v>
      </c>
      <c r="CU985" s="835" t="str">
        <f t="shared" si="845"/>
        <v>-</v>
      </c>
      <c r="CV985" s="839"/>
      <c r="CW985" s="832"/>
      <c r="CX985" s="833" t="str">
        <f t="shared" si="846"/>
        <v>-</v>
      </c>
      <c r="CY985" s="840" t="str">
        <f t="shared" si="847"/>
        <v>-</v>
      </c>
      <c r="CZ985" s="833" t="str">
        <f t="shared" si="848"/>
        <v>-</v>
      </c>
      <c r="DA985" s="838" t="str">
        <f t="shared" ca="1" si="849"/>
        <v>-</v>
      </c>
      <c r="DB985" s="841"/>
      <c r="DC985" s="832"/>
    </row>
    <row r="986" spans="1:107" x14ac:dyDescent="0.25">
      <c r="A986" s="790">
        <v>990</v>
      </c>
      <c r="B986" s="791">
        <f t="shared" ca="1" si="798"/>
        <v>43134</v>
      </c>
      <c r="C986" s="792" t="s">
        <v>2583</v>
      </c>
      <c r="D986" s="793" t="s">
        <v>2582</v>
      </c>
      <c r="E986" s="794" t="s">
        <v>1563</v>
      </c>
      <c r="F986" s="795" t="s">
        <v>2322</v>
      </c>
      <c r="G986" s="845"/>
      <c r="H986" s="797" t="s">
        <v>603</v>
      </c>
      <c r="I986" s="798">
        <v>42745</v>
      </c>
      <c r="J986" s="799">
        <f t="shared" ca="1" si="799"/>
        <v>1.0657534246575342</v>
      </c>
      <c r="K986" s="799">
        <f t="shared" ca="1" si="800"/>
        <v>12.966666666666667</v>
      </c>
      <c r="L986" s="800">
        <f t="shared" ca="1" si="801"/>
        <v>389</v>
      </c>
      <c r="M986" s="801"/>
      <c r="N986" s="802"/>
      <c r="O986" s="803" t="str">
        <f t="shared" ca="1" si="802"/>
        <v>-</v>
      </c>
      <c r="P986" s="804"/>
      <c r="Q986" s="805"/>
      <c r="R986" s="806"/>
      <c r="S986" s="807"/>
      <c r="T986" s="798"/>
      <c r="U986" s="798" t="str">
        <f t="shared" si="803"/>
        <v>-</v>
      </c>
      <c r="V986" s="804" t="str">
        <f t="shared" ca="1" si="804"/>
        <v>-</v>
      </c>
      <c r="W986" s="808">
        <v>0</v>
      </c>
      <c r="X986" s="794" t="str">
        <f t="shared" si="797"/>
        <v>-</v>
      </c>
      <c r="Y986" s="794">
        <v>0</v>
      </c>
      <c r="Z986" s="809" t="str">
        <f t="shared" ca="1" si="805"/>
        <v>-----</v>
      </c>
      <c r="AA986" s="810">
        <f t="shared" ca="1" si="806"/>
        <v>43134</v>
      </c>
      <c r="AB986" s="804"/>
      <c r="AC986" s="811" t="str">
        <f t="shared" ca="1" si="807"/>
        <v>-----</v>
      </c>
      <c r="AD986" s="798"/>
      <c r="AE986" s="794" t="str">
        <f t="shared" ca="1" si="808"/>
        <v>-</v>
      </c>
      <c r="AF986" s="798" t="str">
        <f t="shared" si="809"/>
        <v>-</v>
      </c>
      <c r="AG986" s="812" t="str">
        <f t="shared" si="810"/>
        <v>---------</v>
      </c>
      <c r="AH986" s="807"/>
      <c r="AI986" s="807" t="str">
        <f t="shared" si="811"/>
        <v>-</v>
      </c>
      <c r="AJ986" s="807" t="str">
        <f t="shared" si="812"/>
        <v>-</v>
      </c>
      <c r="AK986" s="813"/>
      <c r="AL986" s="807" t="str">
        <f t="shared" si="813"/>
        <v>-</v>
      </c>
      <c r="AM986" s="807" t="str">
        <f t="shared" si="814"/>
        <v>-</v>
      </c>
      <c r="AN986" s="814" t="str">
        <f t="shared" ca="1" si="815"/>
        <v>-</v>
      </c>
      <c r="AO986" s="815">
        <v>1</v>
      </c>
      <c r="AP986" s="816" t="str">
        <f t="shared" ca="1" si="816"/>
        <v>-</v>
      </c>
      <c r="AQ986" s="817"/>
      <c r="AR986" s="794" t="str">
        <f t="shared" si="817"/>
        <v>-</v>
      </c>
      <c r="AS986" s="818"/>
      <c r="AT986" s="794" t="str">
        <f t="shared" si="818"/>
        <v>-</v>
      </c>
      <c r="AU986" s="819"/>
      <c r="AV986" s="820"/>
      <c r="AW986" s="821"/>
      <c r="AX986" s="821"/>
      <c r="AY986" s="969" t="str">
        <f t="shared" si="819"/>
        <v>-</v>
      </c>
      <c r="AZ986" s="966" t="str">
        <f t="shared" si="820"/>
        <v>-</v>
      </c>
      <c r="BA986" s="971" t="str">
        <f t="shared" si="821"/>
        <v>-</v>
      </c>
      <c r="BB986" s="975"/>
      <c r="BC986" s="821"/>
      <c r="BD986" s="821"/>
      <c r="BE986" s="963" t="str">
        <f t="shared" si="822"/>
        <v>-</v>
      </c>
      <c r="BF986" s="984"/>
      <c r="BG986" s="988"/>
      <c r="BH986" s="982"/>
      <c r="BI986" s="991"/>
      <c r="BJ986" s="991"/>
      <c r="BK986" s="993" t="str">
        <f t="shared" si="823"/>
        <v>-</v>
      </c>
      <c r="BL986" s="820">
        <v>42977</v>
      </c>
      <c r="BM986" s="821">
        <v>5</v>
      </c>
      <c r="BN986" s="822">
        <f t="shared" ca="1" si="824"/>
        <v>157</v>
      </c>
      <c r="BO986" s="823">
        <f t="shared" si="825"/>
        <v>7.7333333333333334</v>
      </c>
      <c r="BP986" s="824"/>
      <c r="BQ986" s="821"/>
      <c r="BR986" s="822" t="str">
        <f t="shared" si="826"/>
        <v>-</v>
      </c>
      <c r="BS986" s="823" t="str">
        <f t="shared" si="827"/>
        <v>-</v>
      </c>
      <c r="BT986" s="825" t="str">
        <f t="shared" ca="1" si="828"/>
        <v>-</v>
      </c>
      <c r="BU986" s="826"/>
      <c r="BV986" s="827"/>
      <c r="BW986" s="828" t="str">
        <f t="shared" si="829"/>
        <v>Ж-Е НЕ ВАКЦ.</v>
      </c>
      <c r="BX986" s="829" t="str">
        <f t="shared" si="830"/>
        <v>-</v>
      </c>
      <c r="BY986" s="830" t="str">
        <f t="shared" ca="1" si="831"/>
        <v>-</v>
      </c>
      <c r="BZ986" s="831">
        <v>42888</v>
      </c>
      <c r="CA986" s="832">
        <v>5</v>
      </c>
      <c r="CB986" s="833">
        <f t="shared" ca="1" si="832"/>
        <v>246</v>
      </c>
      <c r="CC986" s="834" t="str">
        <f t="shared" ca="1" si="833"/>
        <v>-</v>
      </c>
      <c r="CD986" s="835">
        <f t="shared" si="834"/>
        <v>42909</v>
      </c>
      <c r="CE986" s="831">
        <v>42909</v>
      </c>
      <c r="CF986" s="832">
        <v>5</v>
      </c>
      <c r="CG986" s="833">
        <f t="shared" ca="1" si="835"/>
        <v>225</v>
      </c>
      <c r="CH986" s="836">
        <f t="shared" si="836"/>
        <v>0</v>
      </c>
      <c r="CI986" s="837" t="str">
        <f t="shared" si="837"/>
        <v>УСПЕШНО</v>
      </c>
      <c r="CJ986" s="838" t="str">
        <f t="shared" ca="1" si="838"/>
        <v>-</v>
      </c>
      <c r="CK986" s="831"/>
      <c r="CL986" s="832"/>
      <c r="CM986" s="833" t="str">
        <f t="shared" si="839"/>
        <v>-</v>
      </c>
      <c r="CN986" s="834" t="str">
        <f t="shared" si="840"/>
        <v>-</v>
      </c>
      <c r="CO986" s="830" t="str">
        <f t="shared" ca="1" si="841"/>
        <v>-</v>
      </c>
      <c r="CP986" s="839"/>
      <c r="CQ986" s="832"/>
      <c r="CR986" s="833" t="str">
        <f t="shared" si="842"/>
        <v>-</v>
      </c>
      <c r="CS986" s="833" t="str">
        <f t="shared" si="843"/>
        <v>-</v>
      </c>
      <c r="CT986" s="834" t="str">
        <f t="shared" si="844"/>
        <v>-</v>
      </c>
      <c r="CU986" s="835" t="str">
        <f t="shared" si="845"/>
        <v>-</v>
      </c>
      <c r="CV986" s="839"/>
      <c r="CW986" s="832"/>
      <c r="CX986" s="833" t="str">
        <f t="shared" si="846"/>
        <v>-</v>
      </c>
      <c r="CY986" s="840" t="str">
        <f t="shared" si="847"/>
        <v>-</v>
      </c>
      <c r="CZ986" s="833" t="str">
        <f t="shared" si="848"/>
        <v>-</v>
      </c>
      <c r="DA986" s="838" t="str">
        <f t="shared" ca="1" si="849"/>
        <v>-</v>
      </c>
      <c r="DB986" s="841"/>
      <c r="DC986" s="832"/>
    </row>
    <row r="987" spans="1:107" x14ac:dyDescent="0.25">
      <c r="A987" s="790">
        <v>991</v>
      </c>
      <c r="B987" s="791">
        <f t="shared" ca="1" si="798"/>
        <v>43134</v>
      </c>
      <c r="C987" s="792" t="s">
        <v>2583</v>
      </c>
      <c r="D987" s="793" t="s">
        <v>2582</v>
      </c>
      <c r="E987" s="794" t="s">
        <v>1563</v>
      </c>
      <c r="F987" s="795" t="s">
        <v>2325</v>
      </c>
      <c r="G987" s="845"/>
      <c r="H987" s="797" t="s">
        <v>603</v>
      </c>
      <c r="I987" s="798">
        <v>42748</v>
      </c>
      <c r="J987" s="799">
        <f t="shared" ca="1" si="799"/>
        <v>1.0575342465753426</v>
      </c>
      <c r="K987" s="799">
        <f t="shared" ca="1" si="800"/>
        <v>12.866666666666667</v>
      </c>
      <c r="L987" s="800">
        <f t="shared" ca="1" si="801"/>
        <v>386</v>
      </c>
      <c r="M987" s="801"/>
      <c r="N987" s="802"/>
      <c r="O987" s="803" t="str">
        <f t="shared" ca="1" si="802"/>
        <v>-</v>
      </c>
      <c r="P987" s="804"/>
      <c r="Q987" s="805"/>
      <c r="R987" s="806"/>
      <c r="S987" s="807"/>
      <c r="T987" s="798"/>
      <c r="U987" s="798" t="str">
        <f t="shared" si="803"/>
        <v>-</v>
      </c>
      <c r="V987" s="804" t="str">
        <f t="shared" ca="1" si="804"/>
        <v>-</v>
      </c>
      <c r="W987" s="808">
        <v>0</v>
      </c>
      <c r="X987" s="794" t="str">
        <f t="shared" si="797"/>
        <v>-</v>
      </c>
      <c r="Y987" s="794">
        <v>0</v>
      </c>
      <c r="Z987" s="809" t="str">
        <f t="shared" ca="1" si="805"/>
        <v>-----</v>
      </c>
      <c r="AA987" s="810">
        <f t="shared" ca="1" si="806"/>
        <v>43134</v>
      </c>
      <c r="AB987" s="804"/>
      <c r="AC987" s="811" t="str">
        <f t="shared" ca="1" si="807"/>
        <v>-----</v>
      </c>
      <c r="AD987" s="798"/>
      <c r="AE987" s="794" t="str">
        <f t="shared" ca="1" si="808"/>
        <v>-</v>
      </c>
      <c r="AF987" s="798" t="str">
        <f t="shared" si="809"/>
        <v>-</v>
      </c>
      <c r="AG987" s="812" t="str">
        <f t="shared" si="810"/>
        <v>---------</v>
      </c>
      <c r="AH987" s="807"/>
      <c r="AI987" s="807" t="str">
        <f t="shared" si="811"/>
        <v>-</v>
      </c>
      <c r="AJ987" s="807" t="str">
        <f t="shared" si="812"/>
        <v>-</v>
      </c>
      <c r="AK987" s="813"/>
      <c r="AL987" s="807" t="str">
        <f t="shared" si="813"/>
        <v>-</v>
      </c>
      <c r="AM987" s="807" t="str">
        <f t="shared" si="814"/>
        <v>-</v>
      </c>
      <c r="AN987" s="814" t="str">
        <f t="shared" ca="1" si="815"/>
        <v>-</v>
      </c>
      <c r="AO987" s="815">
        <v>1</v>
      </c>
      <c r="AP987" s="816" t="str">
        <f t="shared" ca="1" si="816"/>
        <v>-</v>
      </c>
      <c r="AQ987" s="817"/>
      <c r="AR987" s="794" t="str">
        <f t="shared" si="817"/>
        <v>-</v>
      </c>
      <c r="AS987" s="818"/>
      <c r="AT987" s="794" t="str">
        <f t="shared" si="818"/>
        <v>-</v>
      </c>
      <c r="AU987" s="819"/>
      <c r="AV987" s="820"/>
      <c r="AW987" s="821"/>
      <c r="AX987" s="821"/>
      <c r="AY987" s="969" t="str">
        <f t="shared" si="819"/>
        <v>-</v>
      </c>
      <c r="AZ987" s="966" t="str">
        <f t="shared" si="820"/>
        <v>-</v>
      </c>
      <c r="BA987" s="971" t="str">
        <f t="shared" si="821"/>
        <v>-</v>
      </c>
      <c r="BB987" s="975"/>
      <c r="BC987" s="821"/>
      <c r="BD987" s="821"/>
      <c r="BE987" s="963" t="str">
        <f t="shared" si="822"/>
        <v>-</v>
      </c>
      <c r="BF987" s="984"/>
      <c r="BG987" s="988"/>
      <c r="BH987" s="982"/>
      <c r="BI987" s="991"/>
      <c r="BJ987" s="991"/>
      <c r="BK987" s="993" t="str">
        <f t="shared" si="823"/>
        <v>-</v>
      </c>
      <c r="BL987" s="820">
        <v>42977</v>
      </c>
      <c r="BM987" s="821">
        <v>5</v>
      </c>
      <c r="BN987" s="822">
        <f t="shared" ca="1" si="824"/>
        <v>157</v>
      </c>
      <c r="BO987" s="823">
        <f t="shared" si="825"/>
        <v>7.6333333333333337</v>
      </c>
      <c r="BP987" s="824"/>
      <c r="BQ987" s="821"/>
      <c r="BR987" s="822" t="str">
        <f t="shared" si="826"/>
        <v>-</v>
      </c>
      <c r="BS987" s="823" t="str">
        <f t="shared" si="827"/>
        <v>-</v>
      </c>
      <c r="BT987" s="825" t="str">
        <f t="shared" ca="1" si="828"/>
        <v>-</v>
      </c>
      <c r="BU987" s="826"/>
      <c r="BV987" s="827"/>
      <c r="BW987" s="828" t="str">
        <f t="shared" si="829"/>
        <v>Ж-Е НЕ ВАКЦ.</v>
      </c>
      <c r="BX987" s="829" t="str">
        <f t="shared" si="830"/>
        <v>-</v>
      </c>
      <c r="BY987" s="830" t="str">
        <f t="shared" ca="1" si="831"/>
        <v>-</v>
      </c>
      <c r="BZ987" s="831">
        <v>42888</v>
      </c>
      <c r="CA987" s="832">
        <v>5</v>
      </c>
      <c r="CB987" s="833">
        <f t="shared" ca="1" si="832"/>
        <v>246</v>
      </c>
      <c r="CC987" s="834" t="str">
        <f t="shared" ca="1" si="833"/>
        <v>-</v>
      </c>
      <c r="CD987" s="835">
        <f t="shared" si="834"/>
        <v>42909</v>
      </c>
      <c r="CE987" s="831">
        <v>42909</v>
      </c>
      <c r="CF987" s="832">
        <v>5</v>
      </c>
      <c r="CG987" s="833">
        <f t="shared" ca="1" si="835"/>
        <v>225</v>
      </c>
      <c r="CH987" s="836">
        <f t="shared" si="836"/>
        <v>0</v>
      </c>
      <c r="CI987" s="837" t="str">
        <f t="shared" si="837"/>
        <v>УСПЕШНО</v>
      </c>
      <c r="CJ987" s="838" t="str">
        <f t="shared" ca="1" si="838"/>
        <v>-</v>
      </c>
      <c r="CK987" s="831"/>
      <c r="CL987" s="832"/>
      <c r="CM987" s="833" t="str">
        <f t="shared" si="839"/>
        <v>-</v>
      </c>
      <c r="CN987" s="834" t="str">
        <f t="shared" si="840"/>
        <v>-</v>
      </c>
      <c r="CO987" s="830" t="str">
        <f t="shared" ca="1" si="841"/>
        <v>-</v>
      </c>
      <c r="CP987" s="839"/>
      <c r="CQ987" s="832"/>
      <c r="CR987" s="833" t="str">
        <f t="shared" si="842"/>
        <v>-</v>
      </c>
      <c r="CS987" s="833" t="str">
        <f t="shared" si="843"/>
        <v>-</v>
      </c>
      <c r="CT987" s="834" t="str">
        <f t="shared" si="844"/>
        <v>-</v>
      </c>
      <c r="CU987" s="835" t="str">
        <f t="shared" si="845"/>
        <v>-</v>
      </c>
      <c r="CV987" s="839"/>
      <c r="CW987" s="832"/>
      <c r="CX987" s="833" t="str">
        <f t="shared" si="846"/>
        <v>-</v>
      </c>
      <c r="CY987" s="840" t="str">
        <f t="shared" si="847"/>
        <v>-</v>
      </c>
      <c r="CZ987" s="833" t="str">
        <f t="shared" si="848"/>
        <v>-</v>
      </c>
      <c r="DA987" s="838" t="str">
        <f t="shared" ca="1" si="849"/>
        <v>-</v>
      </c>
      <c r="DB987" s="841"/>
      <c r="DC987" s="832"/>
    </row>
    <row r="988" spans="1:107" x14ac:dyDescent="0.25">
      <c r="A988" s="790">
        <v>992</v>
      </c>
      <c r="B988" s="791">
        <f t="shared" ca="1" si="798"/>
        <v>43134</v>
      </c>
      <c r="C988" s="792" t="s">
        <v>2583</v>
      </c>
      <c r="D988" s="793" t="s">
        <v>2582</v>
      </c>
      <c r="E988" s="794" t="s">
        <v>1563</v>
      </c>
      <c r="F988" s="795" t="s">
        <v>2328</v>
      </c>
      <c r="G988" s="845"/>
      <c r="H988" s="797" t="s">
        <v>603</v>
      </c>
      <c r="I988" s="798">
        <v>42749</v>
      </c>
      <c r="J988" s="799">
        <f t="shared" ca="1" si="799"/>
        <v>1.0547945205479452</v>
      </c>
      <c r="K988" s="799">
        <f t="shared" ca="1" si="800"/>
        <v>12.833333333333334</v>
      </c>
      <c r="L988" s="800">
        <f t="shared" ca="1" si="801"/>
        <v>385</v>
      </c>
      <c r="M988" s="801"/>
      <c r="N988" s="802"/>
      <c r="O988" s="803" t="str">
        <f t="shared" ca="1" si="802"/>
        <v>-</v>
      </c>
      <c r="P988" s="804"/>
      <c r="Q988" s="805"/>
      <c r="R988" s="806"/>
      <c r="S988" s="807"/>
      <c r="T988" s="798"/>
      <c r="U988" s="798" t="str">
        <f t="shared" si="803"/>
        <v>-</v>
      </c>
      <c r="V988" s="804" t="str">
        <f t="shared" ca="1" si="804"/>
        <v>-</v>
      </c>
      <c r="W988" s="808">
        <v>0</v>
      </c>
      <c r="X988" s="794" t="str">
        <f t="shared" si="797"/>
        <v>-</v>
      </c>
      <c r="Y988" s="794">
        <v>0</v>
      </c>
      <c r="Z988" s="809" t="str">
        <f t="shared" ca="1" si="805"/>
        <v>-----</v>
      </c>
      <c r="AA988" s="810">
        <f t="shared" ca="1" si="806"/>
        <v>43134</v>
      </c>
      <c r="AB988" s="804"/>
      <c r="AC988" s="811" t="str">
        <f t="shared" ca="1" si="807"/>
        <v>-----</v>
      </c>
      <c r="AD988" s="798"/>
      <c r="AE988" s="794" t="str">
        <f t="shared" ca="1" si="808"/>
        <v>-</v>
      </c>
      <c r="AF988" s="798" t="str">
        <f t="shared" si="809"/>
        <v>-</v>
      </c>
      <c r="AG988" s="812" t="str">
        <f t="shared" si="810"/>
        <v>---------</v>
      </c>
      <c r="AH988" s="807"/>
      <c r="AI988" s="807" t="str">
        <f t="shared" si="811"/>
        <v>-</v>
      </c>
      <c r="AJ988" s="807" t="str">
        <f t="shared" si="812"/>
        <v>-</v>
      </c>
      <c r="AK988" s="813"/>
      <c r="AL988" s="807" t="str">
        <f t="shared" si="813"/>
        <v>-</v>
      </c>
      <c r="AM988" s="807" t="str">
        <f t="shared" si="814"/>
        <v>-</v>
      </c>
      <c r="AN988" s="814" t="str">
        <f t="shared" ca="1" si="815"/>
        <v>-</v>
      </c>
      <c r="AO988" s="815">
        <v>1</v>
      </c>
      <c r="AP988" s="816" t="str">
        <f t="shared" ca="1" si="816"/>
        <v>-</v>
      </c>
      <c r="AQ988" s="817"/>
      <c r="AR988" s="794" t="str">
        <f t="shared" si="817"/>
        <v>-</v>
      </c>
      <c r="AS988" s="818"/>
      <c r="AT988" s="794" t="str">
        <f t="shared" si="818"/>
        <v>-</v>
      </c>
      <c r="AU988" s="819"/>
      <c r="AV988" s="820"/>
      <c r="AW988" s="821"/>
      <c r="AX988" s="821"/>
      <c r="AY988" s="969" t="str">
        <f t="shared" si="819"/>
        <v>-</v>
      </c>
      <c r="AZ988" s="966" t="str">
        <f t="shared" si="820"/>
        <v>-</v>
      </c>
      <c r="BA988" s="971" t="str">
        <f t="shared" si="821"/>
        <v>-</v>
      </c>
      <c r="BB988" s="975"/>
      <c r="BC988" s="821"/>
      <c r="BD988" s="821"/>
      <c r="BE988" s="963" t="str">
        <f t="shared" si="822"/>
        <v>-</v>
      </c>
      <c r="BF988" s="984"/>
      <c r="BG988" s="988"/>
      <c r="BH988" s="982"/>
      <c r="BI988" s="991"/>
      <c r="BJ988" s="991"/>
      <c r="BK988" s="993" t="str">
        <f t="shared" si="823"/>
        <v>-</v>
      </c>
      <c r="BL988" s="820">
        <v>42977</v>
      </c>
      <c r="BM988" s="821">
        <v>5</v>
      </c>
      <c r="BN988" s="822">
        <f t="shared" ca="1" si="824"/>
        <v>157</v>
      </c>
      <c r="BO988" s="823">
        <f t="shared" si="825"/>
        <v>7.6</v>
      </c>
      <c r="BP988" s="824"/>
      <c r="BQ988" s="821"/>
      <c r="BR988" s="822" t="str">
        <f t="shared" si="826"/>
        <v>-</v>
      </c>
      <c r="BS988" s="823" t="str">
        <f t="shared" si="827"/>
        <v>-</v>
      </c>
      <c r="BT988" s="825" t="str">
        <f t="shared" ca="1" si="828"/>
        <v>-</v>
      </c>
      <c r="BU988" s="826"/>
      <c r="BV988" s="827"/>
      <c r="BW988" s="828" t="str">
        <f t="shared" si="829"/>
        <v>Ж-Е НЕ ВАКЦ.</v>
      </c>
      <c r="BX988" s="829" t="str">
        <f t="shared" si="830"/>
        <v>-</v>
      </c>
      <c r="BY988" s="830" t="str">
        <f t="shared" ca="1" si="831"/>
        <v>-</v>
      </c>
      <c r="BZ988" s="831">
        <v>42888</v>
      </c>
      <c r="CA988" s="832">
        <v>5</v>
      </c>
      <c r="CB988" s="833">
        <f t="shared" ca="1" si="832"/>
        <v>246</v>
      </c>
      <c r="CC988" s="834" t="str">
        <f t="shared" ca="1" si="833"/>
        <v>-</v>
      </c>
      <c r="CD988" s="835">
        <f t="shared" si="834"/>
        <v>42909</v>
      </c>
      <c r="CE988" s="831">
        <v>42909</v>
      </c>
      <c r="CF988" s="832">
        <v>5</v>
      </c>
      <c r="CG988" s="833">
        <f t="shared" ca="1" si="835"/>
        <v>225</v>
      </c>
      <c r="CH988" s="836">
        <f t="shared" si="836"/>
        <v>0</v>
      </c>
      <c r="CI988" s="837" t="str">
        <f t="shared" si="837"/>
        <v>УСПЕШНО</v>
      </c>
      <c r="CJ988" s="838" t="str">
        <f t="shared" ca="1" si="838"/>
        <v>-</v>
      </c>
      <c r="CK988" s="831"/>
      <c r="CL988" s="832"/>
      <c r="CM988" s="833" t="str">
        <f t="shared" si="839"/>
        <v>-</v>
      </c>
      <c r="CN988" s="834" t="str">
        <f t="shared" si="840"/>
        <v>-</v>
      </c>
      <c r="CO988" s="830" t="str">
        <f t="shared" ca="1" si="841"/>
        <v>-</v>
      </c>
      <c r="CP988" s="839"/>
      <c r="CQ988" s="832"/>
      <c r="CR988" s="833" t="str">
        <f t="shared" si="842"/>
        <v>-</v>
      </c>
      <c r="CS988" s="833" t="str">
        <f t="shared" si="843"/>
        <v>-</v>
      </c>
      <c r="CT988" s="834" t="str">
        <f t="shared" si="844"/>
        <v>-</v>
      </c>
      <c r="CU988" s="835" t="str">
        <f t="shared" si="845"/>
        <v>-</v>
      </c>
      <c r="CV988" s="839"/>
      <c r="CW988" s="832"/>
      <c r="CX988" s="833" t="str">
        <f t="shared" si="846"/>
        <v>-</v>
      </c>
      <c r="CY988" s="840" t="str">
        <f t="shared" si="847"/>
        <v>-</v>
      </c>
      <c r="CZ988" s="833" t="str">
        <f t="shared" si="848"/>
        <v>-</v>
      </c>
      <c r="DA988" s="838" t="str">
        <f t="shared" ca="1" si="849"/>
        <v>-</v>
      </c>
      <c r="DB988" s="841"/>
      <c r="DC988" s="832"/>
    </row>
    <row r="989" spans="1:107" x14ac:dyDescent="0.25">
      <c r="A989" s="790">
        <v>993</v>
      </c>
      <c r="B989" s="791">
        <f t="shared" ca="1" si="798"/>
        <v>43134</v>
      </c>
      <c r="C989" s="792" t="s">
        <v>2583</v>
      </c>
      <c r="D989" s="793" t="s">
        <v>2582</v>
      </c>
      <c r="E989" s="794" t="s">
        <v>1563</v>
      </c>
      <c r="F989" s="795" t="s">
        <v>2336</v>
      </c>
      <c r="G989" s="845"/>
      <c r="H989" s="797" t="s">
        <v>603</v>
      </c>
      <c r="I989" s="798">
        <v>42752</v>
      </c>
      <c r="J989" s="799">
        <f t="shared" ca="1" si="799"/>
        <v>1.0465753424657533</v>
      </c>
      <c r="K989" s="799">
        <f t="shared" ca="1" si="800"/>
        <v>12.733333333333333</v>
      </c>
      <c r="L989" s="800">
        <f t="shared" ca="1" si="801"/>
        <v>382</v>
      </c>
      <c r="M989" s="801"/>
      <c r="N989" s="802"/>
      <c r="O989" s="803" t="str">
        <f t="shared" ca="1" si="802"/>
        <v>-</v>
      </c>
      <c r="P989" s="804"/>
      <c r="Q989" s="805"/>
      <c r="R989" s="806"/>
      <c r="S989" s="807"/>
      <c r="T989" s="798"/>
      <c r="U989" s="798" t="str">
        <f t="shared" si="803"/>
        <v>-</v>
      </c>
      <c r="V989" s="804" t="str">
        <f t="shared" ca="1" si="804"/>
        <v>-</v>
      </c>
      <c r="W989" s="808">
        <v>0</v>
      </c>
      <c r="X989" s="794" t="str">
        <f t="shared" si="797"/>
        <v>-</v>
      </c>
      <c r="Y989" s="794">
        <v>0</v>
      </c>
      <c r="Z989" s="809" t="str">
        <f t="shared" ca="1" si="805"/>
        <v>-----</v>
      </c>
      <c r="AA989" s="810">
        <f t="shared" ca="1" si="806"/>
        <v>43134</v>
      </c>
      <c r="AB989" s="804"/>
      <c r="AC989" s="811" t="str">
        <f t="shared" ca="1" si="807"/>
        <v>-----</v>
      </c>
      <c r="AD989" s="798"/>
      <c r="AE989" s="794" t="str">
        <f t="shared" ca="1" si="808"/>
        <v>-</v>
      </c>
      <c r="AF989" s="798" t="str">
        <f t="shared" si="809"/>
        <v>-</v>
      </c>
      <c r="AG989" s="812" t="str">
        <f t="shared" si="810"/>
        <v>---------</v>
      </c>
      <c r="AH989" s="807"/>
      <c r="AI989" s="807" t="str">
        <f t="shared" si="811"/>
        <v>-</v>
      </c>
      <c r="AJ989" s="807" t="str">
        <f t="shared" si="812"/>
        <v>-</v>
      </c>
      <c r="AK989" s="813"/>
      <c r="AL989" s="807" t="str">
        <f t="shared" si="813"/>
        <v>-</v>
      </c>
      <c r="AM989" s="807" t="str">
        <f t="shared" si="814"/>
        <v>-</v>
      </c>
      <c r="AN989" s="814" t="str">
        <f t="shared" ca="1" si="815"/>
        <v>-</v>
      </c>
      <c r="AO989" s="815">
        <v>1</v>
      </c>
      <c r="AP989" s="816" t="str">
        <f t="shared" ca="1" si="816"/>
        <v>-</v>
      </c>
      <c r="AQ989" s="817"/>
      <c r="AR989" s="794" t="str">
        <f t="shared" si="817"/>
        <v>-</v>
      </c>
      <c r="AS989" s="818"/>
      <c r="AT989" s="794" t="str">
        <f t="shared" si="818"/>
        <v>-</v>
      </c>
      <c r="AU989" s="819"/>
      <c r="AV989" s="820"/>
      <c r="AW989" s="821"/>
      <c r="AX989" s="821"/>
      <c r="AY989" s="969" t="str">
        <f t="shared" si="819"/>
        <v>-</v>
      </c>
      <c r="AZ989" s="966" t="str">
        <f t="shared" si="820"/>
        <v>-</v>
      </c>
      <c r="BA989" s="971" t="str">
        <f t="shared" si="821"/>
        <v>-</v>
      </c>
      <c r="BB989" s="975"/>
      <c r="BC989" s="821"/>
      <c r="BD989" s="821"/>
      <c r="BE989" s="963" t="str">
        <f t="shared" si="822"/>
        <v>-</v>
      </c>
      <c r="BF989" s="984"/>
      <c r="BG989" s="988"/>
      <c r="BH989" s="982"/>
      <c r="BI989" s="991"/>
      <c r="BJ989" s="991"/>
      <c r="BK989" s="993" t="str">
        <f t="shared" si="823"/>
        <v>-</v>
      </c>
      <c r="BL989" s="820">
        <v>42977</v>
      </c>
      <c r="BM989" s="821">
        <v>5</v>
      </c>
      <c r="BN989" s="822">
        <f t="shared" ca="1" si="824"/>
        <v>157</v>
      </c>
      <c r="BO989" s="823">
        <f t="shared" si="825"/>
        <v>7.5</v>
      </c>
      <c r="BP989" s="824"/>
      <c r="BQ989" s="821"/>
      <c r="BR989" s="822" t="str">
        <f t="shared" si="826"/>
        <v>-</v>
      </c>
      <c r="BS989" s="823" t="str">
        <f t="shared" si="827"/>
        <v>-</v>
      </c>
      <c r="BT989" s="825" t="str">
        <f t="shared" ca="1" si="828"/>
        <v>-</v>
      </c>
      <c r="BU989" s="826"/>
      <c r="BV989" s="827"/>
      <c r="BW989" s="828" t="str">
        <f t="shared" si="829"/>
        <v>Ж-Е НЕ ВАКЦ.</v>
      </c>
      <c r="BX989" s="829" t="str">
        <f t="shared" si="830"/>
        <v>-</v>
      </c>
      <c r="BY989" s="830" t="str">
        <f t="shared" ca="1" si="831"/>
        <v>-</v>
      </c>
      <c r="BZ989" s="831">
        <v>42888</v>
      </c>
      <c r="CA989" s="832">
        <v>5</v>
      </c>
      <c r="CB989" s="833">
        <f t="shared" ca="1" si="832"/>
        <v>246</v>
      </c>
      <c r="CC989" s="834" t="str">
        <f t="shared" ca="1" si="833"/>
        <v>-</v>
      </c>
      <c r="CD989" s="835">
        <f t="shared" si="834"/>
        <v>42909</v>
      </c>
      <c r="CE989" s="831">
        <v>42909</v>
      </c>
      <c r="CF989" s="832">
        <v>5</v>
      </c>
      <c r="CG989" s="833">
        <f t="shared" ca="1" si="835"/>
        <v>225</v>
      </c>
      <c r="CH989" s="836">
        <f t="shared" si="836"/>
        <v>0</v>
      </c>
      <c r="CI989" s="837" t="str">
        <f t="shared" si="837"/>
        <v>УСПЕШНО</v>
      </c>
      <c r="CJ989" s="838" t="str">
        <f t="shared" ca="1" si="838"/>
        <v>-</v>
      </c>
      <c r="CK989" s="831"/>
      <c r="CL989" s="832"/>
      <c r="CM989" s="833" t="str">
        <f t="shared" si="839"/>
        <v>-</v>
      </c>
      <c r="CN989" s="834" t="str">
        <f t="shared" si="840"/>
        <v>-</v>
      </c>
      <c r="CO989" s="830" t="str">
        <f t="shared" ca="1" si="841"/>
        <v>-</v>
      </c>
      <c r="CP989" s="839"/>
      <c r="CQ989" s="832"/>
      <c r="CR989" s="833" t="str">
        <f t="shared" si="842"/>
        <v>-</v>
      </c>
      <c r="CS989" s="833" t="str">
        <f t="shared" si="843"/>
        <v>-</v>
      </c>
      <c r="CT989" s="834" t="str">
        <f t="shared" si="844"/>
        <v>-</v>
      </c>
      <c r="CU989" s="835" t="str">
        <f t="shared" si="845"/>
        <v>-</v>
      </c>
      <c r="CV989" s="839"/>
      <c r="CW989" s="832"/>
      <c r="CX989" s="833" t="str">
        <f t="shared" si="846"/>
        <v>-</v>
      </c>
      <c r="CY989" s="840" t="str">
        <f t="shared" si="847"/>
        <v>-</v>
      </c>
      <c r="CZ989" s="833" t="str">
        <f t="shared" si="848"/>
        <v>-</v>
      </c>
      <c r="DA989" s="838" t="str">
        <f t="shared" ca="1" si="849"/>
        <v>-</v>
      </c>
      <c r="DB989" s="841"/>
      <c r="DC989" s="832"/>
    </row>
    <row r="990" spans="1:107" x14ac:dyDescent="0.25">
      <c r="A990" s="790">
        <v>994</v>
      </c>
      <c r="B990" s="791">
        <f t="shared" ca="1" si="798"/>
        <v>43134</v>
      </c>
      <c r="C990" s="792" t="s">
        <v>2583</v>
      </c>
      <c r="D990" s="793" t="s">
        <v>2582</v>
      </c>
      <c r="E990" s="794" t="s">
        <v>1563</v>
      </c>
      <c r="F990" s="795" t="s">
        <v>2340</v>
      </c>
      <c r="G990" s="845"/>
      <c r="H990" s="797" t="s">
        <v>603</v>
      </c>
      <c r="I990" s="798">
        <v>42754</v>
      </c>
      <c r="J990" s="799">
        <f t="shared" ca="1" si="799"/>
        <v>1.0410958904109588</v>
      </c>
      <c r="K990" s="799">
        <f t="shared" ca="1" si="800"/>
        <v>12.666666666666666</v>
      </c>
      <c r="L990" s="800">
        <f t="shared" ca="1" si="801"/>
        <v>380</v>
      </c>
      <c r="M990" s="801"/>
      <c r="N990" s="802"/>
      <c r="O990" s="803" t="str">
        <f t="shared" ca="1" si="802"/>
        <v>-</v>
      </c>
      <c r="P990" s="804"/>
      <c r="Q990" s="805"/>
      <c r="R990" s="806"/>
      <c r="S990" s="807"/>
      <c r="T990" s="798"/>
      <c r="U990" s="798" t="str">
        <f t="shared" si="803"/>
        <v>-</v>
      </c>
      <c r="V990" s="804" t="str">
        <f t="shared" ca="1" si="804"/>
        <v>-</v>
      </c>
      <c r="W990" s="808">
        <v>0</v>
      </c>
      <c r="X990" s="794" t="str">
        <f t="shared" si="797"/>
        <v>-</v>
      </c>
      <c r="Y990" s="794">
        <v>0</v>
      </c>
      <c r="Z990" s="809" t="str">
        <f t="shared" ca="1" si="805"/>
        <v>-----</v>
      </c>
      <c r="AA990" s="810">
        <f t="shared" ca="1" si="806"/>
        <v>43134</v>
      </c>
      <c r="AB990" s="804"/>
      <c r="AC990" s="811" t="str">
        <f t="shared" ca="1" si="807"/>
        <v>-----</v>
      </c>
      <c r="AD990" s="798"/>
      <c r="AE990" s="794" t="str">
        <f t="shared" ca="1" si="808"/>
        <v>-</v>
      </c>
      <c r="AF990" s="798" t="str">
        <f t="shared" si="809"/>
        <v>-</v>
      </c>
      <c r="AG990" s="812" t="str">
        <f t="shared" si="810"/>
        <v>---------</v>
      </c>
      <c r="AH990" s="807"/>
      <c r="AI990" s="807" t="str">
        <f t="shared" si="811"/>
        <v>-</v>
      </c>
      <c r="AJ990" s="807" t="str">
        <f t="shared" si="812"/>
        <v>-</v>
      </c>
      <c r="AK990" s="813"/>
      <c r="AL990" s="807" t="str">
        <f t="shared" si="813"/>
        <v>-</v>
      </c>
      <c r="AM990" s="807" t="str">
        <f t="shared" si="814"/>
        <v>-</v>
      </c>
      <c r="AN990" s="814" t="str">
        <f t="shared" ca="1" si="815"/>
        <v>-</v>
      </c>
      <c r="AO990" s="815">
        <v>1</v>
      </c>
      <c r="AP990" s="816" t="str">
        <f t="shared" ca="1" si="816"/>
        <v>-</v>
      </c>
      <c r="AQ990" s="817"/>
      <c r="AR990" s="794" t="str">
        <f t="shared" si="817"/>
        <v>-</v>
      </c>
      <c r="AS990" s="818"/>
      <c r="AT990" s="794" t="str">
        <f t="shared" si="818"/>
        <v>-</v>
      </c>
      <c r="AU990" s="819"/>
      <c r="AV990" s="820"/>
      <c r="AW990" s="821"/>
      <c r="AX990" s="821"/>
      <c r="AY990" s="969" t="str">
        <f t="shared" si="819"/>
        <v>-</v>
      </c>
      <c r="AZ990" s="966" t="str">
        <f t="shared" si="820"/>
        <v>-</v>
      </c>
      <c r="BA990" s="971" t="str">
        <f t="shared" si="821"/>
        <v>-</v>
      </c>
      <c r="BB990" s="975"/>
      <c r="BC990" s="821"/>
      <c r="BD990" s="821"/>
      <c r="BE990" s="963" t="str">
        <f t="shared" si="822"/>
        <v>-</v>
      </c>
      <c r="BF990" s="984"/>
      <c r="BG990" s="988"/>
      <c r="BH990" s="982"/>
      <c r="BI990" s="991"/>
      <c r="BJ990" s="991"/>
      <c r="BK990" s="993" t="str">
        <f t="shared" si="823"/>
        <v>-</v>
      </c>
      <c r="BL990" s="820">
        <v>42977</v>
      </c>
      <c r="BM990" s="821">
        <v>5</v>
      </c>
      <c r="BN990" s="822">
        <f t="shared" ca="1" si="824"/>
        <v>157</v>
      </c>
      <c r="BO990" s="823">
        <f t="shared" si="825"/>
        <v>7.4333333333333336</v>
      </c>
      <c r="BP990" s="824"/>
      <c r="BQ990" s="821"/>
      <c r="BR990" s="822" t="str">
        <f t="shared" si="826"/>
        <v>-</v>
      </c>
      <c r="BS990" s="823" t="str">
        <f t="shared" si="827"/>
        <v>-</v>
      </c>
      <c r="BT990" s="825" t="str">
        <f t="shared" ca="1" si="828"/>
        <v>-</v>
      </c>
      <c r="BU990" s="826"/>
      <c r="BV990" s="827"/>
      <c r="BW990" s="828" t="str">
        <f t="shared" si="829"/>
        <v>Ж-Е НЕ ВАКЦ.</v>
      </c>
      <c r="BX990" s="829" t="str">
        <f t="shared" si="830"/>
        <v>-</v>
      </c>
      <c r="BY990" s="830" t="str">
        <f t="shared" ca="1" si="831"/>
        <v>-</v>
      </c>
      <c r="BZ990" s="831">
        <v>42888</v>
      </c>
      <c r="CA990" s="832">
        <v>5</v>
      </c>
      <c r="CB990" s="833">
        <f t="shared" ca="1" si="832"/>
        <v>246</v>
      </c>
      <c r="CC990" s="834" t="str">
        <f t="shared" ca="1" si="833"/>
        <v>-</v>
      </c>
      <c r="CD990" s="835">
        <f t="shared" si="834"/>
        <v>42909</v>
      </c>
      <c r="CE990" s="831">
        <v>42909</v>
      </c>
      <c r="CF990" s="832">
        <v>5</v>
      </c>
      <c r="CG990" s="833">
        <f t="shared" ca="1" si="835"/>
        <v>225</v>
      </c>
      <c r="CH990" s="836">
        <f t="shared" si="836"/>
        <v>0</v>
      </c>
      <c r="CI990" s="837" t="str">
        <f t="shared" si="837"/>
        <v>УСПЕШНО</v>
      </c>
      <c r="CJ990" s="838" t="str">
        <f t="shared" ca="1" si="838"/>
        <v>-</v>
      </c>
      <c r="CK990" s="831"/>
      <c r="CL990" s="832"/>
      <c r="CM990" s="833" t="str">
        <f t="shared" si="839"/>
        <v>-</v>
      </c>
      <c r="CN990" s="834" t="str">
        <f t="shared" si="840"/>
        <v>-</v>
      </c>
      <c r="CO990" s="830" t="str">
        <f t="shared" ca="1" si="841"/>
        <v>-</v>
      </c>
      <c r="CP990" s="839"/>
      <c r="CQ990" s="832"/>
      <c r="CR990" s="833" t="str">
        <f t="shared" si="842"/>
        <v>-</v>
      </c>
      <c r="CS990" s="833" t="str">
        <f t="shared" si="843"/>
        <v>-</v>
      </c>
      <c r="CT990" s="834" t="str">
        <f t="shared" si="844"/>
        <v>-</v>
      </c>
      <c r="CU990" s="835" t="str">
        <f t="shared" si="845"/>
        <v>-</v>
      </c>
      <c r="CV990" s="839"/>
      <c r="CW990" s="832"/>
      <c r="CX990" s="833" t="str">
        <f t="shared" si="846"/>
        <v>-</v>
      </c>
      <c r="CY990" s="840" t="str">
        <f t="shared" si="847"/>
        <v>-</v>
      </c>
      <c r="CZ990" s="833" t="str">
        <f t="shared" si="848"/>
        <v>-</v>
      </c>
      <c r="DA990" s="838" t="str">
        <f t="shared" ca="1" si="849"/>
        <v>-</v>
      </c>
      <c r="DB990" s="841"/>
      <c r="DC990" s="832"/>
    </row>
    <row r="991" spans="1:107" x14ac:dyDescent="0.25">
      <c r="A991" s="790">
        <v>995</v>
      </c>
      <c r="B991" s="791">
        <f t="shared" ca="1" si="798"/>
        <v>43134</v>
      </c>
      <c r="C991" s="792" t="s">
        <v>2583</v>
      </c>
      <c r="D991" s="793" t="s">
        <v>2582</v>
      </c>
      <c r="E991" s="794" t="s">
        <v>1563</v>
      </c>
      <c r="F991" s="795" t="s">
        <v>2341</v>
      </c>
      <c r="G991" s="845"/>
      <c r="H991" s="797" t="s">
        <v>603</v>
      </c>
      <c r="I991" s="798">
        <v>42754</v>
      </c>
      <c r="J991" s="799">
        <f t="shared" ca="1" si="799"/>
        <v>1.0410958904109588</v>
      </c>
      <c r="K991" s="799">
        <f t="shared" ca="1" si="800"/>
        <v>12.666666666666666</v>
      </c>
      <c r="L991" s="800">
        <f t="shared" ca="1" si="801"/>
        <v>380</v>
      </c>
      <c r="M991" s="801"/>
      <c r="N991" s="802"/>
      <c r="O991" s="803" t="str">
        <f t="shared" ca="1" si="802"/>
        <v>-</v>
      </c>
      <c r="P991" s="804"/>
      <c r="Q991" s="805"/>
      <c r="R991" s="806"/>
      <c r="S991" s="807"/>
      <c r="T991" s="798"/>
      <c r="U991" s="798" t="str">
        <f t="shared" si="803"/>
        <v>-</v>
      </c>
      <c r="V991" s="804" t="str">
        <f t="shared" ca="1" si="804"/>
        <v>-</v>
      </c>
      <c r="W991" s="808">
        <v>0</v>
      </c>
      <c r="X991" s="794" t="str">
        <f t="shared" si="797"/>
        <v>-</v>
      </c>
      <c r="Y991" s="794">
        <v>0</v>
      </c>
      <c r="Z991" s="809" t="str">
        <f t="shared" ca="1" si="805"/>
        <v>-----</v>
      </c>
      <c r="AA991" s="810">
        <f t="shared" ca="1" si="806"/>
        <v>43134</v>
      </c>
      <c r="AB991" s="804"/>
      <c r="AC991" s="811" t="str">
        <f t="shared" ca="1" si="807"/>
        <v>-----</v>
      </c>
      <c r="AD991" s="798"/>
      <c r="AE991" s="794" t="str">
        <f t="shared" ca="1" si="808"/>
        <v>-</v>
      </c>
      <c r="AF991" s="798" t="str">
        <f t="shared" si="809"/>
        <v>-</v>
      </c>
      <c r="AG991" s="812" t="str">
        <f t="shared" si="810"/>
        <v>---------</v>
      </c>
      <c r="AH991" s="807"/>
      <c r="AI991" s="807" t="str">
        <f t="shared" si="811"/>
        <v>-</v>
      </c>
      <c r="AJ991" s="807" t="str">
        <f t="shared" si="812"/>
        <v>-</v>
      </c>
      <c r="AK991" s="813"/>
      <c r="AL991" s="807" t="str">
        <f t="shared" si="813"/>
        <v>-</v>
      </c>
      <c r="AM991" s="807" t="str">
        <f t="shared" si="814"/>
        <v>-</v>
      </c>
      <c r="AN991" s="814" t="str">
        <f t="shared" ca="1" si="815"/>
        <v>-</v>
      </c>
      <c r="AO991" s="815">
        <v>1</v>
      </c>
      <c r="AP991" s="816" t="str">
        <f t="shared" ca="1" si="816"/>
        <v>-</v>
      </c>
      <c r="AQ991" s="817"/>
      <c r="AR991" s="794" t="str">
        <f t="shared" si="817"/>
        <v>-</v>
      </c>
      <c r="AS991" s="818"/>
      <c r="AT991" s="794" t="str">
        <f t="shared" si="818"/>
        <v>-</v>
      </c>
      <c r="AU991" s="819"/>
      <c r="AV991" s="820"/>
      <c r="AW991" s="821"/>
      <c r="AX991" s="821"/>
      <c r="AY991" s="969" t="str">
        <f t="shared" si="819"/>
        <v>-</v>
      </c>
      <c r="AZ991" s="966" t="str">
        <f t="shared" si="820"/>
        <v>-</v>
      </c>
      <c r="BA991" s="971" t="str">
        <f t="shared" si="821"/>
        <v>-</v>
      </c>
      <c r="BB991" s="975"/>
      <c r="BC991" s="821"/>
      <c r="BD991" s="821"/>
      <c r="BE991" s="963" t="str">
        <f t="shared" si="822"/>
        <v>-</v>
      </c>
      <c r="BF991" s="984"/>
      <c r="BG991" s="988"/>
      <c r="BH991" s="982"/>
      <c r="BI991" s="991"/>
      <c r="BJ991" s="991"/>
      <c r="BK991" s="993" t="str">
        <f t="shared" si="823"/>
        <v>-</v>
      </c>
      <c r="BL991" s="820">
        <v>42978</v>
      </c>
      <c r="BM991" s="821">
        <v>5</v>
      </c>
      <c r="BN991" s="822">
        <f t="shared" ca="1" si="824"/>
        <v>156</v>
      </c>
      <c r="BO991" s="823">
        <f t="shared" si="825"/>
        <v>7.4666666666666668</v>
      </c>
      <c r="BP991" s="824"/>
      <c r="BQ991" s="821"/>
      <c r="BR991" s="822" t="str">
        <f t="shared" si="826"/>
        <v>-</v>
      </c>
      <c r="BS991" s="823" t="str">
        <f t="shared" si="827"/>
        <v>-</v>
      </c>
      <c r="BT991" s="825" t="str">
        <f t="shared" ca="1" si="828"/>
        <v>-</v>
      </c>
      <c r="BU991" s="826"/>
      <c r="BV991" s="827"/>
      <c r="BW991" s="828" t="str">
        <f t="shared" si="829"/>
        <v>Ж-Е НЕ ВАКЦ.</v>
      </c>
      <c r="BX991" s="829" t="str">
        <f t="shared" si="830"/>
        <v>-</v>
      </c>
      <c r="BY991" s="830" t="str">
        <f t="shared" ca="1" si="831"/>
        <v>-</v>
      </c>
      <c r="BZ991" s="831">
        <v>42888</v>
      </c>
      <c r="CA991" s="832">
        <v>5</v>
      </c>
      <c r="CB991" s="833">
        <f t="shared" ca="1" si="832"/>
        <v>246</v>
      </c>
      <c r="CC991" s="834" t="str">
        <f t="shared" ca="1" si="833"/>
        <v>-</v>
      </c>
      <c r="CD991" s="835">
        <f t="shared" si="834"/>
        <v>42909</v>
      </c>
      <c r="CE991" s="831">
        <v>42909</v>
      </c>
      <c r="CF991" s="832">
        <v>5</v>
      </c>
      <c r="CG991" s="833">
        <f t="shared" ca="1" si="835"/>
        <v>225</v>
      </c>
      <c r="CH991" s="836">
        <f t="shared" si="836"/>
        <v>0</v>
      </c>
      <c r="CI991" s="837" t="str">
        <f t="shared" si="837"/>
        <v>УСПЕШНО</v>
      </c>
      <c r="CJ991" s="838" t="str">
        <f t="shared" ca="1" si="838"/>
        <v>-</v>
      </c>
      <c r="CK991" s="831"/>
      <c r="CL991" s="832"/>
      <c r="CM991" s="833" t="str">
        <f t="shared" si="839"/>
        <v>-</v>
      </c>
      <c r="CN991" s="834" t="str">
        <f t="shared" si="840"/>
        <v>-</v>
      </c>
      <c r="CO991" s="830" t="str">
        <f t="shared" ca="1" si="841"/>
        <v>-</v>
      </c>
      <c r="CP991" s="839"/>
      <c r="CQ991" s="832"/>
      <c r="CR991" s="833" t="str">
        <f t="shared" si="842"/>
        <v>-</v>
      </c>
      <c r="CS991" s="833" t="str">
        <f t="shared" si="843"/>
        <v>-</v>
      </c>
      <c r="CT991" s="834" t="str">
        <f t="shared" si="844"/>
        <v>-</v>
      </c>
      <c r="CU991" s="835" t="str">
        <f t="shared" si="845"/>
        <v>-</v>
      </c>
      <c r="CV991" s="839"/>
      <c r="CW991" s="832"/>
      <c r="CX991" s="833" t="str">
        <f t="shared" si="846"/>
        <v>-</v>
      </c>
      <c r="CY991" s="840" t="str">
        <f t="shared" si="847"/>
        <v>-</v>
      </c>
      <c r="CZ991" s="833" t="str">
        <f t="shared" si="848"/>
        <v>-</v>
      </c>
      <c r="DA991" s="838" t="str">
        <f t="shared" ca="1" si="849"/>
        <v>-</v>
      </c>
      <c r="DB991" s="841"/>
      <c r="DC991" s="832"/>
    </row>
    <row r="992" spans="1:107" x14ac:dyDescent="0.25">
      <c r="A992" s="790">
        <v>996</v>
      </c>
      <c r="B992" s="791">
        <f t="shared" ca="1" si="798"/>
        <v>43134</v>
      </c>
      <c r="C992" s="792" t="s">
        <v>2583</v>
      </c>
      <c r="D992" s="793" t="s">
        <v>2582</v>
      </c>
      <c r="E992" s="794" t="s">
        <v>1563</v>
      </c>
      <c r="F992" s="795" t="s">
        <v>2342</v>
      </c>
      <c r="G992" s="845"/>
      <c r="H992" s="797" t="s">
        <v>603</v>
      </c>
      <c r="I992" s="798">
        <v>42755</v>
      </c>
      <c r="J992" s="799">
        <f t="shared" ca="1" si="799"/>
        <v>1.0383561643835617</v>
      </c>
      <c r="K992" s="799">
        <f t="shared" ca="1" si="800"/>
        <v>12.633333333333333</v>
      </c>
      <c r="L992" s="800">
        <f t="shared" ca="1" si="801"/>
        <v>379</v>
      </c>
      <c r="M992" s="801"/>
      <c r="N992" s="802"/>
      <c r="O992" s="803" t="str">
        <f t="shared" ca="1" si="802"/>
        <v>-</v>
      </c>
      <c r="P992" s="804"/>
      <c r="Q992" s="805"/>
      <c r="R992" s="806"/>
      <c r="S992" s="807"/>
      <c r="T992" s="798"/>
      <c r="U992" s="798" t="str">
        <f t="shared" si="803"/>
        <v>-</v>
      </c>
      <c r="V992" s="804" t="str">
        <f t="shared" ca="1" si="804"/>
        <v>-</v>
      </c>
      <c r="W992" s="808">
        <v>0</v>
      </c>
      <c r="X992" s="794" t="str">
        <f t="shared" si="797"/>
        <v>-</v>
      </c>
      <c r="Y992" s="794">
        <v>0</v>
      </c>
      <c r="Z992" s="809" t="str">
        <f t="shared" ca="1" si="805"/>
        <v>-----</v>
      </c>
      <c r="AA992" s="810">
        <f t="shared" ca="1" si="806"/>
        <v>43134</v>
      </c>
      <c r="AB992" s="804"/>
      <c r="AC992" s="811" t="str">
        <f t="shared" ca="1" si="807"/>
        <v>-----</v>
      </c>
      <c r="AD992" s="798"/>
      <c r="AE992" s="794" t="str">
        <f t="shared" ca="1" si="808"/>
        <v>-</v>
      </c>
      <c r="AF992" s="798" t="str">
        <f t="shared" si="809"/>
        <v>-</v>
      </c>
      <c r="AG992" s="812" t="str">
        <f t="shared" si="810"/>
        <v>---------</v>
      </c>
      <c r="AH992" s="807"/>
      <c r="AI992" s="807" t="str">
        <f t="shared" si="811"/>
        <v>-</v>
      </c>
      <c r="AJ992" s="807" t="str">
        <f t="shared" si="812"/>
        <v>-</v>
      </c>
      <c r="AK992" s="813"/>
      <c r="AL992" s="807" t="str">
        <f t="shared" si="813"/>
        <v>-</v>
      </c>
      <c r="AM992" s="807" t="str">
        <f t="shared" si="814"/>
        <v>-</v>
      </c>
      <c r="AN992" s="814" t="str">
        <f t="shared" ca="1" si="815"/>
        <v>-</v>
      </c>
      <c r="AO992" s="815">
        <v>1</v>
      </c>
      <c r="AP992" s="816" t="str">
        <f t="shared" ca="1" si="816"/>
        <v>-</v>
      </c>
      <c r="AQ992" s="817"/>
      <c r="AR992" s="794" t="str">
        <f t="shared" si="817"/>
        <v>-</v>
      </c>
      <c r="AS992" s="818"/>
      <c r="AT992" s="794" t="str">
        <f t="shared" si="818"/>
        <v>-</v>
      </c>
      <c r="AU992" s="819"/>
      <c r="AV992" s="820"/>
      <c r="AW992" s="821"/>
      <c r="AX992" s="821"/>
      <c r="AY992" s="969" t="str">
        <f t="shared" si="819"/>
        <v>-</v>
      </c>
      <c r="AZ992" s="966" t="str">
        <f t="shared" si="820"/>
        <v>-</v>
      </c>
      <c r="BA992" s="971" t="str">
        <f t="shared" si="821"/>
        <v>-</v>
      </c>
      <c r="BB992" s="975"/>
      <c r="BC992" s="821"/>
      <c r="BD992" s="821"/>
      <c r="BE992" s="963" t="str">
        <f t="shared" si="822"/>
        <v>-</v>
      </c>
      <c r="BF992" s="984"/>
      <c r="BG992" s="988"/>
      <c r="BH992" s="982"/>
      <c r="BI992" s="991"/>
      <c r="BJ992" s="991"/>
      <c r="BK992" s="993" t="str">
        <f t="shared" si="823"/>
        <v>-</v>
      </c>
      <c r="BL992" s="820">
        <v>42977</v>
      </c>
      <c r="BM992" s="821">
        <v>5</v>
      </c>
      <c r="BN992" s="822">
        <f t="shared" ca="1" si="824"/>
        <v>157</v>
      </c>
      <c r="BO992" s="823">
        <f t="shared" si="825"/>
        <v>7.4</v>
      </c>
      <c r="BP992" s="824"/>
      <c r="BQ992" s="821"/>
      <c r="BR992" s="822" t="str">
        <f t="shared" si="826"/>
        <v>-</v>
      </c>
      <c r="BS992" s="823" t="str">
        <f t="shared" si="827"/>
        <v>-</v>
      </c>
      <c r="BT992" s="825" t="str">
        <f t="shared" ca="1" si="828"/>
        <v>-</v>
      </c>
      <c r="BU992" s="826"/>
      <c r="BV992" s="827"/>
      <c r="BW992" s="828" t="str">
        <f t="shared" si="829"/>
        <v>Ж-Е НЕ ВАКЦ.</v>
      </c>
      <c r="BX992" s="829" t="str">
        <f t="shared" si="830"/>
        <v>-</v>
      </c>
      <c r="BY992" s="830" t="str">
        <f t="shared" ca="1" si="831"/>
        <v>-</v>
      </c>
      <c r="BZ992" s="831">
        <v>42888</v>
      </c>
      <c r="CA992" s="832">
        <v>5</v>
      </c>
      <c r="CB992" s="833">
        <f t="shared" ca="1" si="832"/>
        <v>246</v>
      </c>
      <c r="CC992" s="834" t="str">
        <f t="shared" ca="1" si="833"/>
        <v>-</v>
      </c>
      <c r="CD992" s="835">
        <f t="shared" si="834"/>
        <v>42909</v>
      </c>
      <c r="CE992" s="831">
        <v>42909</v>
      </c>
      <c r="CF992" s="832">
        <v>5</v>
      </c>
      <c r="CG992" s="833">
        <f t="shared" ca="1" si="835"/>
        <v>225</v>
      </c>
      <c r="CH992" s="836">
        <f t="shared" si="836"/>
        <v>0</v>
      </c>
      <c r="CI992" s="837" t="str">
        <f t="shared" si="837"/>
        <v>УСПЕШНО</v>
      </c>
      <c r="CJ992" s="838" t="str">
        <f t="shared" ca="1" si="838"/>
        <v>-</v>
      </c>
      <c r="CK992" s="831"/>
      <c r="CL992" s="832"/>
      <c r="CM992" s="833" t="str">
        <f t="shared" si="839"/>
        <v>-</v>
      </c>
      <c r="CN992" s="834" t="str">
        <f t="shared" si="840"/>
        <v>-</v>
      </c>
      <c r="CO992" s="830" t="str">
        <f t="shared" ca="1" si="841"/>
        <v>-</v>
      </c>
      <c r="CP992" s="839"/>
      <c r="CQ992" s="832"/>
      <c r="CR992" s="833" t="str">
        <f t="shared" si="842"/>
        <v>-</v>
      </c>
      <c r="CS992" s="833" t="str">
        <f t="shared" si="843"/>
        <v>-</v>
      </c>
      <c r="CT992" s="834" t="str">
        <f t="shared" si="844"/>
        <v>-</v>
      </c>
      <c r="CU992" s="835" t="str">
        <f t="shared" si="845"/>
        <v>-</v>
      </c>
      <c r="CV992" s="839"/>
      <c r="CW992" s="832"/>
      <c r="CX992" s="833" t="str">
        <f t="shared" si="846"/>
        <v>-</v>
      </c>
      <c r="CY992" s="840" t="str">
        <f t="shared" si="847"/>
        <v>-</v>
      </c>
      <c r="CZ992" s="833" t="str">
        <f t="shared" si="848"/>
        <v>-</v>
      </c>
      <c r="DA992" s="838" t="str">
        <f t="shared" ca="1" si="849"/>
        <v>-</v>
      </c>
      <c r="DB992" s="841"/>
      <c r="DC992" s="832"/>
    </row>
    <row r="993" spans="1:107" x14ac:dyDescent="0.25">
      <c r="A993" s="790">
        <v>997</v>
      </c>
      <c r="B993" s="791">
        <f t="shared" ca="1" si="798"/>
        <v>43134</v>
      </c>
      <c r="C993" s="792" t="s">
        <v>2583</v>
      </c>
      <c r="D993" s="793" t="s">
        <v>2582</v>
      </c>
      <c r="E993" s="794" t="s">
        <v>1563</v>
      </c>
      <c r="F993" s="795" t="s">
        <v>2344</v>
      </c>
      <c r="G993" s="845"/>
      <c r="H993" s="797" t="s">
        <v>603</v>
      </c>
      <c r="I993" s="798">
        <v>42756</v>
      </c>
      <c r="J993" s="799">
        <f t="shared" ca="1" si="799"/>
        <v>1.0356164383561643</v>
      </c>
      <c r="K993" s="799">
        <f t="shared" ca="1" si="800"/>
        <v>12.6</v>
      </c>
      <c r="L993" s="800">
        <f t="shared" ca="1" si="801"/>
        <v>378</v>
      </c>
      <c r="M993" s="801"/>
      <c r="N993" s="802"/>
      <c r="O993" s="803" t="str">
        <f t="shared" ca="1" si="802"/>
        <v>-</v>
      </c>
      <c r="P993" s="804"/>
      <c r="Q993" s="805"/>
      <c r="R993" s="806"/>
      <c r="S993" s="807"/>
      <c r="T993" s="798"/>
      <c r="U993" s="798" t="str">
        <f t="shared" si="803"/>
        <v>-</v>
      </c>
      <c r="V993" s="804" t="str">
        <f t="shared" ca="1" si="804"/>
        <v>-</v>
      </c>
      <c r="W993" s="808">
        <v>0</v>
      </c>
      <c r="X993" s="794" t="str">
        <f t="shared" si="797"/>
        <v>-</v>
      </c>
      <c r="Y993" s="794">
        <v>0</v>
      </c>
      <c r="Z993" s="809" t="str">
        <f t="shared" ca="1" si="805"/>
        <v>-----</v>
      </c>
      <c r="AA993" s="810">
        <f t="shared" ca="1" si="806"/>
        <v>43134</v>
      </c>
      <c r="AB993" s="804"/>
      <c r="AC993" s="811" t="str">
        <f t="shared" ca="1" si="807"/>
        <v>-----</v>
      </c>
      <c r="AD993" s="798"/>
      <c r="AE993" s="794" t="str">
        <f t="shared" ca="1" si="808"/>
        <v>-</v>
      </c>
      <c r="AF993" s="798" t="str">
        <f t="shared" si="809"/>
        <v>-</v>
      </c>
      <c r="AG993" s="812" t="str">
        <f t="shared" si="810"/>
        <v>---------</v>
      </c>
      <c r="AH993" s="807"/>
      <c r="AI993" s="807" t="str">
        <f t="shared" si="811"/>
        <v>-</v>
      </c>
      <c r="AJ993" s="807" t="str">
        <f t="shared" si="812"/>
        <v>-</v>
      </c>
      <c r="AK993" s="813"/>
      <c r="AL993" s="807" t="str">
        <f t="shared" si="813"/>
        <v>-</v>
      </c>
      <c r="AM993" s="807" t="str">
        <f t="shared" si="814"/>
        <v>-</v>
      </c>
      <c r="AN993" s="814" t="str">
        <f t="shared" ca="1" si="815"/>
        <v>-</v>
      </c>
      <c r="AO993" s="815">
        <v>1</v>
      </c>
      <c r="AP993" s="816" t="str">
        <f t="shared" ca="1" si="816"/>
        <v>-</v>
      </c>
      <c r="AQ993" s="817"/>
      <c r="AR993" s="794" t="str">
        <f t="shared" si="817"/>
        <v>-</v>
      </c>
      <c r="AS993" s="818"/>
      <c r="AT993" s="794" t="str">
        <f t="shared" si="818"/>
        <v>-</v>
      </c>
      <c r="AU993" s="819"/>
      <c r="AV993" s="820"/>
      <c r="AW993" s="821"/>
      <c r="AX993" s="821"/>
      <c r="AY993" s="969" t="str">
        <f t="shared" si="819"/>
        <v>-</v>
      </c>
      <c r="AZ993" s="966" t="str">
        <f t="shared" si="820"/>
        <v>-</v>
      </c>
      <c r="BA993" s="971" t="str">
        <f t="shared" si="821"/>
        <v>-</v>
      </c>
      <c r="BB993" s="975"/>
      <c r="BC993" s="821"/>
      <c r="BD993" s="821"/>
      <c r="BE993" s="963" t="str">
        <f t="shared" si="822"/>
        <v>-</v>
      </c>
      <c r="BF993" s="984"/>
      <c r="BG993" s="988"/>
      <c r="BH993" s="982"/>
      <c r="BI993" s="991"/>
      <c r="BJ993" s="991"/>
      <c r="BK993" s="993" t="str">
        <f t="shared" si="823"/>
        <v>-</v>
      </c>
      <c r="BL993" s="820">
        <v>42977</v>
      </c>
      <c r="BM993" s="821">
        <v>5</v>
      </c>
      <c r="BN993" s="822">
        <f t="shared" ca="1" si="824"/>
        <v>157</v>
      </c>
      <c r="BO993" s="823">
        <f t="shared" si="825"/>
        <v>7.3666666666666663</v>
      </c>
      <c r="BP993" s="824"/>
      <c r="BQ993" s="821"/>
      <c r="BR993" s="822" t="str">
        <f t="shared" si="826"/>
        <v>-</v>
      </c>
      <c r="BS993" s="823" t="str">
        <f t="shared" si="827"/>
        <v>-</v>
      </c>
      <c r="BT993" s="825" t="str">
        <f t="shared" ca="1" si="828"/>
        <v>-</v>
      </c>
      <c r="BU993" s="826"/>
      <c r="BV993" s="827"/>
      <c r="BW993" s="828" t="str">
        <f t="shared" si="829"/>
        <v>Ж-Е НЕ ВАКЦ.</v>
      </c>
      <c r="BX993" s="829" t="str">
        <f t="shared" si="830"/>
        <v>-</v>
      </c>
      <c r="BY993" s="830" t="str">
        <f t="shared" ca="1" si="831"/>
        <v>-</v>
      </c>
      <c r="BZ993" s="831">
        <v>42888</v>
      </c>
      <c r="CA993" s="832">
        <v>5</v>
      </c>
      <c r="CB993" s="833">
        <f t="shared" ca="1" si="832"/>
        <v>246</v>
      </c>
      <c r="CC993" s="834" t="str">
        <f t="shared" ca="1" si="833"/>
        <v>-</v>
      </c>
      <c r="CD993" s="835">
        <f t="shared" si="834"/>
        <v>42909</v>
      </c>
      <c r="CE993" s="831">
        <v>42909</v>
      </c>
      <c r="CF993" s="832">
        <v>5</v>
      </c>
      <c r="CG993" s="833">
        <f t="shared" ca="1" si="835"/>
        <v>225</v>
      </c>
      <c r="CH993" s="836">
        <f t="shared" si="836"/>
        <v>0</v>
      </c>
      <c r="CI993" s="837" t="str">
        <f t="shared" si="837"/>
        <v>УСПЕШНО</v>
      </c>
      <c r="CJ993" s="838" t="str">
        <f t="shared" ca="1" si="838"/>
        <v>-</v>
      </c>
      <c r="CK993" s="831"/>
      <c r="CL993" s="832"/>
      <c r="CM993" s="833" t="str">
        <f t="shared" si="839"/>
        <v>-</v>
      </c>
      <c r="CN993" s="834" t="str">
        <f t="shared" si="840"/>
        <v>-</v>
      </c>
      <c r="CO993" s="830" t="str">
        <f t="shared" ca="1" si="841"/>
        <v>-</v>
      </c>
      <c r="CP993" s="839"/>
      <c r="CQ993" s="832"/>
      <c r="CR993" s="833" t="str">
        <f t="shared" si="842"/>
        <v>-</v>
      </c>
      <c r="CS993" s="833" t="str">
        <f t="shared" si="843"/>
        <v>-</v>
      </c>
      <c r="CT993" s="834" t="str">
        <f t="shared" si="844"/>
        <v>-</v>
      </c>
      <c r="CU993" s="835" t="str">
        <f t="shared" si="845"/>
        <v>-</v>
      </c>
      <c r="CV993" s="839"/>
      <c r="CW993" s="832"/>
      <c r="CX993" s="833" t="str">
        <f t="shared" si="846"/>
        <v>-</v>
      </c>
      <c r="CY993" s="840" t="str">
        <f t="shared" si="847"/>
        <v>-</v>
      </c>
      <c r="CZ993" s="833" t="str">
        <f t="shared" si="848"/>
        <v>-</v>
      </c>
      <c r="DA993" s="838" t="str">
        <f t="shared" ca="1" si="849"/>
        <v>-</v>
      </c>
      <c r="DB993" s="841"/>
      <c r="DC993" s="832"/>
    </row>
    <row r="994" spans="1:107" x14ac:dyDescent="0.25">
      <c r="A994" s="790">
        <v>998</v>
      </c>
      <c r="B994" s="791">
        <f t="shared" ca="1" si="798"/>
        <v>43134</v>
      </c>
      <c r="C994" s="792" t="s">
        <v>2583</v>
      </c>
      <c r="D994" s="793" t="s">
        <v>2582</v>
      </c>
      <c r="E994" s="794" t="s">
        <v>1563</v>
      </c>
      <c r="F994" s="795" t="s">
        <v>2345</v>
      </c>
      <c r="G994" s="845"/>
      <c r="H994" s="797" t="s">
        <v>603</v>
      </c>
      <c r="I994" s="798">
        <v>42756</v>
      </c>
      <c r="J994" s="799">
        <f t="shared" ca="1" si="799"/>
        <v>1.0356164383561643</v>
      </c>
      <c r="K994" s="799">
        <f t="shared" ca="1" si="800"/>
        <v>12.6</v>
      </c>
      <c r="L994" s="800">
        <f t="shared" ca="1" si="801"/>
        <v>378</v>
      </c>
      <c r="M994" s="801"/>
      <c r="N994" s="802"/>
      <c r="O994" s="803" t="str">
        <f t="shared" ca="1" si="802"/>
        <v>-</v>
      </c>
      <c r="P994" s="804"/>
      <c r="Q994" s="805"/>
      <c r="R994" s="806"/>
      <c r="S994" s="807"/>
      <c r="T994" s="798"/>
      <c r="U994" s="798" t="str">
        <f t="shared" si="803"/>
        <v>-</v>
      </c>
      <c r="V994" s="804" t="str">
        <f t="shared" ca="1" si="804"/>
        <v>-</v>
      </c>
      <c r="W994" s="808">
        <v>0</v>
      </c>
      <c r="X994" s="794" t="str">
        <f t="shared" si="797"/>
        <v>-</v>
      </c>
      <c r="Y994" s="794">
        <v>0</v>
      </c>
      <c r="Z994" s="809" t="str">
        <f t="shared" ca="1" si="805"/>
        <v>-----</v>
      </c>
      <c r="AA994" s="810">
        <f t="shared" ca="1" si="806"/>
        <v>43134</v>
      </c>
      <c r="AB994" s="804"/>
      <c r="AC994" s="811" t="str">
        <f t="shared" ca="1" si="807"/>
        <v>-----</v>
      </c>
      <c r="AD994" s="798"/>
      <c r="AE994" s="794" t="str">
        <f t="shared" ca="1" si="808"/>
        <v>-</v>
      </c>
      <c r="AF994" s="798" t="str">
        <f t="shared" si="809"/>
        <v>-</v>
      </c>
      <c r="AG994" s="812" t="str">
        <f t="shared" si="810"/>
        <v>---------</v>
      </c>
      <c r="AH994" s="807"/>
      <c r="AI994" s="807" t="str">
        <f t="shared" si="811"/>
        <v>-</v>
      </c>
      <c r="AJ994" s="807" t="str">
        <f t="shared" si="812"/>
        <v>-</v>
      </c>
      <c r="AK994" s="813"/>
      <c r="AL994" s="807" t="str">
        <f t="shared" si="813"/>
        <v>-</v>
      </c>
      <c r="AM994" s="807" t="str">
        <f t="shared" si="814"/>
        <v>-</v>
      </c>
      <c r="AN994" s="814" t="str">
        <f t="shared" ca="1" si="815"/>
        <v>-</v>
      </c>
      <c r="AO994" s="815">
        <v>1</v>
      </c>
      <c r="AP994" s="816" t="str">
        <f t="shared" ca="1" si="816"/>
        <v>-</v>
      </c>
      <c r="AQ994" s="817"/>
      <c r="AR994" s="794" t="str">
        <f t="shared" si="817"/>
        <v>-</v>
      </c>
      <c r="AS994" s="818"/>
      <c r="AT994" s="794" t="str">
        <f t="shared" si="818"/>
        <v>-</v>
      </c>
      <c r="AU994" s="819"/>
      <c r="AV994" s="820"/>
      <c r="AW994" s="821"/>
      <c r="AX994" s="821"/>
      <c r="AY994" s="969" t="str">
        <f t="shared" si="819"/>
        <v>-</v>
      </c>
      <c r="AZ994" s="966" t="str">
        <f t="shared" si="820"/>
        <v>-</v>
      </c>
      <c r="BA994" s="971" t="str">
        <f t="shared" si="821"/>
        <v>-</v>
      </c>
      <c r="BB994" s="975"/>
      <c r="BC994" s="821"/>
      <c r="BD994" s="821"/>
      <c r="BE994" s="963" t="str">
        <f t="shared" si="822"/>
        <v>-</v>
      </c>
      <c r="BF994" s="984"/>
      <c r="BG994" s="988"/>
      <c r="BH994" s="982"/>
      <c r="BI994" s="991"/>
      <c r="BJ994" s="991"/>
      <c r="BK994" s="993" t="str">
        <f t="shared" si="823"/>
        <v>-</v>
      </c>
      <c r="BL994" s="820">
        <v>42977</v>
      </c>
      <c r="BM994" s="821">
        <v>5</v>
      </c>
      <c r="BN994" s="822">
        <f t="shared" ca="1" si="824"/>
        <v>157</v>
      </c>
      <c r="BO994" s="823">
        <f t="shared" si="825"/>
        <v>7.3666666666666663</v>
      </c>
      <c r="BP994" s="824"/>
      <c r="BQ994" s="821"/>
      <c r="BR994" s="822" t="str">
        <f t="shared" si="826"/>
        <v>-</v>
      </c>
      <c r="BS994" s="823" t="str">
        <f t="shared" si="827"/>
        <v>-</v>
      </c>
      <c r="BT994" s="825" t="str">
        <f t="shared" ca="1" si="828"/>
        <v>-</v>
      </c>
      <c r="BU994" s="826"/>
      <c r="BV994" s="827"/>
      <c r="BW994" s="828" t="str">
        <f t="shared" si="829"/>
        <v>Ж-Е НЕ ВАКЦ.</v>
      </c>
      <c r="BX994" s="829" t="str">
        <f t="shared" si="830"/>
        <v>-</v>
      </c>
      <c r="BY994" s="830" t="str">
        <f t="shared" ca="1" si="831"/>
        <v>-</v>
      </c>
      <c r="BZ994" s="831">
        <v>42888</v>
      </c>
      <c r="CA994" s="832">
        <v>5</v>
      </c>
      <c r="CB994" s="833">
        <f t="shared" ca="1" si="832"/>
        <v>246</v>
      </c>
      <c r="CC994" s="834" t="str">
        <f t="shared" ca="1" si="833"/>
        <v>-</v>
      </c>
      <c r="CD994" s="835">
        <f t="shared" si="834"/>
        <v>42909</v>
      </c>
      <c r="CE994" s="831">
        <v>42909</v>
      </c>
      <c r="CF994" s="832">
        <v>5</v>
      </c>
      <c r="CG994" s="833">
        <f t="shared" ca="1" si="835"/>
        <v>225</v>
      </c>
      <c r="CH994" s="836">
        <f t="shared" si="836"/>
        <v>0</v>
      </c>
      <c r="CI994" s="837" t="str">
        <f t="shared" si="837"/>
        <v>УСПЕШНО</v>
      </c>
      <c r="CJ994" s="838" t="str">
        <f t="shared" ca="1" si="838"/>
        <v>-</v>
      </c>
      <c r="CK994" s="831"/>
      <c r="CL994" s="832"/>
      <c r="CM994" s="833" t="str">
        <f t="shared" si="839"/>
        <v>-</v>
      </c>
      <c r="CN994" s="834" t="str">
        <f t="shared" si="840"/>
        <v>-</v>
      </c>
      <c r="CO994" s="830" t="str">
        <f t="shared" ca="1" si="841"/>
        <v>-</v>
      </c>
      <c r="CP994" s="839"/>
      <c r="CQ994" s="832"/>
      <c r="CR994" s="833" t="str">
        <f t="shared" si="842"/>
        <v>-</v>
      </c>
      <c r="CS994" s="833" t="str">
        <f t="shared" si="843"/>
        <v>-</v>
      </c>
      <c r="CT994" s="834" t="str">
        <f t="shared" si="844"/>
        <v>-</v>
      </c>
      <c r="CU994" s="835" t="str">
        <f t="shared" si="845"/>
        <v>-</v>
      </c>
      <c r="CV994" s="839"/>
      <c r="CW994" s="832"/>
      <c r="CX994" s="833" t="str">
        <f t="shared" si="846"/>
        <v>-</v>
      </c>
      <c r="CY994" s="840" t="str">
        <f t="shared" si="847"/>
        <v>-</v>
      </c>
      <c r="CZ994" s="833" t="str">
        <f t="shared" si="848"/>
        <v>-</v>
      </c>
      <c r="DA994" s="838" t="str">
        <f t="shared" ca="1" si="849"/>
        <v>-</v>
      </c>
      <c r="DB994" s="841"/>
      <c r="DC994" s="832"/>
    </row>
    <row r="995" spans="1:107" x14ac:dyDescent="0.25">
      <c r="A995" s="790">
        <v>999</v>
      </c>
      <c r="B995" s="791">
        <f t="shared" ca="1" si="798"/>
        <v>43134</v>
      </c>
      <c r="C995" s="792" t="s">
        <v>2583</v>
      </c>
      <c r="D995" s="793" t="s">
        <v>2582</v>
      </c>
      <c r="E995" s="794" t="s">
        <v>1563</v>
      </c>
      <c r="F995" s="795" t="s">
        <v>2346</v>
      </c>
      <c r="G995" s="845"/>
      <c r="H995" s="797" t="s">
        <v>603</v>
      </c>
      <c r="I995" s="798">
        <v>42757</v>
      </c>
      <c r="J995" s="799">
        <f t="shared" ca="1" si="799"/>
        <v>1.0328767123287672</v>
      </c>
      <c r="K995" s="799">
        <f t="shared" ca="1" si="800"/>
        <v>12.566666666666666</v>
      </c>
      <c r="L995" s="800">
        <f t="shared" ca="1" si="801"/>
        <v>377</v>
      </c>
      <c r="M995" s="801"/>
      <c r="N995" s="802"/>
      <c r="O995" s="803" t="str">
        <f t="shared" ca="1" si="802"/>
        <v>-</v>
      </c>
      <c r="P995" s="804"/>
      <c r="Q995" s="805"/>
      <c r="R995" s="806"/>
      <c r="S995" s="807"/>
      <c r="T995" s="798"/>
      <c r="U995" s="798" t="str">
        <f t="shared" si="803"/>
        <v>-</v>
      </c>
      <c r="V995" s="804" t="str">
        <f t="shared" ca="1" si="804"/>
        <v>-</v>
      </c>
      <c r="W995" s="808">
        <v>0</v>
      </c>
      <c r="X995" s="794" t="str">
        <f t="shared" si="797"/>
        <v>-</v>
      </c>
      <c r="Y995" s="794">
        <v>0</v>
      </c>
      <c r="Z995" s="809" t="str">
        <f t="shared" ca="1" si="805"/>
        <v>-----</v>
      </c>
      <c r="AA995" s="810">
        <f t="shared" ca="1" si="806"/>
        <v>43134</v>
      </c>
      <c r="AB995" s="804"/>
      <c r="AC995" s="811" t="str">
        <f t="shared" ca="1" si="807"/>
        <v>-----</v>
      </c>
      <c r="AD995" s="798"/>
      <c r="AE995" s="794" t="str">
        <f t="shared" ca="1" si="808"/>
        <v>-</v>
      </c>
      <c r="AF995" s="798" t="str">
        <f t="shared" si="809"/>
        <v>-</v>
      </c>
      <c r="AG995" s="812" t="str">
        <f t="shared" si="810"/>
        <v>---------</v>
      </c>
      <c r="AH995" s="807"/>
      <c r="AI995" s="807" t="str">
        <f t="shared" si="811"/>
        <v>-</v>
      </c>
      <c r="AJ995" s="807" t="str">
        <f t="shared" si="812"/>
        <v>-</v>
      </c>
      <c r="AK995" s="813"/>
      <c r="AL995" s="807" t="str">
        <f t="shared" si="813"/>
        <v>-</v>
      </c>
      <c r="AM995" s="807" t="str">
        <f t="shared" si="814"/>
        <v>-</v>
      </c>
      <c r="AN995" s="814" t="str">
        <f t="shared" ca="1" si="815"/>
        <v>-</v>
      </c>
      <c r="AO995" s="815">
        <v>1</v>
      </c>
      <c r="AP995" s="816" t="str">
        <f t="shared" ca="1" si="816"/>
        <v>-</v>
      </c>
      <c r="AQ995" s="817"/>
      <c r="AR995" s="794" t="str">
        <f t="shared" si="817"/>
        <v>-</v>
      </c>
      <c r="AS995" s="818"/>
      <c r="AT995" s="794" t="str">
        <f t="shared" si="818"/>
        <v>-</v>
      </c>
      <c r="AU995" s="819"/>
      <c r="AV995" s="820"/>
      <c r="AW995" s="821"/>
      <c r="AX995" s="821"/>
      <c r="AY995" s="969" t="str">
        <f t="shared" si="819"/>
        <v>-</v>
      </c>
      <c r="AZ995" s="966" t="str">
        <f t="shared" si="820"/>
        <v>-</v>
      </c>
      <c r="BA995" s="971" t="str">
        <f t="shared" si="821"/>
        <v>-</v>
      </c>
      <c r="BB995" s="975"/>
      <c r="BC995" s="821"/>
      <c r="BD995" s="821"/>
      <c r="BE995" s="963" t="str">
        <f t="shared" si="822"/>
        <v>-</v>
      </c>
      <c r="BF995" s="984"/>
      <c r="BG995" s="988"/>
      <c r="BH995" s="982"/>
      <c r="BI995" s="991"/>
      <c r="BJ995" s="991"/>
      <c r="BK995" s="993" t="str">
        <f t="shared" si="823"/>
        <v>-</v>
      </c>
      <c r="BL995" s="820">
        <v>42977</v>
      </c>
      <c r="BM995" s="821">
        <v>5</v>
      </c>
      <c r="BN995" s="822">
        <f t="shared" ca="1" si="824"/>
        <v>157</v>
      </c>
      <c r="BO995" s="823">
        <f t="shared" si="825"/>
        <v>7.333333333333333</v>
      </c>
      <c r="BP995" s="824"/>
      <c r="BQ995" s="821"/>
      <c r="BR995" s="822" t="str">
        <f t="shared" si="826"/>
        <v>-</v>
      </c>
      <c r="BS995" s="823" t="str">
        <f t="shared" si="827"/>
        <v>-</v>
      </c>
      <c r="BT995" s="825" t="str">
        <f t="shared" ca="1" si="828"/>
        <v>-</v>
      </c>
      <c r="BU995" s="826"/>
      <c r="BV995" s="827"/>
      <c r="BW995" s="828" t="str">
        <f t="shared" si="829"/>
        <v>Ж-Е НЕ ВАКЦ.</v>
      </c>
      <c r="BX995" s="829" t="str">
        <f t="shared" si="830"/>
        <v>-</v>
      </c>
      <c r="BY995" s="830" t="str">
        <f t="shared" ca="1" si="831"/>
        <v>-</v>
      </c>
      <c r="BZ995" s="831">
        <v>42888</v>
      </c>
      <c r="CA995" s="832">
        <v>5</v>
      </c>
      <c r="CB995" s="833">
        <f t="shared" ca="1" si="832"/>
        <v>246</v>
      </c>
      <c r="CC995" s="834" t="str">
        <f t="shared" ca="1" si="833"/>
        <v>-</v>
      </c>
      <c r="CD995" s="835">
        <f t="shared" si="834"/>
        <v>42909</v>
      </c>
      <c r="CE995" s="831">
        <v>42909</v>
      </c>
      <c r="CF995" s="832">
        <v>5</v>
      </c>
      <c r="CG995" s="833">
        <f t="shared" ca="1" si="835"/>
        <v>225</v>
      </c>
      <c r="CH995" s="836">
        <f t="shared" si="836"/>
        <v>0</v>
      </c>
      <c r="CI995" s="837" t="str">
        <f t="shared" si="837"/>
        <v>УСПЕШНО</v>
      </c>
      <c r="CJ995" s="838" t="str">
        <f t="shared" ca="1" si="838"/>
        <v>-</v>
      </c>
      <c r="CK995" s="831"/>
      <c r="CL995" s="832"/>
      <c r="CM995" s="833" t="str">
        <f t="shared" si="839"/>
        <v>-</v>
      </c>
      <c r="CN995" s="834" t="str">
        <f t="shared" si="840"/>
        <v>-</v>
      </c>
      <c r="CO995" s="830" t="str">
        <f t="shared" ca="1" si="841"/>
        <v>-</v>
      </c>
      <c r="CP995" s="839"/>
      <c r="CQ995" s="832"/>
      <c r="CR995" s="833" t="str">
        <f t="shared" si="842"/>
        <v>-</v>
      </c>
      <c r="CS995" s="833" t="str">
        <f t="shared" si="843"/>
        <v>-</v>
      </c>
      <c r="CT995" s="834" t="str">
        <f t="shared" si="844"/>
        <v>-</v>
      </c>
      <c r="CU995" s="835" t="str">
        <f t="shared" si="845"/>
        <v>-</v>
      </c>
      <c r="CV995" s="839"/>
      <c r="CW995" s="832"/>
      <c r="CX995" s="833" t="str">
        <f t="shared" si="846"/>
        <v>-</v>
      </c>
      <c r="CY995" s="840" t="str">
        <f t="shared" si="847"/>
        <v>-</v>
      </c>
      <c r="CZ995" s="833" t="str">
        <f t="shared" si="848"/>
        <v>-</v>
      </c>
      <c r="DA995" s="838" t="str">
        <f t="shared" ca="1" si="849"/>
        <v>-</v>
      </c>
      <c r="DB995" s="841"/>
      <c r="DC995" s="832"/>
    </row>
    <row r="996" spans="1:107" x14ac:dyDescent="0.25">
      <c r="A996" s="790">
        <v>1000</v>
      </c>
      <c r="B996" s="791">
        <f t="shared" ca="1" si="798"/>
        <v>43134</v>
      </c>
      <c r="C996" s="792" t="s">
        <v>2583</v>
      </c>
      <c r="D996" s="793" t="s">
        <v>2582</v>
      </c>
      <c r="E996" s="794" t="s">
        <v>1563</v>
      </c>
      <c r="F996" s="795" t="s">
        <v>2350</v>
      </c>
      <c r="G996" s="845"/>
      <c r="H996" s="797" t="s">
        <v>603</v>
      </c>
      <c r="I996" s="798">
        <v>42759</v>
      </c>
      <c r="J996" s="799">
        <f t="shared" ca="1" si="799"/>
        <v>1.0273972602739727</v>
      </c>
      <c r="K996" s="799">
        <f t="shared" ca="1" si="800"/>
        <v>12.5</v>
      </c>
      <c r="L996" s="800">
        <f t="shared" ca="1" si="801"/>
        <v>375</v>
      </c>
      <c r="M996" s="801"/>
      <c r="N996" s="802"/>
      <c r="O996" s="803" t="str">
        <f t="shared" ca="1" si="802"/>
        <v>-</v>
      </c>
      <c r="P996" s="804"/>
      <c r="Q996" s="805"/>
      <c r="R996" s="806"/>
      <c r="S996" s="807"/>
      <c r="T996" s="798"/>
      <c r="U996" s="798" t="str">
        <f t="shared" si="803"/>
        <v>-</v>
      </c>
      <c r="V996" s="804" t="str">
        <f t="shared" ca="1" si="804"/>
        <v>-</v>
      </c>
      <c r="W996" s="808">
        <v>0</v>
      </c>
      <c r="X996" s="794" t="str">
        <f t="shared" si="797"/>
        <v>-</v>
      </c>
      <c r="Y996" s="794">
        <v>0</v>
      </c>
      <c r="Z996" s="809" t="str">
        <f t="shared" ca="1" si="805"/>
        <v>-----</v>
      </c>
      <c r="AA996" s="810">
        <f t="shared" ca="1" si="806"/>
        <v>43134</v>
      </c>
      <c r="AB996" s="804"/>
      <c r="AC996" s="811" t="str">
        <f t="shared" ca="1" si="807"/>
        <v>-----</v>
      </c>
      <c r="AD996" s="798"/>
      <c r="AE996" s="794" t="str">
        <f t="shared" ca="1" si="808"/>
        <v>-</v>
      </c>
      <c r="AF996" s="798" t="str">
        <f t="shared" si="809"/>
        <v>-</v>
      </c>
      <c r="AG996" s="812" t="str">
        <f t="shared" si="810"/>
        <v>---------</v>
      </c>
      <c r="AH996" s="807"/>
      <c r="AI996" s="807" t="str">
        <f t="shared" si="811"/>
        <v>-</v>
      </c>
      <c r="AJ996" s="807" t="str">
        <f t="shared" si="812"/>
        <v>-</v>
      </c>
      <c r="AK996" s="813"/>
      <c r="AL996" s="807" t="str">
        <f t="shared" si="813"/>
        <v>-</v>
      </c>
      <c r="AM996" s="807" t="str">
        <f t="shared" si="814"/>
        <v>-</v>
      </c>
      <c r="AN996" s="814" t="str">
        <f t="shared" ca="1" si="815"/>
        <v>-</v>
      </c>
      <c r="AO996" s="815">
        <v>1</v>
      </c>
      <c r="AP996" s="816" t="str">
        <f t="shared" ca="1" si="816"/>
        <v>-</v>
      </c>
      <c r="AQ996" s="817"/>
      <c r="AR996" s="794" t="str">
        <f t="shared" si="817"/>
        <v>-</v>
      </c>
      <c r="AS996" s="818"/>
      <c r="AT996" s="794" t="str">
        <f t="shared" si="818"/>
        <v>-</v>
      </c>
      <c r="AU996" s="819"/>
      <c r="AV996" s="820"/>
      <c r="AW996" s="821"/>
      <c r="AX996" s="821"/>
      <c r="AY996" s="969" t="str">
        <f t="shared" si="819"/>
        <v>-</v>
      </c>
      <c r="AZ996" s="966" t="str">
        <f t="shared" si="820"/>
        <v>-</v>
      </c>
      <c r="BA996" s="971" t="str">
        <f t="shared" si="821"/>
        <v>-</v>
      </c>
      <c r="BB996" s="975"/>
      <c r="BC996" s="821"/>
      <c r="BD996" s="821"/>
      <c r="BE996" s="963" t="str">
        <f t="shared" si="822"/>
        <v>-</v>
      </c>
      <c r="BF996" s="984"/>
      <c r="BG996" s="988"/>
      <c r="BH996" s="982"/>
      <c r="BI996" s="991"/>
      <c r="BJ996" s="991"/>
      <c r="BK996" s="993" t="str">
        <f t="shared" si="823"/>
        <v>-</v>
      </c>
      <c r="BL996" s="820">
        <v>42978</v>
      </c>
      <c r="BM996" s="821">
        <v>5</v>
      </c>
      <c r="BN996" s="822">
        <f t="shared" ca="1" si="824"/>
        <v>156</v>
      </c>
      <c r="BO996" s="823">
        <f t="shared" si="825"/>
        <v>7.3</v>
      </c>
      <c r="BP996" s="824"/>
      <c r="BQ996" s="821"/>
      <c r="BR996" s="822" t="str">
        <f t="shared" si="826"/>
        <v>-</v>
      </c>
      <c r="BS996" s="823" t="str">
        <f t="shared" si="827"/>
        <v>-</v>
      </c>
      <c r="BT996" s="825" t="str">
        <f t="shared" ca="1" si="828"/>
        <v>-</v>
      </c>
      <c r="BU996" s="826"/>
      <c r="BV996" s="827"/>
      <c r="BW996" s="828" t="str">
        <f t="shared" si="829"/>
        <v>Ж-Е НЕ ВАКЦ.</v>
      </c>
      <c r="BX996" s="829" t="str">
        <f t="shared" si="830"/>
        <v>-</v>
      </c>
      <c r="BY996" s="830" t="str">
        <f t="shared" ca="1" si="831"/>
        <v>-</v>
      </c>
      <c r="BZ996" s="831">
        <v>42888</v>
      </c>
      <c r="CA996" s="832">
        <v>5</v>
      </c>
      <c r="CB996" s="833">
        <f t="shared" ca="1" si="832"/>
        <v>246</v>
      </c>
      <c r="CC996" s="834" t="str">
        <f t="shared" ca="1" si="833"/>
        <v>-</v>
      </c>
      <c r="CD996" s="835">
        <f t="shared" si="834"/>
        <v>42909</v>
      </c>
      <c r="CE996" s="831">
        <v>42909</v>
      </c>
      <c r="CF996" s="832">
        <v>5</v>
      </c>
      <c r="CG996" s="833">
        <f t="shared" ca="1" si="835"/>
        <v>225</v>
      </c>
      <c r="CH996" s="836">
        <f t="shared" si="836"/>
        <v>0</v>
      </c>
      <c r="CI996" s="837" t="str">
        <f t="shared" si="837"/>
        <v>УСПЕШНО</v>
      </c>
      <c r="CJ996" s="838" t="str">
        <f t="shared" ca="1" si="838"/>
        <v>-</v>
      </c>
      <c r="CK996" s="831"/>
      <c r="CL996" s="832"/>
      <c r="CM996" s="833" t="str">
        <f t="shared" si="839"/>
        <v>-</v>
      </c>
      <c r="CN996" s="834" t="str">
        <f t="shared" si="840"/>
        <v>-</v>
      </c>
      <c r="CO996" s="830" t="str">
        <f t="shared" ca="1" si="841"/>
        <v>-</v>
      </c>
      <c r="CP996" s="839"/>
      <c r="CQ996" s="832"/>
      <c r="CR996" s="833" t="str">
        <f t="shared" si="842"/>
        <v>-</v>
      </c>
      <c r="CS996" s="833" t="str">
        <f t="shared" si="843"/>
        <v>-</v>
      </c>
      <c r="CT996" s="834" t="str">
        <f t="shared" si="844"/>
        <v>-</v>
      </c>
      <c r="CU996" s="835" t="str">
        <f t="shared" si="845"/>
        <v>-</v>
      </c>
      <c r="CV996" s="839"/>
      <c r="CW996" s="832"/>
      <c r="CX996" s="833" t="str">
        <f t="shared" si="846"/>
        <v>-</v>
      </c>
      <c r="CY996" s="840" t="str">
        <f t="shared" si="847"/>
        <v>-</v>
      </c>
      <c r="CZ996" s="833" t="str">
        <f t="shared" si="848"/>
        <v>-</v>
      </c>
      <c r="DA996" s="838" t="str">
        <f t="shared" ca="1" si="849"/>
        <v>-</v>
      </c>
      <c r="DB996" s="841"/>
      <c r="DC996" s="832"/>
    </row>
    <row r="997" spans="1:107" x14ac:dyDescent="0.25">
      <c r="A997" s="790">
        <v>1001</v>
      </c>
      <c r="B997" s="791">
        <f t="shared" ca="1" si="798"/>
        <v>43134</v>
      </c>
      <c r="C997" s="792" t="s">
        <v>2583</v>
      </c>
      <c r="D997" s="793" t="s">
        <v>2582</v>
      </c>
      <c r="E997" s="794" t="s">
        <v>1563</v>
      </c>
      <c r="F997" s="795" t="s">
        <v>2353</v>
      </c>
      <c r="G997" s="845"/>
      <c r="H997" s="797" t="s">
        <v>603</v>
      </c>
      <c r="I997" s="798">
        <v>42760</v>
      </c>
      <c r="J997" s="799">
        <f t="shared" ca="1" si="799"/>
        <v>1.0246575342465754</v>
      </c>
      <c r="K997" s="799">
        <f t="shared" ca="1" si="800"/>
        <v>12.466666666666667</v>
      </c>
      <c r="L997" s="800">
        <f t="shared" ca="1" si="801"/>
        <v>374</v>
      </c>
      <c r="M997" s="801"/>
      <c r="N997" s="802"/>
      <c r="O997" s="803" t="str">
        <f t="shared" ca="1" si="802"/>
        <v>-</v>
      </c>
      <c r="P997" s="804"/>
      <c r="Q997" s="805"/>
      <c r="R997" s="806"/>
      <c r="S997" s="807"/>
      <c r="T997" s="798"/>
      <c r="U997" s="798" t="str">
        <f t="shared" si="803"/>
        <v>-</v>
      </c>
      <c r="V997" s="804" t="str">
        <f t="shared" ca="1" si="804"/>
        <v>-</v>
      </c>
      <c r="W997" s="808">
        <v>0</v>
      </c>
      <c r="X997" s="794" t="str">
        <f t="shared" si="797"/>
        <v>-</v>
      </c>
      <c r="Y997" s="794">
        <v>0</v>
      </c>
      <c r="Z997" s="809" t="str">
        <f t="shared" ca="1" si="805"/>
        <v>-----</v>
      </c>
      <c r="AA997" s="810">
        <f t="shared" ca="1" si="806"/>
        <v>43134</v>
      </c>
      <c r="AB997" s="804"/>
      <c r="AC997" s="811" t="str">
        <f t="shared" ca="1" si="807"/>
        <v>-----</v>
      </c>
      <c r="AD997" s="798"/>
      <c r="AE997" s="794" t="str">
        <f t="shared" ca="1" si="808"/>
        <v>-</v>
      </c>
      <c r="AF997" s="798" t="str">
        <f t="shared" si="809"/>
        <v>-</v>
      </c>
      <c r="AG997" s="812" t="str">
        <f t="shared" si="810"/>
        <v>---------</v>
      </c>
      <c r="AH997" s="807"/>
      <c r="AI997" s="807" t="str">
        <f t="shared" si="811"/>
        <v>-</v>
      </c>
      <c r="AJ997" s="807" t="str">
        <f t="shared" si="812"/>
        <v>-</v>
      </c>
      <c r="AK997" s="813"/>
      <c r="AL997" s="807" t="str">
        <f t="shared" si="813"/>
        <v>-</v>
      </c>
      <c r="AM997" s="807" t="str">
        <f t="shared" si="814"/>
        <v>-</v>
      </c>
      <c r="AN997" s="814" t="str">
        <f t="shared" ca="1" si="815"/>
        <v>-</v>
      </c>
      <c r="AO997" s="815">
        <v>1</v>
      </c>
      <c r="AP997" s="816" t="str">
        <f t="shared" ca="1" si="816"/>
        <v>-</v>
      </c>
      <c r="AQ997" s="817"/>
      <c r="AR997" s="794" t="str">
        <f t="shared" si="817"/>
        <v>-</v>
      </c>
      <c r="AS997" s="818"/>
      <c r="AT997" s="794" t="str">
        <f t="shared" si="818"/>
        <v>-</v>
      </c>
      <c r="AU997" s="819"/>
      <c r="AV997" s="820"/>
      <c r="AW997" s="821"/>
      <c r="AX997" s="821"/>
      <c r="AY997" s="969" t="str">
        <f t="shared" si="819"/>
        <v>-</v>
      </c>
      <c r="AZ997" s="966" t="str">
        <f t="shared" si="820"/>
        <v>-</v>
      </c>
      <c r="BA997" s="971" t="str">
        <f t="shared" si="821"/>
        <v>-</v>
      </c>
      <c r="BB997" s="975"/>
      <c r="BC997" s="821"/>
      <c r="BD997" s="821"/>
      <c r="BE997" s="963" t="str">
        <f t="shared" si="822"/>
        <v>-</v>
      </c>
      <c r="BF997" s="984"/>
      <c r="BG997" s="988"/>
      <c r="BH997" s="982"/>
      <c r="BI997" s="991"/>
      <c r="BJ997" s="991"/>
      <c r="BK997" s="993" t="str">
        <f t="shared" si="823"/>
        <v>-</v>
      </c>
      <c r="BL997" s="820">
        <v>42977</v>
      </c>
      <c r="BM997" s="821">
        <v>5</v>
      </c>
      <c r="BN997" s="822">
        <f t="shared" ca="1" si="824"/>
        <v>157</v>
      </c>
      <c r="BO997" s="823">
        <f t="shared" si="825"/>
        <v>7.2333333333333334</v>
      </c>
      <c r="BP997" s="824"/>
      <c r="BQ997" s="821"/>
      <c r="BR997" s="822" t="str">
        <f t="shared" si="826"/>
        <v>-</v>
      </c>
      <c r="BS997" s="823" t="str">
        <f t="shared" si="827"/>
        <v>-</v>
      </c>
      <c r="BT997" s="825" t="str">
        <f t="shared" ca="1" si="828"/>
        <v>-</v>
      </c>
      <c r="BU997" s="826"/>
      <c r="BV997" s="827"/>
      <c r="BW997" s="828" t="str">
        <f t="shared" si="829"/>
        <v>Ж-Е НЕ ВАКЦ.</v>
      </c>
      <c r="BX997" s="829" t="str">
        <f t="shared" si="830"/>
        <v>-</v>
      </c>
      <c r="BY997" s="830" t="str">
        <f t="shared" ca="1" si="831"/>
        <v>-</v>
      </c>
      <c r="BZ997" s="831">
        <v>42888</v>
      </c>
      <c r="CA997" s="832">
        <v>5</v>
      </c>
      <c r="CB997" s="833">
        <f t="shared" ca="1" si="832"/>
        <v>246</v>
      </c>
      <c r="CC997" s="834" t="str">
        <f t="shared" ca="1" si="833"/>
        <v>-</v>
      </c>
      <c r="CD997" s="835">
        <f t="shared" si="834"/>
        <v>42909</v>
      </c>
      <c r="CE997" s="831">
        <v>42909</v>
      </c>
      <c r="CF997" s="832">
        <v>5</v>
      </c>
      <c r="CG997" s="833">
        <f t="shared" ca="1" si="835"/>
        <v>225</v>
      </c>
      <c r="CH997" s="836">
        <f t="shared" si="836"/>
        <v>0</v>
      </c>
      <c r="CI997" s="837" t="str">
        <f t="shared" si="837"/>
        <v>УСПЕШНО</v>
      </c>
      <c r="CJ997" s="838" t="str">
        <f t="shared" ca="1" si="838"/>
        <v>-</v>
      </c>
      <c r="CK997" s="831"/>
      <c r="CL997" s="832"/>
      <c r="CM997" s="833" t="str">
        <f t="shared" si="839"/>
        <v>-</v>
      </c>
      <c r="CN997" s="834" t="str">
        <f t="shared" si="840"/>
        <v>-</v>
      </c>
      <c r="CO997" s="830" t="str">
        <f t="shared" ca="1" si="841"/>
        <v>-</v>
      </c>
      <c r="CP997" s="839"/>
      <c r="CQ997" s="832"/>
      <c r="CR997" s="833" t="str">
        <f t="shared" si="842"/>
        <v>-</v>
      </c>
      <c r="CS997" s="833" t="str">
        <f t="shared" si="843"/>
        <v>-</v>
      </c>
      <c r="CT997" s="834" t="str">
        <f t="shared" si="844"/>
        <v>-</v>
      </c>
      <c r="CU997" s="835" t="str">
        <f t="shared" si="845"/>
        <v>-</v>
      </c>
      <c r="CV997" s="839"/>
      <c r="CW997" s="832"/>
      <c r="CX997" s="833" t="str">
        <f t="shared" si="846"/>
        <v>-</v>
      </c>
      <c r="CY997" s="840" t="str">
        <f t="shared" si="847"/>
        <v>-</v>
      </c>
      <c r="CZ997" s="833" t="str">
        <f t="shared" si="848"/>
        <v>-</v>
      </c>
      <c r="DA997" s="838" t="str">
        <f t="shared" ca="1" si="849"/>
        <v>-</v>
      </c>
      <c r="DB997" s="841"/>
      <c r="DC997" s="832"/>
    </row>
    <row r="998" spans="1:107" x14ac:dyDescent="0.25">
      <c r="A998" s="790">
        <v>1002</v>
      </c>
      <c r="B998" s="791">
        <f t="shared" ca="1" si="798"/>
        <v>43134</v>
      </c>
      <c r="C998" s="792" t="s">
        <v>2583</v>
      </c>
      <c r="D998" s="793" t="s">
        <v>2582</v>
      </c>
      <c r="E998" s="794" t="s">
        <v>1563</v>
      </c>
      <c r="F998" s="795" t="s">
        <v>2355</v>
      </c>
      <c r="G998" s="845"/>
      <c r="H998" s="797" t="s">
        <v>603</v>
      </c>
      <c r="I998" s="798">
        <v>42760</v>
      </c>
      <c r="J998" s="799">
        <f t="shared" ca="1" si="799"/>
        <v>1.0246575342465754</v>
      </c>
      <c r="K998" s="799">
        <f t="shared" ca="1" si="800"/>
        <v>12.466666666666667</v>
      </c>
      <c r="L998" s="800">
        <f t="shared" ca="1" si="801"/>
        <v>374</v>
      </c>
      <c r="M998" s="801"/>
      <c r="N998" s="802"/>
      <c r="O998" s="803" t="str">
        <f t="shared" ca="1" si="802"/>
        <v>-</v>
      </c>
      <c r="P998" s="804"/>
      <c r="Q998" s="805"/>
      <c r="R998" s="806"/>
      <c r="S998" s="807"/>
      <c r="T998" s="798"/>
      <c r="U998" s="798" t="str">
        <f t="shared" si="803"/>
        <v>-</v>
      </c>
      <c r="V998" s="804" t="str">
        <f t="shared" ca="1" si="804"/>
        <v>-</v>
      </c>
      <c r="W998" s="808">
        <v>0</v>
      </c>
      <c r="X998" s="794" t="str">
        <f t="shared" si="797"/>
        <v>-</v>
      </c>
      <c r="Y998" s="794">
        <v>0</v>
      </c>
      <c r="Z998" s="809" t="str">
        <f t="shared" ca="1" si="805"/>
        <v>-----</v>
      </c>
      <c r="AA998" s="810">
        <f t="shared" ca="1" si="806"/>
        <v>43134</v>
      </c>
      <c r="AB998" s="804"/>
      <c r="AC998" s="811" t="str">
        <f t="shared" ca="1" si="807"/>
        <v>-----</v>
      </c>
      <c r="AD998" s="798"/>
      <c r="AE998" s="794" t="str">
        <f t="shared" ca="1" si="808"/>
        <v>-</v>
      </c>
      <c r="AF998" s="798" t="str">
        <f t="shared" si="809"/>
        <v>-</v>
      </c>
      <c r="AG998" s="812" t="str">
        <f t="shared" si="810"/>
        <v>---------</v>
      </c>
      <c r="AH998" s="807"/>
      <c r="AI998" s="807" t="str">
        <f t="shared" si="811"/>
        <v>-</v>
      </c>
      <c r="AJ998" s="807" t="str">
        <f t="shared" si="812"/>
        <v>-</v>
      </c>
      <c r="AK998" s="813"/>
      <c r="AL998" s="807" t="str">
        <f t="shared" si="813"/>
        <v>-</v>
      </c>
      <c r="AM998" s="807" t="str">
        <f t="shared" si="814"/>
        <v>-</v>
      </c>
      <c r="AN998" s="814" t="str">
        <f t="shared" ca="1" si="815"/>
        <v>-</v>
      </c>
      <c r="AO998" s="815">
        <v>1</v>
      </c>
      <c r="AP998" s="816" t="str">
        <f t="shared" ca="1" si="816"/>
        <v>-</v>
      </c>
      <c r="AQ998" s="817"/>
      <c r="AR998" s="794" t="str">
        <f t="shared" si="817"/>
        <v>-</v>
      </c>
      <c r="AS998" s="818"/>
      <c r="AT998" s="794" t="str">
        <f t="shared" si="818"/>
        <v>-</v>
      </c>
      <c r="AU998" s="819"/>
      <c r="AV998" s="820"/>
      <c r="AW998" s="821"/>
      <c r="AX998" s="821"/>
      <c r="AY998" s="969" t="str">
        <f t="shared" si="819"/>
        <v>-</v>
      </c>
      <c r="AZ998" s="966" t="str">
        <f t="shared" si="820"/>
        <v>-</v>
      </c>
      <c r="BA998" s="971" t="str">
        <f t="shared" si="821"/>
        <v>-</v>
      </c>
      <c r="BB998" s="975"/>
      <c r="BC998" s="821"/>
      <c r="BD998" s="821"/>
      <c r="BE998" s="963" t="str">
        <f t="shared" si="822"/>
        <v>-</v>
      </c>
      <c r="BF998" s="984"/>
      <c r="BG998" s="988"/>
      <c r="BH998" s="982"/>
      <c r="BI998" s="991"/>
      <c r="BJ998" s="991"/>
      <c r="BK998" s="993" t="str">
        <f t="shared" si="823"/>
        <v>-</v>
      </c>
      <c r="BL998" s="820">
        <v>42977</v>
      </c>
      <c r="BM998" s="821">
        <v>5</v>
      </c>
      <c r="BN998" s="822">
        <f t="shared" ca="1" si="824"/>
        <v>157</v>
      </c>
      <c r="BO998" s="823">
        <f t="shared" si="825"/>
        <v>7.2333333333333334</v>
      </c>
      <c r="BP998" s="824"/>
      <c r="BQ998" s="821"/>
      <c r="BR998" s="822" t="str">
        <f t="shared" si="826"/>
        <v>-</v>
      </c>
      <c r="BS998" s="823" t="str">
        <f t="shared" si="827"/>
        <v>-</v>
      </c>
      <c r="BT998" s="825" t="str">
        <f t="shared" ca="1" si="828"/>
        <v>-</v>
      </c>
      <c r="BU998" s="826"/>
      <c r="BV998" s="827"/>
      <c r="BW998" s="828" t="str">
        <f t="shared" si="829"/>
        <v>Ж-Е НЕ ВАКЦ.</v>
      </c>
      <c r="BX998" s="829" t="str">
        <f t="shared" si="830"/>
        <v>-</v>
      </c>
      <c r="BY998" s="830" t="str">
        <f t="shared" ca="1" si="831"/>
        <v>-</v>
      </c>
      <c r="BZ998" s="831">
        <v>42888</v>
      </c>
      <c r="CA998" s="832">
        <v>5</v>
      </c>
      <c r="CB998" s="833">
        <f t="shared" ca="1" si="832"/>
        <v>246</v>
      </c>
      <c r="CC998" s="834" t="str">
        <f t="shared" ca="1" si="833"/>
        <v>-</v>
      </c>
      <c r="CD998" s="835">
        <f t="shared" si="834"/>
        <v>42909</v>
      </c>
      <c r="CE998" s="831">
        <v>42909</v>
      </c>
      <c r="CF998" s="832">
        <v>5</v>
      </c>
      <c r="CG998" s="833">
        <f t="shared" ca="1" si="835"/>
        <v>225</v>
      </c>
      <c r="CH998" s="836">
        <f t="shared" si="836"/>
        <v>0</v>
      </c>
      <c r="CI998" s="837" t="str">
        <f t="shared" si="837"/>
        <v>УСПЕШНО</v>
      </c>
      <c r="CJ998" s="838" t="str">
        <f t="shared" ca="1" si="838"/>
        <v>-</v>
      </c>
      <c r="CK998" s="831"/>
      <c r="CL998" s="832"/>
      <c r="CM998" s="833" t="str">
        <f t="shared" si="839"/>
        <v>-</v>
      </c>
      <c r="CN998" s="834" t="str">
        <f t="shared" si="840"/>
        <v>-</v>
      </c>
      <c r="CO998" s="830" t="str">
        <f t="shared" ca="1" si="841"/>
        <v>-</v>
      </c>
      <c r="CP998" s="839"/>
      <c r="CQ998" s="832"/>
      <c r="CR998" s="833" t="str">
        <f t="shared" si="842"/>
        <v>-</v>
      </c>
      <c r="CS998" s="833" t="str">
        <f t="shared" si="843"/>
        <v>-</v>
      </c>
      <c r="CT998" s="834" t="str">
        <f t="shared" si="844"/>
        <v>-</v>
      </c>
      <c r="CU998" s="835" t="str">
        <f t="shared" si="845"/>
        <v>-</v>
      </c>
      <c r="CV998" s="839"/>
      <c r="CW998" s="832"/>
      <c r="CX998" s="833" t="str">
        <f t="shared" si="846"/>
        <v>-</v>
      </c>
      <c r="CY998" s="840" t="str">
        <f t="shared" si="847"/>
        <v>-</v>
      </c>
      <c r="CZ998" s="833" t="str">
        <f t="shared" si="848"/>
        <v>-</v>
      </c>
      <c r="DA998" s="838" t="str">
        <f t="shared" ca="1" si="849"/>
        <v>-</v>
      </c>
      <c r="DB998" s="841"/>
      <c r="DC998" s="832"/>
    </row>
    <row r="999" spans="1:107" x14ac:dyDescent="0.25">
      <c r="A999" s="790">
        <v>1003</v>
      </c>
      <c r="B999" s="791">
        <f t="shared" ca="1" si="798"/>
        <v>43134</v>
      </c>
      <c r="C999" s="792" t="s">
        <v>2583</v>
      </c>
      <c r="D999" s="793" t="s">
        <v>2582</v>
      </c>
      <c r="E999" s="794" t="s">
        <v>1563</v>
      </c>
      <c r="F999" s="795" t="s">
        <v>2364</v>
      </c>
      <c r="G999" s="845"/>
      <c r="H999" s="797" t="s">
        <v>603</v>
      </c>
      <c r="I999" s="798">
        <v>42761</v>
      </c>
      <c r="J999" s="799">
        <f t="shared" ca="1" si="799"/>
        <v>1.021917808219178</v>
      </c>
      <c r="K999" s="799">
        <f t="shared" ca="1" si="800"/>
        <v>12.433333333333334</v>
      </c>
      <c r="L999" s="800">
        <f t="shared" ca="1" si="801"/>
        <v>373</v>
      </c>
      <c r="M999" s="801"/>
      <c r="N999" s="802"/>
      <c r="O999" s="803" t="str">
        <f t="shared" ca="1" si="802"/>
        <v>-</v>
      </c>
      <c r="P999" s="804"/>
      <c r="Q999" s="805"/>
      <c r="R999" s="806"/>
      <c r="S999" s="807"/>
      <c r="T999" s="798"/>
      <c r="U999" s="798" t="str">
        <f t="shared" si="803"/>
        <v>-</v>
      </c>
      <c r="V999" s="804" t="str">
        <f t="shared" ca="1" si="804"/>
        <v>-</v>
      </c>
      <c r="W999" s="808">
        <v>0</v>
      </c>
      <c r="X999" s="794" t="str">
        <f t="shared" si="797"/>
        <v>-</v>
      </c>
      <c r="Y999" s="794">
        <v>0</v>
      </c>
      <c r="Z999" s="809" t="str">
        <f t="shared" ca="1" si="805"/>
        <v>-----</v>
      </c>
      <c r="AA999" s="810">
        <f t="shared" ca="1" si="806"/>
        <v>43134</v>
      </c>
      <c r="AB999" s="804"/>
      <c r="AC999" s="811" t="str">
        <f t="shared" ca="1" si="807"/>
        <v>-----</v>
      </c>
      <c r="AD999" s="798"/>
      <c r="AE999" s="794" t="str">
        <f t="shared" ca="1" si="808"/>
        <v>-</v>
      </c>
      <c r="AF999" s="798" t="str">
        <f t="shared" si="809"/>
        <v>-</v>
      </c>
      <c r="AG999" s="812" t="str">
        <f t="shared" si="810"/>
        <v>---------</v>
      </c>
      <c r="AH999" s="807"/>
      <c r="AI999" s="807" t="str">
        <f t="shared" si="811"/>
        <v>-</v>
      </c>
      <c r="AJ999" s="807" t="str">
        <f t="shared" si="812"/>
        <v>-</v>
      </c>
      <c r="AK999" s="813"/>
      <c r="AL999" s="807" t="str">
        <f t="shared" si="813"/>
        <v>-</v>
      </c>
      <c r="AM999" s="807" t="str">
        <f t="shared" si="814"/>
        <v>-</v>
      </c>
      <c r="AN999" s="814" t="str">
        <f t="shared" ca="1" si="815"/>
        <v>-</v>
      </c>
      <c r="AO999" s="815">
        <v>1</v>
      </c>
      <c r="AP999" s="816" t="str">
        <f t="shared" ca="1" si="816"/>
        <v>-</v>
      </c>
      <c r="AQ999" s="817"/>
      <c r="AR999" s="794" t="str">
        <f t="shared" si="817"/>
        <v>-</v>
      </c>
      <c r="AS999" s="818"/>
      <c r="AT999" s="794" t="str">
        <f t="shared" si="818"/>
        <v>-</v>
      </c>
      <c r="AU999" s="819"/>
      <c r="AV999" s="820"/>
      <c r="AW999" s="821"/>
      <c r="AX999" s="821"/>
      <c r="AY999" s="969" t="str">
        <f t="shared" si="819"/>
        <v>-</v>
      </c>
      <c r="AZ999" s="966" t="str">
        <f t="shared" si="820"/>
        <v>-</v>
      </c>
      <c r="BA999" s="971" t="str">
        <f t="shared" si="821"/>
        <v>-</v>
      </c>
      <c r="BB999" s="975"/>
      <c r="BC999" s="821"/>
      <c r="BD999" s="821"/>
      <c r="BE999" s="963" t="str">
        <f t="shared" si="822"/>
        <v>-</v>
      </c>
      <c r="BF999" s="984"/>
      <c r="BG999" s="988"/>
      <c r="BH999" s="982"/>
      <c r="BI999" s="991"/>
      <c r="BJ999" s="991"/>
      <c r="BK999" s="993" t="str">
        <f t="shared" si="823"/>
        <v>-</v>
      </c>
      <c r="BL999" s="820">
        <v>42977</v>
      </c>
      <c r="BM999" s="821">
        <v>5</v>
      </c>
      <c r="BN999" s="822">
        <f t="shared" ca="1" si="824"/>
        <v>157</v>
      </c>
      <c r="BO999" s="823">
        <f t="shared" si="825"/>
        <v>7.2</v>
      </c>
      <c r="BP999" s="824"/>
      <c r="BQ999" s="821"/>
      <c r="BR999" s="822" t="str">
        <f t="shared" si="826"/>
        <v>-</v>
      </c>
      <c r="BS999" s="823" t="str">
        <f t="shared" si="827"/>
        <v>-</v>
      </c>
      <c r="BT999" s="825" t="str">
        <f t="shared" ca="1" si="828"/>
        <v>-</v>
      </c>
      <c r="BU999" s="826"/>
      <c r="BV999" s="827"/>
      <c r="BW999" s="828" t="str">
        <f t="shared" si="829"/>
        <v>Ж-Е НЕ ВАКЦ.</v>
      </c>
      <c r="BX999" s="829" t="str">
        <f t="shared" si="830"/>
        <v>-</v>
      </c>
      <c r="BY999" s="830" t="str">
        <f t="shared" ca="1" si="831"/>
        <v>-</v>
      </c>
      <c r="BZ999" s="831">
        <v>42888</v>
      </c>
      <c r="CA999" s="832">
        <v>5</v>
      </c>
      <c r="CB999" s="833">
        <f t="shared" ca="1" si="832"/>
        <v>246</v>
      </c>
      <c r="CC999" s="834" t="str">
        <f t="shared" ca="1" si="833"/>
        <v>-</v>
      </c>
      <c r="CD999" s="835">
        <f t="shared" si="834"/>
        <v>42909</v>
      </c>
      <c r="CE999" s="831">
        <v>42909</v>
      </c>
      <c r="CF999" s="832">
        <v>5</v>
      </c>
      <c r="CG999" s="833">
        <f t="shared" ca="1" si="835"/>
        <v>225</v>
      </c>
      <c r="CH999" s="836">
        <f t="shared" si="836"/>
        <v>0</v>
      </c>
      <c r="CI999" s="837" t="str">
        <f t="shared" si="837"/>
        <v>УСПЕШНО</v>
      </c>
      <c r="CJ999" s="838" t="str">
        <f t="shared" ca="1" si="838"/>
        <v>-</v>
      </c>
      <c r="CK999" s="831"/>
      <c r="CL999" s="832"/>
      <c r="CM999" s="833" t="str">
        <f t="shared" si="839"/>
        <v>-</v>
      </c>
      <c r="CN999" s="834" t="str">
        <f t="shared" si="840"/>
        <v>-</v>
      </c>
      <c r="CO999" s="830" t="str">
        <f t="shared" ca="1" si="841"/>
        <v>-</v>
      </c>
      <c r="CP999" s="839"/>
      <c r="CQ999" s="832"/>
      <c r="CR999" s="833" t="str">
        <f t="shared" si="842"/>
        <v>-</v>
      </c>
      <c r="CS999" s="833" t="str">
        <f t="shared" si="843"/>
        <v>-</v>
      </c>
      <c r="CT999" s="834" t="str">
        <f t="shared" si="844"/>
        <v>-</v>
      </c>
      <c r="CU999" s="835" t="str">
        <f t="shared" si="845"/>
        <v>-</v>
      </c>
      <c r="CV999" s="839"/>
      <c r="CW999" s="832"/>
      <c r="CX999" s="833" t="str">
        <f t="shared" si="846"/>
        <v>-</v>
      </c>
      <c r="CY999" s="840" t="str">
        <f t="shared" si="847"/>
        <v>-</v>
      </c>
      <c r="CZ999" s="833" t="str">
        <f t="shared" si="848"/>
        <v>-</v>
      </c>
      <c r="DA999" s="838" t="str">
        <f t="shared" ca="1" si="849"/>
        <v>-</v>
      </c>
      <c r="DB999" s="841"/>
      <c r="DC999" s="832"/>
    </row>
    <row r="1000" spans="1:107" x14ac:dyDescent="0.25">
      <c r="A1000" s="790">
        <v>1004</v>
      </c>
      <c r="B1000" s="791">
        <f t="shared" ca="1" si="798"/>
        <v>43134</v>
      </c>
      <c r="C1000" s="792" t="s">
        <v>2583</v>
      </c>
      <c r="D1000" s="793" t="s">
        <v>2582</v>
      </c>
      <c r="E1000" s="794" t="s">
        <v>1563</v>
      </c>
      <c r="F1000" s="795" t="s">
        <v>2378</v>
      </c>
      <c r="G1000" s="845"/>
      <c r="H1000" s="797" t="s">
        <v>603</v>
      </c>
      <c r="I1000" s="798">
        <v>42763</v>
      </c>
      <c r="J1000" s="799">
        <f t="shared" ca="1" si="799"/>
        <v>1.0164383561643835</v>
      </c>
      <c r="K1000" s="799">
        <f t="shared" ca="1" si="800"/>
        <v>12.366666666666667</v>
      </c>
      <c r="L1000" s="800">
        <f t="shared" ca="1" si="801"/>
        <v>371</v>
      </c>
      <c r="M1000" s="801"/>
      <c r="N1000" s="802"/>
      <c r="O1000" s="803" t="str">
        <f t="shared" ca="1" si="802"/>
        <v>-</v>
      </c>
      <c r="P1000" s="804"/>
      <c r="Q1000" s="805"/>
      <c r="R1000" s="806"/>
      <c r="S1000" s="807"/>
      <c r="T1000" s="798"/>
      <c r="U1000" s="798" t="str">
        <f t="shared" si="803"/>
        <v>-</v>
      </c>
      <c r="V1000" s="804" t="str">
        <f t="shared" ca="1" si="804"/>
        <v>-</v>
      </c>
      <c r="W1000" s="808">
        <v>0</v>
      </c>
      <c r="X1000" s="794" t="str">
        <f t="shared" si="797"/>
        <v>-</v>
      </c>
      <c r="Y1000" s="794">
        <v>0</v>
      </c>
      <c r="Z1000" s="809" t="str">
        <f t="shared" ca="1" si="805"/>
        <v>-----</v>
      </c>
      <c r="AA1000" s="810">
        <f t="shared" ca="1" si="806"/>
        <v>43134</v>
      </c>
      <c r="AB1000" s="804"/>
      <c r="AC1000" s="811" t="str">
        <f t="shared" ca="1" si="807"/>
        <v>-----</v>
      </c>
      <c r="AD1000" s="798"/>
      <c r="AE1000" s="794" t="str">
        <f t="shared" ca="1" si="808"/>
        <v>-</v>
      </c>
      <c r="AF1000" s="798" t="str">
        <f t="shared" si="809"/>
        <v>-</v>
      </c>
      <c r="AG1000" s="812" t="str">
        <f t="shared" si="810"/>
        <v>---------</v>
      </c>
      <c r="AH1000" s="807"/>
      <c r="AI1000" s="807" t="str">
        <f t="shared" si="811"/>
        <v>-</v>
      </c>
      <c r="AJ1000" s="807" t="str">
        <f t="shared" si="812"/>
        <v>-</v>
      </c>
      <c r="AK1000" s="813"/>
      <c r="AL1000" s="807" t="str">
        <f t="shared" si="813"/>
        <v>-</v>
      </c>
      <c r="AM1000" s="807" t="str">
        <f t="shared" si="814"/>
        <v>-</v>
      </c>
      <c r="AN1000" s="814" t="str">
        <f t="shared" ca="1" si="815"/>
        <v>-</v>
      </c>
      <c r="AO1000" s="815">
        <v>1</v>
      </c>
      <c r="AP1000" s="816" t="str">
        <f t="shared" ca="1" si="816"/>
        <v>-</v>
      </c>
      <c r="AQ1000" s="817"/>
      <c r="AR1000" s="794" t="str">
        <f t="shared" si="817"/>
        <v>-</v>
      </c>
      <c r="AS1000" s="818"/>
      <c r="AT1000" s="794" t="str">
        <f t="shared" si="818"/>
        <v>-</v>
      </c>
      <c r="AU1000" s="819"/>
      <c r="AV1000" s="820"/>
      <c r="AW1000" s="821"/>
      <c r="AX1000" s="821"/>
      <c r="AY1000" s="969" t="str">
        <f t="shared" si="819"/>
        <v>-</v>
      </c>
      <c r="AZ1000" s="966" t="str">
        <f t="shared" si="820"/>
        <v>-</v>
      </c>
      <c r="BA1000" s="971" t="str">
        <f t="shared" si="821"/>
        <v>-</v>
      </c>
      <c r="BB1000" s="975"/>
      <c r="BC1000" s="821"/>
      <c r="BD1000" s="821"/>
      <c r="BE1000" s="963" t="str">
        <f t="shared" si="822"/>
        <v>-</v>
      </c>
      <c r="BF1000" s="984"/>
      <c r="BG1000" s="988"/>
      <c r="BH1000" s="982"/>
      <c r="BI1000" s="991"/>
      <c r="BJ1000" s="991"/>
      <c r="BK1000" s="993" t="str">
        <f t="shared" si="823"/>
        <v>-</v>
      </c>
      <c r="BL1000" s="820">
        <v>42978</v>
      </c>
      <c r="BM1000" s="821">
        <v>5</v>
      </c>
      <c r="BN1000" s="822">
        <f t="shared" ca="1" si="824"/>
        <v>156</v>
      </c>
      <c r="BO1000" s="823">
        <f t="shared" si="825"/>
        <v>7.166666666666667</v>
      </c>
      <c r="BP1000" s="824"/>
      <c r="BQ1000" s="821"/>
      <c r="BR1000" s="822" t="str">
        <f t="shared" si="826"/>
        <v>-</v>
      </c>
      <c r="BS1000" s="823" t="str">
        <f t="shared" si="827"/>
        <v>-</v>
      </c>
      <c r="BT1000" s="825" t="str">
        <f t="shared" ca="1" si="828"/>
        <v>-</v>
      </c>
      <c r="BU1000" s="826"/>
      <c r="BV1000" s="827"/>
      <c r="BW1000" s="828" t="str">
        <f t="shared" si="829"/>
        <v>Ж-Е НЕ ВАКЦ.</v>
      </c>
      <c r="BX1000" s="829" t="str">
        <f t="shared" si="830"/>
        <v>-</v>
      </c>
      <c r="BY1000" s="830" t="str">
        <f t="shared" ca="1" si="831"/>
        <v>-</v>
      </c>
      <c r="BZ1000" s="831">
        <v>42888</v>
      </c>
      <c r="CA1000" s="832">
        <v>5</v>
      </c>
      <c r="CB1000" s="833">
        <f t="shared" ca="1" si="832"/>
        <v>246</v>
      </c>
      <c r="CC1000" s="834" t="str">
        <f t="shared" ca="1" si="833"/>
        <v>-</v>
      </c>
      <c r="CD1000" s="835">
        <f t="shared" si="834"/>
        <v>42909</v>
      </c>
      <c r="CE1000" s="831">
        <v>42909</v>
      </c>
      <c r="CF1000" s="832">
        <v>5</v>
      </c>
      <c r="CG1000" s="833">
        <f t="shared" ca="1" si="835"/>
        <v>225</v>
      </c>
      <c r="CH1000" s="836">
        <f t="shared" si="836"/>
        <v>0</v>
      </c>
      <c r="CI1000" s="837" t="str">
        <f t="shared" si="837"/>
        <v>УСПЕШНО</v>
      </c>
      <c r="CJ1000" s="838" t="str">
        <f t="shared" ca="1" si="838"/>
        <v>-</v>
      </c>
      <c r="CK1000" s="831"/>
      <c r="CL1000" s="832"/>
      <c r="CM1000" s="833" t="str">
        <f t="shared" si="839"/>
        <v>-</v>
      </c>
      <c r="CN1000" s="834" t="str">
        <f t="shared" si="840"/>
        <v>-</v>
      </c>
      <c r="CO1000" s="830" t="str">
        <f t="shared" ca="1" si="841"/>
        <v>-</v>
      </c>
      <c r="CP1000" s="839"/>
      <c r="CQ1000" s="832"/>
      <c r="CR1000" s="833" t="str">
        <f t="shared" si="842"/>
        <v>-</v>
      </c>
      <c r="CS1000" s="833" t="str">
        <f t="shared" si="843"/>
        <v>-</v>
      </c>
      <c r="CT1000" s="834" t="str">
        <f t="shared" si="844"/>
        <v>-</v>
      </c>
      <c r="CU1000" s="835" t="str">
        <f t="shared" si="845"/>
        <v>-</v>
      </c>
      <c r="CV1000" s="839"/>
      <c r="CW1000" s="832"/>
      <c r="CX1000" s="833" t="str">
        <f t="shared" si="846"/>
        <v>-</v>
      </c>
      <c r="CY1000" s="840" t="str">
        <f t="shared" si="847"/>
        <v>-</v>
      </c>
      <c r="CZ1000" s="833" t="str">
        <f t="shared" si="848"/>
        <v>-</v>
      </c>
      <c r="DA1000" s="838" t="str">
        <f t="shared" ca="1" si="849"/>
        <v>-</v>
      </c>
      <c r="DB1000" s="841"/>
      <c r="DC1000" s="832"/>
    </row>
    <row r="1001" spans="1:107" x14ac:dyDescent="0.25">
      <c r="A1001" s="790">
        <v>1005</v>
      </c>
      <c r="B1001" s="791">
        <f t="shared" ca="1" si="798"/>
        <v>43134</v>
      </c>
      <c r="C1001" s="792" t="s">
        <v>2583</v>
      </c>
      <c r="D1001" s="793" t="s">
        <v>2582</v>
      </c>
      <c r="E1001" s="794" t="s">
        <v>1563</v>
      </c>
      <c r="F1001" s="795" t="s">
        <v>2382</v>
      </c>
      <c r="G1001" s="845"/>
      <c r="H1001" s="797" t="s">
        <v>603</v>
      </c>
      <c r="I1001" s="798">
        <v>42763</v>
      </c>
      <c r="J1001" s="799">
        <f t="shared" ca="1" si="799"/>
        <v>1.0164383561643835</v>
      </c>
      <c r="K1001" s="799">
        <f t="shared" ca="1" si="800"/>
        <v>12.366666666666667</v>
      </c>
      <c r="L1001" s="800">
        <f t="shared" ca="1" si="801"/>
        <v>371</v>
      </c>
      <c r="M1001" s="801"/>
      <c r="N1001" s="802"/>
      <c r="O1001" s="803" t="str">
        <f t="shared" ca="1" si="802"/>
        <v>-</v>
      </c>
      <c r="P1001" s="804"/>
      <c r="Q1001" s="805"/>
      <c r="R1001" s="806"/>
      <c r="S1001" s="807"/>
      <c r="T1001" s="798"/>
      <c r="U1001" s="798" t="str">
        <f t="shared" si="803"/>
        <v>-</v>
      </c>
      <c r="V1001" s="804" t="str">
        <f t="shared" ca="1" si="804"/>
        <v>-</v>
      </c>
      <c r="W1001" s="808">
        <v>0</v>
      </c>
      <c r="X1001" s="794" t="str">
        <f t="shared" si="797"/>
        <v>-</v>
      </c>
      <c r="Y1001" s="794">
        <v>0</v>
      </c>
      <c r="Z1001" s="809" t="str">
        <f t="shared" ca="1" si="805"/>
        <v>-----</v>
      </c>
      <c r="AA1001" s="810">
        <f t="shared" ca="1" si="806"/>
        <v>43134</v>
      </c>
      <c r="AB1001" s="804"/>
      <c r="AC1001" s="811" t="str">
        <f t="shared" ca="1" si="807"/>
        <v>-----</v>
      </c>
      <c r="AD1001" s="798"/>
      <c r="AE1001" s="794" t="str">
        <f t="shared" ca="1" si="808"/>
        <v>-</v>
      </c>
      <c r="AF1001" s="798" t="str">
        <f t="shared" si="809"/>
        <v>-</v>
      </c>
      <c r="AG1001" s="812" t="str">
        <f t="shared" si="810"/>
        <v>---------</v>
      </c>
      <c r="AH1001" s="807"/>
      <c r="AI1001" s="807" t="str">
        <f t="shared" si="811"/>
        <v>-</v>
      </c>
      <c r="AJ1001" s="807" t="str">
        <f t="shared" si="812"/>
        <v>-</v>
      </c>
      <c r="AK1001" s="813"/>
      <c r="AL1001" s="807" t="str">
        <f t="shared" si="813"/>
        <v>-</v>
      </c>
      <c r="AM1001" s="807" t="str">
        <f t="shared" si="814"/>
        <v>-</v>
      </c>
      <c r="AN1001" s="814" t="str">
        <f t="shared" ca="1" si="815"/>
        <v>-</v>
      </c>
      <c r="AO1001" s="815">
        <v>1</v>
      </c>
      <c r="AP1001" s="816" t="str">
        <f t="shared" ca="1" si="816"/>
        <v>-</v>
      </c>
      <c r="AQ1001" s="817"/>
      <c r="AR1001" s="794" t="str">
        <f t="shared" si="817"/>
        <v>-</v>
      </c>
      <c r="AS1001" s="818"/>
      <c r="AT1001" s="794" t="str">
        <f t="shared" si="818"/>
        <v>-</v>
      </c>
      <c r="AU1001" s="819"/>
      <c r="AV1001" s="820"/>
      <c r="AW1001" s="821"/>
      <c r="AX1001" s="821"/>
      <c r="AY1001" s="969" t="str">
        <f t="shared" si="819"/>
        <v>-</v>
      </c>
      <c r="AZ1001" s="966" t="str">
        <f t="shared" si="820"/>
        <v>-</v>
      </c>
      <c r="BA1001" s="971" t="str">
        <f t="shared" si="821"/>
        <v>-</v>
      </c>
      <c r="BB1001" s="975"/>
      <c r="BC1001" s="821"/>
      <c r="BD1001" s="821"/>
      <c r="BE1001" s="963" t="str">
        <f t="shared" si="822"/>
        <v>-</v>
      </c>
      <c r="BF1001" s="984"/>
      <c r="BG1001" s="988"/>
      <c r="BH1001" s="982"/>
      <c r="BI1001" s="991"/>
      <c r="BJ1001" s="991"/>
      <c r="BK1001" s="993" t="str">
        <f t="shared" si="823"/>
        <v>-</v>
      </c>
      <c r="BL1001" s="820">
        <v>42978</v>
      </c>
      <c r="BM1001" s="821">
        <v>5</v>
      </c>
      <c r="BN1001" s="822">
        <f t="shared" ca="1" si="824"/>
        <v>156</v>
      </c>
      <c r="BO1001" s="823">
        <f t="shared" si="825"/>
        <v>7.166666666666667</v>
      </c>
      <c r="BP1001" s="824"/>
      <c r="BQ1001" s="821"/>
      <c r="BR1001" s="822" t="str">
        <f t="shared" si="826"/>
        <v>-</v>
      </c>
      <c r="BS1001" s="823" t="str">
        <f t="shared" si="827"/>
        <v>-</v>
      </c>
      <c r="BT1001" s="825" t="str">
        <f t="shared" ca="1" si="828"/>
        <v>-</v>
      </c>
      <c r="BU1001" s="826"/>
      <c r="BV1001" s="827"/>
      <c r="BW1001" s="828" t="str">
        <f t="shared" si="829"/>
        <v>Ж-Е НЕ ВАКЦ.</v>
      </c>
      <c r="BX1001" s="829" t="str">
        <f t="shared" si="830"/>
        <v>-</v>
      </c>
      <c r="BY1001" s="830" t="str">
        <f t="shared" ca="1" si="831"/>
        <v>-</v>
      </c>
      <c r="BZ1001" s="831">
        <v>42888</v>
      </c>
      <c r="CA1001" s="832">
        <v>5</v>
      </c>
      <c r="CB1001" s="833">
        <f t="shared" ca="1" si="832"/>
        <v>246</v>
      </c>
      <c r="CC1001" s="834" t="str">
        <f t="shared" ca="1" si="833"/>
        <v>-</v>
      </c>
      <c r="CD1001" s="835">
        <f t="shared" si="834"/>
        <v>42909</v>
      </c>
      <c r="CE1001" s="831">
        <v>42909</v>
      </c>
      <c r="CF1001" s="832">
        <v>5</v>
      </c>
      <c r="CG1001" s="833">
        <f t="shared" ca="1" si="835"/>
        <v>225</v>
      </c>
      <c r="CH1001" s="836">
        <f t="shared" si="836"/>
        <v>0</v>
      </c>
      <c r="CI1001" s="837" t="str">
        <f t="shared" si="837"/>
        <v>УСПЕШНО</v>
      </c>
      <c r="CJ1001" s="838" t="str">
        <f t="shared" ca="1" si="838"/>
        <v>-</v>
      </c>
      <c r="CK1001" s="831"/>
      <c r="CL1001" s="832"/>
      <c r="CM1001" s="833" t="str">
        <f t="shared" si="839"/>
        <v>-</v>
      </c>
      <c r="CN1001" s="834" t="str">
        <f t="shared" si="840"/>
        <v>-</v>
      </c>
      <c r="CO1001" s="830" t="str">
        <f t="shared" ca="1" si="841"/>
        <v>-</v>
      </c>
      <c r="CP1001" s="839"/>
      <c r="CQ1001" s="832"/>
      <c r="CR1001" s="833" t="str">
        <f t="shared" si="842"/>
        <v>-</v>
      </c>
      <c r="CS1001" s="833" t="str">
        <f t="shared" si="843"/>
        <v>-</v>
      </c>
      <c r="CT1001" s="834" t="str">
        <f t="shared" si="844"/>
        <v>-</v>
      </c>
      <c r="CU1001" s="835" t="str">
        <f t="shared" si="845"/>
        <v>-</v>
      </c>
      <c r="CV1001" s="839"/>
      <c r="CW1001" s="832"/>
      <c r="CX1001" s="833" t="str">
        <f t="shared" si="846"/>
        <v>-</v>
      </c>
      <c r="CY1001" s="840" t="str">
        <f t="shared" si="847"/>
        <v>-</v>
      </c>
      <c r="CZ1001" s="833" t="str">
        <f t="shared" si="848"/>
        <v>-</v>
      </c>
      <c r="DA1001" s="838" t="str">
        <f t="shared" ca="1" si="849"/>
        <v>-</v>
      </c>
      <c r="DB1001" s="841"/>
      <c r="DC1001" s="832"/>
    </row>
    <row r="1002" spans="1:107" x14ac:dyDescent="0.25">
      <c r="A1002" s="790">
        <v>1006</v>
      </c>
      <c r="B1002" s="791">
        <f t="shared" ca="1" si="798"/>
        <v>43134</v>
      </c>
      <c r="C1002" s="792" t="s">
        <v>2583</v>
      </c>
      <c r="D1002" s="793" t="s">
        <v>2582</v>
      </c>
      <c r="E1002" s="794" t="s">
        <v>1563</v>
      </c>
      <c r="F1002" s="795" t="s">
        <v>2388</v>
      </c>
      <c r="G1002" s="845"/>
      <c r="H1002" s="797" t="s">
        <v>603</v>
      </c>
      <c r="I1002" s="798">
        <v>42768</v>
      </c>
      <c r="J1002" s="799">
        <f t="shared" ca="1" si="799"/>
        <v>1.0027397260273974</v>
      </c>
      <c r="K1002" s="799">
        <f t="shared" ca="1" si="800"/>
        <v>12.2</v>
      </c>
      <c r="L1002" s="800">
        <f t="shared" ca="1" si="801"/>
        <v>366</v>
      </c>
      <c r="M1002" s="801"/>
      <c r="N1002" s="802"/>
      <c r="O1002" s="803" t="str">
        <f t="shared" ca="1" si="802"/>
        <v>-</v>
      </c>
      <c r="P1002" s="804"/>
      <c r="Q1002" s="805"/>
      <c r="R1002" s="806"/>
      <c r="S1002" s="807"/>
      <c r="T1002" s="798"/>
      <c r="U1002" s="798" t="str">
        <f t="shared" si="803"/>
        <v>-</v>
      </c>
      <c r="V1002" s="804" t="str">
        <f t="shared" ca="1" si="804"/>
        <v>-</v>
      </c>
      <c r="W1002" s="808">
        <v>0</v>
      </c>
      <c r="X1002" s="794" t="str">
        <f t="shared" si="797"/>
        <v>-</v>
      </c>
      <c r="Y1002" s="794">
        <v>0</v>
      </c>
      <c r="Z1002" s="809" t="str">
        <f t="shared" ca="1" si="805"/>
        <v>-----</v>
      </c>
      <c r="AA1002" s="810">
        <f t="shared" ca="1" si="806"/>
        <v>43134</v>
      </c>
      <c r="AB1002" s="804"/>
      <c r="AC1002" s="811" t="str">
        <f t="shared" ca="1" si="807"/>
        <v>-----</v>
      </c>
      <c r="AD1002" s="798"/>
      <c r="AE1002" s="794" t="str">
        <f t="shared" ca="1" si="808"/>
        <v>-</v>
      </c>
      <c r="AF1002" s="798" t="str">
        <f t="shared" si="809"/>
        <v>-</v>
      </c>
      <c r="AG1002" s="812" t="str">
        <f t="shared" si="810"/>
        <v>---------</v>
      </c>
      <c r="AH1002" s="807"/>
      <c r="AI1002" s="807" t="str">
        <f t="shared" si="811"/>
        <v>-</v>
      </c>
      <c r="AJ1002" s="807" t="str">
        <f t="shared" si="812"/>
        <v>-</v>
      </c>
      <c r="AK1002" s="813"/>
      <c r="AL1002" s="807" t="str">
        <f t="shared" si="813"/>
        <v>-</v>
      </c>
      <c r="AM1002" s="807" t="str">
        <f t="shared" si="814"/>
        <v>-</v>
      </c>
      <c r="AN1002" s="814" t="str">
        <f t="shared" ca="1" si="815"/>
        <v>-</v>
      </c>
      <c r="AO1002" s="815">
        <v>1</v>
      </c>
      <c r="AP1002" s="816" t="str">
        <f t="shared" ca="1" si="816"/>
        <v>-</v>
      </c>
      <c r="AQ1002" s="817"/>
      <c r="AR1002" s="794" t="str">
        <f t="shared" si="817"/>
        <v>-</v>
      </c>
      <c r="AS1002" s="818"/>
      <c r="AT1002" s="794" t="str">
        <f t="shared" si="818"/>
        <v>-</v>
      </c>
      <c r="AU1002" s="819"/>
      <c r="AV1002" s="820"/>
      <c r="AW1002" s="821"/>
      <c r="AX1002" s="821"/>
      <c r="AY1002" s="969" t="str">
        <f t="shared" si="819"/>
        <v>-</v>
      </c>
      <c r="AZ1002" s="966" t="str">
        <f t="shared" si="820"/>
        <v>-</v>
      </c>
      <c r="BA1002" s="971" t="str">
        <f t="shared" si="821"/>
        <v>-</v>
      </c>
      <c r="BB1002" s="975"/>
      <c r="BC1002" s="821"/>
      <c r="BD1002" s="821"/>
      <c r="BE1002" s="963" t="str">
        <f t="shared" si="822"/>
        <v>-</v>
      </c>
      <c r="BF1002" s="984"/>
      <c r="BG1002" s="988"/>
      <c r="BH1002" s="982"/>
      <c r="BI1002" s="991"/>
      <c r="BJ1002" s="991"/>
      <c r="BK1002" s="993" t="str">
        <f t="shared" si="823"/>
        <v>-</v>
      </c>
      <c r="BL1002" s="820">
        <v>42977</v>
      </c>
      <c r="BM1002" s="821">
        <v>5</v>
      </c>
      <c r="BN1002" s="822">
        <f t="shared" ca="1" si="824"/>
        <v>157</v>
      </c>
      <c r="BO1002" s="823">
        <f t="shared" si="825"/>
        <v>6.9666666666666668</v>
      </c>
      <c r="BP1002" s="824"/>
      <c r="BQ1002" s="821"/>
      <c r="BR1002" s="822" t="str">
        <f t="shared" si="826"/>
        <v>-</v>
      </c>
      <c r="BS1002" s="823" t="str">
        <f t="shared" si="827"/>
        <v>-</v>
      </c>
      <c r="BT1002" s="825" t="str">
        <f t="shared" ca="1" si="828"/>
        <v>-</v>
      </c>
      <c r="BU1002" s="826"/>
      <c r="BV1002" s="827"/>
      <c r="BW1002" s="828" t="str">
        <f t="shared" si="829"/>
        <v>Ж-Е НЕ ВАКЦ.</v>
      </c>
      <c r="BX1002" s="829" t="str">
        <f t="shared" si="830"/>
        <v>-</v>
      </c>
      <c r="BY1002" s="830" t="str">
        <f t="shared" ca="1" si="831"/>
        <v>-</v>
      </c>
      <c r="BZ1002" s="831">
        <v>42888</v>
      </c>
      <c r="CA1002" s="832">
        <v>5</v>
      </c>
      <c r="CB1002" s="833">
        <f t="shared" ca="1" si="832"/>
        <v>246</v>
      </c>
      <c r="CC1002" s="834" t="str">
        <f t="shared" ca="1" si="833"/>
        <v>-</v>
      </c>
      <c r="CD1002" s="835">
        <f t="shared" si="834"/>
        <v>42909</v>
      </c>
      <c r="CE1002" s="831">
        <v>42909</v>
      </c>
      <c r="CF1002" s="832">
        <v>5</v>
      </c>
      <c r="CG1002" s="833">
        <f t="shared" ca="1" si="835"/>
        <v>225</v>
      </c>
      <c r="CH1002" s="836">
        <f t="shared" si="836"/>
        <v>0</v>
      </c>
      <c r="CI1002" s="837" t="str">
        <f t="shared" si="837"/>
        <v>УСПЕШНО</v>
      </c>
      <c r="CJ1002" s="838" t="str">
        <f t="shared" ca="1" si="838"/>
        <v>-</v>
      </c>
      <c r="CK1002" s="831"/>
      <c r="CL1002" s="832"/>
      <c r="CM1002" s="833" t="str">
        <f t="shared" si="839"/>
        <v>-</v>
      </c>
      <c r="CN1002" s="834" t="str">
        <f t="shared" si="840"/>
        <v>-</v>
      </c>
      <c r="CO1002" s="830" t="str">
        <f t="shared" ca="1" si="841"/>
        <v>-</v>
      </c>
      <c r="CP1002" s="839"/>
      <c r="CQ1002" s="832"/>
      <c r="CR1002" s="833" t="str">
        <f t="shared" si="842"/>
        <v>-</v>
      </c>
      <c r="CS1002" s="833" t="str">
        <f t="shared" si="843"/>
        <v>-</v>
      </c>
      <c r="CT1002" s="834" t="str">
        <f t="shared" si="844"/>
        <v>-</v>
      </c>
      <c r="CU1002" s="835" t="str">
        <f t="shared" si="845"/>
        <v>-</v>
      </c>
      <c r="CV1002" s="839"/>
      <c r="CW1002" s="832"/>
      <c r="CX1002" s="833" t="str">
        <f t="shared" si="846"/>
        <v>-</v>
      </c>
      <c r="CY1002" s="840" t="str">
        <f t="shared" si="847"/>
        <v>-</v>
      </c>
      <c r="CZ1002" s="833" t="str">
        <f t="shared" si="848"/>
        <v>-</v>
      </c>
      <c r="DA1002" s="838" t="str">
        <f t="shared" ca="1" si="849"/>
        <v>-</v>
      </c>
      <c r="DB1002" s="841"/>
      <c r="DC1002" s="832"/>
    </row>
    <row r="1003" spans="1:107" x14ac:dyDescent="0.25">
      <c r="A1003" s="790">
        <v>1007</v>
      </c>
      <c r="B1003" s="791">
        <f t="shared" ca="1" si="798"/>
        <v>43134</v>
      </c>
      <c r="C1003" s="792" t="s">
        <v>2583</v>
      </c>
      <c r="D1003" s="793" t="s">
        <v>2582</v>
      </c>
      <c r="E1003" s="794" t="s">
        <v>1563</v>
      </c>
      <c r="F1003" s="795" t="s">
        <v>2390</v>
      </c>
      <c r="G1003" s="845"/>
      <c r="H1003" s="797" t="s">
        <v>603</v>
      </c>
      <c r="I1003" s="798">
        <v>42771</v>
      </c>
      <c r="J1003" s="799">
        <f t="shared" ca="1" si="799"/>
        <v>0.9945205479452055</v>
      </c>
      <c r="K1003" s="799">
        <f t="shared" ca="1" si="800"/>
        <v>12.1</v>
      </c>
      <c r="L1003" s="800">
        <f t="shared" ca="1" si="801"/>
        <v>363</v>
      </c>
      <c r="M1003" s="801"/>
      <c r="N1003" s="802"/>
      <c r="O1003" s="803" t="str">
        <f t="shared" ca="1" si="802"/>
        <v>-</v>
      </c>
      <c r="P1003" s="804"/>
      <c r="Q1003" s="805"/>
      <c r="R1003" s="806"/>
      <c r="S1003" s="807"/>
      <c r="T1003" s="798"/>
      <c r="U1003" s="798" t="str">
        <f t="shared" si="803"/>
        <v>-</v>
      </c>
      <c r="V1003" s="804" t="str">
        <f t="shared" ca="1" si="804"/>
        <v>-</v>
      </c>
      <c r="W1003" s="808">
        <v>0</v>
      </c>
      <c r="X1003" s="794" t="str">
        <f t="shared" si="797"/>
        <v>-</v>
      </c>
      <c r="Y1003" s="794">
        <v>0</v>
      </c>
      <c r="Z1003" s="809" t="str">
        <f t="shared" ca="1" si="805"/>
        <v>-----</v>
      </c>
      <c r="AA1003" s="810">
        <f t="shared" ca="1" si="806"/>
        <v>43134</v>
      </c>
      <c r="AB1003" s="804"/>
      <c r="AC1003" s="811" t="str">
        <f t="shared" ca="1" si="807"/>
        <v>-----</v>
      </c>
      <c r="AD1003" s="798"/>
      <c r="AE1003" s="794" t="str">
        <f t="shared" ca="1" si="808"/>
        <v>-</v>
      </c>
      <c r="AF1003" s="798" t="str">
        <f t="shared" si="809"/>
        <v>-</v>
      </c>
      <c r="AG1003" s="812" t="str">
        <f t="shared" si="810"/>
        <v>---------</v>
      </c>
      <c r="AH1003" s="807"/>
      <c r="AI1003" s="807" t="str">
        <f t="shared" si="811"/>
        <v>-</v>
      </c>
      <c r="AJ1003" s="807" t="str">
        <f t="shared" si="812"/>
        <v>-</v>
      </c>
      <c r="AK1003" s="813"/>
      <c r="AL1003" s="807" t="str">
        <f t="shared" si="813"/>
        <v>-</v>
      </c>
      <c r="AM1003" s="807" t="str">
        <f t="shared" si="814"/>
        <v>-</v>
      </c>
      <c r="AN1003" s="814" t="str">
        <f t="shared" ca="1" si="815"/>
        <v>-</v>
      </c>
      <c r="AO1003" s="815">
        <v>1</v>
      </c>
      <c r="AP1003" s="816" t="str">
        <f t="shared" ca="1" si="816"/>
        <v>-</v>
      </c>
      <c r="AQ1003" s="817"/>
      <c r="AR1003" s="794" t="str">
        <f t="shared" si="817"/>
        <v>-</v>
      </c>
      <c r="AS1003" s="818"/>
      <c r="AT1003" s="794" t="str">
        <f t="shared" si="818"/>
        <v>-</v>
      </c>
      <c r="AU1003" s="819"/>
      <c r="AV1003" s="820"/>
      <c r="AW1003" s="821"/>
      <c r="AX1003" s="821"/>
      <c r="AY1003" s="969" t="str">
        <f t="shared" si="819"/>
        <v>-</v>
      </c>
      <c r="AZ1003" s="966" t="str">
        <f t="shared" si="820"/>
        <v>-</v>
      </c>
      <c r="BA1003" s="971" t="str">
        <f t="shared" si="821"/>
        <v>-</v>
      </c>
      <c r="BB1003" s="975"/>
      <c r="BC1003" s="821"/>
      <c r="BD1003" s="821"/>
      <c r="BE1003" s="963" t="str">
        <f t="shared" si="822"/>
        <v>-</v>
      </c>
      <c r="BF1003" s="984"/>
      <c r="BG1003" s="988"/>
      <c r="BH1003" s="982"/>
      <c r="BI1003" s="991"/>
      <c r="BJ1003" s="991"/>
      <c r="BK1003" s="993" t="str">
        <f t="shared" si="823"/>
        <v>-</v>
      </c>
      <c r="BL1003" s="820">
        <v>42978</v>
      </c>
      <c r="BM1003" s="821">
        <v>5</v>
      </c>
      <c r="BN1003" s="822">
        <f t="shared" ca="1" si="824"/>
        <v>156</v>
      </c>
      <c r="BO1003" s="823">
        <f t="shared" si="825"/>
        <v>6.9</v>
      </c>
      <c r="BP1003" s="824"/>
      <c r="BQ1003" s="821"/>
      <c r="BR1003" s="822" t="str">
        <f t="shared" si="826"/>
        <v>-</v>
      </c>
      <c r="BS1003" s="823" t="str">
        <f t="shared" si="827"/>
        <v>-</v>
      </c>
      <c r="BT1003" s="825" t="str">
        <f t="shared" ca="1" si="828"/>
        <v>-</v>
      </c>
      <c r="BU1003" s="826"/>
      <c r="BV1003" s="827"/>
      <c r="BW1003" s="828" t="str">
        <f t="shared" si="829"/>
        <v>Ж-Е НЕ ВАКЦ.</v>
      </c>
      <c r="BX1003" s="829" t="str">
        <f t="shared" si="830"/>
        <v>-</v>
      </c>
      <c r="BY1003" s="830" t="str">
        <f t="shared" ca="1" si="831"/>
        <v>-</v>
      </c>
      <c r="BZ1003" s="831">
        <v>42888</v>
      </c>
      <c r="CA1003" s="832">
        <v>5</v>
      </c>
      <c r="CB1003" s="833">
        <f t="shared" ca="1" si="832"/>
        <v>246</v>
      </c>
      <c r="CC1003" s="834" t="str">
        <f t="shared" ca="1" si="833"/>
        <v>-</v>
      </c>
      <c r="CD1003" s="835">
        <f t="shared" si="834"/>
        <v>42909</v>
      </c>
      <c r="CE1003" s="831">
        <v>42909</v>
      </c>
      <c r="CF1003" s="832">
        <v>5</v>
      </c>
      <c r="CG1003" s="833">
        <f t="shared" ca="1" si="835"/>
        <v>225</v>
      </c>
      <c r="CH1003" s="836">
        <f t="shared" si="836"/>
        <v>0</v>
      </c>
      <c r="CI1003" s="837" t="str">
        <f t="shared" si="837"/>
        <v>УСПЕШНО</v>
      </c>
      <c r="CJ1003" s="838" t="str">
        <f t="shared" ca="1" si="838"/>
        <v>-</v>
      </c>
      <c r="CK1003" s="831"/>
      <c r="CL1003" s="832"/>
      <c r="CM1003" s="833" t="str">
        <f t="shared" si="839"/>
        <v>-</v>
      </c>
      <c r="CN1003" s="834" t="str">
        <f t="shared" si="840"/>
        <v>-</v>
      </c>
      <c r="CO1003" s="830" t="str">
        <f t="shared" ca="1" si="841"/>
        <v>-</v>
      </c>
      <c r="CP1003" s="839"/>
      <c r="CQ1003" s="832"/>
      <c r="CR1003" s="833" t="str">
        <f t="shared" si="842"/>
        <v>-</v>
      </c>
      <c r="CS1003" s="833" t="str">
        <f t="shared" si="843"/>
        <v>-</v>
      </c>
      <c r="CT1003" s="834" t="str">
        <f t="shared" si="844"/>
        <v>-</v>
      </c>
      <c r="CU1003" s="835" t="str">
        <f t="shared" si="845"/>
        <v>-</v>
      </c>
      <c r="CV1003" s="839"/>
      <c r="CW1003" s="832"/>
      <c r="CX1003" s="833" t="str">
        <f t="shared" si="846"/>
        <v>-</v>
      </c>
      <c r="CY1003" s="840" t="str">
        <f t="shared" si="847"/>
        <v>-</v>
      </c>
      <c r="CZ1003" s="833" t="str">
        <f t="shared" si="848"/>
        <v>-</v>
      </c>
      <c r="DA1003" s="838" t="str">
        <f t="shared" ca="1" si="849"/>
        <v>-</v>
      </c>
      <c r="DB1003" s="841"/>
      <c r="DC1003" s="832"/>
    </row>
    <row r="1004" spans="1:107" x14ac:dyDescent="0.25">
      <c r="A1004" s="790">
        <v>1008</v>
      </c>
      <c r="B1004" s="791">
        <f t="shared" ca="1" si="798"/>
        <v>43134</v>
      </c>
      <c r="C1004" s="792" t="s">
        <v>2583</v>
      </c>
      <c r="D1004" s="793" t="s">
        <v>2582</v>
      </c>
      <c r="E1004" s="794" t="s">
        <v>1563</v>
      </c>
      <c r="F1004" s="795" t="s">
        <v>2405</v>
      </c>
      <c r="G1004" s="845"/>
      <c r="H1004" s="797" t="s">
        <v>603</v>
      </c>
      <c r="I1004" s="798">
        <v>42774</v>
      </c>
      <c r="J1004" s="799">
        <f t="shared" ca="1" si="799"/>
        <v>0.98630136986301364</v>
      </c>
      <c r="K1004" s="799">
        <f t="shared" ca="1" si="800"/>
        <v>12</v>
      </c>
      <c r="L1004" s="800">
        <f t="shared" ca="1" si="801"/>
        <v>360</v>
      </c>
      <c r="M1004" s="801"/>
      <c r="N1004" s="802"/>
      <c r="O1004" s="803" t="str">
        <f t="shared" ca="1" si="802"/>
        <v>-</v>
      </c>
      <c r="P1004" s="804"/>
      <c r="Q1004" s="805"/>
      <c r="R1004" s="806"/>
      <c r="S1004" s="807"/>
      <c r="T1004" s="798"/>
      <c r="U1004" s="798" t="str">
        <f t="shared" si="803"/>
        <v>-</v>
      </c>
      <c r="V1004" s="804" t="str">
        <f t="shared" ca="1" si="804"/>
        <v>-</v>
      </c>
      <c r="W1004" s="808">
        <v>0</v>
      </c>
      <c r="X1004" s="794" t="str">
        <f t="shared" si="797"/>
        <v>-</v>
      </c>
      <c r="Y1004" s="794">
        <v>0</v>
      </c>
      <c r="Z1004" s="809" t="str">
        <f t="shared" ca="1" si="805"/>
        <v>-----</v>
      </c>
      <c r="AA1004" s="810">
        <f t="shared" ca="1" si="806"/>
        <v>43134</v>
      </c>
      <c r="AB1004" s="804"/>
      <c r="AC1004" s="811" t="str">
        <f t="shared" ca="1" si="807"/>
        <v>-----</v>
      </c>
      <c r="AD1004" s="798"/>
      <c r="AE1004" s="794" t="str">
        <f t="shared" ca="1" si="808"/>
        <v>-</v>
      </c>
      <c r="AF1004" s="798" t="str">
        <f t="shared" si="809"/>
        <v>-</v>
      </c>
      <c r="AG1004" s="812" t="str">
        <f t="shared" si="810"/>
        <v>---------</v>
      </c>
      <c r="AH1004" s="807"/>
      <c r="AI1004" s="807" t="str">
        <f t="shared" si="811"/>
        <v>-</v>
      </c>
      <c r="AJ1004" s="807" t="str">
        <f t="shared" si="812"/>
        <v>-</v>
      </c>
      <c r="AK1004" s="813"/>
      <c r="AL1004" s="807" t="str">
        <f t="shared" si="813"/>
        <v>-</v>
      </c>
      <c r="AM1004" s="807" t="str">
        <f t="shared" si="814"/>
        <v>-</v>
      </c>
      <c r="AN1004" s="814" t="str">
        <f t="shared" ca="1" si="815"/>
        <v>-</v>
      </c>
      <c r="AO1004" s="815">
        <v>1</v>
      </c>
      <c r="AP1004" s="816" t="str">
        <f t="shared" ca="1" si="816"/>
        <v>-</v>
      </c>
      <c r="AQ1004" s="817"/>
      <c r="AR1004" s="794" t="str">
        <f t="shared" si="817"/>
        <v>-</v>
      </c>
      <c r="AS1004" s="818"/>
      <c r="AT1004" s="794" t="str">
        <f t="shared" si="818"/>
        <v>-</v>
      </c>
      <c r="AU1004" s="819"/>
      <c r="AV1004" s="820"/>
      <c r="AW1004" s="821"/>
      <c r="AX1004" s="821"/>
      <c r="AY1004" s="969" t="str">
        <f t="shared" si="819"/>
        <v>-</v>
      </c>
      <c r="AZ1004" s="966" t="str">
        <f t="shared" si="820"/>
        <v>-</v>
      </c>
      <c r="BA1004" s="971" t="str">
        <f t="shared" si="821"/>
        <v>-</v>
      </c>
      <c r="BB1004" s="975"/>
      <c r="BC1004" s="821"/>
      <c r="BD1004" s="821"/>
      <c r="BE1004" s="963" t="str">
        <f t="shared" si="822"/>
        <v>-</v>
      </c>
      <c r="BF1004" s="984"/>
      <c r="BG1004" s="988"/>
      <c r="BH1004" s="982"/>
      <c r="BI1004" s="991"/>
      <c r="BJ1004" s="991"/>
      <c r="BK1004" s="993" t="str">
        <f t="shared" si="823"/>
        <v>-</v>
      </c>
      <c r="BL1004" s="820">
        <v>42977</v>
      </c>
      <c r="BM1004" s="821">
        <v>5</v>
      </c>
      <c r="BN1004" s="822">
        <f t="shared" ca="1" si="824"/>
        <v>157</v>
      </c>
      <c r="BO1004" s="823">
        <f t="shared" si="825"/>
        <v>6.7666666666666666</v>
      </c>
      <c r="BP1004" s="824"/>
      <c r="BQ1004" s="821"/>
      <c r="BR1004" s="822" t="str">
        <f t="shared" si="826"/>
        <v>-</v>
      </c>
      <c r="BS1004" s="823" t="str">
        <f t="shared" si="827"/>
        <v>-</v>
      </c>
      <c r="BT1004" s="825" t="str">
        <f t="shared" ca="1" si="828"/>
        <v>-</v>
      </c>
      <c r="BU1004" s="826"/>
      <c r="BV1004" s="827"/>
      <c r="BW1004" s="828" t="str">
        <f t="shared" si="829"/>
        <v>Ж-Е НЕ ВАКЦ.</v>
      </c>
      <c r="BX1004" s="829" t="str">
        <f t="shared" si="830"/>
        <v>-</v>
      </c>
      <c r="BY1004" s="830" t="str">
        <f t="shared" ca="1" si="831"/>
        <v>-</v>
      </c>
      <c r="BZ1004" s="831">
        <v>42888</v>
      </c>
      <c r="CA1004" s="832">
        <v>5</v>
      </c>
      <c r="CB1004" s="833">
        <f t="shared" ca="1" si="832"/>
        <v>246</v>
      </c>
      <c r="CC1004" s="834" t="str">
        <f t="shared" ca="1" si="833"/>
        <v>-</v>
      </c>
      <c r="CD1004" s="835">
        <f t="shared" si="834"/>
        <v>42909</v>
      </c>
      <c r="CE1004" s="831">
        <v>42909</v>
      </c>
      <c r="CF1004" s="832">
        <v>5</v>
      </c>
      <c r="CG1004" s="833">
        <f t="shared" ca="1" si="835"/>
        <v>225</v>
      </c>
      <c r="CH1004" s="836">
        <f t="shared" si="836"/>
        <v>0</v>
      </c>
      <c r="CI1004" s="837" t="str">
        <f t="shared" si="837"/>
        <v>УСПЕШНО</v>
      </c>
      <c r="CJ1004" s="838" t="str">
        <f t="shared" ca="1" si="838"/>
        <v>-</v>
      </c>
      <c r="CK1004" s="831"/>
      <c r="CL1004" s="832"/>
      <c r="CM1004" s="833" t="str">
        <f t="shared" si="839"/>
        <v>-</v>
      </c>
      <c r="CN1004" s="834" t="str">
        <f t="shared" si="840"/>
        <v>-</v>
      </c>
      <c r="CO1004" s="830" t="str">
        <f t="shared" ca="1" si="841"/>
        <v>-</v>
      </c>
      <c r="CP1004" s="839"/>
      <c r="CQ1004" s="832"/>
      <c r="CR1004" s="833" t="str">
        <f t="shared" si="842"/>
        <v>-</v>
      </c>
      <c r="CS1004" s="833" t="str">
        <f t="shared" si="843"/>
        <v>-</v>
      </c>
      <c r="CT1004" s="834" t="str">
        <f t="shared" si="844"/>
        <v>-</v>
      </c>
      <c r="CU1004" s="835" t="str">
        <f t="shared" si="845"/>
        <v>-</v>
      </c>
      <c r="CV1004" s="839"/>
      <c r="CW1004" s="832"/>
      <c r="CX1004" s="833" t="str">
        <f t="shared" si="846"/>
        <v>-</v>
      </c>
      <c r="CY1004" s="840" t="str">
        <f t="shared" si="847"/>
        <v>-</v>
      </c>
      <c r="CZ1004" s="833" t="str">
        <f t="shared" si="848"/>
        <v>-</v>
      </c>
      <c r="DA1004" s="838" t="str">
        <f t="shared" ca="1" si="849"/>
        <v>-</v>
      </c>
      <c r="DB1004" s="841"/>
      <c r="DC1004" s="832"/>
    </row>
    <row r="1005" spans="1:107" x14ac:dyDescent="0.25">
      <c r="A1005" s="790">
        <v>1009</v>
      </c>
      <c r="B1005" s="791">
        <f t="shared" ca="1" si="798"/>
        <v>43134</v>
      </c>
      <c r="C1005" s="792" t="s">
        <v>2583</v>
      </c>
      <c r="D1005" s="793" t="s">
        <v>2582</v>
      </c>
      <c r="E1005" s="794" t="s">
        <v>1563</v>
      </c>
      <c r="F1005" s="795" t="s">
        <v>2407</v>
      </c>
      <c r="G1005" s="845"/>
      <c r="H1005" s="797" t="s">
        <v>603</v>
      </c>
      <c r="I1005" s="798">
        <v>42776</v>
      </c>
      <c r="J1005" s="799">
        <f t="shared" ca="1" si="799"/>
        <v>0.98082191780821915</v>
      </c>
      <c r="K1005" s="799">
        <f t="shared" ca="1" si="800"/>
        <v>11.933333333333334</v>
      </c>
      <c r="L1005" s="800">
        <f t="shared" ca="1" si="801"/>
        <v>358</v>
      </c>
      <c r="M1005" s="801"/>
      <c r="N1005" s="802"/>
      <c r="O1005" s="803" t="str">
        <f t="shared" ca="1" si="802"/>
        <v>-</v>
      </c>
      <c r="P1005" s="804"/>
      <c r="Q1005" s="805"/>
      <c r="R1005" s="806"/>
      <c r="S1005" s="807"/>
      <c r="T1005" s="798"/>
      <c r="U1005" s="798" t="str">
        <f t="shared" si="803"/>
        <v>-</v>
      </c>
      <c r="V1005" s="804" t="str">
        <f t="shared" ca="1" si="804"/>
        <v>-</v>
      </c>
      <c r="W1005" s="808">
        <v>0</v>
      </c>
      <c r="X1005" s="794" t="str">
        <f t="shared" si="797"/>
        <v>-</v>
      </c>
      <c r="Y1005" s="794">
        <v>0</v>
      </c>
      <c r="Z1005" s="809" t="str">
        <f t="shared" ca="1" si="805"/>
        <v>-----</v>
      </c>
      <c r="AA1005" s="810">
        <f t="shared" ca="1" si="806"/>
        <v>43134</v>
      </c>
      <c r="AB1005" s="804"/>
      <c r="AC1005" s="811" t="str">
        <f t="shared" ca="1" si="807"/>
        <v>-----</v>
      </c>
      <c r="AD1005" s="798"/>
      <c r="AE1005" s="794" t="str">
        <f t="shared" ca="1" si="808"/>
        <v>-</v>
      </c>
      <c r="AF1005" s="798" t="str">
        <f t="shared" si="809"/>
        <v>-</v>
      </c>
      <c r="AG1005" s="812" t="str">
        <f t="shared" si="810"/>
        <v>---------</v>
      </c>
      <c r="AH1005" s="807"/>
      <c r="AI1005" s="807" t="str">
        <f t="shared" si="811"/>
        <v>-</v>
      </c>
      <c r="AJ1005" s="807" t="str">
        <f t="shared" si="812"/>
        <v>-</v>
      </c>
      <c r="AK1005" s="813"/>
      <c r="AL1005" s="807" t="str">
        <f t="shared" si="813"/>
        <v>-</v>
      </c>
      <c r="AM1005" s="807" t="str">
        <f t="shared" si="814"/>
        <v>-</v>
      </c>
      <c r="AN1005" s="814" t="str">
        <f t="shared" ca="1" si="815"/>
        <v>-</v>
      </c>
      <c r="AO1005" s="815">
        <v>1</v>
      </c>
      <c r="AP1005" s="816" t="str">
        <f t="shared" ca="1" si="816"/>
        <v>-</v>
      </c>
      <c r="AQ1005" s="817"/>
      <c r="AR1005" s="794" t="str">
        <f t="shared" si="817"/>
        <v>-</v>
      </c>
      <c r="AS1005" s="818"/>
      <c r="AT1005" s="794" t="str">
        <f t="shared" si="818"/>
        <v>-</v>
      </c>
      <c r="AU1005" s="819"/>
      <c r="AV1005" s="820"/>
      <c r="AW1005" s="821"/>
      <c r="AX1005" s="821"/>
      <c r="AY1005" s="969" t="str">
        <f t="shared" si="819"/>
        <v>-</v>
      </c>
      <c r="AZ1005" s="966" t="str">
        <f t="shared" si="820"/>
        <v>-</v>
      </c>
      <c r="BA1005" s="971" t="str">
        <f t="shared" si="821"/>
        <v>-</v>
      </c>
      <c r="BB1005" s="975"/>
      <c r="BC1005" s="821"/>
      <c r="BD1005" s="821"/>
      <c r="BE1005" s="963" t="str">
        <f t="shared" si="822"/>
        <v>-</v>
      </c>
      <c r="BF1005" s="984"/>
      <c r="BG1005" s="988"/>
      <c r="BH1005" s="982"/>
      <c r="BI1005" s="991"/>
      <c r="BJ1005" s="991"/>
      <c r="BK1005" s="993" t="str">
        <f t="shared" si="823"/>
        <v>-</v>
      </c>
      <c r="BL1005" s="820">
        <v>42977</v>
      </c>
      <c r="BM1005" s="821">
        <v>5</v>
      </c>
      <c r="BN1005" s="822">
        <f t="shared" ca="1" si="824"/>
        <v>157</v>
      </c>
      <c r="BO1005" s="823">
        <f t="shared" si="825"/>
        <v>6.7</v>
      </c>
      <c r="BP1005" s="824"/>
      <c r="BQ1005" s="821"/>
      <c r="BR1005" s="822" t="str">
        <f t="shared" si="826"/>
        <v>-</v>
      </c>
      <c r="BS1005" s="823" t="str">
        <f t="shared" si="827"/>
        <v>-</v>
      </c>
      <c r="BT1005" s="825" t="str">
        <f t="shared" ca="1" si="828"/>
        <v>-</v>
      </c>
      <c r="BU1005" s="826"/>
      <c r="BV1005" s="827"/>
      <c r="BW1005" s="828" t="str">
        <f t="shared" si="829"/>
        <v>Ж-Е НЕ ВАКЦ.</v>
      </c>
      <c r="BX1005" s="829" t="str">
        <f t="shared" si="830"/>
        <v>-</v>
      </c>
      <c r="BY1005" s="830" t="str">
        <f t="shared" ca="1" si="831"/>
        <v>-</v>
      </c>
      <c r="BZ1005" s="831">
        <v>42888</v>
      </c>
      <c r="CA1005" s="832">
        <v>5</v>
      </c>
      <c r="CB1005" s="833">
        <f t="shared" ca="1" si="832"/>
        <v>246</v>
      </c>
      <c r="CC1005" s="834" t="str">
        <f t="shared" ca="1" si="833"/>
        <v>-</v>
      </c>
      <c r="CD1005" s="835">
        <f t="shared" si="834"/>
        <v>42909</v>
      </c>
      <c r="CE1005" s="831">
        <v>42909</v>
      </c>
      <c r="CF1005" s="832">
        <v>5</v>
      </c>
      <c r="CG1005" s="833">
        <f t="shared" ca="1" si="835"/>
        <v>225</v>
      </c>
      <c r="CH1005" s="836">
        <f t="shared" si="836"/>
        <v>0</v>
      </c>
      <c r="CI1005" s="837" t="str">
        <f t="shared" si="837"/>
        <v>УСПЕШНО</v>
      </c>
      <c r="CJ1005" s="838" t="str">
        <f t="shared" ca="1" si="838"/>
        <v>-</v>
      </c>
      <c r="CK1005" s="831"/>
      <c r="CL1005" s="832"/>
      <c r="CM1005" s="833" t="str">
        <f t="shared" si="839"/>
        <v>-</v>
      </c>
      <c r="CN1005" s="834" t="str">
        <f t="shared" si="840"/>
        <v>-</v>
      </c>
      <c r="CO1005" s="830" t="str">
        <f t="shared" ca="1" si="841"/>
        <v>-</v>
      </c>
      <c r="CP1005" s="839"/>
      <c r="CQ1005" s="832"/>
      <c r="CR1005" s="833" t="str">
        <f t="shared" si="842"/>
        <v>-</v>
      </c>
      <c r="CS1005" s="833" t="str">
        <f t="shared" si="843"/>
        <v>-</v>
      </c>
      <c r="CT1005" s="834" t="str">
        <f t="shared" si="844"/>
        <v>-</v>
      </c>
      <c r="CU1005" s="835" t="str">
        <f t="shared" si="845"/>
        <v>-</v>
      </c>
      <c r="CV1005" s="839"/>
      <c r="CW1005" s="832"/>
      <c r="CX1005" s="833" t="str">
        <f t="shared" si="846"/>
        <v>-</v>
      </c>
      <c r="CY1005" s="840" t="str">
        <f t="shared" si="847"/>
        <v>-</v>
      </c>
      <c r="CZ1005" s="833" t="str">
        <f t="shared" si="848"/>
        <v>-</v>
      </c>
      <c r="DA1005" s="838" t="str">
        <f t="shared" ca="1" si="849"/>
        <v>-</v>
      </c>
      <c r="DB1005" s="841"/>
      <c r="DC1005" s="832"/>
    </row>
    <row r="1006" spans="1:107" x14ac:dyDescent="0.25">
      <c r="A1006" s="790">
        <v>1010</v>
      </c>
      <c r="B1006" s="791">
        <f t="shared" ca="1" si="798"/>
        <v>43134</v>
      </c>
      <c r="C1006" s="29" t="s">
        <v>2583</v>
      </c>
      <c r="D1006" s="59" t="s">
        <v>2582</v>
      </c>
      <c r="E1006" s="873" t="s">
        <v>1563</v>
      </c>
      <c r="F1006" s="874" t="s">
        <v>2409</v>
      </c>
      <c r="G1006" s="845"/>
      <c r="H1006" s="797" t="s">
        <v>603</v>
      </c>
      <c r="I1006" s="798">
        <v>42780</v>
      </c>
      <c r="J1006" s="799">
        <f t="shared" ca="1" si="799"/>
        <v>0.96986301369863015</v>
      </c>
      <c r="K1006" s="799">
        <f t="shared" ca="1" si="800"/>
        <v>11.8</v>
      </c>
      <c r="L1006" s="800">
        <f t="shared" ca="1" si="801"/>
        <v>354</v>
      </c>
      <c r="M1006" s="801"/>
      <c r="N1006" s="802"/>
      <c r="O1006" s="803" t="str">
        <f t="shared" ca="1" si="802"/>
        <v>-</v>
      </c>
      <c r="P1006" s="804"/>
      <c r="Q1006" s="805"/>
      <c r="R1006" s="806"/>
      <c r="S1006" s="807"/>
      <c r="T1006" s="798"/>
      <c r="U1006" s="798" t="str">
        <f t="shared" si="803"/>
        <v>-</v>
      </c>
      <c r="V1006" s="804" t="str">
        <f t="shared" ca="1" si="804"/>
        <v>-</v>
      </c>
      <c r="W1006" s="808">
        <v>0</v>
      </c>
      <c r="X1006" s="794" t="str">
        <f t="shared" si="797"/>
        <v>-</v>
      </c>
      <c r="Y1006" s="794">
        <v>0</v>
      </c>
      <c r="Z1006" s="809" t="str">
        <f t="shared" ca="1" si="805"/>
        <v>-----</v>
      </c>
      <c r="AA1006" s="810">
        <f t="shared" ca="1" si="806"/>
        <v>43134</v>
      </c>
      <c r="AB1006" s="804"/>
      <c r="AC1006" s="811" t="str">
        <f t="shared" ca="1" si="807"/>
        <v>-----</v>
      </c>
      <c r="AD1006" s="798"/>
      <c r="AE1006" s="794" t="str">
        <f t="shared" ca="1" si="808"/>
        <v>-</v>
      </c>
      <c r="AF1006" s="798" t="str">
        <f t="shared" si="809"/>
        <v>-</v>
      </c>
      <c r="AG1006" s="812" t="str">
        <f t="shared" si="810"/>
        <v>---------</v>
      </c>
      <c r="AH1006" s="807"/>
      <c r="AI1006" s="807" t="str">
        <f t="shared" si="811"/>
        <v>-</v>
      </c>
      <c r="AJ1006" s="807" t="str">
        <f t="shared" si="812"/>
        <v>-</v>
      </c>
      <c r="AK1006" s="813"/>
      <c r="AL1006" s="807" t="str">
        <f t="shared" si="813"/>
        <v>-</v>
      </c>
      <c r="AM1006" s="807" t="str">
        <f t="shared" si="814"/>
        <v>-</v>
      </c>
      <c r="AN1006" s="814" t="str">
        <f t="shared" ca="1" si="815"/>
        <v>-</v>
      </c>
      <c r="AO1006" s="815">
        <v>1</v>
      </c>
      <c r="AP1006" s="816" t="str">
        <f t="shared" ca="1" si="816"/>
        <v>-</v>
      </c>
      <c r="AQ1006" s="817"/>
      <c r="AR1006" s="794" t="str">
        <f t="shared" si="817"/>
        <v>-</v>
      </c>
      <c r="AS1006" s="818"/>
      <c r="AT1006" s="794" t="str">
        <f t="shared" si="818"/>
        <v>-</v>
      </c>
      <c r="AU1006" s="819"/>
      <c r="AV1006" s="865"/>
      <c r="AW1006" s="821"/>
      <c r="AX1006" s="821"/>
      <c r="AY1006" s="969" t="str">
        <f t="shared" si="819"/>
        <v>-</v>
      </c>
      <c r="AZ1006" s="966" t="str">
        <f t="shared" si="820"/>
        <v>-</v>
      </c>
      <c r="BA1006" s="971" t="str">
        <f t="shared" si="821"/>
        <v>-</v>
      </c>
      <c r="BB1006" s="975"/>
      <c r="BC1006" s="821"/>
      <c r="BD1006" s="821"/>
      <c r="BE1006" s="963" t="str">
        <f t="shared" si="822"/>
        <v>-</v>
      </c>
      <c r="BF1006" s="984"/>
      <c r="BG1006" s="988"/>
      <c r="BH1006" s="982"/>
      <c r="BI1006" s="991"/>
      <c r="BJ1006" s="991"/>
      <c r="BK1006" s="993" t="str">
        <f t="shared" si="823"/>
        <v>-</v>
      </c>
      <c r="BL1006" s="865"/>
      <c r="BM1006" s="821"/>
      <c r="BN1006" s="822" t="str">
        <f t="shared" si="824"/>
        <v>-</v>
      </c>
      <c r="BO1006" s="823" t="str">
        <f t="shared" si="825"/>
        <v>-</v>
      </c>
      <c r="BP1006" s="868"/>
      <c r="BQ1006" s="821"/>
      <c r="BR1006" s="822" t="str">
        <f t="shared" si="826"/>
        <v>-</v>
      </c>
      <c r="BS1006" s="823" t="str">
        <f t="shared" si="827"/>
        <v>-</v>
      </c>
      <c r="BT1006" s="825" t="str">
        <f t="shared" ca="1" si="828"/>
        <v>-</v>
      </c>
      <c r="BU1006" s="826"/>
      <c r="BV1006" s="827"/>
      <c r="BW1006" s="828" t="str">
        <f t="shared" si="829"/>
        <v>Ж-Е НЕ ВАКЦ.</v>
      </c>
      <c r="BX1006" s="829" t="str">
        <f t="shared" si="830"/>
        <v>-</v>
      </c>
      <c r="BY1006" s="830" t="str">
        <f t="shared" ca="1" si="831"/>
        <v>-</v>
      </c>
      <c r="BZ1006" s="831">
        <v>42888</v>
      </c>
      <c r="CA1006" s="832">
        <v>5</v>
      </c>
      <c r="CB1006" s="833">
        <f t="shared" ca="1" si="832"/>
        <v>246</v>
      </c>
      <c r="CC1006" s="834" t="str">
        <f t="shared" ca="1" si="833"/>
        <v>-</v>
      </c>
      <c r="CD1006" s="835">
        <f t="shared" si="834"/>
        <v>42909</v>
      </c>
      <c r="CE1006" s="831">
        <v>42909</v>
      </c>
      <c r="CF1006" s="832">
        <v>5</v>
      </c>
      <c r="CG1006" s="833">
        <f t="shared" ca="1" si="835"/>
        <v>225</v>
      </c>
      <c r="CH1006" s="836">
        <f t="shared" si="836"/>
        <v>0</v>
      </c>
      <c r="CI1006" s="837" t="str">
        <f t="shared" si="837"/>
        <v>УСПЕШНО</v>
      </c>
      <c r="CJ1006" s="838" t="str">
        <f t="shared" ca="1" si="838"/>
        <v>-</v>
      </c>
      <c r="CK1006" s="831"/>
      <c r="CL1006" s="832"/>
      <c r="CM1006" s="833" t="str">
        <f t="shared" si="839"/>
        <v>-</v>
      </c>
      <c r="CN1006" s="834" t="str">
        <f t="shared" si="840"/>
        <v>-</v>
      </c>
      <c r="CO1006" s="830" t="str">
        <f t="shared" ca="1" si="841"/>
        <v>-</v>
      </c>
      <c r="CP1006" s="839"/>
      <c r="CQ1006" s="832"/>
      <c r="CR1006" s="833" t="str">
        <f t="shared" si="842"/>
        <v>-</v>
      </c>
      <c r="CS1006" s="833" t="str">
        <f t="shared" si="843"/>
        <v>-</v>
      </c>
      <c r="CT1006" s="834" t="str">
        <f t="shared" si="844"/>
        <v>-</v>
      </c>
      <c r="CU1006" s="835" t="str">
        <f t="shared" si="845"/>
        <v>-</v>
      </c>
      <c r="CV1006" s="839"/>
      <c r="CW1006" s="832"/>
      <c r="CX1006" s="833" t="str">
        <f t="shared" si="846"/>
        <v>-</v>
      </c>
      <c r="CY1006" s="840" t="str">
        <f t="shared" si="847"/>
        <v>-</v>
      </c>
      <c r="CZ1006" s="833" t="str">
        <f t="shared" si="848"/>
        <v>-</v>
      </c>
      <c r="DA1006" s="838" t="str">
        <f t="shared" ca="1" si="849"/>
        <v>-</v>
      </c>
      <c r="DB1006" s="841"/>
      <c r="DC1006" s="832"/>
    </row>
    <row r="1007" spans="1:107" x14ac:dyDescent="0.25">
      <c r="A1007" s="790">
        <v>1011</v>
      </c>
      <c r="B1007" s="791">
        <f t="shared" ca="1" si="798"/>
        <v>43134</v>
      </c>
      <c r="C1007" s="792" t="s">
        <v>2583</v>
      </c>
      <c r="D1007" s="793" t="s">
        <v>2582</v>
      </c>
      <c r="E1007" s="794" t="s">
        <v>1563</v>
      </c>
      <c r="F1007" s="795" t="s">
        <v>2411</v>
      </c>
      <c r="G1007" s="845"/>
      <c r="H1007" s="797" t="s">
        <v>603</v>
      </c>
      <c r="I1007" s="798">
        <v>42782</v>
      </c>
      <c r="J1007" s="799">
        <f t="shared" ca="1" si="799"/>
        <v>0.96438356164383565</v>
      </c>
      <c r="K1007" s="799">
        <f t="shared" ca="1" si="800"/>
        <v>11.733333333333333</v>
      </c>
      <c r="L1007" s="800">
        <f t="shared" ca="1" si="801"/>
        <v>352</v>
      </c>
      <c r="M1007" s="801"/>
      <c r="N1007" s="802"/>
      <c r="O1007" s="803" t="str">
        <f t="shared" ca="1" si="802"/>
        <v>-</v>
      </c>
      <c r="P1007" s="804"/>
      <c r="Q1007" s="805"/>
      <c r="R1007" s="806"/>
      <c r="S1007" s="807"/>
      <c r="T1007" s="798"/>
      <c r="U1007" s="798" t="str">
        <f t="shared" si="803"/>
        <v>-</v>
      </c>
      <c r="V1007" s="804" t="str">
        <f t="shared" ca="1" si="804"/>
        <v>-</v>
      </c>
      <c r="W1007" s="808">
        <v>0</v>
      </c>
      <c r="X1007" s="794" t="str">
        <f t="shared" si="797"/>
        <v>-</v>
      </c>
      <c r="Y1007" s="794">
        <v>0</v>
      </c>
      <c r="Z1007" s="809" t="str">
        <f t="shared" ca="1" si="805"/>
        <v>-----</v>
      </c>
      <c r="AA1007" s="810">
        <f t="shared" ca="1" si="806"/>
        <v>43134</v>
      </c>
      <c r="AB1007" s="804"/>
      <c r="AC1007" s="811" t="str">
        <f t="shared" ca="1" si="807"/>
        <v>-----</v>
      </c>
      <c r="AD1007" s="798"/>
      <c r="AE1007" s="794" t="str">
        <f t="shared" ca="1" si="808"/>
        <v>-</v>
      </c>
      <c r="AF1007" s="798" t="str">
        <f t="shared" si="809"/>
        <v>-</v>
      </c>
      <c r="AG1007" s="812" t="str">
        <f t="shared" si="810"/>
        <v>---------</v>
      </c>
      <c r="AH1007" s="807"/>
      <c r="AI1007" s="807" t="str">
        <f t="shared" si="811"/>
        <v>-</v>
      </c>
      <c r="AJ1007" s="807" t="str">
        <f t="shared" si="812"/>
        <v>-</v>
      </c>
      <c r="AK1007" s="813"/>
      <c r="AL1007" s="807" t="str">
        <f t="shared" si="813"/>
        <v>-</v>
      </c>
      <c r="AM1007" s="807" t="str">
        <f t="shared" si="814"/>
        <v>-</v>
      </c>
      <c r="AN1007" s="814" t="str">
        <f t="shared" ca="1" si="815"/>
        <v>-</v>
      </c>
      <c r="AO1007" s="815">
        <v>1</v>
      </c>
      <c r="AP1007" s="816" t="str">
        <f t="shared" ca="1" si="816"/>
        <v>-</v>
      </c>
      <c r="AQ1007" s="817"/>
      <c r="AR1007" s="794" t="str">
        <f t="shared" si="817"/>
        <v>-</v>
      </c>
      <c r="AS1007" s="818"/>
      <c r="AT1007" s="794" t="str">
        <f t="shared" si="818"/>
        <v>-</v>
      </c>
      <c r="AU1007" s="819"/>
      <c r="AV1007" s="820"/>
      <c r="AW1007" s="821"/>
      <c r="AX1007" s="821"/>
      <c r="AY1007" s="969" t="str">
        <f t="shared" si="819"/>
        <v>-</v>
      </c>
      <c r="AZ1007" s="966" t="str">
        <f t="shared" si="820"/>
        <v>-</v>
      </c>
      <c r="BA1007" s="971" t="str">
        <f t="shared" si="821"/>
        <v>-</v>
      </c>
      <c r="BB1007" s="975"/>
      <c r="BC1007" s="821"/>
      <c r="BD1007" s="821"/>
      <c r="BE1007" s="963" t="str">
        <f t="shared" si="822"/>
        <v>-</v>
      </c>
      <c r="BF1007" s="984"/>
      <c r="BG1007" s="988"/>
      <c r="BH1007" s="982"/>
      <c r="BI1007" s="991"/>
      <c r="BJ1007" s="991"/>
      <c r="BK1007" s="993" t="str">
        <f t="shared" si="823"/>
        <v>-</v>
      </c>
      <c r="BL1007" s="820">
        <v>42978</v>
      </c>
      <c r="BM1007" s="821">
        <v>5</v>
      </c>
      <c r="BN1007" s="822">
        <f t="shared" ca="1" si="824"/>
        <v>156</v>
      </c>
      <c r="BO1007" s="823">
        <f t="shared" si="825"/>
        <v>6.5333333333333332</v>
      </c>
      <c r="BP1007" s="824"/>
      <c r="BQ1007" s="821"/>
      <c r="BR1007" s="822" t="str">
        <f t="shared" si="826"/>
        <v>-</v>
      </c>
      <c r="BS1007" s="823" t="str">
        <f t="shared" si="827"/>
        <v>-</v>
      </c>
      <c r="BT1007" s="825" t="str">
        <f t="shared" ca="1" si="828"/>
        <v>-</v>
      </c>
      <c r="BU1007" s="826"/>
      <c r="BV1007" s="827"/>
      <c r="BW1007" s="828" t="str">
        <f t="shared" si="829"/>
        <v>Ж-Е НЕ ВАКЦ.</v>
      </c>
      <c r="BX1007" s="829" t="str">
        <f t="shared" si="830"/>
        <v>-</v>
      </c>
      <c r="BY1007" s="830" t="str">
        <f t="shared" ca="1" si="831"/>
        <v>-</v>
      </c>
      <c r="BZ1007" s="831">
        <v>42888</v>
      </c>
      <c r="CA1007" s="832">
        <v>5</v>
      </c>
      <c r="CB1007" s="833">
        <f t="shared" ca="1" si="832"/>
        <v>246</v>
      </c>
      <c r="CC1007" s="834" t="str">
        <f t="shared" ca="1" si="833"/>
        <v>-</v>
      </c>
      <c r="CD1007" s="835">
        <f t="shared" si="834"/>
        <v>42909</v>
      </c>
      <c r="CE1007" s="831">
        <v>42909</v>
      </c>
      <c r="CF1007" s="832">
        <v>5</v>
      </c>
      <c r="CG1007" s="833">
        <f t="shared" ca="1" si="835"/>
        <v>225</v>
      </c>
      <c r="CH1007" s="836">
        <f t="shared" si="836"/>
        <v>0</v>
      </c>
      <c r="CI1007" s="837" t="str">
        <f t="shared" si="837"/>
        <v>УСПЕШНО</v>
      </c>
      <c r="CJ1007" s="838" t="str">
        <f t="shared" ca="1" si="838"/>
        <v>-</v>
      </c>
      <c r="CK1007" s="831"/>
      <c r="CL1007" s="832"/>
      <c r="CM1007" s="833" t="str">
        <f t="shared" si="839"/>
        <v>-</v>
      </c>
      <c r="CN1007" s="834" t="str">
        <f t="shared" si="840"/>
        <v>-</v>
      </c>
      <c r="CO1007" s="830" t="str">
        <f t="shared" ca="1" si="841"/>
        <v>-</v>
      </c>
      <c r="CP1007" s="839"/>
      <c r="CQ1007" s="832"/>
      <c r="CR1007" s="833" t="str">
        <f t="shared" si="842"/>
        <v>-</v>
      </c>
      <c r="CS1007" s="833" t="str">
        <f t="shared" si="843"/>
        <v>-</v>
      </c>
      <c r="CT1007" s="834" t="str">
        <f t="shared" si="844"/>
        <v>-</v>
      </c>
      <c r="CU1007" s="835" t="str">
        <f t="shared" si="845"/>
        <v>-</v>
      </c>
      <c r="CV1007" s="839"/>
      <c r="CW1007" s="832"/>
      <c r="CX1007" s="833" t="str">
        <f t="shared" si="846"/>
        <v>-</v>
      </c>
      <c r="CY1007" s="840" t="str">
        <f t="shared" si="847"/>
        <v>-</v>
      </c>
      <c r="CZ1007" s="833" t="str">
        <f t="shared" si="848"/>
        <v>-</v>
      </c>
      <c r="DA1007" s="838" t="str">
        <f t="shared" ca="1" si="849"/>
        <v>-</v>
      </c>
      <c r="DB1007" s="841"/>
      <c r="DC1007" s="832"/>
    </row>
    <row r="1008" spans="1:107" x14ac:dyDescent="0.25">
      <c r="A1008" s="790">
        <v>1012</v>
      </c>
      <c r="B1008" s="791">
        <f t="shared" ca="1" si="798"/>
        <v>43134</v>
      </c>
      <c r="C1008" s="792" t="s">
        <v>2583</v>
      </c>
      <c r="D1008" s="793" t="s">
        <v>2582</v>
      </c>
      <c r="E1008" s="794" t="s">
        <v>1563</v>
      </c>
      <c r="F1008" s="795" t="s">
        <v>2414</v>
      </c>
      <c r="G1008" s="845"/>
      <c r="H1008" s="797" t="s">
        <v>603</v>
      </c>
      <c r="I1008" s="798">
        <v>42783</v>
      </c>
      <c r="J1008" s="799">
        <f t="shared" ca="1" si="799"/>
        <v>0.9616438356164384</v>
      </c>
      <c r="K1008" s="799">
        <f t="shared" ca="1" si="800"/>
        <v>11.7</v>
      </c>
      <c r="L1008" s="800">
        <f t="shared" ca="1" si="801"/>
        <v>351</v>
      </c>
      <c r="M1008" s="801"/>
      <c r="N1008" s="802"/>
      <c r="O1008" s="803" t="str">
        <f t="shared" ca="1" si="802"/>
        <v>-</v>
      </c>
      <c r="P1008" s="804"/>
      <c r="Q1008" s="805"/>
      <c r="R1008" s="806"/>
      <c r="S1008" s="807"/>
      <c r="T1008" s="798"/>
      <c r="U1008" s="798" t="str">
        <f t="shared" si="803"/>
        <v>-</v>
      </c>
      <c r="V1008" s="804" t="str">
        <f t="shared" ca="1" si="804"/>
        <v>-</v>
      </c>
      <c r="W1008" s="808">
        <v>0</v>
      </c>
      <c r="X1008" s="794" t="str">
        <f t="shared" si="797"/>
        <v>-</v>
      </c>
      <c r="Y1008" s="794">
        <v>0</v>
      </c>
      <c r="Z1008" s="809" t="str">
        <f t="shared" ca="1" si="805"/>
        <v>-----</v>
      </c>
      <c r="AA1008" s="810">
        <f t="shared" ca="1" si="806"/>
        <v>43134</v>
      </c>
      <c r="AB1008" s="804"/>
      <c r="AC1008" s="811" t="str">
        <f t="shared" ca="1" si="807"/>
        <v>-----</v>
      </c>
      <c r="AD1008" s="798"/>
      <c r="AE1008" s="794" t="str">
        <f t="shared" ca="1" si="808"/>
        <v>-</v>
      </c>
      <c r="AF1008" s="798" t="str">
        <f t="shared" si="809"/>
        <v>-</v>
      </c>
      <c r="AG1008" s="812" t="str">
        <f t="shared" si="810"/>
        <v>---------</v>
      </c>
      <c r="AH1008" s="807"/>
      <c r="AI1008" s="807" t="str">
        <f t="shared" si="811"/>
        <v>-</v>
      </c>
      <c r="AJ1008" s="807" t="str">
        <f t="shared" si="812"/>
        <v>-</v>
      </c>
      <c r="AK1008" s="813"/>
      <c r="AL1008" s="807" t="str">
        <f t="shared" si="813"/>
        <v>-</v>
      </c>
      <c r="AM1008" s="807" t="str">
        <f t="shared" si="814"/>
        <v>-</v>
      </c>
      <c r="AN1008" s="814" t="str">
        <f t="shared" ca="1" si="815"/>
        <v>-</v>
      </c>
      <c r="AO1008" s="815">
        <v>1</v>
      </c>
      <c r="AP1008" s="816" t="str">
        <f t="shared" ca="1" si="816"/>
        <v>-</v>
      </c>
      <c r="AQ1008" s="817"/>
      <c r="AR1008" s="794" t="str">
        <f t="shared" si="817"/>
        <v>-</v>
      </c>
      <c r="AS1008" s="818"/>
      <c r="AT1008" s="794" t="str">
        <f t="shared" si="818"/>
        <v>-</v>
      </c>
      <c r="AU1008" s="819"/>
      <c r="AV1008" s="820"/>
      <c r="AW1008" s="821"/>
      <c r="AX1008" s="821"/>
      <c r="AY1008" s="969" t="str">
        <f t="shared" si="819"/>
        <v>-</v>
      </c>
      <c r="AZ1008" s="966" t="str">
        <f t="shared" si="820"/>
        <v>-</v>
      </c>
      <c r="BA1008" s="971" t="str">
        <f t="shared" si="821"/>
        <v>-</v>
      </c>
      <c r="BB1008" s="975"/>
      <c r="BC1008" s="821"/>
      <c r="BD1008" s="821"/>
      <c r="BE1008" s="963" t="str">
        <f t="shared" si="822"/>
        <v>-</v>
      </c>
      <c r="BF1008" s="984"/>
      <c r="BG1008" s="988"/>
      <c r="BH1008" s="982"/>
      <c r="BI1008" s="991"/>
      <c r="BJ1008" s="991"/>
      <c r="BK1008" s="993" t="str">
        <f t="shared" si="823"/>
        <v>-</v>
      </c>
      <c r="BL1008" s="820">
        <v>42977</v>
      </c>
      <c r="BM1008" s="821">
        <v>5</v>
      </c>
      <c r="BN1008" s="822">
        <f t="shared" ca="1" si="824"/>
        <v>157</v>
      </c>
      <c r="BO1008" s="823">
        <f t="shared" si="825"/>
        <v>6.4666666666666668</v>
      </c>
      <c r="BP1008" s="824"/>
      <c r="BQ1008" s="821"/>
      <c r="BR1008" s="822" t="str">
        <f t="shared" si="826"/>
        <v>-</v>
      </c>
      <c r="BS1008" s="823" t="str">
        <f t="shared" si="827"/>
        <v>-</v>
      </c>
      <c r="BT1008" s="825" t="str">
        <f t="shared" ca="1" si="828"/>
        <v>-</v>
      </c>
      <c r="BU1008" s="826"/>
      <c r="BV1008" s="827"/>
      <c r="BW1008" s="828" t="str">
        <f t="shared" si="829"/>
        <v>Ж-Е НЕ ВАКЦ.</v>
      </c>
      <c r="BX1008" s="829" t="str">
        <f t="shared" si="830"/>
        <v>-</v>
      </c>
      <c r="BY1008" s="830" t="str">
        <f t="shared" ca="1" si="831"/>
        <v>-</v>
      </c>
      <c r="BZ1008" s="831">
        <v>42888</v>
      </c>
      <c r="CA1008" s="832">
        <v>5</v>
      </c>
      <c r="CB1008" s="833">
        <f t="shared" ca="1" si="832"/>
        <v>246</v>
      </c>
      <c r="CC1008" s="834" t="str">
        <f t="shared" ca="1" si="833"/>
        <v>-</v>
      </c>
      <c r="CD1008" s="835">
        <f t="shared" si="834"/>
        <v>42909</v>
      </c>
      <c r="CE1008" s="831">
        <v>42909</v>
      </c>
      <c r="CF1008" s="832">
        <v>5</v>
      </c>
      <c r="CG1008" s="833">
        <f t="shared" ca="1" si="835"/>
        <v>225</v>
      </c>
      <c r="CH1008" s="836">
        <f t="shared" si="836"/>
        <v>0</v>
      </c>
      <c r="CI1008" s="837" t="str">
        <f t="shared" si="837"/>
        <v>УСПЕШНО</v>
      </c>
      <c r="CJ1008" s="838" t="str">
        <f t="shared" ca="1" si="838"/>
        <v>-</v>
      </c>
      <c r="CK1008" s="831"/>
      <c r="CL1008" s="832"/>
      <c r="CM1008" s="833" t="str">
        <f t="shared" si="839"/>
        <v>-</v>
      </c>
      <c r="CN1008" s="834" t="str">
        <f t="shared" si="840"/>
        <v>-</v>
      </c>
      <c r="CO1008" s="830" t="str">
        <f t="shared" ca="1" si="841"/>
        <v>-</v>
      </c>
      <c r="CP1008" s="839"/>
      <c r="CQ1008" s="832"/>
      <c r="CR1008" s="833" t="str">
        <f t="shared" si="842"/>
        <v>-</v>
      </c>
      <c r="CS1008" s="833" t="str">
        <f t="shared" si="843"/>
        <v>-</v>
      </c>
      <c r="CT1008" s="834" t="str">
        <f t="shared" si="844"/>
        <v>-</v>
      </c>
      <c r="CU1008" s="835" t="str">
        <f t="shared" si="845"/>
        <v>-</v>
      </c>
      <c r="CV1008" s="839"/>
      <c r="CW1008" s="832"/>
      <c r="CX1008" s="833" t="str">
        <f t="shared" si="846"/>
        <v>-</v>
      </c>
      <c r="CY1008" s="840" t="str">
        <f t="shared" si="847"/>
        <v>-</v>
      </c>
      <c r="CZ1008" s="833" t="str">
        <f t="shared" si="848"/>
        <v>-</v>
      </c>
      <c r="DA1008" s="838" t="str">
        <f t="shared" ca="1" si="849"/>
        <v>-</v>
      </c>
      <c r="DB1008" s="841"/>
      <c r="DC1008" s="832"/>
    </row>
    <row r="1009" spans="1:107" x14ac:dyDescent="0.25">
      <c r="A1009" s="790">
        <v>1013</v>
      </c>
      <c r="B1009" s="791">
        <f t="shared" ca="1" si="798"/>
        <v>43134</v>
      </c>
      <c r="C1009" s="29" t="s">
        <v>2583</v>
      </c>
      <c r="D1009" s="59" t="s">
        <v>2582</v>
      </c>
      <c r="E1009" s="873" t="s">
        <v>1563</v>
      </c>
      <c r="F1009" s="874" t="s">
        <v>2415</v>
      </c>
      <c r="G1009" s="845"/>
      <c r="H1009" s="797" t="s">
        <v>603</v>
      </c>
      <c r="I1009" s="798">
        <v>42783</v>
      </c>
      <c r="J1009" s="799">
        <f t="shared" ca="1" si="799"/>
        <v>0.9616438356164384</v>
      </c>
      <c r="K1009" s="799">
        <f t="shared" ca="1" si="800"/>
        <v>11.7</v>
      </c>
      <c r="L1009" s="800">
        <f t="shared" ca="1" si="801"/>
        <v>351</v>
      </c>
      <c r="M1009" s="801"/>
      <c r="N1009" s="802"/>
      <c r="O1009" s="803" t="str">
        <f t="shared" ca="1" si="802"/>
        <v>-</v>
      </c>
      <c r="P1009" s="804"/>
      <c r="Q1009" s="805"/>
      <c r="R1009" s="806"/>
      <c r="S1009" s="807"/>
      <c r="T1009" s="798"/>
      <c r="U1009" s="798" t="str">
        <f t="shared" si="803"/>
        <v>-</v>
      </c>
      <c r="V1009" s="804" t="str">
        <f t="shared" ca="1" si="804"/>
        <v>-</v>
      </c>
      <c r="W1009" s="808">
        <v>0</v>
      </c>
      <c r="X1009" s="794" t="str">
        <f t="shared" si="797"/>
        <v>-</v>
      </c>
      <c r="Y1009" s="794">
        <v>0</v>
      </c>
      <c r="Z1009" s="809" t="str">
        <f t="shared" ca="1" si="805"/>
        <v>-----</v>
      </c>
      <c r="AA1009" s="810">
        <f t="shared" ca="1" si="806"/>
        <v>43134</v>
      </c>
      <c r="AB1009" s="804"/>
      <c r="AC1009" s="811" t="str">
        <f t="shared" ca="1" si="807"/>
        <v>-----</v>
      </c>
      <c r="AD1009" s="798"/>
      <c r="AE1009" s="794" t="str">
        <f t="shared" ca="1" si="808"/>
        <v>-</v>
      </c>
      <c r="AF1009" s="798" t="str">
        <f t="shared" si="809"/>
        <v>-</v>
      </c>
      <c r="AG1009" s="812" t="str">
        <f t="shared" si="810"/>
        <v>---------</v>
      </c>
      <c r="AH1009" s="807"/>
      <c r="AI1009" s="807" t="str">
        <f t="shared" si="811"/>
        <v>-</v>
      </c>
      <c r="AJ1009" s="807" t="str">
        <f t="shared" si="812"/>
        <v>-</v>
      </c>
      <c r="AK1009" s="813"/>
      <c r="AL1009" s="807" t="str">
        <f t="shared" si="813"/>
        <v>-</v>
      </c>
      <c r="AM1009" s="807" t="str">
        <f t="shared" si="814"/>
        <v>-</v>
      </c>
      <c r="AN1009" s="814" t="str">
        <f t="shared" ca="1" si="815"/>
        <v>-</v>
      </c>
      <c r="AO1009" s="815">
        <v>1</v>
      </c>
      <c r="AP1009" s="816" t="str">
        <f t="shared" ca="1" si="816"/>
        <v>-</v>
      </c>
      <c r="AQ1009" s="817"/>
      <c r="AR1009" s="794" t="str">
        <f t="shared" si="817"/>
        <v>-</v>
      </c>
      <c r="AS1009" s="818"/>
      <c r="AT1009" s="794" t="str">
        <f t="shared" si="818"/>
        <v>-</v>
      </c>
      <c r="AU1009" s="819"/>
      <c r="AV1009" s="865"/>
      <c r="AW1009" s="821"/>
      <c r="AX1009" s="821"/>
      <c r="AY1009" s="969" t="str">
        <f t="shared" si="819"/>
        <v>-</v>
      </c>
      <c r="AZ1009" s="966" t="str">
        <f t="shared" si="820"/>
        <v>-</v>
      </c>
      <c r="BA1009" s="971" t="str">
        <f t="shared" si="821"/>
        <v>-</v>
      </c>
      <c r="BB1009" s="975"/>
      <c r="BC1009" s="821"/>
      <c r="BD1009" s="821"/>
      <c r="BE1009" s="963" t="str">
        <f t="shared" si="822"/>
        <v>-</v>
      </c>
      <c r="BF1009" s="984"/>
      <c r="BG1009" s="988"/>
      <c r="BH1009" s="982"/>
      <c r="BI1009" s="991"/>
      <c r="BJ1009" s="991"/>
      <c r="BK1009" s="993" t="str">
        <f t="shared" si="823"/>
        <v>-</v>
      </c>
      <c r="BL1009" s="865"/>
      <c r="BM1009" s="821"/>
      <c r="BN1009" s="822" t="str">
        <f t="shared" si="824"/>
        <v>-</v>
      </c>
      <c r="BO1009" s="823" t="str">
        <f t="shared" si="825"/>
        <v>-</v>
      </c>
      <c r="BP1009" s="868"/>
      <c r="BQ1009" s="821"/>
      <c r="BR1009" s="822" t="str">
        <f t="shared" si="826"/>
        <v>-</v>
      </c>
      <c r="BS1009" s="823" t="str">
        <f t="shared" si="827"/>
        <v>-</v>
      </c>
      <c r="BT1009" s="825" t="str">
        <f t="shared" ca="1" si="828"/>
        <v>-</v>
      </c>
      <c r="BU1009" s="826"/>
      <c r="BV1009" s="827"/>
      <c r="BW1009" s="828" t="str">
        <f t="shared" si="829"/>
        <v>Ж-Е НЕ ВАКЦ.</v>
      </c>
      <c r="BX1009" s="829" t="str">
        <f t="shared" si="830"/>
        <v>-</v>
      </c>
      <c r="BY1009" s="830" t="str">
        <f t="shared" ca="1" si="831"/>
        <v>-</v>
      </c>
      <c r="BZ1009" s="831">
        <v>42888</v>
      </c>
      <c r="CA1009" s="832">
        <v>5</v>
      </c>
      <c r="CB1009" s="833">
        <f t="shared" ca="1" si="832"/>
        <v>246</v>
      </c>
      <c r="CC1009" s="834" t="str">
        <f t="shared" ca="1" si="833"/>
        <v>-</v>
      </c>
      <c r="CD1009" s="835">
        <f t="shared" si="834"/>
        <v>42909</v>
      </c>
      <c r="CE1009" s="831">
        <v>42909</v>
      </c>
      <c r="CF1009" s="832">
        <v>5</v>
      </c>
      <c r="CG1009" s="833">
        <f t="shared" ca="1" si="835"/>
        <v>225</v>
      </c>
      <c r="CH1009" s="836">
        <f t="shared" si="836"/>
        <v>0</v>
      </c>
      <c r="CI1009" s="837" t="str">
        <f t="shared" si="837"/>
        <v>УСПЕШНО</v>
      </c>
      <c r="CJ1009" s="838" t="str">
        <f t="shared" ca="1" si="838"/>
        <v>-</v>
      </c>
      <c r="CK1009" s="831"/>
      <c r="CL1009" s="832"/>
      <c r="CM1009" s="833" t="str">
        <f t="shared" si="839"/>
        <v>-</v>
      </c>
      <c r="CN1009" s="834" t="str">
        <f t="shared" si="840"/>
        <v>-</v>
      </c>
      <c r="CO1009" s="830" t="str">
        <f t="shared" ca="1" si="841"/>
        <v>-</v>
      </c>
      <c r="CP1009" s="839"/>
      <c r="CQ1009" s="832"/>
      <c r="CR1009" s="833" t="str">
        <f t="shared" si="842"/>
        <v>-</v>
      </c>
      <c r="CS1009" s="833" t="str">
        <f t="shared" si="843"/>
        <v>-</v>
      </c>
      <c r="CT1009" s="834" t="str">
        <f t="shared" si="844"/>
        <v>-</v>
      </c>
      <c r="CU1009" s="835" t="str">
        <f t="shared" si="845"/>
        <v>-</v>
      </c>
      <c r="CV1009" s="839"/>
      <c r="CW1009" s="832"/>
      <c r="CX1009" s="833" t="str">
        <f t="shared" si="846"/>
        <v>-</v>
      </c>
      <c r="CY1009" s="840" t="str">
        <f t="shared" si="847"/>
        <v>-</v>
      </c>
      <c r="CZ1009" s="833" t="str">
        <f t="shared" si="848"/>
        <v>-</v>
      </c>
      <c r="DA1009" s="838" t="str">
        <f t="shared" ca="1" si="849"/>
        <v>-</v>
      </c>
      <c r="DB1009" s="841"/>
      <c r="DC1009" s="832"/>
    </row>
    <row r="1010" spans="1:107" x14ac:dyDescent="0.25">
      <c r="A1010" s="790">
        <v>1014</v>
      </c>
      <c r="B1010" s="791">
        <f t="shared" ca="1" si="798"/>
        <v>43134</v>
      </c>
      <c r="C1010" s="29" t="s">
        <v>2583</v>
      </c>
      <c r="D1010" s="59" t="s">
        <v>2582</v>
      </c>
      <c r="E1010" s="794" t="s">
        <v>1563</v>
      </c>
      <c r="F1010" s="795" t="s">
        <v>2421</v>
      </c>
      <c r="G1010" s="845"/>
      <c r="H1010" s="797" t="s">
        <v>603</v>
      </c>
      <c r="I1010" s="798">
        <v>42784</v>
      </c>
      <c r="J1010" s="799">
        <f t="shared" ca="1" si="799"/>
        <v>0.95890410958904104</v>
      </c>
      <c r="K1010" s="799">
        <f t="shared" ca="1" si="800"/>
        <v>11.666666666666666</v>
      </c>
      <c r="L1010" s="800">
        <f t="shared" ca="1" si="801"/>
        <v>350</v>
      </c>
      <c r="M1010" s="801"/>
      <c r="N1010" s="802"/>
      <c r="O1010" s="803" t="str">
        <f t="shared" ca="1" si="802"/>
        <v>-</v>
      </c>
      <c r="P1010" s="804"/>
      <c r="Q1010" s="805"/>
      <c r="R1010" s="806"/>
      <c r="S1010" s="807"/>
      <c r="T1010" s="798"/>
      <c r="U1010" s="798" t="str">
        <f t="shared" si="803"/>
        <v>-</v>
      </c>
      <c r="V1010" s="804" t="str">
        <f t="shared" ca="1" si="804"/>
        <v>-</v>
      </c>
      <c r="W1010" s="808">
        <v>0</v>
      </c>
      <c r="X1010" s="794" t="str">
        <f t="shared" si="797"/>
        <v>-</v>
      </c>
      <c r="Y1010" s="794">
        <v>0</v>
      </c>
      <c r="Z1010" s="809" t="str">
        <f t="shared" ca="1" si="805"/>
        <v>-----</v>
      </c>
      <c r="AA1010" s="810">
        <f t="shared" ca="1" si="806"/>
        <v>43134</v>
      </c>
      <c r="AB1010" s="804"/>
      <c r="AC1010" s="811" t="str">
        <f t="shared" ca="1" si="807"/>
        <v>-----</v>
      </c>
      <c r="AD1010" s="798"/>
      <c r="AE1010" s="794" t="str">
        <f t="shared" ca="1" si="808"/>
        <v>-</v>
      </c>
      <c r="AF1010" s="798" t="str">
        <f t="shared" si="809"/>
        <v>-</v>
      </c>
      <c r="AG1010" s="812" t="str">
        <f t="shared" si="810"/>
        <v>---------</v>
      </c>
      <c r="AH1010" s="807"/>
      <c r="AI1010" s="807" t="str">
        <f t="shared" si="811"/>
        <v>-</v>
      </c>
      <c r="AJ1010" s="807" t="str">
        <f t="shared" si="812"/>
        <v>-</v>
      </c>
      <c r="AK1010" s="813"/>
      <c r="AL1010" s="807" t="str">
        <f t="shared" si="813"/>
        <v>-</v>
      </c>
      <c r="AM1010" s="807" t="str">
        <f t="shared" si="814"/>
        <v>-</v>
      </c>
      <c r="AN1010" s="814" t="str">
        <f t="shared" ca="1" si="815"/>
        <v>-</v>
      </c>
      <c r="AO1010" s="815">
        <v>1</v>
      </c>
      <c r="AP1010" s="816" t="str">
        <f t="shared" ca="1" si="816"/>
        <v>-</v>
      </c>
      <c r="AQ1010" s="817"/>
      <c r="AR1010" s="794" t="str">
        <f t="shared" si="817"/>
        <v>-</v>
      </c>
      <c r="AS1010" s="818"/>
      <c r="AT1010" s="794" t="str">
        <f t="shared" si="818"/>
        <v>-</v>
      </c>
      <c r="AU1010" s="819"/>
      <c r="AV1010" s="820"/>
      <c r="AW1010" s="821"/>
      <c r="AX1010" s="821"/>
      <c r="AY1010" s="969" t="str">
        <f t="shared" si="819"/>
        <v>-</v>
      </c>
      <c r="AZ1010" s="966" t="str">
        <f t="shared" si="820"/>
        <v>-</v>
      </c>
      <c r="BA1010" s="971" t="str">
        <f t="shared" si="821"/>
        <v>-</v>
      </c>
      <c r="BB1010" s="975"/>
      <c r="BC1010" s="821"/>
      <c r="BD1010" s="821"/>
      <c r="BE1010" s="963" t="str">
        <f t="shared" si="822"/>
        <v>-</v>
      </c>
      <c r="BF1010" s="984"/>
      <c r="BG1010" s="988"/>
      <c r="BH1010" s="982"/>
      <c r="BI1010" s="991"/>
      <c r="BJ1010" s="991"/>
      <c r="BK1010" s="993" t="str">
        <f t="shared" si="823"/>
        <v>-</v>
      </c>
      <c r="BL1010" s="820">
        <v>42978</v>
      </c>
      <c r="BM1010" s="821">
        <v>5</v>
      </c>
      <c r="BN1010" s="822">
        <f t="shared" ca="1" si="824"/>
        <v>156</v>
      </c>
      <c r="BO1010" s="823">
        <f t="shared" si="825"/>
        <v>6.4666666666666668</v>
      </c>
      <c r="BP1010" s="824"/>
      <c r="BQ1010" s="821"/>
      <c r="BR1010" s="822" t="str">
        <f t="shared" si="826"/>
        <v>-</v>
      </c>
      <c r="BS1010" s="823" t="str">
        <f t="shared" si="827"/>
        <v>-</v>
      </c>
      <c r="BT1010" s="825" t="str">
        <f t="shared" ca="1" si="828"/>
        <v>-</v>
      </c>
      <c r="BU1010" s="826"/>
      <c r="BV1010" s="827"/>
      <c r="BW1010" s="828" t="str">
        <f t="shared" si="829"/>
        <v>Ж-Е НЕ ВАКЦ.</v>
      </c>
      <c r="BX1010" s="829" t="str">
        <f t="shared" si="830"/>
        <v>-</v>
      </c>
      <c r="BY1010" s="830" t="str">
        <f t="shared" ca="1" si="831"/>
        <v>-</v>
      </c>
      <c r="BZ1010" s="831">
        <v>42888</v>
      </c>
      <c r="CA1010" s="832">
        <v>5</v>
      </c>
      <c r="CB1010" s="833">
        <f t="shared" ca="1" si="832"/>
        <v>246</v>
      </c>
      <c r="CC1010" s="834" t="str">
        <f t="shared" ca="1" si="833"/>
        <v>-</v>
      </c>
      <c r="CD1010" s="835">
        <f t="shared" si="834"/>
        <v>42909</v>
      </c>
      <c r="CE1010" s="831">
        <v>42909</v>
      </c>
      <c r="CF1010" s="832">
        <v>5</v>
      </c>
      <c r="CG1010" s="833">
        <f t="shared" ca="1" si="835"/>
        <v>225</v>
      </c>
      <c r="CH1010" s="836">
        <f t="shared" si="836"/>
        <v>0</v>
      </c>
      <c r="CI1010" s="837" t="str">
        <f t="shared" si="837"/>
        <v>УСПЕШНО</v>
      </c>
      <c r="CJ1010" s="838" t="str">
        <f t="shared" ca="1" si="838"/>
        <v>-</v>
      </c>
      <c r="CK1010" s="831"/>
      <c r="CL1010" s="832"/>
      <c r="CM1010" s="833" t="str">
        <f t="shared" si="839"/>
        <v>-</v>
      </c>
      <c r="CN1010" s="834" t="str">
        <f t="shared" si="840"/>
        <v>-</v>
      </c>
      <c r="CO1010" s="830" t="str">
        <f t="shared" ca="1" si="841"/>
        <v>-</v>
      </c>
      <c r="CP1010" s="839"/>
      <c r="CQ1010" s="832"/>
      <c r="CR1010" s="833" t="str">
        <f t="shared" si="842"/>
        <v>-</v>
      </c>
      <c r="CS1010" s="833" t="str">
        <f t="shared" si="843"/>
        <v>-</v>
      </c>
      <c r="CT1010" s="834" t="str">
        <f t="shared" si="844"/>
        <v>-</v>
      </c>
      <c r="CU1010" s="835" t="str">
        <f t="shared" si="845"/>
        <v>-</v>
      </c>
      <c r="CV1010" s="839"/>
      <c r="CW1010" s="832"/>
      <c r="CX1010" s="833" t="str">
        <f t="shared" si="846"/>
        <v>-</v>
      </c>
      <c r="CY1010" s="840" t="str">
        <f t="shared" si="847"/>
        <v>-</v>
      </c>
      <c r="CZ1010" s="833" t="str">
        <f t="shared" si="848"/>
        <v>-</v>
      </c>
      <c r="DA1010" s="838" t="str">
        <f t="shared" ca="1" si="849"/>
        <v>-</v>
      </c>
      <c r="DB1010" s="841"/>
      <c r="DC1010" s="832"/>
    </row>
    <row r="1011" spans="1:107" x14ac:dyDescent="0.25">
      <c r="A1011" s="790">
        <v>1015</v>
      </c>
      <c r="B1011" s="791">
        <f t="shared" ca="1" si="798"/>
        <v>43134</v>
      </c>
      <c r="C1011" s="792" t="s">
        <v>2583</v>
      </c>
      <c r="D1011" s="793" t="s">
        <v>2582</v>
      </c>
      <c r="E1011" s="794" t="s">
        <v>1563</v>
      </c>
      <c r="F1011" s="795" t="s">
        <v>2422</v>
      </c>
      <c r="G1011" s="845"/>
      <c r="H1011" s="797" t="s">
        <v>603</v>
      </c>
      <c r="I1011" s="798">
        <v>42785</v>
      </c>
      <c r="J1011" s="799">
        <f t="shared" ca="1" si="799"/>
        <v>0.95616438356164379</v>
      </c>
      <c r="K1011" s="799">
        <f t="shared" ca="1" si="800"/>
        <v>11.633333333333333</v>
      </c>
      <c r="L1011" s="800">
        <f t="shared" ca="1" si="801"/>
        <v>349</v>
      </c>
      <c r="M1011" s="801"/>
      <c r="N1011" s="802"/>
      <c r="O1011" s="803" t="str">
        <f t="shared" ca="1" si="802"/>
        <v>-</v>
      </c>
      <c r="P1011" s="804"/>
      <c r="Q1011" s="805"/>
      <c r="R1011" s="806"/>
      <c r="S1011" s="807"/>
      <c r="T1011" s="798"/>
      <c r="U1011" s="798" t="str">
        <f t="shared" si="803"/>
        <v>-</v>
      </c>
      <c r="V1011" s="804" t="str">
        <f t="shared" ca="1" si="804"/>
        <v>-</v>
      </c>
      <c r="W1011" s="808">
        <v>0</v>
      </c>
      <c r="X1011" s="794" t="str">
        <f t="shared" si="797"/>
        <v>-</v>
      </c>
      <c r="Y1011" s="794">
        <v>0</v>
      </c>
      <c r="Z1011" s="809" t="str">
        <f t="shared" ca="1" si="805"/>
        <v>-----</v>
      </c>
      <c r="AA1011" s="810">
        <f t="shared" ca="1" si="806"/>
        <v>43134</v>
      </c>
      <c r="AB1011" s="804"/>
      <c r="AC1011" s="811" t="str">
        <f t="shared" ca="1" si="807"/>
        <v>-----</v>
      </c>
      <c r="AD1011" s="798"/>
      <c r="AE1011" s="794" t="str">
        <f t="shared" ca="1" si="808"/>
        <v>-</v>
      </c>
      <c r="AF1011" s="798" t="str">
        <f t="shared" si="809"/>
        <v>-</v>
      </c>
      <c r="AG1011" s="812" t="str">
        <f t="shared" si="810"/>
        <v>---------</v>
      </c>
      <c r="AH1011" s="807"/>
      <c r="AI1011" s="807" t="str">
        <f t="shared" si="811"/>
        <v>-</v>
      </c>
      <c r="AJ1011" s="807" t="str">
        <f t="shared" si="812"/>
        <v>-</v>
      </c>
      <c r="AK1011" s="813"/>
      <c r="AL1011" s="807" t="str">
        <f t="shared" si="813"/>
        <v>-</v>
      </c>
      <c r="AM1011" s="807" t="str">
        <f t="shared" si="814"/>
        <v>-</v>
      </c>
      <c r="AN1011" s="814" t="str">
        <f t="shared" ca="1" si="815"/>
        <v>-</v>
      </c>
      <c r="AO1011" s="815">
        <v>1</v>
      </c>
      <c r="AP1011" s="816" t="str">
        <f t="shared" ca="1" si="816"/>
        <v>-</v>
      </c>
      <c r="AQ1011" s="817"/>
      <c r="AR1011" s="794" t="str">
        <f t="shared" si="817"/>
        <v>-</v>
      </c>
      <c r="AS1011" s="818"/>
      <c r="AT1011" s="794" t="str">
        <f t="shared" si="818"/>
        <v>-</v>
      </c>
      <c r="AU1011" s="819"/>
      <c r="AV1011" s="820"/>
      <c r="AW1011" s="821"/>
      <c r="AX1011" s="821"/>
      <c r="AY1011" s="969" t="str">
        <f t="shared" si="819"/>
        <v>-</v>
      </c>
      <c r="AZ1011" s="966" t="str">
        <f t="shared" si="820"/>
        <v>-</v>
      </c>
      <c r="BA1011" s="971" t="str">
        <f t="shared" si="821"/>
        <v>-</v>
      </c>
      <c r="BB1011" s="975"/>
      <c r="BC1011" s="821"/>
      <c r="BD1011" s="821"/>
      <c r="BE1011" s="963" t="str">
        <f t="shared" si="822"/>
        <v>-</v>
      </c>
      <c r="BF1011" s="984"/>
      <c r="BG1011" s="988"/>
      <c r="BH1011" s="982"/>
      <c r="BI1011" s="991"/>
      <c r="BJ1011" s="991"/>
      <c r="BK1011" s="993" t="str">
        <f t="shared" si="823"/>
        <v>-</v>
      </c>
      <c r="BL1011" s="820">
        <v>42978</v>
      </c>
      <c r="BM1011" s="821">
        <v>5</v>
      </c>
      <c r="BN1011" s="822">
        <f t="shared" ca="1" si="824"/>
        <v>156</v>
      </c>
      <c r="BO1011" s="823">
        <f t="shared" si="825"/>
        <v>6.4333333333333336</v>
      </c>
      <c r="BP1011" s="824"/>
      <c r="BQ1011" s="821"/>
      <c r="BR1011" s="822" t="str">
        <f t="shared" si="826"/>
        <v>-</v>
      </c>
      <c r="BS1011" s="823" t="str">
        <f t="shared" si="827"/>
        <v>-</v>
      </c>
      <c r="BT1011" s="825" t="str">
        <f t="shared" ca="1" si="828"/>
        <v>-</v>
      </c>
      <c r="BU1011" s="826"/>
      <c r="BV1011" s="827"/>
      <c r="BW1011" s="828" t="str">
        <f t="shared" si="829"/>
        <v>Ж-Е НЕ ВАКЦ.</v>
      </c>
      <c r="BX1011" s="829" t="str">
        <f t="shared" si="830"/>
        <v>-</v>
      </c>
      <c r="BY1011" s="830" t="str">
        <f t="shared" ca="1" si="831"/>
        <v>-</v>
      </c>
      <c r="BZ1011" s="831">
        <v>42888</v>
      </c>
      <c r="CA1011" s="832">
        <v>5</v>
      </c>
      <c r="CB1011" s="833">
        <f t="shared" ca="1" si="832"/>
        <v>246</v>
      </c>
      <c r="CC1011" s="834" t="str">
        <f t="shared" ca="1" si="833"/>
        <v>-</v>
      </c>
      <c r="CD1011" s="835">
        <f t="shared" si="834"/>
        <v>42909</v>
      </c>
      <c r="CE1011" s="831">
        <v>42909</v>
      </c>
      <c r="CF1011" s="832">
        <v>5</v>
      </c>
      <c r="CG1011" s="833">
        <f t="shared" ca="1" si="835"/>
        <v>225</v>
      </c>
      <c r="CH1011" s="836">
        <f t="shared" si="836"/>
        <v>0</v>
      </c>
      <c r="CI1011" s="837" t="str">
        <f t="shared" si="837"/>
        <v>УСПЕШНО</v>
      </c>
      <c r="CJ1011" s="838" t="str">
        <f t="shared" ca="1" si="838"/>
        <v>-</v>
      </c>
      <c r="CK1011" s="831"/>
      <c r="CL1011" s="832"/>
      <c r="CM1011" s="833" t="str">
        <f t="shared" si="839"/>
        <v>-</v>
      </c>
      <c r="CN1011" s="834" t="str">
        <f t="shared" si="840"/>
        <v>-</v>
      </c>
      <c r="CO1011" s="830" t="str">
        <f t="shared" ca="1" si="841"/>
        <v>-</v>
      </c>
      <c r="CP1011" s="839"/>
      <c r="CQ1011" s="832"/>
      <c r="CR1011" s="833" t="str">
        <f t="shared" si="842"/>
        <v>-</v>
      </c>
      <c r="CS1011" s="833" t="str">
        <f t="shared" si="843"/>
        <v>-</v>
      </c>
      <c r="CT1011" s="834" t="str">
        <f t="shared" si="844"/>
        <v>-</v>
      </c>
      <c r="CU1011" s="835" t="str">
        <f t="shared" si="845"/>
        <v>-</v>
      </c>
      <c r="CV1011" s="839"/>
      <c r="CW1011" s="832"/>
      <c r="CX1011" s="833" t="str">
        <f t="shared" si="846"/>
        <v>-</v>
      </c>
      <c r="CY1011" s="840" t="str">
        <f t="shared" si="847"/>
        <v>-</v>
      </c>
      <c r="CZ1011" s="833" t="str">
        <f t="shared" si="848"/>
        <v>-</v>
      </c>
      <c r="DA1011" s="838" t="str">
        <f t="shared" ca="1" si="849"/>
        <v>-</v>
      </c>
      <c r="DB1011" s="841"/>
      <c r="DC1011" s="832"/>
    </row>
    <row r="1012" spans="1:107" x14ac:dyDescent="0.25">
      <c r="A1012" s="790">
        <v>1016</v>
      </c>
      <c r="B1012" s="791">
        <f t="shared" ca="1" si="798"/>
        <v>43134</v>
      </c>
      <c r="C1012" s="29" t="s">
        <v>2583</v>
      </c>
      <c r="D1012" s="59" t="s">
        <v>2582</v>
      </c>
      <c r="E1012" s="873" t="s">
        <v>1563</v>
      </c>
      <c r="F1012" s="874" t="s">
        <v>2428</v>
      </c>
      <c r="G1012" s="845"/>
      <c r="H1012" s="797" t="s">
        <v>603</v>
      </c>
      <c r="I1012" s="798">
        <v>42788</v>
      </c>
      <c r="J1012" s="799">
        <f t="shared" ca="1" si="799"/>
        <v>0.94794520547945205</v>
      </c>
      <c r="K1012" s="799">
        <f t="shared" ca="1" si="800"/>
        <v>11.533333333333333</v>
      </c>
      <c r="L1012" s="800">
        <f t="shared" ca="1" si="801"/>
        <v>346</v>
      </c>
      <c r="M1012" s="801"/>
      <c r="N1012" s="802"/>
      <c r="O1012" s="803" t="str">
        <f t="shared" ca="1" si="802"/>
        <v>-</v>
      </c>
      <c r="P1012" s="804"/>
      <c r="Q1012" s="805"/>
      <c r="R1012" s="806"/>
      <c r="S1012" s="807"/>
      <c r="T1012" s="798"/>
      <c r="U1012" s="798" t="str">
        <f t="shared" si="803"/>
        <v>-</v>
      </c>
      <c r="V1012" s="804" t="str">
        <f t="shared" ca="1" si="804"/>
        <v>-</v>
      </c>
      <c r="W1012" s="808">
        <v>0</v>
      </c>
      <c r="X1012" s="794" t="str">
        <f t="shared" si="797"/>
        <v>-</v>
      </c>
      <c r="Y1012" s="794">
        <v>0</v>
      </c>
      <c r="Z1012" s="809" t="str">
        <f t="shared" ca="1" si="805"/>
        <v>-----</v>
      </c>
      <c r="AA1012" s="810">
        <f t="shared" ca="1" si="806"/>
        <v>43134</v>
      </c>
      <c r="AB1012" s="804"/>
      <c r="AC1012" s="811" t="str">
        <f t="shared" ca="1" si="807"/>
        <v>-----</v>
      </c>
      <c r="AD1012" s="798"/>
      <c r="AE1012" s="794" t="str">
        <f t="shared" ca="1" si="808"/>
        <v>-</v>
      </c>
      <c r="AF1012" s="798" t="str">
        <f t="shared" si="809"/>
        <v>-</v>
      </c>
      <c r="AG1012" s="812" t="str">
        <f t="shared" si="810"/>
        <v>---------</v>
      </c>
      <c r="AH1012" s="807"/>
      <c r="AI1012" s="807" t="str">
        <f t="shared" si="811"/>
        <v>-</v>
      </c>
      <c r="AJ1012" s="807" t="str">
        <f t="shared" si="812"/>
        <v>-</v>
      </c>
      <c r="AK1012" s="813"/>
      <c r="AL1012" s="807" t="str">
        <f t="shared" si="813"/>
        <v>-</v>
      </c>
      <c r="AM1012" s="807" t="str">
        <f t="shared" si="814"/>
        <v>-</v>
      </c>
      <c r="AN1012" s="814" t="str">
        <f t="shared" ca="1" si="815"/>
        <v>-</v>
      </c>
      <c r="AO1012" s="815">
        <v>1</v>
      </c>
      <c r="AP1012" s="816" t="str">
        <f t="shared" ca="1" si="816"/>
        <v>-</v>
      </c>
      <c r="AQ1012" s="817"/>
      <c r="AR1012" s="794" t="str">
        <f t="shared" si="817"/>
        <v>-</v>
      </c>
      <c r="AS1012" s="818"/>
      <c r="AT1012" s="794" t="str">
        <f t="shared" si="818"/>
        <v>-</v>
      </c>
      <c r="AU1012" s="819"/>
      <c r="AV1012" s="865"/>
      <c r="AW1012" s="821"/>
      <c r="AX1012" s="821"/>
      <c r="AY1012" s="969" t="str">
        <f t="shared" si="819"/>
        <v>-</v>
      </c>
      <c r="AZ1012" s="966" t="str">
        <f t="shared" si="820"/>
        <v>-</v>
      </c>
      <c r="BA1012" s="971" t="str">
        <f t="shared" si="821"/>
        <v>-</v>
      </c>
      <c r="BB1012" s="975"/>
      <c r="BC1012" s="821"/>
      <c r="BD1012" s="821"/>
      <c r="BE1012" s="963" t="str">
        <f t="shared" si="822"/>
        <v>-</v>
      </c>
      <c r="BF1012" s="984"/>
      <c r="BG1012" s="988"/>
      <c r="BH1012" s="982"/>
      <c r="BI1012" s="991"/>
      <c r="BJ1012" s="991"/>
      <c r="BK1012" s="993" t="str">
        <f t="shared" si="823"/>
        <v>-</v>
      </c>
      <c r="BL1012" s="865"/>
      <c r="BM1012" s="821"/>
      <c r="BN1012" s="822" t="str">
        <f t="shared" si="824"/>
        <v>-</v>
      </c>
      <c r="BO1012" s="823" t="str">
        <f t="shared" si="825"/>
        <v>-</v>
      </c>
      <c r="BP1012" s="868"/>
      <c r="BQ1012" s="821"/>
      <c r="BR1012" s="822" t="str">
        <f t="shared" si="826"/>
        <v>-</v>
      </c>
      <c r="BS1012" s="823" t="str">
        <f t="shared" si="827"/>
        <v>-</v>
      </c>
      <c r="BT1012" s="825" t="str">
        <f t="shared" ca="1" si="828"/>
        <v>-</v>
      </c>
      <c r="BU1012" s="826"/>
      <c r="BV1012" s="827"/>
      <c r="BW1012" s="828" t="str">
        <f t="shared" si="829"/>
        <v>Ж-Е НЕ ВАКЦ.</v>
      </c>
      <c r="BX1012" s="829" t="str">
        <f t="shared" si="830"/>
        <v>-</v>
      </c>
      <c r="BY1012" s="830" t="str">
        <f t="shared" ca="1" si="831"/>
        <v>-</v>
      </c>
      <c r="BZ1012" s="831">
        <v>42888</v>
      </c>
      <c r="CA1012" s="832">
        <v>5</v>
      </c>
      <c r="CB1012" s="833">
        <f t="shared" ca="1" si="832"/>
        <v>246</v>
      </c>
      <c r="CC1012" s="834" t="str">
        <f t="shared" ca="1" si="833"/>
        <v>-</v>
      </c>
      <c r="CD1012" s="835">
        <f t="shared" si="834"/>
        <v>42909</v>
      </c>
      <c r="CE1012" s="831">
        <v>42909</v>
      </c>
      <c r="CF1012" s="832">
        <v>5</v>
      </c>
      <c r="CG1012" s="833">
        <f t="shared" ca="1" si="835"/>
        <v>225</v>
      </c>
      <c r="CH1012" s="836">
        <f t="shared" si="836"/>
        <v>0</v>
      </c>
      <c r="CI1012" s="837" t="str">
        <f t="shared" si="837"/>
        <v>УСПЕШНО</v>
      </c>
      <c r="CJ1012" s="838" t="str">
        <f t="shared" ca="1" si="838"/>
        <v>-</v>
      </c>
      <c r="CK1012" s="831"/>
      <c r="CL1012" s="832"/>
      <c r="CM1012" s="833" t="str">
        <f t="shared" si="839"/>
        <v>-</v>
      </c>
      <c r="CN1012" s="834" t="str">
        <f t="shared" si="840"/>
        <v>-</v>
      </c>
      <c r="CO1012" s="830" t="str">
        <f t="shared" ca="1" si="841"/>
        <v>-</v>
      </c>
      <c r="CP1012" s="839"/>
      <c r="CQ1012" s="832"/>
      <c r="CR1012" s="833" t="str">
        <f t="shared" si="842"/>
        <v>-</v>
      </c>
      <c r="CS1012" s="833" t="str">
        <f t="shared" si="843"/>
        <v>-</v>
      </c>
      <c r="CT1012" s="834" t="str">
        <f t="shared" si="844"/>
        <v>-</v>
      </c>
      <c r="CU1012" s="835" t="str">
        <f t="shared" si="845"/>
        <v>-</v>
      </c>
      <c r="CV1012" s="839"/>
      <c r="CW1012" s="832"/>
      <c r="CX1012" s="833" t="str">
        <f t="shared" si="846"/>
        <v>-</v>
      </c>
      <c r="CY1012" s="840" t="str">
        <f t="shared" si="847"/>
        <v>-</v>
      </c>
      <c r="CZ1012" s="833" t="str">
        <f t="shared" si="848"/>
        <v>-</v>
      </c>
      <c r="DA1012" s="838" t="str">
        <f t="shared" ca="1" si="849"/>
        <v>-</v>
      </c>
      <c r="DB1012" s="841"/>
      <c r="DC1012" s="832"/>
    </row>
    <row r="1013" spans="1:107" x14ac:dyDescent="0.25">
      <c r="A1013" s="790">
        <v>1017</v>
      </c>
      <c r="B1013" s="791">
        <f t="shared" ca="1" si="798"/>
        <v>43134</v>
      </c>
      <c r="C1013" s="29" t="s">
        <v>2583</v>
      </c>
      <c r="D1013" s="59" t="s">
        <v>2582</v>
      </c>
      <c r="E1013" s="794" t="s">
        <v>1563</v>
      </c>
      <c r="F1013" s="795" t="s">
        <v>2434</v>
      </c>
      <c r="G1013" s="845"/>
      <c r="H1013" s="797" t="s">
        <v>603</v>
      </c>
      <c r="I1013" s="798">
        <v>42790</v>
      </c>
      <c r="J1013" s="799">
        <f t="shared" ca="1" si="799"/>
        <v>0.94246575342465755</v>
      </c>
      <c r="K1013" s="799">
        <f t="shared" ca="1" si="800"/>
        <v>11.466666666666667</v>
      </c>
      <c r="L1013" s="800">
        <f t="shared" ca="1" si="801"/>
        <v>344</v>
      </c>
      <c r="M1013" s="801"/>
      <c r="N1013" s="802"/>
      <c r="O1013" s="803" t="str">
        <f t="shared" ca="1" si="802"/>
        <v>-</v>
      </c>
      <c r="P1013" s="804"/>
      <c r="Q1013" s="805"/>
      <c r="R1013" s="806"/>
      <c r="S1013" s="807"/>
      <c r="T1013" s="798"/>
      <c r="U1013" s="798" t="str">
        <f t="shared" si="803"/>
        <v>-</v>
      </c>
      <c r="V1013" s="804" t="str">
        <f t="shared" ca="1" si="804"/>
        <v>-</v>
      </c>
      <c r="W1013" s="808">
        <v>0</v>
      </c>
      <c r="X1013" s="794" t="str">
        <f t="shared" si="797"/>
        <v>-</v>
      </c>
      <c r="Y1013" s="794">
        <v>0</v>
      </c>
      <c r="Z1013" s="809" t="str">
        <f t="shared" ca="1" si="805"/>
        <v>-----</v>
      </c>
      <c r="AA1013" s="810">
        <f t="shared" ca="1" si="806"/>
        <v>43134</v>
      </c>
      <c r="AB1013" s="804"/>
      <c r="AC1013" s="811" t="str">
        <f t="shared" ca="1" si="807"/>
        <v>-----</v>
      </c>
      <c r="AD1013" s="798"/>
      <c r="AE1013" s="794" t="str">
        <f t="shared" ca="1" si="808"/>
        <v>-</v>
      </c>
      <c r="AF1013" s="798" t="str">
        <f t="shared" si="809"/>
        <v>-</v>
      </c>
      <c r="AG1013" s="812" t="str">
        <f t="shared" si="810"/>
        <v>---------</v>
      </c>
      <c r="AH1013" s="807"/>
      <c r="AI1013" s="807" t="str">
        <f t="shared" si="811"/>
        <v>-</v>
      </c>
      <c r="AJ1013" s="807" t="str">
        <f t="shared" si="812"/>
        <v>-</v>
      </c>
      <c r="AK1013" s="813"/>
      <c r="AL1013" s="807" t="str">
        <f t="shared" si="813"/>
        <v>-</v>
      </c>
      <c r="AM1013" s="807" t="str">
        <f t="shared" si="814"/>
        <v>-</v>
      </c>
      <c r="AN1013" s="814" t="str">
        <f t="shared" ca="1" si="815"/>
        <v>-</v>
      </c>
      <c r="AO1013" s="815">
        <v>1</v>
      </c>
      <c r="AP1013" s="816" t="str">
        <f t="shared" ca="1" si="816"/>
        <v>-</v>
      </c>
      <c r="AQ1013" s="817"/>
      <c r="AR1013" s="794" t="str">
        <f t="shared" si="817"/>
        <v>-</v>
      </c>
      <c r="AS1013" s="818"/>
      <c r="AT1013" s="794" t="str">
        <f t="shared" si="818"/>
        <v>-</v>
      </c>
      <c r="AU1013" s="819"/>
      <c r="AV1013" s="820"/>
      <c r="AW1013" s="821"/>
      <c r="AX1013" s="821"/>
      <c r="AY1013" s="969" t="str">
        <f t="shared" si="819"/>
        <v>-</v>
      </c>
      <c r="AZ1013" s="966" t="str">
        <f t="shared" si="820"/>
        <v>-</v>
      </c>
      <c r="BA1013" s="971" t="str">
        <f t="shared" si="821"/>
        <v>-</v>
      </c>
      <c r="BB1013" s="975"/>
      <c r="BC1013" s="821"/>
      <c r="BD1013" s="821"/>
      <c r="BE1013" s="963" t="str">
        <f t="shared" si="822"/>
        <v>-</v>
      </c>
      <c r="BF1013" s="984"/>
      <c r="BG1013" s="988"/>
      <c r="BH1013" s="982"/>
      <c r="BI1013" s="991"/>
      <c r="BJ1013" s="991"/>
      <c r="BK1013" s="993" t="str">
        <f t="shared" si="823"/>
        <v>-</v>
      </c>
      <c r="BL1013" s="820">
        <v>42978</v>
      </c>
      <c r="BM1013" s="821">
        <v>5</v>
      </c>
      <c r="BN1013" s="822">
        <f t="shared" ca="1" si="824"/>
        <v>156</v>
      </c>
      <c r="BO1013" s="823">
        <f t="shared" si="825"/>
        <v>6.2666666666666666</v>
      </c>
      <c r="BP1013" s="824"/>
      <c r="BQ1013" s="821"/>
      <c r="BR1013" s="822" t="str">
        <f t="shared" si="826"/>
        <v>-</v>
      </c>
      <c r="BS1013" s="823" t="str">
        <f t="shared" si="827"/>
        <v>-</v>
      </c>
      <c r="BT1013" s="825" t="str">
        <f t="shared" ca="1" si="828"/>
        <v>-</v>
      </c>
      <c r="BU1013" s="826"/>
      <c r="BV1013" s="827"/>
      <c r="BW1013" s="828" t="str">
        <f t="shared" si="829"/>
        <v>Ж-Е НЕ ВАКЦ.</v>
      </c>
      <c r="BX1013" s="829" t="str">
        <f t="shared" si="830"/>
        <v>-</v>
      </c>
      <c r="BY1013" s="830" t="str">
        <f t="shared" ca="1" si="831"/>
        <v>-</v>
      </c>
      <c r="BZ1013" s="831">
        <v>42888</v>
      </c>
      <c r="CA1013" s="832">
        <v>5</v>
      </c>
      <c r="CB1013" s="833">
        <f t="shared" ca="1" si="832"/>
        <v>246</v>
      </c>
      <c r="CC1013" s="834" t="str">
        <f t="shared" ca="1" si="833"/>
        <v>-</v>
      </c>
      <c r="CD1013" s="835">
        <f t="shared" si="834"/>
        <v>42909</v>
      </c>
      <c r="CE1013" s="831">
        <v>42909</v>
      </c>
      <c r="CF1013" s="832">
        <v>5</v>
      </c>
      <c r="CG1013" s="833">
        <f t="shared" ca="1" si="835"/>
        <v>225</v>
      </c>
      <c r="CH1013" s="836">
        <f t="shared" si="836"/>
        <v>0</v>
      </c>
      <c r="CI1013" s="837" t="str">
        <f t="shared" si="837"/>
        <v>УСПЕШНО</v>
      </c>
      <c r="CJ1013" s="838" t="str">
        <f t="shared" ca="1" si="838"/>
        <v>-</v>
      </c>
      <c r="CK1013" s="831"/>
      <c r="CL1013" s="832"/>
      <c r="CM1013" s="833" t="str">
        <f t="shared" si="839"/>
        <v>-</v>
      </c>
      <c r="CN1013" s="834" t="str">
        <f t="shared" si="840"/>
        <v>-</v>
      </c>
      <c r="CO1013" s="830" t="str">
        <f t="shared" ca="1" si="841"/>
        <v>-</v>
      </c>
      <c r="CP1013" s="839"/>
      <c r="CQ1013" s="832"/>
      <c r="CR1013" s="833" t="str">
        <f t="shared" si="842"/>
        <v>-</v>
      </c>
      <c r="CS1013" s="833" t="str">
        <f t="shared" si="843"/>
        <v>-</v>
      </c>
      <c r="CT1013" s="834" t="str">
        <f t="shared" si="844"/>
        <v>-</v>
      </c>
      <c r="CU1013" s="835" t="str">
        <f t="shared" si="845"/>
        <v>-</v>
      </c>
      <c r="CV1013" s="839"/>
      <c r="CW1013" s="832"/>
      <c r="CX1013" s="833" t="str">
        <f t="shared" si="846"/>
        <v>-</v>
      </c>
      <c r="CY1013" s="840" t="str">
        <f t="shared" si="847"/>
        <v>-</v>
      </c>
      <c r="CZ1013" s="833" t="str">
        <f t="shared" si="848"/>
        <v>-</v>
      </c>
      <c r="DA1013" s="838" t="str">
        <f t="shared" ca="1" si="849"/>
        <v>-</v>
      </c>
      <c r="DB1013" s="841"/>
      <c r="DC1013" s="832"/>
    </row>
    <row r="1014" spans="1:107" x14ac:dyDescent="0.25">
      <c r="A1014" s="790">
        <v>1018</v>
      </c>
      <c r="B1014" s="791">
        <f t="shared" ca="1" si="798"/>
        <v>43134</v>
      </c>
      <c r="C1014" s="792" t="s">
        <v>2583</v>
      </c>
      <c r="D1014" s="793" t="s">
        <v>2582</v>
      </c>
      <c r="E1014" s="794" t="s">
        <v>1563</v>
      </c>
      <c r="F1014" s="795" t="s">
        <v>2435</v>
      </c>
      <c r="G1014" s="845"/>
      <c r="H1014" s="797" t="s">
        <v>603</v>
      </c>
      <c r="I1014" s="798">
        <v>42790</v>
      </c>
      <c r="J1014" s="799">
        <f t="shared" ca="1" si="799"/>
        <v>0.94246575342465755</v>
      </c>
      <c r="K1014" s="799">
        <f t="shared" ca="1" si="800"/>
        <v>11.466666666666667</v>
      </c>
      <c r="L1014" s="800">
        <f t="shared" ca="1" si="801"/>
        <v>344</v>
      </c>
      <c r="M1014" s="801"/>
      <c r="N1014" s="802"/>
      <c r="O1014" s="803" t="str">
        <f t="shared" ca="1" si="802"/>
        <v>-</v>
      </c>
      <c r="P1014" s="804"/>
      <c r="Q1014" s="805"/>
      <c r="R1014" s="806"/>
      <c r="S1014" s="807"/>
      <c r="T1014" s="798"/>
      <c r="U1014" s="798" t="str">
        <f t="shared" si="803"/>
        <v>-</v>
      </c>
      <c r="V1014" s="804" t="str">
        <f t="shared" ca="1" si="804"/>
        <v>-</v>
      </c>
      <c r="W1014" s="808">
        <v>0</v>
      </c>
      <c r="X1014" s="794" t="str">
        <f t="shared" ref="X1014:X1077" si="850">IF(AND(N1014&gt;0,T1014&gt;0),T1014-N1014,"-")</f>
        <v>-</v>
      </c>
      <c r="Y1014" s="794">
        <v>0</v>
      </c>
      <c r="Z1014" s="809" t="str">
        <f t="shared" ca="1" si="805"/>
        <v>-----</v>
      </c>
      <c r="AA1014" s="810">
        <f t="shared" ca="1" si="806"/>
        <v>43134</v>
      </c>
      <c r="AB1014" s="804"/>
      <c r="AC1014" s="811" t="str">
        <f t="shared" ca="1" si="807"/>
        <v>-----</v>
      </c>
      <c r="AD1014" s="798"/>
      <c r="AE1014" s="794" t="str">
        <f t="shared" ca="1" si="808"/>
        <v>-</v>
      </c>
      <c r="AF1014" s="798" t="str">
        <f t="shared" si="809"/>
        <v>-</v>
      </c>
      <c r="AG1014" s="812" t="str">
        <f t="shared" si="810"/>
        <v>---------</v>
      </c>
      <c r="AH1014" s="807"/>
      <c r="AI1014" s="807" t="str">
        <f t="shared" si="811"/>
        <v>-</v>
      </c>
      <c r="AJ1014" s="807" t="str">
        <f t="shared" si="812"/>
        <v>-</v>
      </c>
      <c r="AK1014" s="813"/>
      <c r="AL1014" s="807" t="str">
        <f t="shared" si="813"/>
        <v>-</v>
      </c>
      <c r="AM1014" s="807" t="str">
        <f t="shared" si="814"/>
        <v>-</v>
      </c>
      <c r="AN1014" s="814" t="str">
        <f t="shared" ca="1" si="815"/>
        <v>-</v>
      </c>
      <c r="AO1014" s="815">
        <v>1</v>
      </c>
      <c r="AP1014" s="816" t="str">
        <f t="shared" ca="1" si="816"/>
        <v>-</v>
      </c>
      <c r="AQ1014" s="817"/>
      <c r="AR1014" s="794" t="str">
        <f t="shared" si="817"/>
        <v>-</v>
      </c>
      <c r="AS1014" s="818"/>
      <c r="AT1014" s="794" t="str">
        <f t="shared" si="818"/>
        <v>-</v>
      </c>
      <c r="AU1014" s="819"/>
      <c r="AV1014" s="820"/>
      <c r="AW1014" s="821"/>
      <c r="AX1014" s="821"/>
      <c r="AY1014" s="969" t="str">
        <f t="shared" si="819"/>
        <v>-</v>
      </c>
      <c r="AZ1014" s="966" t="str">
        <f t="shared" si="820"/>
        <v>-</v>
      </c>
      <c r="BA1014" s="971" t="str">
        <f t="shared" si="821"/>
        <v>-</v>
      </c>
      <c r="BB1014" s="975"/>
      <c r="BC1014" s="821"/>
      <c r="BD1014" s="821"/>
      <c r="BE1014" s="963" t="str">
        <f t="shared" si="822"/>
        <v>-</v>
      </c>
      <c r="BF1014" s="984"/>
      <c r="BG1014" s="988"/>
      <c r="BH1014" s="982"/>
      <c r="BI1014" s="991"/>
      <c r="BJ1014" s="991"/>
      <c r="BK1014" s="993" t="str">
        <f t="shared" si="823"/>
        <v>-</v>
      </c>
      <c r="BL1014" s="820">
        <v>42978</v>
      </c>
      <c r="BM1014" s="821">
        <v>5</v>
      </c>
      <c r="BN1014" s="822">
        <f t="shared" ca="1" si="824"/>
        <v>156</v>
      </c>
      <c r="BO1014" s="823">
        <f t="shared" si="825"/>
        <v>6.2666666666666666</v>
      </c>
      <c r="BP1014" s="824"/>
      <c r="BQ1014" s="821"/>
      <c r="BR1014" s="822" t="str">
        <f t="shared" si="826"/>
        <v>-</v>
      </c>
      <c r="BS1014" s="823" t="str">
        <f t="shared" si="827"/>
        <v>-</v>
      </c>
      <c r="BT1014" s="825" t="str">
        <f t="shared" ca="1" si="828"/>
        <v>-</v>
      </c>
      <c r="BU1014" s="826"/>
      <c r="BV1014" s="827"/>
      <c r="BW1014" s="828" t="str">
        <f t="shared" si="829"/>
        <v>Ж-Е НЕ ВАКЦ.</v>
      </c>
      <c r="BX1014" s="829" t="str">
        <f t="shared" si="830"/>
        <v>-</v>
      </c>
      <c r="BY1014" s="830" t="str">
        <f t="shared" ca="1" si="831"/>
        <v>-</v>
      </c>
      <c r="BZ1014" s="831">
        <v>42888</v>
      </c>
      <c r="CA1014" s="832">
        <v>5</v>
      </c>
      <c r="CB1014" s="833">
        <f t="shared" ca="1" si="832"/>
        <v>246</v>
      </c>
      <c r="CC1014" s="834" t="str">
        <f t="shared" ca="1" si="833"/>
        <v>-</v>
      </c>
      <c r="CD1014" s="835">
        <f t="shared" si="834"/>
        <v>42909</v>
      </c>
      <c r="CE1014" s="831">
        <v>42909</v>
      </c>
      <c r="CF1014" s="832">
        <v>5</v>
      </c>
      <c r="CG1014" s="833">
        <f t="shared" ca="1" si="835"/>
        <v>225</v>
      </c>
      <c r="CH1014" s="836">
        <f t="shared" si="836"/>
        <v>0</v>
      </c>
      <c r="CI1014" s="837" t="str">
        <f t="shared" si="837"/>
        <v>УСПЕШНО</v>
      </c>
      <c r="CJ1014" s="838" t="str">
        <f t="shared" ca="1" si="838"/>
        <v>-</v>
      </c>
      <c r="CK1014" s="831"/>
      <c r="CL1014" s="832"/>
      <c r="CM1014" s="833" t="str">
        <f t="shared" si="839"/>
        <v>-</v>
      </c>
      <c r="CN1014" s="834" t="str">
        <f t="shared" si="840"/>
        <v>-</v>
      </c>
      <c r="CO1014" s="830" t="str">
        <f t="shared" ca="1" si="841"/>
        <v>-</v>
      </c>
      <c r="CP1014" s="839"/>
      <c r="CQ1014" s="832"/>
      <c r="CR1014" s="833" t="str">
        <f t="shared" si="842"/>
        <v>-</v>
      </c>
      <c r="CS1014" s="833" t="str">
        <f t="shared" si="843"/>
        <v>-</v>
      </c>
      <c r="CT1014" s="834" t="str">
        <f t="shared" si="844"/>
        <v>-</v>
      </c>
      <c r="CU1014" s="835" t="str">
        <f t="shared" si="845"/>
        <v>-</v>
      </c>
      <c r="CV1014" s="839"/>
      <c r="CW1014" s="832"/>
      <c r="CX1014" s="833" t="str">
        <f t="shared" si="846"/>
        <v>-</v>
      </c>
      <c r="CY1014" s="840" t="str">
        <f t="shared" si="847"/>
        <v>-</v>
      </c>
      <c r="CZ1014" s="833" t="str">
        <f t="shared" si="848"/>
        <v>-</v>
      </c>
      <c r="DA1014" s="838" t="str">
        <f t="shared" ca="1" si="849"/>
        <v>-</v>
      </c>
      <c r="DB1014" s="841"/>
      <c r="DC1014" s="832"/>
    </row>
    <row r="1015" spans="1:107" x14ac:dyDescent="0.25">
      <c r="A1015" s="790">
        <v>1019</v>
      </c>
      <c r="B1015" s="791">
        <f t="shared" ca="1" si="798"/>
        <v>43134</v>
      </c>
      <c r="C1015" s="792" t="s">
        <v>2583</v>
      </c>
      <c r="D1015" s="793" t="s">
        <v>2582</v>
      </c>
      <c r="E1015" s="794" t="s">
        <v>1563</v>
      </c>
      <c r="F1015" s="795" t="s">
        <v>2437</v>
      </c>
      <c r="G1015" s="845"/>
      <c r="H1015" s="797" t="s">
        <v>603</v>
      </c>
      <c r="I1015" s="798">
        <v>42791</v>
      </c>
      <c r="J1015" s="799">
        <f t="shared" ca="1" si="799"/>
        <v>0.9397260273972603</v>
      </c>
      <c r="K1015" s="799">
        <f t="shared" ca="1" si="800"/>
        <v>11.433333333333334</v>
      </c>
      <c r="L1015" s="800">
        <f t="shared" ca="1" si="801"/>
        <v>343</v>
      </c>
      <c r="M1015" s="801"/>
      <c r="N1015" s="802"/>
      <c r="O1015" s="803" t="str">
        <f t="shared" ca="1" si="802"/>
        <v>-</v>
      </c>
      <c r="P1015" s="804"/>
      <c r="Q1015" s="805"/>
      <c r="R1015" s="806"/>
      <c r="S1015" s="807"/>
      <c r="T1015" s="798"/>
      <c r="U1015" s="798" t="str">
        <f t="shared" si="803"/>
        <v>-</v>
      </c>
      <c r="V1015" s="804" t="str">
        <f t="shared" ca="1" si="804"/>
        <v>-</v>
      </c>
      <c r="W1015" s="808">
        <v>0</v>
      </c>
      <c r="X1015" s="794" t="str">
        <f t="shared" si="850"/>
        <v>-</v>
      </c>
      <c r="Y1015" s="794">
        <v>0</v>
      </c>
      <c r="Z1015" s="809" t="str">
        <f t="shared" ca="1" si="805"/>
        <v>-----</v>
      </c>
      <c r="AA1015" s="810">
        <f t="shared" ca="1" si="806"/>
        <v>43134</v>
      </c>
      <c r="AB1015" s="804"/>
      <c r="AC1015" s="811" t="str">
        <f t="shared" ca="1" si="807"/>
        <v>-----</v>
      </c>
      <c r="AD1015" s="798"/>
      <c r="AE1015" s="794" t="str">
        <f t="shared" ca="1" si="808"/>
        <v>-</v>
      </c>
      <c r="AF1015" s="798" t="str">
        <f t="shared" si="809"/>
        <v>-</v>
      </c>
      <c r="AG1015" s="812" t="str">
        <f t="shared" si="810"/>
        <v>---------</v>
      </c>
      <c r="AH1015" s="807"/>
      <c r="AI1015" s="807" t="str">
        <f t="shared" si="811"/>
        <v>-</v>
      </c>
      <c r="AJ1015" s="807" t="str">
        <f t="shared" si="812"/>
        <v>-</v>
      </c>
      <c r="AK1015" s="813"/>
      <c r="AL1015" s="807" t="str">
        <f t="shared" si="813"/>
        <v>-</v>
      </c>
      <c r="AM1015" s="807" t="str">
        <f t="shared" si="814"/>
        <v>-</v>
      </c>
      <c r="AN1015" s="814" t="str">
        <f t="shared" ca="1" si="815"/>
        <v>-</v>
      </c>
      <c r="AO1015" s="815">
        <v>1</v>
      </c>
      <c r="AP1015" s="816" t="str">
        <f t="shared" ca="1" si="816"/>
        <v>-</v>
      </c>
      <c r="AQ1015" s="817"/>
      <c r="AR1015" s="794" t="str">
        <f t="shared" si="817"/>
        <v>-</v>
      </c>
      <c r="AS1015" s="818"/>
      <c r="AT1015" s="794" t="str">
        <f t="shared" si="818"/>
        <v>-</v>
      </c>
      <c r="AU1015" s="819"/>
      <c r="AV1015" s="820"/>
      <c r="AW1015" s="821"/>
      <c r="AX1015" s="821"/>
      <c r="AY1015" s="969" t="str">
        <f t="shared" si="819"/>
        <v>-</v>
      </c>
      <c r="AZ1015" s="966" t="str">
        <f t="shared" si="820"/>
        <v>-</v>
      </c>
      <c r="BA1015" s="971" t="str">
        <f t="shared" si="821"/>
        <v>-</v>
      </c>
      <c r="BB1015" s="975"/>
      <c r="BC1015" s="821"/>
      <c r="BD1015" s="821"/>
      <c r="BE1015" s="963" t="str">
        <f t="shared" si="822"/>
        <v>-</v>
      </c>
      <c r="BF1015" s="984"/>
      <c r="BG1015" s="988"/>
      <c r="BH1015" s="982"/>
      <c r="BI1015" s="991"/>
      <c r="BJ1015" s="991"/>
      <c r="BK1015" s="993" t="str">
        <f t="shared" si="823"/>
        <v>-</v>
      </c>
      <c r="BL1015" s="820">
        <v>42978</v>
      </c>
      <c r="BM1015" s="821">
        <v>5</v>
      </c>
      <c r="BN1015" s="822">
        <f t="shared" ca="1" si="824"/>
        <v>156</v>
      </c>
      <c r="BO1015" s="823">
        <f t="shared" si="825"/>
        <v>6.2333333333333334</v>
      </c>
      <c r="BP1015" s="824"/>
      <c r="BQ1015" s="821"/>
      <c r="BR1015" s="822" t="str">
        <f t="shared" si="826"/>
        <v>-</v>
      </c>
      <c r="BS1015" s="823" t="str">
        <f t="shared" si="827"/>
        <v>-</v>
      </c>
      <c r="BT1015" s="825" t="str">
        <f t="shared" ca="1" si="828"/>
        <v>-</v>
      </c>
      <c r="BU1015" s="826"/>
      <c r="BV1015" s="827"/>
      <c r="BW1015" s="828" t="str">
        <f t="shared" si="829"/>
        <v>Ж-Е НЕ ВАКЦ.</v>
      </c>
      <c r="BX1015" s="829" t="str">
        <f t="shared" si="830"/>
        <v>-</v>
      </c>
      <c r="BY1015" s="830" t="str">
        <f t="shared" ca="1" si="831"/>
        <v>-</v>
      </c>
      <c r="BZ1015" s="831">
        <v>42888</v>
      </c>
      <c r="CA1015" s="832">
        <v>5</v>
      </c>
      <c r="CB1015" s="833">
        <f t="shared" ca="1" si="832"/>
        <v>246</v>
      </c>
      <c r="CC1015" s="834" t="str">
        <f t="shared" ca="1" si="833"/>
        <v>-</v>
      </c>
      <c r="CD1015" s="835">
        <f t="shared" si="834"/>
        <v>42909</v>
      </c>
      <c r="CE1015" s="831">
        <v>42909</v>
      </c>
      <c r="CF1015" s="832">
        <v>5</v>
      </c>
      <c r="CG1015" s="833">
        <f t="shared" ca="1" si="835"/>
        <v>225</v>
      </c>
      <c r="CH1015" s="836">
        <f t="shared" si="836"/>
        <v>0</v>
      </c>
      <c r="CI1015" s="837" t="str">
        <f t="shared" si="837"/>
        <v>УСПЕШНО</v>
      </c>
      <c r="CJ1015" s="838" t="str">
        <f t="shared" ca="1" si="838"/>
        <v>-</v>
      </c>
      <c r="CK1015" s="831"/>
      <c r="CL1015" s="832"/>
      <c r="CM1015" s="833" t="str">
        <f t="shared" si="839"/>
        <v>-</v>
      </c>
      <c r="CN1015" s="834" t="str">
        <f t="shared" si="840"/>
        <v>-</v>
      </c>
      <c r="CO1015" s="830" t="str">
        <f t="shared" ca="1" si="841"/>
        <v>-</v>
      </c>
      <c r="CP1015" s="839"/>
      <c r="CQ1015" s="832"/>
      <c r="CR1015" s="833" t="str">
        <f t="shared" si="842"/>
        <v>-</v>
      </c>
      <c r="CS1015" s="833" t="str">
        <f t="shared" si="843"/>
        <v>-</v>
      </c>
      <c r="CT1015" s="834" t="str">
        <f t="shared" si="844"/>
        <v>-</v>
      </c>
      <c r="CU1015" s="835" t="str">
        <f t="shared" si="845"/>
        <v>-</v>
      </c>
      <c r="CV1015" s="839"/>
      <c r="CW1015" s="832"/>
      <c r="CX1015" s="833" t="str">
        <f t="shared" si="846"/>
        <v>-</v>
      </c>
      <c r="CY1015" s="840" t="str">
        <f t="shared" si="847"/>
        <v>-</v>
      </c>
      <c r="CZ1015" s="833" t="str">
        <f t="shared" si="848"/>
        <v>-</v>
      </c>
      <c r="DA1015" s="838" t="str">
        <f t="shared" ca="1" si="849"/>
        <v>-</v>
      </c>
      <c r="DB1015" s="841"/>
      <c r="DC1015" s="832"/>
    </row>
    <row r="1016" spans="1:107" x14ac:dyDescent="0.25">
      <c r="A1016" s="790">
        <v>1020</v>
      </c>
      <c r="B1016" s="791">
        <f t="shared" ca="1" si="798"/>
        <v>43134</v>
      </c>
      <c r="C1016" s="29" t="s">
        <v>2583</v>
      </c>
      <c r="D1016" s="59" t="s">
        <v>2582</v>
      </c>
      <c r="E1016" s="873" t="s">
        <v>1563</v>
      </c>
      <c r="F1016" s="874" t="s">
        <v>2454</v>
      </c>
      <c r="G1016" s="845"/>
      <c r="H1016" s="797" t="s">
        <v>603</v>
      </c>
      <c r="I1016" s="798">
        <v>42793</v>
      </c>
      <c r="J1016" s="799">
        <f t="shared" ca="1" si="799"/>
        <v>0.9342465753424658</v>
      </c>
      <c r="K1016" s="799">
        <f t="shared" ca="1" si="800"/>
        <v>11.366666666666667</v>
      </c>
      <c r="L1016" s="800">
        <f t="shared" ca="1" si="801"/>
        <v>341</v>
      </c>
      <c r="M1016" s="801"/>
      <c r="N1016" s="802"/>
      <c r="O1016" s="803" t="str">
        <f t="shared" ca="1" si="802"/>
        <v>-</v>
      </c>
      <c r="P1016" s="804"/>
      <c r="Q1016" s="805"/>
      <c r="R1016" s="806"/>
      <c r="S1016" s="807"/>
      <c r="T1016" s="798"/>
      <c r="U1016" s="798" t="str">
        <f t="shared" si="803"/>
        <v>-</v>
      </c>
      <c r="V1016" s="804" t="str">
        <f t="shared" ca="1" si="804"/>
        <v>-</v>
      </c>
      <c r="W1016" s="808">
        <v>0</v>
      </c>
      <c r="X1016" s="794" t="str">
        <f t="shared" si="850"/>
        <v>-</v>
      </c>
      <c r="Y1016" s="794">
        <v>0</v>
      </c>
      <c r="Z1016" s="809" t="str">
        <f t="shared" ca="1" si="805"/>
        <v>-----</v>
      </c>
      <c r="AA1016" s="810">
        <f t="shared" ca="1" si="806"/>
        <v>43134</v>
      </c>
      <c r="AB1016" s="804"/>
      <c r="AC1016" s="811" t="str">
        <f t="shared" ca="1" si="807"/>
        <v>-----</v>
      </c>
      <c r="AD1016" s="798"/>
      <c r="AE1016" s="794" t="str">
        <f t="shared" ca="1" si="808"/>
        <v>-</v>
      </c>
      <c r="AF1016" s="798" t="str">
        <f t="shared" si="809"/>
        <v>-</v>
      </c>
      <c r="AG1016" s="812" t="str">
        <f t="shared" si="810"/>
        <v>---------</v>
      </c>
      <c r="AH1016" s="807"/>
      <c r="AI1016" s="807" t="str">
        <f t="shared" si="811"/>
        <v>-</v>
      </c>
      <c r="AJ1016" s="807" t="str">
        <f t="shared" si="812"/>
        <v>-</v>
      </c>
      <c r="AK1016" s="813"/>
      <c r="AL1016" s="807" t="str">
        <f t="shared" si="813"/>
        <v>-</v>
      </c>
      <c r="AM1016" s="807" t="str">
        <f t="shared" si="814"/>
        <v>-</v>
      </c>
      <c r="AN1016" s="814" t="str">
        <f t="shared" ca="1" si="815"/>
        <v>-</v>
      </c>
      <c r="AO1016" s="815">
        <v>1</v>
      </c>
      <c r="AP1016" s="816" t="str">
        <f t="shared" ca="1" si="816"/>
        <v>-</v>
      </c>
      <c r="AQ1016" s="817"/>
      <c r="AR1016" s="794" t="str">
        <f t="shared" si="817"/>
        <v>-</v>
      </c>
      <c r="AS1016" s="818"/>
      <c r="AT1016" s="794" t="str">
        <f t="shared" si="818"/>
        <v>-</v>
      </c>
      <c r="AU1016" s="819"/>
      <c r="AV1016" s="865"/>
      <c r="AW1016" s="821"/>
      <c r="AX1016" s="821"/>
      <c r="AY1016" s="969" t="str">
        <f t="shared" si="819"/>
        <v>-</v>
      </c>
      <c r="AZ1016" s="966" t="str">
        <f t="shared" si="820"/>
        <v>-</v>
      </c>
      <c r="BA1016" s="971" t="str">
        <f t="shared" si="821"/>
        <v>-</v>
      </c>
      <c r="BB1016" s="975"/>
      <c r="BC1016" s="821"/>
      <c r="BD1016" s="821"/>
      <c r="BE1016" s="963" t="str">
        <f t="shared" si="822"/>
        <v>-</v>
      </c>
      <c r="BF1016" s="984"/>
      <c r="BG1016" s="988"/>
      <c r="BH1016" s="982"/>
      <c r="BI1016" s="991"/>
      <c r="BJ1016" s="991"/>
      <c r="BK1016" s="993" t="str">
        <f t="shared" si="823"/>
        <v>-</v>
      </c>
      <c r="BL1016" s="865"/>
      <c r="BM1016" s="821"/>
      <c r="BN1016" s="822" t="str">
        <f t="shared" si="824"/>
        <v>-</v>
      </c>
      <c r="BO1016" s="823" t="str">
        <f t="shared" si="825"/>
        <v>-</v>
      </c>
      <c r="BP1016" s="868"/>
      <c r="BQ1016" s="821"/>
      <c r="BR1016" s="822" t="str">
        <f t="shared" si="826"/>
        <v>-</v>
      </c>
      <c r="BS1016" s="823" t="str">
        <f t="shared" si="827"/>
        <v>-</v>
      </c>
      <c r="BT1016" s="825" t="str">
        <f t="shared" ca="1" si="828"/>
        <v>-</v>
      </c>
      <c r="BU1016" s="826"/>
      <c r="BV1016" s="827"/>
      <c r="BW1016" s="828" t="str">
        <f t="shared" si="829"/>
        <v>Ж-Е НЕ ВАКЦ.</v>
      </c>
      <c r="BX1016" s="829" t="str">
        <f t="shared" si="830"/>
        <v>-</v>
      </c>
      <c r="BY1016" s="830" t="str">
        <f t="shared" ca="1" si="831"/>
        <v>-</v>
      </c>
      <c r="BZ1016" s="831">
        <v>42888</v>
      </c>
      <c r="CA1016" s="832">
        <v>5</v>
      </c>
      <c r="CB1016" s="833">
        <f t="shared" ca="1" si="832"/>
        <v>246</v>
      </c>
      <c r="CC1016" s="834" t="str">
        <f t="shared" ca="1" si="833"/>
        <v>-</v>
      </c>
      <c r="CD1016" s="835">
        <f t="shared" si="834"/>
        <v>42909</v>
      </c>
      <c r="CE1016" s="831">
        <v>42909</v>
      </c>
      <c r="CF1016" s="832">
        <v>5</v>
      </c>
      <c r="CG1016" s="833">
        <f t="shared" ca="1" si="835"/>
        <v>225</v>
      </c>
      <c r="CH1016" s="836">
        <f t="shared" si="836"/>
        <v>0</v>
      </c>
      <c r="CI1016" s="837" t="str">
        <f t="shared" si="837"/>
        <v>УСПЕШНО</v>
      </c>
      <c r="CJ1016" s="838" t="str">
        <f t="shared" ca="1" si="838"/>
        <v>-</v>
      </c>
      <c r="CK1016" s="831"/>
      <c r="CL1016" s="832"/>
      <c r="CM1016" s="833" t="str">
        <f t="shared" si="839"/>
        <v>-</v>
      </c>
      <c r="CN1016" s="834" t="str">
        <f t="shared" si="840"/>
        <v>-</v>
      </c>
      <c r="CO1016" s="830" t="str">
        <f t="shared" ca="1" si="841"/>
        <v>-</v>
      </c>
      <c r="CP1016" s="839"/>
      <c r="CQ1016" s="832"/>
      <c r="CR1016" s="833" t="str">
        <f t="shared" si="842"/>
        <v>-</v>
      </c>
      <c r="CS1016" s="833" t="str">
        <f t="shared" si="843"/>
        <v>-</v>
      </c>
      <c r="CT1016" s="834" t="str">
        <f t="shared" si="844"/>
        <v>-</v>
      </c>
      <c r="CU1016" s="835" t="str">
        <f t="shared" si="845"/>
        <v>-</v>
      </c>
      <c r="CV1016" s="839"/>
      <c r="CW1016" s="832"/>
      <c r="CX1016" s="833" t="str">
        <f t="shared" si="846"/>
        <v>-</v>
      </c>
      <c r="CY1016" s="840" t="str">
        <f t="shared" si="847"/>
        <v>-</v>
      </c>
      <c r="CZ1016" s="833" t="str">
        <f t="shared" si="848"/>
        <v>-</v>
      </c>
      <c r="DA1016" s="838" t="str">
        <f t="shared" ca="1" si="849"/>
        <v>-</v>
      </c>
      <c r="DB1016" s="841"/>
      <c r="DC1016" s="832"/>
    </row>
    <row r="1017" spans="1:107" x14ac:dyDescent="0.25">
      <c r="A1017" s="790">
        <v>1021</v>
      </c>
      <c r="B1017" s="791">
        <f t="shared" ca="1" si="798"/>
        <v>43134</v>
      </c>
      <c r="C1017" s="792" t="s">
        <v>2583</v>
      </c>
      <c r="D1017" s="793" t="s">
        <v>2582</v>
      </c>
      <c r="E1017" s="794" t="s">
        <v>1563</v>
      </c>
      <c r="F1017" s="795" t="s">
        <v>2452</v>
      </c>
      <c r="G1017" s="845"/>
      <c r="H1017" s="797" t="s">
        <v>603</v>
      </c>
      <c r="I1017" s="798">
        <v>42794</v>
      </c>
      <c r="J1017" s="799">
        <f t="shared" ca="1" si="799"/>
        <v>0.93150684931506844</v>
      </c>
      <c r="K1017" s="799">
        <f t="shared" ca="1" si="800"/>
        <v>11.333333333333334</v>
      </c>
      <c r="L1017" s="800">
        <f t="shared" ca="1" si="801"/>
        <v>340</v>
      </c>
      <c r="M1017" s="801"/>
      <c r="N1017" s="802"/>
      <c r="O1017" s="803" t="str">
        <f t="shared" ca="1" si="802"/>
        <v>-</v>
      </c>
      <c r="P1017" s="804"/>
      <c r="Q1017" s="805"/>
      <c r="R1017" s="806"/>
      <c r="S1017" s="807"/>
      <c r="T1017" s="798"/>
      <c r="U1017" s="798" t="str">
        <f t="shared" si="803"/>
        <v>-</v>
      </c>
      <c r="V1017" s="804" t="str">
        <f t="shared" ca="1" si="804"/>
        <v>-</v>
      </c>
      <c r="W1017" s="808">
        <v>0</v>
      </c>
      <c r="X1017" s="794" t="str">
        <f t="shared" si="850"/>
        <v>-</v>
      </c>
      <c r="Y1017" s="794">
        <v>0</v>
      </c>
      <c r="Z1017" s="809" t="str">
        <f t="shared" ca="1" si="805"/>
        <v>-----</v>
      </c>
      <c r="AA1017" s="810">
        <f t="shared" ca="1" si="806"/>
        <v>43134</v>
      </c>
      <c r="AB1017" s="804"/>
      <c r="AC1017" s="811" t="str">
        <f t="shared" ca="1" si="807"/>
        <v>-----</v>
      </c>
      <c r="AD1017" s="798"/>
      <c r="AE1017" s="794" t="str">
        <f t="shared" ca="1" si="808"/>
        <v>-</v>
      </c>
      <c r="AF1017" s="798" t="str">
        <f t="shared" si="809"/>
        <v>-</v>
      </c>
      <c r="AG1017" s="812" t="str">
        <f t="shared" si="810"/>
        <v>---------</v>
      </c>
      <c r="AH1017" s="807"/>
      <c r="AI1017" s="807" t="str">
        <f t="shared" si="811"/>
        <v>-</v>
      </c>
      <c r="AJ1017" s="807" t="str">
        <f t="shared" si="812"/>
        <v>-</v>
      </c>
      <c r="AK1017" s="813"/>
      <c r="AL1017" s="807" t="str">
        <f t="shared" si="813"/>
        <v>-</v>
      </c>
      <c r="AM1017" s="807" t="str">
        <f t="shared" si="814"/>
        <v>-</v>
      </c>
      <c r="AN1017" s="814" t="str">
        <f t="shared" ca="1" si="815"/>
        <v>-</v>
      </c>
      <c r="AO1017" s="815">
        <v>1</v>
      </c>
      <c r="AP1017" s="816" t="str">
        <f t="shared" ca="1" si="816"/>
        <v>-</v>
      </c>
      <c r="AQ1017" s="817"/>
      <c r="AR1017" s="794" t="str">
        <f t="shared" si="817"/>
        <v>-</v>
      </c>
      <c r="AS1017" s="818"/>
      <c r="AT1017" s="794" t="str">
        <f t="shared" si="818"/>
        <v>-</v>
      </c>
      <c r="AU1017" s="819"/>
      <c r="AV1017" s="820"/>
      <c r="AW1017" s="821"/>
      <c r="AX1017" s="821"/>
      <c r="AY1017" s="969" t="str">
        <f t="shared" si="819"/>
        <v>-</v>
      </c>
      <c r="AZ1017" s="966" t="str">
        <f t="shared" si="820"/>
        <v>-</v>
      </c>
      <c r="BA1017" s="971" t="str">
        <f t="shared" si="821"/>
        <v>-</v>
      </c>
      <c r="BB1017" s="975"/>
      <c r="BC1017" s="821"/>
      <c r="BD1017" s="821"/>
      <c r="BE1017" s="963" t="str">
        <f t="shared" si="822"/>
        <v>-</v>
      </c>
      <c r="BF1017" s="984"/>
      <c r="BG1017" s="988"/>
      <c r="BH1017" s="982"/>
      <c r="BI1017" s="991"/>
      <c r="BJ1017" s="991"/>
      <c r="BK1017" s="993" t="str">
        <f t="shared" si="823"/>
        <v>-</v>
      </c>
      <c r="BL1017" s="820">
        <v>42978</v>
      </c>
      <c r="BM1017" s="821">
        <v>5</v>
      </c>
      <c r="BN1017" s="822">
        <f t="shared" ca="1" si="824"/>
        <v>156</v>
      </c>
      <c r="BO1017" s="823">
        <f t="shared" si="825"/>
        <v>6.1333333333333337</v>
      </c>
      <c r="BP1017" s="824"/>
      <c r="BQ1017" s="821"/>
      <c r="BR1017" s="822" t="str">
        <f t="shared" si="826"/>
        <v>-</v>
      </c>
      <c r="BS1017" s="823" t="str">
        <f t="shared" si="827"/>
        <v>-</v>
      </c>
      <c r="BT1017" s="825" t="str">
        <f t="shared" ca="1" si="828"/>
        <v>-</v>
      </c>
      <c r="BU1017" s="826"/>
      <c r="BV1017" s="827"/>
      <c r="BW1017" s="828" t="str">
        <f t="shared" si="829"/>
        <v>Ж-Е НЕ ВАКЦ.</v>
      </c>
      <c r="BX1017" s="829" t="str">
        <f t="shared" si="830"/>
        <v>-</v>
      </c>
      <c r="BY1017" s="830" t="str">
        <f t="shared" ca="1" si="831"/>
        <v>-</v>
      </c>
      <c r="BZ1017" s="831">
        <v>42887</v>
      </c>
      <c r="CA1017" s="832">
        <v>5</v>
      </c>
      <c r="CB1017" s="833">
        <f t="shared" ca="1" si="832"/>
        <v>247</v>
      </c>
      <c r="CC1017" s="834" t="str">
        <f t="shared" ca="1" si="833"/>
        <v>-</v>
      </c>
      <c r="CD1017" s="835">
        <f t="shared" si="834"/>
        <v>42908</v>
      </c>
      <c r="CE1017" s="831">
        <v>42908</v>
      </c>
      <c r="CF1017" s="832">
        <v>5</v>
      </c>
      <c r="CG1017" s="833">
        <f t="shared" ca="1" si="835"/>
        <v>226</v>
      </c>
      <c r="CH1017" s="836">
        <f t="shared" si="836"/>
        <v>0</v>
      </c>
      <c r="CI1017" s="837" t="str">
        <f t="shared" si="837"/>
        <v>УСПЕШНО</v>
      </c>
      <c r="CJ1017" s="838" t="str">
        <f t="shared" ca="1" si="838"/>
        <v>-</v>
      </c>
      <c r="CK1017" s="831"/>
      <c r="CL1017" s="832"/>
      <c r="CM1017" s="833" t="str">
        <f t="shared" si="839"/>
        <v>-</v>
      </c>
      <c r="CN1017" s="834" t="str">
        <f t="shared" si="840"/>
        <v>-</v>
      </c>
      <c r="CO1017" s="830" t="str">
        <f t="shared" ca="1" si="841"/>
        <v>-</v>
      </c>
      <c r="CP1017" s="839"/>
      <c r="CQ1017" s="832"/>
      <c r="CR1017" s="833" t="str">
        <f t="shared" si="842"/>
        <v>-</v>
      </c>
      <c r="CS1017" s="833" t="str">
        <f t="shared" si="843"/>
        <v>-</v>
      </c>
      <c r="CT1017" s="834" t="str">
        <f t="shared" si="844"/>
        <v>-</v>
      </c>
      <c r="CU1017" s="835" t="str">
        <f t="shared" si="845"/>
        <v>-</v>
      </c>
      <c r="CV1017" s="839"/>
      <c r="CW1017" s="832"/>
      <c r="CX1017" s="833" t="str">
        <f t="shared" si="846"/>
        <v>-</v>
      </c>
      <c r="CY1017" s="840" t="str">
        <f t="shared" si="847"/>
        <v>-</v>
      </c>
      <c r="CZ1017" s="833" t="str">
        <f t="shared" si="848"/>
        <v>-</v>
      </c>
      <c r="DA1017" s="838" t="str">
        <f t="shared" ca="1" si="849"/>
        <v>-</v>
      </c>
      <c r="DB1017" s="841"/>
      <c r="DC1017" s="832"/>
    </row>
    <row r="1018" spans="1:107" x14ac:dyDescent="0.25">
      <c r="A1018" s="790">
        <v>1022</v>
      </c>
      <c r="B1018" s="791">
        <f t="shared" ca="1" si="798"/>
        <v>43134</v>
      </c>
      <c r="C1018" s="29" t="s">
        <v>2583</v>
      </c>
      <c r="D1018" s="59" t="s">
        <v>2582</v>
      </c>
      <c r="E1018" s="794" t="s">
        <v>1563</v>
      </c>
      <c r="F1018" s="795" t="s">
        <v>2456</v>
      </c>
      <c r="G1018" s="845"/>
      <c r="H1018" s="797" t="s">
        <v>603</v>
      </c>
      <c r="I1018" s="798">
        <v>42796</v>
      </c>
      <c r="J1018" s="799">
        <f t="shared" ca="1" si="799"/>
        <v>0.92602739726027394</v>
      </c>
      <c r="K1018" s="799">
        <f t="shared" ca="1" si="800"/>
        <v>11.266666666666667</v>
      </c>
      <c r="L1018" s="800">
        <f t="shared" ca="1" si="801"/>
        <v>338</v>
      </c>
      <c r="M1018" s="801"/>
      <c r="N1018" s="802"/>
      <c r="O1018" s="803" t="str">
        <f t="shared" ca="1" si="802"/>
        <v>-</v>
      </c>
      <c r="P1018" s="804"/>
      <c r="Q1018" s="805"/>
      <c r="R1018" s="806"/>
      <c r="S1018" s="807"/>
      <c r="T1018" s="798"/>
      <c r="U1018" s="798" t="str">
        <f t="shared" si="803"/>
        <v>-</v>
      </c>
      <c r="V1018" s="804" t="str">
        <f t="shared" ca="1" si="804"/>
        <v>-</v>
      </c>
      <c r="W1018" s="808">
        <v>0</v>
      </c>
      <c r="X1018" s="794" t="str">
        <f t="shared" si="850"/>
        <v>-</v>
      </c>
      <c r="Y1018" s="794">
        <v>0</v>
      </c>
      <c r="Z1018" s="809" t="str">
        <f t="shared" ca="1" si="805"/>
        <v>-----</v>
      </c>
      <c r="AA1018" s="810">
        <f t="shared" ca="1" si="806"/>
        <v>43134</v>
      </c>
      <c r="AB1018" s="804"/>
      <c r="AC1018" s="811" t="str">
        <f t="shared" ca="1" si="807"/>
        <v>-----</v>
      </c>
      <c r="AD1018" s="798"/>
      <c r="AE1018" s="794" t="str">
        <f t="shared" ca="1" si="808"/>
        <v>-</v>
      </c>
      <c r="AF1018" s="798" t="str">
        <f t="shared" si="809"/>
        <v>-</v>
      </c>
      <c r="AG1018" s="812" t="str">
        <f t="shared" si="810"/>
        <v>---------</v>
      </c>
      <c r="AH1018" s="807"/>
      <c r="AI1018" s="807" t="str">
        <f t="shared" si="811"/>
        <v>-</v>
      </c>
      <c r="AJ1018" s="807" t="str">
        <f t="shared" si="812"/>
        <v>-</v>
      </c>
      <c r="AK1018" s="813"/>
      <c r="AL1018" s="807" t="str">
        <f t="shared" si="813"/>
        <v>-</v>
      </c>
      <c r="AM1018" s="807" t="str">
        <f t="shared" si="814"/>
        <v>-</v>
      </c>
      <c r="AN1018" s="814" t="str">
        <f t="shared" ca="1" si="815"/>
        <v>-</v>
      </c>
      <c r="AO1018" s="815">
        <v>1</v>
      </c>
      <c r="AP1018" s="816" t="str">
        <f t="shared" ca="1" si="816"/>
        <v>-</v>
      </c>
      <c r="AQ1018" s="817"/>
      <c r="AR1018" s="794" t="str">
        <f t="shared" si="817"/>
        <v>-</v>
      </c>
      <c r="AS1018" s="818"/>
      <c r="AT1018" s="794" t="str">
        <f t="shared" si="818"/>
        <v>-</v>
      </c>
      <c r="AU1018" s="819"/>
      <c r="AV1018" s="820"/>
      <c r="AW1018" s="821"/>
      <c r="AX1018" s="821"/>
      <c r="AY1018" s="969" t="str">
        <f t="shared" si="819"/>
        <v>-</v>
      </c>
      <c r="AZ1018" s="966" t="str">
        <f t="shared" si="820"/>
        <v>-</v>
      </c>
      <c r="BA1018" s="971" t="str">
        <f t="shared" si="821"/>
        <v>-</v>
      </c>
      <c r="BB1018" s="975"/>
      <c r="BC1018" s="821"/>
      <c r="BD1018" s="821"/>
      <c r="BE1018" s="963" t="str">
        <f t="shared" si="822"/>
        <v>-</v>
      </c>
      <c r="BF1018" s="984"/>
      <c r="BG1018" s="988"/>
      <c r="BH1018" s="982"/>
      <c r="BI1018" s="991"/>
      <c r="BJ1018" s="991"/>
      <c r="BK1018" s="993" t="str">
        <f t="shared" si="823"/>
        <v>-</v>
      </c>
      <c r="BL1018" s="820">
        <v>42978</v>
      </c>
      <c r="BM1018" s="821">
        <v>5</v>
      </c>
      <c r="BN1018" s="822">
        <f t="shared" ca="1" si="824"/>
        <v>156</v>
      </c>
      <c r="BO1018" s="823">
        <f t="shared" si="825"/>
        <v>6.0666666666666664</v>
      </c>
      <c r="BP1018" s="824"/>
      <c r="BQ1018" s="821"/>
      <c r="BR1018" s="822" t="str">
        <f t="shared" si="826"/>
        <v>-</v>
      </c>
      <c r="BS1018" s="823" t="str">
        <f t="shared" si="827"/>
        <v>-</v>
      </c>
      <c r="BT1018" s="825" t="str">
        <f t="shared" ca="1" si="828"/>
        <v>-</v>
      </c>
      <c r="BU1018" s="826"/>
      <c r="BV1018" s="827"/>
      <c r="BW1018" s="828" t="str">
        <f t="shared" si="829"/>
        <v>Ж-Е НЕ ВАКЦ.</v>
      </c>
      <c r="BX1018" s="829" t="str">
        <f t="shared" si="830"/>
        <v>-</v>
      </c>
      <c r="BY1018" s="830" t="str">
        <f t="shared" ca="1" si="831"/>
        <v>-</v>
      </c>
      <c r="BZ1018" s="831">
        <v>42887</v>
      </c>
      <c r="CA1018" s="832">
        <v>5</v>
      </c>
      <c r="CB1018" s="833">
        <f t="shared" ca="1" si="832"/>
        <v>247</v>
      </c>
      <c r="CC1018" s="834" t="str">
        <f t="shared" ca="1" si="833"/>
        <v>-</v>
      </c>
      <c r="CD1018" s="835">
        <f t="shared" si="834"/>
        <v>42908</v>
      </c>
      <c r="CE1018" s="831">
        <v>42908</v>
      </c>
      <c r="CF1018" s="832">
        <v>5</v>
      </c>
      <c r="CG1018" s="833">
        <f t="shared" ca="1" si="835"/>
        <v>226</v>
      </c>
      <c r="CH1018" s="836">
        <f t="shared" si="836"/>
        <v>0</v>
      </c>
      <c r="CI1018" s="837" t="str">
        <f t="shared" si="837"/>
        <v>УСПЕШНО</v>
      </c>
      <c r="CJ1018" s="838" t="str">
        <f t="shared" ca="1" si="838"/>
        <v>-</v>
      </c>
      <c r="CK1018" s="831"/>
      <c r="CL1018" s="832"/>
      <c r="CM1018" s="833" t="str">
        <f t="shared" si="839"/>
        <v>-</v>
      </c>
      <c r="CN1018" s="834" t="str">
        <f t="shared" si="840"/>
        <v>-</v>
      </c>
      <c r="CO1018" s="830" t="str">
        <f t="shared" ca="1" si="841"/>
        <v>-</v>
      </c>
      <c r="CP1018" s="839"/>
      <c r="CQ1018" s="832"/>
      <c r="CR1018" s="833" t="str">
        <f t="shared" si="842"/>
        <v>-</v>
      </c>
      <c r="CS1018" s="833" t="str">
        <f t="shared" si="843"/>
        <v>-</v>
      </c>
      <c r="CT1018" s="834" t="str">
        <f t="shared" si="844"/>
        <v>-</v>
      </c>
      <c r="CU1018" s="835" t="str">
        <f t="shared" si="845"/>
        <v>-</v>
      </c>
      <c r="CV1018" s="839"/>
      <c r="CW1018" s="832"/>
      <c r="CX1018" s="833" t="str">
        <f t="shared" si="846"/>
        <v>-</v>
      </c>
      <c r="CY1018" s="840" t="str">
        <f t="shared" si="847"/>
        <v>-</v>
      </c>
      <c r="CZ1018" s="833" t="str">
        <f t="shared" si="848"/>
        <v>-</v>
      </c>
      <c r="DA1018" s="838" t="str">
        <f t="shared" ca="1" si="849"/>
        <v>-</v>
      </c>
      <c r="DB1018" s="841"/>
      <c r="DC1018" s="832"/>
    </row>
    <row r="1019" spans="1:107" x14ac:dyDescent="0.25">
      <c r="A1019" s="790">
        <v>1023</v>
      </c>
      <c r="B1019" s="791">
        <f t="shared" ca="1" si="798"/>
        <v>43134</v>
      </c>
      <c r="C1019" s="29" t="s">
        <v>2583</v>
      </c>
      <c r="D1019" s="59" t="s">
        <v>2582</v>
      </c>
      <c r="E1019" s="794" t="s">
        <v>1563</v>
      </c>
      <c r="F1019" s="795" t="s">
        <v>2457</v>
      </c>
      <c r="G1019" s="845"/>
      <c r="H1019" s="797" t="s">
        <v>603</v>
      </c>
      <c r="I1019" s="798">
        <v>42796</v>
      </c>
      <c r="J1019" s="799">
        <f t="shared" ca="1" si="799"/>
        <v>0.92602739726027394</v>
      </c>
      <c r="K1019" s="799">
        <f t="shared" ca="1" si="800"/>
        <v>11.266666666666667</v>
      </c>
      <c r="L1019" s="800">
        <f t="shared" ca="1" si="801"/>
        <v>338</v>
      </c>
      <c r="M1019" s="801"/>
      <c r="N1019" s="802"/>
      <c r="O1019" s="803" t="str">
        <f t="shared" ca="1" si="802"/>
        <v>-</v>
      </c>
      <c r="P1019" s="804"/>
      <c r="Q1019" s="805"/>
      <c r="R1019" s="806"/>
      <c r="S1019" s="807"/>
      <c r="T1019" s="798"/>
      <c r="U1019" s="798" t="str">
        <f t="shared" si="803"/>
        <v>-</v>
      </c>
      <c r="V1019" s="804" t="str">
        <f t="shared" ca="1" si="804"/>
        <v>-</v>
      </c>
      <c r="W1019" s="808">
        <v>0</v>
      </c>
      <c r="X1019" s="794" t="str">
        <f t="shared" si="850"/>
        <v>-</v>
      </c>
      <c r="Y1019" s="794">
        <v>0</v>
      </c>
      <c r="Z1019" s="809" t="str">
        <f t="shared" ca="1" si="805"/>
        <v>-----</v>
      </c>
      <c r="AA1019" s="810">
        <f t="shared" ca="1" si="806"/>
        <v>43134</v>
      </c>
      <c r="AB1019" s="804"/>
      <c r="AC1019" s="811" t="str">
        <f t="shared" ca="1" si="807"/>
        <v>-----</v>
      </c>
      <c r="AD1019" s="798"/>
      <c r="AE1019" s="794" t="str">
        <f t="shared" ca="1" si="808"/>
        <v>-</v>
      </c>
      <c r="AF1019" s="798" t="str">
        <f t="shared" si="809"/>
        <v>-</v>
      </c>
      <c r="AG1019" s="812" t="str">
        <f t="shared" si="810"/>
        <v>---------</v>
      </c>
      <c r="AH1019" s="807"/>
      <c r="AI1019" s="807" t="str">
        <f t="shared" si="811"/>
        <v>-</v>
      </c>
      <c r="AJ1019" s="807" t="str">
        <f t="shared" si="812"/>
        <v>-</v>
      </c>
      <c r="AK1019" s="813"/>
      <c r="AL1019" s="807" t="str">
        <f t="shared" si="813"/>
        <v>-</v>
      </c>
      <c r="AM1019" s="807" t="str">
        <f t="shared" si="814"/>
        <v>-</v>
      </c>
      <c r="AN1019" s="814" t="str">
        <f t="shared" ca="1" si="815"/>
        <v>-</v>
      </c>
      <c r="AO1019" s="815">
        <v>1</v>
      </c>
      <c r="AP1019" s="816" t="str">
        <f t="shared" ca="1" si="816"/>
        <v>-</v>
      </c>
      <c r="AQ1019" s="817"/>
      <c r="AR1019" s="794" t="str">
        <f t="shared" si="817"/>
        <v>-</v>
      </c>
      <c r="AS1019" s="818"/>
      <c r="AT1019" s="794" t="str">
        <f t="shared" si="818"/>
        <v>-</v>
      </c>
      <c r="AU1019" s="819"/>
      <c r="AV1019" s="820"/>
      <c r="AW1019" s="821"/>
      <c r="AX1019" s="821"/>
      <c r="AY1019" s="969" t="str">
        <f t="shared" si="819"/>
        <v>-</v>
      </c>
      <c r="AZ1019" s="966" t="str">
        <f t="shared" si="820"/>
        <v>-</v>
      </c>
      <c r="BA1019" s="971" t="str">
        <f t="shared" si="821"/>
        <v>-</v>
      </c>
      <c r="BB1019" s="975"/>
      <c r="BC1019" s="821"/>
      <c r="BD1019" s="821"/>
      <c r="BE1019" s="963" t="str">
        <f t="shared" si="822"/>
        <v>-</v>
      </c>
      <c r="BF1019" s="984"/>
      <c r="BG1019" s="988"/>
      <c r="BH1019" s="982"/>
      <c r="BI1019" s="991"/>
      <c r="BJ1019" s="991"/>
      <c r="BK1019" s="993" t="str">
        <f t="shared" si="823"/>
        <v>-</v>
      </c>
      <c r="BL1019" s="820">
        <v>42978</v>
      </c>
      <c r="BM1019" s="821">
        <v>5</v>
      </c>
      <c r="BN1019" s="822">
        <f t="shared" ca="1" si="824"/>
        <v>156</v>
      </c>
      <c r="BO1019" s="823">
        <f t="shared" si="825"/>
        <v>6.0666666666666664</v>
      </c>
      <c r="BP1019" s="824"/>
      <c r="BQ1019" s="821"/>
      <c r="BR1019" s="822" t="str">
        <f t="shared" si="826"/>
        <v>-</v>
      </c>
      <c r="BS1019" s="823" t="str">
        <f t="shared" si="827"/>
        <v>-</v>
      </c>
      <c r="BT1019" s="825" t="str">
        <f t="shared" ca="1" si="828"/>
        <v>-</v>
      </c>
      <c r="BU1019" s="826"/>
      <c r="BV1019" s="827"/>
      <c r="BW1019" s="828" t="str">
        <f t="shared" si="829"/>
        <v>Ж-Е НЕ ВАКЦ.</v>
      </c>
      <c r="BX1019" s="829" t="str">
        <f t="shared" si="830"/>
        <v>-</v>
      </c>
      <c r="BY1019" s="830" t="str">
        <f t="shared" ca="1" si="831"/>
        <v>-</v>
      </c>
      <c r="BZ1019" s="831">
        <v>42887</v>
      </c>
      <c r="CA1019" s="832">
        <v>5</v>
      </c>
      <c r="CB1019" s="833">
        <f t="shared" ca="1" si="832"/>
        <v>247</v>
      </c>
      <c r="CC1019" s="834" t="str">
        <f t="shared" ca="1" si="833"/>
        <v>-</v>
      </c>
      <c r="CD1019" s="835">
        <f t="shared" si="834"/>
        <v>42908</v>
      </c>
      <c r="CE1019" s="831">
        <v>42908</v>
      </c>
      <c r="CF1019" s="832">
        <v>5</v>
      </c>
      <c r="CG1019" s="833">
        <f t="shared" ca="1" si="835"/>
        <v>226</v>
      </c>
      <c r="CH1019" s="836">
        <f t="shared" si="836"/>
        <v>0</v>
      </c>
      <c r="CI1019" s="837" t="str">
        <f t="shared" si="837"/>
        <v>УСПЕШНО</v>
      </c>
      <c r="CJ1019" s="838" t="str">
        <f t="shared" ca="1" si="838"/>
        <v>-</v>
      </c>
      <c r="CK1019" s="831"/>
      <c r="CL1019" s="832"/>
      <c r="CM1019" s="833" t="str">
        <f t="shared" si="839"/>
        <v>-</v>
      </c>
      <c r="CN1019" s="834" t="str">
        <f t="shared" si="840"/>
        <v>-</v>
      </c>
      <c r="CO1019" s="830" t="str">
        <f t="shared" ca="1" si="841"/>
        <v>-</v>
      </c>
      <c r="CP1019" s="839"/>
      <c r="CQ1019" s="832"/>
      <c r="CR1019" s="833" t="str">
        <f t="shared" si="842"/>
        <v>-</v>
      </c>
      <c r="CS1019" s="833" t="str">
        <f t="shared" si="843"/>
        <v>-</v>
      </c>
      <c r="CT1019" s="834" t="str">
        <f t="shared" si="844"/>
        <v>-</v>
      </c>
      <c r="CU1019" s="835" t="str">
        <f t="shared" si="845"/>
        <v>-</v>
      </c>
      <c r="CV1019" s="839"/>
      <c r="CW1019" s="832"/>
      <c r="CX1019" s="833" t="str">
        <f t="shared" si="846"/>
        <v>-</v>
      </c>
      <c r="CY1019" s="840" t="str">
        <f t="shared" si="847"/>
        <v>-</v>
      </c>
      <c r="CZ1019" s="833" t="str">
        <f t="shared" si="848"/>
        <v>-</v>
      </c>
      <c r="DA1019" s="838" t="str">
        <f t="shared" ca="1" si="849"/>
        <v>-</v>
      </c>
      <c r="DB1019" s="841"/>
      <c r="DC1019" s="832"/>
    </row>
    <row r="1020" spans="1:107" x14ac:dyDescent="0.25">
      <c r="A1020" s="790">
        <v>1024</v>
      </c>
      <c r="B1020" s="791">
        <f t="shared" ca="1" si="798"/>
        <v>43134</v>
      </c>
      <c r="C1020" s="792" t="s">
        <v>2583</v>
      </c>
      <c r="D1020" s="793" t="s">
        <v>2582</v>
      </c>
      <c r="E1020" s="794" t="s">
        <v>1563</v>
      </c>
      <c r="F1020" s="795" t="s">
        <v>2467</v>
      </c>
      <c r="G1020" s="845"/>
      <c r="H1020" s="797" t="s">
        <v>603</v>
      </c>
      <c r="I1020" s="798">
        <v>42799</v>
      </c>
      <c r="J1020" s="799">
        <f t="shared" ca="1" si="799"/>
        <v>0.9178082191780822</v>
      </c>
      <c r="K1020" s="799">
        <f t="shared" ca="1" si="800"/>
        <v>11.166666666666666</v>
      </c>
      <c r="L1020" s="800">
        <f t="shared" ca="1" si="801"/>
        <v>335</v>
      </c>
      <c r="M1020" s="801"/>
      <c r="N1020" s="802"/>
      <c r="O1020" s="803" t="str">
        <f t="shared" ca="1" si="802"/>
        <v>-</v>
      </c>
      <c r="P1020" s="804"/>
      <c r="Q1020" s="805"/>
      <c r="R1020" s="806"/>
      <c r="S1020" s="807"/>
      <c r="T1020" s="798"/>
      <c r="U1020" s="798" t="str">
        <f t="shared" si="803"/>
        <v>-</v>
      </c>
      <c r="V1020" s="804" t="str">
        <f t="shared" ca="1" si="804"/>
        <v>-</v>
      </c>
      <c r="W1020" s="808">
        <v>0</v>
      </c>
      <c r="X1020" s="794" t="str">
        <f t="shared" si="850"/>
        <v>-</v>
      </c>
      <c r="Y1020" s="794">
        <v>0</v>
      </c>
      <c r="Z1020" s="809" t="str">
        <f t="shared" ca="1" si="805"/>
        <v>-----</v>
      </c>
      <c r="AA1020" s="810">
        <f t="shared" ca="1" si="806"/>
        <v>43134</v>
      </c>
      <c r="AB1020" s="804"/>
      <c r="AC1020" s="811" t="str">
        <f t="shared" ca="1" si="807"/>
        <v>-----</v>
      </c>
      <c r="AD1020" s="798"/>
      <c r="AE1020" s="794" t="str">
        <f t="shared" ca="1" si="808"/>
        <v>-</v>
      </c>
      <c r="AF1020" s="798" t="str">
        <f t="shared" si="809"/>
        <v>-</v>
      </c>
      <c r="AG1020" s="812" t="str">
        <f t="shared" si="810"/>
        <v>---------</v>
      </c>
      <c r="AH1020" s="807"/>
      <c r="AI1020" s="807" t="str">
        <f t="shared" si="811"/>
        <v>-</v>
      </c>
      <c r="AJ1020" s="807" t="str">
        <f t="shared" si="812"/>
        <v>-</v>
      </c>
      <c r="AK1020" s="813"/>
      <c r="AL1020" s="807" t="str">
        <f t="shared" si="813"/>
        <v>-</v>
      </c>
      <c r="AM1020" s="807" t="str">
        <f t="shared" si="814"/>
        <v>-</v>
      </c>
      <c r="AN1020" s="814" t="str">
        <f t="shared" ca="1" si="815"/>
        <v>-</v>
      </c>
      <c r="AO1020" s="815">
        <v>1</v>
      </c>
      <c r="AP1020" s="816" t="str">
        <f t="shared" ca="1" si="816"/>
        <v>-</v>
      </c>
      <c r="AQ1020" s="817"/>
      <c r="AR1020" s="794" t="str">
        <f t="shared" si="817"/>
        <v>-</v>
      </c>
      <c r="AS1020" s="818"/>
      <c r="AT1020" s="794" t="str">
        <f t="shared" si="818"/>
        <v>-</v>
      </c>
      <c r="AU1020" s="819"/>
      <c r="AV1020" s="820"/>
      <c r="AW1020" s="821"/>
      <c r="AX1020" s="821"/>
      <c r="AY1020" s="969" t="str">
        <f t="shared" si="819"/>
        <v>-</v>
      </c>
      <c r="AZ1020" s="966" t="str">
        <f t="shared" si="820"/>
        <v>-</v>
      </c>
      <c r="BA1020" s="971" t="str">
        <f t="shared" si="821"/>
        <v>-</v>
      </c>
      <c r="BB1020" s="975"/>
      <c r="BC1020" s="821"/>
      <c r="BD1020" s="821"/>
      <c r="BE1020" s="963" t="str">
        <f t="shared" si="822"/>
        <v>-</v>
      </c>
      <c r="BF1020" s="984"/>
      <c r="BG1020" s="988"/>
      <c r="BH1020" s="982"/>
      <c r="BI1020" s="991"/>
      <c r="BJ1020" s="991"/>
      <c r="BK1020" s="993" t="str">
        <f t="shared" si="823"/>
        <v>-</v>
      </c>
      <c r="BL1020" s="820">
        <v>42978</v>
      </c>
      <c r="BM1020" s="821">
        <v>5</v>
      </c>
      <c r="BN1020" s="822">
        <f t="shared" ca="1" si="824"/>
        <v>156</v>
      </c>
      <c r="BO1020" s="823">
        <f t="shared" si="825"/>
        <v>5.9666666666666668</v>
      </c>
      <c r="BP1020" s="824"/>
      <c r="BQ1020" s="821"/>
      <c r="BR1020" s="822" t="str">
        <f t="shared" si="826"/>
        <v>-</v>
      </c>
      <c r="BS1020" s="823" t="str">
        <f t="shared" si="827"/>
        <v>-</v>
      </c>
      <c r="BT1020" s="825" t="str">
        <f t="shared" ca="1" si="828"/>
        <v>-</v>
      </c>
      <c r="BU1020" s="826"/>
      <c r="BV1020" s="827"/>
      <c r="BW1020" s="828" t="str">
        <f t="shared" si="829"/>
        <v>Ж-Е НЕ ВАКЦ.</v>
      </c>
      <c r="BX1020" s="829" t="str">
        <f t="shared" si="830"/>
        <v>-</v>
      </c>
      <c r="BY1020" s="830" t="str">
        <f t="shared" ca="1" si="831"/>
        <v>-</v>
      </c>
      <c r="BZ1020" s="831">
        <v>42887</v>
      </c>
      <c r="CA1020" s="832">
        <v>5</v>
      </c>
      <c r="CB1020" s="833">
        <f t="shared" ca="1" si="832"/>
        <v>247</v>
      </c>
      <c r="CC1020" s="834" t="str">
        <f t="shared" ca="1" si="833"/>
        <v>-</v>
      </c>
      <c r="CD1020" s="835">
        <f t="shared" si="834"/>
        <v>42908</v>
      </c>
      <c r="CE1020" s="831">
        <v>42908</v>
      </c>
      <c r="CF1020" s="832">
        <v>5</v>
      </c>
      <c r="CG1020" s="833">
        <f t="shared" ca="1" si="835"/>
        <v>226</v>
      </c>
      <c r="CH1020" s="836">
        <f t="shared" si="836"/>
        <v>0</v>
      </c>
      <c r="CI1020" s="837" t="str">
        <f t="shared" si="837"/>
        <v>УСПЕШНО</v>
      </c>
      <c r="CJ1020" s="838" t="str">
        <f t="shared" ca="1" si="838"/>
        <v>-</v>
      </c>
      <c r="CK1020" s="831"/>
      <c r="CL1020" s="832"/>
      <c r="CM1020" s="833" t="str">
        <f t="shared" si="839"/>
        <v>-</v>
      </c>
      <c r="CN1020" s="834" t="str">
        <f t="shared" si="840"/>
        <v>-</v>
      </c>
      <c r="CO1020" s="830" t="str">
        <f t="shared" ca="1" si="841"/>
        <v>-</v>
      </c>
      <c r="CP1020" s="839"/>
      <c r="CQ1020" s="832"/>
      <c r="CR1020" s="833" t="str">
        <f t="shared" si="842"/>
        <v>-</v>
      </c>
      <c r="CS1020" s="833" t="str">
        <f t="shared" si="843"/>
        <v>-</v>
      </c>
      <c r="CT1020" s="834" t="str">
        <f t="shared" si="844"/>
        <v>-</v>
      </c>
      <c r="CU1020" s="835" t="str">
        <f t="shared" si="845"/>
        <v>-</v>
      </c>
      <c r="CV1020" s="839"/>
      <c r="CW1020" s="832"/>
      <c r="CX1020" s="833" t="str">
        <f t="shared" si="846"/>
        <v>-</v>
      </c>
      <c r="CY1020" s="840" t="str">
        <f t="shared" si="847"/>
        <v>-</v>
      </c>
      <c r="CZ1020" s="833" t="str">
        <f t="shared" si="848"/>
        <v>-</v>
      </c>
      <c r="DA1020" s="838" t="str">
        <f t="shared" ca="1" si="849"/>
        <v>-</v>
      </c>
      <c r="DB1020" s="841"/>
      <c r="DC1020" s="832"/>
    </row>
    <row r="1021" spans="1:107" x14ac:dyDescent="0.25">
      <c r="A1021" s="790">
        <v>1025</v>
      </c>
      <c r="B1021" s="791">
        <f t="shared" ca="1" si="798"/>
        <v>43134</v>
      </c>
      <c r="C1021" s="792" t="s">
        <v>2583</v>
      </c>
      <c r="D1021" s="793" t="s">
        <v>2582</v>
      </c>
      <c r="E1021" s="794" t="s">
        <v>1563</v>
      </c>
      <c r="F1021" s="795" t="s">
        <v>2472</v>
      </c>
      <c r="G1021" s="845"/>
      <c r="H1021" s="797" t="s">
        <v>603</v>
      </c>
      <c r="I1021" s="798">
        <v>42801</v>
      </c>
      <c r="J1021" s="799">
        <f t="shared" ca="1" si="799"/>
        <v>0.9123287671232877</v>
      </c>
      <c r="K1021" s="799">
        <f t="shared" ca="1" si="800"/>
        <v>11.1</v>
      </c>
      <c r="L1021" s="800">
        <f t="shared" ca="1" si="801"/>
        <v>333</v>
      </c>
      <c r="M1021" s="801"/>
      <c r="N1021" s="802"/>
      <c r="O1021" s="803" t="str">
        <f t="shared" ca="1" si="802"/>
        <v>-</v>
      </c>
      <c r="P1021" s="804"/>
      <c r="Q1021" s="805"/>
      <c r="R1021" s="806"/>
      <c r="S1021" s="807"/>
      <c r="T1021" s="798"/>
      <c r="U1021" s="798" t="str">
        <f t="shared" si="803"/>
        <v>-</v>
      </c>
      <c r="V1021" s="804" t="str">
        <f t="shared" ca="1" si="804"/>
        <v>-</v>
      </c>
      <c r="W1021" s="808">
        <v>0</v>
      </c>
      <c r="X1021" s="794" t="str">
        <f t="shared" si="850"/>
        <v>-</v>
      </c>
      <c r="Y1021" s="794">
        <v>0</v>
      </c>
      <c r="Z1021" s="809" t="str">
        <f t="shared" ca="1" si="805"/>
        <v>-----</v>
      </c>
      <c r="AA1021" s="810">
        <f t="shared" ca="1" si="806"/>
        <v>43134</v>
      </c>
      <c r="AB1021" s="804"/>
      <c r="AC1021" s="811" t="str">
        <f t="shared" ca="1" si="807"/>
        <v>-----</v>
      </c>
      <c r="AD1021" s="798"/>
      <c r="AE1021" s="794" t="str">
        <f t="shared" ca="1" si="808"/>
        <v>-</v>
      </c>
      <c r="AF1021" s="798" t="str">
        <f t="shared" si="809"/>
        <v>-</v>
      </c>
      <c r="AG1021" s="812" t="str">
        <f t="shared" si="810"/>
        <v>---------</v>
      </c>
      <c r="AH1021" s="807"/>
      <c r="AI1021" s="807" t="str">
        <f t="shared" si="811"/>
        <v>-</v>
      </c>
      <c r="AJ1021" s="807" t="str">
        <f t="shared" si="812"/>
        <v>-</v>
      </c>
      <c r="AK1021" s="813"/>
      <c r="AL1021" s="807" t="str">
        <f t="shared" si="813"/>
        <v>-</v>
      </c>
      <c r="AM1021" s="807" t="str">
        <f t="shared" si="814"/>
        <v>-</v>
      </c>
      <c r="AN1021" s="814" t="str">
        <f t="shared" ca="1" si="815"/>
        <v>-</v>
      </c>
      <c r="AO1021" s="815">
        <v>1</v>
      </c>
      <c r="AP1021" s="816" t="str">
        <f t="shared" ca="1" si="816"/>
        <v>-</v>
      </c>
      <c r="AQ1021" s="817"/>
      <c r="AR1021" s="794" t="str">
        <f t="shared" si="817"/>
        <v>-</v>
      </c>
      <c r="AS1021" s="818"/>
      <c r="AT1021" s="794" t="str">
        <f t="shared" si="818"/>
        <v>-</v>
      </c>
      <c r="AU1021" s="819"/>
      <c r="AV1021" s="820"/>
      <c r="AW1021" s="821"/>
      <c r="AX1021" s="821"/>
      <c r="AY1021" s="969" t="str">
        <f t="shared" si="819"/>
        <v>-</v>
      </c>
      <c r="AZ1021" s="966" t="str">
        <f t="shared" si="820"/>
        <v>-</v>
      </c>
      <c r="BA1021" s="971" t="str">
        <f t="shared" si="821"/>
        <v>-</v>
      </c>
      <c r="BB1021" s="975"/>
      <c r="BC1021" s="821"/>
      <c r="BD1021" s="821"/>
      <c r="BE1021" s="963" t="str">
        <f t="shared" si="822"/>
        <v>-</v>
      </c>
      <c r="BF1021" s="984"/>
      <c r="BG1021" s="988"/>
      <c r="BH1021" s="982"/>
      <c r="BI1021" s="991"/>
      <c r="BJ1021" s="991"/>
      <c r="BK1021" s="993" t="str">
        <f t="shared" si="823"/>
        <v>-</v>
      </c>
      <c r="BL1021" s="820">
        <v>42978</v>
      </c>
      <c r="BM1021" s="821">
        <v>5</v>
      </c>
      <c r="BN1021" s="822">
        <f t="shared" ca="1" si="824"/>
        <v>156</v>
      </c>
      <c r="BO1021" s="823">
        <f t="shared" si="825"/>
        <v>5.9</v>
      </c>
      <c r="BP1021" s="824"/>
      <c r="BQ1021" s="821"/>
      <c r="BR1021" s="822" t="str">
        <f t="shared" si="826"/>
        <v>-</v>
      </c>
      <c r="BS1021" s="823" t="str">
        <f t="shared" si="827"/>
        <v>-</v>
      </c>
      <c r="BT1021" s="825" t="str">
        <f t="shared" ca="1" si="828"/>
        <v>-</v>
      </c>
      <c r="BU1021" s="826"/>
      <c r="BV1021" s="827"/>
      <c r="BW1021" s="828" t="str">
        <f t="shared" si="829"/>
        <v>Ж-Е НЕ ВАКЦ.</v>
      </c>
      <c r="BX1021" s="829" t="str">
        <f t="shared" si="830"/>
        <v>-</v>
      </c>
      <c r="BY1021" s="830" t="str">
        <f t="shared" ca="1" si="831"/>
        <v>-</v>
      </c>
      <c r="BZ1021" s="831">
        <v>42887</v>
      </c>
      <c r="CA1021" s="832">
        <v>5</v>
      </c>
      <c r="CB1021" s="833">
        <f t="shared" ca="1" si="832"/>
        <v>247</v>
      </c>
      <c r="CC1021" s="834" t="str">
        <f t="shared" ca="1" si="833"/>
        <v>-</v>
      </c>
      <c r="CD1021" s="835">
        <f t="shared" si="834"/>
        <v>42908</v>
      </c>
      <c r="CE1021" s="831">
        <v>42908</v>
      </c>
      <c r="CF1021" s="832">
        <v>5</v>
      </c>
      <c r="CG1021" s="833">
        <f t="shared" ca="1" si="835"/>
        <v>226</v>
      </c>
      <c r="CH1021" s="836">
        <f t="shared" si="836"/>
        <v>0</v>
      </c>
      <c r="CI1021" s="837" t="str">
        <f t="shared" si="837"/>
        <v>УСПЕШНО</v>
      </c>
      <c r="CJ1021" s="838" t="str">
        <f t="shared" ca="1" si="838"/>
        <v>-</v>
      </c>
      <c r="CK1021" s="831"/>
      <c r="CL1021" s="832"/>
      <c r="CM1021" s="833" t="str">
        <f t="shared" si="839"/>
        <v>-</v>
      </c>
      <c r="CN1021" s="834" t="str">
        <f t="shared" si="840"/>
        <v>-</v>
      </c>
      <c r="CO1021" s="830" t="str">
        <f t="shared" ca="1" si="841"/>
        <v>-</v>
      </c>
      <c r="CP1021" s="839"/>
      <c r="CQ1021" s="832"/>
      <c r="CR1021" s="833" t="str">
        <f t="shared" si="842"/>
        <v>-</v>
      </c>
      <c r="CS1021" s="833" t="str">
        <f t="shared" si="843"/>
        <v>-</v>
      </c>
      <c r="CT1021" s="834" t="str">
        <f t="shared" si="844"/>
        <v>-</v>
      </c>
      <c r="CU1021" s="835" t="str">
        <f t="shared" si="845"/>
        <v>-</v>
      </c>
      <c r="CV1021" s="839"/>
      <c r="CW1021" s="832"/>
      <c r="CX1021" s="833" t="str">
        <f t="shared" si="846"/>
        <v>-</v>
      </c>
      <c r="CY1021" s="840" t="str">
        <f t="shared" si="847"/>
        <v>-</v>
      </c>
      <c r="CZ1021" s="833" t="str">
        <f t="shared" si="848"/>
        <v>-</v>
      </c>
      <c r="DA1021" s="838" t="str">
        <f t="shared" ca="1" si="849"/>
        <v>-</v>
      </c>
      <c r="DB1021" s="841"/>
      <c r="DC1021" s="832"/>
    </row>
    <row r="1022" spans="1:107" x14ac:dyDescent="0.25">
      <c r="A1022" s="790">
        <v>1026</v>
      </c>
      <c r="B1022" s="791">
        <f t="shared" ca="1" si="798"/>
        <v>43134</v>
      </c>
      <c r="C1022" s="29" t="s">
        <v>2583</v>
      </c>
      <c r="D1022" s="59" t="s">
        <v>2582</v>
      </c>
      <c r="E1022" s="794" t="s">
        <v>1563</v>
      </c>
      <c r="F1022" s="795" t="s">
        <v>2475</v>
      </c>
      <c r="G1022" s="845"/>
      <c r="H1022" s="797" t="s">
        <v>603</v>
      </c>
      <c r="I1022" s="798">
        <v>42803</v>
      </c>
      <c r="J1022" s="799">
        <f t="shared" ca="1" si="799"/>
        <v>0.9068493150684932</v>
      </c>
      <c r="K1022" s="799">
        <f t="shared" ca="1" si="800"/>
        <v>11.033333333333333</v>
      </c>
      <c r="L1022" s="800">
        <f t="shared" ca="1" si="801"/>
        <v>331</v>
      </c>
      <c r="M1022" s="801"/>
      <c r="N1022" s="802"/>
      <c r="O1022" s="803" t="str">
        <f t="shared" ca="1" si="802"/>
        <v>-</v>
      </c>
      <c r="P1022" s="804"/>
      <c r="Q1022" s="805"/>
      <c r="R1022" s="806"/>
      <c r="S1022" s="807"/>
      <c r="T1022" s="798"/>
      <c r="U1022" s="798" t="str">
        <f t="shared" si="803"/>
        <v>-</v>
      </c>
      <c r="V1022" s="804" t="str">
        <f t="shared" ca="1" si="804"/>
        <v>-</v>
      </c>
      <c r="W1022" s="808">
        <v>0</v>
      </c>
      <c r="X1022" s="794" t="str">
        <f t="shared" si="850"/>
        <v>-</v>
      </c>
      <c r="Y1022" s="794">
        <v>0</v>
      </c>
      <c r="Z1022" s="809" t="str">
        <f t="shared" ca="1" si="805"/>
        <v>-----</v>
      </c>
      <c r="AA1022" s="810">
        <f t="shared" ca="1" si="806"/>
        <v>43134</v>
      </c>
      <c r="AB1022" s="804"/>
      <c r="AC1022" s="811" t="str">
        <f t="shared" ca="1" si="807"/>
        <v>-----</v>
      </c>
      <c r="AD1022" s="798"/>
      <c r="AE1022" s="794" t="str">
        <f t="shared" ca="1" si="808"/>
        <v>-</v>
      </c>
      <c r="AF1022" s="798" t="str">
        <f t="shared" si="809"/>
        <v>-</v>
      </c>
      <c r="AG1022" s="812" t="str">
        <f t="shared" si="810"/>
        <v>---------</v>
      </c>
      <c r="AH1022" s="807"/>
      <c r="AI1022" s="807" t="str">
        <f t="shared" si="811"/>
        <v>-</v>
      </c>
      <c r="AJ1022" s="807" t="str">
        <f t="shared" si="812"/>
        <v>-</v>
      </c>
      <c r="AK1022" s="813"/>
      <c r="AL1022" s="807" t="str">
        <f t="shared" si="813"/>
        <v>-</v>
      </c>
      <c r="AM1022" s="807" t="str">
        <f t="shared" si="814"/>
        <v>-</v>
      </c>
      <c r="AN1022" s="814" t="str">
        <f t="shared" ca="1" si="815"/>
        <v>-</v>
      </c>
      <c r="AO1022" s="815">
        <v>1</v>
      </c>
      <c r="AP1022" s="816" t="str">
        <f t="shared" ca="1" si="816"/>
        <v>-</v>
      </c>
      <c r="AQ1022" s="817"/>
      <c r="AR1022" s="794" t="str">
        <f t="shared" si="817"/>
        <v>-</v>
      </c>
      <c r="AS1022" s="818"/>
      <c r="AT1022" s="794" t="str">
        <f t="shared" si="818"/>
        <v>-</v>
      </c>
      <c r="AU1022" s="819"/>
      <c r="AV1022" s="820"/>
      <c r="AW1022" s="821"/>
      <c r="AX1022" s="821"/>
      <c r="AY1022" s="969" t="str">
        <f t="shared" si="819"/>
        <v>-</v>
      </c>
      <c r="AZ1022" s="966" t="str">
        <f t="shared" si="820"/>
        <v>-</v>
      </c>
      <c r="BA1022" s="971" t="str">
        <f t="shared" si="821"/>
        <v>-</v>
      </c>
      <c r="BB1022" s="975"/>
      <c r="BC1022" s="821"/>
      <c r="BD1022" s="821"/>
      <c r="BE1022" s="963" t="str">
        <f t="shared" si="822"/>
        <v>-</v>
      </c>
      <c r="BF1022" s="984"/>
      <c r="BG1022" s="988"/>
      <c r="BH1022" s="982"/>
      <c r="BI1022" s="991"/>
      <c r="BJ1022" s="991"/>
      <c r="BK1022" s="993" t="str">
        <f t="shared" si="823"/>
        <v>-</v>
      </c>
      <c r="BL1022" s="820">
        <v>42978</v>
      </c>
      <c r="BM1022" s="821">
        <v>5</v>
      </c>
      <c r="BN1022" s="822">
        <f t="shared" ca="1" si="824"/>
        <v>156</v>
      </c>
      <c r="BO1022" s="823">
        <f t="shared" si="825"/>
        <v>5.833333333333333</v>
      </c>
      <c r="BP1022" s="824"/>
      <c r="BQ1022" s="821"/>
      <c r="BR1022" s="822" t="str">
        <f t="shared" si="826"/>
        <v>-</v>
      </c>
      <c r="BS1022" s="823" t="str">
        <f t="shared" si="827"/>
        <v>-</v>
      </c>
      <c r="BT1022" s="825" t="str">
        <f t="shared" ca="1" si="828"/>
        <v>-</v>
      </c>
      <c r="BU1022" s="826"/>
      <c r="BV1022" s="827"/>
      <c r="BW1022" s="828" t="str">
        <f t="shared" si="829"/>
        <v>Ж-Е НЕ ВАКЦ.</v>
      </c>
      <c r="BX1022" s="829" t="str">
        <f t="shared" si="830"/>
        <v>-</v>
      </c>
      <c r="BY1022" s="830" t="str">
        <f t="shared" ca="1" si="831"/>
        <v>-</v>
      </c>
      <c r="BZ1022" s="831">
        <v>42887</v>
      </c>
      <c r="CA1022" s="832">
        <v>5</v>
      </c>
      <c r="CB1022" s="833">
        <f t="shared" ca="1" si="832"/>
        <v>247</v>
      </c>
      <c r="CC1022" s="834" t="str">
        <f t="shared" ca="1" si="833"/>
        <v>-</v>
      </c>
      <c r="CD1022" s="835">
        <f t="shared" si="834"/>
        <v>42908</v>
      </c>
      <c r="CE1022" s="831">
        <v>42908</v>
      </c>
      <c r="CF1022" s="832">
        <v>5</v>
      </c>
      <c r="CG1022" s="833">
        <f t="shared" ca="1" si="835"/>
        <v>226</v>
      </c>
      <c r="CH1022" s="836">
        <f t="shared" si="836"/>
        <v>0</v>
      </c>
      <c r="CI1022" s="837" t="str">
        <f t="shared" si="837"/>
        <v>УСПЕШНО</v>
      </c>
      <c r="CJ1022" s="838" t="str">
        <f t="shared" ca="1" si="838"/>
        <v>-</v>
      </c>
      <c r="CK1022" s="831"/>
      <c r="CL1022" s="832"/>
      <c r="CM1022" s="833" t="str">
        <f t="shared" si="839"/>
        <v>-</v>
      </c>
      <c r="CN1022" s="834" t="str">
        <f t="shared" si="840"/>
        <v>-</v>
      </c>
      <c r="CO1022" s="830" t="str">
        <f t="shared" ca="1" si="841"/>
        <v>-</v>
      </c>
      <c r="CP1022" s="839"/>
      <c r="CQ1022" s="832"/>
      <c r="CR1022" s="833" t="str">
        <f t="shared" si="842"/>
        <v>-</v>
      </c>
      <c r="CS1022" s="833" t="str">
        <f t="shared" si="843"/>
        <v>-</v>
      </c>
      <c r="CT1022" s="834" t="str">
        <f t="shared" si="844"/>
        <v>-</v>
      </c>
      <c r="CU1022" s="835" t="str">
        <f t="shared" si="845"/>
        <v>-</v>
      </c>
      <c r="CV1022" s="839"/>
      <c r="CW1022" s="832"/>
      <c r="CX1022" s="833" t="str">
        <f t="shared" si="846"/>
        <v>-</v>
      </c>
      <c r="CY1022" s="840" t="str">
        <f t="shared" si="847"/>
        <v>-</v>
      </c>
      <c r="CZ1022" s="833" t="str">
        <f t="shared" si="848"/>
        <v>-</v>
      </c>
      <c r="DA1022" s="838" t="str">
        <f t="shared" ca="1" si="849"/>
        <v>-</v>
      </c>
      <c r="DB1022" s="841"/>
      <c r="DC1022" s="832"/>
    </row>
    <row r="1023" spans="1:107" x14ac:dyDescent="0.25">
      <c r="A1023" s="790">
        <v>1027</v>
      </c>
      <c r="B1023" s="791">
        <f t="shared" ca="1" si="798"/>
        <v>43134</v>
      </c>
      <c r="C1023" s="792" t="s">
        <v>2583</v>
      </c>
      <c r="D1023" s="793" t="s">
        <v>2582</v>
      </c>
      <c r="E1023" s="794" t="s">
        <v>1563</v>
      </c>
      <c r="F1023" s="795" t="s">
        <v>2477</v>
      </c>
      <c r="G1023" s="845"/>
      <c r="H1023" s="797" t="s">
        <v>603</v>
      </c>
      <c r="I1023" s="798">
        <v>42803</v>
      </c>
      <c r="J1023" s="799">
        <f t="shared" ca="1" si="799"/>
        <v>0.9068493150684932</v>
      </c>
      <c r="K1023" s="799">
        <f t="shared" ca="1" si="800"/>
        <v>11.033333333333333</v>
      </c>
      <c r="L1023" s="800">
        <f t="shared" ca="1" si="801"/>
        <v>331</v>
      </c>
      <c r="M1023" s="801"/>
      <c r="N1023" s="802"/>
      <c r="O1023" s="803" t="str">
        <f t="shared" ca="1" si="802"/>
        <v>-</v>
      </c>
      <c r="P1023" s="804"/>
      <c r="Q1023" s="805"/>
      <c r="R1023" s="806"/>
      <c r="S1023" s="807"/>
      <c r="T1023" s="798"/>
      <c r="U1023" s="798" t="str">
        <f t="shared" si="803"/>
        <v>-</v>
      </c>
      <c r="V1023" s="804" t="str">
        <f t="shared" ca="1" si="804"/>
        <v>-</v>
      </c>
      <c r="W1023" s="808">
        <v>0</v>
      </c>
      <c r="X1023" s="794" t="str">
        <f t="shared" si="850"/>
        <v>-</v>
      </c>
      <c r="Y1023" s="794">
        <v>0</v>
      </c>
      <c r="Z1023" s="809" t="str">
        <f t="shared" ca="1" si="805"/>
        <v>-----</v>
      </c>
      <c r="AA1023" s="810">
        <f t="shared" ca="1" si="806"/>
        <v>43134</v>
      </c>
      <c r="AB1023" s="804"/>
      <c r="AC1023" s="811" t="str">
        <f t="shared" ca="1" si="807"/>
        <v>-----</v>
      </c>
      <c r="AD1023" s="798"/>
      <c r="AE1023" s="794" t="str">
        <f t="shared" ca="1" si="808"/>
        <v>-</v>
      </c>
      <c r="AF1023" s="798" t="str">
        <f t="shared" si="809"/>
        <v>-</v>
      </c>
      <c r="AG1023" s="812" t="str">
        <f t="shared" si="810"/>
        <v>---------</v>
      </c>
      <c r="AH1023" s="807"/>
      <c r="AI1023" s="807" t="str">
        <f t="shared" si="811"/>
        <v>-</v>
      </c>
      <c r="AJ1023" s="807" t="str">
        <f t="shared" si="812"/>
        <v>-</v>
      </c>
      <c r="AK1023" s="813"/>
      <c r="AL1023" s="807" t="str">
        <f t="shared" si="813"/>
        <v>-</v>
      </c>
      <c r="AM1023" s="807" t="str">
        <f t="shared" si="814"/>
        <v>-</v>
      </c>
      <c r="AN1023" s="814" t="str">
        <f t="shared" ca="1" si="815"/>
        <v>-</v>
      </c>
      <c r="AO1023" s="815">
        <v>1</v>
      </c>
      <c r="AP1023" s="816" t="str">
        <f t="shared" ca="1" si="816"/>
        <v>-</v>
      </c>
      <c r="AQ1023" s="817"/>
      <c r="AR1023" s="794" t="str">
        <f t="shared" si="817"/>
        <v>-</v>
      </c>
      <c r="AS1023" s="818"/>
      <c r="AT1023" s="794" t="str">
        <f t="shared" si="818"/>
        <v>-</v>
      </c>
      <c r="AU1023" s="819"/>
      <c r="AV1023" s="820"/>
      <c r="AW1023" s="821"/>
      <c r="AX1023" s="821"/>
      <c r="AY1023" s="969" t="str">
        <f t="shared" si="819"/>
        <v>-</v>
      </c>
      <c r="AZ1023" s="966" t="str">
        <f t="shared" si="820"/>
        <v>-</v>
      </c>
      <c r="BA1023" s="971" t="str">
        <f t="shared" si="821"/>
        <v>-</v>
      </c>
      <c r="BB1023" s="975"/>
      <c r="BC1023" s="821"/>
      <c r="BD1023" s="821"/>
      <c r="BE1023" s="963" t="str">
        <f t="shared" si="822"/>
        <v>-</v>
      </c>
      <c r="BF1023" s="984"/>
      <c r="BG1023" s="988"/>
      <c r="BH1023" s="982"/>
      <c r="BI1023" s="991"/>
      <c r="BJ1023" s="991"/>
      <c r="BK1023" s="993" t="str">
        <f t="shared" si="823"/>
        <v>-</v>
      </c>
      <c r="BL1023" s="820">
        <v>42977</v>
      </c>
      <c r="BM1023" s="821">
        <v>5</v>
      </c>
      <c r="BN1023" s="822">
        <f t="shared" ca="1" si="824"/>
        <v>157</v>
      </c>
      <c r="BO1023" s="823">
        <f t="shared" si="825"/>
        <v>5.8</v>
      </c>
      <c r="BP1023" s="824"/>
      <c r="BQ1023" s="821"/>
      <c r="BR1023" s="822" t="str">
        <f t="shared" si="826"/>
        <v>-</v>
      </c>
      <c r="BS1023" s="823" t="str">
        <f t="shared" si="827"/>
        <v>-</v>
      </c>
      <c r="BT1023" s="825" t="str">
        <f t="shared" ca="1" si="828"/>
        <v>-</v>
      </c>
      <c r="BU1023" s="826"/>
      <c r="BV1023" s="827"/>
      <c r="BW1023" s="828" t="str">
        <f t="shared" si="829"/>
        <v>Ж-Е НЕ ВАКЦ.</v>
      </c>
      <c r="BX1023" s="829" t="str">
        <f t="shared" si="830"/>
        <v>-</v>
      </c>
      <c r="BY1023" s="830" t="str">
        <f t="shared" ca="1" si="831"/>
        <v>-</v>
      </c>
      <c r="BZ1023" s="831">
        <v>42887</v>
      </c>
      <c r="CA1023" s="832">
        <v>5</v>
      </c>
      <c r="CB1023" s="833">
        <f t="shared" ca="1" si="832"/>
        <v>247</v>
      </c>
      <c r="CC1023" s="834" t="str">
        <f t="shared" ca="1" si="833"/>
        <v>-</v>
      </c>
      <c r="CD1023" s="835">
        <f t="shared" si="834"/>
        <v>42908</v>
      </c>
      <c r="CE1023" s="831">
        <v>42908</v>
      </c>
      <c r="CF1023" s="832">
        <v>5</v>
      </c>
      <c r="CG1023" s="833">
        <f t="shared" ca="1" si="835"/>
        <v>226</v>
      </c>
      <c r="CH1023" s="836">
        <f t="shared" si="836"/>
        <v>0</v>
      </c>
      <c r="CI1023" s="837" t="str">
        <f t="shared" si="837"/>
        <v>УСПЕШНО</v>
      </c>
      <c r="CJ1023" s="838" t="str">
        <f t="shared" ca="1" si="838"/>
        <v>-</v>
      </c>
      <c r="CK1023" s="831"/>
      <c r="CL1023" s="832"/>
      <c r="CM1023" s="833" t="str">
        <f t="shared" si="839"/>
        <v>-</v>
      </c>
      <c r="CN1023" s="834" t="str">
        <f t="shared" si="840"/>
        <v>-</v>
      </c>
      <c r="CO1023" s="830" t="str">
        <f t="shared" ca="1" si="841"/>
        <v>-</v>
      </c>
      <c r="CP1023" s="839"/>
      <c r="CQ1023" s="832"/>
      <c r="CR1023" s="833" t="str">
        <f t="shared" si="842"/>
        <v>-</v>
      </c>
      <c r="CS1023" s="833" t="str">
        <f t="shared" si="843"/>
        <v>-</v>
      </c>
      <c r="CT1023" s="834" t="str">
        <f t="shared" si="844"/>
        <v>-</v>
      </c>
      <c r="CU1023" s="835" t="str">
        <f t="shared" si="845"/>
        <v>-</v>
      </c>
      <c r="CV1023" s="839"/>
      <c r="CW1023" s="832"/>
      <c r="CX1023" s="833" t="str">
        <f t="shared" si="846"/>
        <v>-</v>
      </c>
      <c r="CY1023" s="840" t="str">
        <f t="shared" si="847"/>
        <v>-</v>
      </c>
      <c r="CZ1023" s="833" t="str">
        <f t="shared" si="848"/>
        <v>-</v>
      </c>
      <c r="DA1023" s="838" t="str">
        <f t="shared" ca="1" si="849"/>
        <v>-</v>
      </c>
      <c r="DB1023" s="841"/>
      <c r="DC1023" s="832"/>
    </row>
    <row r="1024" spans="1:107" x14ac:dyDescent="0.25">
      <c r="A1024" s="790">
        <v>1028</v>
      </c>
      <c r="B1024" s="791">
        <f t="shared" ca="1" si="798"/>
        <v>43134</v>
      </c>
      <c r="C1024" s="29" t="s">
        <v>2583</v>
      </c>
      <c r="D1024" s="59" t="s">
        <v>2582</v>
      </c>
      <c r="E1024" s="794" t="s">
        <v>1563</v>
      </c>
      <c r="F1024" s="795" t="s">
        <v>2492</v>
      </c>
      <c r="G1024" s="845"/>
      <c r="H1024" s="797" t="s">
        <v>603</v>
      </c>
      <c r="I1024" s="798">
        <v>42806</v>
      </c>
      <c r="J1024" s="799">
        <f t="shared" ca="1" si="799"/>
        <v>0.89863013698630134</v>
      </c>
      <c r="K1024" s="799">
        <f t="shared" ca="1" si="800"/>
        <v>10.933333333333334</v>
      </c>
      <c r="L1024" s="800">
        <f t="shared" ca="1" si="801"/>
        <v>328</v>
      </c>
      <c r="M1024" s="801"/>
      <c r="N1024" s="802"/>
      <c r="O1024" s="803" t="str">
        <f t="shared" ca="1" si="802"/>
        <v>-</v>
      </c>
      <c r="P1024" s="804"/>
      <c r="Q1024" s="805"/>
      <c r="R1024" s="806"/>
      <c r="S1024" s="807"/>
      <c r="T1024" s="798"/>
      <c r="U1024" s="798" t="str">
        <f t="shared" si="803"/>
        <v>-</v>
      </c>
      <c r="V1024" s="804" t="str">
        <f t="shared" ca="1" si="804"/>
        <v>-</v>
      </c>
      <c r="W1024" s="808">
        <v>0</v>
      </c>
      <c r="X1024" s="794" t="str">
        <f t="shared" si="850"/>
        <v>-</v>
      </c>
      <c r="Y1024" s="794">
        <v>0</v>
      </c>
      <c r="Z1024" s="809" t="str">
        <f t="shared" ca="1" si="805"/>
        <v>-----</v>
      </c>
      <c r="AA1024" s="810">
        <f t="shared" ca="1" si="806"/>
        <v>43134</v>
      </c>
      <c r="AB1024" s="804"/>
      <c r="AC1024" s="811" t="str">
        <f t="shared" ca="1" si="807"/>
        <v>-----</v>
      </c>
      <c r="AD1024" s="798"/>
      <c r="AE1024" s="794" t="str">
        <f t="shared" ca="1" si="808"/>
        <v>-</v>
      </c>
      <c r="AF1024" s="798" t="str">
        <f t="shared" si="809"/>
        <v>-</v>
      </c>
      <c r="AG1024" s="812" t="str">
        <f t="shared" si="810"/>
        <v>---------</v>
      </c>
      <c r="AH1024" s="807"/>
      <c r="AI1024" s="807" t="str">
        <f t="shared" si="811"/>
        <v>-</v>
      </c>
      <c r="AJ1024" s="807" t="str">
        <f t="shared" si="812"/>
        <v>-</v>
      </c>
      <c r="AK1024" s="813"/>
      <c r="AL1024" s="807" t="str">
        <f t="shared" si="813"/>
        <v>-</v>
      </c>
      <c r="AM1024" s="807" t="str">
        <f t="shared" si="814"/>
        <v>-</v>
      </c>
      <c r="AN1024" s="814" t="str">
        <f t="shared" ca="1" si="815"/>
        <v>-</v>
      </c>
      <c r="AO1024" s="815">
        <v>1</v>
      </c>
      <c r="AP1024" s="816" t="str">
        <f t="shared" ca="1" si="816"/>
        <v>-</v>
      </c>
      <c r="AQ1024" s="817"/>
      <c r="AR1024" s="794" t="str">
        <f t="shared" si="817"/>
        <v>-</v>
      </c>
      <c r="AS1024" s="818"/>
      <c r="AT1024" s="794" t="str">
        <f t="shared" si="818"/>
        <v>-</v>
      </c>
      <c r="AU1024" s="819"/>
      <c r="AV1024" s="820"/>
      <c r="AW1024" s="821"/>
      <c r="AX1024" s="821"/>
      <c r="AY1024" s="969" t="str">
        <f t="shared" si="819"/>
        <v>-</v>
      </c>
      <c r="AZ1024" s="966" t="str">
        <f t="shared" si="820"/>
        <v>-</v>
      </c>
      <c r="BA1024" s="971" t="str">
        <f t="shared" si="821"/>
        <v>-</v>
      </c>
      <c r="BB1024" s="975"/>
      <c r="BC1024" s="821"/>
      <c r="BD1024" s="821"/>
      <c r="BE1024" s="963" t="str">
        <f t="shared" si="822"/>
        <v>-</v>
      </c>
      <c r="BF1024" s="984"/>
      <c r="BG1024" s="988"/>
      <c r="BH1024" s="982"/>
      <c r="BI1024" s="991"/>
      <c r="BJ1024" s="991"/>
      <c r="BK1024" s="993" t="str">
        <f t="shared" si="823"/>
        <v>-</v>
      </c>
      <c r="BL1024" s="820">
        <v>42978</v>
      </c>
      <c r="BM1024" s="821">
        <v>5</v>
      </c>
      <c r="BN1024" s="822">
        <f t="shared" ca="1" si="824"/>
        <v>156</v>
      </c>
      <c r="BO1024" s="823">
        <f t="shared" si="825"/>
        <v>5.7333333333333334</v>
      </c>
      <c r="BP1024" s="824"/>
      <c r="BQ1024" s="821"/>
      <c r="BR1024" s="822" t="str">
        <f t="shared" si="826"/>
        <v>-</v>
      </c>
      <c r="BS1024" s="823" t="str">
        <f t="shared" si="827"/>
        <v>-</v>
      </c>
      <c r="BT1024" s="825" t="str">
        <f t="shared" ca="1" si="828"/>
        <v>-</v>
      </c>
      <c r="BU1024" s="826"/>
      <c r="BV1024" s="827"/>
      <c r="BW1024" s="828" t="str">
        <f t="shared" si="829"/>
        <v>Ж-Е НЕ ВАКЦ.</v>
      </c>
      <c r="BX1024" s="829" t="str">
        <f t="shared" si="830"/>
        <v>-</v>
      </c>
      <c r="BY1024" s="830" t="str">
        <f t="shared" ca="1" si="831"/>
        <v>-</v>
      </c>
      <c r="BZ1024" s="831">
        <v>42887</v>
      </c>
      <c r="CA1024" s="832">
        <v>5</v>
      </c>
      <c r="CB1024" s="833">
        <f t="shared" ca="1" si="832"/>
        <v>247</v>
      </c>
      <c r="CC1024" s="834" t="str">
        <f t="shared" ca="1" si="833"/>
        <v>-</v>
      </c>
      <c r="CD1024" s="835">
        <f t="shared" si="834"/>
        <v>42908</v>
      </c>
      <c r="CE1024" s="831">
        <v>42908</v>
      </c>
      <c r="CF1024" s="832">
        <v>5</v>
      </c>
      <c r="CG1024" s="833">
        <f t="shared" ca="1" si="835"/>
        <v>226</v>
      </c>
      <c r="CH1024" s="836">
        <f t="shared" si="836"/>
        <v>0</v>
      </c>
      <c r="CI1024" s="837" t="str">
        <f t="shared" si="837"/>
        <v>УСПЕШНО</v>
      </c>
      <c r="CJ1024" s="838" t="str">
        <f t="shared" ca="1" si="838"/>
        <v>-</v>
      </c>
      <c r="CK1024" s="831"/>
      <c r="CL1024" s="832"/>
      <c r="CM1024" s="833" t="str">
        <f t="shared" si="839"/>
        <v>-</v>
      </c>
      <c r="CN1024" s="834" t="str">
        <f t="shared" si="840"/>
        <v>-</v>
      </c>
      <c r="CO1024" s="830" t="str">
        <f t="shared" ca="1" si="841"/>
        <v>-</v>
      </c>
      <c r="CP1024" s="839"/>
      <c r="CQ1024" s="832"/>
      <c r="CR1024" s="833" t="str">
        <f t="shared" si="842"/>
        <v>-</v>
      </c>
      <c r="CS1024" s="833" t="str">
        <f t="shared" si="843"/>
        <v>-</v>
      </c>
      <c r="CT1024" s="834" t="str">
        <f t="shared" si="844"/>
        <v>-</v>
      </c>
      <c r="CU1024" s="835" t="str">
        <f t="shared" si="845"/>
        <v>-</v>
      </c>
      <c r="CV1024" s="839"/>
      <c r="CW1024" s="832"/>
      <c r="CX1024" s="833" t="str">
        <f t="shared" si="846"/>
        <v>-</v>
      </c>
      <c r="CY1024" s="840" t="str">
        <f t="shared" si="847"/>
        <v>-</v>
      </c>
      <c r="CZ1024" s="833" t="str">
        <f t="shared" si="848"/>
        <v>-</v>
      </c>
      <c r="DA1024" s="838" t="str">
        <f t="shared" ca="1" si="849"/>
        <v>-</v>
      </c>
      <c r="DB1024" s="841"/>
      <c r="DC1024" s="832"/>
    </row>
    <row r="1025" spans="1:107" x14ac:dyDescent="0.25">
      <c r="A1025" s="790">
        <v>1029</v>
      </c>
      <c r="B1025" s="791">
        <f t="shared" ca="1" si="798"/>
        <v>43134</v>
      </c>
      <c r="C1025" s="792" t="s">
        <v>2583</v>
      </c>
      <c r="D1025" s="793" t="s">
        <v>2582</v>
      </c>
      <c r="E1025" s="794" t="s">
        <v>1563</v>
      </c>
      <c r="F1025" s="795" t="s">
        <v>2496</v>
      </c>
      <c r="G1025" s="845"/>
      <c r="H1025" s="797" t="s">
        <v>603</v>
      </c>
      <c r="I1025" s="798">
        <v>42807</v>
      </c>
      <c r="J1025" s="799">
        <f t="shared" ca="1" si="799"/>
        <v>0.89589041095890409</v>
      </c>
      <c r="K1025" s="799">
        <f t="shared" ca="1" si="800"/>
        <v>10.9</v>
      </c>
      <c r="L1025" s="800">
        <f t="shared" ca="1" si="801"/>
        <v>327</v>
      </c>
      <c r="M1025" s="801"/>
      <c r="N1025" s="802"/>
      <c r="O1025" s="803" t="str">
        <f t="shared" ca="1" si="802"/>
        <v>-</v>
      </c>
      <c r="P1025" s="804"/>
      <c r="Q1025" s="805"/>
      <c r="R1025" s="806"/>
      <c r="S1025" s="807"/>
      <c r="T1025" s="798"/>
      <c r="U1025" s="798" t="str">
        <f t="shared" si="803"/>
        <v>-</v>
      </c>
      <c r="V1025" s="804" t="str">
        <f t="shared" ca="1" si="804"/>
        <v>-</v>
      </c>
      <c r="W1025" s="808">
        <v>0</v>
      </c>
      <c r="X1025" s="794" t="str">
        <f t="shared" si="850"/>
        <v>-</v>
      </c>
      <c r="Y1025" s="794">
        <v>0</v>
      </c>
      <c r="Z1025" s="809" t="str">
        <f t="shared" ca="1" si="805"/>
        <v>-----</v>
      </c>
      <c r="AA1025" s="810">
        <f t="shared" ca="1" si="806"/>
        <v>43134</v>
      </c>
      <c r="AB1025" s="804"/>
      <c r="AC1025" s="811" t="str">
        <f t="shared" ca="1" si="807"/>
        <v>-----</v>
      </c>
      <c r="AD1025" s="798"/>
      <c r="AE1025" s="794" t="str">
        <f t="shared" ca="1" si="808"/>
        <v>-</v>
      </c>
      <c r="AF1025" s="798" t="str">
        <f t="shared" si="809"/>
        <v>-</v>
      </c>
      <c r="AG1025" s="812" t="str">
        <f t="shared" si="810"/>
        <v>---------</v>
      </c>
      <c r="AH1025" s="807"/>
      <c r="AI1025" s="807" t="str">
        <f t="shared" si="811"/>
        <v>-</v>
      </c>
      <c r="AJ1025" s="807" t="str">
        <f t="shared" si="812"/>
        <v>-</v>
      </c>
      <c r="AK1025" s="813"/>
      <c r="AL1025" s="807" t="str">
        <f t="shared" si="813"/>
        <v>-</v>
      </c>
      <c r="AM1025" s="807" t="str">
        <f t="shared" si="814"/>
        <v>-</v>
      </c>
      <c r="AN1025" s="814" t="str">
        <f t="shared" ca="1" si="815"/>
        <v>-</v>
      </c>
      <c r="AO1025" s="815">
        <v>1</v>
      </c>
      <c r="AP1025" s="816" t="str">
        <f t="shared" ca="1" si="816"/>
        <v>-</v>
      </c>
      <c r="AQ1025" s="817"/>
      <c r="AR1025" s="794" t="str">
        <f t="shared" si="817"/>
        <v>-</v>
      </c>
      <c r="AS1025" s="818"/>
      <c r="AT1025" s="794" t="str">
        <f t="shared" si="818"/>
        <v>-</v>
      </c>
      <c r="AU1025" s="819"/>
      <c r="AV1025" s="820"/>
      <c r="AW1025" s="821"/>
      <c r="AX1025" s="821"/>
      <c r="AY1025" s="969" t="str">
        <f t="shared" si="819"/>
        <v>-</v>
      </c>
      <c r="AZ1025" s="966" t="str">
        <f t="shared" si="820"/>
        <v>-</v>
      </c>
      <c r="BA1025" s="971" t="str">
        <f t="shared" si="821"/>
        <v>-</v>
      </c>
      <c r="BB1025" s="975"/>
      <c r="BC1025" s="821"/>
      <c r="BD1025" s="821"/>
      <c r="BE1025" s="963" t="str">
        <f t="shared" si="822"/>
        <v>-</v>
      </c>
      <c r="BF1025" s="984"/>
      <c r="BG1025" s="988"/>
      <c r="BH1025" s="982"/>
      <c r="BI1025" s="991"/>
      <c r="BJ1025" s="991"/>
      <c r="BK1025" s="993" t="str">
        <f t="shared" si="823"/>
        <v>-</v>
      </c>
      <c r="BL1025" s="820">
        <v>42977</v>
      </c>
      <c r="BM1025" s="821">
        <v>5</v>
      </c>
      <c r="BN1025" s="822">
        <f t="shared" ca="1" si="824"/>
        <v>157</v>
      </c>
      <c r="BO1025" s="823">
        <f t="shared" si="825"/>
        <v>5.666666666666667</v>
      </c>
      <c r="BP1025" s="824"/>
      <c r="BQ1025" s="821"/>
      <c r="BR1025" s="822" t="str">
        <f t="shared" si="826"/>
        <v>-</v>
      </c>
      <c r="BS1025" s="823" t="str">
        <f t="shared" si="827"/>
        <v>-</v>
      </c>
      <c r="BT1025" s="825" t="str">
        <f t="shared" ca="1" si="828"/>
        <v>-</v>
      </c>
      <c r="BU1025" s="826"/>
      <c r="BV1025" s="827"/>
      <c r="BW1025" s="828" t="str">
        <f t="shared" si="829"/>
        <v>Ж-Е НЕ ВАКЦ.</v>
      </c>
      <c r="BX1025" s="829" t="str">
        <f t="shared" si="830"/>
        <v>-</v>
      </c>
      <c r="BY1025" s="830" t="str">
        <f t="shared" ca="1" si="831"/>
        <v>-</v>
      </c>
      <c r="BZ1025" s="831">
        <v>42887</v>
      </c>
      <c r="CA1025" s="832">
        <v>5</v>
      </c>
      <c r="CB1025" s="833">
        <f t="shared" ca="1" si="832"/>
        <v>247</v>
      </c>
      <c r="CC1025" s="834" t="str">
        <f t="shared" ca="1" si="833"/>
        <v>-</v>
      </c>
      <c r="CD1025" s="835">
        <f t="shared" si="834"/>
        <v>42908</v>
      </c>
      <c r="CE1025" s="831">
        <v>42908</v>
      </c>
      <c r="CF1025" s="832">
        <v>5</v>
      </c>
      <c r="CG1025" s="833">
        <f t="shared" ca="1" si="835"/>
        <v>226</v>
      </c>
      <c r="CH1025" s="836">
        <f t="shared" si="836"/>
        <v>0</v>
      </c>
      <c r="CI1025" s="837" t="str">
        <f t="shared" si="837"/>
        <v>УСПЕШНО</v>
      </c>
      <c r="CJ1025" s="838" t="str">
        <f t="shared" ca="1" si="838"/>
        <v>-</v>
      </c>
      <c r="CK1025" s="831"/>
      <c r="CL1025" s="832"/>
      <c r="CM1025" s="833" t="str">
        <f t="shared" si="839"/>
        <v>-</v>
      </c>
      <c r="CN1025" s="834" t="str">
        <f t="shared" si="840"/>
        <v>-</v>
      </c>
      <c r="CO1025" s="830" t="str">
        <f t="shared" ca="1" si="841"/>
        <v>-</v>
      </c>
      <c r="CP1025" s="839"/>
      <c r="CQ1025" s="832"/>
      <c r="CR1025" s="833" t="str">
        <f t="shared" si="842"/>
        <v>-</v>
      </c>
      <c r="CS1025" s="833" t="str">
        <f t="shared" si="843"/>
        <v>-</v>
      </c>
      <c r="CT1025" s="834" t="str">
        <f t="shared" si="844"/>
        <v>-</v>
      </c>
      <c r="CU1025" s="835" t="str">
        <f t="shared" si="845"/>
        <v>-</v>
      </c>
      <c r="CV1025" s="839"/>
      <c r="CW1025" s="832"/>
      <c r="CX1025" s="833" t="str">
        <f t="shared" si="846"/>
        <v>-</v>
      </c>
      <c r="CY1025" s="840" t="str">
        <f t="shared" si="847"/>
        <v>-</v>
      </c>
      <c r="CZ1025" s="833" t="str">
        <f t="shared" si="848"/>
        <v>-</v>
      </c>
      <c r="DA1025" s="838" t="str">
        <f t="shared" ca="1" si="849"/>
        <v>-</v>
      </c>
      <c r="DB1025" s="841"/>
      <c r="DC1025" s="832"/>
    </row>
    <row r="1026" spans="1:107" x14ac:dyDescent="0.25">
      <c r="A1026" s="790">
        <v>1030</v>
      </c>
      <c r="B1026" s="791">
        <f t="shared" ca="1" si="798"/>
        <v>43134</v>
      </c>
      <c r="C1026" s="792" t="s">
        <v>2583</v>
      </c>
      <c r="D1026" s="793" t="s">
        <v>2582</v>
      </c>
      <c r="E1026" s="794" t="s">
        <v>1563</v>
      </c>
      <c r="F1026" s="795" t="s">
        <v>2523</v>
      </c>
      <c r="G1026" s="845"/>
      <c r="H1026" s="797" t="s">
        <v>603</v>
      </c>
      <c r="I1026" s="798">
        <v>42812</v>
      </c>
      <c r="J1026" s="799">
        <f t="shared" ca="1" si="799"/>
        <v>0.88219178082191785</v>
      </c>
      <c r="K1026" s="799">
        <f t="shared" ca="1" si="800"/>
        <v>10.733333333333333</v>
      </c>
      <c r="L1026" s="800">
        <f t="shared" ca="1" si="801"/>
        <v>322</v>
      </c>
      <c r="M1026" s="801"/>
      <c r="N1026" s="802"/>
      <c r="O1026" s="803" t="str">
        <f t="shared" ca="1" si="802"/>
        <v>-</v>
      </c>
      <c r="P1026" s="804"/>
      <c r="Q1026" s="805"/>
      <c r="R1026" s="806"/>
      <c r="S1026" s="807"/>
      <c r="T1026" s="798"/>
      <c r="U1026" s="798" t="str">
        <f t="shared" si="803"/>
        <v>-</v>
      </c>
      <c r="V1026" s="804" t="str">
        <f t="shared" ca="1" si="804"/>
        <v>-</v>
      </c>
      <c r="W1026" s="808">
        <v>0</v>
      </c>
      <c r="X1026" s="794" t="str">
        <f t="shared" si="850"/>
        <v>-</v>
      </c>
      <c r="Y1026" s="794">
        <v>0</v>
      </c>
      <c r="Z1026" s="809" t="str">
        <f t="shared" ca="1" si="805"/>
        <v>-----</v>
      </c>
      <c r="AA1026" s="810">
        <f t="shared" ca="1" si="806"/>
        <v>43134</v>
      </c>
      <c r="AB1026" s="804"/>
      <c r="AC1026" s="811" t="str">
        <f t="shared" ca="1" si="807"/>
        <v>-----</v>
      </c>
      <c r="AD1026" s="798"/>
      <c r="AE1026" s="794" t="str">
        <f t="shared" ca="1" si="808"/>
        <v>-</v>
      </c>
      <c r="AF1026" s="798" t="str">
        <f t="shared" si="809"/>
        <v>-</v>
      </c>
      <c r="AG1026" s="812" t="str">
        <f t="shared" si="810"/>
        <v>---------</v>
      </c>
      <c r="AH1026" s="807"/>
      <c r="AI1026" s="807" t="str">
        <f t="shared" si="811"/>
        <v>-</v>
      </c>
      <c r="AJ1026" s="807" t="str">
        <f t="shared" si="812"/>
        <v>-</v>
      </c>
      <c r="AK1026" s="813"/>
      <c r="AL1026" s="807" t="str">
        <f t="shared" si="813"/>
        <v>-</v>
      </c>
      <c r="AM1026" s="807" t="str">
        <f t="shared" si="814"/>
        <v>-</v>
      </c>
      <c r="AN1026" s="814" t="str">
        <f t="shared" ca="1" si="815"/>
        <v>-</v>
      </c>
      <c r="AO1026" s="815">
        <v>1</v>
      </c>
      <c r="AP1026" s="816" t="str">
        <f t="shared" ca="1" si="816"/>
        <v>-</v>
      </c>
      <c r="AQ1026" s="817"/>
      <c r="AR1026" s="794" t="str">
        <f t="shared" si="817"/>
        <v>-</v>
      </c>
      <c r="AS1026" s="818"/>
      <c r="AT1026" s="794" t="str">
        <f t="shared" si="818"/>
        <v>-</v>
      </c>
      <c r="AU1026" s="819"/>
      <c r="AV1026" s="820"/>
      <c r="AW1026" s="821"/>
      <c r="AX1026" s="821"/>
      <c r="AY1026" s="969" t="str">
        <f t="shared" si="819"/>
        <v>-</v>
      </c>
      <c r="AZ1026" s="966" t="str">
        <f t="shared" si="820"/>
        <v>-</v>
      </c>
      <c r="BA1026" s="971" t="str">
        <f t="shared" si="821"/>
        <v>-</v>
      </c>
      <c r="BB1026" s="975"/>
      <c r="BC1026" s="821"/>
      <c r="BD1026" s="821"/>
      <c r="BE1026" s="963" t="str">
        <f t="shared" si="822"/>
        <v>-</v>
      </c>
      <c r="BF1026" s="984"/>
      <c r="BG1026" s="988"/>
      <c r="BH1026" s="982"/>
      <c r="BI1026" s="991"/>
      <c r="BJ1026" s="991"/>
      <c r="BK1026" s="993" t="str">
        <f t="shared" si="823"/>
        <v>-</v>
      </c>
      <c r="BL1026" s="820">
        <v>42978</v>
      </c>
      <c r="BM1026" s="821">
        <v>5</v>
      </c>
      <c r="BN1026" s="822">
        <f t="shared" ca="1" si="824"/>
        <v>156</v>
      </c>
      <c r="BO1026" s="823">
        <f t="shared" si="825"/>
        <v>5.5333333333333332</v>
      </c>
      <c r="BP1026" s="824"/>
      <c r="BQ1026" s="821"/>
      <c r="BR1026" s="822" t="str">
        <f t="shared" si="826"/>
        <v>-</v>
      </c>
      <c r="BS1026" s="823" t="str">
        <f t="shared" si="827"/>
        <v>-</v>
      </c>
      <c r="BT1026" s="825" t="str">
        <f t="shared" ca="1" si="828"/>
        <v>-</v>
      </c>
      <c r="BU1026" s="826"/>
      <c r="BV1026" s="827"/>
      <c r="BW1026" s="828" t="str">
        <f t="shared" si="829"/>
        <v>Ж-Е НЕ ВАКЦ.</v>
      </c>
      <c r="BX1026" s="829" t="str">
        <f t="shared" si="830"/>
        <v>-</v>
      </c>
      <c r="BY1026" s="830" t="str">
        <f t="shared" ca="1" si="831"/>
        <v>-</v>
      </c>
      <c r="BZ1026" s="831">
        <v>42887</v>
      </c>
      <c r="CA1026" s="832">
        <v>5</v>
      </c>
      <c r="CB1026" s="833">
        <f t="shared" ca="1" si="832"/>
        <v>247</v>
      </c>
      <c r="CC1026" s="834" t="str">
        <f t="shared" ca="1" si="833"/>
        <v>-</v>
      </c>
      <c r="CD1026" s="835">
        <f t="shared" si="834"/>
        <v>42908</v>
      </c>
      <c r="CE1026" s="831">
        <v>42908</v>
      </c>
      <c r="CF1026" s="832">
        <v>5</v>
      </c>
      <c r="CG1026" s="833">
        <f t="shared" ca="1" si="835"/>
        <v>226</v>
      </c>
      <c r="CH1026" s="836">
        <f t="shared" si="836"/>
        <v>0</v>
      </c>
      <c r="CI1026" s="837" t="str">
        <f t="shared" si="837"/>
        <v>УСПЕШНО</v>
      </c>
      <c r="CJ1026" s="838" t="str">
        <f t="shared" ca="1" si="838"/>
        <v>-</v>
      </c>
      <c r="CK1026" s="831"/>
      <c r="CL1026" s="832"/>
      <c r="CM1026" s="833" t="str">
        <f t="shared" si="839"/>
        <v>-</v>
      </c>
      <c r="CN1026" s="834" t="str">
        <f t="shared" si="840"/>
        <v>-</v>
      </c>
      <c r="CO1026" s="830" t="str">
        <f t="shared" ca="1" si="841"/>
        <v>-</v>
      </c>
      <c r="CP1026" s="839"/>
      <c r="CQ1026" s="832"/>
      <c r="CR1026" s="833" t="str">
        <f t="shared" si="842"/>
        <v>-</v>
      </c>
      <c r="CS1026" s="833" t="str">
        <f t="shared" si="843"/>
        <v>-</v>
      </c>
      <c r="CT1026" s="834" t="str">
        <f t="shared" si="844"/>
        <v>-</v>
      </c>
      <c r="CU1026" s="835" t="str">
        <f t="shared" si="845"/>
        <v>-</v>
      </c>
      <c r="CV1026" s="839"/>
      <c r="CW1026" s="832"/>
      <c r="CX1026" s="833" t="str">
        <f t="shared" si="846"/>
        <v>-</v>
      </c>
      <c r="CY1026" s="840" t="str">
        <f t="shared" si="847"/>
        <v>-</v>
      </c>
      <c r="CZ1026" s="833" t="str">
        <f t="shared" si="848"/>
        <v>-</v>
      </c>
      <c r="DA1026" s="838" t="str">
        <f t="shared" ca="1" si="849"/>
        <v>-</v>
      </c>
      <c r="DB1026" s="841"/>
      <c r="DC1026" s="832"/>
    </row>
    <row r="1027" spans="1:107" x14ac:dyDescent="0.25">
      <c r="A1027" s="790">
        <v>1031</v>
      </c>
      <c r="B1027" s="791">
        <f t="shared" ref="B1027:B1090" ca="1" si="851">TODAY()</f>
        <v>43134</v>
      </c>
      <c r="C1027" s="792" t="s">
        <v>2583</v>
      </c>
      <c r="D1027" s="793" t="s">
        <v>2582</v>
      </c>
      <c r="E1027" s="794" t="s">
        <v>1563</v>
      </c>
      <c r="F1027" s="795" t="s">
        <v>2525</v>
      </c>
      <c r="G1027" s="845"/>
      <c r="H1027" s="797" t="s">
        <v>603</v>
      </c>
      <c r="I1027" s="798">
        <v>42813</v>
      </c>
      <c r="J1027" s="799">
        <f t="shared" ref="J1027:J1090" ca="1" si="852">(B1027-I1027)/365</f>
        <v>0.8794520547945206</v>
      </c>
      <c r="K1027" s="799">
        <f t="shared" ref="K1027:K1090" ca="1" si="853">(B1027-I1027)/30</f>
        <v>10.7</v>
      </c>
      <c r="L1027" s="800">
        <f t="shared" ref="L1027:L1090" ca="1" si="854">B1027-I1027</f>
        <v>321</v>
      </c>
      <c r="M1027" s="801"/>
      <c r="N1027" s="802"/>
      <c r="O1027" s="803" t="str">
        <f t="shared" ref="O1027:O1090" ca="1" si="855">IF(AND(B1027&gt;0,N1027&gt;0),B1027-N1027,"-")</f>
        <v>-</v>
      </c>
      <c r="P1027" s="804"/>
      <c r="Q1027" s="805"/>
      <c r="R1027" s="806"/>
      <c r="S1027" s="807"/>
      <c r="T1027" s="798"/>
      <c r="U1027" s="798" t="str">
        <f t="shared" ref="U1027:U1090" si="856">IF(AND(Y1027&gt;1,T1027&gt;0),T1027+18,"-")</f>
        <v>-</v>
      </c>
      <c r="V1027" s="804" t="str">
        <f t="shared" ref="V1027:V1090" ca="1" si="857">IF(AND(U1027&gt;0,B1027&gt;0,Y1027&gt;1),B1027-U1027,"-")</f>
        <v>-</v>
      </c>
      <c r="W1027" s="808">
        <v>0</v>
      </c>
      <c r="X1027" s="794" t="str">
        <f t="shared" si="850"/>
        <v>-</v>
      </c>
      <c r="Y1027" s="794">
        <v>0</v>
      </c>
      <c r="Z1027" s="809" t="str">
        <f t="shared" ref="Z1027:Z1090" ca="1" si="858">IF(AND(Y1027=1,AA1027&gt;71,OR(ISBLANK(AB1027),AB1027=2)),"ПОДЛЕЖИТ ПЕРЕПРОВЕРКЕ","-----")</f>
        <v>-----</v>
      </c>
      <c r="AA1027" s="810">
        <f t="shared" ref="AA1027:AA1090" ca="1" si="859">IF(AND(O1027&gt;-1,W1027&gt;0,Y1027=1,AB1027=1),"-----",B1027-T1027)</f>
        <v>43134</v>
      </c>
      <c r="AB1027" s="804"/>
      <c r="AC1027" s="811" t="str">
        <f t="shared" ref="AC1027:AC1090" ca="1" si="860">IF(AND(AB1027&lt;1,Z1027="ПОДЛЕЖИТ ПЕРЕПРОВЕРКЕ",Y1027=1),T1027+72,"-----")</f>
        <v>-----</v>
      </c>
      <c r="AD1027" s="798"/>
      <c r="AE1027" s="794" t="str">
        <f t="shared" ref="AE1027:AE1090" ca="1" si="861">IF(AND(O1027&gt;120,Y1027=0,N1027&gt;0),"яловая","-")</f>
        <v>-</v>
      </c>
      <c r="AF1027" s="798" t="str">
        <f t="shared" ref="AF1027:AF1090" si="862">IF(AND(T1027&gt;0,OR(Y1027=3,Y1027=2)),T1027+35,"-")</f>
        <v>-</v>
      </c>
      <c r="AG1027" s="812" t="str">
        <f t="shared" ref="AG1027:AG1090" si="863">IF(AND(T1027&gt;0,W1027&gt;0,Q1027&gt;0,OR(Y1027=3,Y1027=2)),B1027-AF1027,"---------")</f>
        <v>---------</v>
      </c>
      <c r="AH1027" s="807"/>
      <c r="AI1027" s="807" t="str">
        <f t="shared" ref="AI1027:AI1090" si="864">IF(AND($T1027&gt;0,$N1027&gt;0,$Y1027=1),$T1027+280-90,"-")</f>
        <v>-</v>
      </c>
      <c r="AJ1027" s="807" t="str">
        <f t="shared" ref="AJ1027:AJ1090" si="865">IF(AND(T1027&gt;0,Y1027=1,N1027&gt;0),T1027+280-60,"-")</f>
        <v>-</v>
      </c>
      <c r="AK1027" s="813"/>
      <c r="AL1027" s="807" t="str">
        <f t="shared" ref="AL1027:AL1090" si="866">IF(AND($T1027&gt;0,$Y1027=1),$T1027+280-21,"-")</f>
        <v>-</v>
      </c>
      <c r="AM1027" s="807" t="str">
        <f t="shared" ref="AM1027:AM1090" si="867">IF(AND(T1027&gt;0,Y1027=1),T1027+280,"-")</f>
        <v>-</v>
      </c>
      <c r="AN1027" s="814" t="str">
        <f t="shared" ref="AN1027:AN1090" ca="1" si="868">IF(AND(B1027&gt;0,AM1027&gt;0,AH1027&gt;0,Y1027=1),B1027-AM1027,"-")</f>
        <v>-</v>
      </c>
      <c r="AO1027" s="815">
        <v>1</v>
      </c>
      <c r="AP1027" s="816" t="str">
        <f t="shared" ref="AP1027:AP1090" ca="1" si="869">IF(AND(AE1027="яловая",O1027&gt;300),"БРАК","-")</f>
        <v>-</v>
      </c>
      <c r="AQ1027" s="817"/>
      <c r="AR1027" s="794" t="str">
        <f t="shared" ref="AR1027:AR1090" si="870">IF(AND(Y1027=1,P1027=0),"НЕТЕЛЬ","-")</f>
        <v>-</v>
      </c>
      <c r="AS1027" s="818"/>
      <c r="AT1027" s="794" t="str">
        <f t="shared" ref="AT1027:AT1090" si="871">IF(AND(N1027&gt;0,T1027&gt;0,W1027&gt;0,Y1027=1,AH1027&gt;0,AK1027&gt;0),"DRY COW","-")</f>
        <v>-</v>
      </c>
      <c r="AU1027" s="819"/>
      <c r="AV1027" s="820"/>
      <c r="AW1027" s="821"/>
      <c r="AX1027" s="821"/>
      <c r="AY1027" s="969" t="str">
        <f t="shared" ref="AY1027:AY1090" si="872">IF(AND(AV1027&gt;0,AW1027&gt;0,AX1027&gt;0),B1027-AV1027,"-")</f>
        <v>-</v>
      </c>
      <c r="AZ1027" s="966" t="str">
        <f t="shared" ref="AZ1027:AZ1090" si="873">IF(AND(AV1027&gt;0,AW1027&gt;0,AX1027&gt;0,AY1027&gt;10,BB1027=0,BC1027=0,BD1027=0),"РЕВАКЦИНАЦИЯ","-")</f>
        <v>-</v>
      </c>
      <c r="BA1027" s="971" t="str">
        <f t="shared" ref="BA1027:BA1090" si="874">IF(AND(AV1027&gt;0,AW1027&gt;0,AX1027&gt;0),AV1027+10,"-")</f>
        <v>-</v>
      </c>
      <c r="BB1027" s="975"/>
      <c r="BC1027" s="821"/>
      <c r="BD1027" s="821"/>
      <c r="BE1027" s="963" t="str">
        <f t="shared" ref="BE1027:BE1090" si="875">IF(AND(BB1027&gt;0,BC1027&gt;0,BD1027&gt;0),B1027-BB1027,"-")</f>
        <v>-</v>
      </c>
      <c r="BF1027" s="984"/>
      <c r="BG1027" s="988"/>
      <c r="BH1027" s="982"/>
      <c r="BI1027" s="991"/>
      <c r="BJ1027" s="991"/>
      <c r="BK1027" s="993" t="str">
        <f t="shared" ref="BK1027:BK1090" si="876">IF(AND(BF1027&gt;0,BG1027&gt;0,BH1027&gt;0,BI1027&gt;0,BJ1027&gt;0),B1027-BF1027,"-")</f>
        <v>-</v>
      </c>
      <c r="BL1027" s="820">
        <v>42978</v>
      </c>
      <c r="BM1027" s="821">
        <v>5</v>
      </c>
      <c r="BN1027" s="822">
        <f t="shared" ref="BN1027:BN1090" ca="1" si="877">IF(AND(BL1027&gt;0,BM1027&gt;0),B1027-BL1027,"-")</f>
        <v>156</v>
      </c>
      <c r="BO1027" s="823">
        <f t="shared" ref="BO1027:BO1090" si="878">IF(AND(BL1027&gt;0,BM1027&gt;0),(BL1027-I1027)/30,"-")</f>
        <v>5.5</v>
      </c>
      <c r="BP1027" s="824"/>
      <c r="BQ1027" s="821"/>
      <c r="BR1027" s="822" t="str">
        <f t="shared" ref="BR1027:BR1090" si="879">IF(AND(BP1027&gt;0,BQ1027&gt;0),B1027-BP1027,"-")</f>
        <v>-</v>
      </c>
      <c r="BS1027" s="823" t="str">
        <f t="shared" ref="BS1027:BS1090" si="880">IF(AND(BP1027&gt;0,BQ1027&gt;0),(BP1027-M1027)/30,"-")</f>
        <v>-</v>
      </c>
      <c r="BT1027" s="825" t="str">
        <f t="shared" ref="BT1027:BT1090" ca="1" si="881">IF(AND(OR(E1027="тёлочка",E1027="бычок"),L1027&gt;0,BV1027&lt;2,L1027&lt;60),"ПОДЛЕЖИТ ВАКЦИНАЦИИ","-")</f>
        <v>-</v>
      </c>
      <c r="BU1027" s="826"/>
      <c r="BV1027" s="827"/>
      <c r="BW1027" s="828" t="str">
        <f t="shared" ref="BW1027:BW1090" si="882">IF(AND(BU1027&gt;0,BV1027=2),BU1027-I1027,"Ж-Е НЕ ВАКЦ.")</f>
        <v>Ж-Е НЕ ВАКЦ.</v>
      </c>
      <c r="BX1027" s="829" t="str">
        <f t="shared" ref="BX1027:BX1090" si="883">IF(AND(BU1027&gt;0,BV1027=2),B1027-BU1027,"-")</f>
        <v>-</v>
      </c>
      <c r="BY1027" s="830" t="str">
        <f t="shared" ref="BY1027:BY1090" ca="1" si="884">IF(AND(L1027&gt;42,CA1027&lt;5),"ПОДЛЕЖИТ ВАКЦИНАЦИИ","-")</f>
        <v>-</v>
      </c>
      <c r="BZ1027" s="831">
        <v>42887</v>
      </c>
      <c r="CA1027" s="832">
        <v>5</v>
      </c>
      <c r="CB1027" s="833">
        <f t="shared" ref="CB1027:CB1090" ca="1" si="885">IF(AND(BZ1027&gt;0,CA1027=5),B1027-BZ1027,"-")</f>
        <v>247</v>
      </c>
      <c r="CC1027" s="834" t="str">
        <f t="shared" ref="CC1027:CC1090" ca="1" si="886">IF(AND(CA1027=5,CB1027&gt;20,CF1027&lt;5),"ТРЕБУЕТСЯ БУСТЕРНАЯ ДОЗА","-")</f>
        <v>-</v>
      </c>
      <c r="CD1027" s="835">
        <f t="shared" ref="CD1027:CD1090" si="887">IF(AND(BZ1027&gt;0,CA1027=5),BZ1027+21,"-")</f>
        <v>42908</v>
      </c>
      <c r="CE1027" s="831">
        <v>42908</v>
      </c>
      <c r="CF1027" s="832">
        <v>5</v>
      </c>
      <c r="CG1027" s="833">
        <f t="shared" ref="CG1027:CG1090" ca="1" si="888">IF(AND(CE1027&gt;0,CF1027=5),B1027-CE1027,"-")</f>
        <v>226</v>
      </c>
      <c r="CH1027" s="836">
        <f t="shared" ref="CH1027:CH1090" si="889">IF(AND(CD1027&gt;0,CE1027&gt;0,CF1027=5),CD1027-CE1027,"-")</f>
        <v>0</v>
      </c>
      <c r="CI1027" s="837" t="str">
        <f t="shared" ref="CI1027:CI1090" si="890">IF(AND(CF1027=5,CH1027=0),"УСПЕШНО","-")</f>
        <v>УСПЕШНО</v>
      </c>
      <c r="CJ1027" s="838" t="str">
        <f t="shared" ref="CJ1027:CJ1090" ca="1" si="891">IF(AND(BZ1027&gt;0,CA1027=5,CE1027&gt;0,CF1027=5,CG1027&gt;240,CL1027&lt;5),"НЕОБХОДИМА РЕВАКЦИНАЦИЯ","-")</f>
        <v>-</v>
      </c>
      <c r="CK1027" s="831"/>
      <c r="CL1027" s="832"/>
      <c r="CM1027" s="833" t="str">
        <f t="shared" ref="CM1027:CM1090" si="892">IF(AND(CK1027&gt;0,CL1027=5),N1027-CK1027,"-")</f>
        <v>-</v>
      </c>
      <c r="CN1027" s="834" t="str">
        <f t="shared" ref="CN1027:CN1090" si="893">IF(AND(CK1027&gt;0,CL1027=5,CM1027&gt;240),"НЕОБХОДИМА РЕВАКЦИНАЦИЯ","-")</f>
        <v>-</v>
      </c>
      <c r="CO1027" s="830" t="str">
        <f t="shared" ref="CO1027:CO1090" ca="1" si="894">IF(AND(Y1027=1,AN1027&gt;-70,CQ1027&lt;2),"ТРЕБУЕТСЯ ВАКЦИНАЦИЯ","-")</f>
        <v>-</v>
      </c>
      <c r="CP1027" s="839"/>
      <c r="CQ1027" s="832"/>
      <c r="CR1027" s="833" t="str">
        <f t="shared" ref="CR1027:CR1090" si="895">IF(AND(CP1027&gt;0,CQ1027=2),CP1027-T1027,"-")</f>
        <v>-</v>
      </c>
      <c r="CS1027" s="833" t="str">
        <f t="shared" ref="CS1027:CS1090" si="896">IF(AND(CP1027&gt;0,CQ1027=2),B1027-CP1027,"-")</f>
        <v>-</v>
      </c>
      <c r="CT1027" s="834" t="str">
        <f t="shared" ref="CT1027:CT1090" si="897">IF(AND(CQ1027=2,CS1027&gt;20,CW1027&lt;2),"ТРЕБУЕТСЯ БУСТЕРНАЯ ДОЗА","-")</f>
        <v>-</v>
      </c>
      <c r="CU1027" s="835" t="str">
        <f t="shared" ref="CU1027:CU1090" si="898">IF(AND(CP1027&gt;0,CQ1027=2),CP1027+21,"-")</f>
        <v>-</v>
      </c>
      <c r="CV1027" s="839"/>
      <c r="CW1027" s="832"/>
      <c r="CX1027" s="833" t="str">
        <f t="shared" ref="CX1027:CX1090" si="899">IF(AND(CU1027&gt;0,CV1027&gt;0,CW1027=2),CV1027-CU1027,"-")</f>
        <v>-</v>
      </c>
      <c r="CY1027" s="840" t="str">
        <f t="shared" ref="CY1027:CY1090" si="900">IF(AND(CW1027=2,CX1027=0),"УСПЕШНО","-")</f>
        <v>-</v>
      </c>
      <c r="CZ1027" s="833" t="str">
        <f t="shared" ref="CZ1027:CZ1090" si="901">IF(AND(CV1027&gt;0,CW1027=2),CV1027-T1027,"-")</f>
        <v>-</v>
      </c>
      <c r="DA1027" s="838" t="str">
        <f t="shared" ref="DA1027:DA1090" ca="1" si="902">IF(AND(CP1027&gt;0,CQ1027=2,CV1027&gt;0,CW1027=2,Y1027=1,AN1027&gt;-50,DC1027&lt;2),"ТРЕБУЕТСЯ РЕВАКЦИНАЦИЯ","-")</f>
        <v>-</v>
      </c>
      <c r="DB1027" s="841"/>
      <c r="DC1027" s="832"/>
    </row>
    <row r="1028" spans="1:107" x14ac:dyDescent="0.25">
      <c r="A1028" s="790">
        <v>1032</v>
      </c>
      <c r="B1028" s="791">
        <f t="shared" ca="1" si="851"/>
        <v>43134</v>
      </c>
      <c r="C1028" s="29" t="s">
        <v>2583</v>
      </c>
      <c r="D1028" s="59" t="s">
        <v>2582</v>
      </c>
      <c r="E1028" s="794" t="s">
        <v>1563</v>
      </c>
      <c r="F1028" s="795" t="s">
        <v>2543</v>
      </c>
      <c r="G1028" s="845"/>
      <c r="H1028" s="797" t="s">
        <v>603</v>
      </c>
      <c r="I1028" s="798">
        <v>42816</v>
      </c>
      <c r="J1028" s="799">
        <f t="shared" ca="1" si="852"/>
        <v>0.87123287671232874</v>
      </c>
      <c r="K1028" s="799">
        <f t="shared" ca="1" si="853"/>
        <v>10.6</v>
      </c>
      <c r="L1028" s="800">
        <f t="shared" ca="1" si="854"/>
        <v>318</v>
      </c>
      <c r="M1028" s="801"/>
      <c r="N1028" s="802"/>
      <c r="O1028" s="803" t="str">
        <f t="shared" ca="1" si="855"/>
        <v>-</v>
      </c>
      <c r="P1028" s="804"/>
      <c r="Q1028" s="805"/>
      <c r="R1028" s="806"/>
      <c r="S1028" s="807"/>
      <c r="T1028" s="798"/>
      <c r="U1028" s="798" t="str">
        <f t="shared" si="856"/>
        <v>-</v>
      </c>
      <c r="V1028" s="804" t="str">
        <f t="shared" ca="1" si="857"/>
        <v>-</v>
      </c>
      <c r="W1028" s="808">
        <v>0</v>
      </c>
      <c r="X1028" s="794" t="str">
        <f t="shared" si="850"/>
        <v>-</v>
      </c>
      <c r="Y1028" s="794">
        <v>0</v>
      </c>
      <c r="Z1028" s="809" t="str">
        <f t="shared" ca="1" si="858"/>
        <v>-----</v>
      </c>
      <c r="AA1028" s="810">
        <f t="shared" ca="1" si="859"/>
        <v>43134</v>
      </c>
      <c r="AB1028" s="804"/>
      <c r="AC1028" s="811" t="str">
        <f t="shared" ca="1" si="860"/>
        <v>-----</v>
      </c>
      <c r="AD1028" s="798"/>
      <c r="AE1028" s="794" t="str">
        <f t="shared" ca="1" si="861"/>
        <v>-</v>
      </c>
      <c r="AF1028" s="798" t="str">
        <f t="shared" si="862"/>
        <v>-</v>
      </c>
      <c r="AG1028" s="812" t="str">
        <f t="shared" si="863"/>
        <v>---------</v>
      </c>
      <c r="AH1028" s="807"/>
      <c r="AI1028" s="807" t="str">
        <f t="shared" si="864"/>
        <v>-</v>
      </c>
      <c r="AJ1028" s="807" t="str">
        <f t="shared" si="865"/>
        <v>-</v>
      </c>
      <c r="AK1028" s="813"/>
      <c r="AL1028" s="807" t="str">
        <f t="shared" si="866"/>
        <v>-</v>
      </c>
      <c r="AM1028" s="807" t="str">
        <f t="shared" si="867"/>
        <v>-</v>
      </c>
      <c r="AN1028" s="814" t="str">
        <f t="shared" ca="1" si="868"/>
        <v>-</v>
      </c>
      <c r="AO1028" s="815">
        <v>1</v>
      </c>
      <c r="AP1028" s="816" t="str">
        <f t="shared" ca="1" si="869"/>
        <v>-</v>
      </c>
      <c r="AQ1028" s="817"/>
      <c r="AR1028" s="794" t="str">
        <f t="shared" si="870"/>
        <v>-</v>
      </c>
      <c r="AS1028" s="818"/>
      <c r="AT1028" s="794" t="str">
        <f t="shared" si="871"/>
        <v>-</v>
      </c>
      <c r="AU1028" s="819"/>
      <c r="AV1028" s="820"/>
      <c r="AW1028" s="821"/>
      <c r="AX1028" s="821"/>
      <c r="AY1028" s="969" t="str">
        <f t="shared" si="872"/>
        <v>-</v>
      </c>
      <c r="AZ1028" s="966" t="str">
        <f t="shared" si="873"/>
        <v>-</v>
      </c>
      <c r="BA1028" s="971" t="str">
        <f t="shared" si="874"/>
        <v>-</v>
      </c>
      <c r="BB1028" s="975"/>
      <c r="BC1028" s="821"/>
      <c r="BD1028" s="821"/>
      <c r="BE1028" s="963" t="str">
        <f t="shared" si="875"/>
        <v>-</v>
      </c>
      <c r="BF1028" s="984"/>
      <c r="BG1028" s="988"/>
      <c r="BH1028" s="982"/>
      <c r="BI1028" s="991"/>
      <c r="BJ1028" s="991"/>
      <c r="BK1028" s="993" t="str">
        <f t="shared" si="876"/>
        <v>-</v>
      </c>
      <c r="BL1028" s="820">
        <v>42978</v>
      </c>
      <c r="BM1028" s="821">
        <v>5</v>
      </c>
      <c r="BN1028" s="822">
        <f t="shared" ca="1" si="877"/>
        <v>156</v>
      </c>
      <c r="BO1028" s="823">
        <f t="shared" si="878"/>
        <v>5.4</v>
      </c>
      <c r="BP1028" s="824"/>
      <c r="BQ1028" s="821"/>
      <c r="BR1028" s="822" t="str">
        <f t="shared" si="879"/>
        <v>-</v>
      </c>
      <c r="BS1028" s="823" t="str">
        <f t="shared" si="880"/>
        <v>-</v>
      </c>
      <c r="BT1028" s="825" t="str">
        <f t="shared" ca="1" si="881"/>
        <v>-</v>
      </c>
      <c r="BU1028" s="826"/>
      <c r="BV1028" s="827"/>
      <c r="BW1028" s="828" t="str">
        <f t="shared" si="882"/>
        <v>Ж-Е НЕ ВАКЦ.</v>
      </c>
      <c r="BX1028" s="829" t="str">
        <f t="shared" si="883"/>
        <v>-</v>
      </c>
      <c r="BY1028" s="830" t="str">
        <f t="shared" ca="1" si="884"/>
        <v>-</v>
      </c>
      <c r="BZ1028" s="831">
        <v>42887</v>
      </c>
      <c r="CA1028" s="832">
        <v>5</v>
      </c>
      <c r="CB1028" s="833">
        <f t="shared" ca="1" si="885"/>
        <v>247</v>
      </c>
      <c r="CC1028" s="834" t="str">
        <f t="shared" ca="1" si="886"/>
        <v>-</v>
      </c>
      <c r="CD1028" s="835">
        <f t="shared" si="887"/>
        <v>42908</v>
      </c>
      <c r="CE1028" s="831">
        <v>42908</v>
      </c>
      <c r="CF1028" s="832">
        <v>5</v>
      </c>
      <c r="CG1028" s="833">
        <f t="shared" ca="1" si="888"/>
        <v>226</v>
      </c>
      <c r="CH1028" s="836">
        <f t="shared" si="889"/>
        <v>0</v>
      </c>
      <c r="CI1028" s="837" t="str">
        <f t="shared" si="890"/>
        <v>УСПЕШНО</v>
      </c>
      <c r="CJ1028" s="838" t="str">
        <f t="shared" ca="1" si="891"/>
        <v>-</v>
      </c>
      <c r="CK1028" s="831"/>
      <c r="CL1028" s="832"/>
      <c r="CM1028" s="833" t="str">
        <f t="shared" si="892"/>
        <v>-</v>
      </c>
      <c r="CN1028" s="834" t="str">
        <f t="shared" si="893"/>
        <v>-</v>
      </c>
      <c r="CO1028" s="830" t="str">
        <f t="shared" ca="1" si="894"/>
        <v>-</v>
      </c>
      <c r="CP1028" s="839"/>
      <c r="CQ1028" s="832"/>
      <c r="CR1028" s="833" t="str">
        <f t="shared" si="895"/>
        <v>-</v>
      </c>
      <c r="CS1028" s="833" t="str">
        <f t="shared" si="896"/>
        <v>-</v>
      </c>
      <c r="CT1028" s="834" t="str">
        <f t="shared" si="897"/>
        <v>-</v>
      </c>
      <c r="CU1028" s="835" t="str">
        <f t="shared" si="898"/>
        <v>-</v>
      </c>
      <c r="CV1028" s="839"/>
      <c r="CW1028" s="832"/>
      <c r="CX1028" s="833" t="str">
        <f t="shared" si="899"/>
        <v>-</v>
      </c>
      <c r="CY1028" s="840" t="str">
        <f t="shared" si="900"/>
        <v>-</v>
      </c>
      <c r="CZ1028" s="833" t="str">
        <f t="shared" si="901"/>
        <v>-</v>
      </c>
      <c r="DA1028" s="838" t="str">
        <f t="shared" ca="1" si="902"/>
        <v>-</v>
      </c>
      <c r="DB1028" s="841"/>
      <c r="DC1028" s="832"/>
    </row>
    <row r="1029" spans="1:107" x14ac:dyDescent="0.25">
      <c r="A1029" s="790">
        <v>1033</v>
      </c>
      <c r="B1029" s="791">
        <f t="shared" ca="1" si="851"/>
        <v>43134</v>
      </c>
      <c r="C1029" s="29" t="s">
        <v>2583</v>
      </c>
      <c r="D1029" s="59" t="s">
        <v>2582</v>
      </c>
      <c r="E1029" s="794" t="s">
        <v>1563</v>
      </c>
      <c r="F1029" s="795" t="s">
        <v>2565</v>
      </c>
      <c r="G1029" s="845"/>
      <c r="H1029" s="797" t="s">
        <v>603</v>
      </c>
      <c r="I1029" s="798">
        <v>42818</v>
      </c>
      <c r="J1029" s="799">
        <f t="shared" ca="1" si="852"/>
        <v>0.86575342465753424</v>
      </c>
      <c r="K1029" s="799">
        <f t="shared" ca="1" si="853"/>
        <v>10.533333333333333</v>
      </c>
      <c r="L1029" s="800">
        <f t="shared" ca="1" si="854"/>
        <v>316</v>
      </c>
      <c r="M1029" s="801"/>
      <c r="N1029" s="802"/>
      <c r="O1029" s="803" t="str">
        <f t="shared" ca="1" si="855"/>
        <v>-</v>
      </c>
      <c r="P1029" s="804"/>
      <c r="Q1029" s="805"/>
      <c r="R1029" s="806"/>
      <c r="S1029" s="807"/>
      <c r="T1029" s="798"/>
      <c r="U1029" s="798" t="str">
        <f t="shared" si="856"/>
        <v>-</v>
      </c>
      <c r="V1029" s="804" t="str">
        <f t="shared" ca="1" si="857"/>
        <v>-</v>
      </c>
      <c r="W1029" s="808">
        <v>0</v>
      </c>
      <c r="X1029" s="794" t="str">
        <f t="shared" si="850"/>
        <v>-</v>
      </c>
      <c r="Y1029" s="794">
        <v>0</v>
      </c>
      <c r="Z1029" s="809" t="str">
        <f t="shared" ca="1" si="858"/>
        <v>-----</v>
      </c>
      <c r="AA1029" s="810">
        <f t="shared" ca="1" si="859"/>
        <v>43134</v>
      </c>
      <c r="AB1029" s="804"/>
      <c r="AC1029" s="811" t="str">
        <f t="shared" ca="1" si="860"/>
        <v>-----</v>
      </c>
      <c r="AD1029" s="798"/>
      <c r="AE1029" s="794" t="str">
        <f t="shared" ca="1" si="861"/>
        <v>-</v>
      </c>
      <c r="AF1029" s="798" t="str">
        <f t="shared" si="862"/>
        <v>-</v>
      </c>
      <c r="AG1029" s="812" t="str">
        <f t="shared" si="863"/>
        <v>---------</v>
      </c>
      <c r="AH1029" s="807"/>
      <c r="AI1029" s="807" t="str">
        <f t="shared" si="864"/>
        <v>-</v>
      </c>
      <c r="AJ1029" s="807" t="str">
        <f t="shared" si="865"/>
        <v>-</v>
      </c>
      <c r="AK1029" s="813"/>
      <c r="AL1029" s="807" t="str">
        <f t="shared" si="866"/>
        <v>-</v>
      </c>
      <c r="AM1029" s="807" t="str">
        <f t="shared" si="867"/>
        <v>-</v>
      </c>
      <c r="AN1029" s="814" t="str">
        <f t="shared" ca="1" si="868"/>
        <v>-</v>
      </c>
      <c r="AO1029" s="815">
        <v>1</v>
      </c>
      <c r="AP1029" s="816" t="str">
        <f t="shared" ca="1" si="869"/>
        <v>-</v>
      </c>
      <c r="AQ1029" s="817"/>
      <c r="AR1029" s="794" t="str">
        <f t="shared" si="870"/>
        <v>-</v>
      </c>
      <c r="AS1029" s="818"/>
      <c r="AT1029" s="794" t="str">
        <f t="shared" si="871"/>
        <v>-</v>
      </c>
      <c r="AU1029" s="819"/>
      <c r="AV1029" s="820"/>
      <c r="AW1029" s="821"/>
      <c r="AX1029" s="821"/>
      <c r="AY1029" s="969" t="str">
        <f t="shared" si="872"/>
        <v>-</v>
      </c>
      <c r="AZ1029" s="966" t="str">
        <f t="shared" si="873"/>
        <v>-</v>
      </c>
      <c r="BA1029" s="971" t="str">
        <f t="shared" si="874"/>
        <v>-</v>
      </c>
      <c r="BB1029" s="975"/>
      <c r="BC1029" s="821"/>
      <c r="BD1029" s="821"/>
      <c r="BE1029" s="963" t="str">
        <f t="shared" si="875"/>
        <v>-</v>
      </c>
      <c r="BF1029" s="984"/>
      <c r="BG1029" s="988"/>
      <c r="BH1029" s="982"/>
      <c r="BI1029" s="991"/>
      <c r="BJ1029" s="991"/>
      <c r="BK1029" s="993" t="str">
        <f t="shared" si="876"/>
        <v>-</v>
      </c>
      <c r="BL1029" s="820">
        <v>42978</v>
      </c>
      <c r="BM1029" s="821">
        <v>5</v>
      </c>
      <c r="BN1029" s="822">
        <f t="shared" ca="1" si="877"/>
        <v>156</v>
      </c>
      <c r="BO1029" s="823">
        <f t="shared" si="878"/>
        <v>5.333333333333333</v>
      </c>
      <c r="BP1029" s="824"/>
      <c r="BQ1029" s="821"/>
      <c r="BR1029" s="822" t="str">
        <f t="shared" si="879"/>
        <v>-</v>
      </c>
      <c r="BS1029" s="823" t="str">
        <f t="shared" si="880"/>
        <v>-</v>
      </c>
      <c r="BT1029" s="825" t="str">
        <f t="shared" ca="1" si="881"/>
        <v>-</v>
      </c>
      <c r="BU1029" s="826"/>
      <c r="BV1029" s="827"/>
      <c r="BW1029" s="828" t="str">
        <f t="shared" si="882"/>
        <v>Ж-Е НЕ ВАКЦ.</v>
      </c>
      <c r="BX1029" s="829" t="str">
        <f t="shared" si="883"/>
        <v>-</v>
      </c>
      <c r="BY1029" s="830" t="str">
        <f t="shared" ca="1" si="884"/>
        <v>-</v>
      </c>
      <c r="BZ1029" s="831">
        <v>42887</v>
      </c>
      <c r="CA1029" s="832">
        <v>5</v>
      </c>
      <c r="CB1029" s="833">
        <f t="shared" ca="1" si="885"/>
        <v>247</v>
      </c>
      <c r="CC1029" s="834" t="str">
        <f t="shared" ca="1" si="886"/>
        <v>-</v>
      </c>
      <c r="CD1029" s="835">
        <f t="shared" si="887"/>
        <v>42908</v>
      </c>
      <c r="CE1029" s="831">
        <v>42908</v>
      </c>
      <c r="CF1029" s="832">
        <v>5</v>
      </c>
      <c r="CG1029" s="833">
        <f t="shared" ca="1" si="888"/>
        <v>226</v>
      </c>
      <c r="CH1029" s="836">
        <f t="shared" si="889"/>
        <v>0</v>
      </c>
      <c r="CI1029" s="837" t="str">
        <f t="shared" si="890"/>
        <v>УСПЕШНО</v>
      </c>
      <c r="CJ1029" s="838" t="str">
        <f t="shared" ca="1" si="891"/>
        <v>-</v>
      </c>
      <c r="CK1029" s="831"/>
      <c r="CL1029" s="832"/>
      <c r="CM1029" s="833" t="str">
        <f t="shared" si="892"/>
        <v>-</v>
      </c>
      <c r="CN1029" s="834" t="str">
        <f t="shared" si="893"/>
        <v>-</v>
      </c>
      <c r="CO1029" s="830" t="str">
        <f t="shared" ca="1" si="894"/>
        <v>-</v>
      </c>
      <c r="CP1029" s="839"/>
      <c r="CQ1029" s="832"/>
      <c r="CR1029" s="833" t="str">
        <f t="shared" si="895"/>
        <v>-</v>
      </c>
      <c r="CS1029" s="833" t="str">
        <f t="shared" si="896"/>
        <v>-</v>
      </c>
      <c r="CT1029" s="834" t="str">
        <f t="shared" si="897"/>
        <v>-</v>
      </c>
      <c r="CU1029" s="835" t="str">
        <f t="shared" si="898"/>
        <v>-</v>
      </c>
      <c r="CV1029" s="839"/>
      <c r="CW1029" s="832"/>
      <c r="CX1029" s="833" t="str">
        <f t="shared" si="899"/>
        <v>-</v>
      </c>
      <c r="CY1029" s="840" t="str">
        <f t="shared" si="900"/>
        <v>-</v>
      </c>
      <c r="CZ1029" s="833" t="str">
        <f t="shared" si="901"/>
        <v>-</v>
      </c>
      <c r="DA1029" s="838" t="str">
        <f t="shared" ca="1" si="902"/>
        <v>-</v>
      </c>
      <c r="DB1029" s="841"/>
      <c r="DC1029" s="832"/>
    </row>
    <row r="1030" spans="1:107" x14ac:dyDescent="0.25">
      <c r="A1030" s="790">
        <v>1034</v>
      </c>
      <c r="B1030" s="791">
        <f t="shared" ca="1" si="851"/>
        <v>43134</v>
      </c>
      <c r="C1030" s="792" t="s">
        <v>2583</v>
      </c>
      <c r="D1030" s="793" t="s">
        <v>2582</v>
      </c>
      <c r="E1030" s="794" t="s">
        <v>1563</v>
      </c>
      <c r="F1030" s="795" t="s">
        <v>2566</v>
      </c>
      <c r="G1030" s="845"/>
      <c r="H1030" s="797" t="s">
        <v>603</v>
      </c>
      <c r="I1030" s="798">
        <v>42819</v>
      </c>
      <c r="J1030" s="799">
        <f t="shared" ca="1" si="852"/>
        <v>0.86301369863013699</v>
      </c>
      <c r="K1030" s="799">
        <f t="shared" ca="1" si="853"/>
        <v>10.5</v>
      </c>
      <c r="L1030" s="800">
        <f t="shared" ca="1" si="854"/>
        <v>315</v>
      </c>
      <c r="M1030" s="801"/>
      <c r="N1030" s="802"/>
      <c r="O1030" s="803" t="str">
        <f t="shared" ca="1" si="855"/>
        <v>-</v>
      </c>
      <c r="P1030" s="804"/>
      <c r="Q1030" s="805"/>
      <c r="R1030" s="806"/>
      <c r="S1030" s="807"/>
      <c r="T1030" s="798"/>
      <c r="U1030" s="798" t="str">
        <f t="shared" si="856"/>
        <v>-</v>
      </c>
      <c r="V1030" s="804" t="str">
        <f t="shared" ca="1" si="857"/>
        <v>-</v>
      </c>
      <c r="W1030" s="808">
        <v>0</v>
      </c>
      <c r="X1030" s="794" t="str">
        <f t="shared" si="850"/>
        <v>-</v>
      </c>
      <c r="Y1030" s="794">
        <v>0</v>
      </c>
      <c r="Z1030" s="809" t="str">
        <f t="shared" ca="1" si="858"/>
        <v>-----</v>
      </c>
      <c r="AA1030" s="810">
        <f t="shared" ca="1" si="859"/>
        <v>43134</v>
      </c>
      <c r="AB1030" s="804"/>
      <c r="AC1030" s="811" t="str">
        <f t="shared" ca="1" si="860"/>
        <v>-----</v>
      </c>
      <c r="AD1030" s="798"/>
      <c r="AE1030" s="794" t="str">
        <f t="shared" ca="1" si="861"/>
        <v>-</v>
      </c>
      <c r="AF1030" s="798" t="str">
        <f t="shared" si="862"/>
        <v>-</v>
      </c>
      <c r="AG1030" s="812" t="str">
        <f t="shared" si="863"/>
        <v>---------</v>
      </c>
      <c r="AH1030" s="807"/>
      <c r="AI1030" s="807" t="str">
        <f t="shared" si="864"/>
        <v>-</v>
      </c>
      <c r="AJ1030" s="807" t="str">
        <f t="shared" si="865"/>
        <v>-</v>
      </c>
      <c r="AK1030" s="813"/>
      <c r="AL1030" s="807" t="str">
        <f t="shared" si="866"/>
        <v>-</v>
      </c>
      <c r="AM1030" s="807" t="str">
        <f t="shared" si="867"/>
        <v>-</v>
      </c>
      <c r="AN1030" s="814" t="str">
        <f t="shared" ca="1" si="868"/>
        <v>-</v>
      </c>
      <c r="AO1030" s="815">
        <v>1</v>
      </c>
      <c r="AP1030" s="816" t="str">
        <f t="shared" ca="1" si="869"/>
        <v>-</v>
      </c>
      <c r="AQ1030" s="817"/>
      <c r="AR1030" s="794" t="str">
        <f t="shared" si="870"/>
        <v>-</v>
      </c>
      <c r="AS1030" s="818"/>
      <c r="AT1030" s="794" t="str">
        <f t="shared" si="871"/>
        <v>-</v>
      </c>
      <c r="AU1030" s="819"/>
      <c r="AV1030" s="820"/>
      <c r="AW1030" s="821"/>
      <c r="AX1030" s="821"/>
      <c r="AY1030" s="969" t="str">
        <f t="shared" si="872"/>
        <v>-</v>
      </c>
      <c r="AZ1030" s="966" t="str">
        <f t="shared" si="873"/>
        <v>-</v>
      </c>
      <c r="BA1030" s="971" t="str">
        <f t="shared" si="874"/>
        <v>-</v>
      </c>
      <c r="BB1030" s="975"/>
      <c r="BC1030" s="821"/>
      <c r="BD1030" s="821"/>
      <c r="BE1030" s="963" t="str">
        <f t="shared" si="875"/>
        <v>-</v>
      </c>
      <c r="BF1030" s="984"/>
      <c r="BG1030" s="988"/>
      <c r="BH1030" s="982"/>
      <c r="BI1030" s="991"/>
      <c r="BJ1030" s="991"/>
      <c r="BK1030" s="993" t="str">
        <f t="shared" si="876"/>
        <v>-</v>
      </c>
      <c r="BL1030" s="820">
        <v>42978</v>
      </c>
      <c r="BM1030" s="821">
        <v>5</v>
      </c>
      <c r="BN1030" s="822">
        <f t="shared" ca="1" si="877"/>
        <v>156</v>
      </c>
      <c r="BO1030" s="823">
        <f t="shared" si="878"/>
        <v>5.3</v>
      </c>
      <c r="BP1030" s="824"/>
      <c r="BQ1030" s="821"/>
      <c r="BR1030" s="822" t="str">
        <f t="shared" si="879"/>
        <v>-</v>
      </c>
      <c r="BS1030" s="823" t="str">
        <f t="shared" si="880"/>
        <v>-</v>
      </c>
      <c r="BT1030" s="825" t="str">
        <f t="shared" ca="1" si="881"/>
        <v>-</v>
      </c>
      <c r="BU1030" s="826"/>
      <c r="BV1030" s="827"/>
      <c r="BW1030" s="828" t="str">
        <f t="shared" si="882"/>
        <v>Ж-Е НЕ ВАКЦ.</v>
      </c>
      <c r="BX1030" s="829" t="str">
        <f t="shared" si="883"/>
        <v>-</v>
      </c>
      <c r="BY1030" s="830" t="str">
        <f t="shared" ca="1" si="884"/>
        <v>-</v>
      </c>
      <c r="BZ1030" s="831">
        <v>42887</v>
      </c>
      <c r="CA1030" s="832">
        <v>5</v>
      </c>
      <c r="CB1030" s="833">
        <f t="shared" ca="1" si="885"/>
        <v>247</v>
      </c>
      <c r="CC1030" s="834" t="str">
        <f t="shared" ca="1" si="886"/>
        <v>-</v>
      </c>
      <c r="CD1030" s="835">
        <f t="shared" si="887"/>
        <v>42908</v>
      </c>
      <c r="CE1030" s="831">
        <v>42908</v>
      </c>
      <c r="CF1030" s="832">
        <v>5</v>
      </c>
      <c r="CG1030" s="833">
        <f t="shared" ca="1" si="888"/>
        <v>226</v>
      </c>
      <c r="CH1030" s="836">
        <f t="shared" si="889"/>
        <v>0</v>
      </c>
      <c r="CI1030" s="837" t="str">
        <f t="shared" si="890"/>
        <v>УСПЕШНО</v>
      </c>
      <c r="CJ1030" s="838" t="str">
        <f t="shared" ca="1" si="891"/>
        <v>-</v>
      </c>
      <c r="CK1030" s="831"/>
      <c r="CL1030" s="832"/>
      <c r="CM1030" s="833" t="str">
        <f t="shared" si="892"/>
        <v>-</v>
      </c>
      <c r="CN1030" s="834" t="str">
        <f t="shared" si="893"/>
        <v>-</v>
      </c>
      <c r="CO1030" s="830" t="str">
        <f t="shared" ca="1" si="894"/>
        <v>-</v>
      </c>
      <c r="CP1030" s="839"/>
      <c r="CQ1030" s="832"/>
      <c r="CR1030" s="833" t="str">
        <f t="shared" si="895"/>
        <v>-</v>
      </c>
      <c r="CS1030" s="833" t="str">
        <f t="shared" si="896"/>
        <v>-</v>
      </c>
      <c r="CT1030" s="834" t="str">
        <f t="shared" si="897"/>
        <v>-</v>
      </c>
      <c r="CU1030" s="835" t="str">
        <f t="shared" si="898"/>
        <v>-</v>
      </c>
      <c r="CV1030" s="839"/>
      <c r="CW1030" s="832"/>
      <c r="CX1030" s="833" t="str">
        <f t="shared" si="899"/>
        <v>-</v>
      </c>
      <c r="CY1030" s="840" t="str">
        <f t="shared" si="900"/>
        <v>-</v>
      </c>
      <c r="CZ1030" s="833" t="str">
        <f t="shared" si="901"/>
        <v>-</v>
      </c>
      <c r="DA1030" s="838" t="str">
        <f t="shared" ca="1" si="902"/>
        <v>-</v>
      </c>
      <c r="DB1030" s="841"/>
      <c r="DC1030" s="832"/>
    </row>
    <row r="1031" spans="1:107" x14ac:dyDescent="0.25">
      <c r="A1031" s="790">
        <v>1035</v>
      </c>
      <c r="B1031" s="791">
        <f t="shared" ca="1" si="851"/>
        <v>43134</v>
      </c>
      <c r="C1031" s="29" t="s">
        <v>2583</v>
      </c>
      <c r="D1031" s="59" t="s">
        <v>2582</v>
      </c>
      <c r="E1031" s="794" t="s">
        <v>1563</v>
      </c>
      <c r="F1031" s="795" t="s">
        <v>2589</v>
      </c>
      <c r="G1031" s="845"/>
      <c r="H1031" s="797" t="s">
        <v>603</v>
      </c>
      <c r="I1031" s="798">
        <v>42823</v>
      </c>
      <c r="J1031" s="799">
        <f t="shared" ca="1" si="852"/>
        <v>0.852054794520548</v>
      </c>
      <c r="K1031" s="799">
        <f t="shared" ca="1" si="853"/>
        <v>10.366666666666667</v>
      </c>
      <c r="L1031" s="800">
        <f t="shared" ca="1" si="854"/>
        <v>311</v>
      </c>
      <c r="M1031" s="801"/>
      <c r="N1031" s="802"/>
      <c r="O1031" s="803" t="str">
        <f t="shared" ca="1" si="855"/>
        <v>-</v>
      </c>
      <c r="P1031" s="804"/>
      <c r="Q1031" s="805"/>
      <c r="R1031" s="806"/>
      <c r="S1031" s="807"/>
      <c r="T1031" s="798"/>
      <c r="U1031" s="798" t="str">
        <f t="shared" si="856"/>
        <v>-</v>
      </c>
      <c r="V1031" s="804" t="str">
        <f t="shared" ca="1" si="857"/>
        <v>-</v>
      </c>
      <c r="W1031" s="808">
        <v>0</v>
      </c>
      <c r="X1031" s="794" t="str">
        <f t="shared" si="850"/>
        <v>-</v>
      </c>
      <c r="Y1031" s="794">
        <v>0</v>
      </c>
      <c r="Z1031" s="809" t="str">
        <f t="shared" ca="1" si="858"/>
        <v>-----</v>
      </c>
      <c r="AA1031" s="810">
        <f t="shared" ca="1" si="859"/>
        <v>43134</v>
      </c>
      <c r="AB1031" s="804"/>
      <c r="AC1031" s="811" t="str">
        <f t="shared" ca="1" si="860"/>
        <v>-----</v>
      </c>
      <c r="AD1031" s="798"/>
      <c r="AE1031" s="794" t="str">
        <f t="shared" ca="1" si="861"/>
        <v>-</v>
      </c>
      <c r="AF1031" s="798" t="str">
        <f t="shared" si="862"/>
        <v>-</v>
      </c>
      <c r="AG1031" s="812" t="str">
        <f t="shared" si="863"/>
        <v>---------</v>
      </c>
      <c r="AH1031" s="807"/>
      <c r="AI1031" s="807" t="str">
        <f t="shared" si="864"/>
        <v>-</v>
      </c>
      <c r="AJ1031" s="807" t="str">
        <f t="shared" si="865"/>
        <v>-</v>
      </c>
      <c r="AK1031" s="813"/>
      <c r="AL1031" s="807" t="str">
        <f t="shared" si="866"/>
        <v>-</v>
      </c>
      <c r="AM1031" s="807" t="str">
        <f t="shared" si="867"/>
        <v>-</v>
      </c>
      <c r="AN1031" s="814" t="str">
        <f t="shared" ca="1" si="868"/>
        <v>-</v>
      </c>
      <c r="AO1031" s="815">
        <v>1</v>
      </c>
      <c r="AP1031" s="816" t="str">
        <f t="shared" ca="1" si="869"/>
        <v>-</v>
      </c>
      <c r="AQ1031" s="817"/>
      <c r="AR1031" s="794" t="str">
        <f t="shared" si="870"/>
        <v>-</v>
      </c>
      <c r="AS1031" s="818"/>
      <c r="AT1031" s="794" t="str">
        <f t="shared" si="871"/>
        <v>-</v>
      </c>
      <c r="AU1031" s="819"/>
      <c r="AV1031" s="865"/>
      <c r="AW1031" s="821"/>
      <c r="AX1031" s="821"/>
      <c r="AY1031" s="969" t="str">
        <f t="shared" si="872"/>
        <v>-</v>
      </c>
      <c r="AZ1031" s="966" t="str">
        <f t="shared" si="873"/>
        <v>-</v>
      </c>
      <c r="BA1031" s="971" t="str">
        <f t="shared" si="874"/>
        <v>-</v>
      </c>
      <c r="BB1031" s="975"/>
      <c r="BC1031" s="821"/>
      <c r="BD1031" s="821"/>
      <c r="BE1031" s="963" t="str">
        <f t="shared" si="875"/>
        <v>-</v>
      </c>
      <c r="BF1031" s="984"/>
      <c r="BG1031" s="988"/>
      <c r="BH1031" s="982"/>
      <c r="BI1031" s="991"/>
      <c r="BJ1031" s="991"/>
      <c r="BK1031" s="993" t="str">
        <f t="shared" si="876"/>
        <v>-</v>
      </c>
      <c r="BL1031" s="865"/>
      <c r="BM1031" s="821"/>
      <c r="BN1031" s="822" t="str">
        <f t="shared" si="877"/>
        <v>-</v>
      </c>
      <c r="BO1031" s="823" t="str">
        <f t="shared" si="878"/>
        <v>-</v>
      </c>
      <c r="BP1031" s="868"/>
      <c r="BQ1031" s="821"/>
      <c r="BR1031" s="822" t="str">
        <f t="shared" si="879"/>
        <v>-</v>
      </c>
      <c r="BS1031" s="823" t="str">
        <f t="shared" si="880"/>
        <v>-</v>
      </c>
      <c r="BT1031" s="825" t="str">
        <f t="shared" ca="1" si="881"/>
        <v>-</v>
      </c>
      <c r="BU1031" s="860">
        <v>42886</v>
      </c>
      <c r="BV1031" s="827">
        <v>2</v>
      </c>
      <c r="BW1031" s="828">
        <f t="shared" si="882"/>
        <v>63</v>
      </c>
      <c r="BX1031" s="829">
        <f t="shared" ca="1" si="883"/>
        <v>248</v>
      </c>
      <c r="BY1031" s="830" t="str">
        <f t="shared" ca="1" si="884"/>
        <v>-</v>
      </c>
      <c r="BZ1031" s="831">
        <v>42915</v>
      </c>
      <c r="CA1031" s="832">
        <v>5</v>
      </c>
      <c r="CB1031" s="833">
        <f t="shared" ca="1" si="885"/>
        <v>219</v>
      </c>
      <c r="CC1031" s="834" t="str">
        <f t="shared" ca="1" si="886"/>
        <v>-</v>
      </c>
      <c r="CD1031" s="835">
        <f t="shared" si="887"/>
        <v>42936</v>
      </c>
      <c r="CE1031" s="831">
        <v>42936</v>
      </c>
      <c r="CF1031" s="832">
        <v>5</v>
      </c>
      <c r="CG1031" s="833">
        <f t="shared" ca="1" si="888"/>
        <v>198</v>
      </c>
      <c r="CH1031" s="836">
        <f t="shared" si="889"/>
        <v>0</v>
      </c>
      <c r="CI1031" s="837" t="str">
        <f t="shared" si="890"/>
        <v>УСПЕШНО</v>
      </c>
      <c r="CJ1031" s="838" t="str">
        <f t="shared" ca="1" si="891"/>
        <v>-</v>
      </c>
      <c r="CK1031" s="831"/>
      <c r="CL1031" s="832"/>
      <c r="CM1031" s="833" t="str">
        <f t="shared" si="892"/>
        <v>-</v>
      </c>
      <c r="CN1031" s="834" t="str">
        <f t="shared" si="893"/>
        <v>-</v>
      </c>
      <c r="CO1031" s="830" t="str">
        <f t="shared" ca="1" si="894"/>
        <v>-</v>
      </c>
      <c r="CP1031" s="839"/>
      <c r="CQ1031" s="832"/>
      <c r="CR1031" s="833" t="str">
        <f t="shared" si="895"/>
        <v>-</v>
      </c>
      <c r="CS1031" s="833" t="str">
        <f t="shared" si="896"/>
        <v>-</v>
      </c>
      <c r="CT1031" s="834" t="str">
        <f t="shared" si="897"/>
        <v>-</v>
      </c>
      <c r="CU1031" s="835" t="str">
        <f t="shared" si="898"/>
        <v>-</v>
      </c>
      <c r="CV1031" s="839"/>
      <c r="CW1031" s="832"/>
      <c r="CX1031" s="833" t="str">
        <f t="shared" si="899"/>
        <v>-</v>
      </c>
      <c r="CY1031" s="840" t="str">
        <f t="shared" si="900"/>
        <v>-</v>
      </c>
      <c r="CZ1031" s="833" t="str">
        <f t="shared" si="901"/>
        <v>-</v>
      </c>
      <c r="DA1031" s="838" t="str">
        <f t="shared" ca="1" si="902"/>
        <v>-</v>
      </c>
      <c r="DB1031" s="841"/>
      <c r="DC1031" s="832"/>
    </row>
    <row r="1032" spans="1:107" x14ac:dyDescent="0.25">
      <c r="A1032" s="790">
        <v>1036</v>
      </c>
      <c r="B1032" s="791">
        <f t="shared" ca="1" si="851"/>
        <v>43134</v>
      </c>
      <c r="C1032" s="792" t="s">
        <v>2583</v>
      </c>
      <c r="D1032" s="793" t="s">
        <v>2582</v>
      </c>
      <c r="E1032" s="794" t="s">
        <v>1563</v>
      </c>
      <c r="F1032" s="795" t="s">
        <v>2590</v>
      </c>
      <c r="G1032" s="845"/>
      <c r="H1032" s="797" t="s">
        <v>603</v>
      </c>
      <c r="I1032" s="798">
        <v>42824</v>
      </c>
      <c r="J1032" s="799">
        <f t="shared" ca="1" si="852"/>
        <v>0.84931506849315064</v>
      </c>
      <c r="K1032" s="799">
        <f t="shared" ca="1" si="853"/>
        <v>10.333333333333334</v>
      </c>
      <c r="L1032" s="800">
        <f t="shared" ca="1" si="854"/>
        <v>310</v>
      </c>
      <c r="M1032" s="801"/>
      <c r="N1032" s="802"/>
      <c r="O1032" s="803" t="str">
        <f t="shared" ca="1" si="855"/>
        <v>-</v>
      </c>
      <c r="P1032" s="804"/>
      <c r="Q1032" s="805"/>
      <c r="R1032" s="806"/>
      <c r="S1032" s="807"/>
      <c r="T1032" s="798"/>
      <c r="U1032" s="798" t="str">
        <f t="shared" si="856"/>
        <v>-</v>
      </c>
      <c r="V1032" s="804" t="str">
        <f t="shared" ca="1" si="857"/>
        <v>-</v>
      </c>
      <c r="W1032" s="808">
        <v>0</v>
      </c>
      <c r="X1032" s="794" t="str">
        <f t="shared" si="850"/>
        <v>-</v>
      </c>
      <c r="Y1032" s="794">
        <v>0</v>
      </c>
      <c r="Z1032" s="809" t="str">
        <f t="shared" ca="1" si="858"/>
        <v>-----</v>
      </c>
      <c r="AA1032" s="810">
        <f t="shared" ca="1" si="859"/>
        <v>43134</v>
      </c>
      <c r="AB1032" s="804"/>
      <c r="AC1032" s="811" t="str">
        <f t="shared" ca="1" si="860"/>
        <v>-----</v>
      </c>
      <c r="AD1032" s="798"/>
      <c r="AE1032" s="794" t="str">
        <f t="shared" ca="1" si="861"/>
        <v>-</v>
      </c>
      <c r="AF1032" s="798" t="str">
        <f t="shared" si="862"/>
        <v>-</v>
      </c>
      <c r="AG1032" s="812" t="str">
        <f t="shared" si="863"/>
        <v>---------</v>
      </c>
      <c r="AH1032" s="807"/>
      <c r="AI1032" s="807" t="str">
        <f t="shared" si="864"/>
        <v>-</v>
      </c>
      <c r="AJ1032" s="807" t="str">
        <f t="shared" si="865"/>
        <v>-</v>
      </c>
      <c r="AK1032" s="813"/>
      <c r="AL1032" s="807" t="str">
        <f t="shared" si="866"/>
        <v>-</v>
      </c>
      <c r="AM1032" s="807" t="str">
        <f t="shared" si="867"/>
        <v>-</v>
      </c>
      <c r="AN1032" s="814" t="str">
        <f t="shared" ca="1" si="868"/>
        <v>-</v>
      </c>
      <c r="AO1032" s="815">
        <v>1</v>
      </c>
      <c r="AP1032" s="816" t="str">
        <f t="shared" ca="1" si="869"/>
        <v>-</v>
      </c>
      <c r="AQ1032" s="817"/>
      <c r="AR1032" s="794" t="str">
        <f t="shared" si="870"/>
        <v>-</v>
      </c>
      <c r="AS1032" s="818"/>
      <c r="AT1032" s="794" t="str">
        <f t="shared" si="871"/>
        <v>-</v>
      </c>
      <c r="AU1032" s="819"/>
      <c r="AV1032" s="865"/>
      <c r="AW1032" s="821"/>
      <c r="AX1032" s="821"/>
      <c r="AY1032" s="969" t="str">
        <f t="shared" si="872"/>
        <v>-</v>
      </c>
      <c r="AZ1032" s="966" t="str">
        <f t="shared" si="873"/>
        <v>-</v>
      </c>
      <c r="BA1032" s="971" t="str">
        <f t="shared" si="874"/>
        <v>-</v>
      </c>
      <c r="BB1032" s="975"/>
      <c r="BC1032" s="821"/>
      <c r="BD1032" s="821"/>
      <c r="BE1032" s="963" t="str">
        <f t="shared" si="875"/>
        <v>-</v>
      </c>
      <c r="BF1032" s="984"/>
      <c r="BG1032" s="988"/>
      <c r="BH1032" s="982"/>
      <c r="BI1032" s="991"/>
      <c r="BJ1032" s="991"/>
      <c r="BK1032" s="993" t="str">
        <f t="shared" si="876"/>
        <v>-</v>
      </c>
      <c r="BL1032" s="865"/>
      <c r="BM1032" s="821"/>
      <c r="BN1032" s="822" t="str">
        <f t="shared" si="877"/>
        <v>-</v>
      </c>
      <c r="BO1032" s="823" t="str">
        <f t="shared" si="878"/>
        <v>-</v>
      </c>
      <c r="BP1032" s="868"/>
      <c r="BQ1032" s="821"/>
      <c r="BR1032" s="822" t="str">
        <f t="shared" si="879"/>
        <v>-</v>
      </c>
      <c r="BS1032" s="823" t="str">
        <f t="shared" si="880"/>
        <v>-</v>
      </c>
      <c r="BT1032" s="825" t="str">
        <f t="shared" ca="1" si="881"/>
        <v>-</v>
      </c>
      <c r="BU1032" s="860">
        <v>42886</v>
      </c>
      <c r="BV1032" s="827">
        <v>2</v>
      </c>
      <c r="BW1032" s="828">
        <f t="shared" si="882"/>
        <v>62</v>
      </c>
      <c r="BX1032" s="829">
        <f t="shared" ca="1" si="883"/>
        <v>248</v>
      </c>
      <c r="BY1032" s="830" t="str">
        <f t="shared" ca="1" si="884"/>
        <v>-</v>
      </c>
      <c r="BZ1032" s="831">
        <v>42915</v>
      </c>
      <c r="CA1032" s="832">
        <v>5</v>
      </c>
      <c r="CB1032" s="833">
        <f t="shared" ca="1" si="885"/>
        <v>219</v>
      </c>
      <c r="CC1032" s="834" t="str">
        <f t="shared" ca="1" si="886"/>
        <v>-</v>
      </c>
      <c r="CD1032" s="835">
        <f t="shared" si="887"/>
        <v>42936</v>
      </c>
      <c r="CE1032" s="831">
        <v>42936</v>
      </c>
      <c r="CF1032" s="832">
        <v>5</v>
      </c>
      <c r="CG1032" s="833">
        <f t="shared" ca="1" si="888"/>
        <v>198</v>
      </c>
      <c r="CH1032" s="836">
        <f t="shared" si="889"/>
        <v>0</v>
      </c>
      <c r="CI1032" s="837" t="str">
        <f t="shared" si="890"/>
        <v>УСПЕШНО</v>
      </c>
      <c r="CJ1032" s="838" t="str">
        <f t="shared" ca="1" si="891"/>
        <v>-</v>
      </c>
      <c r="CK1032" s="831"/>
      <c r="CL1032" s="832"/>
      <c r="CM1032" s="833" t="str">
        <f t="shared" si="892"/>
        <v>-</v>
      </c>
      <c r="CN1032" s="834" t="str">
        <f t="shared" si="893"/>
        <v>-</v>
      </c>
      <c r="CO1032" s="830" t="str">
        <f t="shared" ca="1" si="894"/>
        <v>-</v>
      </c>
      <c r="CP1032" s="839"/>
      <c r="CQ1032" s="832"/>
      <c r="CR1032" s="833" t="str">
        <f t="shared" si="895"/>
        <v>-</v>
      </c>
      <c r="CS1032" s="833" t="str">
        <f t="shared" si="896"/>
        <v>-</v>
      </c>
      <c r="CT1032" s="834" t="str">
        <f t="shared" si="897"/>
        <v>-</v>
      </c>
      <c r="CU1032" s="835" t="str">
        <f t="shared" si="898"/>
        <v>-</v>
      </c>
      <c r="CV1032" s="839"/>
      <c r="CW1032" s="832"/>
      <c r="CX1032" s="833" t="str">
        <f t="shared" si="899"/>
        <v>-</v>
      </c>
      <c r="CY1032" s="840" t="str">
        <f t="shared" si="900"/>
        <v>-</v>
      </c>
      <c r="CZ1032" s="833" t="str">
        <f t="shared" si="901"/>
        <v>-</v>
      </c>
      <c r="DA1032" s="838" t="str">
        <f t="shared" ca="1" si="902"/>
        <v>-</v>
      </c>
      <c r="DB1032" s="841"/>
      <c r="DC1032" s="832"/>
    </row>
    <row r="1033" spans="1:107" x14ac:dyDescent="0.25">
      <c r="A1033" s="790">
        <v>1037</v>
      </c>
      <c r="B1033" s="791">
        <f t="shared" ca="1" si="851"/>
        <v>43134</v>
      </c>
      <c r="C1033" s="29" t="s">
        <v>2583</v>
      </c>
      <c r="D1033" s="59" t="s">
        <v>2582</v>
      </c>
      <c r="E1033" s="794" t="s">
        <v>1563</v>
      </c>
      <c r="F1033" s="795" t="s">
        <v>2591</v>
      </c>
      <c r="G1033" s="845"/>
      <c r="H1033" s="797" t="s">
        <v>603</v>
      </c>
      <c r="I1033" s="798">
        <v>42824</v>
      </c>
      <c r="J1033" s="799">
        <f t="shared" ca="1" si="852"/>
        <v>0.84931506849315064</v>
      </c>
      <c r="K1033" s="799">
        <f t="shared" ca="1" si="853"/>
        <v>10.333333333333334</v>
      </c>
      <c r="L1033" s="800">
        <f t="shared" ca="1" si="854"/>
        <v>310</v>
      </c>
      <c r="M1033" s="801"/>
      <c r="N1033" s="802"/>
      <c r="O1033" s="803" t="str">
        <f t="shared" ca="1" si="855"/>
        <v>-</v>
      </c>
      <c r="P1033" s="804"/>
      <c r="Q1033" s="805"/>
      <c r="R1033" s="806"/>
      <c r="S1033" s="807"/>
      <c r="T1033" s="798"/>
      <c r="U1033" s="798" t="str">
        <f t="shared" si="856"/>
        <v>-</v>
      </c>
      <c r="V1033" s="804" t="str">
        <f t="shared" ca="1" si="857"/>
        <v>-</v>
      </c>
      <c r="W1033" s="808">
        <v>0</v>
      </c>
      <c r="X1033" s="794" t="str">
        <f t="shared" si="850"/>
        <v>-</v>
      </c>
      <c r="Y1033" s="794">
        <v>0</v>
      </c>
      <c r="Z1033" s="809" t="str">
        <f t="shared" ca="1" si="858"/>
        <v>-----</v>
      </c>
      <c r="AA1033" s="810">
        <f t="shared" ca="1" si="859"/>
        <v>43134</v>
      </c>
      <c r="AB1033" s="804"/>
      <c r="AC1033" s="811" t="str">
        <f t="shared" ca="1" si="860"/>
        <v>-----</v>
      </c>
      <c r="AD1033" s="798"/>
      <c r="AE1033" s="794" t="str">
        <f t="shared" ca="1" si="861"/>
        <v>-</v>
      </c>
      <c r="AF1033" s="798" t="str">
        <f t="shared" si="862"/>
        <v>-</v>
      </c>
      <c r="AG1033" s="812" t="str">
        <f t="shared" si="863"/>
        <v>---------</v>
      </c>
      <c r="AH1033" s="807"/>
      <c r="AI1033" s="807" t="str">
        <f t="shared" si="864"/>
        <v>-</v>
      </c>
      <c r="AJ1033" s="807" t="str">
        <f t="shared" si="865"/>
        <v>-</v>
      </c>
      <c r="AK1033" s="813"/>
      <c r="AL1033" s="807" t="str">
        <f t="shared" si="866"/>
        <v>-</v>
      </c>
      <c r="AM1033" s="807" t="str">
        <f t="shared" si="867"/>
        <v>-</v>
      </c>
      <c r="AN1033" s="814" t="str">
        <f t="shared" ca="1" si="868"/>
        <v>-</v>
      </c>
      <c r="AO1033" s="815">
        <v>1</v>
      </c>
      <c r="AP1033" s="816" t="str">
        <f t="shared" ca="1" si="869"/>
        <v>-</v>
      </c>
      <c r="AQ1033" s="817"/>
      <c r="AR1033" s="794" t="str">
        <f t="shared" si="870"/>
        <v>-</v>
      </c>
      <c r="AS1033" s="818"/>
      <c r="AT1033" s="794" t="str">
        <f t="shared" si="871"/>
        <v>-</v>
      </c>
      <c r="AU1033" s="819"/>
      <c r="AV1033" s="865"/>
      <c r="AW1033" s="821"/>
      <c r="AX1033" s="821"/>
      <c r="AY1033" s="969" t="str">
        <f t="shared" si="872"/>
        <v>-</v>
      </c>
      <c r="AZ1033" s="966" t="str">
        <f t="shared" si="873"/>
        <v>-</v>
      </c>
      <c r="BA1033" s="971" t="str">
        <f t="shared" si="874"/>
        <v>-</v>
      </c>
      <c r="BB1033" s="975"/>
      <c r="BC1033" s="821"/>
      <c r="BD1033" s="821"/>
      <c r="BE1033" s="963" t="str">
        <f t="shared" si="875"/>
        <v>-</v>
      </c>
      <c r="BF1033" s="984"/>
      <c r="BG1033" s="988"/>
      <c r="BH1033" s="982"/>
      <c r="BI1033" s="991"/>
      <c r="BJ1033" s="991"/>
      <c r="BK1033" s="993" t="str">
        <f t="shared" si="876"/>
        <v>-</v>
      </c>
      <c r="BL1033" s="865"/>
      <c r="BM1033" s="821"/>
      <c r="BN1033" s="822" t="str">
        <f t="shared" si="877"/>
        <v>-</v>
      </c>
      <c r="BO1033" s="823" t="str">
        <f t="shared" si="878"/>
        <v>-</v>
      </c>
      <c r="BP1033" s="868"/>
      <c r="BQ1033" s="821"/>
      <c r="BR1033" s="822" t="str">
        <f t="shared" si="879"/>
        <v>-</v>
      </c>
      <c r="BS1033" s="823" t="str">
        <f t="shared" si="880"/>
        <v>-</v>
      </c>
      <c r="BT1033" s="825" t="str">
        <f t="shared" ca="1" si="881"/>
        <v>-</v>
      </c>
      <c r="BU1033" s="860">
        <v>42886</v>
      </c>
      <c r="BV1033" s="827">
        <v>2</v>
      </c>
      <c r="BW1033" s="828">
        <f t="shared" si="882"/>
        <v>62</v>
      </c>
      <c r="BX1033" s="829">
        <f t="shared" ca="1" si="883"/>
        <v>248</v>
      </c>
      <c r="BY1033" s="830" t="str">
        <f t="shared" ca="1" si="884"/>
        <v>-</v>
      </c>
      <c r="BZ1033" s="831">
        <v>42915</v>
      </c>
      <c r="CA1033" s="832">
        <v>5</v>
      </c>
      <c r="CB1033" s="833">
        <f t="shared" ca="1" si="885"/>
        <v>219</v>
      </c>
      <c r="CC1033" s="834" t="str">
        <f t="shared" ca="1" si="886"/>
        <v>-</v>
      </c>
      <c r="CD1033" s="835">
        <f t="shared" si="887"/>
        <v>42936</v>
      </c>
      <c r="CE1033" s="831">
        <v>42936</v>
      </c>
      <c r="CF1033" s="832">
        <v>5</v>
      </c>
      <c r="CG1033" s="833">
        <f t="shared" ca="1" si="888"/>
        <v>198</v>
      </c>
      <c r="CH1033" s="836">
        <f t="shared" si="889"/>
        <v>0</v>
      </c>
      <c r="CI1033" s="837" t="str">
        <f t="shared" si="890"/>
        <v>УСПЕШНО</v>
      </c>
      <c r="CJ1033" s="838" t="str">
        <f t="shared" ca="1" si="891"/>
        <v>-</v>
      </c>
      <c r="CK1033" s="831"/>
      <c r="CL1033" s="832"/>
      <c r="CM1033" s="833" t="str">
        <f t="shared" si="892"/>
        <v>-</v>
      </c>
      <c r="CN1033" s="834" t="str">
        <f t="shared" si="893"/>
        <v>-</v>
      </c>
      <c r="CO1033" s="830" t="str">
        <f t="shared" ca="1" si="894"/>
        <v>-</v>
      </c>
      <c r="CP1033" s="839"/>
      <c r="CQ1033" s="832"/>
      <c r="CR1033" s="833" t="str">
        <f t="shared" si="895"/>
        <v>-</v>
      </c>
      <c r="CS1033" s="833" t="str">
        <f t="shared" si="896"/>
        <v>-</v>
      </c>
      <c r="CT1033" s="834" t="str">
        <f t="shared" si="897"/>
        <v>-</v>
      </c>
      <c r="CU1033" s="835" t="str">
        <f t="shared" si="898"/>
        <v>-</v>
      </c>
      <c r="CV1033" s="839"/>
      <c r="CW1033" s="832"/>
      <c r="CX1033" s="833" t="str">
        <f t="shared" si="899"/>
        <v>-</v>
      </c>
      <c r="CY1033" s="840" t="str">
        <f t="shared" si="900"/>
        <v>-</v>
      </c>
      <c r="CZ1033" s="833" t="str">
        <f t="shared" si="901"/>
        <v>-</v>
      </c>
      <c r="DA1033" s="838" t="str">
        <f t="shared" ca="1" si="902"/>
        <v>-</v>
      </c>
      <c r="DB1033" s="841"/>
      <c r="DC1033" s="832"/>
    </row>
    <row r="1034" spans="1:107" x14ac:dyDescent="0.25">
      <c r="A1034" s="790">
        <v>1038</v>
      </c>
      <c r="B1034" s="791">
        <f t="shared" ca="1" si="851"/>
        <v>43134</v>
      </c>
      <c r="C1034" s="792" t="s">
        <v>2583</v>
      </c>
      <c r="D1034" s="793" t="s">
        <v>2582</v>
      </c>
      <c r="E1034" s="794" t="s">
        <v>1563</v>
      </c>
      <c r="F1034" s="795" t="s">
        <v>2603</v>
      </c>
      <c r="G1034" s="845"/>
      <c r="H1034" s="797" t="s">
        <v>603</v>
      </c>
      <c r="I1034" s="798">
        <v>42828</v>
      </c>
      <c r="J1034" s="799">
        <f t="shared" ca="1" si="852"/>
        <v>0.83835616438356164</v>
      </c>
      <c r="K1034" s="799">
        <f t="shared" ca="1" si="853"/>
        <v>10.199999999999999</v>
      </c>
      <c r="L1034" s="800">
        <f t="shared" ca="1" si="854"/>
        <v>306</v>
      </c>
      <c r="M1034" s="801"/>
      <c r="N1034" s="802"/>
      <c r="O1034" s="803" t="str">
        <f t="shared" ca="1" si="855"/>
        <v>-</v>
      </c>
      <c r="P1034" s="804"/>
      <c r="Q1034" s="805"/>
      <c r="R1034" s="806"/>
      <c r="S1034" s="807"/>
      <c r="T1034" s="798"/>
      <c r="U1034" s="798" t="str">
        <f t="shared" si="856"/>
        <v>-</v>
      </c>
      <c r="V1034" s="804" t="str">
        <f t="shared" ca="1" si="857"/>
        <v>-</v>
      </c>
      <c r="W1034" s="808">
        <v>0</v>
      </c>
      <c r="X1034" s="794" t="str">
        <f t="shared" si="850"/>
        <v>-</v>
      </c>
      <c r="Y1034" s="794">
        <v>0</v>
      </c>
      <c r="Z1034" s="809" t="str">
        <f t="shared" ca="1" si="858"/>
        <v>-----</v>
      </c>
      <c r="AA1034" s="810">
        <f t="shared" ca="1" si="859"/>
        <v>43134</v>
      </c>
      <c r="AB1034" s="804"/>
      <c r="AC1034" s="811" t="str">
        <f t="shared" ca="1" si="860"/>
        <v>-----</v>
      </c>
      <c r="AD1034" s="798"/>
      <c r="AE1034" s="794" t="str">
        <f t="shared" ca="1" si="861"/>
        <v>-</v>
      </c>
      <c r="AF1034" s="798" t="str">
        <f t="shared" si="862"/>
        <v>-</v>
      </c>
      <c r="AG1034" s="812" t="str">
        <f t="shared" si="863"/>
        <v>---------</v>
      </c>
      <c r="AH1034" s="807"/>
      <c r="AI1034" s="807" t="str">
        <f t="shared" si="864"/>
        <v>-</v>
      </c>
      <c r="AJ1034" s="807" t="str">
        <f t="shared" si="865"/>
        <v>-</v>
      </c>
      <c r="AK1034" s="813"/>
      <c r="AL1034" s="807" t="str">
        <f t="shared" si="866"/>
        <v>-</v>
      </c>
      <c r="AM1034" s="807" t="str">
        <f t="shared" si="867"/>
        <v>-</v>
      </c>
      <c r="AN1034" s="814" t="str">
        <f t="shared" ca="1" si="868"/>
        <v>-</v>
      </c>
      <c r="AO1034" s="815">
        <v>1</v>
      </c>
      <c r="AP1034" s="816" t="str">
        <f t="shared" ca="1" si="869"/>
        <v>-</v>
      </c>
      <c r="AQ1034" s="817"/>
      <c r="AR1034" s="794" t="str">
        <f t="shared" si="870"/>
        <v>-</v>
      </c>
      <c r="AS1034" s="818"/>
      <c r="AT1034" s="794" t="str">
        <f t="shared" si="871"/>
        <v>-</v>
      </c>
      <c r="AU1034" s="819"/>
      <c r="AV1034" s="865"/>
      <c r="AW1034" s="821"/>
      <c r="AX1034" s="821"/>
      <c r="AY1034" s="969" t="str">
        <f t="shared" si="872"/>
        <v>-</v>
      </c>
      <c r="AZ1034" s="966" t="str">
        <f t="shared" si="873"/>
        <v>-</v>
      </c>
      <c r="BA1034" s="971" t="str">
        <f t="shared" si="874"/>
        <v>-</v>
      </c>
      <c r="BB1034" s="975"/>
      <c r="BC1034" s="821"/>
      <c r="BD1034" s="821"/>
      <c r="BE1034" s="963" t="str">
        <f t="shared" si="875"/>
        <v>-</v>
      </c>
      <c r="BF1034" s="984"/>
      <c r="BG1034" s="988"/>
      <c r="BH1034" s="982"/>
      <c r="BI1034" s="991"/>
      <c r="BJ1034" s="991"/>
      <c r="BK1034" s="993" t="str">
        <f t="shared" si="876"/>
        <v>-</v>
      </c>
      <c r="BL1034" s="865"/>
      <c r="BM1034" s="821"/>
      <c r="BN1034" s="822" t="str">
        <f t="shared" si="877"/>
        <v>-</v>
      </c>
      <c r="BO1034" s="823" t="str">
        <f t="shared" si="878"/>
        <v>-</v>
      </c>
      <c r="BP1034" s="868"/>
      <c r="BQ1034" s="821"/>
      <c r="BR1034" s="822" t="str">
        <f t="shared" si="879"/>
        <v>-</v>
      </c>
      <c r="BS1034" s="823" t="str">
        <f t="shared" si="880"/>
        <v>-</v>
      </c>
      <c r="BT1034" s="825" t="str">
        <f t="shared" ca="1" si="881"/>
        <v>-</v>
      </c>
      <c r="BU1034" s="860">
        <v>42886</v>
      </c>
      <c r="BV1034" s="827">
        <v>2</v>
      </c>
      <c r="BW1034" s="828">
        <f t="shared" si="882"/>
        <v>58</v>
      </c>
      <c r="BX1034" s="829">
        <f t="shared" ca="1" si="883"/>
        <v>248</v>
      </c>
      <c r="BY1034" s="830" t="str">
        <f t="shared" ca="1" si="884"/>
        <v>-</v>
      </c>
      <c r="BZ1034" s="831">
        <v>42915</v>
      </c>
      <c r="CA1034" s="832">
        <v>5</v>
      </c>
      <c r="CB1034" s="833">
        <f t="shared" ca="1" si="885"/>
        <v>219</v>
      </c>
      <c r="CC1034" s="834" t="str">
        <f t="shared" ca="1" si="886"/>
        <v>-</v>
      </c>
      <c r="CD1034" s="835">
        <f t="shared" si="887"/>
        <v>42936</v>
      </c>
      <c r="CE1034" s="831">
        <v>42936</v>
      </c>
      <c r="CF1034" s="832">
        <v>5</v>
      </c>
      <c r="CG1034" s="833">
        <f t="shared" ca="1" si="888"/>
        <v>198</v>
      </c>
      <c r="CH1034" s="836">
        <f t="shared" si="889"/>
        <v>0</v>
      </c>
      <c r="CI1034" s="837" t="str">
        <f t="shared" si="890"/>
        <v>УСПЕШНО</v>
      </c>
      <c r="CJ1034" s="838" t="str">
        <f t="shared" ca="1" si="891"/>
        <v>-</v>
      </c>
      <c r="CK1034" s="831"/>
      <c r="CL1034" s="832"/>
      <c r="CM1034" s="833" t="str">
        <f t="shared" si="892"/>
        <v>-</v>
      </c>
      <c r="CN1034" s="834" t="str">
        <f t="shared" si="893"/>
        <v>-</v>
      </c>
      <c r="CO1034" s="830" t="str">
        <f t="shared" ca="1" si="894"/>
        <v>-</v>
      </c>
      <c r="CP1034" s="839"/>
      <c r="CQ1034" s="832"/>
      <c r="CR1034" s="833" t="str">
        <f t="shared" si="895"/>
        <v>-</v>
      </c>
      <c r="CS1034" s="833" t="str">
        <f t="shared" si="896"/>
        <v>-</v>
      </c>
      <c r="CT1034" s="834" t="str">
        <f t="shared" si="897"/>
        <v>-</v>
      </c>
      <c r="CU1034" s="835" t="str">
        <f t="shared" si="898"/>
        <v>-</v>
      </c>
      <c r="CV1034" s="839"/>
      <c r="CW1034" s="832"/>
      <c r="CX1034" s="833" t="str">
        <f t="shared" si="899"/>
        <v>-</v>
      </c>
      <c r="CY1034" s="840" t="str">
        <f t="shared" si="900"/>
        <v>-</v>
      </c>
      <c r="CZ1034" s="833" t="str">
        <f t="shared" si="901"/>
        <v>-</v>
      </c>
      <c r="DA1034" s="838" t="str">
        <f t="shared" ca="1" si="902"/>
        <v>-</v>
      </c>
      <c r="DB1034" s="841"/>
      <c r="DC1034" s="832"/>
    </row>
    <row r="1035" spans="1:107" x14ac:dyDescent="0.25">
      <c r="A1035" s="790">
        <v>1039</v>
      </c>
      <c r="B1035" s="791">
        <f t="shared" ca="1" si="851"/>
        <v>43134</v>
      </c>
      <c r="C1035" s="29" t="s">
        <v>2583</v>
      </c>
      <c r="D1035" s="59" t="s">
        <v>2582</v>
      </c>
      <c r="E1035" s="794" t="s">
        <v>1563</v>
      </c>
      <c r="F1035" s="795" t="s">
        <v>2609</v>
      </c>
      <c r="G1035" s="845"/>
      <c r="H1035" s="797" t="s">
        <v>603</v>
      </c>
      <c r="I1035" s="798">
        <v>42829</v>
      </c>
      <c r="J1035" s="799">
        <f t="shared" ca="1" si="852"/>
        <v>0.83561643835616439</v>
      </c>
      <c r="K1035" s="799">
        <f t="shared" ca="1" si="853"/>
        <v>10.166666666666666</v>
      </c>
      <c r="L1035" s="800">
        <f t="shared" ca="1" si="854"/>
        <v>305</v>
      </c>
      <c r="M1035" s="801"/>
      <c r="N1035" s="802"/>
      <c r="O1035" s="803" t="str">
        <f t="shared" ca="1" si="855"/>
        <v>-</v>
      </c>
      <c r="P1035" s="804"/>
      <c r="Q1035" s="805"/>
      <c r="R1035" s="806"/>
      <c r="S1035" s="807"/>
      <c r="T1035" s="798"/>
      <c r="U1035" s="798" t="str">
        <f t="shared" si="856"/>
        <v>-</v>
      </c>
      <c r="V1035" s="804" t="str">
        <f t="shared" ca="1" si="857"/>
        <v>-</v>
      </c>
      <c r="W1035" s="808">
        <v>0</v>
      </c>
      <c r="X1035" s="794" t="str">
        <f t="shared" si="850"/>
        <v>-</v>
      </c>
      <c r="Y1035" s="794">
        <v>0</v>
      </c>
      <c r="Z1035" s="809" t="str">
        <f t="shared" ca="1" si="858"/>
        <v>-----</v>
      </c>
      <c r="AA1035" s="810">
        <f t="shared" ca="1" si="859"/>
        <v>43134</v>
      </c>
      <c r="AB1035" s="804"/>
      <c r="AC1035" s="811" t="str">
        <f t="shared" ca="1" si="860"/>
        <v>-----</v>
      </c>
      <c r="AD1035" s="798"/>
      <c r="AE1035" s="794" t="str">
        <f t="shared" ca="1" si="861"/>
        <v>-</v>
      </c>
      <c r="AF1035" s="798" t="str">
        <f t="shared" si="862"/>
        <v>-</v>
      </c>
      <c r="AG1035" s="812" t="str">
        <f t="shared" si="863"/>
        <v>---------</v>
      </c>
      <c r="AH1035" s="807"/>
      <c r="AI1035" s="807" t="str">
        <f t="shared" si="864"/>
        <v>-</v>
      </c>
      <c r="AJ1035" s="807" t="str">
        <f t="shared" si="865"/>
        <v>-</v>
      </c>
      <c r="AK1035" s="813"/>
      <c r="AL1035" s="807" t="str">
        <f t="shared" si="866"/>
        <v>-</v>
      </c>
      <c r="AM1035" s="807" t="str">
        <f t="shared" si="867"/>
        <v>-</v>
      </c>
      <c r="AN1035" s="814" t="str">
        <f t="shared" ca="1" si="868"/>
        <v>-</v>
      </c>
      <c r="AO1035" s="815">
        <v>1</v>
      </c>
      <c r="AP1035" s="816" t="str">
        <f t="shared" ca="1" si="869"/>
        <v>-</v>
      </c>
      <c r="AQ1035" s="817"/>
      <c r="AR1035" s="794" t="str">
        <f t="shared" si="870"/>
        <v>-</v>
      </c>
      <c r="AS1035" s="818"/>
      <c r="AT1035" s="794" t="str">
        <f t="shared" si="871"/>
        <v>-</v>
      </c>
      <c r="AU1035" s="819"/>
      <c r="AV1035" s="865"/>
      <c r="AW1035" s="821"/>
      <c r="AX1035" s="821"/>
      <c r="AY1035" s="969" t="str">
        <f t="shared" si="872"/>
        <v>-</v>
      </c>
      <c r="AZ1035" s="966" t="str">
        <f t="shared" si="873"/>
        <v>-</v>
      </c>
      <c r="BA1035" s="971" t="str">
        <f t="shared" si="874"/>
        <v>-</v>
      </c>
      <c r="BB1035" s="975"/>
      <c r="BC1035" s="821"/>
      <c r="BD1035" s="821"/>
      <c r="BE1035" s="963" t="str">
        <f t="shared" si="875"/>
        <v>-</v>
      </c>
      <c r="BF1035" s="984"/>
      <c r="BG1035" s="988"/>
      <c r="BH1035" s="982"/>
      <c r="BI1035" s="991"/>
      <c r="BJ1035" s="991"/>
      <c r="BK1035" s="993" t="str">
        <f t="shared" si="876"/>
        <v>-</v>
      </c>
      <c r="BL1035" s="865"/>
      <c r="BM1035" s="821"/>
      <c r="BN1035" s="822" t="str">
        <f t="shared" si="877"/>
        <v>-</v>
      </c>
      <c r="BO1035" s="823" t="str">
        <f t="shared" si="878"/>
        <v>-</v>
      </c>
      <c r="BP1035" s="868"/>
      <c r="BQ1035" s="821"/>
      <c r="BR1035" s="822" t="str">
        <f t="shared" si="879"/>
        <v>-</v>
      </c>
      <c r="BS1035" s="823" t="str">
        <f t="shared" si="880"/>
        <v>-</v>
      </c>
      <c r="BT1035" s="825" t="str">
        <f t="shared" ca="1" si="881"/>
        <v>-</v>
      </c>
      <c r="BU1035" s="860">
        <v>42886</v>
      </c>
      <c r="BV1035" s="827">
        <v>2</v>
      </c>
      <c r="BW1035" s="828">
        <f t="shared" si="882"/>
        <v>57</v>
      </c>
      <c r="BX1035" s="829">
        <f t="shared" ca="1" si="883"/>
        <v>248</v>
      </c>
      <c r="BY1035" s="830" t="str">
        <f t="shared" ca="1" si="884"/>
        <v>-</v>
      </c>
      <c r="BZ1035" s="831">
        <v>42915</v>
      </c>
      <c r="CA1035" s="832">
        <v>5</v>
      </c>
      <c r="CB1035" s="833">
        <f t="shared" ca="1" si="885"/>
        <v>219</v>
      </c>
      <c r="CC1035" s="834" t="str">
        <f t="shared" ca="1" si="886"/>
        <v>-</v>
      </c>
      <c r="CD1035" s="835">
        <f t="shared" si="887"/>
        <v>42936</v>
      </c>
      <c r="CE1035" s="831">
        <v>42936</v>
      </c>
      <c r="CF1035" s="832">
        <v>5</v>
      </c>
      <c r="CG1035" s="833">
        <f t="shared" ca="1" si="888"/>
        <v>198</v>
      </c>
      <c r="CH1035" s="836">
        <f t="shared" si="889"/>
        <v>0</v>
      </c>
      <c r="CI1035" s="837" t="str">
        <f t="shared" si="890"/>
        <v>УСПЕШНО</v>
      </c>
      <c r="CJ1035" s="838" t="str">
        <f t="shared" ca="1" si="891"/>
        <v>-</v>
      </c>
      <c r="CK1035" s="831"/>
      <c r="CL1035" s="832"/>
      <c r="CM1035" s="833" t="str">
        <f t="shared" si="892"/>
        <v>-</v>
      </c>
      <c r="CN1035" s="834" t="str">
        <f t="shared" si="893"/>
        <v>-</v>
      </c>
      <c r="CO1035" s="830" t="str">
        <f t="shared" ca="1" si="894"/>
        <v>-</v>
      </c>
      <c r="CP1035" s="839"/>
      <c r="CQ1035" s="832"/>
      <c r="CR1035" s="833" t="str">
        <f t="shared" si="895"/>
        <v>-</v>
      </c>
      <c r="CS1035" s="833" t="str">
        <f t="shared" si="896"/>
        <v>-</v>
      </c>
      <c r="CT1035" s="834" t="str">
        <f t="shared" si="897"/>
        <v>-</v>
      </c>
      <c r="CU1035" s="835" t="str">
        <f t="shared" si="898"/>
        <v>-</v>
      </c>
      <c r="CV1035" s="839"/>
      <c r="CW1035" s="832"/>
      <c r="CX1035" s="833" t="str">
        <f t="shared" si="899"/>
        <v>-</v>
      </c>
      <c r="CY1035" s="840" t="str">
        <f t="shared" si="900"/>
        <v>-</v>
      </c>
      <c r="CZ1035" s="833" t="str">
        <f t="shared" si="901"/>
        <v>-</v>
      </c>
      <c r="DA1035" s="838" t="str">
        <f t="shared" ca="1" si="902"/>
        <v>-</v>
      </c>
      <c r="DB1035" s="841"/>
      <c r="DC1035" s="832"/>
    </row>
    <row r="1036" spans="1:107" x14ac:dyDescent="0.25">
      <c r="A1036" s="790">
        <v>1040</v>
      </c>
      <c r="B1036" s="791">
        <f t="shared" ca="1" si="851"/>
        <v>43134</v>
      </c>
      <c r="C1036" s="29" t="s">
        <v>2583</v>
      </c>
      <c r="D1036" s="59" t="s">
        <v>2582</v>
      </c>
      <c r="E1036" s="794" t="s">
        <v>1563</v>
      </c>
      <c r="F1036" s="795" t="s">
        <v>2614</v>
      </c>
      <c r="G1036" s="845"/>
      <c r="H1036" s="797" t="s">
        <v>603</v>
      </c>
      <c r="I1036" s="798">
        <v>42829</v>
      </c>
      <c r="J1036" s="799">
        <f t="shared" ca="1" si="852"/>
        <v>0.83561643835616439</v>
      </c>
      <c r="K1036" s="799">
        <f t="shared" ca="1" si="853"/>
        <v>10.166666666666666</v>
      </c>
      <c r="L1036" s="800">
        <f t="shared" ca="1" si="854"/>
        <v>305</v>
      </c>
      <c r="M1036" s="801"/>
      <c r="N1036" s="802"/>
      <c r="O1036" s="803" t="str">
        <f t="shared" ca="1" si="855"/>
        <v>-</v>
      </c>
      <c r="P1036" s="804"/>
      <c r="Q1036" s="805"/>
      <c r="R1036" s="806"/>
      <c r="S1036" s="807"/>
      <c r="T1036" s="798"/>
      <c r="U1036" s="798" t="str">
        <f t="shared" si="856"/>
        <v>-</v>
      </c>
      <c r="V1036" s="804" t="str">
        <f t="shared" ca="1" si="857"/>
        <v>-</v>
      </c>
      <c r="W1036" s="808">
        <v>0</v>
      </c>
      <c r="X1036" s="794" t="str">
        <f t="shared" si="850"/>
        <v>-</v>
      </c>
      <c r="Y1036" s="794">
        <v>0</v>
      </c>
      <c r="Z1036" s="809" t="str">
        <f t="shared" ca="1" si="858"/>
        <v>-----</v>
      </c>
      <c r="AA1036" s="810">
        <f t="shared" ca="1" si="859"/>
        <v>43134</v>
      </c>
      <c r="AB1036" s="804"/>
      <c r="AC1036" s="811" t="str">
        <f t="shared" ca="1" si="860"/>
        <v>-----</v>
      </c>
      <c r="AD1036" s="798"/>
      <c r="AE1036" s="794" t="str">
        <f t="shared" ca="1" si="861"/>
        <v>-</v>
      </c>
      <c r="AF1036" s="798" t="str">
        <f t="shared" si="862"/>
        <v>-</v>
      </c>
      <c r="AG1036" s="812" t="str">
        <f t="shared" si="863"/>
        <v>---------</v>
      </c>
      <c r="AH1036" s="807"/>
      <c r="AI1036" s="807" t="str">
        <f t="shared" si="864"/>
        <v>-</v>
      </c>
      <c r="AJ1036" s="807" t="str">
        <f t="shared" si="865"/>
        <v>-</v>
      </c>
      <c r="AK1036" s="813"/>
      <c r="AL1036" s="807" t="str">
        <f t="shared" si="866"/>
        <v>-</v>
      </c>
      <c r="AM1036" s="807" t="str">
        <f t="shared" si="867"/>
        <v>-</v>
      </c>
      <c r="AN1036" s="814" t="str">
        <f t="shared" ca="1" si="868"/>
        <v>-</v>
      </c>
      <c r="AO1036" s="815">
        <v>1</v>
      </c>
      <c r="AP1036" s="816" t="str">
        <f t="shared" ca="1" si="869"/>
        <v>-</v>
      </c>
      <c r="AQ1036" s="817"/>
      <c r="AR1036" s="794" t="str">
        <f t="shared" si="870"/>
        <v>-</v>
      </c>
      <c r="AS1036" s="818"/>
      <c r="AT1036" s="794" t="str">
        <f t="shared" si="871"/>
        <v>-</v>
      </c>
      <c r="AU1036" s="819"/>
      <c r="AV1036" s="865"/>
      <c r="AW1036" s="821"/>
      <c r="AX1036" s="821"/>
      <c r="AY1036" s="969" t="str">
        <f t="shared" si="872"/>
        <v>-</v>
      </c>
      <c r="AZ1036" s="966" t="str">
        <f t="shared" si="873"/>
        <v>-</v>
      </c>
      <c r="BA1036" s="971" t="str">
        <f t="shared" si="874"/>
        <v>-</v>
      </c>
      <c r="BB1036" s="975"/>
      <c r="BC1036" s="821"/>
      <c r="BD1036" s="821"/>
      <c r="BE1036" s="963" t="str">
        <f t="shared" si="875"/>
        <v>-</v>
      </c>
      <c r="BF1036" s="984"/>
      <c r="BG1036" s="988"/>
      <c r="BH1036" s="982"/>
      <c r="BI1036" s="991"/>
      <c r="BJ1036" s="991"/>
      <c r="BK1036" s="993" t="str">
        <f t="shared" si="876"/>
        <v>-</v>
      </c>
      <c r="BL1036" s="865"/>
      <c r="BM1036" s="821"/>
      <c r="BN1036" s="822" t="str">
        <f t="shared" si="877"/>
        <v>-</v>
      </c>
      <c r="BO1036" s="823" t="str">
        <f t="shared" si="878"/>
        <v>-</v>
      </c>
      <c r="BP1036" s="868"/>
      <c r="BQ1036" s="821"/>
      <c r="BR1036" s="822" t="str">
        <f t="shared" si="879"/>
        <v>-</v>
      </c>
      <c r="BS1036" s="823" t="str">
        <f t="shared" si="880"/>
        <v>-</v>
      </c>
      <c r="BT1036" s="825" t="str">
        <f t="shared" ca="1" si="881"/>
        <v>-</v>
      </c>
      <c r="BU1036" s="860">
        <v>42886</v>
      </c>
      <c r="BV1036" s="827">
        <v>2</v>
      </c>
      <c r="BW1036" s="828">
        <f t="shared" si="882"/>
        <v>57</v>
      </c>
      <c r="BX1036" s="829">
        <f t="shared" ca="1" si="883"/>
        <v>248</v>
      </c>
      <c r="BY1036" s="830" t="str">
        <f t="shared" ca="1" si="884"/>
        <v>-</v>
      </c>
      <c r="BZ1036" s="831">
        <v>42915</v>
      </c>
      <c r="CA1036" s="832">
        <v>5</v>
      </c>
      <c r="CB1036" s="833">
        <f t="shared" ca="1" si="885"/>
        <v>219</v>
      </c>
      <c r="CC1036" s="834" t="str">
        <f t="shared" ca="1" si="886"/>
        <v>-</v>
      </c>
      <c r="CD1036" s="835">
        <f t="shared" si="887"/>
        <v>42936</v>
      </c>
      <c r="CE1036" s="831">
        <v>42936</v>
      </c>
      <c r="CF1036" s="832">
        <v>5</v>
      </c>
      <c r="CG1036" s="833">
        <f t="shared" ca="1" si="888"/>
        <v>198</v>
      </c>
      <c r="CH1036" s="836">
        <f t="shared" si="889"/>
        <v>0</v>
      </c>
      <c r="CI1036" s="837" t="str">
        <f t="shared" si="890"/>
        <v>УСПЕШНО</v>
      </c>
      <c r="CJ1036" s="838" t="str">
        <f t="shared" ca="1" si="891"/>
        <v>-</v>
      </c>
      <c r="CK1036" s="831"/>
      <c r="CL1036" s="832"/>
      <c r="CM1036" s="833" t="str">
        <f t="shared" si="892"/>
        <v>-</v>
      </c>
      <c r="CN1036" s="834" t="str">
        <f t="shared" si="893"/>
        <v>-</v>
      </c>
      <c r="CO1036" s="830" t="str">
        <f t="shared" ca="1" si="894"/>
        <v>-</v>
      </c>
      <c r="CP1036" s="839"/>
      <c r="CQ1036" s="832"/>
      <c r="CR1036" s="833" t="str">
        <f t="shared" si="895"/>
        <v>-</v>
      </c>
      <c r="CS1036" s="833" t="str">
        <f t="shared" si="896"/>
        <v>-</v>
      </c>
      <c r="CT1036" s="834" t="str">
        <f t="shared" si="897"/>
        <v>-</v>
      </c>
      <c r="CU1036" s="835" t="str">
        <f t="shared" si="898"/>
        <v>-</v>
      </c>
      <c r="CV1036" s="839"/>
      <c r="CW1036" s="832"/>
      <c r="CX1036" s="833" t="str">
        <f t="shared" si="899"/>
        <v>-</v>
      </c>
      <c r="CY1036" s="840" t="str">
        <f t="shared" si="900"/>
        <v>-</v>
      </c>
      <c r="CZ1036" s="833" t="str">
        <f t="shared" si="901"/>
        <v>-</v>
      </c>
      <c r="DA1036" s="838" t="str">
        <f t="shared" ca="1" si="902"/>
        <v>-</v>
      </c>
      <c r="DB1036" s="841"/>
      <c r="DC1036" s="832"/>
    </row>
    <row r="1037" spans="1:107" x14ac:dyDescent="0.25">
      <c r="A1037" s="790">
        <v>1041</v>
      </c>
      <c r="B1037" s="791">
        <f t="shared" ca="1" si="851"/>
        <v>43134</v>
      </c>
      <c r="C1037" s="29" t="s">
        <v>2583</v>
      </c>
      <c r="D1037" s="59" t="s">
        <v>2582</v>
      </c>
      <c r="E1037" s="794" t="s">
        <v>1563</v>
      </c>
      <c r="F1037" s="795" t="s">
        <v>2615</v>
      </c>
      <c r="G1037" s="845"/>
      <c r="H1037" s="797" t="s">
        <v>603</v>
      </c>
      <c r="I1037" s="798">
        <v>42829</v>
      </c>
      <c r="J1037" s="799">
        <f t="shared" ca="1" si="852"/>
        <v>0.83561643835616439</v>
      </c>
      <c r="K1037" s="799">
        <f t="shared" ca="1" si="853"/>
        <v>10.166666666666666</v>
      </c>
      <c r="L1037" s="800">
        <f t="shared" ca="1" si="854"/>
        <v>305</v>
      </c>
      <c r="M1037" s="801"/>
      <c r="N1037" s="802"/>
      <c r="O1037" s="803" t="str">
        <f t="shared" ca="1" si="855"/>
        <v>-</v>
      </c>
      <c r="P1037" s="804"/>
      <c r="Q1037" s="805"/>
      <c r="R1037" s="806"/>
      <c r="S1037" s="807"/>
      <c r="T1037" s="798"/>
      <c r="U1037" s="798" t="str">
        <f t="shared" si="856"/>
        <v>-</v>
      </c>
      <c r="V1037" s="804" t="str">
        <f t="shared" ca="1" si="857"/>
        <v>-</v>
      </c>
      <c r="W1037" s="808">
        <v>0</v>
      </c>
      <c r="X1037" s="794" t="str">
        <f t="shared" si="850"/>
        <v>-</v>
      </c>
      <c r="Y1037" s="794">
        <v>0</v>
      </c>
      <c r="Z1037" s="809" t="str">
        <f t="shared" ca="1" si="858"/>
        <v>-----</v>
      </c>
      <c r="AA1037" s="810">
        <f t="shared" ca="1" si="859"/>
        <v>43134</v>
      </c>
      <c r="AB1037" s="804"/>
      <c r="AC1037" s="811" t="str">
        <f t="shared" ca="1" si="860"/>
        <v>-----</v>
      </c>
      <c r="AD1037" s="798"/>
      <c r="AE1037" s="794" t="str">
        <f t="shared" ca="1" si="861"/>
        <v>-</v>
      </c>
      <c r="AF1037" s="798" t="str">
        <f t="shared" si="862"/>
        <v>-</v>
      </c>
      <c r="AG1037" s="812" t="str">
        <f t="shared" si="863"/>
        <v>---------</v>
      </c>
      <c r="AH1037" s="807"/>
      <c r="AI1037" s="807" t="str">
        <f t="shared" si="864"/>
        <v>-</v>
      </c>
      <c r="AJ1037" s="807" t="str">
        <f t="shared" si="865"/>
        <v>-</v>
      </c>
      <c r="AK1037" s="813"/>
      <c r="AL1037" s="807" t="str">
        <f t="shared" si="866"/>
        <v>-</v>
      </c>
      <c r="AM1037" s="807" t="str">
        <f t="shared" si="867"/>
        <v>-</v>
      </c>
      <c r="AN1037" s="814" t="str">
        <f t="shared" ca="1" si="868"/>
        <v>-</v>
      </c>
      <c r="AO1037" s="815">
        <v>1</v>
      </c>
      <c r="AP1037" s="816" t="str">
        <f t="shared" ca="1" si="869"/>
        <v>-</v>
      </c>
      <c r="AQ1037" s="817"/>
      <c r="AR1037" s="794" t="str">
        <f t="shared" si="870"/>
        <v>-</v>
      </c>
      <c r="AS1037" s="818"/>
      <c r="AT1037" s="794" t="str">
        <f t="shared" si="871"/>
        <v>-</v>
      </c>
      <c r="AU1037" s="819"/>
      <c r="AV1037" s="865"/>
      <c r="AW1037" s="821"/>
      <c r="AX1037" s="821"/>
      <c r="AY1037" s="969" t="str">
        <f t="shared" si="872"/>
        <v>-</v>
      </c>
      <c r="AZ1037" s="966" t="str">
        <f t="shared" si="873"/>
        <v>-</v>
      </c>
      <c r="BA1037" s="971" t="str">
        <f t="shared" si="874"/>
        <v>-</v>
      </c>
      <c r="BB1037" s="975"/>
      <c r="BC1037" s="821"/>
      <c r="BD1037" s="821"/>
      <c r="BE1037" s="963" t="str">
        <f t="shared" si="875"/>
        <v>-</v>
      </c>
      <c r="BF1037" s="984"/>
      <c r="BG1037" s="988"/>
      <c r="BH1037" s="982"/>
      <c r="BI1037" s="991"/>
      <c r="BJ1037" s="991"/>
      <c r="BK1037" s="993" t="str">
        <f t="shared" si="876"/>
        <v>-</v>
      </c>
      <c r="BL1037" s="865"/>
      <c r="BM1037" s="821"/>
      <c r="BN1037" s="822" t="str">
        <f t="shared" si="877"/>
        <v>-</v>
      </c>
      <c r="BO1037" s="823" t="str">
        <f t="shared" si="878"/>
        <v>-</v>
      </c>
      <c r="BP1037" s="868"/>
      <c r="BQ1037" s="821"/>
      <c r="BR1037" s="822" t="str">
        <f t="shared" si="879"/>
        <v>-</v>
      </c>
      <c r="BS1037" s="823" t="str">
        <f t="shared" si="880"/>
        <v>-</v>
      </c>
      <c r="BT1037" s="825" t="str">
        <f t="shared" ca="1" si="881"/>
        <v>-</v>
      </c>
      <c r="BU1037" s="860">
        <v>42886</v>
      </c>
      <c r="BV1037" s="827">
        <v>2</v>
      </c>
      <c r="BW1037" s="828">
        <f t="shared" si="882"/>
        <v>57</v>
      </c>
      <c r="BX1037" s="829">
        <f t="shared" ca="1" si="883"/>
        <v>248</v>
      </c>
      <c r="BY1037" s="830" t="str">
        <f t="shared" ca="1" si="884"/>
        <v>-</v>
      </c>
      <c r="BZ1037" s="831">
        <v>42915</v>
      </c>
      <c r="CA1037" s="832">
        <v>5</v>
      </c>
      <c r="CB1037" s="833">
        <f t="shared" ca="1" si="885"/>
        <v>219</v>
      </c>
      <c r="CC1037" s="834" t="str">
        <f t="shared" ca="1" si="886"/>
        <v>-</v>
      </c>
      <c r="CD1037" s="835">
        <f t="shared" si="887"/>
        <v>42936</v>
      </c>
      <c r="CE1037" s="831">
        <v>42936</v>
      </c>
      <c r="CF1037" s="832">
        <v>5</v>
      </c>
      <c r="CG1037" s="833">
        <f t="shared" ca="1" si="888"/>
        <v>198</v>
      </c>
      <c r="CH1037" s="836">
        <f t="shared" si="889"/>
        <v>0</v>
      </c>
      <c r="CI1037" s="837" t="str">
        <f t="shared" si="890"/>
        <v>УСПЕШНО</v>
      </c>
      <c r="CJ1037" s="838" t="str">
        <f t="shared" ca="1" si="891"/>
        <v>-</v>
      </c>
      <c r="CK1037" s="831"/>
      <c r="CL1037" s="832"/>
      <c r="CM1037" s="833" t="str">
        <f t="shared" si="892"/>
        <v>-</v>
      </c>
      <c r="CN1037" s="834" t="str">
        <f t="shared" si="893"/>
        <v>-</v>
      </c>
      <c r="CO1037" s="830" t="str">
        <f t="shared" ca="1" si="894"/>
        <v>-</v>
      </c>
      <c r="CP1037" s="839"/>
      <c r="CQ1037" s="832"/>
      <c r="CR1037" s="833" t="str">
        <f t="shared" si="895"/>
        <v>-</v>
      </c>
      <c r="CS1037" s="833" t="str">
        <f t="shared" si="896"/>
        <v>-</v>
      </c>
      <c r="CT1037" s="834" t="str">
        <f t="shared" si="897"/>
        <v>-</v>
      </c>
      <c r="CU1037" s="835" t="str">
        <f t="shared" si="898"/>
        <v>-</v>
      </c>
      <c r="CV1037" s="839"/>
      <c r="CW1037" s="832"/>
      <c r="CX1037" s="833" t="str">
        <f t="shared" si="899"/>
        <v>-</v>
      </c>
      <c r="CY1037" s="840" t="str">
        <f t="shared" si="900"/>
        <v>-</v>
      </c>
      <c r="CZ1037" s="833" t="str">
        <f t="shared" si="901"/>
        <v>-</v>
      </c>
      <c r="DA1037" s="838" t="str">
        <f t="shared" ca="1" si="902"/>
        <v>-</v>
      </c>
      <c r="DB1037" s="841"/>
      <c r="DC1037" s="832"/>
    </row>
    <row r="1038" spans="1:107" x14ac:dyDescent="0.25">
      <c r="A1038" s="790">
        <v>1042</v>
      </c>
      <c r="B1038" s="791">
        <f t="shared" ca="1" si="851"/>
        <v>43134</v>
      </c>
      <c r="C1038" s="29" t="s">
        <v>2583</v>
      </c>
      <c r="D1038" s="59" t="s">
        <v>2582</v>
      </c>
      <c r="E1038" s="794" t="s">
        <v>1563</v>
      </c>
      <c r="F1038" s="795" t="s">
        <v>2617</v>
      </c>
      <c r="G1038" s="845"/>
      <c r="H1038" s="797" t="s">
        <v>603</v>
      </c>
      <c r="I1038" s="798">
        <v>42830</v>
      </c>
      <c r="J1038" s="799">
        <f t="shared" ca="1" si="852"/>
        <v>0.83287671232876714</v>
      </c>
      <c r="K1038" s="799">
        <f t="shared" ca="1" si="853"/>
        <v>10.133333333333333</v>
      </c>
      <c r="L1038" s="800">
        <f t="shared" ca="1" si="854"/>
        <v>304</v>
      </c>
      <c r="M1038" s="801"/>
      <c r="N1038" s="802"/>
      <c r="O1038" s="803" t="str">
        <f t="shared" ca="1" si="855"/>
        <v>-</v>
      </c>
      <c r="P1038" s="804"/>
      <c r="Q1038" s="805"/>
      <c r="R1038" s="806"/>
      <c r="S1038" s="807"/>
      <c r="T1038" s="798"/>
      <c r="U1038" s="798" t="str">
        <f t="shared" si="856"/>
        <v>-</v>
      </c>
      <c r="V1038" s="804" t="str">
        <f t="shared" ca="1" si="857"/>
        <v>-</v>
      </c>
      <c r="W1038" s="808">
        <v>0</v>
      </c>
      <c r="X1038" s="794" t="str">
        <f t="shared" si="850"/>
        <v>-</v>
      </c>
      <c r="Y1038" s="794">
        <v>0</v>
      </c>
      <c r="Z1038" s="809" t="str">
        <f t="shared" ca="1" si="858"/>
        <v>-----</v>
      </c>
      <c r="AA1038" s="810">
        <f t="shared" ca="1" si="859"/>
        <v>43134</v>
      </c>
      <c r="AB1038" s="804"/>
      <c r="AC1038" s="811" t="str">
        <f t="shared" ca="1" si="860"/>
        <v>-----</v>
      </c>
      <c r="AD1038" s="798"/>
      <c r="AE1038" s="794" t="str">
        <f t="shared" ca="1" si="861"/>
        <v>-</v>
      </c>
      <c r="AF1038" s="798" t="str">
        <f t="shared" si="862"/>
        <v>-</v>
      </c>
      <c r="AG1038" s="812" t="str">
        <f t="shared" si="863"/>
        <v>---------</v>
      </c>
      <c r="AH1038" s="807"/>
      <c r="AI1038" s="807" t="str">
        <f t="shared" si="864"/>
        <v>-</v>
      </c>
      <c r="AJ1038" s="807" t="str">
        <f t="shared" si="865"/>
        <v>-</v>
      </c>
      <c r="AK1038" s="813"/>
      <c r="AL1038" s="807" t="str">
        <f t="shared" si="866"/>
        <v>-</v>
      </c>
      <c r="AM1038" s="807" t="str">
        <f t="shared" si="867"/>
        <v>-</v>
      </c>
      <c r="AN1038" s="814" t="str">
        <f t="shared" ca="1" si="868"/>
        <v>-</v>
      </c>
      <c r="AO1038" s="815">
        <v>1</v>
      </c>
      <c r="AP1038" s="816" t="str">
        <f t="shared" ca="1" si="869"/>
        <v>-</v>
      </c>
      <c r="AQ1038" s="817"/>
      <c r="AR1038" s="794" t="str">
        <f t="shared" si="870"/>
        <v>-</v>
      </c>
      <c r="AS1038" s="818"/>
      <c r="AT1038" s="794" t="str">
        <f t="shared" si="871"/>
        <v>-</v>
      </c>
      <c r="AU1038" s="819"/>
      <c r="AV1038" s="865"/>
      <c r="AW1038" s="821"/>
      <c r="AX1038" s="821"/>
      <c r="AY1038" s="969" t="str">
        <f t="shared" si="872"/>
        <v>-</v>
      </c>
      <c r="AZ1038" s="966" t="str">
        <f t="shared" si="873"/>
        <v>-</v>
      </c>
      <c r="BA1038" s="971" t="str">
        <f t="shared" si="874"/>
        <v>-</v>
      </c>
      <c r="BB1038" s="975"/>
      <c r="BC1038" s="821"/>
      <c r="BD1038" s="821"/>
      <c r="BE1038" s="963" t="str">
        <f t="shared" si="875"/>
        <v>-</v>
      </c>
      <c r="BF1038" s="984"/>
      <c r="BG1038" s="988"/>
      <c r="BH1038" s="982"/>
      <c r="BI1038" s="991"/>
      <c r="BJ1038" s="991"/>
      <c r="BK1038" s="993" t="str">
        <f t="shared" si="876"/>
        <v>-</v>
      </c>
      <c r="BL1038" s="865"/>
      <c r="BM1038" s="821"/>
      <c r="BN1038" s="822" t="str">
        <f t="shared" si="877"/>
        <v>-</v>
      </c>
      <c r="BO1038" s="823" t="str">
        <f t="shared" si="878"/>
        <v>-</v>
      </c>
      <c r="BP1038" s="868"/>
      <c r="BQ1038" s="821"/>
      <c r="BR1038" s="822" t="str">
        <f t="shared" si="879"/>
        <v>-</v>
      </c>
      <c r="BS1038" s="823" t="str">
        <f t="shared" si="880"/>
        <v>-</v>
      </c>
      <c r="BT1038" s="825" t="str">
        <f t="shared" ca="1" si="881"/>
        <v>-</v>
      </c>
      <c r="BU1038" s="860">
        <v>42886</v>
      </c>
      <c r="BV1038" s="827">
        <v>2</v>
      </c>
      <c r="BW1038" s="828">
        <f t="shared" si="882"/>
        <v>56</v>
      </c>
      <c r="BX1038" s="829">
        <f t="shared" ca="1" si="883"/>
        <v>248</v>
      </c>
      <c r="BY1038" s="830" t="str">
        <f t="shared" ca="1" si="884"/>
        <v>-</v>
      </c>
      <c r="BZ1038" s="831">
        <v>42915</v>
      </c>
      <c r="CA1038" s="832">
        <v>5</v>
      </c>
      <c r="CB1038" s="833">
        <f t="shared" ca="1" si="885"/>
        <v>219</v>
      </c>
      <c r="CC1038" s="834" t="str">
        <f t="shared" ca="1" si="886"/>
        <v>-</v>
      </c>
      <c r="CD1038" s="835">
        <f t="shared" si="887"/>
        <v>42936</v>
      </c>
      <c r="CE1038" s="831">
        <v>42936</v>
      </c>
      <c r="CF1038" s="832">
        <v>5</v>
      </c>
      <c r="CG1038" s="833">
        <f t="shared" ca="1" si="888"/>
        <v>198</v>
      </c>
      <c r="CH1038" s="836">
        <f t="shared" si="889"/>
        <v>0</v>
      </c>
      <c r="CI1038" s="837" t="str">
        <f t="shared" si="890"/>
        <v>УСПЕШНО</v>
      </c>
      <c r="CJ1038" s="838" t="str">
        <f t="shared" ca="1" si="891"/>
        <v>-</v>
      </c>
      <c r="CK1038" s="831"/>
      <c r="CL1038" s="832"/>
      <c r="CM1038" s="833" t="str">
        <f t="shared" si="892"/>
        <v>-</v>
      </c>
      <c r="CN1038" s="834" t="str">
        <f t="shared" si="893"/>
        <v>-</v>
      </c>
      <c r="CO1038" s="830" t="str">
        <f t="shared" ca="1" si="894"/>
        <v>-</v>
      </c>
      <c r="CP1038" s="839"/>
      <c r="CQ1038" s="832"/>
      <c r="CR1038" s="833" t="str">
        <f t="shared" si="895"/>
        <v>-</v>
      </c>
      <c r="CS1038" s="833" t="str">
        <f t="shared" si="896"/>
        <v>-</v>
      </c>
      <c r="CT1038" s="834" t="str">
        <f t="shared" si="897"/>
        <v>-</v>
      </c>
      <c r="CU1038" s="835" t="str">
        <f t="shared" si="898"/>
        <v>-</v>
      </c>
      <c r="CV1038" s="839"/>
      <c r="CW1038" s="832"/>
      <c r="CX1038" s="833" t="str">
        <f t="shared" si="899"/>
        <v>-</v>
      </c>
      <c r="CY1038" s="840" t="str">
        <f t="shared" si="900"/>
        <v>-</v>
      </c>
      <c r="CZ1038" s="833" t="str">
        <f t="shared" si="901"/>
        <v>-</v>
      </c>
      <c r="DA1038" s="838" t="str">
        <f t="shared" ca="1" si="902"/>
        <v>-</v>
      </c>
      <c r="DB1038" s="841"/>
      <c r="DC1038" s="832"/>
    </row>
    <row r="1039" spans="1:107" x14ac:dyDescent="0.25">
      <c r="A1039" s="790">
        <v>1043</v>
      </c>
      <c r="B1039" s="791">
        <f t="shared" ca="1" si="851"/>
        <v>43134</v>
      </c>
      <c r="C1039" s="792" t="s">
        <v>2583</v>
      </c>
      <c r="D1039" s="793" t="s">
        <v>2582</v>
      </c>
      <c r="E1039" s="794" t="s">
        <v>1563</v>
      </c>
      <c r="F1039" s="795" t="s">
        <v>2638</v>
      </c>
      <c r="G1039" s="845"/>
      <c r="H1039" s="797" t="s">
        <v>603</v>
      </c>
      <c r="I1039" s="798">
        <v>42836</v>
      </c>
      <c r="J1039" s="799">
        <f t="shared" ca="1" si="852"/>
        <v>0.81643835616438354</v>
      </c>
      <c r="K1039" s="799">
        <f t="shared" ca="1" si="853"/>
        <v>9.9333333333333336</v>
      </c>
      <c r="L1039" s="800">
        <f t="shared" ca="1" si="854"/>
        <v>298</v>
      </c>
      <c r="M1039" s="801"/>
      <c r="N1039" s="802"/>
      <c r="O1039" s="803" t="str">
        <f t="shared" ca="1" si="855"/>
        <v>-</v>
      </c>
      <c r="P1039" s="804"/>
      <c r="Q1039" s="805"/>
      <c r="R1039" s="806"/>
      <c r="S1039" s="807"/>
      <c r="T1039" s="798"/>
      <c r="U1039" s="798" t="str">
        <f t="shared" si="856"/>
        <v>-</v>
      </c>
      <c r="V1039" s="804" t="str">
        <f t="shared" ca="1" si="857"/>
        <v>-</v>
      </c>
      <c r="W1039" s="808">
        <v>0</v>
      </c>
      <c r="X1039" s="794" t="str">
        <f t="shared" si="850"/>
        <v>-</v>
      </c>
      <c r="Y1039" s="794">
        <v>0</v>
      </c>
      <c r="Z1039" s="809" t="str">
        <f t="shared" ca="1" si="858"/>
        <v>-----</v>
      </c>
      <c r="AA1039" s="810">
        <f t="shared" ca="1" si="859"/>
        <v>43134</v>
      </c>
      <c r="AB1039" s="804"/>
      <c r="AC1039" s="811" t="str">
        <f t="shared" ca="1" si="860"/>
        <v>-----</v>
      </c>
      <c r="AD1039" s="798"/>
      <c r="AE1039" s="794" t="str">
        <f t="shared" ca="1" si="861"/>
        <v>-</v>
      </c>
      <c r="AF1039" s="798" t="str">
        <f t="shared" si="862"/>
        <v>-</v>
      </c>
      <c r="AG1039" s="812" t="str">
        <f t="shared" si="863"/>
        <v>---------</v>
      </c>
      <c r="AH1039" s="807"/>
      <c r="AI1039" s="807" t="str">
        <f t="shared" si="864"/>
        <v>-</v>
      </c>
      <c r="AJ1039" s="807" t="str">
        <f t="shared" si="865"/>
        <v>-</v>
      </c>
      <c r="AK1039" s="813"/>
      <c r="AL1039" s="807" t="str">
        <f t="shared" si="866"/>
        <v>-</v>
      </c>
      <c r="AM1039" s="807" t="str">
        <f t="shared" si="867"/>
        <v>-</v>
      </c>
      <c r="AN1039" s="814" t="str">
        <f t="shared" ca="1" si="868"/>
        <v>-</v>
      </c>
      <c r="AO1039" s="815">
        <v>1</v>
      </c>
      <c r="AP1039" s="816" t="str">
        <f t="shared" ca="1" si="869"/>
        <v>-</v>
      </c>
      <c r="AQ1039" s="817"/>
      <c r="AR1039" s="794" t="str">
        <f t="shared" si="870"/>
        <v>-</v>
      </c>
      <c r="AS1039" s="818"/>
      <c r="AT1039" s="794" t="str">
        <f t="shared" si="871"/>
        <v>-</v>
      </c>
      <c r="AU1039" s="819"/>
      <c r="AV1039" s="865"/>
      <c r="AW1039" s="821"/>
      <c r="AX1039" s="821"/>
      <c r="AY1039" s="969" t="str">
        <f t="shared" si="872"/>
        <v>-</v>
      </c>
      <c r="AZ1039" s="966" t="str">
        <f t="shared" si="873"/>
        <v>-</v>
      </c>
      <c r="BA1039" s="971" t="str">
        <f t="shared" si="874"/>
        <v>-</v>
      </c>
      <c r="BB1039" s="975"/>
      <c r="BC1039" s="821"/>
      <c r="BD1039" s="821"/>
      <c r="BE1039" s="963" t="str">
        <f t="shared" si="875"/>
        <v>-</v>
      </c>
      <c r="BF1039" s="984"/>
      <c r="BG1039" s="988"/>
      <c r="BH1039" s="982"/>
      <c r="BI1039" s="991"/>
      <c r="BJ1039" s="991"/>
      <c r="BK1039" s="993" t="str">
        <f t="shared" si="876"/>
        <v>-</v>
      </c>
      <c r="BL1039" s="865"/>
      <c r="BM1039" s="821"/>
      <c r="BN1039" s="822" t="str">
        <f t="shared" si="877"/>
        <v>-</v>
      </c>
      <c r="BO1039" s="823" t="str">
        <f t="shared" si="878"/>
        <v>-</v>
      </c>
      <c r="BP1039" s="868"/>
      <c r="BQ1039" s="821"/>
      <c r="BR1039" s="822" t="str">
        <f t="shared" si="879"/>
        <v>-</v>
      </c>
      <c r="BS1039" s="823" t="str">
        <f t="shared" si="880"/>
        <v>-</v>
      </c>
      <c r="BT1039" s="825" t="str">
        <f t="shared" ca="1" si="881"/>
        <v>-</v>
      </c>
      <c r="BU1039" s="860">
        <v>42886</v>
      </c>
      <c r="BV1039" s="827">
        <v>2</v>
      </c>
      <c r="BW1039" s="828">
        <f t="shared" si="882"/>
        <v>50</v>
      </c>
      <c r="BX1039" s="829">
        <f t="shared" ca="1" si="883"/>
        <v>248</v>
      </c>
      <c r="BY1039" s="830" t="str">
        <f t="shared" ca="1" si="884"/>
        <v>-</v>
      </c>
      <c r="BZ1039" s="831">
        <v>42915</v>
      </c>
      <c r="CA1039" s="832">
        <v>5</v>
      </c>
      <c r="CB1039" s="833">
        <f t="shared" ca="1" si="885"/>
        <v>219</v>
      </c>
      <c r="CC1039" s="834" t="str">
        <f t="shared" ca="1" si="886"/>
        <v>-</v>
      </c>
      <c r="CD1039" s="835">
        <f t="shared" si="887"/>
        <v>42936</v>
      </c>
      <c r="CE1039" s="831">
        <v>42936</v>
      </c>
      <c r="CF1039" s="832">
        <v>5</v>
      </c>
      <c r="CG1039" s="833">
        <f t="shared" ca="1" si="888"/>
        <v>198</v>
      </c>
      <c r="CH1039" s="836">
        <f t="shared" si="889"/>
        <v>0</v>
      </c>
      <c r="CI1039" s="837" t="str">
        <f t="shared" si="890"/>
        <v>УСПЕШНО</v>
      </c>
      <c r="CJ1039" s="838" t="str">
        <f t="shared" ca="1" si="891"/>
        <v>-</v>
      </c>
      <c r="CK1039" s="831"/>
      <c r="CL1039" s="832"/>
      <c r="CM1039" s="833" t="str">
        <f t="shared" si="892"/>
        <v>-</v>
      </c>
      <c r="CN1039" s="834" t="str">
        <f t="shared" si="893"/>
        <v>-</v>
      </c>
      <c r="CO1039" s="830" t="str">
        <f t="shared" ca="1" si="894"/>
        <v>-</v>
      </c>
      <c r="CP1039" s="839"/>
      <c r="CQ1039" s="832"/>
      <c r="CR1039" s="833" t="str">
        <f t="shared" si="895"/>
        <v>-</v>
      </c>
      <c r="CS1039" s="833" t="str">
        <f t="shared" si="896"/>
        <v>-</v>
      </c>
      <c r="CT1039" s="834" t="str">
        <f t="shared" si="897"/>
        <v>-</v>
      </c>
      <c r="CU1039" s="835" t="str">
        <f t="shared" si="898"/>
        <v>-</v>
      </c>
      <c r="CV1039" s="839"/>
      <c r="CW1039" s="832"/>
      <c r="CX1039" s="833" t="str">
        <f t="shared" si="899"/>
        <v>-</v>
      </c>
      <c r="CY1039" s="840" t="str">
        <f t="shared" si="900"/>
        <v>-</v>
      </c>
      <c r="CZ1039" s="833" t="str">
        <f t="shared" si="901"/>
        <v>-</v>
      </c>
      <c r="DA1039" s="838" t="str">
        <f t="shared" ca="1" si="902"/>
        <v>-</v>
      </c>
      <c r="DB1039" s="841"/>
      <c r="DC1039" s="832"/>
    </row>
    <row r="1040" spans="1:107" x14ac:dyDescent="0.25">
      <c r="A1040" s="790">
        <v>1044</v>
      </c>
      <c r="B1040" s="791">
        <f t="shared" ca="1" si="851"/>
        <v>43134</v>
      </c>
      <c r="C1040" s="29" t="s">
        <v>2583</v>
      </c>
      <c r="D1040" s="59" t="s">
        <v>2582</v>
      </c>
      <c r="E1040" s="794" t="s">
        <v>1563</v>
      </c>
      <c r="F1040" s="795" t="s">
        <v>2640</v>
      </c>
      <c r="G1040" s="845"/>
      <c r="H1040" s="797" t="s">
        <v>603</v>
      </c>
      <c r="I1040" s="798">
        <v>42836</v>
      </c>
      <c r="J1040" s="799">
        <f t="shared" ca="1" si="852"/>
        <v>0.81643835616438354</v>
      </c>
      <c r="K1040" s="799">
        <f t="shared" ca="1" si="853"/>
        <v>9.9333333333333336</v>
      </c>
      <c r="L1040" s="800">
        <f t="shared" ca="1" si="854"/>
        <v>298</v>
      </c>
      <c r="M1040" s="801"/>
      <c r="N1040" s="802"/>
      <c r="O1040" s="803" t="str">
        <f t="shared" ca="1" si="855"/>
        <v>-</v>
      </c>
      <c r="P1040" s="804"/>
      <c r="Q1040" s="805"/>
      <c r="R1040" s="806"/>
      <c r="S1040" s="807"/>
      <c r="T1040" s="798"/>
      <c r="U1040" s="798" t="str">
        <f t="shared" si="856"/>
        <v>-</v>
      </c>
      <c r="V1040" s="804" t="str">
        <f t="shared" ca="1" si="857"/>
        <v>-</v>
      </c>
      <c r="W1040" s="808">
        <v>0</v>
      </c>
      <c r="X1040" s="794" t="str">
        <f t="shared" si="850"/>
        <v>-</v>
      </c>
      <c r="Y1040" s="794">
        <v>0</v>
      </c>
      <c r="Z1040" s="809" t="str">
        <f t="shared" ca="1" si="858"/>
        <v>-----</v>
      </c>
      <c r="AA1040" s="810">
        <f t="shared" ca="1" si="859"/>
        <v>43134</v>
      </c>
      <c r="AB1040" s="804"/>
      <c r="AC1040" s="811" t="str">
        <f t="shared" ca="1" si="860"/>
        <v>-----</v>
      </c>
      <c r="AD1040" s="798"/>
      <c r="AE1040" s="794" t="str">
        <f t="shared" ca="1" si="861"/>
        <v>-</v>
      </c>
      <c r="AF1040" s="798" t="str">
        <f t="shared" si="862"/>
        <v>-</v>
      </c>
      <c r="AG1040" s="812" t="str">
        <f t="shared" si="863"/>
        <v>---------</v>
      </c>
      <c r="AH1040" s="807"/>
      <c r="AI1040" s="807" t="str">
        <f t="shared" si="864"/>
        <v>-</v>
      </c>
      <c r="AJ1040" s="807" t="str">
        <f t="shared" si="865"/>
        <v>-</v>
      </c>
      <c r="AK1040" s="813"/>
      <c r="AL1040" s="807" t="str">
        <f t="shared" si="866"/>
        <v>-</v>
      </c>
      <c r="AM1040" s="807" t="str">
        <f t="shared" si="867"/>
        <v>-</v>
      </c>
      <c r="AN1040" s="814" t="str">
        <f t="shared" ca="1" si="868"/>
        <v>-</v>
      </c>
      <c r="AO1040" s="815">
        <v>1</v>
      </c>
      <c r="AP1040" s="816" t="str">
        <f t="shared" ca="1" si="869"/>
        <v>-</v>
      </c>
      <c r="AQ1040" s="817"/>
      <c r="AR1040" s="794" t="str">
        <f t="shared" si="870"/>
        <v>-</v>
      </c>
      <c r="AS1040" s="818"/>
      <c r="AT1040" s="794" t="str">
        <f t="shared" si="871"/>
        <v>-</v>
      </c>
      <c r="AU1040" s="819"/>
      <c r="AV1040" s="865"/>
      <c r="AW1040" s="821"/>
      <c r="AX1040" s="821"/>
      <c r="AY1040" s="969" t="str">
        <f t="shared" si="872"/>
        <v>-</v>
      </c>
      <c r="AZ1040" s="966" t="str">
        <f t="shared" si="873"/>
        <v>-</v>
      </c>
      <c r="BA1040" s="971" t="str">
        <f t="shared" si="874"/>
        <v>-</v>
      </c>
      <c r="BB1040" s="975"/>
      <c r="BC1040" s="821"/>
      <c r="BD1040" s="821"/>
      <c r="BE1040" s="963" t="str">
        <f t="shared" si="875"/>
        <v>-</v>
      </c>
      <c r="BF1040" s="984"/>
      <c r="BG1040" s="988"/>
      <c r="BH1040" s="982"/>
      <c r="BI1040" s="991"/>
      <c r="BJ1040" s="991"/>
      <c r="BK1040" s="993" t="str">
        <f t="shared" si="876"/>
        <v>-</v>
      </c>
      <c r="BL1040" s="865"/>
      <c r="BM1040" s="821"/>
      <c r="BN1040" s="822" t="str">
        <f t="shared" si="877"/>
        <v>-</v>
      </c>
      <c r="BO1040" s="823" t="str">
        <f t="shared" si="878"/>
        <v>-</v>
      </c>
      <c r="BP1040" s="868"/>
      <c r="BQ1040" s="821"/>
      <c r="BR1040" s="822" t="str">
        <f t="shared" si="879"/>
        <v>-</v>
      </c>
      <c r="BS1040" s="823" t="str">
        <f t="shared" si="880"/>
        <v>-</v>
      </c>
      <c r="BT1040" s="825" t="str">
        <f t="shared" ca="1" si="881"/>
        <v>-</v>
      </c>
      <c r="BU1040" s="860">
        <v>42886</v>
      </c>
      <c r="BV1040" s="827">
        <v>2</v>
      </c>
      <c r="BW1040" s="828">
        <f t="shared" si="882"/>
        <v>50</v>
      </c>
      <c r="BX1040" s="829">
        <f t="shared" ca="1" si="883"/>
        <v>248</v>
      </c>
      <c r="BY1040" s="830" t="str">
        <f t="shared" ca="1" si="884"/>
        <v>-</v>
      </c>
      <c r="BZ1040" s="831">
        <v>42916</v>
      </c>
      <c r="CA1040" s="832">
        <v>5</v>
      </c>
      <c r="CB1040" s="833">
        <f t="shared" ca="1" si="885"/>
        <v>218</v>
      </c>
      <c r="CC1040" s="834" t="str">
        <f t="shared" ca="1" si="886"/>
        <v>-</v>
      </c>
      <c r="CD1040" s="835">
        <f t="shared" si="887"/>
        <v>42937</v>
      </c>
      <c r="CE1040" s="831">
        <v>42937</v>
      </c>
      <c r="CF1040" s="832">
        <v>5</v>
      </c>
      <c r="CG1040" s="833">
        <f t="shared" ca="1" si="888"/>
        <v>197</v>
      </c>
      <c r="CH1040" s="836">
        <f t="shared" si="889"/>
        <v>0</v>
      </c>
      <c r="CI1040" s="837" t="str">
        <f t="shared" si="890"/>
        <v>УСПЕШНО</v>
      </c>
      <c r="CJ1040" s="838" t="str">
        <f t="shared" ca="1" si="891"/>
        <v>-</v>
      </c>
      <c r="CK1040" s="831"/>
      <c r="CL1040" s="832"/>
      <c r="CM1040" s="833" t="str">
        <f t="shared" si="892"/>
        <v>-</v>
      </c>
      <c r="CN1040" s="834" t="str">
        <f t="shared" si="893"/>
        <v>-</v>
      </c>
      <c r="CO1040" s="830" t="str">
        <f t="shared" ca="1" si="894"/>
        <v>-</v>
      </c>
      <c r="CP1040" s="839"/>
      <c r="CQ1040" s="832"/>
      <c r="CR1040" s="833" t="str">
        <f t="shared" si="895"/>
        <v>-</v>
      </c>
      <c r="CS1040" s="833" t="str">
        <f t="shared" si="896"/>
        <v>-</v>
      </c>
      <c r="CT1040" s="834" t="str">
        <f t="shared" si="897"/>
        <v>-</v>
      </c>
      <c r="CU1040" s="835" t="str">
        <f t="shared" si="898"/>
        <v>-</v>
      </c>
      <c r="CV1040" s="839"/>
      <c r="CW1040" s="832"/>
      <c r="CX1040" s="833" t="str">
        <f t="shared" si="899"/>
        <v>-</v>
      </c>
      <c r="CY1040" s="840" t="str">
        <f t="shared" si="900"/>
        <v>-</v>
      </c>
      <c r="CZ1040" s="833" t="str">
        <f t="shared" si="901"/>
        <v>-</v>
      </c>
      <c r="DA1040" s="838" t="str">
        <f t="shared" ca="1" si="902"/>
        <v>-</v>
      </c>
      <c r="DB1040" s="841"/>
      <c r="DC1040" s="832"/>
    </row>
    <row r="1041" spans="1:107" x14ac:dyDescent="0.25">
      <c r="A1041" s="790">
        <v>1045</v>
      </c>
      <c r="B1041" s="791">
        <f t="shared" ca="1" si="851"/>
        <v>43134</v>
      </c>
      <c r="C1041" s="29" t="s">
        <v>2583</v>
      </c>
      <c r="D1041" s="59" t="s">
        <v>2582</v>
      </c>
      <c r="E1041" s="794" t="s">
        <v>1563</v>
      </c>
      <c r="F1041" s="795" t="s">
        <v>2641</v>
      </c>
      <c r="G1041" s="845"/>
      <c r="H1041" s="797" t="s">
        <v>603</v>
      </c>
      <c r="I1041" s="798">
        <v>42837</v>
      </c>
      <c r="J1041" s="799">
        <f t="shared" ca="1" si="852"/>
        <v>0.81369863013698629</v>
      </c>
      <c r="K1041" s="799">
        <f t="shared" ca="1" si="853"/>
        <v>9.9</v>
      </c>
      <c r="L1041" s="800">
        <f t="shared" ca="1" si="854"/>
        <v>297</v>
      </c>
      <c r="M1041" s="801"/>
      <c r="N1041" s="802"/>
      <c r="O1041" s="803" t="str">
        <f t="shared" ca="1" si="855"/>
        <v>-</v>
      </c>
      <c r="P1041" s="804"/>
      <c r="Q1041" s="805"/>
      <c r="R1041" s="806"/>
      <c r="S1041" s="807"/>
      <c r="T1041" s="798"/>
      <c r="U1041" s="798" t="str">
        <f t="shared" si="856"/>
        <v>-</v>
      </c>
      <c r="V1041" s="804" t="str">
        <f t="shared" ca="1" si="857"/>
        <v>-</v>
      </c>
      <c r="W1041" s="808">
        <v>0</v>
      </c>
      <c r="X1041" s="794" t="str">
        <f t="shared" si="850"/>
        <v>-</v>
      </c>
      <c r="Y1041" s="794">
        <v>0</v>
      </c>
      <c r="Z1041" s="809" t="str">
        <f t="shared" ca="1" si="858"/>
        <v>-----</v>
      </c>
      <c r="AA1041" s="810">
        <f t="shared" ca="1" si="859"/>
        <v>43134</v>
      </c>
      <c r="AB1041" s="804"/>
      <c r="AC1041" s="811" t="str">
        <f t="shared" ca="1" si="860"/>
        <v>-----</v>
      </c>
      <c r="AD1041" s="798"/>
      <c r="AE1041" s="794" t="str">
        <f t="shared" ca="1" si="861"/>
        <v>-</v>
      </c>
      <c r="AF1041" s="798" t="str">
        <f t="shared" si="862"/>
        <v>-</v>
      </c>
      <c r="AG1041" s="812" t="str">
        <f t="shared" si="863"/>
        <v>---------</v>
      </c>
      <c r="AH1041" s="807"/>
      <c r="AI1041" s="807" t="str">
        <f t="shared" si="864"/>
        <v>-</v>
      </c>
      <c r="AJ1041" s="807" t="str">
        <f t="shared" si="865"/>
        <v>-</v>
      </c>
      <c r="AK1041" s="813"/>
      <c r="AL1041" s="807" t="str">
        <f t="shared" si="866"/>
        <v>-</v>
      </c>
      <c r="AM1041" s="807" t="str">
        <f t="shared" si="867"/>
        <v>-</v>
      </c>
      <c r="AN1041" s="814" t="str">
        <f t="shared" ca="1" si="868"/>
        <v>-</v>
      </c>
      <c r="AO1041" s="815">
        <v>1</v>
      </c>
      <c r="AP1041" s="816" t="str">
        <f t="shared" ca="1" si="869"/>
        <v>-</v>
      </c>
      <c r="AQ1041" s="817"/>
      <c r="AR1041" s="794" t="str">
        <f t="shared" si="870"/>
        <v>-</v>
      </c>
      <c r="AS1041" s="818"/>
      <c r="AT1041" s="794" t="str">
        <f t="shared" si="871"/>
        <v>-</v>
      </c>
      <c r="AU1041" s="819"/>
      <c r="AV1041" s="865"/>
      <c r="AW1041" s="821"/>
      <c r="AX1041" s="821"/>
      <c r="AY1041" s="969" t="str">
        <f t="shared" si="872"/>
        <v>-</v>
      </c>
      <c r="AZ1041" s="966" t="str">
        <f t="shared" si="873"/>
        <v>-</v>
      </c>
      <c r="BA1041" s="971" t="str">
        <f t="shared" si="874"/>
        <v>-</v>
      </c>
      <c r="BB1041" s="975"/>
      <c r="BC1041" s="821"/>
      <c r="BD1041" s="821"/>
      <c r="BE1041" s="963" t="str">
        <f t="shared" si="875"/>
        <v>-</v>
      </c>
      <c r="BF1041" s="984"/>
      <c r="BG1041" s="988"/>
      <c r="BH1041" s="982"/>
      <c r="BI1041" s="991"/>
      <c r="BJ1041" s="991"/>
      <c r="BK1041" s="993" t="str">
        <f t="shared" si="876"/>
        <v>-</v>
      </c>
      <c r="BL1041" s="865"/>
      <c r="BM1041" s="821"/>
      <c r="BN1041" s="822" t="str">
        <f t="shared" si="877"/>
        <v>-</v>
      </c>
      <c r="BO1041" s="823" t="str">
        <f t="shared" si="878"/>
        <v>-</v>
      </c>
      <c r="BP1041" s="868"/>
      <c r="BQ1041" s="821"/>
      <c r="BR1041" s="822" t="str">
        <f t="shared" si="879"/>
        <v>-</v>
      </c>
      <c r="BS1041" s="823" t="str">
        <f t="shared" si="880"/>
        <v>-</v>
      </c>
      <c r="BT1041" s="825" t="str">
        <f t="shared" ca="1" si="881"/>
        <v>-</v>
      </c>
      <c r="BU1041" s="860">
        <v>42886</v>
      </c>
      <c r="BV1041" s="827">
        <v>2</v>
      </c>
      <c r="BW1041" s="828">
        <f t="shared" si="882"/>
        <v>49</v>
      </c>
      <c r="BX1041" s="829">
        <f t="shared" ca="1" si="883"/>
        <v>248</v>
      </c>
      <c r="BY1041" s="830" t="str">
        <f t="shared" ca="1" si="884"/>
        <v>-</v>
      </c>
      <c r="BZ1041" s="831">
        <v>42916</v>
      </c>
      <c r="CA1041" s="832">
        <v>5</v>
      </c>
      <c r="CB1041" s="833">
        <f t="shared" ca="1" si="885"/>
        <v>218</v>
      </c>
      <c r="CC1041" s="834" t="str">
        <f t="shared" ca="1" si="886"/>
        <v>-</v>
      </c>
      <c r="CD1041" s="835">
        <f t="shared" si="887"/>
        <v>42937</v>
      </c>
      <c r="CE1041" s="831">
        <v>42937</v>
      </c>
      <c r="CF1041" s="832">
        <v>5</v>
      </c>
      <c r="CG1041" s="833">
        <f t="shared" ca="1" si="888"/>
        <v>197</v>
      </c>
      <c r="CH1041" s="836">
        <f t="shared" si="889"/>
        <v>0</v>
      </c>
      <c r="CI1041" s="837" t="str">
        <f t="shared" si="890"/>
        <v>УСПЕШНО</v>
      </c>
      <c r="CJ1041" s="838" t="str">
        <f t="shared" ca="1" si="891"/>
        <v>-</v>
      </c>
      <c r="CK1041" s="831"/>
      <c r="CL1041" s="832"/>
      <c r="CM1041" s="833" t="str">
        <f t="shared" si="892"/>
        <v>-</v>
      </c>
      <c r="CN1041" s="834" t="str">
        <f t="shared" si="893"/>
        <v>-</v>
      </c>
      <c r="CO1041" s="830" t="str">
        <f t="shared" ca="1" si="894"/>
        <v>-</v>
      </c>
      <c r="CP1041" s="839"/>
      <c r="CQ1041" s="832"/>
      <c r="CR1041" s="833" t="str">
        <f t="shared" si="895"/>
        <v>-</v>
      </c>
      <c r="CS1041" s="833" t="str">
        <f t="shared" si="896"/>
        <v>-</v>
      </c>
      <c r="CT1041" s="834" t="str">
        <f t="shared" si="897"/>
        <v>-</v>
      </c>
      <c r="CU1041" s="835" t="str">
        <f t="shared" si="898"/>
        <v>-</v>
      </c>
      <c r="CV1041" s="839"/>
      <c r="CW1041" s="832"/>
      <c r="CX1041" s="833" t="str">
        <f t="shared" si="899"/>
        <v>-</v>
      </c>
      <c r="CY1041" s="840" t="str">
        <f t="shared" si="900"/>
        <v>-</v>
      </c>
      <c r="CZ1041" s="833" t="str">
        <f t="shared" si="901"/>
        <v>-</v>
      </c>
      <c r="DA1041" s="838" t="str">
        <f t="shared" ca="1" si="902"/>
        <v>-</v>
      </c>
      <c r="DB1041" s="841"/>
      <c r="DC1041" s="832"/>
    </row>
    <row r="1042" spans="1:107" x14ac:dyDescent="0.25">
      <c r="A1042" s="790">
        <v>1046</v>
      </c>
      <c r="B1042" s="791">
        <f t="shared" ca="1" si="851"/>
        <v>43134</v>
      </c>
      <c r="C1042" s="29" t="s">
        <v>2583</v>
      </c>
      <c r="D1042" s="59" t="s">
        <v>2582</v>
      </c>
      <c r="E1042" s="794" t="s">
        <v>1563</v>
      </c>
      <c r="F1042" s="795" t="s">
        <v>2657</v>
      </c>
      <c r="G1042" s="845"/>
      <c r="H1042" s="797" t="s">
        <v>603</v>
      </c>
      <c r="I1042" s="798">
        <v>42842</v>
      </c>
      <c r="J1042" s="799">
        <f t="shared" ca="1" si="852"/>
        <v>0.8</v>
      </c>
      <c r="K1042" s="799">
        <f t="shared" ca="1" si="853"/>
        <v>9.7333333333333325</v>
      </c>
      <c r="L1042" s="800">
        <f t="shared" ca="1" si="854"/>
        <v>292</v>
      </c>
      <c r="M1042" s="801"/>
      <c r="N1042" s="802"/>
      <c r="O1042" s="803" t="str">
        <f t="shared" ca="1" si="855"/>
        <v>-</v>
      </c>
      <c r="P1042" s="804"/>
      <c r="Q1042" s="805"/>
      <c r="R1042" s="806"/>
      <c r="S1042" s="807"/>
      <c r="T1042" s="798"/>
      <c r="U1042" s="798" t="str">
        <f t="shared" si="856"/>
        <v>-</v>
      </c>
      <c r="V1042" s="804" t="str">
        <f t="shared" ca="1" si="857"/>
        <v>-</v>
      </c>
      <c r="W1042" s="808">
        <v>0</v>
      </c>
      <c r="X1042" s="794" t="str">
        <f t="shared" si="850"/>
        <v>-</v>
      </c>
      <c r="Y1042" s="794">
        <v>0</v>
      </c>
      <c r="Z1042" s="809" t="str">
        <f t="shared" ca="1" si="858"/>
        <v>-----</v>
      </c>
      <c r="AA1042" s="810">
        <f t="shared" ca="1" si="859"/>
        <v>43134</v>
      </c>
      <c r="AB1042" s="804"/>
      <c r="AC1042" s="811" t="str">
        <f t="shared" ca="1" si="860"/>
        <v>-----</v>
      </c>
      <c r="AD1042" s="798"/>
      <c r="AE1042" s="794" t="str">
        <f t="shared" ca="1" si="861"/>
        <v>-</v>
      </c>
      <c r="AF1042" s="798" t="str">
        <f t="shared" si="862"/>
        <v>-</v>
      </c>
      <c r="AG1042" s="812" t="str">
        <f t="shared" si="863"/>
        <v>---------</v>
      </c>
      <c r="AH1042" s="807"/>
      <c r="AI1042" s="807" t="str">
        <f t="shared" si="864"/>
        <v>-</v>
      </c>
      <c r="AJ1042" s="807" t="str">
        <f t="shared" si="865"/>
        <v>-</v>
      </c>
      <c r="AK1042" s="813"/>
      <c r="AL1042" s="807" t="str">
        <f t="shared" si="866"/>
        <v>-</v>
      </c>
      <c r="AM1042" s="807" t="str">
        <f t="shared" si="867"/>
        <v>-</v>
      </c>
      <c r="AN1042" s="814" t="str">
        <f t="shared" ca="1" si="868"/>
        <v>-</v>
      </c>
      <c r="AO1042" s="815">
        <v>1</v>
      </c>
      <c r="AP1042" s="816" t="str">
        <f t="shared" ca="1" si="869"/>
        <v>-</v>
      </c>
      <c r="AQ1042" s="817"/>
      <c r="AR1042" s="794" t="str">
        <f t="shared" si="870"/>
        <v>-</v>
      </c>
      <c r="AS1042" s="818"/>
      <c r="AT1042" s="794" t="str">
        <f t="shared" si="871"/>
        <v>-</v>
      </c>
      <c r="AU1042" s="819"/>
      <c r="AV1042" s="865"/>
      <c r="AW1042" s="821"/>
      <c r="AX1042" s="821"/>
      <c r="AY1042" s="969" t="str">
        <f t="shared" si="872"/>
        <v>-</v>
      </c>
      <c r="AZ1042" s="966" t="str">
        <f t="shared" si="873"/>
        <v>-</v>
      </c>
      <c r="BA1042" s="971" t="str">
        <f t="shared" si="874"/>
        <v>-</v>
      </c>
      <c r="BB1042" s="975"/>
      <c r="BC1042" s="821"/>
      <c r="BD1042" s="821"/>
      <c r="BE1042" s="963" t="str">
        <f t="shared" si="875"/>
        <v>-</v>
      </c>
      <c r="BF1042" s="984"/>
      <c r="BG1042" s="988"/>
      <c r="BH1042" s="982"/>
      <c r="BI1042" s="991"/>
      <c r="BJ1042" s="991"/>
      <c r="BK1042" s="993" t="str">
        <f t="shared" si="876"/>
        <v>-</v>
      </c>
      <c r="BL1042" s="865"/>
      <c r="BM1042" s="821"/>
      <c r="BN1042" s="822" t="str">
        <f t="shared" si="877"/>
        <v>-</v>
      </c>
      <c r="BO1042" s="823" t="str">
        <f t="shared" si="878"/>
        <v>-</v>
      </c>
      <c r="BP1042" s="868"/>
      <c r="BQ1042" s="821"/>
      <c r="BR1042" s="822" t="str">
        <f t="shared" si="879"/>
        <v>-</v>
      </c>
      <c r="BS1042" s="823" t="str">
        <f t="shared" si="880"/>
        <v>-</v>
      </c>
      <c r="BT1042" s="825" t="str">
        <f t="shared" ca="1" si="881"/>
        <v>-</v>
      </c>
      <c r="BU1042" s="860">
        <v>42886</v>
      </c>
      <c r="BV1042" s="827">
        <v>2</v>
      </c>
      <c r="BW1042" s="828">
        <f t="shared" si="882"/>
        <v>44</v>
      </c>
      <c r="BX1042" s="829">
        <f t="shared" ca="1" si="883"/>
        <v>248</v>
      </c>
      <c r="BY1042" s="830" t="str">
        <f t="shared" ca="1" si="884"/>
        <v>-</v>
      </c>
      <c r="BZ1042" s="831">
        <v>42931</v>
      </c>
      <c r="CA1042" s="832">
        <v>5</v>
      </c>
      <c r="CB1042" s="833">
        <f t="shared" ca="1" si="885"/>
        <v>203</v>
      </c>
      <c r="CC1042" s="834" t="str">
        <f t="shared" ca="1" si="886"/>
        <v>-</v>
      </c>
      <c r="CD1042" s="835">
        <f t="shared" si="887"/>
        <v>42952</v>
      </c>
      <c r="CE1042" s="831">
        <v>42954</v>
      </c>
      <c r="CF1042" s="832">
        <v>5</v>
      </c>
      <c r="CG1042" s="833">
        <f t="shared" ca="1" si="888"/>
        <v>180</v>
      </c>
      <c r="CH1042" s="836">
        <f t="shared" si="889"/>
        <v>-2</v>
      </c>
      <c r="CI1042" s="837" t="str">
        <f t="shared" si="890"/>
        <v>-</v>
      </c>
      <c r="CJ1042" s="838" t="str">
        <f t="shared" ca="1" si="891"/>
        <v>-</v>
      </c>
      <c r="CK1042" s="831"/>
      <c r="CL1042" s="832"/>
      <c r="CM1042" s="833" t="str">
        <f t="shared" si="892"/>
        <v>-</v>
      </c>
      <c r="CN1042" s="834" t="str">
        <f t="shared" si="893"/>
        <v>-</v>
      </c>
      <c r="CO1042" s="830" t="str">
        <f t="shared" ca="1" si="894"/>
        <v>-</v>
      </c>
      <c r="CP1042" s="839"/>
      <c r="CQ1042" s="832"/>
      <c r="CR1042" s="833" t="str">
        <f t="shared" si="895"/>
        <v>-</v>
      </c>
      <c r="CS1042" s="833" t="str">
        <f t="shared" si="896"/>
        <v>-</v>
      </c>
      <c r="CT1042" s="834" t="str">
        <f t="shared" si="897"/>
        <v>-</v>
      </c>
      <c r="CU1042" s="835" t="str">
        <f t="shared" si="898"/>
        <v>-</v>
      </c>
      <c r="CV1042" s="839"/>
      <c r="CW1042" s="832"/>
      <c r="CX1042" s="833" t="str">
        <f t="shared" si="899"/>
        <v>-</v>
      </c>
      <c r="CY1042" s="840" t="str">
        <f t="shared" si="900"/>
        <v>-</v>
      </c>
      <c r="CZ1042" s="833" t="str">
        <f t="shared" si="901"/>
        <v>-</v>
      </c>
      <c r="DA1042" s="838" t="str">
        <f t="shared" ca="1" si="902"/>
        <v>-</v>
      </c>
      <c r="DB1042" s="841"/>
      <c r="DC1042" s="832"/>
    </row>
    <row r="1043" spans="1:107" x14ac:dyDescent="0.25">
      <c r="A1043" s="790">
        <v>1047</v>
      </c>
      <c r="B1043" s="791">
        <f t="shared" ca="1" si="851"/>
        <v>43134</v>
      </c>
      <c r="C1043" s="29" t="s">
        <v>2583</v>
      </c>
      <c r="D1043" s="59" t="s">
        <v>2582</v>
      </c>
      <c r="E1043" s="794" t="s">
        <v>1563</v>
      </c>
      <c r="F1043" s="795" t="s">
        <v>2675</v>
      </c>
      <c r="G1043" s="845"/>
      <c r="H1043" s="797" t="s">
        <v>603</v>
      </c>
      <c r="I1043" s="798">
        <v>42848</v>
      </c>
      <c r="J1043" s="799">
        <f t="shared" ca="1" si="852"/>
        <v>0.78356164383561644</v>
      </c>
      <c r="K1043" s="799">
        <f t="shared" ca="1" si="853"/>
        <v>9.5333333333333332</v>
      </c>
      <c r="L1043" s="800">
        <f t="shared" ca="1" si="854"/>
        <v>286</v>
      </c>
      <c r="M1043" s="801"/>
      <c r="N1043" s="802"/>
      <c r="O1043" s="803" t="str">
        <f t="shared" ca="1" si="855"/>
        <v>-</v>
      </c>
      <c r="P1043" s="804"/>
      <c r="Q1043" s="805"/>
      <c r="R1043" s="806"/>
      <c r="S1043" s="807"/>
      <c r="T1043" s="798"/>
      <c r="U1043" s="798" t="str">
        <f t="shared" si="856"/>
        <v>-</v>
      </c>
      <c r="V1043" s="804" t="str">
        <f t="shared" ca="1" si="857"/>
        <v>-</v>
      </c>
      <c r="W1043" s="808">
        <v>0</v>
      </c>
      <c r="X1043" s="794" t="str">
        <f t="shared" si="850"/>
        <v>-</v>
      </c>
      <c r="Y1043" s="794">
        <v>0</v>
      </c>
      <c r="Z1043" s="809" t="str">
        <f t="shared" ca="1" si="858"/>
        <v>-----</v>
      </c>
      <c r="AA1043" s="810">
        <f t="shared" ca="1" si="859"/>
        <v>43134</v>
      </c>
      <c r="AB1043" s="804"/>
      <c r="AC1043" s="811" t="str">
        <f t="shared" ca="1" si="860"/>
        <v>-----</v>
      </c>
      <c r="AD1043" s="798"/>
      <c r="AE1043" s="794" t="str">
        <f t="shared" ca="1" si="861"/>
        <v>-</v>
      </c>
      <c r="AF1043" s="798" t="str">
        <f t="shared" si="862"/>
        <v>-</v>
      </c>
      <c r="AG1043" s="812" t="str">
        <f t="shared" si="863"/>
        <v>---------</v>
      </c>
      <c r="AH1043" s="807"/>
      <c r="AI1043" s="807" t="str">
        <f t="shared" si="864"/>
        <v>-</v>
      </c>
      <c r="AJ1043" s="807" t="str">
        <f t="shared" si="865"/>
        <v>-</v>
      </c>
      <c r="AK1043" s="813"/>
      <c r="AL1043" s="807" t="str">
        <f t="shared" si="866"/>
        <v>-</v>
      </c>
      <c r="AM1043" s="807" t="str">
        <f t="shared" si="867"/>
        <v>-</v>
      </c>
      <c r="AN1043" s="814" t="str">
        <f t="shared" ca="1" si="868"/>
        <v>-</v>
      </c>
      <c r="AO1043" s="815">
        <v>1</v>
      </c>
      <c r="AP1043" s="816" t="str">
        <f t="shared" ca="1" si="869"/>
        <v>-</v>
      </c>
      <c r="AQ1043" s="817"/>
      <c r="AR1043" s="794" t="str">
        <f t="shared" si="870"/>
        <v>-</v>
      </c>
      <c r="AS1043" s="818"/>
      <c r="AT1043" s="794" t="str">
        <f t="shared" si="871"/>
        <v>-</v>
      </c>
      <c r="AU1043" s="819"/>
      <c r="AV1043" s="865"/>
      <c r="AW1043" s="821"/>
      <c r="AX1043" s="821"/>
      <c r="AY1043" s="969" t="str">
        <f t="shared" si="872"/>
        <v>-</v>
      </c>
      <c r="AZ1043" s="966" t="str">
        <f t="shared" si="873"/>
        <v>-</v>
      </c>
      <c r="BA1043" s="971" t="str">
        <f t="shared" si="874"/>
        <v>-</v>
      </c>
      <c r="BB1043" s="975"/>
      <c r="BC1043" s="821"/>
      <c r="BD1043" s="821"/>
      <c r="BE1043" s="963" t="str">
        <f t="shared" si="875"/>
        <v>-</v>
      </c>
      <c r="BF1043" s="984"/>
      <c r="BG1043" s="988"/>
      <c r="BH1043" s="982"/>
      <c r="BI1043" s="991"/>
      <c r="BJ1043" s="991"/>
      <c r="BK1043" s="993" t="str">
        <f t="shared" si="876"/>
        <v>-</v>
      </c>
      <c r="BL1043" s="865"/>
      <c r="BM1043" s="821"/>
      <c r="BN1043" s="822" t="str">
        <f t="shared" si="877"/>
        <v>-</v>
      </c>
      <c r="BO1043" s="823" t="str">
        <f t="shared" si="878"/>
        <v>-</v>
      </c>
      <c r="BP1043" s="868"/>
      <c r="BQ1043" s="821"/>
      <c r="BR1043" s="822" t="str">
        <f t="shared" si="879"/>
        <v>-</v>
      </c>
      <c r="BS1043" s="823" t="str">
        <f t="shared" si="880"/>
        <v>-</v>
      </c>
      <c r="BT1043" s="825" t="str">
        <f t="shared" ca="1" si="881"/>
        <v>-</v>
      </c>
      <c r="BU1043" s="860">
        <v>42886</v>
      </c>
      <c r="BV1043" s="827">
        <v>2</v>
      </c>
      <c r="BW1043" s="828">
        <f t="shared" si="882"/>
        <v>38</v>
      </c>
      <c r="BX1043" s="829">
        <f t="shared" ca="1" si="883"/>
        <v>248</v>
      </c>
      <c r="BY1043" s="830" t="str">
        <f t="shared" ca="1" si="884"/>
        <v>-</v>
      </c>
      <c r="BZ1043" s="831">
        <v>42931</v>
      </c>
      <c r="CA1043" s="832">
        <v>5</v>
      </c>
      <c r="CB1043" s="833">
        <f t="shared" ca="1" si="885"/>
        <v>203</v>
      </c>
      <c r="CC1043" s="834" t="str">
        <f t="shared" ca="1" si="886"/>
        <v>-</v>
      </c>
      <c r="CD1043" s="835">
        <f t="shared" si="887"/>
        <v>42952</v>
      </c>
      <c r="CE1043" s="831">
        <v>42954</v>
      </c>
      <c r="CF1043" s="832">
        <v>5</v>
      </c>
      <c r="CG1043" s="833">
        <f t="shared" ca="1" si="888"/>
        <v>180</v>
      </c>
      <c r="CH1043" s="836">
        <f t="shared" si="889"/>
        <v>-2</v>
      </c>
      <c r="CI1043" s="837" t="str">
        <f t="shared" si="890"/>
        <v>-</v>
      </c>
      <c r="CJ1043" s="838" t="str">
        <f t="shared" ca="1" si="891"/>
        <v>-</v>
      </c>
      <c r="CK1043" s="831"/>
      <c r="CL1043" s="832"/>
      <c r="CM1043" s="833" t="str">
        <f t="shared" si="892"/>
        <v>-</v>
      </c>
      <c r="CN1043" s="834" t="str">
        <f t="shared" si="893"/>
        <v>-</v>
      </c>
      <c r="CO1043" s="830" t="str">
        <f t="shared" ca="1" si="894"/>
        <v>-</v>
      </c>
      <c r="CP1043" s="839"/>
      <c r="CQ1043" s="832"/>
      <c r="CR1043" s="833" t="str">
        <f t="shared" si="895"/>
        <v>-</v>
      </c>
      <c r="CS1043" s="833" t="str">
        <f t="shared" si="896"/>
        <v>-</v>
      </c>
      <c r="CT1043" s="834" t="str">
        <f t="shared" si="897"/>
        <v>-</v>
      </c>
      <c r="CU1043" s="835" t="str">
        <f t="shared" si="898"/>
        <v>-</v>
      </c>
      <c r="CV1043" s="839"/>
      <c r="CW1043" s="832"/>
      <c r="CX1043" s="833" t="str">
        <f t="shared" si="899"/>
        <v>-</v>
      </c>
      <c r="CY1043" s="840" t="str">
        <f t="shared" si="900"/>
        <v>-</v>
      </c>
      <c r="CZ1043" s="833" t="str">
        <f t="shared" si="901"/>
        <v>-</v>
      </c>
      <c r="DA1043" s="838" t="str">
        <f t="shared" ca="1" si="902"/>
        <v>-</v>
      </c>
      <c r="DB1043" s="841"/>
      <c r="DC1043" s="832"/>
    </row>
    <row r="1044" spans="1:107" x14ac:dyDescent="0.25">
      <c r="A1044" s="790">
        <v>1048</v>
      </c>
      <c r="B1044" s="791">
        <f t="shared" ca="1" si="851"/>
        <v>43134</v>
      </c>
      <c r="C1044" s="29" t="s">
        <v>2583</v>
      </c>
      <c r="D1044" s="59" t="s">
        <v>2582</v>
      </c>
      <c r="E1044" s="794" t="s">
        <v>1563</v>
      </c>
      <c r="F1044" s="795" t="s">
        <v>2676</v>
      </c>
      <c r="G1044" s="845"/>
      <c r="H1044" s="797" t="s">
        <v>603</v>
      </c>
      <c r="I1044" s="798">
        <v>42848</v>
      </c>
      <c r="J1044" s="799">
        <f t="shared" ca="1" si="852"/>
        <v>0.78356164383561644</v>
      </c>
      <c r="K1044" s="799">
        <f t="shared" ca="1" si="853"/>
        <v>9.5333333333333332</v>
      </c>
      <c r="L1044" s="800">
        <f t="shared" ca="1" si="854"/>
        <v>286</v>
      </c>
      <c r="M1044" s="801"/>
      <c r="N1044" s="802"/>
      <c r="O1044" s="803" t="str">
        <f t="shared" ca="1" si="855"/>
        <v>-</v>
      </c>
      <c r="P1044" s="804"/>
      <c r="Q1044" s="805"/>
      <c r="R1044" s="806"/>
      <c r="S1044" s="807"/>
      <c r="T1044" s="798"/>
      <c r="U1044" s="798" t="str">
        <f t="shared" si="856"/>
        <v>-</v>
      </c>
      <c r="V1044" s="804" t="str">
        <f t="shared" ca="1" si="857"/>
        <v>-</v>
      </c>
      <c r="W1044" s="808">
        <v>0</v>
      </c>
      <c r="X1044" s="794" t="str">
        <f t="shared" si="850"/>
        <v>-</v>
      </c>
      <c r="Y1044" s="794">
        <v>0</v>
      </c>
      <c r="Z1044" s="809" t="str">
        <f t="shared" ca="1" si="858"/>
        <v>-----</v>
      </c>
      <c r="AA1044" s="810">
        <f t="shared" ca="1" si="859"/>
        <v>43134</v>
      </c>
      <c r="AB1044" s="804"/>
      <c r="AC1044" s="811" t="str">
        <f t="shared" ca="1" si="860"/>
        <v>-----</v>
      </c>
      <c r="AD1044" s="798"/>
      <c r="AE1044" s="794" t="str">
        <f t="shared" ca="1" si="861"/>
        <v>-</v>
      </c>
      <c r="AF1044" s="798" t="str">
        <f t="shared" si="862"/>
        <v>-</v>
      </c>
      <c r="AG1044" s="812" t="str">
        <f t="shared" si="863"/>
        <v>---------</v>
      </c>
      <c r="AH1044" s="807"/>
      <c r="AI1044" s="807" t="str">
        <f t="shared" si="864"/>
        <v>-</v>
      </c>
      <c r="AJ1044" s="807" t="str">
        <f t="shared" si="865"/>
        <v>-</v>
      </c>
      <c r="AK1044" s="813"/>
      <c r="AL1044" s="807" t="str">
        <f t="shared" si="866"/>
        <v>-</v>
      </c>
      <c r="AM1044" s="807" t="str">
        <f t="shared" si="867"/>
        <v>-</v>
      </c>
      <c r="AN1044" s="814" t="str">
        <f t="shared" ca="1" si="868"/>
        <v>-</v>
      </c>
      <c r="AO1044" s="815">
        <v>1</v>
      </c>
      <c r="AP1044" s="816" t="str">
        <f t="shared" ca="1" si="869"/>
        <v>-</v>
      </c>
      <c r="AQ1044" s="817"/>
      <c r="AR1044" s="794" t="str">
        <f t="shared" si="870"/>
        <v>-</v>
      </c>
      <c r="AS1044" s="818"/>
      <c r="AT1044" s="794" t="str">
        <f t="shared" si="871"/>
        <v>-</v>
      </c>
      <c r="AU1044" s="819"/>
      <c r="AV1044" s="865"/>
      <c r="AW1044" s="821"/>
      <c r="AX1044" s="821"/>
      <c r="AY1044" s="969" t="str">
        <f t="shared" si="872"/>
        <v>-</v>
      </c>
      <c r="AZ1044" s="966" t="str">
        <f t="shared" si="873"/>
        <v>-</v>
      </c>
      <c r="BA1044" s="971" t="str">
        <f t="shared" si="874"/>
        <v>-</v>
      </c>
      <c r="BB1044" s="975"/>
      <c r="BC1044" s="821"/>
      <c r="BD1044" s="821"/>
      <c r="BE1044" s="963" t="str">
        <f t="shared" si="875"/>
        <v>-</v>
      </c>
      <c r="BF1044" s="984"/>
      <c r="BG1044" s="988"/>
      <c r="BH1044" s="982"/>
      <c r="BI1044" s="991"/>
      <c r="BJ1044" s="991"/>
      <c r="BK1044" s="993" t="str">
        <f t="shared" si="876"/>
        <v>-</v>
      </c>
      <c r="BL1044" s="865"/>
      <c r="BM1044" s="821"/>
      <c r="BN1044" s="822" t="str">
        <f t="shared" si="877"/>
        <v>-</v>
      </c>
      <c r="BO1044" s="823" t="str">
        <f t="shared" si="878"/>
        <v>-</v>
      </c>
      <c r="BP1044" s="868"/>
      <c r="BQ1044" s="821"/>
      <c r="BR1044" s="822" t="str">
        <f t="shared" si="879"/>
        <v>-</v>
      </c>
      <c r="BS1044" s="823" t="str">
        <f t="shared" si="880"/>
        <v>-</v>
      </c>
      <c r="BT1044" s="825" t="str">
        <f t="shared" ca="1" si="881"/>
        <v>-</v>
      </c>
      <c r="BU1044" s="860">
        <v>42886</v>
      </c>
      <c r="BV1044" s="827">
        <v>2</v>
      </c>
      <c r="BW1044" s="828">
        <f t="shared" si="882"/>
        <v>38</v>
      </c>
      <c r="BX1044" s="829">
        <f t="shared" ca="1" si="883"/>
        <v>248</v>
      </c>
      <c r="BY1044" s="830" t="str">
        <f t="shared" ca="1" si="884"/>
        <v>-</v>
      </c>
      <c r="BZ1044" s="831">
        <v>42931</v>
      </c>
      <c r="CA1044" s="832">
        <v>5</v>
      </c>
      <c r="CB1044" s="833">
        <f t="shared" ca="1" si="885"/>
        <v>203</v>
      </c>
      <c r="CC1044" s="834" t="str">
        <f t="shared" ca="1" si="886"/>
        <v>-</v>
      </c>
      <c r="CD1044" s="835">
        <f t="shared" si="887"/>
        <v>42952</v>
      </c>
      <c r="CE1044" s="831">
        <v>42954</v>
      </c>
      <c r="CF1044" s="832">
        <v>5</v>
      </c>
      <c r="CG1044" s="833">
        <f t="shared" ca="1" si="888"/>
        <v>180</v>
      </c>
      <c r="CH1044" s="836">
        <f t="shared" si="889"/>
        <v>-2</v>
      </c>
      <c r="CI1044" s="837" t="str">
        <f t="shared" si="890"/>
        <v>-</v>
      </c>
      <c r="CJ1044" s="838" t="str">
        <f t="shared" ca="1" si="891"/>
        <v>-</v>
      </c>
      <c r="CK1044" s="831"/>
      <c r="CL1044" s="832"/>
      <c r="CM1044" s="833" t="str">
        <f t="shared" si="892"/>
        <v>-</v>
      </c>
      <c r="CN1044" s="834" t="str">
        <f t="shared" si="893"/>
        <v>-</v>
      </c>
      <c r="CO1044" s="830" t="str">
        <f t="shared" ca="1" si="894"/>
        <v>-</v>
      </c>
      <c r="CP1044" s="839"/>
      <c r="CQ1044" s="832"/>
      <c r="CR1044" s="833" t="str">
        <f t="shared" si="895"/>
        <v>-</v>
      </c>
      <c r="CS1044" s="833" t="str">
        <f t="shared" si="896"/>
        <v>-</v>
      </c>
      <c r="CT1044" s="834" t="str">
        <f t="shared" si="897"/>
        <v>-</v>
      </c>
      <c r="CU1044" s="835" t="str">
        <f t="shared" si="898"/>
        <v>-</v>
      </c>
      <c r="CV1044" s="839"/>
      <c r="CW1044" s="832"/>
      <c r="CX1044" s="833" t="str">
        <f t="shared" si="899"/>
        <v>-</v>
      </c>
      <c r="CY1044" s="840" t="str">
        <f t="shared" si="900"/>
        <v>-</v>
      </c>
      <c r="CZ1044" s="833" t="str">
        <f t="shared" si="901"/>
        <v>-</v>
      </c>
      <c r="DA1044" s="838" t="str">
        <f t="shared" ca="1" si="902"/>
        <v>-</v>
      </c>
      <c r="DB1044" s="841"/>
      <c r="DC1044" s="832"/>
    </row>
    <row r="1045" spans="1:107" x14ac:dyDescent="0.25">
      <c r="A1045" s="790">
        <v>1049</v>
      </c>
      <c r="B1045" s="791">
        <f t="shared" ca="1" si="851"/>
        <v>43134</v>
      </c>
      <c r="C1045" s="792" t="s">
        <v>2584</v>
      </c>
      <c r="D1045" s="793" t="s">
        <v>2915</v>
      </c>
      <c r="E1045" s="794" t="s">
        <v>1563</v>
      </c>
      <c r="F1045" s="795" t="s">
        <v>1766</v>
      </c>
      <c r="G1045" s="845"/>
      <c r="H1045" s="797" t="s">
        <v>603</v>
      </c>
      <c r="I1045" s="798">
        <v>42447</v>
      </c>
      <c r="J1045" s="799">
        <f t="shared" ca="1" si="852"/>
        <v>1.8821917808219177</v>
      </c>
      <c r="K1045" s="799">
        <f t="shared" ca="1" si="853"/>
        <v>22.9</v>
      </c>
      <c r="L1045" s="800">
        <f t="shared" ca="1" si="854"/>
        <v>687</v>
      </c>
      <c r="M1045" s="801"/>
      <c r="N1045" s="802"/>
      <c r="O1045" s="803" t="str">
        <f t="shared" ca="1" si="855"/>
        <v>-</v>
      </c>
      <c r="P1045" s="804"/>
      <c r="Q1045" s="805"/>
      <c r="R1045" s="806"/>
      <c r="S1045" s="807"/>
      <c r="T1045" s="798"/>
      <c r="U1045" s="798" t="str">
        <f t="shared" si="856"/>
        <v>-</v>
      </c>
      <c r="V1045" s="804" t="str">
        <f t="shared" ca="1" si="857"/>
        <v>-</v>
      </c>
      <c r="W1045" s="808">
        <v>0</v>
      </c>
      <c r="X1045" s="794" t="str">
        <f t="shared" si="850"/>
        <v>-</v>
      </c>
      <c r="Y1045" s="794">
        <v>0</v>
      </c>
      <c r="Z1045" s="809" t="str">
        <f t="shared" ca="1" si="858"/>
        <v>-----</v>
      </c>
      <c r="AA1045" s="810">
        <f t="shared" ca="1" si="859"/>
        <v>43134</v>
      </c>
      <c r="AB1045" s="804"/>
      <c r="AC1045" s="811" t="str">
        <f t="shared" ca="1" si="860"/>
        <v>-----</v>
      </c>
      <c r="AD1045" s="798"/>
      <c r="AE1045" s="794" t="str">
        <f t="shared" ca="1" si="861"/>
        <v>-</v>
      </c>
      <c r="AF1045" s="798" t="str">
        <f t="shared" si="862"/>
        <v>-</v>
      </c>
      <c r="AG1045" s="812" t="str">
        <f t="shared" si="863"/>
        <v>---------</v>
      </c>
      <c r="AH1045" s="807"/>
      <c r="AI1045" s="807" t="str">
        <f t="shared" si="864"/>
        <v>-</v>
      </c>
      <c r="AJ1045" s="807" t="str">
        <f t="shared" si="865"/>
        <v>-</v>
      </c>
      <c r="AK1045" s="813"/>
      <c r="AL1045" s="807" t="str">
        <f t="shared" si="866"/>
        <v>-</v>
      </c>
      <c r="AM1045" s="807" t="str">
        <f t="shared" si="867"/>
        <v>-</v>
      </c>
      <c r="AN1045" s="814" t="str">
        <f t="shared" ca="1" si="868"/>
        <v>-</v>
      </c>
      <c r="AO1045" s="815">
        <v>1</v>
      </c>
      <c r="AP1045" s="816" t="str">
        <f t="shared" ca="1" si="869"/>
        <v>-</v>
      </c>
      <c r="AQ1045" s="817" t="s">
        <v>3035</v>
      </c>
      <c r="AR1045" s="794" t="str">
        <f t="shared" si="870"/>
        <v>-</v>
      </c>
      <c r="AS1045" s="818"/>
      <c r="AT1045" s="794" t="str">
        <f t="shared" si="871"/>
        <v>-</v>
      </c>
      <c r="AU1045" s="819"/>
      <c r="AV1045" s="865"/>
      <c r="AW1045" s="821"/>
      <c r="AX1045" s="821"/>
      <c r="AY1045" s="969" t="str">
        <f t="shared" si="872"/>
        <v>-</v>
      </c>
      <c r="AZ1045" s="966" t="str">
        <f t="shared" si="873"/>
        <v>-</v>
      </c>
      <c r="BA1045" s="971" t="str">
        <f t="shared" si="874"/>
        <v>-</v>
      </c>
      <c r="BB1045" s="975"/>
      <c r="BC1045" s="821"/>
      <c r="BD1045" s="821"/>
      <c r="BE1045" s="963" t="str">
        <f t="shared" si="875"/>
        <v>-</v>
      </c>
      <c r="BF1045" s="984"/>
      <c r="BG1045" s="988"/>
      <c r="BH1045" s="982"/>
      <c r="BI1045" s="991"/>
      <c r="BJ1045" s="991"/>
      <c r="BK1045" s="993" t="str">
        <f t="shared" si="876"/>
        <v>-</v>
      </c>
      <c r="BL1045" s="865"/>
      <c r="BM1045" s="821"/>
      <c r="BN1045" s="822" t="str">
        <f t="shared" si="877"/>
        <v>-</v>
      </c>
      <c r="BO1045" s="823" t="str">
        <f t="shared" si="878"/>
        <v>-</v>
      </c>
      <c r="BP1045" s="868"/>
      <c r="BQ1045" s="821"/>
      <c r="BR1045" s="822" t="str">
        <f t="shared" si="879"/>
        <v>-</v>
      </c>
      <c r="BS1045" s="823" t="str">
        <f t="shared" si="880"/>
        <v>-</v>
      </c>
      <c r="BT1045" s="825" t="str">
        <f t="shared" ca="1" si="881"/>
        <v>-</v>
      </c>
      <c r="BU1045" s="826"/>
      <c r="BV1045" s="827"/>
      <c r="BW1045" s="828" t="str">
        <f t="shared" si="882"/>
        <v>Ж-Е НЕ ВАКЦ.</v>
      </c>
      <c r="BX1045" s="829" t="str">
        <f t="shared" si="883"/>
        <v>-</v>
      </c>
      <c r="BY1045" s="830" t="str">
        <f t="shared" ca="1" si="884"/>
        <v>-</v>
      </c>
      <c r="BZ1045" s="831">
        <v>42891</v>
      </c>
      <c r="CA1045" s="832">
        <v>5</v>
      </c>
      <c r="CB1045" s="833">
        <f t="shared" ca="1" si="885"/>
        <v>243</v>
      </c>
      <c r="CC1045" s="834" t="str">
        <f t="shared" ca="1" si="886"/>
        <v>-</v>
      </c>
      <c r="CD1045" s="835">
        <f t="shared" si="887"/>
        <v>42912</v>
      </c>
      <c r="CE1045" s="831">
        <v>42912</v>
      </c>
      <c r="CF1045" s="832">
        <v>5</v>
      </c>
      <c r="CG1045" s="833">
        <f t="shared" ca="1" si="888"/>
        <v>222</v>
      </c>
      <c r="CH1045" s="836">
        <f t="shared" si="889"/>
        <v>0</v>
      </c>
      <c r="CI1045" s="837" t="str">
        <f t="shared" si="890"/>
        <v>УСПЕШНО</v>
      </c>
      <c r="CJ1045" s="838" t="str">
        <f t="shared" ca="1" si="891"/>
        <v>-</v>
      </c>
      <c r="CK1045" s="831"/>
      <c r="CL1045" s="832"/>
      <c r="CM1045" s="833" t="str">
        <f t="shared" si="892"/>
        <v>-</v>
      </c>
      <c r="CN1045" s="834" t="str">
        <f t="shared" si="893"/>
        <v>-</v>
      </c>
      <c r="CO1045" s="830" t="str">
        <f t="shared" ca="1" si="894"/>
        <v>-</v>
      </c>
      <c r="CP1045" s="839"/>
      <c r="CQ1045" s="832"/>
      <c r="CR1045" s="833" t="str">
        <f t="shared" si="895"/>
        <v>-</v>
      </c>
      <c r="CS1045" s="833" t="str">
        <f t="shared" si="896"/>
        <v>-</v>
      </c>
      <c r="CT1045" s="834" t="str">
        <f t="shared" si="897"/>
        <v>-</v>
      </c>
      <c r="CU1045" s="835" t="str">
        <f t="shared" si="898"/>
        <v>-</v>
      </c>
      <c r="CV1045" s="839"/>
      <c r="CW1045" s="832"/>
      <c r="CX1045" s="833" t="str">
        <f t="shared" si="899"/>
        <v>-</v>
      </c>
      <c r="CY1045" s="840" t="str">
        <f t="shared" si="900"/>
        <v>-</v>
      </c>
      <c r="CZ1045" s="833" t="str">
        <f t="shared" si="901"/>
        <v>-</v>
      </c>
      <c r="DA1045" s="838" t="str">
        <f t="shared" ca="1" si="902"/>
        <v>-</v>
      </c>
      <c r="DB1045" s="841"/>
      <c r="DC1045" s="832"/>
    </row>
    <row r="1046" spans="1:107" x14ac:dyDescent="0.25">
      <c r="A1046" s="790">
        <v>1050</v>
      </c>
      <c r="B1046" s="791">
        <f t="shared" ca="1" si="851"/>
        <v>43134</v>
      </c>
      <c r="C1046" s="847" t="s">
        <v>2584</v>
      </c>
      <c r="D1046" s="870" t="s">
        <v>2915</v>
      </c>
      <c r="E1046" s="794" t="s">
        <v>1563</v>
      </c>
      <c r="F1046" s="795" t="s">
        <v>1779</v>
      </c>
      <c r="G1046" s="845"/>
      <c r="H1046" s="797" t="s">
        <v>603</v>
      </c>
      <c r="I1046" s="798">
        <v>42505</v>
      </c>
      <c r="J1046" s="799">
        <f t="shared" ca="1" si="852"/>
        <v>1.7232876712328766</v>
      </c>
      <c r="K1046" s="799">
        <f t="shared" ca="1" si="853"/>
        <v>20.966666666666665</v>
      </c>
      <c r="L1046" s="800">
        <f t="shared" ca="1" si="854"/>
        <v>629</v>
      </c>
      <c r="M1046" s="801"/>
      <c r="N1046" s="802"/>
      <c r="O1046" s="803" t="str">
        <f t="shared" ca="1" si="855"/>
        <v>-</v>
      </c>
      <c r="P1046" s="804"/>
      <c r="Q1046" s="805" t="s">
        <v>1451</v>
      </c>
      <c r="R1046" s="806" t="s">
        <v>1875</v>
      </c>
      <c r="S1046" s="807">
        <v>42863</v>
      </c>
      <c r="T1046" s="798">
        <v>42863</v>
      </c>
      <c r="U1046" s="798" t="str">
        <f t="shared" si="856"/>
        <v>-</v>
      </c>
      <c r="V1046" s="804" t="str">
        <f t="shared" ca="1" si="857"/>
        <v>-</v>
      </c>
      <c r="W1046" s="808">
        <v>1</v>
      </c>
      <c r="X1046" s="794" t="str">
        <f t="shared" si="850"/>
        <v>-</v>
      </c>
      <c r="Y1046" s="794">
        <v>0</v>
      </c>
      <c r="Z1046" s="809" t="str">
        <f t="shared" ca="1" si="858"/>
        <v>-----</v>
      </c>
      <c r="AA1046" s="810">
        <f t="shared" ca="1" si="859"/>
        <v>271</v>
      </c>
      <c r="AB1046" s="804"/>
      <c r="AC1046" s="811" t="str">
        <f t="shared" ca="1" si="860"/>
        <v>-----</v>
      </c>
      <c r="AD1046" s="798"/>
      <c r="AE1046" s="794" t="str">
        <f t="shared" ca="1" si="861"/>
        <v>-</v>
      </c>
      <c r="AF1046" s="798" t="str">
        <f t="shared" si="862"/>
        <v>-</v>
      </c>
      <c r="AG1046" s="812" t="str">
        <f t="shared" si="863"/>
        <v>---------</v>
      </c>
      <c r="AH1046" s="807">
        <v>42931</v>
      </c>
      <c r="AI1046" s="807" t="str">
        <f t="shared" si="864"/>
        <v>-</v>
      </c>
      <c r="AJ1046" s="807" t="str">
        <f t="shared" si="865"/>
        <v>-</v>
      </c>
      <c r="AK1046" s="813"/>
      <c r="AL1046" s="807" t="str">
        <f t="shared" si="866"/>
        <v>-</v>
      </c>
      <c r="AM1046" s="807" t="str">
        <f t="shared" si="867"/>
        <v>-</v>
      </c>
      <c r="AN1046" s="814" t="str">
        <f t="shared" ca="1" si="868"/>
        <v>-</v>
      </c>
      <c r="AO1046" s="815">
        <v>1</v>
      </c>
      <c r="AP1046" s="816" t="str">
        <f t="shared" ca="1" si="869"/>
        <v>-</v>
      </c>
      <c r="AQ1046" s="817"/>
      <c r="AR1046" s="794" t="str">
        <f t="shared" si="870"/>
        <v>-</v>
      </c>
      <c r="AS1046" s="818"/>
      <c r="AT1046" s="794" t="str">
        <f t="shared" si="871"/>
        <v>-</v>
      </c>
      <c r="AU1046" s="819"/>
      <c r="AV1046" s="865"/>
      <c r="AW1046" s="821"/>
      <c r="AX1046" s="821"/>
      <c r="AY1046" s="969" t="str">
        <f t="shared" si="872"/>
        <v>-</v>
      </c>
      <c r="AZ1046" s="966" t="str">
        <f t="shared" si="873"/>
        <v>-</v>
      </c>
      <c r="BA1046" s="971" t="str">
        <f t="shared" si="874"/>
        <v>-</v>
      </c>
      <c r="BB1046" s="975"/>
      <c r="BC1046" s="821"/>
      <c r="BD1046" s="821"/>
      <c r="BE1046" s="963" t="str">
        <f t="shared" si="875"/>
        <v>-</v>
      </c>
      <c r="BF1046" s="984"/>
      <c r="BG1046" s="988"/>
      <c r="BH1046" s="982"/>
      <c r="BI1046" s="991"/>
      <c r="BJ1046" s="991"/>
      <c r="BK1046" s="993" t="str">
        <f t="shared" si="876"/>
        <v>-</v>
      </c>
      <c r="BL1046" s="865"/>
      <c r="BM1046" s="821"/>
      <c r="BN1046" s="822" t="str">
        <f t="shared" si="877"/>
        <v>-</v>
      </c>
      <c r="BO1046" s="823" t="str">
        <f t="shared" si="878"/>
        <v>-</v>
      </c>
      <c r="BP1046" s="868"/>
      <c r="BQ1046" s="821"/>
      <c r="BR1046" s="822" t="str">
        <f t="shared" si="879"/>
        <v>-</v>
      </c>
      <c r="BS1046" s="823" t="str">
        <f t="shared" si="880"/>
        <v>-</v>
      </c>
      <c r="BT1046" s="825" t="str">
        <f t="shared" ca="1" si="881"/>
        <v>-</v>
      </c>
      <c r="BU1046" s="826"/>
      <c r="BV1046" s="827"/>
      <c r="BW1046" s="828" t="str">
        <f t="shared" si="882"/>
        <v>Ж-Е НЕ ВАКЦ.</v>
      </c>
      <c r="BX1046" s="829" t="str">
        <f t="shared" si="883"/>
        <v>-</v>
      </c>
      <c r="BY1046" s="830" t="str">
        <f t="shared" ca="1" si="884"/>
        <v>-</v>
      </c>
      <c r="BZ1046" s="831">
        <v>42891</v>
      </c>
      <c r="CA1046" s="832">
        <v>5</v>
      </c>
      <c r="CB1046" s="833">
        <f t="shared" ca="1" si="885"/>
        <v>243</v>
      </c>
      <c r="CC1046" s="834" t="str">
        <f t="shared" ca="1" si="886"/>
        <v>-</v>
      </c>
      <c r="CD1046" s="835">
        <f t="shared" si="887"/>
        <v>42912</v>
      </c>
      <c r="CE1046" s="831">
        <v>42912</v>
      </c>
      <c r="CF1046" s="832">
        <v>5</v>
      </c>
      <c r="CG1046" s="833">
        <f t="shared" ca="1" si="888"/>
        <v>222</v>
      </c>
      <c r="CH1046" s="836">
        <f t="shared" si="889"/>
        <v>0</v>
      </c>
      <c r="CI1046" s="837" t="str">
        <f t="shared" si="890"/>
        <v>УСПЕШНО</v>
      </c>
      <c r="CJ1046" s="838" t="str">
        <f t="shared" ca="1" si="891"/>
        <v>-</v>
      </c>
      <c r="CK1046" s="831"/>
      <c r="CL1046" s="832"/>
      <c r="CM1046" s="833" t="str">
        <f t="shared" si="892"/>
        <v>-</v>
      </c>
      <c r="CN1046" s="834" t="str">
        <f t="shared" si="893"/>
        <v>-</v>
      </c>
      <c r="CO1046" s="830" t="str">
        <f t="shared" ca="1" si="894"/>
        <v>-</v>
      </c>
      <c r="CP1046" s="839"/>
      <c r="CQ1046" s="832"/>
      <c r="CR1046" s="833" t="str">
        <f t="shared" si="895"/>
        <v>-</v>
      </c>
      <c r="CS1046" s="833" t="str">
        <f t="shared" si="896"/>
        <v>-</v>
      </c>
      <c r="CT1046" s="834" t="str">
        <f t="shared" si="897"/>
        <v>-</v>
      </c>
      <c r="CU1046" s="835" t="str">
        <f t="shared" si="898"/>
        <v>-</v>
      </c>
      <c r="CV1046" s="839"/>
      <c r="CW1046" s="832"/>
      <c r="CX1046" s="833" t="str">
        <f t="shared" si="899"/>
        <v>-</v>
      </c>
      <c r="CY1046" s="840" t="str">
        <f t="shared" si="900"/>
        <v>-</v>
      </c>
      <c r="CZ1046" s="833" t="str">
        <f t="shared" si="901"/>
        <v>-</v>
      </c>
      <c r="DA1046" s="838" t="str">
        <f t="shared" ca="1" si="902"/>
        <v>-</v>
      </c>
      <c r="DB1046" s="841"/>
      <c r="DC1046" s="832"/>
    </row>
    <row r="1047" spans="1:107" x14ac:dyDescent="0.25">
      <c r="A1047" s="790">
        <v>1051</v>
      </c>
      <c r="B1047" s="791">
        <f t="shared" ca="1" si="851"/>
        <v>43134</v>
      </c>
      <c r="C1047" s="792" t="s">
        <v>2584</v>
      </c>
      <c r="D1047" s="793" t="s">
        <v>2915</v>
      </c>
      <c r="E1047" s="794" t="s">
        <v>1563</v>
      </c>
      <c r="F1047" s="795" t="s">
        <v>1684</v>
      </c>
      <c r="G1047" s="845"/>
      <c r="H1047" s="797" t="s">
        <v>603</v>
      </c>
      <c r="I1047" s="798">
        <v>42509</v>
      </c>
      <c r="J1047" s="799">
        <f t="shared" ca="1" si="852"/>
        <v>1.7123287671232876</v>
      </c>
      <c r="K1047" s="799">
        <f t="shared" ca="1" si="853"/>
        <v>20.833333333333332</v>
      </c>
      <c r="L1047" s="800">
        <f t="shared" ca="1" si="854"/>
        <v>625</v>
      </c>
      <c r="M1047" s="801"/>
      <c r="N1047" s="802"/>
      <c r="O1047" s="803" t="str">
        <f t="shared" ca="1" si="855"/>
        <v>-</v>
      </c>
      <c r="P1047" s="804"/>
      <c r="Q1047" s="805" t="s">
        <v>1451</v>
      </c>
      <c r="R1047" s="806" t="s">
        <v>1876</v>
      </c>
      <c r="S1047" s="807">
        <v>42912</v>
      </c>
      <c r="T1047" s="798">
        <v>42912</v>
      </c>
      <c r="U1047" s="798" t="str">
        <f t="shared" si="856"/>
        <v>-</v>
      </c>
      <c r="V1047" s="804" t="str">
        <f t="shared" ca="1" si="857"/>
        <v>-</v>
      </c>
      <c r="W1047" s="808">
        <v>1</v>
      </c>
      <c r="X1047" s="794" t="str">
        <f t="shared" si="850"/>
        <v>-</v>
      </c>
      <c r="Y1047" s="794">
        <v>0</v>
      </c>
      <c r="Z1047" s="809" t="str">
        <f t="shared" ca="1" si="858"/>
        <v>-----</v>
      </c>
      <c r="AA1047" s="810">
        <f t="shared" ca="1" si="859"/>
        <v>222</v>
      </c>
      <c r="AB1047" s="804"/>
      <c r="AC1047" s="811" t="str">
        <f t="shared" ca="1" si="860"/>
        <v>-----</v>
      </c>
      <c r="AD1047" s="798"/>
      <c r="AE1047" s="794" t="str">
        <f t="shared" ca="1" si="861"/>
        <v>-</v>
      </c>
      <c r="AF1047" s="798" t="str">
        <f t="shared" si="862"/>
        <v>-</v>
      </c>
      <c r="AG1047" s="812" t="str">
        <f t="shared" si="863"/>
        <v>---------</v>
      </c>
      <c r="AH1047" s="807">
        <v>43001</v>
      </c>
      <c r="AI1047" s="807" t="str">
        <f t="shared" si="864"/>
        <v>-</v>
      </c>
      <c r="AJ1047" s="807" t="str">
        <f t="shared" si="865"/>
        <v>-</v>
      </c>
      <c r="AK1047" s="813"/>
      <c r="AL1047" s="807" t="str">
        <f t="shared" si="866"/>
        <v>-</v>
      </c>
      <c r="AM1047" s="807" t="str">
        <f t="shared" si="867"/>
        <v>-</v>
      </c>
      <c r="AN1047" s="814" t="str">
        <f t="shared" ca="1" si="868"/>
        <v>-</v>
      </c>
      <c r="AO1047" s="815">
        <v>1</v>
      </c>
      <c r="AP1047" s="816" t="str">
        <f t="shared" ca="1" si="869"/>
        <v>-</v>
      </c>
      <c r="AQ1047" s="817"/>
      <c r="AR1047" s="794" t="str">
        <f t="shared" si="870"/>
        <v>-</v>
      </c>
      <c r="AS1047" s="818"/>
      <c r="AT1047" s="794" t="str">
        <f t="shared" si="871"/>
        <v>-</v>
      </c>
      <c r="AU1047" s="819"/>
      <c r="AV1047" s="865"/>
      <c r="AW1047" s="821"/>
      <c r="AX1047" s="821"/>
      <c r="AY1047" s="969" t="str">
        <f t="shared" si="872"/>
        <v>-</v>
      </c>
      <c r="AZ1047" s="966" t="str">
        <f t="shared" si="873"/>
        <v>-</v>
      </c>
      <c r="BA1047" s="971" t="str">
        <f t="shared" si="874"/>
        <v>-</v>
      </c>
      <c r="BB1047" s="975"/>
      <c r="BC1047" s="821"/>
      <c r="BD1047" s="821"/>
      <c r="BE1047" s="963" t="str">
        <f t="shared" si="875"/>
        <v>-</v>
      </c>
      <c r="BF1047" s="984"/>
      <c r="BG1047" s="988"/>
      <c r="BH1047" s="982"/>
      <c r="BI1047" s="991"/>
      <c r="BJ1047" s="991"/>
      <c r="BK1047" s="993" t="str">
        <f t="shared" si="876"/>
        <v>-</v>
      </c>
      <c r="BL1047" s="865"/>
      <c r="BM1047" s="821"/>
      <c r="BN1047" s="822" t="str">
        <f t="shared" si="877"/>
        <v>-</v>
      </c>
      <c r="BO1047" s="823" t="str">
        <f t="shared" si="878"/>
        <v>-</v>
      </c>
      <c r="BP1047" s="868"/>
      <c r="BQ1047" s="821"/>
      <c r="BR1047" s="822" t="str">
        <f t="shared" si="879"/>
        <v>-</v>
      </c>
      <c r="BS1047" s="823" t="str">
        <f t="shared" si="880"/>
        <v>-</v>
      </c>
      <c r="BT1047" s="825" t="str">
        <f t="shared" ca="1" si="881"/>
        <v>-</v>
      </c>
      <c r="BU1047" s="826"/>
      <c r="BV1047" s="827"/>
      <c r="BW1047" s="828" t="str">
        <f t="shared" si="882"/>
        <v>Ж-Е НЕ ВАКЦ.</v>
      </c>
      <c r="BX1047" s="829" t="str">
        <f t="shared" si="883"/>
        <v>-</v>
      </c>
      <c r="BY1047" s="830" t="str">
        <f t="shared" ca="1" si="884"/>
        <v>-</v>
      </c>
      <c r="BZ1047" s="831">
        <v>42891</v>
      </c>
      <c r="CA1047" s="832">
        <v>5</v>
      </c>
      <c r="CB1047" s="833">
        <f t="shared" ca="1" si="885"/>
        <v>243</v>
      </c>
      <c r="CC1047" s="834" t="str">
        <f t="shared" ca="1" si="886"/>
        <v>-</v>
      </c>
      <c r="CD1047" s="835">
        <f t="shared" si="887"/>
        <v>42912</v>
      </c>
      <c r="CE1047" s="831">
        <v>42912</v>
      </c>
      <c r="CF1047" s="832">
        <v>5</v>
      </c>
      <c r="CG1047" s="833">
        <f t="shared" ca="1" si="888"/>
        <v>222</v>
      </c>
      <c r="CH1047" s="836">
        <f t="shared" si="889"/>
        <v>0</v>
      </c>
      <c r="CI1047" s="837" t="str">
        <f t="shared" si="890"/>
        <v>УСПЕШНО</v>
      </c>
      <c r="CJ1047" s="838" t="str">
        <f t="shared" ca="1" si="891"/>
        <v>-</v>
      </c>
      <c r="CK1047" s="831"/>
      <c r="CL1047" s="832"/>
      <c r="CM1047" s="833" t="str">
        <f t="shared" si="892"/>
        <v>-</v>
      </c>
      <c r="CN1047" s="834" t="str">
        <f t="shared" si="893"/>
        <v>-</v>
      </c>
      <c r="CO1047" s="830" t="str">
        <f t="shared" ca="1" si="894"/>
        <v>-</v>
      </c>
      <c r="CP1047" s="839"/>
      <c r="CQ1047" s="832"/>
      <c r="CR1047" s="833" t="str">
        <f t="shared" si="895"/>
        <v>-</v>
      </c>
      <c r="CS1047" s="833" t="str">
        <f t="shared" si="896"/>
        <v>-</v>
      </c>
      <c r="CT1047" s="834" t="str">
        <f t="shared" si="897"/>
        <v>-</v>
      </c>
      <c r="CU1047" s="835" t="str">
        <f t="shared" si="898"/>
        <v>-</v>
      </c>
      <c r="CV1047" s="839"/>
      <c r="CW1047" s="832"/>
      <c r="CX1047" s="833" t="str">
        <f t="shared" si="899"/>
        <v>-</v>
      </c>
      <c r="CY1047" s="840" t="str">
        <f t="shared" si="900"/>
        <v>-</v>
      </c>
      <c r="CZ1047" s="833" t="str">
        <f t="shared" si="901"/>
        <v>-</v>
      </c>
      <c r="DA1047" s="838" t="str">
        <f t="shared" ca="1" si="902"/>
        <v>-</v>
      </c>
      <c r="DB1047" s="841"/>
      <c r="DC1047" s="832"/>
    </row>
    <row r="1048" spans="1:107" x14ac:dyDescent="0.25">
      <c r="A1048" s="790">
        <v>1052</v>
      </c>
      <c r="B1048" s="791">
        <f t="shared" ca="1" si="851"/>
        <v>43134</v>
      </c>
      <c r="C1048" s="847" t="s">
        <v>2584</v>
      </c>
      <c r="D1048" s="870" t="s">
        <v>2915</v>
      </c>
      <c r="E1048" s="794" t="s">
        <v>1563</v>
      </c>
      <c r="F1048" s="795" t="s">
        <v>1700</v>
      </c>
      <c r="G1048" s="845"/>
      <c r="H1048" s="797" t="s">
        <v>603</v>
      </c>
      <c r="I1048" s="798">
        <v>42526</v>
      </c>
      <c r="J1048" s="799">
        <f t="shared" ca="1" si="852"/>
        <v>1.6657534246575343</v>
      </c>
      <c r="K1048" s="799">
        <f t="shared" ca="1" si="853"/>
        <v>20.266666666666666</v>
      </c>
      <c r="L1048" s="800">
        <f t="shared" ca="1" si="854"/>
        <v>608</v>
      </c>
      <c r="M1048" s="801"/>
      <c r="N1048" s="802"/>
      <c r="O1048" s="803" t="str">
        <f t="shared" ca="1" si="855"/>
        <v>-</v>
      </c>
      <c r="P1048" s="804"/>
      <c r="Q1048" s="805"/>
      <c r="R1048" s="806"/>
      <c r="S1048" s="807"/>
      <c r="T1048" s="798"/>
      <c r="U1048" s="798" t="str">
        <f t="shared" si="856"/>
        <v>-</v>
      </c>
      <c r="V1048" s="804" t="str">
        <f t="shared" ca="1" si="857"/>
        <v>-</v>
      </c>
      <c r="W1048" s="808">
        <v>0</v>
      </c>
      <c r="X1048" s="794" t="str">
        <f t="shared" si="850"/>
        <v>-</v>
      </c>
      <c r="Y1048" s="794">
        <v>0</v>
      </c>
      <c r="Z1048" s="809" t="str">
        <f t="shared" ca="1" si="858"/>
        <v>-----</v>
      </c>
      <c r="AA1048" s="810">
        <f t="shared" ca="1" si="859"/>
        <v>43134</v>
      </c>
      <c r="AB1048" s="804"/>
      <c r="AC1048" s="811" t="str">
        <f t="shared" ca="1" si="860"/>
        <v>-----</v>
      </c>
      <c r="AD1048" s="798"/>
      <c r="AE1048" s="794" t="str">
        <f t="shared" ca="1" si="861"/>
        <v>-</v>
      </c>
      <c r="AF1048" s="798" t="str">
        <f t="shared" si="862"/>
        <v>-</v>
      </c>
      <c r="AG1048" s="812" t="str">
        <f t="shared" si="863"/>
        <v>---------</v>
      </c>
      <c r="AH1048" s="807"/>
      <c r="AI1048" s="807" t="str">
        <f t="shared" si="864"/>
        <v>-</v>
      </c>
      <c r="AJ1048" s="807" t="str">
        <f t="shared" si="865"/>
        <v>-</v>
      </c>
      <c r="AK1048" s="813"/>
      <c r="AL1048" s="807" t="str">
        <f t="shared" si="866"/>
        <v>-</v>
      </c>
      <c r="AM1048" s="807" t="str">
        <f t="shared" si="867"/>
        <v>-</v>
      </c>
      <c r="AN1048" s="814" t="str">
        <f t="shared" ca="1" si="868"/>
        <v>-</v>
      </c>
      <c r="AO1048" s="815">
        <v>1</v>
      </c>
      <c r="AP1048" s="816" t="str">
        <f t="shared" ca="1" si="869"/>
        <v>-</v>
      </c>
      <c r="AQ1048" s="817"/>
      <c r="AR1048" s="794" t="str">
        <f t="shared" si="870"/>
        <v>-</v>
      </c>
      <c r="AS1048" s="818"/>
      <c r="AT1048" s="794" t="str">
        <f t="shared" si="871"/>
        <v>-</v>
      </c>
      <c r="AU1048" s="819"/>
      <c r="AV1048" s="865"/>
      <c r="AW1048" s="821"/>
      <c r="AX1048" s="821"/>
      <c r="AY1048" s="969" t="str">
        <f t="shared" si="872"/>
        <v>-</v>
      </c>
      <c r="AZ1048" s="966" t="str">
        <f t="shared" si="873"/>
        <v>-</v>
      </c>
      <c r="BA1048" s="971" t="str">
        <f t="shared" si="874"/>
        <v>-</v>
      </c>
      <c r="BB1048" s="975"/>
      <c r="BC1048" s="821"/>
      <c r="BD1048" s="821"/>
      <c r="BE1048" s="963" t="str">
        <f t="shared" si="875"/>
        <v>-</v>
      </c>
      <c r="BF1048" s="984"/>
      <c r="BG1048" s="988"/>
      <c r="BH1048" s="982"/>
      <c r="BI1048" s="991"/>
      <c r="BJ1048" s="991"/>
      <c r="BK1048" s="993" t="str">
        <f t="shared" si="876"/>
        <v>-</v>
      </c>
      <c r="BL1048" s="865"/>
      <c r="BM1048" s="821"/>
      <c r="BN1048" s="822" t="str">
        <f t="shared" si="877"/>
        <v>-</v>
      </c>
      <c r="BO1048" s="823" t="str">
        <f t="shared" si="878"/>
        <v>-</v>
      </c>
      <c r="BP1048" s="868"/>
      <c r="BQ1048" s="821"/>
      <c r="BR1048" s="822" t="str">
        <f t="shared" si="879"/>
        <v>-</v>
      </c>
      <c r="BS1048" s="823" t="str">
        <f t="shared" si="880"/>
        <v>-</v>
      </c>
      <c r="BT1048" s="825" t="str">
        <f t="shared" ca="1" si="881"/>
        <v>-</v>
      </c>
      <c r="BU1048" s="826"/>
      <c r="BV1048" s="827"/>
      <c r="BW1048" s="828" t="str">
        <f t="shared" si="882"/>
        <v>Ж-Е НЕ ВАКЦ.</v>
      </c>
      <c r="BX1048" s="829" t="str">
        <f t="shared" si="883"/>
        <v>-</v>
      </c>
      <c r="BY1048" s="830" t="str">
        <f t="shared" ca="1" si="884"/>
        <v>-</v>
      </c>
      <c r="BZ1048" s="831">
        <v>42891</v>
      </c>
      <c r="CA1048" s="832">
        <v>5</v>
      </c>
      <c r="CB1048" s="833">
        <f t="shared" ca="1" si="885"/>
        <v>243</v>
      </c>
      <c r="CC1048" s="834" t="str">
        <f t="shared" ca="1" si="886"/>
        <v>-</v>
      </c>
      <c r="CD1048" s="835">
        <f t="shared" si="887"/>
        <v>42912</v>
      </c>
      <c r="CE1048" s="831">
        <v>42912</v>
      </c>
      <c r="CF1048" s="832">
        <v>5</v>
      </c>
      <c r="CG1048" s="833">
        <f t="shared" ca="1" si="888"/>
        <v>222</v>
      </c>
      <c r="CH1048" s="836">
        <f t="shared" si="889"/>
        <v>0</v>
      </c>
      <c r="CI1048" s="837" t="str">
        <f t="shared" si="890"/>
        <v>УСПЕШНО</v>
      </c>
      <c r="CJ1048" s="838" t="str">
        <f t="shared" ca="1" si="891"/>
        <v>-</v>
      </c>
      <c r="CK1048" s="831"/>
      <c r="CL1048" s="832"/>
      <c r="CM1048" s="833" t="str">
        <f t="shared" si="892"/>
        <v>-</v>
      </c>
      <c r="CN1048" s="834" t="str">
        <f t="shared" si="893"/>
        <v>-</v>
      </c>
      <c r="CO1048" s="830" t="str">
        <f t="shared" ca="1" si="894"/>
        <v>-</v>
      </c>
      <c r="CP1048" s="839"/>
      <c r="CQ1048" s="832"/>
      <c r="CR1048" s="833" t="str">
        <f t="shared" si="895"/>
        <v>-</v>
      </c>
      <c r="CS1048" s="833" t="str">
        <f t="shared" si="896"/>
        <v>-</v>
      </c>
      <c r="CT1048" s="834" t="str">
        <f t="shared" si="897"/>
        <v>-</v>
      </c>
      <c r="CU1048" s="835" t="str">
        <f t="shared" si="898"/>
        <v>-</v>
      </c>
      <c r="CV1048" s="839"/>
      <c r="CW1048" s="832"/>
      <c r="CX1048" s="833" t="str">
        <f t="shared" si="899"/>
        <v>-</v>
      </c>
      <c r="CY1048" s="840" t="str">
        <f t="shared" si="900"/>
        <v>-</v>
      </c>
      <c r="CZ1048" s="833" t="str">
        <f t="shared" si="901"/>
        <v>-</v>
      </c>
      <c r="DA1048" s="838" t="str">
        <f t="shared" ca="1" si="902"/>
        <v>-</v>
      </c>
      <c r="DB1048" s="841"/>
      <c r="DC1048" s="832"/>
    </row>
    <row r="1049" spans="1:107" x14ac:dyDescent="0.25">
      <c r="A1049" s="790">
        <v>1053</v>
      </c>
      <c r="B1049" s="791">
        <f t="shared" ca="1" si="851"/>
        <v>43134</v>
      </c>
      <c r="C1049" s="29" t="s">
        <v>2584</v>
      </c>
      <c r="D1049" s="59" t="s">
        <v>2915</v>
      </c>
      <c r="E1049" s="794" t="s">
        <v>1563</v>
      </c>
      <c r="F1049" s="853" t="s">
        <v>1851</v>
      </c>
      <c r="G1049" s="845"/>
      <c r="H1049" s="797" t="s">
        <v>603</v>
      </c>
      <c r="I1049" s="798">
        <v>42607</v>
      </c>
      <c r="J1049" s="799">
        <f t="shared" ca="1" si="852"/>
        <v>1.4438356164383561</v>
      </c>
      <c r="K1049" s="799">
        <f t="shared" ca="1" si="853"/>
        <v>17.566666666666666</v>
      </c>
      <c r="L1049" s="800">
        <f t="shared" ca="1" si="854"/>
        <v>527</v>
      </c>
      <c r="M1049" s="801"/>
      <c r="N1049" s="802"/>
      <c r="O1049" s="803" t="str">
        <f t="shared" ca="1" si="855"/>
        <v>-</v>
      </c>
      <c r="P1049" s="804"/>
      <c r="Q1049" s="805"/>
      <c r="R1049" s="806"/>
      <c r="S1049" s="807"/>
      <c r="T1049" s="798"/>
      <c r="U1049" s="798" t="str">
        <f t="shared" si="856"/>
        <v>-</v>
      </c>
      <c r="V1049" s="804" t="str">
        <f t="shared" ca="1" si="857"/>
        <v>-</v>
      </c>
      <c r="W1049" s="808">
        <v>0</v>
      </c>
      <c r="X1049" s="794" t="str">
        <f t="shared" si="850"/>
        <v>-</v>
      </c>
      <c r="Y1049" s="794">
        <v>0</v>
      </c>
      <c r="Z1049" s="809" t="str">
        <f t="shared" ca="1" si="858"/>
        <v>-----</v>
      </c>
      <c r="AA1049" s="810">
        <f t="shared" ca="1" si="859"/>
        <v>43134</v>
      </c>
      <c r="AB1049" s="804"/>
      <c r="AC1049" s="811" t="str">
        <f t="shared" ca="1" si="860"/>
        <v>-----</v>
      </c>
      <c r="AD1049" s="798"/>
      <c r="AE1049" s="794" t="str">
        <f t="shared" ca="1" si="861"/>
        <v>-</v>
      </c>
      <c r="AF1049" s="798" t="str">
        <f t="shared" si="862"/>
        <v>-</v>
      </c>
      <c r="AG1049" s="812" t="str">
        <f t="shared" si="863"/>
        <v>---------</v>
      </c>
      <c r="AH1049" s="807"/>
      <c r="AI1049" s="807" t="str">
        <f t="shared" si="864"/>
        <v>-</v>
      </c>
      <c r="AJ1049" s="807" t="str">
        <f t="shared" si="865"/>
        <v>-</v>
      </c>
      <c r="AK1049" s="813"/>
      <c r="AL1049" s="807" t="str">
        <f t="shared" si="866"/>
        <v>-</v>
      </c>
      <c r="AM1049" s="807" t="str">
        <f t="shared" si="867"/>
        <v>-</v>
      </c>
      <c r="AN1049" s="814" t="str">
        <f t="shared" ca="1" si="868"/>
        <v>-</v>
      </c>
      <c r="AO1049" s="815">
        <v>1</v>
      </c>
      <c r="AP1049" s="816" t="str">
        <f t="shared" ca="1" si="869"/>
        <v>-</v>
      </c>
      <c r="AQ1049" s="817"/>
      <c r="AR1049" s="794" t="str">
        <f t="shared" si="870"/>
        <v>-</v>
      </c>
      <c r="AS1049" s="818"/>
      <c r="AT1049" s="794" t="str">
        <f t="shared" si="871"/>
        <v>-</v>
      </c>
      <c r="AU1049" s="819"/>
      <c r="AV1049" s="820"/>
      <c r="AW1049" s="821"/>
      <c r="AX1049" s="821"/>
      <c r="AY1049" s="969" t="str">
        <f t="shared" si="872"/>
        <v>-</v>
      </c>
      <c r="AZ1049" s="966" t="str">
        <f t="shared" si="873"/>
        <v>-</v>
      </c>
      <c r="BA1049" s="971" t="str">
        <f t="shared" si="874"/>
        <v>-</v>
      </c>
      <c r="BB1049" s="975"/>
      <c r="BC1049" s="821"/>
      <c r="BD1049" s="821"/>
      <c r="BE1049" s="963" t="str">
        <f t="shared" si="875"/>
        <v>-</v>
      </c>
      <c r="BF1049" s="984"/>
      <c r="BG1049" s="988"/>
      <c r="BH1049" s="982"/>
      <c r="BI1049" s="991"/>
      <c r="BJ1049" s="991"/>
      <c r="BK1049" s="993" t="str">
        <f t="shared" si="876"/>
        <v>-</v>
      </c>
      <c r="BL1049" s="820">
        <v>42978</v>
      </c>
      <c r="BM1049" s="821">
        <v>5</v>
      </c>
      <c r="BN1049" s="822">
        <f t="shared" ca="1" si="877"/>
        <v>156</v>
      </c>
      <c r="BO1049" s="823">
        <f t="shared" si="878"/>
        <v>12.366666666666667</v>
      </c>
      <c r="BP1049" s="824"/>
      <c r="BQ1049" s="821"/>
      <c r="BR1049" s="822" t="str">
        <f t="shared" si="879"/>
        <v>-</v>
      </c>
      <c r="BS1049" s="823" t="str">
        <f t="shared" si="880"/>
        <v>-</v>
      </c>
      <c r="BT1049" s="825" t="str">
        <f t="shared" ca="1" si="881"/>
        <v>-</v>
      </c>
      <c r="BU1049" s="826"/>
      <c r="BV1049" s="827"/>
      <c r="BW1049" s="828" t="str">
        <f t="shared" si="882"/>
        <v>Ж-Е НЕ ВАКЦ.</v>
      </c>
      <c r="BX1049" s="829" t="str">
        <f t="shared" si="883"/>
        <v>-</v>
      </c>
      <c r="BY1049" s="830" t="str">
        <f t="shared" ca="1" si="884"/>
        <v>-</v>
      </c>
      <c r="BZ1049" s="831">
        <v>43018</v>
      </c>
      <c r="CA1049" s="832">
        <v>5</v>
      </c>
      <c r="CB1049" s="833">
        <f t="shared" ca="1" si="885"/>
        <v>116</v>
      </c>
      <c r="CC1049" s="834" t="str">
        <f t="shared" ca="1" si="886"/>
        <v>-</v>
      </c>
      <c r="CD1049" s="835">
        <f t="shared" si="887"/>
        <v>43039</v>
      </c>
      <c r="CE1049" s="831">
        <v>43046</v>
      </c>
      <c r="CF1049" s="832">
        <v>5</v>
      </c>
      <c r="CG1049" s="833">
        <f t="shared" ca="1" si="888"/>
        <v>88</v>
      </c>
      <c r="CH1049" s="836">
        <f t="shared" si="889"/>
        <v>-7</v>
      </c>
      <c r="CI1049" s="837" t="str">
        <f t="shared" si="890"/>
        <v>-</v>
      </c>
      <c r="CJ1049" s="838" t="str">
        <f t="shared" ca="1" si="891"/>
        <v>-</v>
      </c>
      <c r="CK1049" s="831"/>
      <c r="CL1049" s="832"/>
      <c r="CM1049" s="833" t="str">
        <f t="shared" si="892"/>
        <v>-</v>
      </c>
      <c r="CN1049" s="834" t="str">
        <f t="shared" si="893"/>
        <v>-</v>
      </c>
      <c r="CO1049" s="830" t="str">
        <f t="shared" ca="1" si="894"/>
        <v>-</v>
      </c>
      <c r="CP1049" s="839"/>
      <c r="CQ1049" s="832"/>
      <c r="CR1049" s="833" t="str">
        <f t="shared" si="895"/>
        <v>-</v>
      </c>
      <c r="CS1049" s="833" t="str">
        <f t="shared" si="896"/>
        <v>-</v>
      </c>
      <c r="CT1049" s="834" t="str">
        <f t="shared" si="897"/>
        <v>-</v>
      </c>
      <c r="CU1049" s="835" t="str">
        <f t="shared" si="898"/>
        <v>-</v>
      </c>
      <c r="CV1049" s="839"/>
      <c r="CW1049" s="832"/>
      <c r="CX1049" s="833" t="str">
        <f t="shared" si="899"/>
        <v>-</v>
      </c>
      <c r="CY1049" s="840" t="str">
        <f t="shared" si="900"/>
        <v>-</v>
      </c>
      <c r="CZ1049" s="833" t="str">
        <f t="shared" si="901"/>
        <v>-</v>
      </c>
      <c r="DA1049" s="838" t="str">
        <f t="shared" ca="1" si="902"/>
        <v>-</v>
      </c>
      <c r="DB1049" s="841"/>
      <c r="DC1049" s="832"/>
    </row>
    <row r="1050" spans="1:107" x14ac:dyDescent="0.25">
      <c r="A1050" s="790">
        <v>1054</v>
      </c>
      <c r="B1050" s="791">
        <f t="shared" ca="1" si="851"/>
        <v>43134</v>
      </c>
      <c r="C1050" s="29" t="s">
        <v>2584</v>
      </c>
      <c r="D1050" s="59" t="s">
        <v>2915</v>
      </c>
      <c r="E1050" s="794" t="s">
        <v>1563</v>
      </c>
      <c r="F1050" s="795" t="s">
        <v>1879</v>
      </c>
      <c r="G1050" s="845"/>
      <c r="H1050" s="797" t="s">
        <v>603</v>
      </c>
      <c r="I1050" s="798">
        <v>42624</v>
      </c>
      <c r="J1050" s="799">
        <f t="shared" ca="1" si="852"/>
        <v>1.3972602739726028</v>
      </c>
      <c r="K1050" s="799">
        <f t="shared" ca="1" si="853"/>
        <v>17</v>
      </c>
      <c r="L1050" s="800">
        <f t="shared" ca="1" si="854"/>
        <v>510</v>
      </c>
      <c r="M1050" s="801"/>
      <c r="N1050" s="802"/>
      <c r="O1050" s="803" t="str">
        <f t="shared" ca="1" si="855"/>
        <v>-</v>
      </c>
      <c r="P1050" s="804"/>
      <c r="Q1050" s="805"/>
      <c r="R1050" s="806"/>
      <c r="S1050" s="807"/>
      <c r="T1050" s="798"/>
      <c r="U1050" s="798" t="str">
        <f t="shared" si="856"/>
        <v>-</v>
      </c>
      <c r="V1050" s="804" t="str">
        <f t="shared" ca="1" si="857"/>
        <v>-</v>
      </c>
      <c r="W1050" s="808">
        <v>0</v>
      </c>
      <c r="X1050" s="794" t="str">
        <f t="shared" si="850"/>
        <v>-</v>
      </c>
      <c r="Y1050" s="794">
        <v>0</v>
      </c>
      <c r="Z1050" s="809" t="str">
        <f t="shared" ca="1" si="858"/>
        <v>-----</v>
      </c>
      <c r="AA1050" s="810">
        <f t="shared" ca="1" si="859"/>
        <v>43134</v>
      </c>
      <c r="AB1050" s="804"/>
      <c r="AC1050" s="811" t="str">
        <f t="shared" ca="1" si="860"/>
        <v>-----</v>
      </c>
      <c r="AD1050" s="798"/>
      <c r="AE1050" s="794" t="str">
        <f t="shared" ca="1" si="861"/>
        <v>-</v>
      </c>
      <c r="AF1050" s="798" t="str">
        <f t="shared" si="862"/>
        <v>-</v>
      </c>
      <c r="AG1050" s="812" t="str">
        <f t="shared" si="863"/>
        <v>---------</v>
      </c>
      <c r="AH1050" s="807"/>
      <c r="AI1050" s="807" t="str">
        <f t="shared" si="864"/>
        <v>-</v>
      </c>
      <c r="AJ1050" s="807" t="str">
        <f t="shared" si="865"/>
        <v>-</v>
      </c>
      <c r="AK1050" s="813"/>
      <c r="AL1050" s="807" t="str">
        <f t="shared" si="866"/>
        <v>-</v>
      </c>
      <c r="AM1050" s="807" t="str">
        <f t="shared" si="867"/>
        <v>-</v>
      </c>
      <c r="AN1050" s="814" t="str">
        <f t="shared" ca="1" si="868"/>
        <v>-</v>
      </c>
      <c r="AO1050" s="815">
        <v>1</v>
      </c>
      <c r="AP1050" s="816" t="str">
        <f t="shared" ca="1" si="869"/>
        <v>-</v>
      </c>
      <c r="AQ1050" s="441" t="s">
        <v>3325</v>
      </c>
      <c r="AR1050" s="794" t="str">
        <f t="shared" si="870"/>
        <v>-</v>
      </c>
      <c r="AS1050" s="818"/>
      <c r="AT1050" s="794" t="str">
        <f t="shared" si="871"/>
        <v>-</v>
      </c>
      <c r="AU1050" s="819"/>
      <c r="AV1050" s="820"/>
      <c r="AW1050" s="821"/>
      <c r="AX1050" s="821"/>
      <c r="AY1050" s="969" t="str">
        <f t="shared" si="872"/>
        <v>-</v>
      </c>
      <c r="AZ1050" s="966" t="str">
        <f t="shared" si="873"/>
        <v>-</v>
      </c>
      <c r="BA1050" s="971" t="str">
        <f t="shared" si="874"/>
        <v>-</v>
      </c>
      <c r="BB1050" s="975"/>
      <c r="BC1050" s="821"/>
      <c r="BD1050" s="821"/>
      <c r="BE1050" s="963" t="str">
        <f t="shared" si="875"/>
        <v>-</v>
      </c>
      <c r="BF1050" s="984"/>
      <c r="BG1050" s="988"/>
      <c r="BH1050" s="982"/>
      <c r="BI1050" s="991"/>
      <c r="BJ1050" s="991"/>
      <c r="BK1050" s="993" t="str">
        <f t="shared" si="876"/>
        <v>-</v>
      </c>
      <c r="BL1050" s="820">
        <v>42977</v>
      </c>
      <c r="BM1050" s="821">
        <v>5</v>
      </c>
      <c r="BN1050" s="822">
        <f t="shared" ca="1" si="877"/>
        <v>157</v>
      </c>
      <c r="BO1050" s="823">
        <f t="shared" si="878"/>
        <v>11.766666666666667</v>
      </c>
      <c r="BP1050" s="824"/>
      <c r="BQ1050" s="821"/>
      <c r="BR1050" s="822" t="str">
        <f t="shared" si="879"/>
        <v>-</v>
      </c>
      <c r="BS1050" s="823" t="str">
        <f t="shared" si="880"/>
        <v>-</v>
      </c>
      <c r="BT1050" s="825" t="str">
        <f t="shared" ca="1" si="881"/>
        <v>-</v>
      </c>
      <c r="BU1050" s="826"/>
      <c r="BV1050" s="827"/>
      <c r="BW1050" s="828" t="str">
        <f t="shared" si="882"/>
        <v>Ж-Е НЕ ВАКЦ.</v>
      </c>
      <c r="BX1050" s="829" t="str">
        <f t="shared" si="883"/>
        <v>-</v>
      </c>
      <c r="BY1050" s="830" t="str">
        <f t="shared" ca="1" si="884"/>
        <v>-</v>
      </c>
      <c r="BZ1050" s="831">
        <v>42892</v>
      </c>
      <c r="CA1050" s="832">
        <v>5</v>
      </c>
      <c r="CB1050" s="833">
        <f t="shared" ca="1" si="885"/>
        <v>242</v>
      </c>
      <c r="CC1050" s="834" t="str">
        <f t="shared" ca="1" si="886"/>
        <v>-</v>
      </c>
      <c r="CD1050" s="835">
        <f t="shared" si="887"/>
        <v>42913</v>
      </c>
      <c r="CE1050" s="831">
        <v>42913</v>
      </c>
      <c r="CF1050" s="832">
        <v>5</v>
      </c>
      <c r="CG1050" s="833">
        <f t="shared" ca="1" si="888"/>
        <v>221</v>
      </c>
      <c r="CH1050" s="836">
        <f t="shared" si="889"/>
        <v>0</v>
      </c>
      <c r="CI1050" s="837" t="str">
        <f t="shared" si="890"/>
        <v>УСПЕШНО</v>
      </c>
      <c r="CJ1050" s="838" t="str">
        <f t="shared" ca="1" si="891"/>
        <v>-</v>
      </c>
      <c r="CK1050" s="831"/>
      <c r="CL1050" s="832"/>
      <c r="CM1050" s="833" t="str">
        <f t="shared" si="892"/>
        <v>-</v>
      </c>
      <c r="CN1050" s="834" t="str">
        <f t="shared" si="893"/>
        <v>-</v>
      </c>
      <c r="CO1050" s="830" t="str">
        <f t="shared" ca="1" si="894"/>
        <v>-</v>
      </c>
      <c r="CP1050" s="839"/>
      <c r="CQ1050" s="832"/>
      <c r="CR1050" s="833" t="str">
        <f t="shared" si="895"/>
        <v>-</v>
      </c>
      <c r="CS1050" s="833" t="str">
        <f t="shared" si="896"/>
        <v>-</v>
      </c>
      <c r="CT1050" s="834" t="str">
        <f t="shared" si="897"/>
        <v>-</v>
      </c>
      <c r="CU1050" s="835" t="str">
        <f t="shared" si="898"/>
        <v>-</v>
      </c>
      <c r="CV1050" s="839"/>
      <c r="CW1050" s="832"/>
      <c r="CX1050" s="833" t="str">
        <f t="shared" si="899"/>
        <v>-</v>
      </c>
      <c r="CY1050" s="840" t="str">
        <f t="shared" si="900"/>
        <v>-</v>
      </c>
      <c r="CZ1050" s="833" t="str">
        <f t="shared" si="901"/>
        <v>-</v>
      </c>
      <c r="DA1050" s="838" t="str">
        <f t="shared" ca="1" si="902"/>
        <v>-</v>
      </c>
      <c r="DB1050" s="841"/>
      <c r="DC1050" s="832"/>
    </row>
    <row r="1051" spans="1:107" x14ac:dyDescent="0.25">
      <c r="A1051" s="790">
        <v>1055</v>
      </c>
      <c r="B1051" s="791">
        <f t="shared" ca="1" si="851"/>
        <v>43134</v>
      </c>
      <c r="C1051" s="294" t="s">
        <v>2584</v>
      </c>
      <c r="D1051" s="59" t="s">
        <v>2915</v>
      </c>
      <c r="E1051" s="794" t="s">
        <v>1563</v>
      </c>
      <c r="F1051" s="875" t="s">
        <v>2189</v>
      </c>
      <c r="G1051" s="845"/>
      <c r="H1051" s="797" t="s">
        <v>603</v>
      </c>
      <c r="I1051" s="798">
        <v>42675</v>
      </c>
      <c r="J1051" s="799">
        <f t="shared" ca="1" si="852"/>
        <v>1.2575342465753425</v>
      </c>
      <c r="K1051" s="799">
        <f t="shared" ca="1" si="853"/>
        <v>15.3</v>
      </c>
      <c r="L1051" s="800">
        <f t="shared" ca="1" si="854"/>
        <v>459</v>
      </c>
      <c r="M1051" s="801"/>
      <c r="N1051" s="802"/>
      <c r="O1051" s="803" t="str">
        <f t="shared" ca="1" si="855"/>
        <v>-</v>
      </c>
      <c r="P1051" s="804"/>
      <c r="Q1051" s="805"/>
      <c r="R1051" s="806"/>
      <c r="S1051" s="807"/>
      <c r="T1051" s="798"/>
      <c r="U1051" s="798" t="str">
        <f t="shared" si="856"/>
        <v>-</v>
      </c>
      <c r="V1051" s="804" t="str">
        <f t="shared" ca="1" si="857"/>
        <v>-</v>
      </c>
      <c r="W1051" s="808">
        <v>0</v>
      </c>
      <c r="X1051" s="794" t="str">
        <f t="shared" si="850"/>
        <v>-</v>
      </c>
      <c r="Y1051" s="794">
        <v>0</v>
      </c>
      <c r="Z1051" s="809" t="str">
        <f t="shared" ca="1" si="858"/>
        <v>-----</v>
      </c>
      <c r="AA1051" s="810">
        <f t="shared" ca="1" si="859"/>
        <v>43134</v>
      </c>
      <c r="AB1051" s="804"/>
      <c r="AC1051" s="811" t="str">
        <f t="shared" ca="1" si="860"/>
        <v>-----</v>
      </c>
      <c r="AD1051" s="798"/>
      <c r="AE1051" s="794" t="str">
        <f t="shared" ca="1" si="861"/>
        <v>-</v>
      </c>
      <c r="AF1051" s="798" t="str">
        <f t="shared" si="862"/>
        <v>-</v>
      </c>
      <c r="AG1051" s="812" t="str">
        <f t="shared" si="863"/>
        <v>---------</v>
      </c>
      <c r="AH1051" s="807"/>
      <c r="AI1051" s="807" t="str">
        <f t="shared" si="864"/>
        <v>-</v>
      </c>
      <c r="AJ1051" s="807" t="str">
        <f t="shared" si="865"/>
        <v>-</v>
      </c>
      <c r="AK1051" s="813"/>
      <c r="AL1051" s="807" t="str">
        <f t="shared" si="866"/>
        <v>-</v>
      </c>
      <c r="AM1051" s="807" t="str">
        <f t="shared" si="867"/>
        <v>-</v>
      </c>
      <c r="AN1051" s="814" t="str">
        <f t="shared" ca="1" si="868"/>
        <v>-</v>
      </c>
      <c r="AO1051" s="815">
        <v>1</v>
      </c>
      <c r="AP1051" s="816" t="str">
        <f t="shared" ca="1" si="869"/>
        <v>-</v>
      </c>
      <c r="AQ1051" s="817"/>
      <c r="AR1051" s="794" t="str">
        <f t="shared" si="870"/>
        <v>-</v>
      </c>
      <c r="AS1051" s="818"/>
      <c r="AT1051" s="794" t="str">
        <f t="shared" si="871"/>
        <v>-</v>
      </c>
      <c r="AU1051" s="819" t="s">
        <v>2696</v>
      </c>
      <c r="AV1051" s="820"/>
      <c r="AW1051" s="821"/>
      <c r="AX1051" s="821"/>
      <c r="AY1051" s="969" t="str">
        <f t="shared" si="872"/>
        <v>-</v>
      </c>
      <c r="AZ1051" s="966" t="str">
        <f t="shared" si="873"/>
        <v>-</v>
      </c>
      <c r="BA1051" s="971" t="str">
        <f t="shared" si="874"/>
        <v>-</v>
      </c>
      <c r="BB1051" s="975"/>
      <c r="BC1051" s="821"/>
      <c r="BD1051" s="821"/>
      <c r="BE1051" s="963" t="str">
        <f t="shared" si="875"/>
        <v>-</v>
      </c>
      <c r="BF1051" s="984"/>
      <c r="BG1051" s="988"/>
      <c r="BH1051" s="982"/>
      <c r="BI1051" s="991"/>
      <c r="BJ1051" s="991"/>
      <c r="BK1051" s="993" t="str">
        <f t="shared" si="876"/>
        <v>-</v>
      </c>
      <c r="BL1051" s="820">
        <v>42978</v>
      </c>
      <c r="BM1051" s="821">
        <v>5</v>
      </c>
      <c r="BN1051" s="822">
        <f t="shared" ca="1" si="877"/>
        <v>156</v>
      </c>
      <c r="BO1051" s="823">
        <f t="shared" si="878"/>
        <v>10.1</v>
      </c>
      <c r="BP1051" s="824"/>
      <c r="BQ1051" s="821"/>
      <c r="BR1051" s="822" t="str">
        <f t="shared" si="879"/>
        <v>-</v>
      </c>
      <c r="BS1051" s="823" t="str">
        <f t="shared" si="880"/>
        <v>-</v>
      </c>
      <c r="BT1051" s="825" t="str">
        <f t="shared" ca="1" si="881"/>
        <v>-</v>
      </c>
      <c r="BU1051" s="826"/>
      <c r="BV1051" s="827"/>
      <c r="BW1051" s="828" t="str">
        <f t="shared" si="882"/>
        <v>Ж-Е НЕ ВАКЦ.</v>
      </c>
      <c r="BX1051" s="829" t="str">
        <f t="shared" si="883"/>
        <v>-</v>
      </c>
      <c r="BY1051" s="830" t="str">
        <f t="shared" ca="1" si="884"/>
        <v>-</v>
      </c>
      <c r="BZ1051" s="831">
        <v>42931</v>
      </c>
      <c r="CA1051" s="832">
        <v>5</v>
      </c>
      <c r="CB1051" s="833">
        <f t="shared" ca="1" si="885"/>
        <v>203</v>
      </c>
      <c r="CC1051" s="834" t="str">
        <f t="shared" ca="1" si="886"/>
        <v>-</v>
      </c>
      <c r="CD1051" s="835">
        <f t="shared" si="887"/>
        <v>42952</v>
      </c>
      <c r="CE1051" s="831">
        <v>42954</v>
      </c>
      <c r="CF1051" s="832">
        <v>5</v>
      </c>
      <c r="CG1051" s="833">
        <f t="shared" ca="1" si="888"/>
        <v>180</v>
      </c>
      <c r="CH1051" s="836">
        <f t="shared" si="889"/>
        <v>-2</v>
      </c>
      <c r="CI1051" s="837" t="str">
        <f t="shared" si="890"/>
        <v>-</v>
      </c>
      <c r="CJ1051" s="838" t="str">
        <f t="shared" ca="1" si="891"/>
        <v>-</v>
      </c>
      <c r="CK1051" s="831"/>
      <c r="CL1051" s="832"/>
      <c r="CM1051" s="833" t="str">
        <f t="shared" si="892"/>
        <v>-</v>
      </c>
      <c r="CN1051" s="834" t="str">
        <f t="shared" si="893"/>
        <v>-</v>
      </c>
      <c r="CO1051" s="830" t="str">
        <f t="shared" ca="1" si="894"/>
        <v>-</v>
      </c>
      <c r="CP1051" s="839"/>
      <c r="CQ1051" s="832"/>
      <c r="CR1051" s="833" t="str">
        <f t="shared" si="895"/>
        <v>-</v>
      </c>
      <c r="CS1051" s="833" t="str">
        <f t="shared" si="896"/>
        <v>-</v>
      </c>
      <c r="CT1051" s="834" t="str">
        <f t="shared" si="897"/>
        <v>-</v>
      </c>
      <c r="CU1051" s="835" t="str">
        <f t="shared" si="898"/>
        <v>-</v>
      </c>
      <c r="CV1051" s="839"/>
      <c r="CW1051" s="832"/>
      <c r="CX1051" s="833" t="str">
        <f t="shared" si="899"/>
        <v>-</v>
      </c>
      <c r="CY1051" s="840" t="str">
        <f t="shared" si="900"/>
        <v>-</v>
      </c>
      <c r="CZ1051" s="833" t="str">
        <f t="shared" si="901"/>
        <v>-</v>
      </c>
      <c r="DA1051" s="838" t="str">
        <f t="shared" ca="1" si="902"/>
        <v>-</v>
      </c>
      <c r="DB1051" s="841"/>
      <c r="DC1051" s="832"/>
    </row>
    <row r="1052" spans="1:107" x14ac:dyDescent="0.25">
      <c r="A1052" s="790">
        <v>1056</v>
      </c>
      <c r="B1052" s="791">
        <f t="shared" ca="1" si="851"/>
        <v>43134</v>
      </c>
      <c r="C1052" s="294" t="s">
        <v>2584</v>
      </c>
      <c r="D1052" s="59" t="s">
        <v>2915</v>
      </c>
      <c r="E1052" s="794" t="s">
        <v>1563</v>
      </c>
      <c r="F1052" s="875" t="s">
        <v>2191</v>
      </c>
      <c r="G1052" s="845"/>
      <c r="H1052" s="797" t="s">
        <v>603</v>
      </c>
      <c r="I1052" s="798">
        <v>42677</v>
      </c>
      <c r="J1052" s="799">
        <f t="shared" ca="1" si="852"/>
        <v>1.252054794520548</v>
      </c>
      <c r="K1052" s="799">
        <f t="shared" ca="1" si="853"/>
        <v>15.233333333333333</v>
      </c>
      <c r="L1052" s="800">
        <f t="shared" ca="1" si="854"/>
        <v>457</v>
      </c>
      <c r="M1052" s="801"/>
      <c r="N1052" s="802"/>
      <c r="O1052" s="803" t="str">
        <f t="shared" ca="1" si="855"/>
        <v>-</v>
      </c>
      <c r="P1052" s="804"/>
      <c r="Q1052" s="805"/>
      <c r="R1052" s="806"/>
      <c r="S1052" s="807"/>
      <c r="T1052" s="798"/>
      <c r="U1052" s="798" t="str">
        <f t="shared" si="856"/>
        <v>-</v>
      </c>
      <c r="V1052" s="804" t="str">
        <f t="shared" ca="1" si="857"/>
        <v>-</v>
      </c>
      <c r="W1052" s="808">
        <v>0</v>
      </c>
      <c r="X1052" s="794" t="str">
        <f t="shared" si="850"/>
        <v>-</v>
      </c>
      <c r="Y1052" s="794">
        <v>0</v>
      </c>
      <c r="Z1052" s="809" t="str">
        <f t="shared" ca="1" si="858"/>
        <v>-----</v>
      </c>
      <c r="AA1052" s="810">
        <f t="shared" ca="1" si="859"/>
        <v>43134</v>
      </c>
      <c r="AB1052" s="804"/>
      <c r="AC1052" s="811" t="str">
        <f t="shared" ca="1" si="860"/>
        <v>-----</v>
      </c>
      <c r="AD1052" s="798"/>
      <c r="AE1052" s="794" t="str">
        <f t="shared" ca="1" si="861"/>
        <v>-</v>
      </c>
      <c r="AF1052" s="798" t="str">
        <f t="shared" si="862"/>
        <v>-</v>
      </c>
      <c r="AG1052" s="812" t="str">
        <f t="shared" si="863"/>
        <v>---------</v>
      </c>
      <c r="AH1052" s="807"/>
      <c r="AI1052" s="807" t="str">
        <f t="shared" si="864"/>
        <v>-</v>
      </c>
      <c r="AJ1052" s="807" t="str">
        <f t="shared" si="865"/>
        <v>-</v>
      </c>
      <c r="AK1052" s="813"/>
      <c r="AL1052" s="807" t="str">
        <f t="shared" si="866"/>
        <v>-</v>
      </c>
      <c r="AM1052" s="807" t="str">
        <f t="shared" si="867"/>
        <v>-</v>
      </c>
      <c r="AN1052" s="814" t="str">
        <f t="shared" ca="1" si="868"/>
        <v>-</v>
      </c>
      <c r="AO1052" s="815">
        <v>1</v>
      </c>
      <c r="AP1052" s="816" t="str">
        <f t="shared" ca="1" si="869"/>
        <v>-</v>
      </c>
      <c r="AQ1052" s="817"/>
      <c r="AR1052" s="794" t="str">
        <f t="shared" si="870"/>
        <v>-</v>
      </c>
      <c r="AS1052" s="818"/>
      <c r="AT1052" s="794" t="str">
        <f t="shared" si="871"/>
        <v>-</v>
      </c>
      <c r="AU1052" s="819" t="s">
        <v>2696</v>
      </c>
      <c r="AV1052" s="820"/>
      <c r="AW1052" s="821"/>
      <c r="AX1052" s="821"/>
      <c r="AY1052" s="969" t="str">
        <f t="shared" si="872"/>
        <v>-</v>
      </c>
      <c r="AZ1052" s="966" t="str">
        <f t="shared" si="873"/>
        <v>-</v>
      </c>
      <c r="BA1052" s="971" t="str">
        <f t="shared" si="874"/>
        <v>-</v>
      </c>
      <c r="BB1052" s="975"/>
      <c r="BC1052" s="821"/>
      <c r="BD1052" s="821"/>
      <c r="BE1052" s="963" t="str">
        <f t="shared" si="875"/>
        <v>-</v>
      </c>
      <c r="BF1052" s="984"/>
      <c r="BG1052" s="988"/>
      <c r="BH1052" s="982"/>
      <c r="BI1052" s="991"/>
      <c r="BJ1052" s="991"/>
      <c r="BK1052" s="993" t="str">
        <f t="shared" si="876"/>
        <v>-</v>
      </c>
      <c r="BL1052" s="820">
        <v>42978</v>
      </c>
      <c r="BM1052" s="821">
        <v>5</v>
      </c>
      <c r="BN1052" s="822">
        <f t="shared" ca="1" si="877"/>
        <v>156</v>
      </c>
      <c r="BO1052" s="823">
        <f t="shared" si="878"/>
        <v>10.033333333333333</v>
      </c>
      <c r="BP1052" s="824"/>
      <c r="BQ1052" s="821"/>
      <c r="BR1052" s="822" t="str">
        <f t="shared" si="879"/>
        <v>-</v>
      </c>
      <c r="BS1052" s="823" t="str">
        <f t="shared" si="880"/>
        <v>-</v>
      </c>
      <c r="BT1052" s="825" t="str">
        <f t="shared" ca="1" si="881"/>
        <v>-</v>
      </c>
      <c r="BU1052" s="826"/>
      <c r="BV1052" s="827"/>
      <c r="BW1052" s="828" t="str">
        <f t="shared" si="882"/>
        <v>Ж-Е НЕ ВАКЦ.</v>
      </c>
      <c r="BX1052" s="829" t="str">
        <f t="shared" si="883"/>
        <v>-</v>
      </c>
      <c r="BY1052" s="830" t="str">
        <f t="shared" ca="1" si="884"/>
        <v>-</v>
      </c>
      <c r="BZ1052" s="831">
        <v>42931</v>
      </c>
      <c r="CA1052" s="832">
        <v>5</v>
      </c>
      <c r="CB1052" s="833">
        <f t="shared" ca="1" si="885"/>
        <v>203</v>
      </c>
      <c r="CC1052" s="834" t="str">
        <f t="shared" ca="1" si="886"/>
        <v>-</v>
      </c>
      <c r="CD1052" s="835">
        <f t="shared" si="887"/>
        <v>42952</v>
      </c>
      <c r="CE1052" s="831">
        <v>42954</v>
      </c>
      <c r="CF1052" s="832">
        <v>5</v>
      </c>
      <c r="CG1052" s="833">
        <f t="shared" ca="1" si="888"/>
        <v>180</v>
      </c>
      <c r="CH1052" s="836">
        <f t="shared" si="889"/>
        <v>-2</v>
      </c>
      <c r="CI1052" s="837" t="str">
        <f t="shared" si="890"/>
        <v>-</v>
      </c>
      <c r="CJ1052" s="838" t="str">
        <f t="shared" ca="1" si="891"/>
        <v>-</v>
      </c>
      <c r="CK1052" s="831"/>
      <c r="CL1052" s="832"/>
      <c r="CM1052" s="833" t="str">
        <f t="shared" si="892"/>
        <v>-</v>
      </c>
      <c r="CN1052" s="834" t="str">
        <f t="shared" si="893"/>
        <v>-</v>
      </c>
      <c r="CO1052" s="830" t="str">
        <f t="shared" ca="1" si="894"/>
        <v>-</v>
      </c>
      <c r="CP1052" s="839"/>
      <c r="CQ1052" s="832"/>
      <c r="CR1052" s="833" t="str">
        <f t="shared" si="895"/>
        <v>-</v>
      </c>
      <c r="CS1052" s="833" t="str">
        <f t="shared" si="896"/>
        <v>-</v>
      </c>
      <c r="CT1052" s="834" t="str">
        <f t="shared" si="897"/>
        <v>-</v>
      </c>
      <c r="CU1052" s="835" t="str">
        <f t="shared" si="898"/>
        <v>-</v>
      </c>
      <c r="CV1052" s="839"/>
      <c r="CW1052" s="832"/>
      <c r="CX1052" s="833" t="str">
        <f t="shared" si="899"/>
        <v>-</v>
      </c>
      <c r="CY1052" s="840" t="str">
        <f t="shared" si="900"/>
        <v>-</v>
      </c>
      <c r="CZ1052" s="833" t="str">
        <f t="shared" si="901"/>
        <v>-</v>
      </c>
      <c r="DA1052" s="838" t="str">
        <f t="shared" ca="1" si="902"/>
        <v>-</v>
      </c>
      <c r="DB1052" s="841"/>
      <c r="DC1052" s="832"/>
    </row>
    <row r="1053" spans="1:107" ht="16.5" customHeight="1" x14ac:dyDescent="0.25">
      <c r="A1053" s="790">
        <v>1057</v>
      </c>
      <c r="B1053" s="791">
        <f t="shared" ca="1" si="851"/>
        <v>43134</v>
      </c>
      <c r="C1053" s="294" t="s">
        <v>2584</v>
      </c>
      <c r="D1053" s="59" t="s">
        <v>2915</v>
      </c>
      <c r="E1053" s="794" t="s">
        <v>1563</v>
      </c>
      <c r="F1053" s="875" t="s">
        <v>2202</v>
      </c>
      <c r="G1053" s="845"/>
      <c r="H1053" s="797" t="s">
        <v>603</v>
      </c>
      <c r="I1053" s="798">
        <v>42684</v>
      </c>
      <c r="J1053" s="799">
        <f t="shared" ca="1" si="852"/>
        <v>1.2328767123287672</v>
      </c>
      <c r="K1053" s="799">
        <f t="shared" ca="1" si="853"/>
        <v>15</v>
      </c>
      <c r="L1053" s="800">
        <f t="shared" ca="1" si="854"/>
        <v>450</v>
      </c>
      <c r="M1053" s="801"/>
      <c r="N1053" s="802"/>
      <c r="O1053" s="803" t="str">
        <f t="shared" ca="1" si="855"/>
        <v>-</v>
      </c>
      <c r="P1053" s="804"/>
      <c r="Q1053" s="805"/>
      <c r="R1053" s="806"/>
      <c r="S1053" s="807"/>
      <c r="T1053" s="798"/>
      <c r="U1053" s="798" t="str">
        <f t="shared" si="856"/>
        <v>-</v>
      </c>
      <c r="V1053" s="804" t="str">
        <f t="shared" ca="1" si="857"/>
        <v>-</v>
      </c>
      <c r="W1053" s="808">
        <v>0</v>
      </c>
      <c r="X1053" s="794" t="str">
        <f t="shared" si="850"/>
        <v>-</v>
      </c>
      <c r="Y1053" s="794">
        <v>0</v>
      </c>
      <c r="Z1053" s="809" t="str">
        <f t="shared" ca="1" si="858"/>
        <v>-----</v>
      </c>
      <c r="AA1053" s="810">
        <f t="shared" ca="1" si="859"/>
        <v>43134</v>
      </c>
      <c r="AB1053" s="804"/>
      <c r="AC1053" s="811" t="str">
        <f t="shared" ca="1" si="860"/>
        <v>-----</v>
      </c>
      <c r="AD1053" s="798"/>
      <c r="AE1053" s="794" t="str">
        <f t="shared" ca="1" si="861"/>
        <v>-</v>
      </c>
      <c r="AF1053" s="798" t="str">
        <f t="shared" si="862"/>
        <v>-</v>
      </c>
      <c r="AG1053" s="812" t="str">
        <f t="shared" si="863"/>
        <v>---------</v>
      </c>
      <c r="AH1053" s="807"/>
      <c r="AI1053" s="807" t="str">
        <f t="shared" si="864"/>
        <v>-</v>
      </c>
      <c r="AJ1053" s="807" t="str">
        <f t="shared" si="865"/>
        <v>-</v>
      </c>
      <c r="AK1053" s="813"/>
      <c r="AL1053" s="807" t="str">
        <f t="shared" si="866"/>
        <v>-</v>
      </c>
      <c r="AM1053" s="807" t="str">
        <f t="shared" si="867"/>
        <v>-</v>
      </c>
      <c r="AN1053" s="814" t="str">
        <f t="shared" ca="1" si="868"/>
        <v>-</v>
      </c>
      <c r="AO1053" s="815">
        <v>1</v>
      </c>
      <c r="AP1053" s="816" t="str">
        <f t="shared" ca="1" si="869"/>
        <v>-</v>
      </c>
      <c r="AQ1053" s="817"/>
      <c r="AR1053" s="794" t="str">
        <f t="shared" si="870"/>
        <v>-</v>
      </c>
      <c r="AS1053" s="818"/>
      <c r="AT1053" s="794" t="str">
        <f t="shared" si="871"/>
        <v>-</v>
      </c>
      <c r="AU1053" s="819" t="s">
        <v>2696</v>
      </c>
      <c r="AV1053" s="820"/>
      <c r="AW1053" s="821"/>
      <c r="AX1053" s="821"/>
      <c r="AY1053" s="969" t="str">
        <f t="shared" si="872"/>
        <v>-</v>
      </c>
      <c r="AZ1053" s="966" t="str">
        <f t="shared" si="873"/>
        <v>-</v>
      </c>
      <c r="BA1053" s="971" t="str">
        <f t="shared" si="874"/>
        <v>-</v>
      </c>
      <c r="BB1053" s="975"/>
      <c r="BC1053" s="821"/>
      <c r="BD1053" s="821"/>
      <c r="BE1053" s="963" t="str">
        <f t="shared" si="875"/>
        <v>-</v>
      </c>
      <c r="BF1053" s="984"/>
      <c r="BG1053" s="988"/>
      <c r="BH1053" s="982"/>
      <c r="BI1053" s="991"/>
      <c r="BJ1053" s="991"/>
      <c r="BK1053" s="993" t="str">
        <f t="shared" si="876"/>
        <v>-</v>
      </c>
      <c r="BL1053" s="820">
        <v>42978</v>
      </c>
      <c r="BM1053" s="821">
        <v>5</v>
      </c>
      <c r="BN1053" s="822">
        <f t="shared" ca="1" si="877"/>
        <v>156</v>
      </c>
      <c r="BO1053" s="823">
        <f t="shared" si="878"/>
        <v>9.8000000000000007</v>
      </c>
      <c r="BP1053" s="824"/>
      <c r="BQ1053" s="821"/>
      <c r="BR1053" s="822" t="str">
        <f t="shared" si="879"/>
        <v>-</v>
      </c>
      <c r="BS1053" s="823" t="str">
        <f t="shared" si="880"/>
        <v>-</v>
      </c>
      <c r="BT1053" s="825" t="str">
        <f t="shared" ca="1" si="881"/>
        <v>-</v>
      </c>
      <c r="BU1053" s="826"/>
      <c r="BV1053" s="827"/>
      <c r="BW1053" s="828" t="str">
        <f t="shared" si="882"/>
        <v>Ж-Е НЕ ВАКЦ.</v>
      </c>
      <c r="BX1053" s="829" t="str">
        <f t="shared" si="883"/>
        <v>-</v>
      </c>
      <c r="BY1053" s="830" t="str">
        <f t="shared" ca="1" si="884"/>
        <v>-</v>
      </c>
      <c r="BZ1053" s="831">
        <v>42931</v>
      </c>
      <c r="CA1053" s="832">
        <v>5</v>
      </c>
      <c r="CB1053" s="833">
        <f t="shared" ca="1" si="885"/>
        <v>203</v>
      </c>
      <c r="CC1053" s="834" t="str">
        <f t="shared" ca="1" si="886"/>
        <v>-</v>
      </c>
      <c r="CD1053" s="835">
        <f t="shared" si="887"/>
        <v>42952</v>
      </c>
      <c r="CE1053" s="831">
        <v>42954</v>
      </c>
      <c r="CF1053" s="832">
        <v>5</v>
      </c>
      <c r="CG1053" s="833">
        <f t="shared" ca="1" si="888"/>
        <v>180</v>
      </c>
      <c r="CH1053" s="836">
        <f t="shared" si="889"/>
        <v>-2</v>
      </c>
      <c r="CI1053" s="837" t="str">
        <f t="shared" si="890"/>
        <v>-</v>
      </c>
      <c r="CJ1053" s="838" t="str">
        <f t="shared" ca="1" si="891"/>
        <v>-</v>
      </c>
      <c r="CK1053" s="831"/>
      <c r="CL1053" s="832"/>
      <c r="CM1053" s="833" t="str">
        <f t="shared" si="892"/>
        <v>-</v>
      </c>
      <c r="CN1053" s="834" t="str">
        <f t="shared" si="893"/>
        <v>-</v>
      </c>
      <c r="CO1053" s="830" t="str">
        <f t="shared" ca="1" si="894"/>
        <v>-</v>
      </c>
      <c r="CP1053" s="839"/>
      <c r="CQ1053" s="832"/>
      <c r="CR1053" s="833" t="str">
        <f t="shared" si="895"/>
        <v>-</v>
      </c>
      <c r="CS1053" s="833" t="str">
        <f t="shared" si="896"/>
        <v>-</v>
      </c>
      <c r="CT1053" s="834" t="str">
        <f t="shared" si="897"/>
        <v>-</v>
      </c>
      <c r="CU1053" s="835" t="str">
        <f t="shared" si="898"/>
        <v>-</v>
      </c>
      <c r="CV1053" s="839"/>
      <c r="CW1053" s="832"/>
      <c r="CX1053" s="833" t="str">
        <f t="shared" si="899"/>
        <v>-</v>
      </c>
      <c r="CY1053" s="840" t="str">
        <f t="shared" si="900"/>
        <v>-</v>
      </c>
      <c r="CZ1053" s="833" t="str">
        <f t="shared" si="901"/>
        <v>-</v>
      </c>
      <c r="DA1053" s="838" t="str">
        <f t="shared" ca="1" si="902"/>
        <v>-</v>
      </c>
      <c r="DB1053" s="841"/>
      <c r="DC1053" s="832"/>
    </row>
    <row r="1054" spans="1:107" x14ac:dyDescent="0.25">
      <c r="A1054" s="790">
        <v>1058</v>
      </c>
      <c r="B1054" s="791">
        <f t="shared" ca="1" si="851"/>
        <v>43134</v>
      </c>
      <c r="C1054" s="294" t="s">
        <v>2584</v>
      </c>
      <c r="D1054" s="59" t="s">
        <v>2915</v>
      </c>
      <c r="E1054" s="794" t="s">
        <v>1563</v>
      </c>
      <c r="F1054" s="875" t="s">
        <v>2207</v>
      </c>
      <c r="G1054" s="845"/>
      <c r="H1054" s="797" t="s">
        <v>603</v>
      </c>
      <c r="I1054" s="798">
        <v>42686</v>
      </c>
      <c r="J1054" s="799">
        <f t="shared" ca="1" si="852"/>
        <v>1.2273972602739727</v>
      </c>
      <c r="K1054" s="799">
        <f t="shared" ca="1" si="853"/>
        <v>14.933333333333334</v>
      </c>
      <c r="L1054" s="800">
        <f t="shared" ca="1" si="854"/>
        <v>448</v>
      </c>
      <c r="M1054" s="801"/>
      <c r="N1054" s="802"/>
      <c r="O1054" s="803" t="str">
        <f t="shared" ca="1" si="855"/>
        <v>-</v>
      </c>
      <c r="P1054" s="804"/>
      <c r="Q1054" s="805"/>
      <c r="R1054" s="806"/>
      <c r="S1054" s="807"/>
      <c r="T1054" s="798"/>
      <c r="U1054" s="798" t="str">
        <f t="shared" si="856"/>
        <v>-</v>
      </c>
      <c r="V1054" s="804" t="str">
        <f t="shared" ca="1" si="857"/>
        <v>-</v>
      </c>
      <c r="W1054" s="808">
        <v>0</v>
      </c>
      <c r="X1054" s="794" t="str">
        <f t="shared" si="850"/>
        <v>-</v>
      </c>
      <c r="Y1054" s="794">
        <v>0</v>
      </c>
      <c r="Z1054" s="809" t="str">
        <f t="shared" ca="1" si="858"/>
        <v>-----</v>
      </c>
      <c r="AA1054" s="810">
        <f t="shared" ca="1" si="859"/>
        <v>43134</v>
      </c>
      <c r="AB1054" s="804"/>
      <c r="AC1054" s="811" t="str">
        <f t="shared" ca="1" si="860"/>
        <v>-----</v>
      </c>
      <c r="AD1054" s="798"/>
      <c r="AE1054" s="794" t="str">
        <f t="shared" ca="1" si="861"/>
        <v>-</v>
      </c>
      <c r="AF1054" s="798" t="str">
        <f t="shared" si="862"/>
        <v>-</v>
      </c>
      <c r="AG1054" s="812" t="str">
        <f t="shared" si="863"/>
        <v>---------</v>
      </c>
      <c r="AH1054" s="807"/>
      <c r="AI1054" s="807" t="str">
        <f t="shared" si="864"/>
        <v>-</v>
      </c>
      <c r="AJ1054" s="807" t="str">
        <f t="shared" si="865"/>
        <v>-</v>
      </c>
      <c r="AK1054" s="813"/>
      <c r="AL1054" s="807" t="str">
        <f t="shared" si="866"/>
        <v>-</v>
      </c>
      <c r="AM1054" s="807" t="str">
        <f t="shared" si="867"/>
        <v>-</v>
      </c>
      <c r="AN1054" s="814" t="str">
        <f t="shared" ca="1" si="868"/>
        <v>-</v>
      </c>
      <c r="AO1054" s="815">
        <v>1</v>
      </c>
      <c r="AP1054" s="816" t="str">
        <f t="shared" ca="1" si="869"/>
        <v>-</v>
      </c>
      <c r="AQ1054" s="817"/>
      <c r="AR1054" s="794" t="str">
        <f t="shared" si="870"/>
        <v>-</v>
      </c>
      <c r="AS1054" s="818"/>
      <c r="AT1054" s="794" t="str">
        <f t="shared" si="871"/>
        <v>-</v>
      </c>
      <c r="AU1054" s="819" t="s">
        <v>2696</v>
      </c>
      <c r="AV1054" s="820"/>
      <c r="AW1054" s="821"/>
      <c r="AX1054" s="821"/>
      <c r="AY1054" s="969" t="str">
        <f t="shared" si="872"/>
        <v>-</v>
      </c>
      <c r="AZ1054" s="966" t="str">
        <f t="shared" si="873"/>
        <v>-</v>
      </c>
      <c r="BA1054" s="971" t="str">
        <f t="shared" si="874"/>
        <v>-</v>
      </c>
      <c r="BB1054" s="975"/>
      <c r="BC1054" s="821"/>
      <c r="BD1054" s="821"/>
      <c r="BE1054" s="963" t="str">
        <f t="shared" si="875"/>
        <v>-</v>
      </c>
      <c r="BF1054" s="984"/>
      <c r="BG1054" s="988"/>
      <c r="BH1054" s="982"/>
      <c r="BI1054" s="991"/>
      <c r="BJ1054" s="991"/>
      <c r="BK1054" s="993" t="str">
        <f t="shared" si="876"/>
        <v>-</v>
      </c>
      <c r="BL1054" s="820">
        <v>42978</v>
      </c>
      <c r="BM1054" s="821">
        <v>5</v>
      </c>
      <c r="BN1054" s="822">
        <f t="shared" ca="1" si="877"/>
        <v>156</v>
      </c>
      <c r="BO1054" s="823">
        <f t="shared" si="878"/>
        <v>9.7333333333333325</v>
      </c>
      <c r="BP1054" s="824"/>
      <c r="BQ1054" s="821"/>
      <c r="BR1054" s="822" t="str">
        <f t="shared" si="879"/>
        <v>-</v>
      </c>
      <c r="BS1054" s="823" t="str">
        <f t="shared" si="880"/>
        <v>-</v>
      </c>
      <c r="BT1054" s="825" t="str">
        <f t="shared" ca="1" si="881"/>
        <v>-</v>
      </c>
      <c r="BU1054" s="826"/>
      <c r="BV1054" s="827"/>
      <c r="BW1054" s="828" t="str">
        <f t="shared" si="882"/>
        <v>Ж-Е НЕ ВАКЦ.</v>
      </c>
      <c r="BX1054" s="829" t="str">
        <f t="shared" si="883"/>
        <v>-</v>
      </c>
      <c r="BY1054" s="830" t="str">
        <f t="shared" ca="1" si="884"/>
        <v>-</v>
      </c>
      <c r="BZ1054" s="831">
        <v>42931</v>
      </c>
      <c r="CA1054" s="832">
        <v>5</v>
      </c>
      <c r="CB1054" s="833">
        <f t="shared" ca="1" si="885"/>
        <v>203</v>
      </c>
      <c r="CC1054" s="834" t="str">
        <f t="shared" ca="1" si="886"/>
        <v>-</v>
      </c>
      <c r="CD1054" s="835">
        <f t="shared" si="887"/>
        <v>42952</v>
      </c>
      <c r="CE1054" s="831">
        <v>42954</v>
      </c>
      <c r="CF1054" s="832">
        <v>5</v>
      </c>
      <c r="CG1054" s="833">
        <f t="shared" ca="1" si="888"/>
        <v>180</v>
      </c>
      <c r="CH1054" s="836">
        <f t="shared" si="889"/>
        <v>-2</v>
      </c>
      <c r="CI1054" s="837" t="str">
        <f t="shared" si="890"/>
        <v>-</v>
      </c>
      <c r="CJ1054" s="838" t="str">
        <f t="shared" ca="1" si="891"/>
        <v>-</v>
      </c>
      <c r="CK1054" s="831"/>
      <c r="CL1054" s="832"/>
      <c r="CM1054" s="833" t="str">
        <f t="shared" si="892"/>
        <v>-</v>
      </c>
      <c r="CN1054" s="834" t="str">
        <f t="shared" si="893"/>
        <v>-</v>
      </c>
      <c r="CO1054" s="830" t="str">
        <f t="shared" ca="1" si="894"/>
        <v>-</v>
      </c>
      <c r="CP1054" s="839"/>
      <c r="CQ1054" s="832"/>
      <c r="CR1054" s="833" t="str">
        <f t="shared" si="895"/>
        <v>-</v>
      </c>
      <c r="CS1054" s="833" t="str">
        <f t="shared" si="896"/>
        <v>-</v>
      </c>
      <c r="CT1054" s="834" t="str">
        <f t="shared" si="897"/>
        <v>-</v>
      </c>
      <c r="CU1054" s="835" t="str">
        <f t="shared" si="898"/>
        <v>-</v>
      </c>
      <c r="CV1054" s="839"/>
      <c r="CW1054" s="832"/>
      <c r="CX1054" s="833" t="str">
        <f t="shared" si="899"/>
        <v>-</v>
      </c>
      <c r="CY1054" s="840" t="str">
        <f t="shared" si="900"/>
        <v>-</v>
      </c>
      <c r="CZ1054" s="833" t="str">
        <f t="shared" si="901"/>
        <v>-</v>
      </c>
      <c r="DA1054" s="838" t="str">
        <f t="shared" ca="1" si="902"/>
        <v>-</v>
      </c>
      <c r="DB1054" s="841"/>
      <c r="DC1054" s="832"/>
    </row>
    <row r="1055" spans="1:107" x14ac:dyDescent="0.25">
      <c r="A1055" s="790">
        <v>1059</v>
      </c>
      <c r="B1055" s="791">
        <f t="shared" ca="1" si="851"/>
        <v>43134</v>
      </c>
      <c r="C1055" s="294" t="s">
        <v>2584</v>
      </c>
      <c r="D1055" s="59" t="s">
        <v>2915</v>
      </c>
      <c r="E1055" s="794" t="s">
        <v>1563</v>
      </c>
      <c r="F1055" s="875" t="s">
        <v>2209</v>
      </c>
      <c r="G1055" s="845"/>
      <c r="H1055" s="797" t="s">
        <v>603</v>
      </c>
      <c r="I1055" s="798">
        <v>42687</v>
      </c>
      <c r="J1055" s="799">
        <f t="shared" ca="1" si="852"/>
        <v>1.2246575342465753</v>
      </c>
      <c r="K1055" s="799">
        <f t="shared" ca="1" si="853"/>
        <v>14.9</v>
      </c>
      <c r="L1055" s="800">
        <f t="shared" ca="1" si="854"/>
        <v>447</v>
      </c>
      <c r="M1055" s="801"/>
      <c r="N1055" s="802"/>
      <c r="O1055" s="803" t="str">
        <f t="shared" ca="1" si="855"/>
        <v>-</v>
      </c>
      <c r="P1055" s="804"/>
      <c r="Q1055" s="805"/>
      <c r="R1055" s="806"/>
      <c r="S1055" s="807"/>
      <c r="T1055" s="798"/>
      <c r="U1055" s="798" t="str">
        <f t="shared" si="856"/>
        <v>-</v>
      </c>
      <c r="V1055" s="804" t="str">
        <f t="shared" ca="1" si="857"/>
        <v>-</v>
      </c>
      <c r="W1055" s="808">
        <v>0</v>
      </c>
      <c r="X1055" s="794" t="str">
        <f t="shared" si="850"/>
        <v>-</v>
      </c>
      <c r="Y1055" s="794">
        <v>0</v>
      </c>
      <c r="Z1055" s="809" t="str">
        <f t="shared" ca="1" si="858"/>
        <v>-----</v>
      </c>
      <c r="AA1055" s="810">
        <f t="shared" ca="1" si="859"/>
        <v>43134</v>
      </c>
      <c r="AB1055" s="804"/>
      <c r="AC1055" s="811" t="str">
        <f t="shared" ca="1" si="860"/>
        <v>-----</v>
      </c>
      <c r="AD1055" s="798"/>
      <c r="AE1055" s="794" t="str">
        <f t="shared" ca="1" si="861"/>
        <v>-</v>
      </c>
      <c r="AF1055" s="798" t="str">
        <f t="shared" si="862"/>
        <v>-</v>
      </c>
      <c r="AG1055" s="812" t="str">
        <f t="shared" si="863"/>
        <v>---------</v>
      </c>
      <c r="AH1055" s="807"/>
      <c r="AI1055" s="807" t="str">
        <f t="shared" si="864"/>
        <v>-</v>
      </c>
      <c r="AJ1055" s="807" t="str">
        <f t="shared" si="865"/>
        <v>-</v>
      </c>
      <c r="AK1055" s="813"/>
      <c r="AL1055" s="807" t="str">
        <f t="shared" si="866"/>
        <v>-</v>
      </c>
      <c r="AM1055" s="807" t="str">
        <f t="shared" si="867"/>
        <v>-</v>
      </c>
      <c r="AN1055" s="814" t="str">
        <f t="shared" ca="1" si="868"/>
        <v>-</v>
      </c>
      <c r="AO1055" s="815">
        <v>1</v>
      </c>
      <c r="AP1055" s="816" t="str">
        <f t="shared" ca="1" si="869"/>
        <v>-</v>
      </c>
      <c r="AQ1055" s="817"/>
      <c r="AR1055" s="794" t="str">
        <f t="shared" si="870"/>
        <v>-</v>
      </c>
      <c r="AS1055" s="818"/>
      <c r="AT1055" s="794" t="str">
        <f t="shared" si="871"/>
        <v>-</v>
      </c>
      <c r="AU1055" s="819" t="s">
        <v>2696</v>
      </c>
      <c r="AV1055" s="820"/>
      <c r="AW1055" s="821"/>
      <c r="AX1055" s="821"/>
      <c r="AY1055" s="969" t="str">
        <f t="shared" si="872"/>
        <v>-</v>
      </c>
      <c r="AZ1055" s="966" t="str">
        <f t="shared" si="873"/>
        <v>-</v>
      </c>
      <c r="BA1055" s="971" t="str">
        <f t="shared" si="874"/>
        <v>-</v>
      </c>
      <c r="BB1055" s="975"/>
      <c r="BC1055" s="821"/>
      <c r="BD1055" s="821"/>
      <c r="BE1055" s="963" t="str">
        <f t="shared" si="875"/>
        <v>-</v>
      </c>
      <c r="BF1055" s="984"/>
      <c r="BG1055" s="988"/>
      <c r="BH1055" s="982"/>
      <c r="BI1055" s="991"/>
      <c r="BJ1055" s="991"/>
      <c r="BK1055" s="993" t="str">
        <f t="shared" si="876"/>
        <v>-</v>
      </c>
      <c r="BL1055" s="820">
        <v>42978</v>
      </c>
      <c r="BM1055" s="821">
        <v>5</v>
      </c>
      <c r="BN1055" s="822">
        <f t="shared" ca="1" si="877"/>
        <v>156</v>
      </c>
      <c r="BO1055" s="823">
        <f t="shared" si="878"/>
        <v>9.6999999999999993</v>
      </c>
      <c r="BP1055" s="824"/>
      <c r="BQ1055" s="821"/>
      <c r="BR1055" s="822" t="str">
        <f t="shared" si="879"/>
        <v>-</v>
      </c>
      <c r="BS1055" s="823" t="str">
        <f t="shared" si="880"/>
        <v>-</v>
      </c>
      <c r="BT1055" s="825" t="str">
        <f t="shared" ca="1" si="881"/>
        <v>-</v>
      </c>
      <c r="BU1055" s="826"/>
      <c r="BV1055" s="827"/>
      <c r="BW1055" s="828" t="str">
        <f t="shared" si="882"/>
        <v>Ж-Е НЕ ВАКЦ.</v>
      </c>
      <c r="BX1055" s="829" t="str">
        <f t="shared" si="883"/>
        <v>-</v>
      </c>
      <c r="BY1055" s="830" t="str">
        <f t="shared" ca="1" si="884"/>
        <v>-</v>
      </c>
      <c r="BZ1055" s="831">
        <v>42931</v>
      </c>
      <c r="CA1055" s="832">
        <v>5</v>
      </c>
      <c r="CB1055" s="833">
        <f t="shared" ca="1" si="885"/>
        <v>203</v>
      </c>
      <c r="CC1055" s="834" t="str">
        <f t="shared" ca="1" si="886"/>
        <v>-</v>
      </c>
      <c r="CD1055" s="835">
        <f t="shared" si="887"/>
        <v>42952</v>
      </c>
      <c r="CE1055" s="831">
        <v>42954</v>
      </c>
      <c r="CF1055" s="832">
        <v>5</v>
      </c>
      <c r="CG1055" s="833">
        <f t="shared" ca="1" si="888"/>
        <v>180</v>
      </c>
      <c r="CH1055" s="836">
        <f t="shared" si="889"/>
        <v>-2</v>
      </c>
      <c r="CI1055" s="837" t="str">
        <f t="shared" si="890"/>
        <v>-</v>
      </c>
      <c r="CJ1055" s="838" t="str">
        <f t="shared" ca="1" si="891"/>
        <v>-</v>
      </c>
      <c r="CK1055" s="831"/>
      <c r="CL1055" s="832"/>
      <c r="CM1055" s="833" t="str">
        <f t="shared" si="892"/>
        <v>-</v>
      </c>
      <c r="CN1055" s="834" t="str">
        <f t="shared" si="893"/>
        <v>-</v>
      </c>
      <c r="CO1055" s="830" t="str">
        <f t="shared" ca="1" si="894"/>
        <v>-</v>
      </c>
      <c r="CP1055" s="839"/>
      <c r="CQ1055" s="832"/>
      <c r="CR1055" s="833" t="str">
        <f t="shared" si="895"/>
        <v>-</v>
      </c>
      <c r="CS1055" s="833" t="str">
        <f t="shared" si="896"/>
        <v>-</v>
      </c>
      <c r="CT1055" s="834" t="str">
        <f t="shared" si="897"/>
        <v>-</v>
      </c>
      <c r="CU1055" s="835" t="str">
        <f t="shared" si="898"/>
        <v>-</v>
      </c>
      <c r="CV1055" s="839"/>
      <c r="CW1055" s="832"/>
      <c r="CX1055" s="833" t="str">
        <f t="shared" si="899"/>
        <v>-</v>
      </c>
      <c r="CY1055" s="840" t="str">
        <f t="shared" si="900"/>
        <v>-</v>
      </c>
      <c r="CZ1055" s="833" t="str">
        <f t="shared" si="901"/>
        <v>-</v>
      </c>
      <c r="DA1055" s="838" t="str">
        <f t="shared" ca="1" si="902"/>
        <v>-</v>
      </c>
      <c r="DB1055" s="841"/>
      <c r="DC1055" s="832"/>
    </row>
    <row r="1056" spans="1:107" x14ac:dyDescent="0.25">
      <c r="A1056" s="790">
        <v>1060</v>
      </c>
      <c r="B1056" s="791">
        <f t="shared" ca="1" si="851"/>
        <v>43134</v>
      </c>
      <c r="C1056" s="294" t="s">
        <v>2584</v>
      </c>
      <c r="D1056" s="59" t="s">
        <v>2915</v>
      </c>
      <c r="E1056" s="794" t="s">
        <v>1563</v>
      </c>
      <c r="F1056" s="875" t="s">
        <v>2249</v>
      </c>
      <c r="G1056" s="845"/>
      <c r="H1056" s="797" t="s">
        <v>603</v>
      </c>
      <c r="I1056" s="798">
        <v>42712</v>
      </c>
      <c r="J1056" s="799">
        <f t="shared" ca="1" si="852"/>
        <v>1.1561643835616437</v>
      </c>
      <c r="K1056" s="799">
        <f t="shared" ca="1" si="853"/>
        <v>14.066666666666666</v>
      </c>
      <c r="L1056" s="800">
        <f t="shared" ca="1" si="854"/>
        <v>422</v>
      </c>
      <c r="M1056" s="801"/>
      <c r="N1056" s="802"/>
      <c r="O1056" s="803" t="str">
        <f t="shared" ca="1" si="855"/>
        <v>-</v>
      </c>
      <c r="P1056" s="804"/>
      <c r="Q1056" s="805"/>
      <c r="R1056" s="806"/>
      <c r="S1056" s="807"/>
      <c r="T1056" s="798"/>
      <c r="U1056" s="798" t="str">
        <f t="shared" si="856"/>
        <v>-</v>
      </c>
      <c r="V1056" s="804" t="str">
        <f t="shared" ca="1" si="857"/>
        <v>-</v>
      </c>
      <c r="W1056" s="808">
        <v>0</v>
      </c>
      <c r="X1056" s="794" t="str">
        <f t="shared" si="850"/>
        <v>-</v>
      </c>
      <c r="Y1056" s="794">
        <v>0</v>
      </c>
      <c r="Z1056" s="809" t="str">
        <f t="shared" ca="1" si="858"/>
        <v>-----</v>
      </c>
      <c r="AA1056" s="810">
        <f t="shared" ca="1" si="859"/>
        <v>43134</v>
      </c>
      <c r="AB1056" s="804"/>
      <c r="AC1056" s="811" t="str">
        <f t="shared" ca="1" si="860"/>
        <v>-----</v>
      </c>
      <c r="AD1056" s="798"/>
      <c r="AE1056" s="794" t="str">
        <f t="shared" ca="1" si="861"/>
        <v>-</v>
      </c>
      <c r="AF1056" s="798" t="str">
        <f t="shared" si="862"/>
        <v>-</v>
      </c>
      <c r="AG1056" s="812" t="str">
        <f t="shared" si="863"/>
        <v>---------</v>
      </c>
      <c r="AH1056" s="807"/>
      <c r="AI1056" s="807" t="str">
        <f t="shared" si="864"/>
        <v>-</v>
      </c>
      <c r="AJ1056" s="807" t="str">
        <f t="shared" si="865"/>
        <v>-</v>
      </c>
      <c r="AK1056" s="813"/>
      <c r="AL1056" s="807" t="str">
        <f t="shared" si="866"/>
        <v>-</v>
      </c>
      <c r="AM1056" s="807" t="str">
        <f t="shared" si="867"/>
        <v>-</v>
      </c>
      <c r="AN1056" s="814" t="str">
        <f t="shared" ca="1" si="868"/>
        <v>-</v>
      </c>
      <c r="AO1056" s="815">
        <v>1</v>
      </c>
      <c r="AP1056" s="816" t="str">
        <f t="shared" ca="1" si="869"/>
        <v>-</v>
      </c>
      <c r="AQ1056" s="817"/>
      <c r="AR1056" s="794" t="str">
        <f t="shared" si="870"/>
        <v>-</v>
      </c>
      <c r="AS1056" s="818"/>
      <c r="AT1056" s="794" t="str">
        <f t="shared" si="871"/>
        <v>-</v>
      </c>
      <c r="AU1056" s="819" t="s">
        <v>2696</v>
      </c>
      <c r="AV1056" s="820"/>
      <c r="AW1056" s="821"/>
      <c r="AX1056" s="821"/>
      <c r="AY1056" s="969" t="str">
        <f t="shared" si="872"/>
        <v>-</v>
      </c>
      <c r="AZ1056" s="966" t="str">
        <f t="shared" si="873"/>
        <v>-</v>
      </c>
      <c r="BA1056" s="971" t="str">
        <f t="shared" si="874"/>
        <v>-</v>
      </c>
      <c r="BB1056" s="975"/>
      <c r="BC1056" s="821"/>
      <c r="BD1056" s="821"/>
      <c r="BE1056" s="963" t="str">
        <f t="shared" si="875"/>
        <v>-</v>
      </c>
      <c r="BF1056" s="984"/>
      <c r="BG1056" s="988"/>
      <c r="BH1056" s="982"/>
      <c r="BI1056" s="991"/>
      <c r="BJ1056" s="991"/>
      <c r="BK1056" s="993" t="str">
        <f t="shared" si="876"/>
        <v>-</v>
      </c>
      <c r="BL1056" s="820">
        <v>42978</v>
      </c>
      <c r="BM1056" s="821">
        <v>5</v>
      </c>
      <c r="BN1056" s="822">
        <f t="shared" ca="1" si="877"/>
        <v>156</v>
      </c>
      <c r="BO1056" s="823">
        <f t="shared" si="878"/>
        <v>8.8666666666666671</v>
      </c>
      <c r="BP1056" s="824"/>
      <c r="BQ1056" s="821"/>
      <c r="BR1056" s="822" t="str">
        <f t="shared" si="879"/>
        <v>-</v>
      </c>
      <c r="BS1056" s="823" t="str">
        <f t="shared" si="880"/>
        <v>-</v>
      </c>
      <c r="BT1056" s="825" t="str">
        <f t="shared" ca="1" si="881"/>
        <v>-</v>
      </c>
      <c r="BU1056" s="826"/>
      <c r="BV1056" s="827"/>
      <c r="BW1056" s="828" t="str">
        <f t="shared" si="882"/>
        <v>Ж-Е НЕ ВАКЦ.</v>
      </c>
      <c r="BX1056" s="829" t="str">
        <f t="shared" si="883"/>
        <v>-</v>
      </c>
      <c r="BY1056" s="830" t="str">
        <f t="shared" ca="1" si="884"/>
        <v>-</v>
      </c>
      <c r="BZ1056" s="831">
        <v>42931</v>
      </c>
      <c r="CA1056" s="832">
        <v>5</v>
      </c>
      <c r="CB1056" s="833">
        <f t="shared" ca="1" si="885"/>
        <v>203</v>
      </c>
      <c r="CC1056" s="834" t="str">
        <f t="shared" ca="1" si="886"/>
        <v>-</v>
      </c>
      <c r="CD1056" s="835">
        <f t="shared" si="887"/>
        <v>42952</v>
      </c>
      <c r="CE1056" s="831">
        <v>42954</v>
      </c>
      <c r="CF1056" s="832">
        <v>5</v>
      </c>
      <c r="CG1056" s="833">
        <f t="shared" ca="1" si="888"/>
        <v>180</v>
      </c>
      <c r="CH1056" s="836">
        <f t="shared" si="889"/>
        <v>-2</v>
      </c>
      <c r="CI1056" s="837" t="str">
        <f t="shared" si="890"/>
        <v>-</v>
      </c>
      <c r="CJ1056" s="838" t="str">
        <f t="shared" ca="1" si="891"/>
        <v>-</v>
      </c>
      <c r="CK1056" s="831"/>
      <c r="CL1056" s="832"/>
      <c r="CM1056" s="833" t="str">
        <f t="shared" si="892"/>
        <v>-</v>
      </c>
      <c r="CN1056" s="834" t="str">
        <f t="shared" si="893"/>
        <v>-</v>
      </c>
      <c r="CO1056" s="830" t="str">
        <f t="shared" ca="1" si="894"/>
        <v>-</v>
      </c>
      <c r="CP1056" s="839"/>
      <c r="CQ1056" s="832"/>
      <c r="CR1056" s="833" t="str">
        <f t="shared" si="895"/>
        <v>-</v>
      </c>
      <c r="CS1056" s="833" t="str">
        <f t="shared" si="896"/>
        <v>-</v>
      </c>
      <c r="CT1056" s="834" t="str">
        <f t="shared" si="897"/>
        <v>-</v>
      </c>
      <c r="CU1056" s="835" t="str">
        <f t="shared" si="898"/>
        <v>-</v>
      </c>
      <c r="CV1056" s="839"/>
      <c r="CW1056" s="832"/>
      <c r="CX1056" s="833" t="str">
        <f t="shared" si="899"/>
        <v>-</v>
      </c>
      <c r="CY1056" s="840" t="str">
        <f t="shared" si="900"/>
        <v>-</v>
      </c>
      <c r="CZ1056" s="833" t="str">
        <f t="shared" si="901"/>
        <v>-</v>
      </c>
      <c r="DA1056" s="838" t="str">
        <f t="shared" ca="1" si="902"/>
        <v>-</v>
      </c>
      <c r="DB1056" s="841"/>
      <c r="DC1056" s="832"/>
    </row>
    <row r="1057" spans="1:107" x14ac:dyDescent="0.25">
      <c r="A1057" s="790">
        <v>1061</v>
      </c>
      <c r="B1057" s="791">
        <f t="shared" ca="1" si="851"/>
        <v>43134</v>
      </c>
      <c r="C1057" s="294" t="s">
        <v>2584</v>
      </c>
      <c r="D1057" s="59" t="s">
        <v>2915</v>
      </c>
      <c r="E1057" s="794" t="s">
        <v>1563</v>
      </c>
      <c r="F1057" s="875" t="s">
        <v>2276</v>
      </c>
      <c r="G1057" s="845"/>
      <c r="H1057" s="797" t="s">
        <v>603</v>
      </c>
      <c r="I1057" s="798">
        <v>42722</v>
      </c>
      <c r="J1057" s="799">
        <f t="shared" ca="1" si="852"/>
        <v>1.1287671232876713</v>
      </c>
      <c r="K1057" s="799">
        <f t="shared" ca="1" si="853"/>
        <v>13.733333333333333</v>
      </c>
      <c r="L1057" s="800">
        <f t="shared" ca="1" si="854"/>
        <v>412</v>
      </c>
      <c r="M1057" s="801"/>
      <c r="N1057" s="802"/>
      <c r="O1057" s="803" t="str">
        <f t="shared" ca="1" si="855"/>
        <v>-</v>
      </c>
      <c r="P1057" s="804"/>
      <c r="Q1057" s="805"/>
      <c r="R1057" s="806"/>
      <c r="S1057" s="807"/>
      <c r="T1057" s="798"/>
      <c r="U1057" s="798" t="str">
        <f t="shared" si="856"/>
        <v>-</v>
      </c>
      <c r="V1057" s="804" t="str">
        <f t="shared" ca="1" si="857"/>
        <v>-</v>
      </c>
      <c r="W1057" s="808">
        <v>0</v>
      </c>
      <c r="X1057" s="794" t="str">
        <f t="shared" si="850"/>
        <v>-</v>
      </c>
      <c r="Y1057" s="794">
        <v>0</v>
      </c>
      <c r="Z1057" s="809" t="str">
        <f t="shared" ca="1" si="858"/>
        <v>-----</v>
      </c>
      <c r="AA1057" s="810">
        <f t="shared" ca="1" si="859"/>
        <v>43134</v>
      </c>
      <c r="AB1057" s="804"/>
      <c r="AC1057" s="811" t="str">
        <f t="shared" ca="1" si="860"/>
        <v>-----</v>
      </c>
      <c r="AD1057" s="798"/>
      <c r="AE1057" s="794" t="str">
        <f t="shared" ca="1" si="861"/>
        <v>-</v>
      </c>
      <c r="AF1057" s="798" t="str">
        <f t="shared" si="862"/>
        <v>-</v>
      </c>
      <c r="AG1057" s="812" t="str">
        <f t="shared" si="863"/>
        <v>---------</v>
      </c>
      <c r="AH1057" s="807"/>
      <c r="AI1057" s="807" t="str">
        <f t="shared" si="864"/>
        <v>-</v>
      </c>
      <c r="AJ1057" s="807" t="str">
        <f t="shared" si="865"/>
        <v>-</v>
      </c>
      <c r="AK1057" s="813"/>
      <c r="AL1057" s="807" t="str">
        <f t="shared" si="866"/>
        <v>-</v>
      </c>
      <c r="AM1057" s="807" t="str">
        <f t="shared" si="867"/>
        <v>-</v>
      </c>
      <c r="AN1057" s="814" t="str">
        <f t="shared" ca="1" si="868"/>
        <v>-</v>
      </c>
      <c r="AO1057" s="815">
        <v>1</v>
      </c>
      <c r="AP1057" s="816" t="str">
        <f t="shared" ca="1" si="869"/>
        <v>-</v>
      </c>
      <c r="AQ1057" s="817"/>
      <c r="AR1057" s="794" t="str">
        <f t="shared" si="870"/>
        <v>-</v>
      </c>
      <c r="AS1057" s="818"/>
      <c r="AT1057" s="794" t="str">
        <f t="shared" si="871"/>
        <v>-</v>
      </c>
      <c r="AU1057" s="819" t="s">
        <v>2696</v>
      </c>
      <c r="AV1057" s="820"/>
      <c r="AW1057" s="821"/>
      <c r="AX1057" s="821"/>
      <c r="AY1057" s="969" t="str">
        <f t="shared" si="872"/>
        <v>-</v>
      </c>
      <c r="AZ1057" s="966" t="str">
        <f t="shared" si="873"/>
        <v>-</v>
      </c>
      <c r="BA1057" s="971" t="str">
        <f t="shared" si="874"/>
        <v>-</v>
      </c>
      <c r="BB1057" s="975"/>
      <c r="BC1057" s="821"/>
      <c r="BD1057" s="821"/>
      <c r="BE1057" s="963" t="str">
        <f t="shared" si="875"/>
        <v>-</v>
      </c>
      <c r="BF1057" s="984"/>
      <c r="BG1057" s="988"/>
      <c r="BH1057" s="982"/>
      <c r="BI1057" s="991"/>
      <c r="BJ1057" s="991"/>
      <c r="BK1057" s="993" t="str">
        <f t="shared" si="876"/>
        <v>-</v>
      </c>
      <c r="BL1057" s="820">
        <v>42978</v>
      </c>
      <c r="BM1057" s="821">
        <v>5</v>
      </c>
      <c r="BN1057" s="822">
        <f t="shared" ca="1" si="877"/>
        <v>156</v>
      </c>
      <c r="BO1057" s="823">
        <f t="shared" si="878"/>
        <v>8.5333333333333332</v>
      </c>
      <c r="BP1057" s="824"/>
      <c r="BQ1057" s="821"/>
      <c r="BR1057" s="822" t="str">
        <f t="shared" si="879"/>
        <v>-</v>
      </c>
      <c r="BS1057" s="823" t="str">
        <f t="shared" si="880"/>
        <v>-</v>
      </c>
      <c r="BT1057" s="825" t="str">
        <f t="shared" ca="1" si="881"/>
        <v>-</v>
      </c>
      <c r="BU1057" s="826"/>
      <c r="BV1057" s="827"/>
      <c r="BW1057" s="828" t="str">
        <f t="shared" si="882"/>
        <v>Ж-Е НЕ ВАКЦ.</v>
      </c>
      <c r="BX1057" s="829" t="str">
        <f t="shared" si="883"/>
        <v>-</v>
      </c>
      <c r="BY1057" s="830" t="str">
        <f t="shared" ca="1" si="884"/>
        <v>-</v>
      </c>
      <c r="BZ1057" s="831">
        <v>42931</v>
      </c>
      <c r="CA1057" s="832">
        <v>5</v>
      </c>
      <c r="CB1057" s="833">
        <f t="shared" ca="1" si="885"/>
        <v>203</v>
      </c>
      <c r="CC1057" s="834" t="str">
        <f t="shared" ca="1" si="886"/>
        <v>-</v>
      </c>
      <c r="CD1057" s="835">
        <f t="shared" si="887"/>
        <v>42952</v>
      </c>
      <c r="CE1057" s="831">
        <v>42954</v>
      </c>
      <c r="CF1057" s="832">
        <v>5</v>
      </c>
      <c r="CG1057" s="833">
        <f t="shared" ca="1" si="888"/>
        <v>180</v>
      </c>
      <c r="CH1057" s="836">
        <f t="shared" si="889"/>
        <v>-2</v>
      </c>
      <c r="CI1057" s="837" t="str">
        <f t="shared" si="890"/>
        <v>-</v>
      </c>
      <c r="CJ1057" s="838" t="str">
        <f t="shared" ca="1" si="891"/>
        <v>-</v>
      </c>
      <c r="CK1057" s="831"/>
      <c r="CL1057" s="832"/>
      <c r="CM1057" s="833" t="str">
        <f t="shared" si="892"/>
        <v>-</v>
      </c>
      <c r="CN1057" s="834" t="str">
        <f t="shared" si="893"/>
        <v>-</v>
      </c>
      <c r="CO1057" s="830" t="str">
        <f t="shared" ca="1" si="894"/>
        <v>-</v>
      </c>
      <c r="CP1057" s="839"/>
      <c r="CQ1057" s="832"/>
      <c r="CR1057" s="833" t="str">
        <f t="shared" si="895"/>
        <v>-</v>
      </c>
      <c r="CS1057" s="833" t="str">
        <f t="shared" si="896"/>
        <v>-</v>
      </c>
      <c r="CT1057" s="834" t="str">
        <f t="shared" si="897"/>
        <v>-</v>
      </c>
      <c r="CU1057" s="835" t="str">
        <f t="shared" si="898"/>
        <v>-</v>
      </c>
      <c r="CV1057" s="839"/>
      <c r="CW1057" s="832"/>
      <c r="CX1057" s="833" t="str">
        <f t="shared" si="899"/>
        <v>-</v>
      </c>
      <c r="CY1057" s="840" t="str">
        <f t="shared" si="900"/>
        <v>-</v>
      </c>
      <c r="CZ1057" s="833" t="str">
        <f t="shared" si="901"/>
        <v>-</v>
      </c>
      <c r="DA1057" s="838" t="str">
        <f t="shared" ca="1" si="902"/>
        <v>-</v>
      </c>
      <c r="DB1057" s="841"/>
      <c r="DC1057" s="832"/>
    </row>
    <row r="1058" spans="1:107" x14ac:dyDescent="0.25">
      <c r="A1058" s="790">
        <v>1062</v>
      </c>
      <c r="B1058" s="791">
        <f t="shared" ca="1" si="851"/>
        <v>43134</v>
      </c>
      <c r="C1058" s="294" t="s">
        <v>2584</v>
      </c>
      <c r="D1058" s="59" t="s">
        <v>2915</v>
      </c>
      <c r="E1058" s="794" t="s">
        <v>1563</v>
      </c>
      <c r="F1058" s="875" t="s">
        <v>2283</v>
      </c>
      <c r="G1058" s="845"/>
      <c r="H1058" s="797" t="s">
        <v>603</v>
      </c>
      <c r="I1058" s="798">
        <v>42725</v>
      </c>
      <c r="J1058" s="799">
        <f t="shared" ca="1" si="852"/>
        <v>1.1205479452054794</v>
      </c>
      <c r="K1058" s="799">
        <f t="shared" ca="1" si="853"/>
        <v>13.633333333333333</v>
      </c>
      <c r="L1058" s="800">
        <f t="shared" ca="1" si="854"/>
        <v>409</v>
      </c>
      <c r="M1058" s="801"/>
      <c r="N1058" s="802"/>
      <c r="O1058" s="803" t="str">
        <f t="shared" ca="1" si="855"/>
        <v>-</v>
      </c>
      <c r="P1058" s="804"/>
      <c r="Q1058" s="805"/>
      <c r="R1058" s="806"/>
      <c r="S1058" s="807"/>
      <c r="T1058" s="798"/>
      <c r="U1058" s="798" t="str">
        <f t="shared" si="856"/>
        <v>-</v>
      </c>
      <c r="V1058" s="804" t="str">
        <f t="shared" ca="1" si="857"/>
        <v>-</v>
      </c>
      <c r="W1058" s="808">
        <v>0</v>
      </c>
      <c r="X1058" s="794" t="str">
        <f t="shared" si="850"/>
        <v>-</v>
      </c>
      <c r="Y1058" s="794">
        <v>0</v>
      </c>
      <c r="Z1058" s="809" t="str">
        <f t="shared" ca="1" si="858"/>
        <v>-----</v>
      </c>
      <c r="AA1058" s="810">
        <f t="shared" ca="1" si="859"/>
        <v>43134</v>
      </c>
      <c r="AB1058" s="804"/>
      <c r="AC1058" s="811" t="str">
        <f t="shared" ca="1" si="860"/>
        <v>-----</v>
      </c>
      <c r="AD1058" s="798"/>
      <c r="AE1058" s="794" t="str">
        <f t="shared" ca="1" si="861"/>
        <v>-</v>
      </c>
      <c r="AF1058" s="798" t="str">
        <f t="shared" si="862"/>
        <v>-</v>
      </c>
      <c r="AG1058" s="812" t="str">
        <f t="shared" si="863"/>
        <v>---------</v>
      </c>
      <c r="AH1058" s="807"/>
      <c r="AI1058" s="807" t="str">
        <f t="shared" si="864"/>
        <v>-</v>
      </c>
      <c r="AJ1058" s="807" t="str">
        <f t="shared" si="865"/>
        <v>-</v>
      </c>
      <c r="AK1058" s="813"/>
      <c r="AL1058" s="807" t="str">
        <f t="shared" si="866"/>
        <v>-</v>
      </c>
      <c r="AM1058" s="807" t="str">
        <f t="shared" si="867"/>
        <v>-</v>
      </c>
      <c r="AN1058" s="814" t="str">
        <f t="shared" ca="1" si="868"/>
        <v>-</v>
      </c>
      <c r="AO1058" s="815">
        <v>1</v>
      </c>
      <c r="AP1058" s="816" t="str">
        <f t="shared" ca="1" si="869"/>
        <v>-</v>
      </c>
      <c r="AQ1058" s="817"/>
      <c r="AR1058" s="794" t="str">
        <f t="shared" si="870"/>
        <v>-</v>
      </c>
      <c r="AS1058" s="818"/>
      <c r="AT1058" s="794" t="str">
        <f t="shared" si="871"/>
        <v>-</v>
      </c>
      <c r="AU1058" s="819" t="s">
        <v>2696</v>
      </c>
      <c r="AV1058" s="820"/>
      <c r="AW1058" s="821"/>
      <c r="AX1058" s="821"/>
      <c r="AY1058" s="969" t="str">
        <f t="shared" si="872"/>
        <v>-</v>
      </c>
      <c r="AZ1058" s="966" t="str">
        <f t="shared" si="873"/>
        <v>-</v>
      </c>
      <c r="BA1058" s="971" t="str">
        <f t="shared" si="874"/>
        <v>-</v>
      </c>
      <c r="BB1058" s="975"/>
      <c r="BC1058" s="821"/>
      <c r="BD1058" s="821"/>
      <c r="BE1058" s="963" t="str">
        <f t="shared" si="875"/>
        <v>-</v>
      </c>
      <c r="BF1058" s="984"/>
      <c r="BG1058" s="988"/>
      <c r="BH1058" s="982"/>
      <c r="BI1058" s="991"/>
      <c r="BJ1058" s="991"/>
      <c r="BK1058" s="993" t="str">
        <f t="shared" si="876"/>
        <v>-</v>
      </c>
      <c r="BL1058" s="820">
        <v>42978</v>
      </c>
      <c r="BM1058" s="821">
        <v>5</v>
      </c>
      <c r="BN1058" s="822">
        <f t="shared" ca="1" si="877"/>
        <v>156</v>
      </c>
      <c r="BO1058" s="823">
        <f t="shared" si="878"/>
        <v>8.4333333333333336</v>
      </c>
      <c r="BP1058" s="824"/>
      <c r="BQ1058" s="821"/>
      <c r="BR1058" s="822" t="str">
        <f t="shared" si="879"/>
        <v>-</v>
      </c>
      <c r="BS1058" s="823" t="str">
        <f t="shared" si="880"/>
        <v>-</v>
      </c>
      <c r="BT1058" s="825" t="str">
        <f t="shared" ca="1" si="881"/>
        <v>-</v>
      </c>
      <c r="BU1058" s="826"/>
      <c r="BV1058" s="827"/>
      <c r="BW1058" s="828" t="str">
        <f t="shared" si="882"/>
        <v>Ж-Е НЕ ВАКЦ.</v>
      </c>
      <c r="BX1058" s="829" t="str">
        <f t="shared" si="883"/>
        <v>-</v>
      </c>
      <c r="BY1058" s="830" t="str">
        <f t="shared" ca="1" si="884"/>
        <v>-</v>
      </c>
      <c r="BZ1058" s="831">
        <v>42940</v>
      </c>
      <c r="CA1058" s="832">
        <v>5</v>
      </c>
      <c r="CB1058" s="833">
        <f t="shared" ca="1" si="885"/>
        <v>194</v>
      </c>
      <c r="CC1058" s="834" t="str">
        <f t="shared" ca="1" si="886"/>
        <v>-</v>
      </c>
      <c r="CD1058" s="835">
        <f t="shared" si="887"/>
        <v>42961</v>
      </c>
      <c r="CE1058" s="831">
        <v>42969</v>
      </c>
      <c r="CF1058" s="832">
        <v>5</v>
      </c>
      <c r="CG1058" s="833">
        <f t="shared" ca="1" si="888"/>
        <v>165</v>
      </c>
      <c r="CH1058" s="836">
        <f t="shared" si="889"/>
        <v>-8</v>
      </c>
      <c r="CI1058" s="837" t="str">
        <f t="shared" si="890"/>
        <v>-</v>
      </c>
      <c r="CJ1058" s="838" t="str">
        <f t="shared" ca="1" si="891"/>
        <v>-</v>
      </c>
      <c r="CK1058" s="831"/>
      <c r="CL1058" s="832"/>
      <c r="CM1058" s="833" t="str">
        <f t="shared" si="892"/>
        <v>-</v>
      </c>
      <c r="CN1058" s="834" t="str">
        <f t="shared" si="893"/>
        <v>-</v>
      </c>
      <c r="CO1058" s="830" t="str">
        <f t="shared" ca="1" si="894"/>
        <v>-</v>
      </c>
      <c r="CP1058" s="839"/>
      <c r="CQ1058" s="832"/>
      <c r="CR1058" s="833" t="str">
        <f t="shared" si="895"/>
        <v>-</v>
      </c>
      <c r="CS1058" s="833" t="str">
        <f t="shared" si="896"/>
        <v>-</v>
      </c>
      <c r="CT1058" s="834" t="str">
        <f t="shared" si="897"/>
        <v>-</v>
      </c>
      <c r="CU1058" s="835" t="str">
        <f t="shared" si="898"/>
        <v>-</v>
      </c>
      <c r="CV1058" s="839"/>
      <c r="CW1058" s="832"/>
      <c r="CX1058" s="833" t="str">
        <f t="shared" si="899"/>
        <v>-</v>
      </c>
      <c r="CY1058" s="840" t="str">
        <f t="shared" si="900"/>
        <v>-</v>
      </c>
      <c r="CZ1058" s="833" t="str">
        <f t="shared" si="901"/>
        <v>-</v>
      </c>
      <c r="DA1058" s="838" t="str">
        <f t="shared" ca="1" si="902"/>
        <v>-</v>
      </c>
      <c r="DB1058" s="841"/>
      <c r="DC1058" s="832"/>
    </row>
    <row r="1059" spans="1:107" x14ac:dyDescent="0.25">
      <c r="A1059" s="790">
        <v>1063</v>
      </c>
      <c r="B1059" s="791">
        <f t="shared" ca="1" si="851"/>
        <v>43134</v>
      </c>
      <c r="C1059" s="294" t="s">
        <v>2584</v>
      </c>
      <c r="D1059" s="59" t="s">
        <v>2915</v>
      </c>
      <c r="E1059" s="794" t="s">
        <v>1563</v>
      </c>
      <c r="F1059" s="875" t="s">
        <v>2578</v>
      </c>
      <c r="G1059" s="845"/>
      <c r="H1059" s="797" t="s">
        <v>603</v>
      </c>
      <c r="I1059" s="798">
        <v>42737</v>
      </c>
      <c r="J1059" s="799">
        <f t="shared" ca="1" si="852"/>
        <v>1.0876712328767124</v>
      </c>
      <c r="K1059" s="799">
        <f t="shared" ca="1" si="853"/>
        <v>13.233333333333333</v>
      </c>
      <c r="L1059" s="800">
        <f t="shared" ca="1" si="854"/>
        <v>397</v>
      </c>
      <c r="M1059" s="801"/>
      <c r="N1059" s="802"/>
      <c r="O1059" s="803" t="str">
        <f t="shared" ca="1" si="855"/>
        <v>-</v>
      </c>
      <c r="P1059" s="804"/>
      <c r="Q1059" s="805"/>
      <c r="R1059" s="806"/>
      <c r="S1059" s="807"/>
      <c r="T1059" s="798"/>
      <c r="U1059" s="798" t="str">
        <f t="shared" si="856"/>
        <v>-</v>
      </c>
      <c r="V1059" s="804" t="str">
        <f t="shared" ca="1" si="857"/>
        <v>-</v>
      </c>
      <c r="W1059" s="808">
        <v>0</v>
      </c>
      <c r="X1059" s="794" t="str">
        <f t="shared" si="850"/>
        <v>-</v>
      </c>
      <c r="Y1059" s="794">
        <v>0</v>
      </c>
      <c r="Z1059" s="809" t="str">
        <f t="shared" ca="1" si="858"/>
        <v>-----</v>
      </c>
      <c r="AA1059" s="810">
        <f t="shared" ca="1" si="859"/>
        <v>43134</v>
      </c>
      <c r="AB1059" s="804"/>
      <c r="AC1059" s="811" t="str">
        <f t="shared" ca="1" si="860"/>
        <v>-----</v>
      </c>
      <c r="AD1059" s="798"/>
      <c r="AE1059" s="794" t="str">
        <f t="shared" ca="1" si="861"/>
        <v>-</v>
      </c>
      <c r="AF1059" s="798" t="str">
        <f t="shared" si="862"/>
        <v>-</v>
      </c>
      <c r="AG1059" s="812" t="str">
        <f t="shared" si="863"/>
        <v>---------</v>
      </c>
      <c r="AH1059" s="807"/>
      <c r="AI1059" s="807" t="str">
        <f t="shared" si="864"/>
        <v>-</v>
      </c>
      <c r="AJ1059" s="807" t="str">
        <f t="shared" si="865"/>
        <v>-</v>
      </c>
      <c r="AK1059" s="813"/>
      <c r="AL1059" s="807" t="str">
        <f t="shared" si="866"/>
        <v>-</v>
      </c>
      <c r="AM1059" s="807" t="str">
        <f t="shared" si="867"/>
        <v>-</v>
      </c>
      <c r="AN1059" s="814" t="str">
        <f t="shared" ca="1" si="868"/>
        <v>-</v>
      </c>
      <c r="AO1059" s="815">
        <v>1</v>
      </c>
      <c r="AP1059" s="816" t="str">
        <f t="shared" ca="1" si="869"/>
        <v>-</v>
      </c>
      <c r="AQ1059" s="817"/>
      <c r="AR1059" s="794" t="str">
        <f t="shared" si="870"/>
        <v>-</v>
      </c>
      <c r="AS1059" s="818"/>
      <c r="AT1059" s="794" t="str">
        <f t="shared" si="871"/>
        <v>-</v>
      </c>
      <c r="AU1059" s="819" t="s">
        <v>2696</v>
      </c>
      <c r="AV1059" s="820"/>
      <c r="AW1059" s="821"/>
      <c r="AX1059" s="821"/>
      <c r="AY1059" s="969" t="str">
        <f t="shared" si="872"/>
        <v>-</v>
      </c>
      <c r="AZ1059" s="966" t="str">
        <f t="shared" si="873"/>
        <v>-</v>
      </c>
      <c r="BA1059" s="971" t="str">
        <f t="shared" si="874"/>
        <v>-</v>
      </c>
      <c r="BB1059" s="975"/>
      <c r="BC1059" s="821"/>
      <c r="BD1059" s="821"/>
      <c r="BE1059" s="963" t="str">
        <f t="shared" si="875"/>
        <v>-</v>
      </c>
      <c r="BF1059" s="984"/>
      <c r="BG1059" s="988"/>
      <c r="BH1059" s="982"/>
      <c r="BI1059" s="991"/>
      <c r="BJ1059" s="991"/>
      <c r="BK1059" s="993" t="str">
        <f t="shared" si="876"/>
        <v>-</v>
      </c>
      <c r="BL1059" s="820">
        <v>42978</v>
      </c>
      <c r="BM1059" s="821">
        <v>5</v>
      </c>
      <c r="BN1059" s="822">
        <f t="shared" ca="1" si="877"/>
        <v>156</v>
      </c>
      <c r="BO1059" s="823">
        <f t="shared" si="878"/>
        <v>8.0333333333333332</v>
      </c>
      <c r="BP1059" s="824"/>
      <c r="BQ1059" s="821"/>
      <c r="BR1059" s="822" t="str">
        <f t="shared" si="879"/>
        <v>-</v>
      </c>
      <c r="BS1059" s="823" t="str">
        <f t="shared" si="880"/>
        <v>-</v>
      </c>
      <c r="BT1059" s="825" t="str">
        <f t="shared" ca="1" si="881"/>
        <v>-</v>
      </c>
      <c r="BU1059" s="826"/>
      <c r="BV1059" s="827"/>
      <c r="BW1059" s="828" t="str">
        <f t="shared" si="882"/>
        <v>Ж-Е НЕ ВАКЦ.</v>
      </c>
      <c r="BX1059" s="829" t="str">
        <f t="shared" si="883"/>
        <v>-</v>
      </c>
      <c r="BY1059" s="830" t="str">
        <f t="shared" ca="1" si="884"/>
        <v>-</v>
      </c>
      <c r="BZ1059" s="831">
        <v>42931</v>
      </c>
      <c r="CA1059" s="832">
        <v>5</v>
      </c>
      <c r="CB1059" s="833">
        <f t="shared" ca="1" si="885"/>
        <v>203</v>
      </c>
      <c r="CC1059" s="834" t="str">
        <f t="shared" ca="1" si="886"/>
        <v>-</v>
      </c>
      <c r="CD1059" s="835">
        <f t="shared" si="887"/>
        <v>42952</v>
      </c>
      <c r="CE1059" s="831">
        <v>42954</v>
      </c>
      <c r="CF1059" s="832">
        <v>5</v>
      </c>
      <c r="CG1059" s="833">
        <f t="shared" ca="1" si="888"/>
        <v>180</v>
      </c>
      <c r="CH1059" s="836">
        <f t="shared" si="889"/>
        <v>-2</v>
      </c>
      <c r="CI1059" s="837" t="str">
        <f t="shared" si="890"/>
        <v>-</v>
      </c>
      <c r="CJ1059" s="838" t="str">
        <f t="shared" ca="1" si="891"/>
        <v>-</v>
      </c>
      <c r="CK1059" s="831"/>
      <c r="CL1059" s="832"/>
      <c r="CM1059" s="833" t="str">
        <f t="shared" si="892"/>
        <v>-</v>
      </c>
      <c r="CN1059" s="834" t="str">
        <f t="shared" si="893"/>
        <v>-</v>
      </c>
      <c r="CO1059" s="830" t="str">
        <f t="shared" ca="1" si="894"/>
        <v>-</v>
      </c>
      <c r="CP1059" s="839"/>
      <c r="CQ1059" s="832"/>
      <c r="CR1059" s="833" t="str">
        <f t="shared" si="895"/>
        <v>-</v>
      </c>
      <c r="CS1059" s="833" t="str">
        <f t="shared" si="896"/>
        <v>-</v>
      </c>
      <c r="CT1059" s="834" t="str">
        <f t="shared" si="897"/>
        <v>-</v>
      </c>
      <c r="CU1059" s="835" t="str">
        <f t="shared" si="898"/>
        <v>-</v>
      </c>
      <c r="CV1059" s="839"/>
      <c r="CW1059" s="832"/>
      <c r="CX1059" s="833" t="str">
        <f t="shared" si="899"/>
        <v>-</v>
      </c>
      <c r="CY1059" s="840" t="str">
        <f t="shared" si="900"/>
        <v>-</v>
      </c>
      <c r="CZ1059" s="833" t="str">
        <f t="shared" si="901"/>
        <v>-</v>
      </c>
      <c r="DA1059" s="838" t="str">
        <f t="shared" ca="1" si="902"/>
        <v>-</v>
      </c>
      <c r="DB1059" s="841"/>
      <c r="DC1059" s="832"/>
    </row>
    <row r="1060" spans="1:107" x14ac:dyDescent="0.25">
      <c r="A1060" s="790">
        <v>1064</v>
      </c>
      <c r="B1060" s="791">
        <f t="shared" ca="1" si="851"/>
        <v>43134</v>
      </c>
      <c r="C1060" s="294" t="s">
        <v>2584</v>
      </c>
      <c r="D1060" s="59" t="s">
        <v>2915</v>
      </c>
      <c r="E1060" s="794" t="s">
        <v>1563</v>
      </c>
      <c r="F1060" s="875" t="s">
        <v>2333</v>
      </c>
      <c r="G1060" s="845"/>
      <c r="H1060" s="797" t="s">
        <v>603</v>
      </c>
      <c r="I1060" s="798">
        <v>42751</v>
      </c>
      <c r="J1060" s="799">
        <f t="shared" ca="1" si="852"/>
        <v>1.0493150684931507</v>
      </c>
      <c r="K1060" s="799">
        <f t="shared" ca="1" si="853"/>
        <v>12.766666666666667</v>
      </c>
      <c r="L1060" s="800">
        <f t="shared" ca="1" si="854"/>
        <v>383</v>
      </c>
      <c r="M1060" s="801"/>
      <c r="N1060" s="802"/>
      <c r="O1060" s="803" t="str">
        <f t="shared" ca="1" si="855"/>
        <v>-</v>
      </c>
      <c r="P1060" s="804"/>
      <c r="Q1060" s="805"/>
      <c r="R1060" s="806"/>
      <c r="S1060" s="807"/>
      <c r="T1060" s="798"/>
      <c r="U1060" s="798" t="str">
        <f t="shared" si="856"/>
        <v>-</v>
      </c>
      <c r="V1060" s="804" t="str">
        <f t="shared" ca="1" si="857"/>
        <v>-</v>
      </c>
      <c r="W1060" s="808">
        <v>0</v>
      </c>
      <c r="X1060" s="794" t="str">
        <f t="shared" si="850"/>
        <v>-</v>
      </c>
      <c r="Y1060" s="794">
        <v>0</v>
      </c>
      <c r="Z1060" s="809" t="str">
        <f t="shared" ca="1" si="858"/>
        <v>-----</v>
      </c>
      <c r="AA1060" s="810">
        <f t="shared" ca="1" si="859"/>
        <v>43134</v>
      </c>
      <c r="AB1060" s="804"/>
      <c r="AC1060" s="811" t="str">
        <f t="shared" ca="1" si="860"/>
        <v>-----</v>
      </c>
      <c r="AD1060" s="798"/>
      <c r="AE1060" s="794" t="str">
        <f t="shared" ca="1" si="861"/>
        <v>-</v>
      </c>
      <c r="AF1060" s="798" t="str">
        <f t="shared" si="862"/>
        <v>-</v>
      </c>
      <c r="AG1060" s="812" t="str">
        <f t="shared" si="863"/>
        <v>---------</v>
      </c>
      <c r="AH1060" s="807"/>
      <c r="AI1060" s="807" t="str">
        <f t="shared" si="864"/>
        <v>-</v>
      </c>
      <c r="AJ1060" s="807" t="str">
        <f t="shared" si="865"/>
        <v>-</v>
      </c>
      <c r="AK1060" s="813"/>
      <c r="AL1060" s="807" t="str">
        <f t="shared" si="866"/>
        <v>-</v>
      </c>
      <c r="AM1060" s="807" t="str">
        <f t="shared" si="867"/>
        <v>-</v>
      </c>
      <c r="AN1060" s="814" t="str">
        <f t="shared" ca="1" si="868"/>
        <v>-</v>
      </c>
      <c r="AO1060" s="815">
        <v>1</v>
      </c>
      <c r="AP1060" s="816" t="str">
        <f t="shared" ca="1" si="869"/>
        <v>-</v>
      </c>
      <c r="AQ1060" s="817"/>
      <c r="AR1060" s="794" t="str">
        <f t="shared" si="870"/>
        <v>-</v>
      </c>
      <c r="AS1060" s="818"/>
      <c r="AT1060" s="794" t="str">
        <f t="shared" si="871"/>
        <v>-</v>
      </c>
      <c r="AU1060" s="819" t="s">
        <v>2696</v>
      </c>
      <c r="AV1060" s="820"/>
      <c r="AW1060" s="821"/>
      <c r="AX1060" s="821"/>
      <c r="AY1060" s="969" t="str">
        <f t="shared" si="872"/>
        <v>-</v>
      </c>
      <c r="AZ1060" s="966" t="str">
        <f t="shared" si="873"/>
        <v>-</v>
      </c>
      <c r="BA1060" s="971" t="str">
        <f t="shared" si="874"/>
        <v>-</v>
      </c>
      <c r="BB1060" s="975"/>
      <c r="BC1060" s="821"/>
      <c r="BD1060" s="821"/>
      <c r="BE1060" s="963" t="str">
        <f t="shared" si="875"/>
        <v>-</v>
      </c>
      <c r="BF1060" s="984"/>
      <c r="BG1060" s="988"/>
      <c r="BH1060" s="982"/>
      <c r="BI1060" s="991"/>
      <c r="BJ1060" s="991"/>
      <c r="BK1060" s="993" t="str">
        <f t="shared" si="876"/>
        <v>-</v>
      </c>
      <c r="BL1060" s="820">
        <v>42978</v>
      </c>
      <c r="BM1060" s="821">
        <v>5</v>
      </c>
      <c r="BN1060" s="822">
        <f t="shared" ca="1" si="877"/>
        <v>156</v>
      </c>
      <c r="BO1060" s="823">
        <f t="shared" si="878"/>
        <v>7.5666666666666664</v>
      </c>
      <c r="BP1060" s="824"/>
      <c r="BQ1060" s="821"/>
      <c r="BR1060" s="822" t="str">
        <f t="shared" si="879"/>
        <v>-</v>
      </c>
      <c r="BS1060" s="823" t="str">
        <f t="shared" si="880"/>
        <v>-</v>
      </c>
      <c r="BT1060" s="825" t="str">
        <f t="shared" ca="1" si="881"/>
        <v>-</v>
      </c>
      <c r="BU1060" s="826"/>
      <c r="BV1060" s="827"/>
      <c r="BW1060" s="828" t="str">
        <f t="shared" si="882"/>
        <v>Ж-Е НЕ ВАКЦ.</v>
      </c>
      <c r="BX1060" s="829" t="str">
        <f t="shared" si="883"/>
        <v>-</v>
      </c>
      <c r="BY1060" s="830" t="str">
        <f t="shared" ca="1" si="884"/>
        <v>-</v>
      </c>
      <c r="BZ1060" s="831">
        <v>42931</v>
      </c>
      <c r="CA1060" s="832">
        <v>5</v>
      </c>
      <c r="CB1060" s="833">
        <f t="shared" ca="1" si="885"/>
        <v>203</v>
      </c>
      <c r="CC1060" s="834" t="str">
        <f t="shared" ca="1" si="886"/>
        <v>-</v>
      </c>
      <c r="CD1060" s="835">
        <f t="shared" si="887"/>
        <v>42952</v>
      </c>
      <c r="CE1060" s="831">
        <v>42954</v>
      </c>
      <c r="CF1060" s="832">
        <v>5</v>
      </c>
      <c r="CG1060" s="833">
        <f t="shared" ca="1" si="888"/>
        <v>180</v>
      </c>
      <c r="CH1060" s="836">
        <f t="shared" si="889"/>
        <v>-2</v>
      </c>
      <c r="CI1060" s="837" t="str">
        <f t="shared" si="890"/>
        <v>-</v>
      </c>
      <c r="CJ1060" s="838" t="str">
        <f t="shared" ca="1" si="891"/>
        <v>-</v>
      </c>
      <c r="CK1060" s="831"/>
      <c r="CL1060" s="832"/>
      <c r="CM1060" s="833" t="str">
        <f t="shared" si="892"/>
        <v>-</v>
      </c>
      <c r="CN1060" s="834" t="str">
        <f t="shared" si="893"/>
        <v>-</v>
      </c>
      <c r="CO1060" s="830" t="str">
        <f t="shared" ca="1" si="894"/>
        <v>-</v>
      </c>
      <c r="CP1060" s="839"/>
      <c r="CQ1060" s="832"/>
      <c r="CR1060" s="833" t="str">
        <f t="shared" si="895"/>
        <v>-</v>
      </c>
      <c r="CS1060" s="833" t="str">
        <f t="shared" si="896"/>
        <v>-</v>
      </c>
      <c r="CT1060" s="834" t="str">
        <f t="shared" si="897"/>
        <v>-</v>
      </c>
      <c r="CU1060" s="835" t="str">
        <f t="shared" si="898"/>
        <v>-</v>
      </c>
      <c r="CV1060" s="839"/>
      <c r="CW1060" s="832"/>
      <c r="CX1060" s="833" t="str">
        <f t="shared" si="899"/>
        <v>-</v>
      </c>
      <c r="CY1060" s="840" t="str">
        <f t="shared" si="900"/>
        <v>-</v>
      </c>
      <c r="CZ1060" s="833" t="str">
        <f t="shared" si="901"/>
        <v>-</v>
      </c>
      <c r="DA1060" s="838" t="str">
        <f t="shared" ca="1" si="902"/>
        <v>-</v>
      </c>
      <c r="DB1060" s="841"/>
      <c r="DC1060" s="832"/>
    </row>
    <row r="1061" spans="1:107" x14ac:dyDescent="0.25">
      <c r="A1061" s="790">
        <v>1065</v>
      </c>
      <c r="B1061" s="791">
        <f t="shared" ca="1" si="851"/>
        <v>43134</v>
      </c>
      <c r="C1061" s="792" t="s">
        <v>2584</v>
      </c>
      <c r="D1061" s="793" t="s">
        <v>2915</v>
      </c>
      <c r="E1061" s="794" t="s">
        <v>1557</v>
      </c>
      <c r="F1061" s="795" t="s">
        <v>2460</v>
      </c>
      <c r="G1061" s="845"/>
      <c r="H1061" s="797" t="s">
        <v>603</v>
      </c>
      <c r="I1061" s="798">
        <v>42797</v>
      </c>
      <c r="J1061" s="799">
        <f t="shared" ca="1" si="852"/>
        <v>0.92328767123287669</v>
      </c>
      <c r="K1061" s="799">
        <f t="shared" ca="1" si="853"/>
        <v>11.233333333333333</v>
      </c>
      <c r="L1061" s="800">
        <f t="shared" ca="1" si="854"/>
        <v>337</v>
      </c>
      <c r="M1061" s="801"/>
      <c r="N1061" s="802"/>
      <c r="O1061" s="803" t="str">
        <f t="shared" ca="1" si="855"/>
        <v>-</v>
      </c>
      <c r="P1061" s="804"/>
      <c r="Q1061" s="805"/>
      <c r="R1061" s="806"/>
      <c r="S1061" s="807"/>
      <c r="T1061" s="798"/>
      <c r="U1061" s="798" t="str">
        <f t="shared" si="856"/>
        <v>-</v>
      </c>
      <c r="V1061" s="804" t="str">
        <f t="shared" ca="1" si="857"/>
        <v>-</v>
      </c>
      <c r="W1061" s="808">
        <v>0</v>
      </c>
      <c r="X1061" s="794" t="str">
        <f t="shared" si="850"/>
        <v>-</v>
      </c>
      <c r="Y1061" s="794">
        <v>0</v>
      </c>
      <c r="Z1061" s="809" t="str">
        <f t="shared" ca="1" si="858"/>
        <v>-----</v>
      </c>
      <c r="AA1061" s="810">
        <f t="shared" ca="1" si="859"/>
        <v>43134</v>
      </c>
      <c r="AB1061" s="804"/>
      <c r="AC1061" s="811" t="str">
        <f t="shared" ca="1" si="860"/>
        <v>-----</v>
      </c>
      <c r="AD1061" s="798"/>
      <c r="AE1061" s="794" t="str">
        <f t="shared" ca="1" si="861"/>
        <v>-</v>
      </c>
      <c r="AF1061" s="798" t="str">
        <f t="shared" si="862"/>
        <v>-</v>
      </c>
      <c r="AG1061" s="812" t="str">
        <f t="shared" si="863"/>
        <v>---------</v>
      </c>
      <c r="AH1061" s="807"/>
      <c r="AI1061" s="807" t="str">
        <f t="shared" si="864"/>
        <v>-</v>
      </c>
      <c r="AJ1061" s="807" t="str">
        <f t="shared" si="865"/>
        <v>-</v>
      </c>
      <c r="AK1061" s="813"/>
      <c r="AL1061" s="807" t="str">
        <f t="shared" si="866"/>
        <v>-</v>
      </c>
      <c r="AM1061" s="807" t="str">
        <f t="shared" si="867"/>
        <v>-</v>
      </c>
      <c r="AN1061" s="814" t="str">
        <f t="shared" ca="1" si="868"/>
        <v>-</v>
      </c>
      <c r="AO1061" s="815">
        <v>1</v>
      </c>
      <c r="AP1061" s="816" t="str">
        <f t="shared" ca="1" si="869"/>
        <v>-</v>
      </c>
      <c r="AQ1061" s="817"/>
      <c r="AR1061" s="794" t="str">
        <f t="shared" si="870"/>
        <v>-</v>
      </c>
      <c r="AS1061" s="818"/>
      <c r="AT1061" s="794" t="str">
        <f t="shared" si="871"/>
        <v>-</v>
      </c>
      <c r="AU1061" s="819"/>
      <c r="AV1061" s="865"/>
      <c r="AW1061" s="821"/>
      <c r="AX1061" s="821"/>
      <c r="AY1061" s="969" t="str">
        <f t="shared" si="872"/>
        <v>-</v>
      </c>
      <c r="AZ1061" s="966" t="str">
        <f t="shared" si="873"/>
        <v>-</v>
      </c>
      <c r="BA1061" s="971" t="str">
        <f t="shared" si="874"/>
        <v>-</v>
      </c>
      <c r="BB1061" s="975"/>
      <c r="BC1061" s="821"/>
      <c r="BD1061" s="821"/>
      <c r="BE1061" s="963" t="str">
        <f t="shared" si="875"/>
        <v>-</v>
      </c>
      <c r="BF1061" s="984"/>
      <c r="BG1061" s="988"/>
      <c r="BH1061" s="982"/>
      <c r="BI1061" s="991"/>
      <c r="BJ1061" s="991"/>
      <c r="BK1061" s="993" t="str">
        <f t="shared" si="876"/>
        <v>-</v>
      </c>
      <c r="BL1061" s="865"/>
      <c r="BM1061" s="821"/>
      <c r="BN1061" s="822" t="str">
        <f t="shared" si="877"/>
        <v>-</v>
      </c>
      <c r="BO1061" s="823" t="str">
        <f t="shared" si="878"/>
        <v>-</v>
      </c>
      <c r="BP1061" s="868"/>
      <c r="BQ1061" s="821"/>
      <c r="BR1061" s="822" t="str">
        <f t="shared" si="879"/>
        <v>-</v>
      </c>
      <c r="BS1061" s="823" t="str">
        <f t="shared" si="880"/>
        <v>-</v>
      </c>
      <c r="BT1061" s="825" t="str">
        <f t="shared" ca="1" si="881"/>
        <v>-</v>
      </c>
      <c r="BU1061" s="826"/>
      <c r="BV1061" s="827"/>
      <c r="BW1061" s="828" t="str">
        <f t="shared" si="882"/>
        <v>Ж-Е НЕ ВАКЦ.</v>
      </c>
      <c r="BX1061" s="829" t="str">
        <f t="shared" si="883"/>
        <v>-</v>
      </c>
      <c r="BY1061" s="830" t="str">
        <f t="shared" ca="1" si="884"/>
        <v>-</v>
      </c>
      <c r="BZ1061" s="831">
        <v>42887</v>
      </c>
      <c r="CA1061" s="832">
        <v>5</v>
      </c>
      <c r="CB1061" s="833">
        <f t="shared" ca="1" si="885"/>
        <v>247</v>
      </c>
      <c r="CC1061" s="834" t="str">
        <f t="shared" ca="1" si="886"/>
        <v>-</v>
      </c>
      <c r="CD1061" s="835">
        <f t="shared" si="887"/>
        <v>42908</v>
      </c>
      <c r="CE1061" s="831">
        <v>42908</v>
      </c>
      <c r="CF1061" s="832">
        <v>5</v>
      </c>
      <c r="CG1061" s="833">
        <f t="shared" ca="1" si="888"/>
        <v>226</v>
      </c>
      <c r="CH1061" s="836">
        <f t="shared" si="889"/>
        <v>0</v>
      </c>
      <c r="CI1061" s="837" t="str">
        <f t="shared" si="890"/>
        <v>УСПЕШНО</v>
      </c>
      <c r="CJ1061" s="838" t="str">
        <f t="shared" ca="1" si="891"/>
        <v>-</v>
      </c>
      <c r="CK1061" s="831"/>
      <c r="CL1061" s="832"/>
      <c r="CM1061" s="833" t="str">
        <f t="shared" si="892"/>
        <v>-</v>
      </c>
      <c r="CN1061" s="834" t="str">
        <f t="shared" si="893"/>
        <v>-</v>
      </c>
      <c r="CO1061" s="830" t="str">
        <f t="shared" ca="1" si="894"/>
        <v>-</v>
      </c>
      <c r="CP1061" s="839"/>
      <c r="CQ1061" s="832"/>
      <c r="CR1061" s="833" t="str">
        <f t="shared" si="895"/>
        <v>-</v>
      </c>
      <c r="CS1061" s="833" t="str">
        <f t="shared" si="896"/>
        <v>-</v>
      </c>
      <c r="CT1061" s="834" t="str">
        <f t="shared" si="897"/>
        <v>-</v>
      </c>
      <c r="CU1061" s="835" t="str">
        <f t="shared" si="898"/>
        <v>-</v>
      </c>
      <c r="CV1061" s="839"/>
      <c r="CW1061" s="832"/>
      <c r="CX1061" s="833" t="str">
        <f t="shared" si="899"/>
        <v>-</v>
      </c>
      <c r="CY1061" s="840" t="str">
        <f t="shared" si="900"/>
        <v>-</v>
      </c>
      <c r="CZ1061" s="833" t="str">
        <f t="shared" si="901"/>
        <v>-</v>
      </c>
      <c r="DA1061" s="838" t="str">
        <f t="shared" ca="1" si="902"/>
        <v>-</v>
      </c>
      <c r="DB1061" s="841"/>
      <c r="DC1061" s="832"/>
    </row>
    <row r="1062" spans="1:107" x14ac:dyDescent="0.25">
      <c r="A1062" s="790">
        <v>1066</v>
      </c>
      <c r="B1062" s="791">
        <f t="shared" ca="1" si="851"/>
        <v>43134</v>
      </c>
      <c r="C1062" s="847" t="s">
        <v>2584</v>
      </c>
      <c r="D1062" s="793" t="s">
        <v>2582</v>
      </c>
      <c r="E1062" s="794" t="s">
        <v>1563</v>
      </c>
      <c r="F1062" s="795" t="s">
        <v>1782</v>
      </c>
      <c r="G1062" s="845"/>
      <c r="H1062" s="797" t="s">
        <v>603</v>
      </c>
      <c r="I1062" s="798">
        <v>42448</v>
      </c>
      <c r="J1062" s="799">
        <f t="shared" ca="1" si="852"/>
        <v>1.8794520547945206</v>
      </c>
      <c r="K1062" s="799">
        <f t="shared" ca="1" si="853"/>
        <v>22.866666666666667</v>
      </c>
      <c r="L1062" s="800">
        <f t="shared" ca="1" si="854"/>
        <v>686</v>
      </c>
      <c r="M1062" s="801"/>
      <c r="N1062" s="802"/>
      <c r="O1062" s="803" t="str">
        <f t="shared" ca="1" si="855"/>
        <v>-</v>
      </c>
      <c r="P1062" s="804"/>
      <c r="Q1062" s="805" t="s">
        <v>2366</v>
      </c>
      <c r="R1062" s="806" t="s">
        <v>2967</v>
      </c>
      <c r="S1062" s="807">
        <v>42918</v>
      </c>
      <c r="T1062" s="798">
        <v>42960</v>
      </c>
      <c r="U1062" s="798" t="str">
        <f t="shared" si="856"/>
        <v>-</v>
      </c>
      <c r="V1062" s="804" t="str">
        <f t="shared" ca="1" si="857"/>
        <v>-</v>
      </c>
      <c r="W1062" s="808">
        <v>3</v>
      </c>
      <c r="X1062" s="794" t="str">
        <f t="shared" si="850"/>
        <v>-</v>
      </c>
      <c r="Y1062" s="794">
        <v>0</v>
      </c>
      <c r="Z1062" s="809" t="str">
        <f t="shared" ca="1" si="858"/>
        <v>-----</v>
      </c>
      <c r="AA1062" s="810">
        <f t="shared" ca="1" si="859"/>
        <v>174</v>
      </c>
      <c r="AB1062" s="804"/>
      <c r="AC1062" s="811" t="str">
        <f t="shared" ca="1" si="860"/>
        <v>-----</v>
      </c>
      <c r="AD1062" s="798"/>
      <c r="AE1062" s="794" t="str">
        <f t="shared" ca="1" si="861"/>
        <v>-</v>
      </c>
      <c r="AF1062" s="798" t="str">
        <f t="shared" si="862"/>
        <v>-</v>
      </c>
      <c r="AG1062" s="812" t="str">
        <f t="shared" si="863"/>
        <v>---------</v>
      </c>
      <c r="AH1062" s="807">
        <v>43032</v>
      </c>
      <c r="AI1062" s="807" t="str">
        <f t="shared" si="864"/>
        <v>-</v>
      </c>
      <c r="AJ1062" s="807" t="str">
        <f t="shared" si="865"/>
        <v>-</v>
      </c>
      <c r="AK1062" s="813"/>
      <c r="AL1062" s="807" t="str">
        <f t="shared" si="866"/>
        <v>-</v>
      </c>
      <c r="AM1062" s="807" t="str">
        <f t="shared" si="867"/>
        <v>-</v>
      </c>
      <c r="AN1062" s="814" t="str">
        <f t="shared" ca="1" si="868"/>
        <v>-</v>
      </c>
      <c r="AO1062" s="815">
        <v>1</v>
      </c>
      <c r="AP1062" s="816" t="str">
        <f t="shared" ca="1" si="869"/>
        <v>-</v>
      </c>
      <c r="AQ1062" s="441" t="s">
        <v>3325</v>
      </c>
      <c r="AR1062" s="794" t="str">
        <f t="shared" si="870"/>
        <v>-</v>
      </c>
      <c r="AS1062" s="818"/>
      <c r="AT1062" s="794" t="str">
        <f t="shared" si="871"/>
        <v>-</v>
      </c>
      <c r="AU1062" s="819"/>
      <c r="AV1062" s="820"/>
      <c r="AW1062" s="821"/>
      <c r="AX1062" s="821"/>
      <c r="AY1062" s="969" t="str">
        <f t="shared" si="872"/>
        <v>-</v>
      </c>
      <c r="AZ1062" s="966" t="str">
        <f t="shared" si="873"/>
        <v>-</v>
      </c>
      <c r="BA1062" s="971" t="str">
        <f t="shared" si="874"/>
        <v>-</v>
      </c>
      <c r="BB1062" s="975"/>
      <c r="BC1062" s="821"/>
      <c r="BD1062" s="821"/>
      <c r="BE1062" s="963" t="str">
        <f t="shared" si="875"/>
        <v>-</v>
      </c>
      <c r="BF1062" s="984"/>
      <c r="BG1062" s="988"/>
      <c r="BH1062" s="982"/>
      <c r="BI1062" s="991"/>
      <c r="BJ1062" s="991"/>
      <c r="BK1062" s="993" t="str">
        <f t="shared" si="876"/>
        <v>-</v>
      </c>
      <c r="BL1062" s="820">
        <v>42977</v>
      </c>
      <c r="BM1062" s="821">
        <v>5</v>
      </c>
      <c r="BN1062" s="822">
        <f t="shared" ca="1" si="877"/>
        <v>157</v>
      </c>
      <c r="BO1062" s="823">
        <f t="shared" si="878"/>
        <v>17.633333333333333</v>
      </c>
      <c r="BP1062" s="824"/>
      <c r="BQ1062" s="821"/>
      <c r="BR1062" s="822" t="str">
        <f t="shared" si="879"/>
        <v>-</v>
      </c>
      <c r="BS1062" s="823" t="str">
        <f t="shared" si="880"/>
        <v>-</v>
      </c>
      <c r="BT1062" s="825" t="str">
        <f t="shared" ca="1" si="881"/>
        <v>-</v>
      </c>
      <c r="BU1062" s="826"/>
      <c r="BV1062" s="827"/>
      <c r="BW1062" s="828" t="str">
        <f t="shared" si="882"/>
        <v>Ж-Е НЕ ВАКЦ.</v>
      </c>
      <c r="BX1062" s="829" t="str">
        <f t="shared" si="883"/>
        <v>-</v>
      </c>
      <c r="BY1062" s="830" t="str">
        <f t="shared" ca="1" si="884"/>
        <v>-</v>
      </c>
      <c r="BZ1062" s="831">
        <v>42891</v>
      </c>
      <c r="CA1062" s="832">
        <v>5</v>
      </c>
      <c r="CB1062" s="833">
        <f t="shared" ca="1" si="885"/>
        <v>243</v>
      </c>
      <c r="CC1062" s="834" t="str">
        <f t="shared" ca="1" si="886"/>
        <v>-</v>
      </c>
      <c r="CD1062" s="835">
        <f t="shared" si="887"/>
        <v>42912</v>
      </c>
      <c r="CE1062" s="831">
        <v>42912</v>
      </c>
      <c r="CF1062" s="832">
        <v>5</v>
      </c>
      <c r="CG1062" s="833">
        <f t="shared" ca="1" si="888"/>
        <v>222</v>
      </c>
      <c r="CH1062" s="836">
        <f t="shared" si="889"/>
        <v>0</v>
      </c>
      <c r="CI1062" s="837" t="str">
        <f t="shared" si="890"/>
        <v>УСПЕШНО</v>
      </c>
      <c r="CJ1062" s="838" t="str">
        <f t="shared" ca="1" si="891"/>
        <v>-</v>
      </c>
      <c r="CK1062" s="831"/>
      <c r="CL1062" s="832"/>
      <c r="CM1062" s="833" t="str">
        <f t="shared" si="892"/>
        <v>-</v>
      </c>
      <c r="CN1062" s="834" t="str">
        <f t="shared" si="893"/>
        <v>-</v>
      </c>
      <c r="CO1062" s="830" t="str">
        <f t="shared" ca="1" si="894"/>
        <v>-</v>
      </c>
      <c r="CP1062" s="839"/>
      <c r="CQ1062" s="832"/>
      <c r="CR1062" s="833" t="str">
        <f t="shared" si="895"/>
        <v>-</v>
      </c>
      <c r="CS1062" s="833" t="str">
        <f t="shared" si="896"/>
        <v>-</v>
      </c>
      <c r="CT1062" s="834" t="str">
        <f t="shared" si="897"/>
        <v>-</v>
      </c>
      <c r="CU1062" s="835" t="str">
        <f t="shared" si="898"/>
        <v>-</v>
      </c>
      <c r="CV1062" s="839"/>
      <c r="CW1062" s="832"/>
      <c r="CX1062" s="833" t="str">
        <f t="shared" si="899"/>
        <v>-</v>
      </c>
      <c r="CY1062" s="840" t="str">
        <f t="shared" si="900"/>
        <v>-</v>
      </c>
      <c r="CZ1062" s="833" t="str">
        <f t="shared" si="901"/>
        <v>-</v>
      </c>
      <c r="DA1062" s="838" t="str">
        <f t="shared" ca="1" si="902"/>
        <v>-</v>
      </c>
      <c r="DB1062" s="841"/>
      <c r="DC1062" s="832"/>
    </row>
    <row r="1063" spans="1:107" x14ac:dyDescent="0.25">
      <c r="A1063" s="790">
        <v>1067</v>
      </c>
      <c r="B1063" s="791">
        <f t="shared" ca="1" si="851"/>
        <v>43134</v>
      </c>
      <c r="C1063" s="792" t="s">
        <v>2584</v>
      </c>
      <c r="D1063" s="793" t="s">
        <v>2582</v>
      </c>
      <c r="E1063" s="794" t="s">
        <v>1563</v>
      </c>
      <c r="F1063" s="795" t="s">
        <v>1797</v>
      </c>
      <c r="G1063" s="845"/>
      <c r="H1063" s="797" t="s">
        <v>603</v>
      </c>
      <c r="I1063" s="798">
        <v>42453</v>
      </c>
      <c r="J1063" s="799">
        <f t="shared" ca="1" si="852"/>
        <v>1.8657534246575342</v>
      </c>
      <c r="K1063" s="799">
        <f t="shared" ca="1" si="853"/>
        <v>22.7</v>
      </c>
      <c r="L1063" s="800">
        <f t="shared" ca="1" si="854"/>
        <v>681</v>
      </c>
      <c r="M1063" s="801"/>
      <c r="N1063" s="802"/>
      <c r="O1063" s="803" t="str">
        <f t="shared" ca="1" si="855"/>
        <v>-</v>
      </c>
      <c r="P1063" s="804"/>
      <c r="Q1063" s="805" t="s">
        <v>1451</v>
      </c>
      <c r="R1063" s="806" t="s">
        <v>2967</v>
      </c>
      <c r="S1063" s="807">
        <v>42933</v>
      </c>
      <c r="T1063" s="798">
        <v>42965</v>
      </c>
      <c r="U1063" s="798" t="str">
        <f t="shared" si="856"/>
        <v>-</v>
      </c>
      <c r="V1063" s="804" t="str">
        <f t="shared" ca="1" si="857"/>
        <v>-</v>
      </c>
      <c r="W1063" s="808">
        <v>3</v>
      </c>
      <c r="X1063" s="794" t="str">
        <f t="shared" si="850"/>
        <v>-</v>
      </c>
      <c r="Y1063" s="794">
        <v>1</v>
      </c>
      <c r="Z1063" s="809" t="str">
        <f t="shared" ca="1" si="858"/>
        <v>ПОДЛЕЖИТ ПЕРЕПРОВЕРКЕ</v>
      </c>
      <c r="AA1063" s="810">
        <f t="shared" ca="1" si="859"/>
        <v>169</v>
      </c>
      <c r="AB1063" s="804"/>
      <c r="AC1063" s="811">
        <f t="shared" ca="1" si="860"/>
        <v>43037</v>
      </c>
      <c r="AD1063" s="798"/>
      <c r="AE1063" s="794" t="str">
        <f t="shared" ca="1" si="861"/>
        <v>-</v>
      </c>
      <c r="AF1063" s="798" t="str">
        <f t="shared" si="862"/>
        <v>-</v>
      </c>
      <c r="AG1063" s="812" t="str">
        <f t="shared" si="863"/>
        <v>---------</v>
      </c>
      <c r="AH1063" s="807">
        <v>43032</v>
      </c>
      <c r="AI1063" s="807" t="str">
        <f t="shared" si="864"/>
        <v>-</v>
      </c>
      <c r="AJ1063" s="807" t="str">
        <f t="shared" si="865"/>
        <v>-</v>
      </c>
      <c r="AK1063" s="813"/>
      <c r="AL1063" s="807">
        <f t="shared" si="866"/>
        <v>43224</v>
      </c>
      <c r="AM1063" s="807">
        <f t="shared" si="867"/>
        <v>43245</v>
      </c>
      <c r="AN1063" s="814">
        <f t="shared" ca="1" si="868"/>
        <v>-111</v>
      </c>
      <c r="AO1063" s="815">
        <v>1</v>
      </c>
      <c r="AP1063" s="816" t="str">
        <f t="shared" ca="1" si="869"/>
        <v>-</v>
      </c>
      <c r="AQ1063" s="817"/>
      <c r="AR1063" s="794" t="str">
        <f t="shared" si="870"/>
        <v>НЕТЕЛЬ</v>
      </c>
      <c r="AS1063" s="818"/>
      <c r="AT1063" s="794" t="str">
        <f t="shared" si="871"/>
        <v>-</v>
      </c>
      <c r="AU1063" s="819"/>
      <c r="AV1063" s="820"/>
      <c r="AW1063" s="821"/>
      <c r="AX1063" s="821"/>
      <c r="AY1063" s="969" t="str">
        <f t="shared" si="872"/>
        <v>-</v>
      </c>
      <c r="AZ1063" s="966" t="str">
        <f t="shared" si="873"/>
        <v>-</v>
      </c>
      <c r="BA1063" s="971" t="str">
        <f t="shared" si="874"/>
        <v>-</v>
      </c>
      <c r="BB1063" s="975"/>
      <c r="BC1063" s="821"/>
      <c r="BD1063" s="821"/>
      <c r="BE1063" s="963" t="str">
        <f t="shared" si="875"/>
        <v>-</v>
      </c>
      <c r="BF1063" s="984"/>
      <c r="BG1063" s="988"/>
      <c r="BH1063" s="982"/>
      <c r="BI1063" s="991"/>
      <c r="BJ1063" s="991"/>
      <c r="BK1063" s="993" t="str">
        <f t="shared" si="876"/>
        <v>-</v>
      </c>
      <c r="BL1063" s="820">
        <v>42977</v>
      </c>
      <c r="BM1063" s="821">
        <v>5</v>
      </c>
      <c r="BN1063" s="822">
        <f t="shared" ca="1" si="877"/>
        <v>157</v>
      </c>
      <c r="BO1063" s="823">
        <f t="shared" si="878"/>
        <v>17.466666666666665</v>
      </c>
      <c r="BP1063" s="824"/>
      <c r="BQ1063" s="821"/>
      <c r="BR1063" s="822" t="str">
        <f t="shared" si="879"/>
        <v>-</v>
      </c>
      <c r="BS1063" s="823" t="str">
        <f t="shared" si="880"/>
        <v>-</v>
      </c>
      <c r="BT1063" s="825" t="str">
        <f t="shared" ca="1" si="881"/>
        <v>-</v>
      </c>
      <c r="BU1063" s="826"/>
      <c r="BV1063" s="827"/>
      <c r="BW1063" s="828" t="str">
        <f t="shared" si="882"/>
        <v>Ж-Е НЕ ВАКЦ.</v>
      </c>
      <c r="BX1063" s="829" t="str">
        <f t="shared" si="883"/>
        <v>-</v>
      </c>
      <c r="BY1063" s="830" t="str">
        <f t="shared" ca="1" si="884"/>
        <v>-</v>
      </c>
      <c r="BZ1063" s="831">
        <v>42892</v>
      </c>
      <c r="CA1063" s="832">
        <v>5</v>
      </c>
      <c r="CB1063" s="833">
        <f t="shared" ca="1" si="885"/>
        <v>242</v>
      </c>
      <c r="CC1063" s="834" t="str">
        <f t="shared" ca="1" si="886"/>
        <v>-</v>
      </c>
      <c r="CD1063" s="835">
        <f t="shared" si="887"/>
        <v>42913</v>
      </c>
      <c r="CE1063" s="831">
        <v>42913</v>
      </c>
      <c r="CF1063" s="832">
        <v>5</v>
      </c>
      <c r="CG1063" s="833">
        <f t="shared" ca="1" si="888"/>
        <v>221</v>
      </c>
      <c r="CH1063" s="836">
        <f t="shared" si="889"/>
        <v>0</v>
      </c>
      <c r="CI1063" s="837" t="str">
        <f t="shared" si="890"/>
        <v>УСПЕШНО</v>
      </c>
      <c r="CJ1063" s="838" t="str">
        <f t="shared" ca="1" si="891"/>
        <v>-</v>
      </c>
      <c r="CK1063" s="831"/>
      <c r="CL1063" s="832"/>
      <c r="CM1063" s="833" t="str">
        <f t="shared" si="892"/>
        <v>-</v>
      </c>
      <c r="CN1063" s="834" t="str">
        <f t="shared" si="893"/>
        <v>-</v>
      </c>
      <c r="CO1063" s="830" t="str">
        <f t="shared" ca="1" si="894"/>
        <v>-</v>
      </c>
      <c r="CP1063" s="839"/>
      <c r="CQ1063" s="832"/>
      <c r="CR1063" s="833" t="str">
        <f t="shared" si="895"/>
        <v>-</v>
      </c>
      <c r="CS1063" s="833" t="str">
        <f t="shared" si="896"/>
        <v>-</v>
      </c>
      <c r="CT1063" s="834" t="str">
        <f t="shared" si="897"/>
        <v>-</v>
      </c>
      <c r="CU1063" s="835" t="str">
        <f t="shared" si="898"/>
        <v>-</v>
      </c>
      <c r="CV1063" s="839"/>
      <c r="CW1063" s="832"/>
      <c r="CX1063" s="833" t="str">
        <f t="shared" si="899"/>
        <v>-</v>
      </c>
      <c r="CY1063" s="840" t="str">
        <f t="shared" si="900"/>
        <v>-</v>
      </c>
      <c r="CZ1063" s="833" t="str">
        <f t="shared" si="901"/>
        <v>-</v>
      </c>
      <c r="DA1063" s="838" t="str">
        <f t="shared" ca="1" si="902"/>
        <v>-</v>
      </c>
      <c r="DB1063" s="841"/>
      <c r="DC1063" s="832"/>
    </row>
    <row r="1064" spans="1:107" x14ac:dyDescent="0.25">
      <c r="A1064" s="790">
        <v>1068</v>
      </c>
      <c r="B1064" s="791">
        <f t="shared" ca="1" si="851"/>
        <v>43134</v>
      </c>
      <c r="C1064" s="271" t="s">
        <v>2584</v>
      </c>
      <c r="D1064" s="59" t="s">
        <v>2582</v>
      </c>
      <c r="E1064" s="794" t="s">
        <v>1563</v>
      </c>
      <c r="F1064" s="795" t="s">
        <v>1717</v>
      </c>
      <c r="G1064" s="845"/>
      <c r="H1064" s="797" t="s">
        <v>603</v>
      </c>
      <c r="I1064" s="798">
        <v>42496</v>
      </c>
      <c r="J1064" s="799">
        <f t="shared" ca="1" si="852"/>
        <v>1.747945205479452</v>
      </c>
      <c r="K1064" s="799">
        <f t="shared" ca="1" si="853"/>
        <v>21.266666666666666</v>
      </c>
      <c r="L1064" s="800">
        <f t="shared" ca="1" si="854"/>
        <v>638</v>
      </c>
      <c r="M1064" s="801"/>
      <c r="N1064" s="802"/>
      <c r="O1064" s="803" t="str">
        <f t="shared" ca="1" si="855"/>
        <v>-</v>
      </c>
      <c r="P1064" s="804"/>
      <c r="Q1064" s="805" t="s">
        <v>2366</v>
      </c>
      <c r="R1064" s="806" t="s">
        <v>2967</v>
      </c>
      <c r="S1064" s="807">
        <v>42863</v>
      </c>
      <c r="T1064" s="798">
        <v>42997</v>
      </c>
      <c r="U1064" s="798">
        <f t="shared" si="856"/>
        <v>43015</v>
      </c>
      <c r="V1064" s="804">
        <f t="shared" ca="1" si="857"/>
        <v>119</v>
      </c>
      <c r="W1064" s="808">
        <v>2</v>
      </c>
      <c r="X1064" s="794" t="str">
        <f t="shared" si="850"/>
        <v>-</v>
      </c>
      <c r="Y1064" s="794">
        <v>3</v>
      </c>
      <c r="Z1064" s="809" t="str">
        <f t="shared" ca="1" si="858"/>
        <v>-----</v>
      </c>
      <c r="AA1064" s="810">
        <f t="shared" ca="1" si="859"/>
        <v>137</v>
      </c>
      <c r="AB1064" s="804"/>
      <c r="AC1064" s="811" t="str">
        <f t="shared" ca="1" si="860"/>
        <v>-----</v>
      </c>
      <c r="AD1064" s="798"/>
      <c r="AE1064" s="794" t="str">
        <f t="shared" ca="1" si="861"/>
        <v>-</v>
      </c>
      <c r="AF1064" s="798">
        <f t="shared" si="862"/>
        <v>43032</v>
      </c>
      <c r="AG1064" s="812">
        <f t="shared" ca="1" si="863"/>
        <v>102</v>
      </c>
      <c r="AH1064" s="807">
        <v>42931</v>
      </c>
      <c r="AI1064" s="807" t="str">
        <f t="shared" si="864"/>
        <v>-</v>
      </c>
      <c r="AJ1064" s="807" t="str">
        <f t="shared" si="865"/>
        <v>-</v>
      </c>
      <c r="AK1064" s="813"/>
      <c r="AL1064" s="807" t="str">
        <f t="shared" si="866"/>
        <v>-</v>
      </c>
      <c r="AM1064" s="807" t="str">
        <f t="shared" si="867"/>
        <v>-</v>
      </c>
      <c r="AN1064" s="814" t="str">
        <f t="shared" ca="1" si="868"/>
        <v>-</v>
      </c>
      <c r="AO1064" s="815">
        <v>1</v>
      </c>
      <c r="AP1064" s="816" t="str">
        <f t="shared" ca="1" si="869"/>
        <v>-</v>
      </c>
      <c r="AQ1064" s="817"/>
      <c r="AR1064" s="794" t="str">
        <f t="shared" si="870"/>
        <v>-</v>
      </c>
      <c r="AS1064" s="818"/>
      <c r="AT1064" s="794" t="str">
        <f t="shared" si="871"/>
        <v>-</v>
      </c>
      <c r="AU1064" s="819"/>
      <c r="AV1064" s="820"/>
      <c r="AW1064" s="821"/>
      <c r="AX1064" s="821"/>
      <c r="AY1064" s="969" t="str">
        <f t="shared" si="872"/>
        <v>-</v>
      </c>
      <c r="AZ1064" s="966" t="str">
        <f t="shared" si="873"/>
        <v>-</v>
      </c>
      <c r="BA1064" s="971" t="str">
        <f t="shared" si="874"/>
        <v>-</v>
      </c>
      <c r="BB1064" s="975"/>
      <c r="BC1064" s="821"/>
      <c r="BD1064" s="821"/>
      <c r="BE1064" s="963" t="str">
        <f t="shared" si="875"/>
        <v>-</v>
      </c>
      <c r="BF1064" s="984"/>
      <c r="BG1064" s="988"/>
      <c r="BH1064" s="982"/>
      <c r="BI1064" s="991"/>
      <c r="BJ1064" s="991"/>
      <c r="BK1064" s="993" t="str">
        <f t="shared" si="876"/>
        <v>-</v>
      </c>
      <c r="BL1064" s="820">
        <v>42978</v>
      </c>
      <c r="BM1064" s="821">
        <v>5</v>
      </c>
      <c r="BN1064" s="822">
        <f t="shared" ca="1" si="877"/>
        <v>156</v>
      </c>
      <c r="BO1064" s="823">
        <f t="shared" si="878"/>
        <v>16.066666666666666</v>
      </c>
      <c r="BP1064" s="824"/>
      <c r="BQ1064" s="821"/>
      <c r="BR1064" s="822" t="str">
        <f t="shared" si="879"/>
        <v>-</v>
      </c>
      <c r="BS1064" s="823" t="str">
        <f t="shared" si="880"/>
        <v>-</v>
      </c>
      <c r="BT1064" s="825" t="str">
        <f t="shared" ca="1" si="881"/>
        <v>-</v>
      </c>
      <c r="BU1064" s="826"/>
      <c r="BV1064" s="827"/>
      <c r="BW1064" s="828" t="str">
        <f t="shared" si="882"/>
        <v>Ж-Е НЕ ВАКЦ.</v>
      </c>
      <c r="BX1064" s="829" t="str">
        <f t="shared" si="883"/>
        <v>-</v>
      </c>
      <c r="BY1064" s="830" t="str">
        <f t="shared" ca="1" si="884"/>
        <v>-</v>
      </c>
      <c r="BZ1064" s="831">
        <v>42891</v>
      </c>
      <c r="CA1064" s="832">
        <v>5</v>
      </c>
      <c r="CB1064" s="833">
        <f t="shared" ca="1" si="885"/>
        <v>243</v>
      </c>
      <c r="CC1064" s="834" t="str">
        <f t="shared" ca="1" si="886"/>
        <v>-</v>
      </c>
      <c r="CD1064" s="835">
        <f t="shared" si="887"/>
        <v>42912</v>
      </c>
      <c r="CE1064" s="831">
        <v>42912</v>
      </c>
      <c r="CF1064" s="832">
        <v>5</v>
      </c>
      <c r="CG1064" s="833">
        <f t="shared" ca="1" si="888"/>
        <v>222</v>
      </c>
      <c r="CH1064" s="836">
        <f t="shared" si="889"/>
        <v>0</v>
      </c>
      <c r="CI1064" s="837" t="str">
        <f t="shared" si="890"/>
        <v>УСПЕШНО</v>
      </c>
      <c r="CJ1064" s="838" t="str">
        <f t="shared" ca="1" si="891"/>
        <v>-</v>
      </c>
      <c r="CK1064" s="831"/>
      <c r="CL1064" s="832"/>
      <c r="CM1064" s="833" t="str">
        <f t="shared" si="892"/>
        <v>-</v>
      </c>
      <c r="CN1064" s="834" t="str">
        <f t="shared" si="893"/>
        <v>-</v>
      </c>
      <c r="CO1064" s="830" t="str">
        <f t="shared" ca="1" si="894"/>
        <v>-</v>
      </c>
      <c r="CP1064" s="839"/>
      <c r="CQ1064" s="832"/>
      <c r="CR1064" s="833" t="str">
        <f t="shared" si="895"/>
        <v>-</v>
      </c>
      <c r="CS1064" s="833" t="str">
        <f t="shared" si="896"/>
        <v>-</v>
      </c>
      <c r="CT1064" s="834" t="str">
        <f t="shared" si="897"/>
        <v>-</v>
      </c>
      <c r="CU1064" s="835" t="str">
        <f t="shared" si="898"/>
        <v>-</v>
      </c>
      <c r="CV1064" s="839"/>
      <c r="CW1064" s="832"/>
      <c r="CX1064" s="833" t="str">
        <f t="shared" si="899"/>
        <v>-</v>
      </c>
      <c r="CY1064" s="840" t="str">
        <f t="shared" si="900"/>
        <v>-</v>
      </c>
      <c r="CZ1064" s="833" t="str">
        <f t="shared" si="901"/>
        <v>-</v>
      </c>
      <c r="DA1064" s="838" t="str">
        <f t="shared" ca="1" si="902"/>
        <v>-</v>
      </c>
      <c r="DB1064" s="841"/>
      <c r="DC1064" s="832"/>
    </row>
    <row r="1065" spans="1:107" x14ac:dyDescent="0.25">
      <c r="A1065" s="790">
        <v>1069</v>
      </c>
      <c r="B1065" s="791">
        <f t="shared" ca="1" si="851"/>
        <v>43134</v>
      </c>
      <c r="C1065" s="792" t="s">
        <v>2584</v>
      </c>
      <c r="D1065" s="793" t="s">
        <v>2582</v>
      </c>
      <c r="E1065" s="794" t="s">
        <v>1563</v>
      </c>
      <c r="F1065" s="795" t="s">
        <v>1671</v>
      </c>
      <c r="G1065" s="845"/>
      <c r="H1065" s="797" t="s">
        <v>603</v>
      </c>
      <c r="I1065" s="798">
        <v>42505</v>
      </c>
      <c r="J1065" s="799">
        <f t="shared" ca="1" si="852"/>
        <v>1.7232876712328766</v>
      </c>
      <c r="K1065" s="799">
        <f t="shared" ca="1" si="853"/>
        <v>20.966666666666665</v>
      </c>
      <c r="L1065" s="800">
        <f t="shared" ca="1" si="854"/>
        <v>629</v>
      </c>
      <c r="M1065" s="801"/>
      <c r="N1065" s="802"/>
      <c r="O1065" s="803" t="str">
        <f t="shared" ca="1" si="855"/>
        <v>-</v>
      </c>
      <c r="P1065" s="804"/>
      <c r="Q1065" s="805" t="s">
        <v>2366</v>
      </c>
      <c r="R1065" s="806" t="s">
        <v>2435</v>
      </c>
      <c r="S1065" s="807">
        <v>42935</v>
      </c>
      <c r="T1065" s="798">
        <v>42993</v>
      </c>
      <c r="U1065" s="798" t="str">
        <f t="shared" si="856"/>
        <v>-</v>
      </c>
      <c r="V1065" s="804" t="str">
        <f t="shared" ca="1" si="857"/>
        <v>-</v>
      </c>
      <c r="W1065" s="808">
        <v>3</v>
      </c>
      <c r="X1065" s="794" t="str">
        <f t="shared" si="850"/>
        <v>-</v>
      </c>
      <c r="Y1065" s="794">
        <v>1</v>
      </c>
      <c r="Z1065" s="809" t="str">
        <f t="shared" ca="1" si="858"/>
        <v>ПОДЛЕЖИТ ПЕРЕПРОВЕРКЕ</v>
      </c>
      <c r="AA1065" s="810">
        <f t="shared" ca="1" si="859"/>
        <v>141</v>
      </c>
      <c r="AB1065" s="804"/>
      <c r="AC1065" s="811">
        <f t="shared" ca="1" si="860"/>
        <v>43065</v>
      </c>
      <c r="AD1065" s="798"/>
      <c r="AE1065" s="794" t="str">
        <f t="shared" ca="1" si="861"/>
        <v>-</v>
      </c>
      <c r="AF1065" s="798" t="str">
        <f t="shared" si="862"/>
        <v>-</v>
      </c>
      <c r="AG1065" s="812" t="str">
        <f t="shared" si="863"/>
        <v>---------</v>
      </c>
      <c r="AH1065" s="807">
        <v>43054</v>
      </c>
      <c r="AI1065" s="807" t="str">
        <f t="shared" si="864"/>
        <v>-</v>
      </c>
      <c r="AJ1065" s="807" t="str">
        <f t="shared" si="865"/>
        <v>-</v>
      </c>
      <c r="AK1065" s="813"/>
      <c r="AL1065" s="807">
        <f t="shared" si="866"/>
        <v>43252</v>
      </c>
      <c r="AM1065" s="807">
        <f t="shared" si="867"/>
        <v>43273</v>
      </c>
      <c r="AN1065" s="814">
        <f t="shared" ca="1" si="868"/>
        <v>-139</v>
      </c>
      <c r="AO1065" s="815">
        <v>1</v>
      </c>
      <c r="AP1065" s="816" t="str">
        <f t="shared" ca="1" si="869"/>
        <v>-</v>
      </c>
      <c r="AQ1065" s="817"/>
      <c r="AR1065" s="794" t="str">
        <f t="shared" si="870"/>
        <v>НЕТЕЛЬ</v>
      </c>
      <c r="AS1065" s="818"/>
      <c r="AT1065" s="794" t="str">
        <f t="shared" si="871"/>
        <v>-</v>
      </c>
      <c r="AU1065" s="819"/>
      <c r="AV1065" s="820"/>
      <c r="AW1065" s="821"/>
      <c r="AX1065" s="821"/>
      <c r="AY1065" s="969" t="str">
        <f t="shared" si="872"/>
        <v>-</v>
      </c>
      <c r="AZ1065" s="966" t="str">
        <f t="shared" si="873"/>
        <v>-</v>
      </c>
      <c r="BA1065" s="971" t="str">
        <f t="shared" si="874"/>
        <v>-</v>
      </c>
      <c r="BB1065" s="975"/>
      <c r="BC1065" s="821"/>
      <c r="BD1065" s="821"/>
      <c r="BE1065" s="963" t="str">
        <f t="shared" si="875"/>
        <v>-</v>
      </c>
      <c r="BF1065" s="984"/>
      <c r="BG1065" s="988"/>
      <c r="BH1065" s="982"/>
      <c r="BI1065" s="991"/>
      <c r="BJ1065" s="991"/>
      <c r="BK1065" s="993" t="str">
        <f t="shared" si="876"/>
        <v>-</v>
      </c>
      <c r="BL1065" s="820">
        <v>42977</v>
      </c>
      <c r="BM1065" s="821">
        <v>5</v>
      </c>
      <c r="BN1065" s="822">
        <f t="shared" ca="1" si="877"/>
        <v>157</v>
      </c>
      <c r="BO1065" s="823">
        <f t="shared" si="878"/>
        <v>15.733333333333333</v>
      </c>
      <c r="BP1065" s="824"/>
      <c r="BQ1065" s="821"/>
      <c r="BR1065" s="822" t="str">
        <f t="shared" si="879"/>
        <v>-</v>
      </c>
      <c r="BS1065" s="823" t="str">
        <f t="shared" si="880"/>
        <v>-</v>
      </c>
      <c r="BT1065" s="825" t="str">
        <f t="shared" ca="1" si="881"/>
        <v>-</v>
      </c>
      <c r="BU1065" s="826"/>
      <c r="BV1065" s="827"/>
      <c r="BW1065" s="828" t="str">
        <f t="shared" si="882"/>
        <v>Ж-Е НЕ ВАКЦ.</v>
      </c>
      <c r="BX1065" s="829" t="str">
        <f t="shared" si="883"/>
        <v>-</v>
      </c>
      <c r="BY1065" s="830" t="str">
        <f t="shared" ca="1" si="884"/>
        <v>-</v>
      </c>
      <c r="BZ1065" s="831">
        <v>42912</v>
      </c>
      <c r="CA1065" s="832">
        <v>5</v>
      </c>
      <c r="CB1065" s="833">
        <f t="shared" ca="1" si="885"/>
        <v>222</v>
      </c>
      <c r="CC1065" s="834" t="str">
        <f t="shared" ca="1" si="886"/>
        <v>-</v>
      </c>
      <c r="CD1065" s="835">
        <f t="shared" si="887"/>
        <v>42933</v>
      </c>
      <c r="CE1065" s="831">
        <v>42936</v>
      </c>
      <c r="CF1065" s="832">
        <v>5</v>
      </c>
      <c r="CG1065" s="833">
        <f t="shared" ca="1" si="888"/>
        <v>198</v>
      </c>
      <c r="CH1065" s="836">
        <f t="shared" si="889"/>
        <v>-3</v>
      </c>
      <c r="CI1065" s="837" t="str">
        <f t="shared" si="890"/>
        <v>-</v>
      </c>
      <c r="CJ1065" s="838" t="str">
        <f t="shared" ca="1" si="891"/>
        <v>-</v>
      </c>
      <c r="CK1065" s="831"/>
      <c r="CL1065" s="832"/>
      <c r="CM1065" s="833" t="str">
        <f t="shared" si="892"/>
        <v>-</v>
      </c>
      <c r="CN1065" s="834" t="str">
        <f t="shared" si="893"/>
        <v>-</v>
      </c>
      <c r="CO1065" s="830" t="str">
        <f t="shared" ca="1" si="894"/>
        <v>-</v>
      </c>
      <c r="CP1065" s="839"/>
      <c r="CQ1065" s="832"/>
      <c r="CR1065" s="833" t="str">
        <f t="shared" si="895"/>
        <v>-</v>
      </c>
      <c r="CS1065" s="833" t="str">
        <f t="shared" si="896"/>
        <v>-</v>
      </c>
      <c r="CT1065" s="834" t="str">
        <f t="shared" si="897"/>
        <v>-</v>
      </c>
      <c r="CU1065" s="835" t="str">
        <f t="shared" si="898"/>
        <v>-</v>
      </c>
      <c r="CV1065" s="839"/>
      <c r="CW1065" s="832"/>
      <c r="CX1065" s="833" t="str">
        <f t="shared" si="899"/>
        <v>-</v>
      </c>
      <c r="CY1065" s="840" t="str">
        <f t="shared" si="900"/>
        <v>-</v>
      </c>
      <c r="CZ1065" s="833" t="str">
        <f t="shared" si="901"/>
        <v>-</v>
      </c>
      <c r="DA1065" s="838" t="str">
        <f t="shared" ca="1" si="902"/>
        <v>-</v>
      </c>
      <c r="DB1065" s="841"/>
      <c r="DC1065" s="832"/>
    </row>
    <row r="1066" spans="1:107" x14ac:dyDescent="0.25">
      <c r="A1066" s="790">
        <v>1070</v>
      </c>
      <c r="B1066" s="791">
        <f t="shared" ca="1" si="851"/>
        <v>43134</v>
      </c>
      <c r="C1066" s="792" t="s">
        <v>2584</v>
      </c>
      <c r="D1066" s="793" t="s">
        <v>2582</v>
      </c>
      <c r="E1066" s="794" t="s">
        <v>1563</v>
      </c>
      <c r="F1066" s="795" t="s">
        <v>1674</v>
      </c>
      <c r="G1066" s="845"/>
      <c r="H1066" s="797" t="s">
        <v>603</v>
      </c>
      <c r="I1066" s="798">
        <v>42517</v>
      </c>
      <c r="J1066" s="799">
        <f t="shared" ca="1" si="852"/>
        <v>1.6904109589041096</v>
      </c>
      <c r="K1066" s="799">
        <f t="shared" ca="1" si="853"/>
        <v>20.566666666666666</v>
      </c>
      <c r="L1066" s="800">
        <f t="shared" ca="1" si="854"/>
        <v>617</v>
      </c>
      <c r="M1066" s="801"/>
      <c r="N1066" s="802"/>
      <c r="O1066" s="803" t="str">
        <f t="shared" ca="1" si="855"/>
        <v>-</v>
      </c>
      <c r="P1066" s="804"/>
      <c r="Q1066" s="805" t="s">
        <v>2366</v>
      </c>
      <c r="R1066" s="806" t="s">
        <v>2967</v>
      </c>
      <c r="S1066" s="807">
        <v>42907</v>
      </c>
      <c r="T1066" s="798">
        <v>43006</v>
      </c>
      <c r="U1066" s="798">
        <f t="shared" si="856"/>
        <v>43024</v>
      </c>
      <c r="V1066" s="804">
        <f t="shared" ca="1" si="857"/>
        <v>110</v>
      </c>
      <c r="W1066" s="808">
        <v>5</v>
      </c>
      <c r="X1066" s="794" t="str">
        <f t="shared" si="850"/>
        <v>-</v>
      </c>
      <c r="Y1066" s="794">
        <v>3</v>
      </c>
      <c r="Z1066" s="809" t="str">
        <f t="shared" ca="1" si="858"/>
        <v>-----</v>
      </c>
      <c r="AA1066" s="810">
        <f t="shared" ca="1" si="859"/>
        <v>128</v>
      </c>
      <c r="AB1066" s="804"/>
      <c r="AC1066" s="811" t="str">
        <f t="shared" ca="1" si="860"/>
        <v>-----</v>
      </c>
      <c r="AD1066" s="798"/>
      <c r="AE1066" s="794" t="str">
        <f t="shared" ca="1" si="861"/>
        <v>-</v>
      </c>
      <c r="AF1066" s="798">
        <f t="shared" si="862"/>
        <v>43041</v>
      </c>
      <c r="AG1066" s="812">
        <f t="shared" ca="1" si="863"/>
        <v>93</v>
      </c>
      <c r="AH1066" s="807"/>
      <c r="AI1066" s="807" t="str">
        <f t="shared" si="864"/>
        <v>-</v>
      </c>
      <c r="AJ1066" s="807" t="str">
        <f t="shared" si="865"/>
        <v>-</v>
      </c>
      <c r="AK1066" s="813"/>
      <c r="AL1066" s="807" t="str">
        <f t="shared" si="866"/>
        <v>-</v>
      </c>
      <c r="AM1066" s="807" t="str">
        <f t="shared" si="867"/>
        <v>-</v>
      </c>
      <c r="AN1066" s="814" t="str">
        <f t="shared" ca="1" si="868"/>
        <v>-</v>
      </c>
      <c r="AO1066" s="815">
        <v>1</v>
      </c>
      <c r="AP1066" s="816" t="str">
        <f t="shared" ca="1" si="869"/>
        <v>-</v>
      </c>
      <c r="AQ1066" s="817"/>
      <c r="AR1066" s="794" t="str">
        <f t="shared" si="870"/>
        <v>-</v>
      </c>
      <c r="AS1066" s="818"/>
      <c r="AT1066" s="794" t="str">
        <f t="shared" si="871"/>
        <v>-</v>
      </c>
      <c r="AU1066" s="819"/>
      <c r="AV1066" s="820"/>
      <c r="AW1066" s="821"/>
      <c r="AX1066" s="821"/>
      <c r="AY1066" s="969" t="str">
        <f t="shared" si="872"/>
        <v>-</v>
      </c>
      <c r="AZ1066" s="966" t="str">
        <f t="shared" si="873"/>
        <v>-</v>
      </c>
      <c r="BA1066" s="971" t="str">
        <f t="shared" si="874"/>
        <v>-</v>
      </c>
      <c r="BB1066" s="975"/>
      <c r="BC1066" s="821"/>
      <c r="BD1066" s="821"/>
      <c r="BE1066" s="963" t="str">
        <f t="shared" si="875"/>
        <v>-</v>
      </c>
      <c r="BF1066" s="984"/>
      <c r="BG1066" s="988"/>
      <c r="BH1066" s="982"/>
      <c r="BI1066" s="991"/>
      <c r="BJ1066" s="991"/>
      <c r="BK1066" s="993" t="str">
        <f t="shared" si="876"/>
        <v>-</v>
      </c>
      <c r="BL1066" s="820">
        <v>42977</v>
      </c>
      <c r="BM1066" s="821">
        <v>5</v>
      </c>
      <c r="BN1066" s="822">
        <f t="shared" ca="1" si="877"/>
        <v>157</v>
      </c>
      <c r="BO1066" s="823">
        <f t="shared" si="878"/>
        <v>15.333333333333334</v>
      </c>
      <c r="BP1066" s="824"/>
      <c r="BQ1066" s="821"/>
      <c r="BR1066" s="822" t="str">
        <f t="shared" si="879"/>
        <v>-</v>
      </c>
      <c r="BS1066" s="823" t="str">
        <f t="shared" si="880"/>
        <v>-</v>
      </c>
      <c r="BT1066" s="825" t="str">
        <f t="shared" ca="1" si="881"/>
        <v>-</v>
      </c>
      <c r="BU1066" s="826"/>
      <c r="BV1066" s="827"/>
      <c r="BW1066" s="828" t="str">
        <f t="shared" si="882"/>
        <v>Ж-Е НЕ ВАКЦ.</v>
      </c>
      <c r="BX1066" s="829" t="str">
        <f t="shared" si="883"/>
        <v>-</v>
      </c>
      <c r="BY1066" s="830" t="str">
        <f t="shared" ca="1" si="884"/>
        <v>-</v>
      </c>
      <c r="BZ1066" s="831">
        <v>42891</v>
      </c>
      <c r="CA1066" s="832">
        <v>5</v>
      </c>
      <c r="CB1066" s="833">
        <f t="shared" ca="1" si="885"/>
        <v>243</v>
      </c>
      <c r="CC1066" s="834" t="str">
        <f t="shared" ca="1" si="886"/>
        <v>-</v>
      </c>
      <c r="CD1066" s="835">
        <f t="shared" si="887"/>
        <v>42912</v>
      </c>
      <c r="CE1066" s="831">
        <v>42912</v>
      </c>
      <c r="CF1066" s="832">
        <v>5</v>
      </c>
      <c r="CG1066" s="833">
        <f t="shared" ca="1" si="888"/>
        <v>222</v>
      </c>
      <c r="CH1066" s="836">
        <f t="shared" si="889"/>
        <v>0</v>
      </c>
      <c r="CI1066" s="837" t="str">
        <f t="shared" si="890"/>
        <v>УСПЕШНО</v>
      </c>
      <c r="CJ1066" s="838" t="str">
        <f t="shared" ca="1" si="891"/>
        <v>-</v>
      </c>
      <c r="CK1066" s="831"/>
      <c r="CL1066" s="832"/>
      <c r="CM1066" s="833" t="str">
        <f t="shared" si="892"/>
        <v>-</v>
      </c>
      <c r="CN1066" s="834" t="str">
        <f t="shared" si="893"/>
        <v>-</v>
      </c>
      <c r="CO1066" s="830" t="str">
        <f t="shared" ca="1" si="894"/>
        <v>-</v>
      </c>
      <c r="CP1066" s="839"/>
      <c r="CQ1066" s="832"/>
      <c r="CR1066" s="833" t="str">
        <f t="shared" si="895"/>
        <v>-</v>
      </c>
      <c r="CS1066" s="833" t="str">
        <f t="shared" si="896"/>
        <v>-</v>
      </c>
      <c r="CT1066" s="834" t="str">
        <f t="shared" si="897"/>
        <v>-</v>
      </c>
      <c r="CU1066" s="835" t="str">
        <f t="shared" si="898"/>
        <v>-</v>
      </c>
      <c r="CV1066" s="839"/>
      <c r="CW1066" s="832"/>
      <c r="CX1066" s="833" t="str">
        <f t="shared" si="899"/>
        <v>-</v>
      </c>
      <c r="CY1066" s="840" t="str">
        <f t="shared" si="900"/>
        <v>-</v>
      </c>
      <c r="CZ1066" s="833" t="str">
        <f t="shared" si="901"/>
        <v>-</v>
      </c>
      <c r="DA1066" s="838" t="str">
        <f t="shared" ca="1" si="902"/>
        <v>-</v>
      </c>
      <c r="DB1066" s="841"/>
      <c r="DC1066" s="832"/>
    </row>
    <row r="1067" spans="1:107" x14ac:dyDescent="0.25">
      <c r="A1067" s="790">
        <v>1071</v>
      </c>
      <c r="B1067" s="791">
        <f t="shared" ca="1" si="851"/>
        <v>43134</v>
      </c>
      <c r="C1067" s="792" t="s">
        <v>2584</v>
      </c>
      <c r="D1067" s="793" t="s">
        <v>2582</v>
      </c>
      <c r="E1067" s="794" t="s">
        <v>1563</v>
      </c>
      <c r="F1067" s="795" t="s">
        <v>1697</v>
      </c>
      <c r="G1067" s="845"/>
      <c r="H1067" s="797" t="s">
        <v>603</v>
      </c>
      <c r="I1067" s="798">
        <v>42518</v>
      </c>
      <c r="J1067" s="799">
        <f t="shared" ca="1" si="852"/>
        <v>1.6876712328767123</v>
      </c>
      <c r="K1067" s="799">
        <f t="shared" ca="1" si="853"/>
        <v>20.533333333333335</v>
      </c>
      <c r="L1067" s="800">
        <f t="shared" ca="1" si="854"/>
        <v>616</v>
      </c>
      <c r="M1067" s="801"/>
      <c r="N1067" s="802"/>
      <c r="O1067" s="803" t="str">
        <f t="shared" ca="1" si="855"/>
        <v>-</v>
      </c>
      <c r="P1067" s="804"/>
      <c r="Q1067" s="805" t="s">
        <v>2366</v>
      </c>
      <c r="R1067" s="806" t="s">
        <v>2967</v>
      </c>
      <c r="S1067" s="807">
        <v>42898</v>
      </c>
      <c r="T1067" s="798">
        <v>42989</v>
      </c>
      <c r="U1067" s="798">
        <f t="shared" si="856"/>
        <v>43007</v>
      </c>
      <c r="V1067" s="804">
        <f t="shared" ca="1" si="857"/>
        <v>127</v>
      </c>
      <c r="W1067" s="808">
        <v>4</v>
      </c>
      <c r="X1067" s="794" t="str">
        <f t="shared" si="850"/>
        <v>-</v>
      </c>
      <c r="Y1067" s="794">
        <v>3</v>
      </c>
      <c r="Z1067" s="809" t="str">
        <f t="shared" ca="1" si="858"/>
        <v>-----</v>
      </c>
      <c r="AA1067" s="810">
        <f t="shared" ca="1" si="859"/>
        <v>145</v>
      </c>
      <c r="AB1067" s="804"/>
      <c r="AC1067" s="811" t="str">
        <f t="shared" ca="1" si="860"/>
        <v>-----</v>
      </c>
      <c r="AD1067" s="798"/>
      <c r="AE1067" s="794" t="str">
        <f t="shared" ca="1" si="861"/>
        <v>-</v>
      </c>
      <c r="AF1067" s="798">
        <f t="shared" si="862"/>
        <v>43024</v>
      </c>
      <c r="AG1067" s="812">
        <f t="shared" ca="1" si="863"/>
        <v>110</v>
      </c>
      <c r="AH1067" s="807"/>
      <c r="AI1067" s="807" t="str">
        <f t="shared" si="864"/>
        <v>-</v>
      </c>
      <c r="AJ1067" s="807" t="str">
        <f t="shared" si="865"/>
        <v>-</v>
      </c>
      <c r="AK1067" s="813"/>
      <c r="AL1067" s="807" t="str">
        <f t="shared" si="866"/>
        <v>-</v>
      </c>
      <c r="AM1067" s="807" t="str">
        <f t="shared" si="867"/>
        <v>-</v>
      </c>
      <c r="AN1067" s="814" t="str">
        <f t="shared" ca="1" si="868"/>
        <v>-</v>
      </c>
      <c r="AO1067" s="815">
        <v>1</v>
      </c>
      <c r="AP1067" s="816" t="str">
        <f t="shared" ca="1" si="869"/>
        <v>-</v>
      </c>
      <c r="AQ1067" s="817"/>
      <c r="AR1067" s="794" t="str">
        <f t="shared" si="870"/>
        <v>-</v>
      </c>
      <c r="AS1067" s="818"/>
      <c r="AT1067" s="794" t="str">
        <f t="shared" si="871"/>
        <v>-</v>
      </c>
      <c r="AU1067" s="819"/>
      <c r="AV1067" s="820"/>
      <c r="AW1067" s="821"/>
      <c r="AX1067" s="821"/>
      <c r="AY1067" s="969" t="str">
        <f t="shared" si="872"/>
        <v>-</v>
      </c>
      <c r="AZ1067" s="966" t="str">
        <f t="shared" si="873"/>
        <v>-</v>
      </c>
      <c r="BA1067" s="971" t="str">
        <f t="shared" si="874"/>
        <v>-</v>
      </c>
      <c r="BB1067" s="975"/>
      <c r="BC1067" s="821"/>
      <c r="BD1067" s="821"/>
      <c r="BE1067" s="963" t="str">
        <f t="shared" si="875"/>
        <v>-</v>
      </c>
      <c r="BF1067" s="984"/>
      <c r="BG1067" s="988"/>
      <c r="BH1067" s="982"/>
      <c r="BI1067" s="991"/>
      <c r="BJ1067" s="991"/>
      <c r="BK1067" s="993" t="str">
        <f t="shared" si="876"/>
        <v>-</v>
      </c>
      <c r="BL1067" s="820">
        <v>42977</v>
      </c>
      <c r="BM1067" s="821">
        <v>5</v>
      </c>
      <c r="BN1067" s="822">
        <f t="shared" ca="1" si="877"/>
        <v>157</v>
      </c>
      <c r="BO1067" s="823">
        <f t="shared" si="878"/>
        <v>15.3</v>
      </c>
      <c r="BP1067" s="824"/>
      <c r="BQ1067" s="821"/>
      <c r="BR1067" s="822" t="str">
        <f t="shared" si="879"/>
        <v>-</v>
      </c>
      <c r="BS1067" s="823" t="str">
        <f t="shared" si="880"/>
        <v>-</v>
      </c>
      <c r="BT1067" s="825" t="str">
        <f t="shared" ca="1" si="881"/>
        <v>-</v>
      </c>
      <c r="BU1067" s="826"/>
      <c r="BV1067" s="827"/>
      <c r="BW1067" s="828" t="str">
        <f t="shared" si="882"/>
        <v>Ж-Е НЕ ВАКЦ.</v>
      </c>
      <c r="BX1067" s="829" t="str">
        <f t="shared" si="883"/>
        <v>-</v>
      </c>
      <c r="BY1067" s="830" t="str">
        <f t="shared" ca="1" si="884"/>
        <v>-</v>
      </c>
      <c r="BZ1067" s="831">
        <v>42891</v>
      </c>
      <c r="CA1067" s="832">
        <v>5</v>
      </c>
      <c r="CB1067" s="833">
        <f t="shared" ca="1" si="885"/>
        <v>243</v>
      </c>
      <c r="CC1067" s="834" t="str">
        <f t="shared" ca="1" si="886"/>
        <v>-</v>
      </c>
      <c r="CD1067" s="835">
        <f t="shared" si="887"/>
        <v>42912</v>
      </c>
      <c r="CE1067" s="831">
        <v>42912</v>
      </c>
      <c r="CF1067" s="832">
        <v>5</v>
      </c>
      <c r="CG1067" s="833">
        <f t="shared" ca="1" si="888"/>
        <v>222</v>
      </c>
      <c r="CH1067" s="836">
        <f t="shared" si="889"/>
        <v>0</v>
      </c>
      <c r="CI1067" s="837" t="str">
        <f t="shared" si="890"/>
        <v>УСПЕШНО</v>
      </c>
      <c r="CJ1067" s="838" t="str">
        <f t="shared" ca="1" si="891"/>
        <v>-</v>
      </c>
      <c r="CK1067" s="831"/>
      <c r="CL1067" s="832"/>
      <c r="CM1067" s="833" t="str">
        <f t="shared" si="892"/>
        <v>-</v>
      </c>
      <c r="CN1067" s="834" t="str">
        <f t="shared" si="893"/>
        <v>-</v>
      </c>
      <c r="CO1067" s="830" t="str">
        <f t="shared" ca="1" si="894"/>
        <v>-</v>
      </c>
      <c r="CP1067" s="839"/>
      <c r="CQ1067" s="832"/>
      <c r="CR1067" s="833" t="str">
        <f t="shared" si="895"/>
        <v>-</v>
      </c>
      <c r="CS1067" s="833" t="str">
        <f t="shared" si="896"/>
        <v>-</v>
      </c>
      <c r="CT1067" s="834" t="str">
        <f t="shared" si="897"/>
        <v>-</v>
      </c>
      <c r="CU1067" s="835" t="str">
        <f t="shared" si="898"/>
        <v>-</v>
      </c>
      <c r="CV1067" s="839"/>
      <c r="CW1067" s="832"/>
      <c r="CX1067" s="833" t="str">
        <f t="shared" si="899"/>
        <v>-</v>
      </c>
      <c r="CY1067" s="840" t="str">
        <f t="shared" si="900"/>
        <v>-</v>
      </c>
      <c r="CZ1067" s="833" t="str">
        <f t="shared" si="901"/>
        <v>-</v>
      </c>
      <c r="DA1067" s="838" t="str">
        <f t="shared" ca="1" si="902"/>
        <v>-</v>
      </c>
      <c r="DB1067" s="841"/>
      <c r="DC1067" s="832"/>
    </row>
    <row r="1068" spans="1:107" x14ac:dyDescent="0.25">
      <c r="A1068" s="790">
        <v>1072</v>
      </c>
      <c r="B1068" s="791">
        <f t="shared" ca="1" si="851"/>
        <v>43134</v>
      </c>
      <c r="C1068" s="792" t="s">
        <v>2584</v>
      </c>
      <c r="D1068" s="793" t="s">
        <v>2582</v>
      </c>
      <c r="E1068" s="794" t="s">
        <v>1563</v>
      </c>
      <c r="F1068" s="795" t="s">
        <v>1647</v>
      </c>
      <c r="G1068" s="845"/>
      <c r="H1068" s="797" t="s">
        <v>603</v>
      </c>
      <c r="I1068" s="798">
        <v>42530</v>
      </c>
      <c r="J1068" s="799">
        <f t="shared" ca="1" si="852"/>
        <v>1.6547945205479453</v>
      </c>
      <c r="K1068" s="799">
        <f t="shared" ca="1" si="853"/>
        <v>20.133333333333333</v>
      </c>
      <c r="L1068" s="800">
        <f t="shared" ca="1" si="854"/>
        <v>604</v>
      </c>
      <c r="M1068" s="801"/>
      <c r="N1068" s="802"/>
      <c r="O1068" s="803" t="str">
        <f t="shared" ca="1" si="855"/>
        <v>-</v>
      </c>
      <c r="P1068" s="804"/>
      <c r="Q1068" s="805" t="s">
        <v>1451</v>
      </c>
      <c r="R1068" s="806" t="s">
        <v>2435</v>
      </c>
      <c r="S1068" s="807">
        <v>42906</v>
      </c>
      <c r="T1068" s="798">
        <v>43019</v>
      </c>
      <c r="U1068" s="798">
        <f t="shared" si="856"/>
        <v>43037</v>
      </c>
      <c r="V1068" s="804">
        <f t="shared" ca="1" si="857"/>
        <v>97</v>
      </c>
      <c r="W1068" s="808">
        <v>4</v>
      </c>
      <c r="X1068" s="794" t="str">
        <f t="shared" si="850"/>
        <v>-</v>
      </c>
      <c r="Y1068" s="794">
        <v>3</v>
      </c>
      <c r="Z1068" s="809" t="str">
        <f t="shared" ca="1" si="858"/>
        <v>-----</v>
      </c>
      <c r="AA1068" s="810">
        <f t="shared" ca="1" si="859"/>
        <v>115</v>
      </c>
      <c r="AB1068" s="804"/>
      <c r="AC1068" s="811" t="str">
        <f t="shared" ca="1" si="860"/>
        <v>-----</v>
      </c>
      <c r="AD1068" s="798"/>
      <c r="AE1068" s="794" t="str">
        <f t="shared" ca="1" si="861"/>
        <v>-</v>
      </c>
      <c r="AF1068" s="798">
        <f t="shared" si="862"/>
        <v>43054</v>
      </c>
      <c r="AG1068" s="812">
        <f t="shared" ca="1" si="863"/>
        <v>80</v>
      </c>
      <c r="AH1068" s="807">
        <v>42995</v>
      </c>
      <c r="AI1068" s="807" t="str">
        <f t="shared" si="864"/>
        <v>-</v>
      </c>
      <c r="AJ1068" s="807" t="str">
        <f t="shared" si="865"/>
        <v>-</v>
      </c>
      <c r="AK1068" s="813"/>
      <c r="AL1068" s="807" t="str">
        <f t="shared" si="866"/>
        <v>-</v>
      </c>
      <c r="AM1068" s="807" t="str">
        <f t="shared" si="867"/>
        <v>-</v>
      </c>
      <c r="AN1068" s="814" t="str">
        <f t="shared" ca="1" si="868"/>
        <v>-</v>
      </c>
      <c r="AO1068" s="815">
        <v>1</v>
      </c>
      <c r="AP1068" s="816" t="str">
        <f t="shared" ca="1" si="869"/>
        <v>-</v>
      </c>
      <c r="AQ1068" s="817"/>
      <c r="AR1068" s="794" t="str">
        <f t="shared" si="870"/>
        <v>-</v>
      </c>
      <c r="AS1068" s="818"/>
      <c r="AT1068" s="794" t="str">
        <f t="shared" si="871"/>
        <v>-</v>
      </c>
      <c r="AU1068" s="819"/>
      <c r="AV1068" s="820"/>
      <c r="AW1068" s="821"/>
      <c r="AX1068" s="821"/>
      <c r="AY1068" s="969" t="str">
        <f t="shared" si="872"/>
        <v>-</v>
      </c>
      <c r="AZ1068" s="966" t="str">
        <f t="shared" si="873"/>
        <v>-</v>
      </c>
      <c r="BA1068" s="971" t="str">
        <f t="shared" si="874"/>
        <v>-</v>
      </c>
      <c r="BB1068" s="975"/>
      <c r="BC1068" s="821"/>
      <c r="BD1068" s="821"/>
      <c r="BE1068" s="963" t="str">
        <f t="shared" si="875"/>
        <v>-</v>
      </c>
      <c r="BF1068" s="984"/>
      <c r="BG1068" s="988"/>
      <c r="BH1068" s="982"/>
      <c r="BI1068" s="991"/>
      <c r="BJ1068" s="991"/>
      <c r="BK1068" s="993" t="str">
        <f t="shared" si="876"/>
        <v>-</v>
      </c>
      <c r="BL1068" s="820">
        <v>42977</v>
      </c>
      <c r="BM1068" s="821">
        <v>5</v>
      </c>
      <c r="BN1068" s="822">
        <f t="shared" ca="1" si="877"/>
        <v>157</v>
      </c>
      <c r="BO1068" s="823">
        <f t="shared" si="878"/>
        <v>14.9</v>
      </c>
      <c r="BP1068" s="824"/>
      <c r="BQ1068" s="821"/>
      <c r="BR1068" s="822" t="str">
        <f t="shared" si="879"/>
        <v>-</v>
      </c>
      <c r="BS1068" s="823" t="str">
        <f t="shared" si="880"/>
        <v>-</v>
      </c>
      <c r="BT1068" s="825" t="str">
        <f t="shared" ca="1" si="881"/>
        <v>-</v>
      </c>
      <c r="BU1068" s="826"/>
      <c r="BV1068" s="827"/>
      <c r="BW1068" s="828" t="str">
        <f t="shared" si="882"/>
        <v>Ж-Е НЕ ВАКЦ.</v>
      </c>
      <c r="BX1068" s="829" t="str">
        <f t="shared" si="883"/>
        <v>-</v>
      </c>
      <c r="BY1068" s="830" t="str">
        <f t="shared" ca="1" si="884"/>
        <v>-</v>
      </c>
      <c r="BZ1068" s="831">
        <v>42891</v>
      </c>
      <c r="CA1068" s="832">
        <v>5</v>
      </c>
      <c r="CB1068" s="833">
        <f t="shared" ca="1" si="885"/>
        <v>243</v>
      </c>
      <c r="CC1068" s="834" t="str">
        <f t="shared" ca="1" si="886"/>
        <v>-</v>
      </c>
      <c r="CD1068" s="835">
        <f t="shared" si="887"/>
        <v>42912</v>
      </c>
      <c r="CE1068" s="831">
        <v>42912</v>
      </c>
      <c r="CF1068" s="832">
        <v>5</v>
      </c>
      <c r="CG1068" s="833">
        <f t="shared" ca="1" si="888"/>
        <v>222</v>
      </c>
      <c r="CH1068" s="836">
        <f t="shared" si="889"/>
        <v>0</v>
      </c>
      <c r="CI1068" s="837" t="str">
        <f t="shared" si="890"/>
        <v>УСПЕШНО</v>
      </c>
      <c r="CJ1068" s="838" t="str">
        <f t="shared" ca="1" si="891"/>
        <v>-</v>
      </c>
      <c r="CK1068" s="831"/>
      <c r="CL1068" s="832"/>
      <c r="CM1068" s="833" t="str">
        <f t="shared" si="892"/>
        <v>-</v>
      </c>
      <c r="CN1068" s="834" t="str">
        <f t="shared" si="893"/>
        <v>-</v>
      </c>
      <c r="CO1068" s="830" t="str">
        <f t="shared" ca="1" si="894"/>
        <v>-</v>
      </c>
      <c r="CP1068" s="839"/>
      <c r="CQ1068" s="832"/>
      <c r="CR1068" s="833" t="str">
        <f t="shared" si="895"/>
        <v>-</v>
      </c>
      <c r="CS1068" s="833" t="str">
        <f t="shared" si="896"/>
        <v>-</v>
      </c>
      <c r="CT1068" s="834" t="str">
        <f t="shared" si="897"/>
        <v>-</v>
      </c>
      <c r="CU1068" s="835" t="str">
        <f t="shared" si="898"/>
        <v>-</v>
      </c>
      <c r="CV1068" s="839"/>
      <c r="CW1068" s="832"/>
      <c r="CX1068" s="833" t="str">
        <f t="shared" si="899"/>
        <v>-</v>
      </c>
      <c r="CY1068" s="840" t="str">
        <f t="shared" si="900"/>
        <v>-</v>
      </c>
      <c r="CZ1068" s="833" t="str">
        <f t="shared" si="901"/>
        <v>-</v>
      </c>
      <c r="DA1068" s="838" t="str">
        <f t="shared" ca="1" si="902"/>
        <v>-</v>
      </c>
      <c r="DB1068" s="841"/>
      <c r="DC1068" s="832"/>
    </row>
    <row r="1069" spans="1:107" x14ac:dyDescent="0.25">
      <c r="A1069" s="790">
        <v>1073</v>
      </c>
      <c r="B1069" s="791">
        <f t="shared" ca="1" si="851"/>
        <v>43134</v>
      </c>
      <c r="C1069" s="792" t="s">
        <v>2584</v>
      </c>
      <c r="D1069" s="793" t="s">
        <v>2582</v>
      </c>
      <c r="E1069" s="794" t="s">
        <v>1563</v>
      </c>
      <c r="F1069" s="795" t="s">
        <v>1640</v>
      </c>
      <c r="G1069" s="845"/>
      <c r="H1069" s="797" t="s">
        <v>603</v>
      </c>
      <c r="I1069" s="798">
        <v>42541</v>
      </c>
      <c r="J1069" s="799">
        <f t="shared" ca="1" si="852"/>
        <v>1.6246575342465754</v>
      </c>
      <c r="K1069" s="799">
        <f t="shared" ca="1" si="853"/>
        <v>19.766666666666666</v>
      </c>
      <c r="L1069" s="800">
        <f t="shared" ca="1" si="854"/>
        <v>593</v>
      </c>
      <c r="M1069" s="801"/>
      <c r="N1069" s="802"/>
      <c r="O1069" s="803" t="str">
        <f t="shared" ca="1" si="855"/>
        <v>-</v>
      </c>
      <c r="P1069" s="804"/>
      <c r="Q1069" s="805"/>
      <c r="R1069" s="806"/>
      <c r="S1069" s="807"/>
      <c r="T1069" s="798"/>
      <c r="U1069" s="798" t="str">
        <f t="shared" si="856"/>
        <v>-</v>
      </c>
      <c r="V1069" s="804" t="str">
        <f t="shared" ca="1" si="857"/>
        <v>-</v>
      </c>
      <c r="W1069" s="808">
        <v>0</v>
      </c>
      <c r="X1069" s="794" t="str">
        <f t="shared" si="850"/>
        <v>-</v>
      </c>
      <c r="Y1069" s="794">
        <v>0</v>
      </c>
      <c r="Z1069" s="809" t="str">
        <f t="shared" ca="1" si="858"/>
        <v>-----</v>
      </c>
      <c r="AA1069" s="810">
        <f t="shared" ca="1" si="859"/>
        <v>43134</v>
      </c>
      <c r="AB1069" s="804"/>
      <c r="AC1069" s="811" t="str">
        <f t="shared" ca="1" si="860"/>
        <v>-----</v>
      </c>
      <c r="AD1069" s="798"/>
      <c r="AE1069" s="794" t="str">
        <f t="shared" ca="1" si="861"/>
        <v>-</v>
      </c>
      <c r="AF1069" s="798" t="str">
        <f t="shared" si="862"/>
        <v>-</v>
      </c>
      <c r="AG1069" s="812" t="str">
        <f t="shared" si="863"/>
        <v>---------</v>
      </c>
      <c r="AH1069" s="807"/>
      <c r="AI1069" s="807" t="str">
        <f t="shared" si="864"/>
        <v>-</v>
      </c>
      <c r="AJ1069" s="807" t="str">
        <f t="shared" si="865"/>
        <v>-</v>
      </c>
      <c r="AK1069" s="813"/>
      <c r="AL1069" s="807" t="str">
        <f t="shared" si="866"/>
        <v>-</v>
      </c>
      <c r="AM1069" s="807" t="str">
        <f t="shared" si="867"/>
        <v>-</v>
      </c>
      <c r="AN1069" s="814" t="str">
        <f t="shared" ca="1" si="868"/>
        <v>-</v>
      </c>
      <c r="AO1069" s="815">
        <v>1</v>
      </c>
      <c r="AP1069" s="816" t="str">
        <f t="shared" ca="1" si="869"/>
        <v>-</v>
      </c>
      <c r="AQ1069" s="817"/>
      <c r="AR1069" s="794" t="str">
        <f t="shared" si="870"/>
        <v>-</v>
      </c>
      <c r="AS1069" s="818"/>
      <c r="AT1069" s="794" t="str">
        <f t="shared" si="871"/>
        <v>-</v>
      </c>
      <c r="AU1069" s="819"/>
      <c r="AV1069" s="820"/>
      <c r="AW1069" s="821"/>
      <c r="AX1069" s="821"/>
      <c r="AY1069" s="969" t="str">
        <f t="shared" si="872"/>
        <v>-</v>
      </c>
      <c r="AZ1069" s="966" t="str">
        <f t="shared" si="873"/>
        <v>-</v>
      </c>
      <c r="BA1069" s="971" t="str">
        <f t="shared" si="874"/>
        <v>-</v>
      </c>
      <c r="BB1069" s="975"/>
      <c r="BC1069" s="821"/>
      <c r="BD1069" s="821"/>
      <c r="BE1069" s="963" t="str">
        <f t="shared" si="875"/>
        <v>-</v>
      </c>
      <c r="BF1069" s="984"/>
      <c r="BG1069" s="988"/>
      <c r="BH1069" s="982"/>
      <c r="BI1069" s="991"/>
      <c r="BJ1069" s="991"/>
      <c r="BK1069" s="993" t="str">
        <f t="shared" si="876"/>
        <v>-</v>
      </c>
      <c r="BL1069" s="820">
        <v>42977</v>
      </c>
      <c r="BM1069" s="821">
        <v>5</v>
      </c>
      <c r="BN1069" s="822">
        <f t="shared" ca="1" si="877"/>
        <v>157</v>
      </c>
      <c r="BO1069" s="823">
        <f t="shared" si="878"/>
        <v>14.533333333333333</v>
      </c>
      <c r="BP1069" s="824"/>
      <c r="BQ1069" s="821"/>
      <c r="BR1069" s="822" t="str">
        <f t="shared" si="879"/>
        <v>-</v>
      </c>
      <c r="BS1069" s="823" t="str">
        <f t="shared" si="880"/>
        <v>-</v>
      </c>
      <c r="BT1069" s="825" t="str">
        <f t="shared" ca="1" si="881"/>
        <v>-</v>
      </c>
      <c r="BU1069" s="826"/>
      <c r="BV1069" s="827"/>
      <c r="BW1069" s="828" t="str">
        <f t="shared" si="882"/>
        <v>Ж-Е НЕ ВАКЦ.</v>
      </c>
      <c r="BX1069" s="829" t="str">
        <f t="shared" si="883"/>
        <v>-</v>
      </c>
      <c r="BY1069" s="830" t="str">
        <f t="shared" ca="1" si="884"/>
        <v>-</v>
      </c>
      <c r="BZ1069" s="831">
        <v>42892</v>
      </c>
      <c r="CA1069" s="832">
        <v>5</v>
      </c>
      <c r="CB1069" s="833">
        <f t="shared" ca="1" si="885"/>
        <v>242</v>
      </c>
      <c r="CC1069" s="834" t="str">
        <f t="shared" ca="1" si="886"/>
        <v>-</v>
      </c>
      <c r="CD1069" s="835">
        <f t="shared" si="887"/>
        <v>42913</v>
      </c>
      <c r="CE1069" s="831">
        <v>42913</v>
      </c>
      <c r="CF1069" s="832">
        <v>5</v>
      </c>
      <c r="CG1069" s="833">
        <f t="shared" ca="1" si="888"/>
        <v>221</v>
      </c>
      <c r="CH1069" s="836">
        <f t="shared" si="889"/>
        <v>0</v>
      </c>
      <c r="CI1069" s="837" t="str">
        <f t="shared" si="890"/>
        <v>УСПЕШНО</v>
      </c>
      <c r="CJ1069" s="838" t="str">
        <f t="shared" ca="1" si="891"/>
        <v>-</v>
      </c>
      <c r="CK1069" s="831"/>
      <c r="CL1069" s="832"/>
      <c r="CM1069" s="833" t="str">
        <f t="shared" si="892"/>
        <v>-</v>
      </c>
      <c r="CN1069" s="834" t="str">
        <f t="shared" si="893"/>
        <v>-</v>
      </c>
      <c r="CO1069" s="830" t="str">
        <f t="shared" ca="1" si="894"/>
        <v>-</v>
      </c>
      <c r="CP1069" s="839"/>
      <c r="CQ1069" s="832"/>
      <c r="CR1069" s="833" t="str">
        <f t="shared" si="895"/>
        <v>-</v>
      </c>
      <c r="CS1069" s="833" t="str">
        <f t="shared" si="896"/>
        <v>-</v>
      </c>
      <c r="CT1069" s="834" t="str">
        <f t="shared" si="897"/>
        <v>-</v>
      </c>
      <c r="CU1069" s="835" t="str">
        <f t="shared" si="898"/>
        <v>-</v>
      </c>
      <c r="CV1069" s="839"/>
      <c r="CW1069" s="832"/>
      <c r="CX1069" s="833" t="str">
        <f t="shared" si="899"/>
        <v>-</v>
      </c>
      <c r="CY1069" s="840" t="str">
        <f t="shared" si="900"/>
        <v>-</v>
      </c>
      <c r="CZ1069" s="833" t="str">
        <f t="shared" si="901"/>
        <v>-</v>
      </c>
      <c r="DA1069" s="838" t="str">
        <f t="shared" ca="1" si="902"/>
        <v>-</v>
      </c>
      <c r="DB1069" s="841"/>
      <c r="DC1069" s="832"/>
    </row>
    <row r="1070" spans="1:107" x14ac:dyDescent="0.25">
      <c r="A1070" s="790">
        <v>1074</v>
      </c>
      <c r="B1070" s="791">
        <f t="shared" ca="1" si="851"/>
        <v>43134</v>
      </c>
      <c r="C1070" s="792" t="s">
        <v>2584</v>
      </c>
      <c r="D1070" s="793" t="s">
        <v>2582</v>
      </c>
      <c r="E1070" s="794" t="s">
        <v>1563</v>
      </c>
      <c r="F1070" s="795" t="s">
        <v>1654</v>
      </c>
      <c r="G1070" s="845"/>
      <c r="H1070" s="797" t="s">
        <v>603</v>
      </c>
      <c r="I1070" s="798">
        <v>42548</v>
      </c>
      <c r="J1070" s="799">
        <f t="shared" ca="1" si="852"/>
        <v>1.6054794520547946</v>
      </c>
      <c r="K1070" s="799">
        <f t="shared" ca="1" si="853"/>
        <v>19.533333333333335</v>
      </c>
      <c r="L1070" s="800">
        <f t="shared" ca="1" si="854"/>
        <v>586</v>
      </c>
      <c r="M1070" s="801"/>
      <c r="N1070" s="802"/>
      <c r="O1070" s="803" t="str">
        <f t="shared" ca="1" si="855"/>
        <v>-</v>
      </c>
      <c r="P1070" s="804"/>
      <c r="Q1070" s="805" t="s">
        <v>2366</v>
      </c>
      <c r="R1070" s="806" t="s">
        <v>2967</v>
      </c>
      <c r="S1070" s="807">
        <v>42912</v>
      </c>
      <c r="T1070" s="798">
        <v>42997</v>
      </c>
      <c r="U1070" s="798">
        <f t="shared" si="856"/>
        <v>43015</v>
      </c>
      <c r="V1070" s="804">
        <f t="shared" ca="1" si="857"/>
        <v>119</v>
      </c>
      <c r="W1070" s="808">
        <v>3</v>
      </c>
      <c r="X1070" s="794" t="str">
        <f t="shared" si="850"/>
        <v>-</v>
      </c>
      <c r="Y1070" s="794">
        <v>3</v>
      </c>
      <c r="Z1070" s="809" t="str">
        <f t="shared" ca="1" si="858"/>
        <v>-----</v>
      </c>
      <c r="AA1070" s="810">
        <f t="shared" ca="1" si="859"/>
        <v>137</v>
      </c>
      <c r="AB1070" s="804"/>
      <c r="AC1070" s="811" t="str">
        <f t="shared" ca="1" si="860"/>
        <v>-----</v>
      </c>
      <c r="AD1070" s="798"/>
      <c r="AE1070" s="794" t="str">
        <f t="shared" ca="1" si="861"/>
        <v>-</v>
      </c>
      <c r="AF1070" s="798">
        <f t="shared" si="862"/>
        <v>43032</v>
      </c>
      <c r="AG1070" s="812">
        <f t="shared" ca="1" si="863"/>
        <v>102</v>
      </c>
      <c r="AH1070" s="807"/>
      <c r="AI1070" s="807" t="str">
        <f t="shared" si="864"/>
        <v>-</v>
      </c>
      <c r="AJ1070" s="807" t="str">
        <f t="shared" si="865"/>
        <v>-</v>
      </c>
      <c r="AK1070" s="813"/>
      <c r="AL1070" s="807" t="str">
        <f t="shared" si="866"/>
        <v>-</v>
      </c>
      <c r="AM1070" s="807" t="str">
        <f t="shared" si="867"/>
        <v>-</v>
      </c>
      <c r="AN1070" s="814" t="str">
        <f t="shared" ca="1" si="868"/>
        <v>-</v>
      </c>
      <c r="AO1070" s="815">
        <v>1</v>
      </c>
      <c r="AP1070" s="816" t="str">
        <f t="shared" ca="1" si="869"/>
        <v>-</v>
      </c>
      <c r="AQ1070" s="817"/>
      <c r="AR1070" s="794" t="str">
        <f t="shared" si="870"/>
        <v>-</v>
      </c>
      <c r="AS1070" s="818"/>
      <c r="AT1070" s="794" t="str">
        <f t="shared" si="871"/>
        <v>-</v>
      </c>
      <c r="AU1070" s="819"/>
      <c r="AV1070" s="820"/>
      <c r="AW1070" s="821"/>
      <c r="AX1070" s="821"/>
      <c r="AY1070" s="969" t="str">
        <f t="shared" si="872"/>
        <v>-</v>
      </c>
      <c r="AZ1070" s="966" t="str">
        <f t="shared" si="873"/>
        <v>-</v>
      </c>
      <c r="BA1070" s="971" t="str">
        <f t="shared" si="874"/>
        <v>-</v>
      </c>
      <c r="BB1070" s="975"/>
      <c r="BC1070" s="821"/>
      <c r="BD1070" s="821"/>
      <c r="BE1070" s="963" t="str">
        <f t="shared" si="875"/>
        <v>-</v>
      </c>
      <c r="BF1070" s="984"/>
      <c r="BG1070" s="988"/>
      <c r="BH1070" s="982"/>
      <c r="BI1070" s="991"/>
      <c r="BJ1070" s="991"/>
      <c r="BK1070" s="993" t="str">
        <f t="shared" si="876"/>
        <v>-</v>
      </c>
      <c r="BL1070" s="820">
        <v>42977</v>
      </c>
      <c r="BM1070" s="821">
        <v>5</v>
      </c>
      <c r="BN1070" s="822">
        <f t="shared" ca="1" si="877"/>
        <v>157</v>
      </c>
      <c r="BO1070" s="823">
        <f t="shared" si="878"/>
        <v>14.3</v>
      </c>
      <c r="BP1070" s="824"/>
      <c r="BQ1070" s="821"/>
      <c r="BR1070" s="822" t="str">
        <f t="shared" si="879"/>
        <v>-</v>
      </c>
      <c r="BS1070" s="823" t="str">
        <f t="shared" si="880"/>
        <v>-</v>
      </c>
      <c r="BT1070" s="825" t="str">
        <f t="shared" ca="1" si="881"/>
        <v>-</v>
      </c>
      <c r="BU1070" s="826"/>
      <c r="BV1070" s="827"/>
      <c r="BW1070" s="828" t="str">
        <f t="shared" si="882"/>
        <v>Ж-Е НЕ ВАКЦ.</v>
      </c>
      <c r="BX1070" s="829" t="str">
        <f t="shared" si="883"/>
        <v>-</v>
      </c>
      <c r="BY1070" s="830" t="str">
        <f t="shared" ca="1" si="884"/>
        <v>-</v>
      </c>
      <c r="BZ1070" s="831">
        <v>42891</v>
      </c>
      <c r="CA1070" s="832">
        <v>5</v>
      </c>
      <c r="CB1070" s="833">
        <f t="shared" ca="1" si="885"/>
        <v>243</v>
      </c>
      <c r="CC1070" s="834" t="str">
        <f t="shared" ca="1" si="886"/>
        <v>-</v>
      </c>
      <c r="CD1070" s="835">
        <f t="shared" si="887"/>
        <v>42912</v>
      </c>
      <c r="CE1070" s="831">
        <v>42912</v>
      </c>
      <c r="CF1070" s="832">
        <v>5</v>
      </c>
      <c r="CG1070" s="833">
        <f t="shared" ca="1" si="888"/>
        <v>222</v>
      </c>
      <c r="CH1070" s="836">
        <f t="shared" si="889"/>
        <v>0</v>
      </c>
      <c r="CI1070" s="837" t="str">
        <f t="shared" si="890"/>
        <v>УСПЕШНО</v>
      </c>
      <c r="CJ1070" s="838" t="str">
        <f t="shared" ca="1" si="891"/>
        <v>-</v>
      </c>
      <c r="CK1070" s="831"/>
      <c r="CL1070" s="832"/>
      <c r="CM1070" s="833" t="str">
        <f t="shared" si="892"/>
        <v>-</v>
      </c>
      <c r="CN1070" s="834" t="str">
        <f t="shared" si="893"/>
        <v>-</v>
      </c>
      <c r="CO1070" s="830" t="str">
        <f t="shared" ca="1" si="894"/>
        <v>-</v>
      </c>
      <c r="CP1070" s="839"/>
      <c r="CQ1070" s="832"/>
      <c r="CR1070" s="833" t="str">
        <f t="shared" si="895"/>
        <v>-</v>
      </c>
      <c r="CS1070" s="833" t="str">
        <f t="shared" si="896"/>
        <v>-</v>
      </c>
      <c r="CT1070" s="834" t="str">
        <f t="shared" si="897"/>
        <v>-</v>
      </c>
      <c r="CU1070" s="835" t="str">
        <f t="shared" si="898"/>
        <v>-</v>
      </c>
      <c r="CV1070" s="839"/>
      <c r="CW1070" s="832"/>
      <c r="CX1070" s="833" t="str">
        <f t="shared" si="899"/>
        <v>-</v>
      </c>
      <c r="CY1070" s="840" t="str">
        <f t="shared" si="900"/>
        <v>-</v>
      </c>
      <c r="CZ1070" s="833" t="str">
        <f t="shared" si="901"/>
        <v>-</v>
      </c>
      <c r="DA1070" s="838" t="str">
        <f t="shared" ca="1" si="902"/>
        <v>-</v>
      </c>
      <c r="DB1070" s="841"/>
      <c r="DC1070" s="832"/>
    </row>
    <row r="1071" spans="1:107" x14ac:dyDescent="0.25">
      <c r="A1071" s="790">
        <v>1075</v>
      </c>
      <c r="B1071" s="791">
        <f t="shared" ca="1" si="851"/>
        <v>43134</v>
      </c>
      <c r="C1071" s="792" t="s">
        <v>2584</v>
      </c>
      <c r="D1071" s="793" t="s">
        <v>2582</v>
      </c>
      <c r="E1071" s="794" t="s">
        <v>1563</v>
      </c>
      <c r="F1071" s="795" t="s">
        <v>1636</v>
      </c>
      <c r="G1071" s="845"/>
      <c r="H1071" s="797" t="s">
        <v>603</v>
      </c>
      <c r="I1071" s="798">
        <v>42549</v>
      </c>
      <c r="J1071" s="799">
        <f t="shared" ca="1" si="852"/>
        <v>1.6027397260273972</v>
      </c>
      <c r="K1071" s="799">
        <f t="shared" ca="1" si="853"/>
        <v>19.5</v>
      </c>
      <c r="L1071" s="800">
        <f t="shared" ca="1" si="854"/>
        <v>585</v>
      </c>
      <c r="M1071" s="801"/>
      <c r="N1071" s="802"/>
      <c r="O1071" s="803" t="str">
        <f t="shared" ca="1" si="855"/>
        <v>-</v>
      </c>
      <c r="P1071" s="804"/>
      <c r="Q1071" s="805" t="s">
        <v>2366</v>
      </c>
      <c r="R1071" s="806" t="s">
        <v>2967</v>
      </c>
      <c r="S1071" s="807">
        <v>42990</v>
      </c>
      <c r="T1071" s="798">
        <v>42990</v>
      </c>
      <c r="U1071" s="798">
        <f t="shared" si="856"/>
        <v>43008</v>
      </c>
      <c r="V1071" s="804">
        <f t="shared" ca="1" si="857"/>
        <v>126</v>
      </c>
      <c r="W1071" s="808">
        <v>1</v>
      </c>
      <c r="X1071" s="794" t="str">
        <f t="shared" si="850"/>
        <v>-</v>
      </c>
      <c r="Y1071" s="794">
        <v>3</v>
      </c>
      <c r="Z1071" s="809" t="str">
        <f t="shared" ca="1" si="858"/>
        <v>-----</v>
      </c>
      <c r="AA1071" s="810">
        <f t="shared" ca="1" si="859"/>
        <v>144</v>
      </c>
      <c r="AB1071" s="804"/>
      <c r="AC1071" s="811" t="str">
        <f t="shared" ca="1" si="860"/>
        <v>-----</v>
      </c>
      <c r="AD1071" s="798"/>
      <c r="AE1071" s="794" t="str">
        <f t="shared" ca="1" si="861"/>
        <v>-</v>
      </c>
      <c r="AF1071" s="798">
        <f t="shared" si="862"/>
        <v>43025</v>
      </c>
      <c r="AG1071" s="812">
        <f t="shared" ca="1" si="863"/>
        <v>109</v>
      </c>
      <c r="AH1071" s="807"/>
      <c r="AI1071" s="807" t="str">
        <f t="shared" si="864"/>
        <v>-</v>
      </c>
      <c r="AJ1071" s="807" t="str">
        <f t="shared" si="865"/>
        <v>-</v>
      </c>
      <c r="AK1071" s="813"/>
      <c r="AL1071" s="807" t="str">
        <f t="shared" si="866"/>
        <v>-</v>
      </c>
      <c r="AM1071" s="807" t="str">
        <f t="shared" si="867"/>
        <v>-</v>
      </c>
      <c r="AN1071" s="814" t="str">
        <f t="shared" ca="1" si="868"/>
        <v>-</v>
      </c>
      <c r="AO1071" s="815">
        <v>1</v>
      </c>
      <c r="AP1071" s="816" t="str">
        <f t="shared" ca="1" si="869"/>
        <v>-</v>
      </c>
      <c r="AQ1071" s="817"/>
      <c r="AR1071" s="794" t="str">
        <f t="shared" si="870"/>
        <v>-</v>
      </c>
      <c r="AS1071" s="818"/>
      <c r="AT1071" s="794" t="str">
        <f t="shared" si="871"/>
        <v>-</v>
      </c>
      <c r="AU1071" s="819"/>
      <c r="AV1071" s="820"/>
      <c r="AW1071" s="821"/>
      <c r="AX1071" s="821"/>
      <c r="AY1071" s="969" t="str">
        <f t="shared" si="872"/>
        <v>-</v>
      </c>
      <c r="AZ1071" s="966" t="str">
        <f t="shared" si="873"/>
        <v>-</v>
      </c>
      <c r="BA1071" s="971" t="str">
        <f t="shared" si="874"/>
        <v>-</v>
      </c>
      <c r="BB1071" s="975"/>
      <c r="BC1071" s="821"/>
      <c r="BD1071" s="821"/>
      <c r="BE1071" s="963" t="str">
        <f t="shared" si="875"/>
        <v>-</v>
      </c>
      <c r="BF1071" s="984"/>
      <c r="BG1071" s="988"/>
      <c r="BH1071" s="982"/>
      <c r="BI1071" s="991"/>
      <c r="BJ1071" s="991"/>
      <c r="BK1071" s="993" t="str">
        <f t="shared" si="876"/>
        <v>-</v>
      </c>
      <c r="BL1071" s="820">
        <v>42977</v>
      </c>
      <c r="BM1071" s="821">
        <v>5</v>
      </c>
      <c r="BN1071" s="822">
        <f t="shared" ca="1" si="877"/>
        <v>157</v>
      </c>
      <c r="BO1071" s="823">
        <f t="shared" si="878"/>
        <v>14.266666666666667</v>
      </c>
      <c r="BP1071" s="824"/>
      <c r="BQ1071" s="821"/>
      <c r="BR1071" s="822" t="str">
        <f t="shared" si="879"/>
        <v>-</v>
      </c>
      <c r="BS1071" s="823" t="str">
        <f t="shared" si="880"/>
        <v>-</v>
      </c>
      <c r="BT1071" s="825" t="str">
        <f t="shared" ca="1" si="881"/>
        <v>-</v>
      </c>
      <c r="BU1071" s="826"/>
      <c r="BV1071" s="827"/>
      <c r="BW1071" s="828" t="str">
        <f t="shared" si="882"/>
        <v>Ж-Е НЕ ВАКЦ.</v>
      </c>
      <c r="BX1071" s="829" t="str">
        <f t="shared" si="883"/>
        <v>-</v>
      </c>
      <c r="BY1071" s="830" t="str">
        <f t="shared" ca="1" si="884"/>
        <v>-</v>
      </c>
      <c r="BZ1071" s="831">
        <v>42892</v>
      </c>
      <c r="CA1071" s="832">
        <v>5</v>
      </c>
      <c r="CB1071" s="833">
        <f t="shared" ca="1" si="885"/>
        <v>242</v>
      </c>
      <c r="CC1071" s="834" t="str">
        <f t="shared" ca="1" si="886"/>
        <v>-</v>
      </c>
      <c r="CD1071" s="835">
        <f t="shared" si="887"/>
        <v>42913</v>
      </c>
      <c r="CE1071" s="831">
        <v>42913</v>
      </c>
      <c r="CF1071" s="832">
        <v>5</v>
      </c>
      <c r="CG1071" s="833">
        <f t="shared" ca="1" si="888"/>
        <v>221</v>
      </c>
      <c r="CH1071" s="836">
        <f t="shared" si="889"/>
        <v>0</v>
      </c>
      <c r="CI1071" s="837" t="str">
        <f t="shared" si="890"/>
        <v>УСПЕШНО</v>
      </c>
      <c r="CJ1071" s="838" t="str">
        <f t="shared" ca="1" si="891"/>
        <v>-</v>
      </c>
      <c r="CK1071" s="831"/>
      <c r="CL1071" s="832"/>
      <c r="CM1071" s="833" t="str">
        <f t="shared" si="892"/>
        <v>-</v>
      </c>
      <c r="CN1071" s="834" t="str">
        <f t="shared" si="893"/>
        <v>-</v>
      </c>
      <c r="CO1071" s="830" t="str">
        <f t="shared" ca="1" si="894"/>
        <v>-</v>
      </c>
      <c r="CP1071" s="839"/>
      <c r="CQ1071" s="832"/>
      <c r="CR1071" s="833" t="str">
        <f t="shared" si="895"/>
        <v>-</v>
      </c>
      <c r="CS1071" s="833" t="str">
        <f t="shared" si="896"/>
        <v>-</v>
      </c>
      <c r="CT1071" s="834" t="str">
        <f t="shared" si="897"/>
        <v>-</v>
      </c>
      <c r="CU1071" s="835" t="str">
        <f t="shared" si="898"/>
        <v>-</v>
      </c>
      <c r="CV1071" s="839"/>
      <c r="CW1071" s="832"/>
      <c r="CX1071" s="833" t="str">
        <f t="shared" si="899"/>
        <v>-</v>
      </c>
      <c r="CY1071" s="840" t="str">
        <f t="shared" si="900"/>
        <v>-</v>
      </c>
      <c r="CZ1071" s="833" t="str">
        <f t="shared" si="901"/>
        <v>-</v>
      </c>
      <c r="DA1071" s="838" t="str">
        <f t="shared" ca="1" si="902"/>
        <v>-</v>
      </c>
      <c r="DB1071" s="841"/>
      <c r="DC1071" s="832"/>
    </row>
    <row r="1072" spans="1:107" x14ac:dyDescent="0.25">
      <c r="A1072" s="790">
        <v>1076</v>
      </c>
      <c r="B1072" s="791">
        <f t="shared" ca="1" si="851"/>
        <v>43134</v>
      </c>
      <c r="C1072" s="792" t="s">
        <v>2584</v>
      </c>
      <c r="D1072" s="793" t="s">
        <v>2582</v>
      </c>
      <c r="E1072" s="794" t="s">
        <v>1563</v>
      </c>
      <c r="F1072" s="795" t="s">
        <v>1639</v>
      </c>
      <c r="G1072" s="845"/>
      <c r="H1072" s="797" t="s">
        <v>603</v>
      </c>
      <c r="I1072" s="798">
        <v>42554</v>
      </c>
      <c r="J1072" s="799">
        <f t="shared" ca="1" si="852"/>
        <v>1.5890410958904109</v>
      </c>
      <c r="K1072" s="799">
        <f t="shared" ca="1" si="853"/>
        <v>19.333333333333332</v>
      </c>
      <c r="L1072" s="800">
        <f t="shared" ca="1" si="854"/>
        <v>580</v>
      </c>
      <c r="M1072" s="801"/>
      <c r="N1072" s="802"/>
      <c r="O1072" s="803" t="str">
        <f t="shared" ca="1" si="855"/>
        <v>-</v>
      </c>
      <c r="P1072" s="804"/>
      <c r="Q1072" s="68" t="s">
        <v>1451</v>
      </c>
      <c r="R1072" s="118" t="s">
        <v>2967</v>
      </c>
      <c r="S1072" s="807">
        <v>43026</v>
      </c>
      <c r="T1072" s="798">
        <v>43049</v>
      </c>
      <c r="U1072" s="798">
        <f t="shared" si="856"/>
        <v>43067</v>
      </c>
      <c r="V1072" s="804">
        <f t="shared" ca="1" si="857"/>
        <v>67</v>
      </c>
      <c r="W1072" s="808">
        <v>2</v>
      </c>
      <c r="X1072" s="794" t="str">
        <f t="shared" si="850"/>
        <v>-</v>
      </c>
      <c r="Y1072" s="794">
        <v>3</v>
      </c>
      <c r="Z1072" s="809" t="str">
        <f t="shared" ca="1" si="858"/>
        <v>-----</v>
      </c>
      <c r="AA1072" s="810">
        <f t="shared" ca="1" si="859"/>
        <v>85</v>
      </c>
      <c r="AB1072" s="804"/>
      <c r="AC1072" s="811" t="str">
        <f t="shared" ca="1" si="860"/>
        <v>-----</v>
      </c>
      <c r="AD1072" s="798"/>
      <c r="AE1072" s="794" t="str">
        <f t="shared" ca="1" si="861"/>
        <v>-</v>
      </c>
      <c r="AF1072" s="798">
        <f t="shared" si="862"/>
        <v>43084</v>
      </c>
      <c r="AG1072" s="812">
        <f t="shared" ca="1" si="863"/>
        <v>50</v>
      </c>
      <c r="AH1072" s="807"/>
      <c r="AI1072" s="807" t="str">
        <f t="shared" si="864"/>
        <v>-</v>
      </c>
      <c r="AJ1072" s="807" t="str">
        <f t="shared" si="865"/>
        <v>-</v>
      </c>
      <c r="AK1072" s="813"/>
      <c r="AL1072" s="807" t="str">
        <f t="shared" si="866"/>
        <v>-</v>
      </c>
      <c r="AM1072" s="807" t="str">
        <f t="shared" si="867"/>
        <v>-</v>
      </c>
      <c r="AN1072" s="814" t="str">
        <f t="shared" ca="1" si="868"/>
        <v>-</v>
      </c>
      <c r="AO1072" s="815">
        <v>1</v>
      </c>
      <c r="AP1072" s="816" t="str">
        <f t="shared" ca="1" si="869"/>
        <v>-</v>
      </c>
      <c r="AQ1072" s="817"/>
      <c r="AR1072" s="794" t="str">
        <f t="shared" si="870"/>
        <v>-</v>
      </c>
      <c r="AS1072" s="818"/>
      <c r="AT1072" s="794" t="str">
        <f t="shared" si="871"/>
        <v>-</v>
      </c>
      <c r="AU1072" s="819"/>
      <c r="AV1072" s="820"/>
      <c r="AW1072" s="821"/>
      <c r="AX1072" s="821"/>
      <c r="AY1072" s="969" t="str">
        <f t="shared" si="872"/>
        <v>-</v>
      </c>
      <c r="AZ1072" s="966" t="str">
        <f t="shared" si="873"/>
        <v>-</v>
      </c>
      <c r="BA1072" s="971" t="str">
        <f t="shared" si="874"/>
        <v>-</v>
      </c>
      <c r="BB1072" s="975"/>
      <c r="BC1072" s="821"/>
      <c r="BD1072" s="821"/>
      <c r="BE1072" s="963" t="str">
        <f t="shared" si="875"/>
        <v>-</v>
      </c>
      <c r="BF1072" s="984"/>
      <c r="BG1072" s="988"/>
      <c r="BH1072" s="982"/>
      <c r="BI1072" s="991"/>
      <c r="BJ1072" s="991"/>
      <c r="BK1072" s="993" t="str">
        <f t="shared" si="876"/>
        <v>-</v>
      </c>
      <c r="BL1072" s="820">
        <v>42977</v>
      </c>
      <c r="BM1072" s="821">
        <v>5</v>
      </c>
      <c r="BN1072" s="822">
        <f t="shared" ca="1" si="877"/>
        <v>157</v>
      </c>
      <c r="BO1072" s="823">
        <f t="shared" si="878"/>
        <v>14.1</v>
      </c>
      <c r="BP1072" s="824"/>
      <c r="BQ1072" s="821"/>
      <c r="BR1072" s="822" t="str">
        <f t="shared" si="879"/>
        <v>-</v>
      </c>
      <c r="BS1072" s="823" t="str">
        <f t="shared" si="880"/>
        <v>-</v>
      </c>
      <c r="BT1072" s="825" t="str">
        <f t="shared" ca="1" si="881"/>
        <v>-</v>
      </c>
      <c r="BU1072" s="826"/>
      <c r="BV1072" s="827"/>
      <c r="BW1072" s="828" t="str">
        <f t="shared" si="882"/>
        <v>Ж-Е НЕ ВАКЦ.</v>
      </c>
      <c r="BX1072" s="829" t="str">
        <f t="shared" si="883"/>
        <v>-</v>
      </c>
      <c r="BY1072" s="830" t="str">
        <f t="shared" ca="1" si="884"/>
        <v>-</v>
      </c>
      <c r="BZ1072" s="831">
        <v>42892</v>
      </c>
      <c r="CA1072" s="832">
        <v>5</v>
      </c>
      <c r="CB1072" s="833">
        <f t="shared" ca="1" si="885"/>
        <v>242</v>
      </c>
      <c r="CC1072" s="834" t="str">
        <f t="shared" ca="1" si="886"/>
        <v>-</v>
      </c>
      <c r="CD1072" s="835">
        <f t="shared" si="887"/>
        <v>42913</v>
      </c>
      <c r="CE1072" s="831">
        <v>42913</v>
      </c>
      <c r="CF1072" s="832">
        <v>5</v>
      </c>
      <c r="CG1072" s="833">
        <f t="shared" ca="1" si="888"/>
        <v>221</v>
      </c>
      <c r="CH1072" s="836">
        <f t="shared" si="889"/>
        <v>0</v>
      </c>
      <c r="CI1072" s="837" t="str">
        <f t="shared" si="890"/>
        <v>УСПЕШНО</v>
      </c>
      <c r="CJ1072" s="838" t="str">
        <f t="shared" ca="1" si="891"/>
        <v>-</v>
      </c>
      <c r="CK1072" s="831"/>
      <c r="CL1072" s="832"/>
      <c r="CM1072" s="833" t="str">
        <f t="shared" si="892"/>
        <v>-</v>
      </c>
      <c r="CN1072" s="834" t="str">
        <f t="shared" si="893"/>
        <v>-</v>
      </c>
      <c r="CO1072" s="830" t="str">
        <f t="shared" ca="1" si="894"/>
        <v>-</v>
      </c>
      <c r="CP1072" s="839"/>
      <c r="CQ1072" s="832"/>
      <c r="CR1072" s="833" t="str">
        <f t="shared" si="895"/>
        <v>-</v>
      </c>
      <c r="CS1072" s="833" t="str">
        <f t="shared" si="896"/>
        <v>-</v>
      </c>
      <c r="CT1072" s="834" t="str">
        <f t="shared" si="897"/>
        <v>-</v>
      </c>
      <c r="CU1072" s="835" t="str">
        <f t="shared" si="898"/>
        <v>-</v>
      </c>
      <c r="CV1072" s="839"/>
      <c r="CW1072" s="832"/>
      <c r="CX1072" s="833" t="str">
        <f t="shared" si="899"/>
        <v>-</v>
      </c>
      <c r="CY1072" s="840" t="str">
        <f t="shared" si="900"/>
        <v>-</v>
      </c>
      <c r="CZ1072" s="833" t="str">
        <f t="shared" si="901"/>
        <v>-</v>
      </c>
      <c r="DA1072" s="838" t="str">
        <f t="shared" ca="1" si="902"/>
        <v>-</v>
      </c>
      <c r="DB1072" s="841"/>
      <c r="DC1072" s="832"/>
    </row>
    <row r="1073" spans="1:107" x14ac:dyDescent="0.25">
      <c r="A1073" s="790">
        <v>1077</v>
      </c>
      <c r="B1073" s="791">
        <f t="shared" ca="1" si="851"/>
        <v>43134</v>
      </c>
      <c r="C1073" s="847" t="s">
        <v>2584</v>
      </c>
      <c r="D1073" s="870" t="s">
        <v>2582</v>
      </c>
      <c r="E1073" s="794" t="s">
        <v>1563</v>
      </c>
      <c r="F1073" s="795" t="s">
        <v>1642</v>
      </c>
      <c r="G1073" s="845"/>
      <c r="H1073" s="797" t="s">
        <v>603</v>
      </c>
      <c r="I1073" s="798">
        <v>42556</v>
      </c>
      <c r="J1073" s="799">
        <f t="shared" ca="1" si="852"/>
        <v>1.5835616438356164</v>
      </c>
      <c r="K1073" s="799">
        <f t="shared" ca="1" si="853"/>
        <v>19.266666666666666</v>
      </c>
      <c r="L1073" s="800">
        <f t="shared" ca="1" si="854"/>
        <v>578</v>
      </c>
      <c r="M1073" s="801"/>
      <c r="N1073" s="802"/>
      <c r="O1073" s="803" t="str">
        <f t="shared" ca="1" si="855"/>
        <v>-</v>
      </c>
      <c r="P1073" s="804"/>
      <c r="Q1073" s="805" t="s">
        <v>1451</v>
      </c>
      <c r="R1073" s="806" t="s">
        <v>2967</v>
      </c>
      <c r="S1073" s="807">
        <v>42944</v>
      </c>
      <c r="T1073" s="798">
        <v>43008</v>
      </c>
      <c r="U1073" s="798">
        <f t="shared" si="856"/>
        <v>43026</v>
      </c>
      <c r="V1073" s="804">
        <f t="shared" ca="1" si="857"/>
        <v>108</v>
      </c>
      <c r="W1073" s="808">
        <v>3</v>
      </c>
      <c r="X1073" s="794" t="str">
        <f t="shared" si="850"/>
        <v>-</v>
      </c>
      <c r="Y1073" s="794">
        <v>3</v>
      </c>
      <c r="Z1073" s="809" t="str">
        <f t="shared" ca="1" si="858"/>
        <v>-----</v>
      </c>
      <c r="AA1073" s="810">
        <f t="shared" ca="1" si="859"/>
        <v>126</v>
      </c>
      <c r="AB1073" s="804"/>
      <c r="AC1073" s="811" t="str">
        <f t="shared" ca="1" si="860"/>
        <v>-----</v>
      </c>
      <c r="AD1073" s="798"/>
      <c r="AE1073" s="794" t="str">
        <f t="shared" ca="1" si="861"/>
        <v>-</v>
      </c>
      <c r="AF1073" s="798">
        <f t="shared" si="862"/>
        <v>43043</v>
      </c>
      <c r="AG1073" s="812">
        <f t="shared" ca="1" si="863"/>
        <v>91</v>
      </c>
      <c r="AH1073" s="807"/>
      <c r="AI1073" s="807" t="str">
        <f t="shared" si="864"/>
        <v>-</v>
      </c>
      <c r="AJ1073" s="807" t="str">
        <f t="shared" si="865"/>
        <v>-</v>
      </c>
      <c r="AK1073" s="813"/>
      <c r="AL1073" s="807" t="str">
        <f t="shared" si="866"/>
        <v>-</v>
      </c>
      <c r="AM1073" s="807" t="str">
        <f t="shared" si="867"/>
        <v>-</v>
      </c>
      <c r="AN1073" s="814" t="str">
        <f t="shared" ca="1" si="868"/>
        <v>-</v>
      </c>
      <c r="AO1073" s="815">
        <v>1</v>
      </c>
      <c r="AP1073" s="816" t="str">
        <f t="shared" ca="1" si="869"/>
        <v>-</v>
      </c>
      <c r="AQ1073" s="817"/>
      <c r="AR1073" s="794" t="str">
        <f t="shared" si="870"/>
        <v>-</v>
      </c>
      <c r="AS1073" s="818"/>
      <c r="AT1073" s="794" t="str">
        <f t="shared" si="871"/>
        <v>-</v>
      </c>
      <c r="AU1073" s="819"/>
      <c r="AV1073" s="820"/>
      <c r="AW1073" s="821"/>
      <c r="AX1073" s="821"/>
      <c r="AY1073" s="969" t="str">
        <f t="shared" si="872"/>
        <v>-</v>
      </c>
      <c r="AZ1073" s="966" t="str">
        <f t="shared" si="873"/>
        <v>-</v>
      </c>
      <c r="BA1073" s="971" t="str">
        <f t="shared" si="874"/>
        <v>-</v>
      </c>
      <c r="BB1073" s="975"/>
      <c r="BC1073" s="821"/>
      <c r="BD1073" s="821"/>
      <c r="BE1073" s="963" t="str">
        <f t="shared" si="875"/>
        <v>-</v>
      </c>
      <c r="BF1073" s="984"/>
      <c r="BG1073" s="988"/>
      <c r="BH1073" s="982"/>
      <c r="BI1073" s="991"/>
      <c r="BJ1073" s="991"/>
      <c r="BK1073" s="993" t="str">
        <f t="shared" si="876"/>
        <v>-</v>
      </c>
      <c r="BL1073" s="820">
        <v>42977</v>
      </c>
      <c r="BM1073" s="821">
        <v>5</v>
      </c>
      <c r="BN1073" s="822">
        <f t="shared" ca="1" si="877"/>
        <v>157</v>
      </c>
      <c r="BO1073" s="823">
        <f t="shared" si="878"/>
        <v>14.033333333333333</v>
      </c>
      <c r="BP1073" s="824"/>
      <c r="BQ1073" s="821"/>
      <c r="BR1073" s="822" t="str">
        <f t="shared" si="879"/>
        <v>-</v>
      </c>
      <c r="BS1073" s="823" t="str">
        <f t="shared" si="880"/>
        <v>-</v>
      </c>
      <c r="BT1073" s="825" t="str">
        <f t="shared" ca="1" si="881"/>
        <v>-</v>
      </c>
      <c r="BU1073" s="826"/>
      <c r="BV1073" s="827"/>
      <c r="BW1073" s="828" t="str">
        <f t="shared" si="882"/>
        <v>Ж-Е НЕ ВАКЦ.</v>
      </c>
      <c r="BX1073" s="829" t="str">
        <f t="shared" si="883"/>
        <v>-</v>
      </c>
      <c r="BY1073" s="830" t="str">
        <f t="shared" ca="1" si="884"/>
        <v>-</v>
      </c>
      <c r="BZ1073" s="831">
        <v>42892</v>
      </c>
      <c r="CA1073" s="832">
        <v>5</v>
      </c>
      <c r="CB1073" s="833">
        <f t="shared" ca="1" si="885"/>
        <v>242</v>
      </c>
      <c r="CC1073" s="834" t="str">
        <f t="shared" ca="1" si="886"/>
        <v>ТРЕБУЕТСЯ БУСТЕРНАЯ ДОЗА</v>
      </c>
      <c r="CD1073" s="835">
        <f t="shared" si="887"/>
        <v>42913</v>
      </c>
      <c r="CE1073" s="839" t="s">
        <v>2886</v>
      </c>
      <c r="CF1073" s="832"/>
      <c r="CG1073" s="833" t="str">
        <f t="shared" si="888"/>
        <v>-</v>
      </c>
      <c r="CH1073" s="836" t="str">
        <f t="shared" si="889"/>
        <v>-</v>
      </c>
      <c r="CI1073" s="837" t="str">
        <f t="shared" si="890"/>
        <v>-</v>
      </c>
      <c r="CJ1073" s="838" t="str">
        <f t="shared" si="891"/>
        <v>-</v>
      </c>
      <c r="CK1073" s="831"/>
      <c r="CL1073" s="832"/>
      <c r="CM1073" s="833" t="str">
        <f t="shared" si="892"/>
        <v>-</v>
      </c>
      <c r="CN1073" s="834" t="str">
        <f t="shared" si="893"/>
        <v>-</v>
      </c>
      <c r="CO1073" s="830" t="str">
        <f t="shared" ca="1" si="894"/>
        <v>-</v>
      </c>
      <c r="CP1073" s="839"/>
      <c r="CQ1073" s="832"/>
      <c r="CR1073" s="833" t="str">
        <f t="shared" si="895"/>
        <v>-</v>
      </c>
      <c r="CS1073" s="833" t="str">
        <f t="shared" si="896"/>
        <v>-</v>
      </c>
      <c r="CT1073" s="834" t="str">
        <f t="shared" si="897"/>
        <v>-</v>
      </c>
      <c r="CU1073" s="835" t="str">
        <f t="shared" si="898"/>
        <v>-</v>
      </c>
      <c r="CV1073" s="839"/>
      <c r="CW1073" s="832"/>
      <c r="CX1073" s="833" t="str">
        <f t="shared" si="899"/>
        <v>-</v>
      </c>
      <c r="CY1073" s="840" t="str">
        <f t="shared" si="900"/>
        <v>-</v>
      </c>
      <c r="CZ1073" s="833" t="str">
        <f t="shared" si="901"/>
        <v>-</v>
      </c>
      <c r="DA1073" s="838" t="str">
        <f t="shared" ca="1" si="902"/>
        <v>-</v>
      </c>
      <c r="DB1073" s="841"/>
      <c r="DC1073" s="832"/>
    </row>
    <row r="1074" spans="1:107" x14ac:dyDescent="0.25">
      <c r="A1074" s="790">
        <v>1078</v>
      </c>
      <c r="B1074" s="791">
        <f t="shared" ca="1" si="851"/>
        <v>43134</v>
      </c>
      <c r="C1074" s="792" t="s">
        <v>2584</v>
      </c>
      <c r="D1074" s="793" t="s">
        <v>2582</v>
      </c>
      <c r="E1074" s="794" t="s">
        <v>1563</v>
      </c>
      <c r="F1074" s="795" t="s">
        <v>1564</v>
      </c>
      <c r="G1074" s="845"/>
      <c r="H1074" s="797" t="s">
        <v>603</v>
      </c>
      <c r="I1074" s="798">
        <v>42559</v>
      </c>
      <c r="J1074" s="799">
        <f t="shared" ca="1" si="852"/>
        <v>1.5753424657534247</v>
      </c>
      <c r="K1074" s="799">
        <f t="shared" ca="1" si="853"/>
        <v>19.166666666666668</v>
      </c>
      <c r="L1074" s="800">
        <f t="shared" ca="1" si="854"/>
        <v>575</v>
      </c>
      <c r="M1074" s="801"/>
      <c r="N1074" s="802"/>
      <c r="O1074" s="803" t="str">
        <f t="shared" ca="1" si="855"/>
        <v>-</v>
      </c>
      <c r="P1074" s="804"/>
      <c r="Q1074" s="805" t="s">
        <v>2366</v>
      </c>
      <c r="R1074" s="806" t="s">
        <v>2909</v>
      </c>
      <c r="S1074" s="807">
        <v>42930</v>
      </c>
      <c r="T1074" s="798">
        <v>43006</v>
      </c>
      <c r="U1074" s="798">
        <f t="shared" si="856"/>
        <v>43024</v>
      </c>
      <c r="V1074" s="804">
        <f t="shared" ca="1" si="857"/>
        <v>110</v>
      </c>
      <c r="W1074" s="808">
        <v>2</v>
      </c>
      <c r="X1074" s="794" t="str">
        <f t="shared" si="850"/>
        <v>-</v>
      </c>
      <c r="Y1074" s="794">
        <v>3</v>
      </c>
      <c r="Z1074" s="809" t="str">
        <f t="shared" ca="1" si="858"/>
        <v>-----</v>
      </c>
      <c r="AA1074" s="810">
        <f t="shared" ca="1" si="859"/>
        <v>128</v>
      </c>
      <c r="AB1074" s="804"/>
      <c r="AC1074" s="811" t="str">
        <f t="shared" ca="1" si="860"/>
        <v>-----</v>
      </c>
      <c r="AD1074" s="798"/>
      <c r="AE1074" s="794" t="str">
        <f t="shared" ca="1" si="861"/>
        <v>-</v>
      </c>
      <c r="AF1074" s="798">
        <f t="shared" si="862"/>
        <v>43041</v>
      </c>
      <c r="AG1074" s="812">
        <f t="shared" ca="1" si="863"/>
        <v>93</v>
      </c>
      <c r="AH1074" s="807">
        <v>43001</v>
      </c>
      <c r="AI1074" s="807" t="str">
        <f t="shared" si="864"/>
        <v>-</v>
      </c>
      <c r="AJ1074" s="807" t="str">
        <f t="shared" si="865"/>
        <v>-</v>
      </c>
      <c r="AK1074" s="813"/>
      <c r="AL1074" s="807" t="str">
        <f t="shared" si="866"/>
        <v>-</v>
      </c>
      <c r="AM1074" s="807" t="str">
        <f t="shared" si="867"/>
        <v>-</v>
      </c>
      <c r="AN1074" s="814" t="str">
        <f t="shared" ca="1" si="868"/>
        <v>-</v>
      </c>
      <c r="AO1074" s="815">
        <v>1</v>
      </c>
      <c r="AP1074" s="816" t="str">
        <f t="shared" ca="1" si="869"/>
        <v>-</v>
      </c>
      <c r="AQ1074" s="817"/>
      <c r="AR1074" s="794" t="str">
        <f t="shared" si="870"/>
        <v>-</v>
      </c>
      <c r="AS1074" s="818"/>
      <c r="AT1074" s="794" t="str">
        <f t="shared" si="871"/>
        <v>-</v>
      </c>
      <c r="AU1074" s="819"/>
      <c r="AV1074" s="820"/>
      <c r="AW1074" s="821"/>
      <c r="AX1074" s="821"/>
      <c r="AY1074" s="969" t="str">
        <f t="shared" si="872"/>
        <v>-</v>
      </c>
      <c r="AZ1074" s="966" t="str">
        <f t="shared" si="873"/>
        <v>-</v>
      </c>
      <c r="BA1074" s="971" t="str">
        <f t="shared" si="874"/>
        <v>-</v>
      </c>
      <c r="BB1074" s="975"/>
      <c r="BC1074" s="821"/>
      <c r="BD1074" s="821"/>
      <c r="BE1074" s="963" t="str">
        <f t="shared" si="875"/>
        <v>-</v>
      </c>
      <c r="BF1074" s="984"/>
      <c r="BG1074" s="988"/>
      <c r="BH1074" s="982"/>
      <c r="BI1074" s="991"/>
      <c r="BJ1074" s="991"/>
      <c r="BK1074" s="993" t="str">
        <f t="shared" si="876"/>
        <v>-</v>
      </c>
      <c r="BL1074" s="820">
        <v>42977</v>
      </c>
      <c r="BM1074" s="821">
        <v>5</v>
      </c>
      <c r="BN1074" s="822">
        <f t="shared" ca="1" si="877"/>
        <v>157</v>
      </c>
      <c r="BO1074" s="823">
        <f t="shared" si="878"/>
        <v>13.933333333333334</v>
      </c>
      <c r="BP1074" s="824"/>
      <c r="BQ1074" s="821"/>
      <c r="BR1074" s="822" t="str">
        <f t="shared" si="879"/>
        <v>-</v>
      </c>
      <c r="BS1074" s="823" t="str">
        <f t="shared" si="880"/>
        <v>-</v>
      </c>
      <c r="BT1074" s="825" t="str">
        <f t="shared" ca="1" si="881"/>
        <v>-</v>
      </c>
      <c r="BU1074" s="826"/>
      <c r="BV1074" s="827"/>
      <c r="BW1074" s="828" t="str">
        <f t="shared" si="882"/>
        <v>Ж-Е НЕ ВАКЦ.</v>
      </c>
      <c r="BX1074" s="829" t="str">
        <f t="shared" si="883"/>
        <v>-</v>
      </c>
      <c r="BY1074" s="830" t="str">
        <f t="shared" ca="1" si="884"/>
        <v>-</v>
      </c>
      <c r="BZ1074" s="831">
        <v>42891</v>
      </c>
      <c r="CA1074" s="832">
        <v>5</v>
      </c>
      <c r="CB1074" s="833">
        <f t="shared" ca="1" si="885"/>
        <v>243</v>
      </c>
      <c r="CC1074" s="834" t="str">
        <f t="shared" ca="1" si="886"/>
        <v>-</v>
      </c>
      <c r="CD1074" s="835">
        <f t="shared" si="887"/>
        <v>42912</v>
      </c>
      <c r="CE1074" s="831">
        <v>42912</v>
      </c>
      <c r="CF1074" s="832">
        <v>5</v>
      </c>
      <c r="CG1074" s="833">
        <f t="shared" ca="1" si="888"/>
        <v>222</v>
      </c>
      <c r="CH1074" s="836">
        <f t="shared" si="889"/>
        <v>0</v>
      </c>
      <c r="CI1074" s="837" t="str">
        <f t="shared" si="890"/>
        <v>УСПЕШНО</v>
      </c>
      <c r="CJ1074" s="838" t="str">
        <f t="shared" ca="1" si="891"/>
        <v>-</v>
      </c>
      <c r="CK1074" s="831"/>
      <c r="CL1074" s="832"/>
      <c r="CM1074" s="833" t="str">
        <f t="shared" si="892"/>
        <v>-</v>
      </c>
      <c r="CN1074" s="834" t="str">
        <f t="shared" si="893"/>
        <v>-</v>
      </c>
      <c r="CO1074" s="830" t="str">
        <f t="shared" ca="1" si="894"/>
        <v>-</v>
      </c>
      <c r="CP1074" s="839"/>
      <c r="CQ1074" s="832"/>
      <c r="CR1074" s="833" t="str">
        <f t="shared" si="895"/>
        <v>-</v>
      </c>
      <c r="CS1074" s="833" t="str">
        <f t="shared" si="896"/>
        <v>-</v>
      </c>
      <c r="CT1074" s="834" t="str">
        <f t="shared" si="897"/>
        <v>-</v>
      </c>
      <c r="CU1074" s="835" t="str">
        <f t="shared" si="898"/>
        <v>-</v>
      </c>
      <c r="CV1074" s="839"/>
      <c r="CW1074" s="832"/>
      <c r="CX1074" s="833" t="str">
        <f t="shared" si="899"/>
        <v>-</v>
      </c>
      <c r="CY1074" s="840" t="str">
        <f t="shared" si="900"/>
        <v>-</v>
      </c>
      <c r="CZ1074" s="833" t="str">
        <f t="shared" si="901"/>
        <v>-</v>
      </c>
      <c r="DA1074" s="838" t="str">
        <f t="shared" ca="1" si="902"/>
        <v>-</v>
      </c>
      <c r="DB1074" s="841"/>
      <c r="DC1074" s="832"/>
    </row>
    <row r="1075" spans="1:107" x14ac:dyDescent="0.25">
      <c r="A1075" s="790">
        <v>1079</v>
      </c>
      <c r="B1075" s="791">
        <f t="shared" ca="1" si="851"/>
        <v>43134</v>
      </c>
      <c r="C1075" s="29" t="s">
        <v>2584</v>
      </c>
      <c r="D1075" s="793" t="s">
        <v>2582</v>
      </c>
      <c r="E1075" s="794" t="s">
        <v>1563</v>
      </c>
      <c r="F1075" s="795" t="s">
        <v>1583</v>
      </c>
      <c r="G1075" s="845"/>
      <c r="H1075" s="797" t="s">
        <v>603</v>
      </c>
      <c r="I1075" s="798">
        <v>42564</v>
      </c>
      <c r="J1075" s="799">
        <f t="shared" ca="1" si="852"/>
        <v>1.5616438356164384</v>
      </c>
      <c r="K1075" s="799">
        <f t="shared" ca="1" si="853"/>
        <v>19</v>
      </c>
      <c r="L1075" s="800">
        <f t="shared" ca="1" si="854"/>
        <v>570</v>
      </c>
      <c r="M1075" s="801"/>
      <c r="N1075" s="802"/>
      <c r="O1075" s="803" t="str">
        <f t="shared" ca="1" si="855"/>
        <v>-</v>
      </c>
      <c r="P1075" s="804"/>
      <c r="Q1075" s="68" t="s">
        <v>1451</v>
      </c>
      <c r="R1075" s="118" t="s">
        <v>2435</v>
      </c>
      <c r="S1075" s="807">
        <v>43035</v>
      </c>
      <c r="T1075" s="798">
        <v>43035</v>
      </c>
      <c r="U1075" s="798">
        <f t="shared" si="856"/>
        <v>43053</v>
      </c>
      <c r="V1075" s="804">
        <f t="shared" ca="1" si="857"/>
        <v>81</v>
      </c>
      <c r="W1075" s="808">
        <v>1</v>
      </c>
      <c r="X1075" s="794" t="str">
        <f t="shared" si="850"/>
        <v>-</v>
      </c>
      <c r="Y1075" s="794">
        <v>3</v>
      </c>
      <c r="Z1075" s="809" t="str">
        <f t="shared" ca="1" si="858"/>
        <v>-----</v>
      </c>
      <c r="AA1075" s="810">
        <f t="shared" ca="1" si="859"/>
        <v>99</v>
      </c>
      <c r="AB1075" s="804"/>
      <c r="AC1075" s="811" t="str">
        <f t="shared" ca="1" si="860"/>
        <v>-----</v>
      </c>
      <c r="AD1075" s="798"/>
      <c r="AE1075" s="794" t="str">
        <f t="shared" ca="1" si="861"/>
        <v>-</v>
      </c>
      <c r="AF1075" s="798">
        <f t="shared" si="862"/>
        <v>43070</v>
      </c>
      <c r="AG1075" s="812">
        <f t="shared" ca="1" si="863"/>
        <v>64</v>
      </c>
      <c r="AH1075" s="807"/>
      <c r="AI1075" s="807" t="str">
        <f t="shared" si="864"/>
        <v>-</v>
      </c>
      <c r="AJ1075" s="807" t="str">
        <f t="shared" si="865"/>
        <v>-</v>
      </c>
      <c r="AK1075" s="813"/>
      <c r="AL1075" s="807" t="str">
        <f t="shared" si="866"/>
        <v>-</v>
      </c>
      <c r="AM1075" s="807" t="str">
        <f t="shared" si="867"/>
        <v>-</v>
      </c>
      <c r="AN1075" s="814" t="str">
        <f t="shared" ca="1" si="868"/>
        <v>-</v>
      </c>
      <c r="AO1075" s="815">
        <v>1</v>
      </c>
      <c r="AP1075" s="816" t="str">
        <f t="shared" ca="1" si="869"/>
        <v>-</v>
      </c>
      <c r="AQ1075" s="817"/>
      <c r="AR1075" s="794" t="str">
        <f t="shared" si="870"/>
        <v>-</v>
      </c>
      <c r="AS1075" s="818"/>
      <c r="AT1075" s="794" t="str">
        <f t="shared" si="871"/>
        <v>-</v>
      </c>
      <c r="AU1075" s="819"/>
      <c r="AV1075" s="820"/>
      <c r="AW1075" s="821"/>
      <c r="AX1075" s="821"/>
      <c r="AY1075" s="969" t="str">
        <f t="shared" si="872"/>
        <v>-</v>
      </c>
      <c r="AZ1075" s="966" t="str">
        <f t="shared" si="873"/>
        <v>-</v>
      </c>
      <c r="BA1075" s="971" t="str">
        <f t="shared" si="874"/>
        <v>-</v>
      </c>
      <c r="BB1075" s="975"/>
      <c r="BC1075" s="821"/>
      <c r="BD1075" s="821"/>
      <c r="BE1075" s="963" t="str">
        <f t="shared" si="875"/>
        <v>-</v>
      </c>
      <c r="BF1075" s="984"/>
      <c r="BG1075" s="988"/>
      <c r="BH1075" s="982"/>
      <c r="BI1075" s="991"/>
      <c r="BJ1075" s="991"/>
      <c r="BK1075" s="993" t="str">
        <f t="shared" si="876"/>
        <v>-</v>
      </c>
      <c r="BL1075" s="820">
        <v>42977</v>
      </c>
      <c r="BM1075" s="821">
        <v>5</v>
      </c>
      <c r="BN1075" s="822">
        <f t="shared" ca="1" si="877"/>
        <v>157</v>
      </c>
      <c r="BO1075" s="823">
        <f t="shared" si="878"/>
        <v>13.766666666666667</v>
      </c>
      <c r="BP1075" s="824"/>
      <c r="BQ1075" s="821"/>
      <c r="BR1075" s="822" t="str">
        <f t="shared" si="879"/>
        <v>-</v>
      </c>
      <c r="BS1075" s="823" t="str">
        <f t="shared" si="880"/>
        <v>-</v>
      </c>
      <c r="BT1075" s="825" t="str">
        <f t="shared" ca="1" si="881"/>
        <v>-</v>
      </c>
      <c r="BU1075" s="826"/>
      <c r="BV1075" s="827"/>
      <c r="BW1075" s="828" t="str">
        <f t="shared" si="882"/>
        <v>Ж-Е НЕ ВАКЦ.</v>
      </c>
      <c r="BX1075" s="829" t="str">
        <f t="shared" si="883"/>
        <v>-</v>
      </c>
      <c r="BY1075" s="830" t="str">
        <f t="shared" ca="1" si="884"/>
        <v>-</v>
      </c>
      <c r="BZ1075" s="831">
        <v>42892</v>
      </c>
      <c r="CA1075" s="832">
        <v>5</v>
      </c>
      <c r="CB1075" s="833">
        <f t="shared" ca="1" si="885"/>
        <v>242</v>
      </c>
      <c r="CC1075" s="834" t="str">
        <f t="shared" ca="1" si="886"/>
        <v>-</v>
      </c>
      <c r="CD1075" s="835">
        <f t="shared" si="887"/>
        <v>42913</v>
      </c>
      <c r="CE1075" s="831">
        <v>42913</v>
      </c>
      <c r="CF1075" s="832">
        <v>5</v>
      </c>
      <c r="CG1075" s="833">
        <f t="shared" ca="1" si="888"/>
        <v>221</v>
      </c>
      <c r="CH1075" s="836">
        <f t="shared" si="889"/>
        <v>0</v>
      </c>
      <c r="CI1075" s="837" t="str">
        <f t="shared" si="890"/>
        <v>УСПЕШНО</v>
      </c>
      <c r="CJ1075" s="838" t="str">
        <f t="shared" ca="1" si="891"/>
        <v>-</v>
      </c>
      <c r="CK1075" s="831"/>
      <c r="CL1075" s="832"/>
      <c r="CM1075" s="833" t="str">
        <f t="shared" si="892"/>
        <v>-</v>
      </c>
      <c r="CN1075" s="834" t="str">
        <f t="shared" si="893"/>
        <v>-</v>
      </c>
      <c r="CO1075" s="830" t="str">
        <f t="shared" ca="1" si="894"/>
        <v>-</v>
      </c>
      <c r="CP1075" s="839"/>
      <c r="CQ1075" s="832"/>
      <c r="CR1075" s="833" t="str">
        <f t="shared" si="895"/>
        <v>-</v>
      </c>
      <c r="CS1075" s="833" t="str">
        <f t="shared" si="896"/>
        <v>-</v>
      </c>
      <c r="CT1075" s="834" t="str">
        <f t="shared" si="897"/>
        <v>-</v>
      </c>
      <c r="CU1075" s="835" t="str">
        <f t="shared" si="898"/>
        <v>-</v>
      </c>
      <c r="CV1075" s="839"/>
      <c r="CW1075" s="832"/>
      <c r="CX1075" s="833" t="str">
        <f t="shared" si="899"/>
        <v>-</v>
      </c>
      <c r="CY1075" s="840" t="str">
        <f t="shared" si="900"/>
        <v>-</v>
      </c>
      <c r="CZ1075" s="833" t="str">
        <f t="shared" si="901"/>
        <v>-</v>
      </c>
      <c r="DA1075" s="838" t="str">
        <f t="shared" ca="1" si="902"/>
        <v>-</v>
      </c>
      <c r="DB1075" s="841"/>
      <c r="DC1075" s="832"/>
    </row>
    <row r="1076" spans="1:107" x14ac:dyDescent="0.25">
      <c r="A1076" s="790">
        <v>1080</v>
      </c>
      <c r="B1076" s="791">
        <f t="shared" ca="1" si="851"/>
        <v>43134</v>
      </c>
      <c r="C1076" s="792" t="s">
        <v>2584</v>
      </c>
      <c r="D1076" s="793" t="s">
        <v>2582</v>
      </c>
      <c r="E1076" s="794" t="s">
        <v>1563</v>
      </c>
      <c r="F1076" s="795" t="s">
        <v>1585</v>
      </c>
      <c r="G1076" s="845"/>
      <c r="H1076" s="797" t="s">
        <v>603</v>
      </c>
      <c r="I1076" s="798">
        <v>42565</v>
      </c>
      <c r="J1076" s="799">
        <f t="shared" ca="1" si="852"/>
        <v>1.558904109589041</v>
      </c>
      <c r="K1076" s="799">
        <f t="shared" ca="1" si="853"/>
        <v>18.966666666666665</v>
      </c>
      <c r="L1076" s="800">
        <f t="shared" ca="1" si="854"/>
        <v>569</v>
      </c>
      <c r="M1076" s="801"/>
      <c r="N1076" s="802"/>
      <c r="O1076" s="803" t="str">
        <f t="shared" ca="1" si="855"/>
        <v>-</v>
      </c>
      <c r="P1076" s="804"/>
      <c r="Q1076" s="805" t="s">
        <v>2366</v>
      </c>
      <c r="R1076" s="806" t="s">
        <v>2967</v>
      </c>
      <c r="S1076" s="807">
        <v>42927</v>
      </c>
      <c r="T1076" s="798">
        <v>43012</v>
      </c>
      <c r="U1076" s="798">
        <f t="shared" si="856"/>
        <v>43030</v>
      </c>
      <c r="V1076" s="804">
        <f t="shared" ca="1" si="857"/>
        <v>104</v>
      </c>
      <c r="W1076" s="808">
        <v>3</v>
      </c>
      <c r="X1076" s="794" t="str">
        <f t="shared" si="850"/>
        <v>-</v>
      </c>
      <c r="Y1076" s="794">
        <v>3</v>
      </c>
      <c r="Z1076" s="809" t="str">
        <f t="shared" ca="1" si="858"/>
        <v>-----</v>
      </c>
      <c r="AA1076" s="810">
        <f t="shared" ca="1" si="859"/>
        <v>122</v>
      </c>
      <c r="AB1076" s="804"/>
      <c r="AC1076" s="811" t="str">
        <f t="shared" ca="1" si="860"/>
        <v>-----</v>
      </c>
      <c r="AD1076" s="798"/>
      <c r="AE1076" s="794" t="str">
        <f t="shared" ca="1" si="861"/>
        <v>-</v>
      </c>
      <c r="AF1076" s="798">
        <f t="shared" si="862"/>
        <v>43047</v>
      </c>
      <c r="AG1076" s="812">
        <f t="shared" ca="1" si="863"/>
        <v>87</v>
      </c>
      <c r="AH1076" s="807"/>
      <c r="AI1076" s="807" t="str">
        <f t="shared" si="864"/>
        <v>-</v>
      </c>
      <c r="AJ1076" s="807" t="str">
        <f t="shared" si="865"/>
        <v>-</v>
      </c>
      <c r="AK1076" s="813"/>
      <c r="AL1076" s="807" t="str">
        <f t="shared" si="866"/>
        <v>-</v>
      </c>
      <c r="AM1076" s="807" t="str">
        <f t="shared" si="867"/>
        <v>-</v>
      </c>
      <c r="AN1076" s="814" t="str">
        <f t="shared" ca="1" si="868"/>
        <v>-</v>
      </c>
      <c r="AO1076" s="815">
        <v>1</v>
      </c>
      <c r="AP1076" s="816" t="str">
        <f t="shared" ca="1" si="869"/>
        <v>-</v>
      </c>
      <c r="AQ1076" s="817"/>
      <c r="AR1076" s="794" t="str">
        <f t="shared" si="870"/>
        <v>-</v>
      </c>
      <c r="AS1076" s="818"/>
      <c r="AT1076" s="794" t="str">
        <f t="shared" si="871"/>
        <v>-</v>
      </c>
      <c r="AU1076" s="819"/>
      <c r="AV1076" s="820"/>
      <c r="AW1076" s="821"/>
      <c r="AX1076" s="821"/>
      <c r="AY1076" s="969" t="str">
        <f t="shared" si="872"/>
        <v>-</v>
      </c>
      <c r="AZ1076" s="966" t="str">
        <f t="shared" si="873"/>
        <v>-</v>
      </c>
      <c r="BA1076" s="971" t="str">
        <f t="shared" si="874"/>
        <v>-</v>
      </c>
      <c r="BB1076" s="975"/>
      <c r="BC1076" s="821"/>
      <c r="BD1076" s="821"/>
      <c r="BE1076" s="963" t="str">
        <f t="shared" si="875"/>
        <v>-</v>
      </c>
      <c r="BF1076" s="984"/>
      <c r="BG1076" s="988"/>
      <c r="BH1076" s="982"/>
      <c r="BI1076" s="991"/>
      <c r="BJ1076" s="991"/>
      <c r="BK1076" s="993" t="str">
        <f t="shared" si="876"/>
        <v>-</v>
      </c>
      <c r="BL1076" s="820">
        <v>42977</v>
      </c>
      <c r="BM1076" s="821">
        <v>5</v>
      </c>
      <c r="BN1076" s="822">
        <f t="shared" ca="1" si="877"/>
        <v>157</v>
      </c>
      <c r="BO1076" s="823">
        <f t="shared" si="878"/>
        <v>13.733333333333333</v>
      </c>
      <c r="BP1076" s="824"/>
      <c r="BQ1076" s="821"/>
      <c r="BR1076" s="822" t="str">
        <f t="shared" si="879"/>
        <v>-</v>
      </c>
      <c r="BS1076" s="823" t="str">
        <f t="shared" si="880"/>
        <v>-</v>
      </c>
      <c r="BT1076" s="825" t="str">
        <f t="shared" ca="1" si="881"/>
        <v>-</v>
      </c>
      <c r="BU1076" s="826"/>
      <c r="BV1076" s="827"/>
      <c r="BW1076" s="828" t="str">
        <f t="shared" si="882"/>
        <v>Ж-Е НЕ ВАКЦ.</v>
      </c>
      <c r="BX1076" s="829" t="str">
        <f t="shared" si="883"/>
        <v>-</v>
      </c>
      <c r="BY1076" s="830" t="str">
        <f t="shared" ca="1" si="884"/>
        <v>-</v>
      </c>
      <c r="BZ1076" s="831">
        <v>42891</v>
      </c>
      <c r="CA1076" s="832">
        <v>5</v>
      </c>
      <c r="CB1076" s="833">
        <f t="shared" ca="1" si="885"/>
        <v>243</v>
      </c>
      <c r="CC1076" s="834" t="str">
        <f t="shared" ca="1" si="886"/>
        <v>-</v>
      </c>
      <c r="CD1076" s="835">
        <f t="shared" si="887"/>
        <v>42912</v>
      </c>
      <c r="CE1076" s="831">
        <v>42912</v>
      </c>
      <c r="CF1076" s="832">
        <v>5</v>
      </c>
      <c r="CG1076" s="833">
        <f t="shared" ca="1" si="888"/>
        <v>222</v>
      </c>
      <c r="CH1076" s="836">
        <f t="shared" si="889"/>
        <v>0</v>
      </c>
      <c r="CI1076" s="837" t="str">
        <f t="shared" si="890"/>
        <v>УСПЕШНО</v>
      </c>
      <c r="CJ1076" s="838" t="str">
        <f t="shared" ca="1" si="891"/>
        <v>-</v>
      </c>
      <c r="CK1076" s="831"/>
      <c r="CL1076" s="832"/>
      <c r="CM1076" s="833" t="str">
        <f t="shared" si="892"/>
        <v>-</v>
      </c>
      <c r="CN1076" s="834" t="str">
        <f t="shared" si="893"/>
        <v>-</v>
      </c>
      <c r="CO1076" s="830" t="str">
        <f t="shared" ca="1" si="894"/>
        <v>-</v>
      </c>
      <c r="CP1076" s="839"/>
      <c r="CQ1076" s="832"/>
      <c r="CR1076" s="833" t="str">
        <f t="shared" si="895"/>
        <v>-</v>
      </c>
      <c r="CS1076" s="833" t="str">
        <f t="shared" si="896"/>
        <v>-</v>
      </c>
      <c r="CT1076" s="834" t="str">
        <f t="shared" si="897"/>
        <v>-</v>
      </c>
      <c r="CU1076" s="835" t="str">
        <f t="shared" si="898"/>
        <v>-</v>
      </c>
      <c r="CV1076" s="839"/>
      <c r="CW1076" s="832"/>
      <c r="CX1076" s="833" t="str">
        <f t="shared" si="899"/>
        <v>-</v>
      </c>
      <c r="CY1076" s="840" t="str">
        <f t="shared" si="900"/>
        <v>-</v>
      </c>
      <c r="CZ1076" s="833" t="str">
        <f t="shared" si="901"/>
        <v>-</v>
      </c>
      <c r="DA1076" s="838" t="str">
        <f t="shared" ca="1" si="902"/>
        <v>-</v>
      </c>
      <c r="DB1076" s="841"/>
      <c r="DC1076" s="832"/>
    </row>
    <row r="1077" spans="1:107" x14ac:dyDescent="0.25">
      <c r="A1077" s="790">
        <v>1081</v>
      </c>
      <c r="B1077" s="791">
        <f t="shared" ca="1" si="851"/>
        <v>43134</v>
      </c>
      <c r="C1077" s="792" t="s">
        <v>2584</v>
      </c>
      <c r="D1077" s="793" t="s">
        <v>2582</v>
      </c>
      <c r="E1077" s="794" t="s">
        <v>1563</v>
      </c>
      <c r="F1077" s="795" t="s">
        <v>1598</v>
      </c>
      <c r="G1077" s="845"/>
      <c r="H1077" s="797" t="s">
        <v>603</v>
      </c>
      <c r="I1077" s="798">
        <v>42570</v>
      </c>
      <c r="J1077" s="799">
        <f t="shared" ca="1" si="852"/>
        <v>1.5452054794520549</v>
      </c>
      <c r="K1077" s="799">
        <f t="shared" ca="1" si="853"/>
        <v>18.8</v>
      </c>
      <c r="L1077" s="800">
        <f t="shared" ca="1" si="854"/>
        <v>564</v>
      </c>
      <c r="M1077" s="801"/>
      <c r="N1077" s="802"/>
      <c r="O1077" s="803" t="str">
        <f t="shared" ca="1" si="855"/>
        <v>-</v>
      </c>
      <c r="P1077" s="804"/>
      <c r="Q1077" s="805" t="s">
        <v>1451</v>
      </c>
      <c r="R1077" s="806" t="s">
        <v>2967</v>
      </c>
      <c r="S1077" s="807">
        <v>42964</v>
      </c>
      <c r="T1077" s="798">
        <v>43005</v>
      </c>
      <c r="U1077" s="798">
        <f t="shared" si="856"/>
        <v>43023</v>
      </c>
      <c r="V1077" s="804">
        <f t="shared" ca="1" si="857"/>
        <v>111</v>
      </c>
      <c r="W1077" s="808">
        <v>3</v>
      </c>
      <c r="X1077" s="794" t="str">
        <f t="shared" si="850"/>
        <v>-</v>
      </c>
      <c r="Y1077" s="794">
        <v>3</v>
      </c>
      <c r="Z1077" s="809" t="str">
        <f t="shared" ca="1" si="858"/>
        <v>-----</v>
      </c>
      <c r="AA1077" s="810">
        <f t="shared" ca="1" si="859"/>
        <v>129</v>
      </c>
      <c r="AB1077" s="804"/>
      <c r="AC1077" s="811" t="str">
        <f t="shared" ca="1" si="860"/>
        <v>-----</v>
      </c>
      <c r="AD1077" s="798"/>
      <c r="AE1077" s="794" t="str">
        <f t="shared" ca="1" si="861"/>
        <v>-</v>
      </c>
      <c r="AF1077" s="798">
        <f t="shared" si="862"/>
        <v>43040</v>
      </c>
      <c r="AG1077" s="812">
        <f t="shared" ca="1" si="863"/>
        <v>94</v>
      </c>
      <c r="AH1077" s="807"/>
      <c r="AI1077" s="807" t="str">
        <f t="shared" si="864"/>
        <v>-</v>
      </c>
      <c r="AJ1077" s="807" t="str">
        <f t="shared" si="865"/>
        <v>-</v>
      </c>
      <c r="AK1077" s="813"/>
      <c r="AL1077" s="807" t="str">
        <f t="shared" si="866"/>
        <v>-</v>
      </c>
      <c r="AM1077" s="807" t="str">
        <f t="shared" si="867"/>
        <v>-</v>
      </c>
      <c r="AN1077" s="814" t="str">
        <f t="shared" ca="1" si="868"/>
        <v>-</v>
      </c>
      <c r="AO1077" s="815">
        <v>1</v>
      </c>
      <c r="AP1077" s="816" t="str">
        <f t="shared" ca="1" si="869"/>
        <v>-</v>
      </c>
      <c r="AQ1077" s="817"/>
      <c r="AR1077" s="794" t="str">
        <f t="shared" si="870"/>
        <v>-</v>
      </c>
      <c r="AS1077" s="818"/>
      <c r="AT1077" s="794" t="str">
        <f t="shared" si="871"/>
        <v>-</v>
      </c>
      <c r="AU1077" s="819"/>
      <c r="AV1077" s="820"/>
      <c r="AW1077" s="821"/>
      <c r="AX1077" s="821"/>
      <c r="AY1077" s="969" t="str">
        <f t="shared" si="872"/>
        <v>-</v>
      </c>
      <c r="AZ1077" s="966" t="str">
        <f t="shared" si="873"/>
        <v>-</v>
      </c>
      <c r="BA1077" s="971" t="str">
        <f t="shared" si="874"/>
        <v>-</v>
      </c>
      <c r="BB1077" s="975"/>
      <c r="BC1077" s="821"/>
      <c r="BD1077" s="821"/>
      <c r="BE1077" s="963" t="str">
        <f t="shared" si="875"/>
        <v>-</v>
      </c>
      <c r="BF1077" s="984"/>
      <c r="BG1077" s="988"/>
      <c r="BH1077" s="982"/>
      <c r="BI1077" s="991"/>
      <c r="BJ1077" s="991"/>
      <c r="BK1077" s="993" t="str">
        <f t="shared" si="876"/>
        <v>-</v>
      </c>
      <c r="BL1077" s="820">
        <v>42977</v>
      </c>
      <c r="BM1077" s="821">
        <v>5</v>
      </c>
      <c r="BN1077" s="822">
        <f t="shared" ca="1" si="877"/>
        <v>157</v>
      </c>
      <c r="BO1077" s="823">
        <f t="shared" si="878"/>
        <v>13.566666666666666</v>
      </c>
      <c r="BP1077" s="824"/>
      <c r="BQ1077" s="821"/>
      <c r="BR1077" s="822" t="str">
        <f t="shared" si="879"/>
        <v>-</v>
      </c>
      <c r="BS1077" s="823" t="str">
        <f t="shared" si="880"/>
        <v>-</v>
      </c>
      <c r="BT1077" s="825" t="str">
        <f t="shared" ca="1" si="881"/>
        <v>-</v>
      </c>
      <c r="BU1077" s="826"/>
      <c r="BV1077" s="827"/>
      <c r="BW1077" s="828" t="str">
        <f t="shared" si="882"/>
        <v>Ж-Е НЕ ВАКЦ.</v>
      </c>
      <c r="BX1077" s="829" t="str">
        <f t="shared" si="883"/>
        <v>-</v>
      </c>
      <c r="BY1077" s="830" t="str">
        <f t="shared" ca="1" si="884"/>
        <v>-</v>
      </c>
      <c r="BZ1077" s="831">
        <v>42892</v>
      </c>
      <c r="CA1077" s="832">
        <v>5</v>
      </c>
      <c r="CB1077" s="833">
        <f t="shared" ca="1" si="885"/>
        <v>242</v>
      </c>
      <c r="CC1077" s="834" t="str">
        <f t="shared" ca="1" si="886"/>
        <v>-</v>
      </c>
      <c r="CD1077" s="835">
        <f t="shared" si="887"/>
        <v>42913</v>
      </c>
      <c r="CE1077" s="831">
        <v>42913</v>
      </c>
      <c r="CF1077" s="832">
        <v>5</v>
      </c>
      <c r="CG1077" s="833">
        <f t="shared" ca="1" si="888"/>
        <v>221</v>
      </c>
      <c r="CH1077" s="836">
        <f t="shared" si="889"/>
        <v>0</v>
      </c>
      <c r="CI1077" s="837" t="str">
        <f t="shared" si="890"/>
        <v>УСПЕШНО</v>
      </c>
      <c r="CJ1077" s="838" t="str">
        <f t="shared" ca="1" si="891"/>
        <v>-</v>
      </c>
      <c r="CK1077" s="831"/>
      <c r="CL1077" s="832"/>
      <c r="CM1077" s="833" t="str">
        <f t="shared" si="892"/>
        <v>-</v>
      </c>
      <c r="CN1077" s="834" t="str">
        <f t="shared" si="893"/>
        <v>-</v>
      </c>
      <c r="CO1077" s="830" t="str">
        <f t="shared" ca="1" si="894"/>
        <v>-</v>
      </c>
      <c r="CP1077" s="839"/>
      <c r="CQ1077" s="832"/>
      <c r="CR1077" s="833" t="str">
        <f t="shared" si="895"/>
        <v>-</v>
      </c>
      <c r="CS1077" s="833" t="str">
        <f t="shared" si="896"/>
        <v>-</v>
      </c>
      <c r="CT1077" s="834" t="str">
        <f t="shared" si="897"/>
        <v>-</v>
      </c>
      <c r="CU1077" s="835" t="str">
        <f t="shared" si="898"/>
        <v>-</v>
      </c>
      <c r="CV1077" s="839"/>
      <c r="CW1077" s="832"/>
      <c r="CX1077" s="833" t="str">
        <f t="shared" si="899"/>
        <v>-</v>
      </c>
      <c r="CY1077" s="840" t="str">
        <f t="shared" si="900"/>
        <v>-</v>
      </c>
      <c r="CZ1077" s="833" t="str">
        <f t="shared" si="901"/>
        <v>-</v>
      </c>
      <c r="DA1077" s="838" t="str">
        <f t="shared" ca="1" si="902"/>
        <v>-</v>
      </c>
      <c r="DB1077" s="841"/>
      <c r="DC1077" s="832"/>
    </row>
    <row r="1078" spans="1:107" x14ac:dyDescent="0.25">
      <c r="A1078" s="790">
        <v>1082</v>
      </c>
      <c r="B1078" s="791">
        <f t="shared" ca="1" si="851"/>
        <v>43134</v>
      </c>
      <c r="C1078" s="792" t="s">
        <v>2584</v>
      </c>
      <c r="D1078" s="793" t="s">
        <v>2582</v>
      </c>
      <c r="E1078" s="794" t="s">
        <v>1563</v>
      </c>
      <c r="F1078" s="795" t="s">
        <v>1616</v>
      </c>
      <c r="G1078" s="845"/>
      <c r="H1078" s="797" t="s">
        <v>603</v>
      </c>
      <c r="I1078" s="798">
        <v>42573</v>
      </c>
      <c r="J1078" s="799">
        <f t="shared" ca="1" si="852"/>
        <v>1.536986301369863</v>
      </c>
      <c r="K1078" s="799">
        <f t="shared" ca="1" si="853"/>
        <v>18.7</v>
      </c>
      <c r="L1078" s="800">
        <f t="shared" ca="1" si="854"/>
        <v>561</v>
      </c>
      <c r="M1078" s="801"/>
      <c r="N1078" s="802"/>
      <c r="O1078" s="803" t="str">
        <f t="shared" ca="1" si="855"/>
        <v>-</v>
      </c>
      <c r="P1078" s="804"/>
      <c r="Q1078" s="805" t="s">
        <v>2366</v>
      </c>
      <c r="R1078" s="806" t="s">
        <v>2435</v>
      </c>
      <c r="S1078" s="807">
        <v>42993</v>
      </c>
      <c r="T1078" s="798">
        <v>42993</v>
      </c>
      <c r="U1078" s="798">
        <f t="shared" si="856"/>
        <v>43011</v>
      </c>
      <c r="V1078" s="804">
        <f t="shared" ca="1" si="857"/>
        <v>123</v>
      </c>
      <c r="W1078" s="808">
        <v>1</v>
      </c>
      <c r="X1078" s="794" t="str">
        <f t="shared" ref="X1078:X1135" si="903">IF(AND(N1078&gt;0,T1078&gt;0),T1078-N1078,"-")</f>
        <v>-</v>
      </c>
      <c r="Y1078" s="794">
        <v>3</v>
      </c>
      <c r="Z1078" s="809" t="str">
        <f t="shared" ca="1" si="858"/>
        <v>-----</v>
      </c>
      <c r="AA1078" s="810">
        <f t="shared" ca="1" si="859"/>
        <v>141</v>
      </c>
      <c r="AB1078" s="804"/>
      <c r="AC1078" s="811" t="str">
        <f t="shared" ca="1" si="860"/>
        <v>-----</v>
      </c>
      <c r="AD1078" s="798"/>
      <c r="AE1078" s="794" t="str">
        <f t="shared" ca="1" si="861"/>
        <v>-</v>
      </c>
      <c r="AF1078" s="798">
        <f t="shared" si="862"/>
        <v>43028</v>
      </c>
      <c r="AG1078" s="812">
        <f t="shared" ca="1" si="863"/>
        <v>106</v>
      </c>
      <c r="AH1078" s="807"/>
      <c r="AI1078" s="807" t="str">
        <f t="shared" si="864"/>
        <v>-</v>
      </c>
      <c r="AJ1078" s="807" t="str">
        <f t="shared" si="865"/>
        <v>-</v>
      </c>
      <c r="AK1078" s="813"/>
      <c r="AL1078" s="807" t="str">
        <f t="shared" si="866"/>
        <v>-</v>
      </c>
      <c r="AM1078" s="807" t="str">
        <f t="shared" si="867"/>
        <v>-</v>
      </c>
      <c r="AN1078" s="814" t="str">
        <f t="shared" ca="1" si="868"/>
        <v>-</v>
      </c>
      <c r="AO1078" s="815">
        <v>1</v>
      </c>
      <c r="AP1078" s="816" t="str">
        <f t="shared" ca="1" si="869"/>
        <v>-</v>
      </c>
      <c r="AQ1078" s="817"/>
      <c r="AR1078" s="794" t="str">
        <f t="shared" si="870"/>
        <v>-</v>
      </c>
      <c r="AS1078" s="818"/>
      <c r="AT1078" s="794" t="str">
        <f t="shared" si="871"/>
        <v>-</v>
      </c>
      <c r="AU1078" s="819"/>
      <c r="AV1078" s="820"/>
      <c r="AW1078" s="821"/>
      <c r="AX1078" s="821"/>
      <c r="AY1078" s="969" t="str">
        <f t="shared" si="872"/>
        <v>-</v>
      </c>
      <c r="AZ1078" s="966" t="str">
        <f t="shared" si="873"/>
        <v>-</v>
      </c>
      <c r="BA1078" s="971" t="str">
        <f t="shared" si="874"/>
        <v>-</v>
      </c>
      <c r="BB1078" s="975"/>
      <c r="BC1078" s="821"/>
      <c r="BD1078" s="821"/>
      <c r="BE1078" s="963" t="str">
        <f t="shared" si="875"/>
        <v>-</v>
      </c>
      <c r="BF1078" s="984"/>
      <c r="BG1078" s="988"/>
      <c r="BH1078" s="982"/>
      <c r="BI1078" s="991"/>
      <c r="BJ1078" s="991"/>
      <c r="BK1078" s="993" t="str">
        <f t="shared" si="876"/>
        <v>-</v>
      </c>
      <c r="BL1078" s="820">
        <v>42977</v>
      </c>
      <c r="BM1078" s="821">
        <v>5</v>
      </c>
      <c r="BN1078" s="822">
        <f t="shared" ca="1" si="877"/>
        <v>157</v>
      </c>
      <c r="BO1078" s="823">
        <f t="shared" si="878"/>
        <v>13.466666666666667</v>
      </c>
      <c r="BP1078" s="824"/>
      <c r="BQ1078" s="821"/>
      <c r="BR1078" s="822" t="str">
        <f t="shared" si="879"/>
        <v>-</v>
      </c>
      <c r="BS1078" s="823" t="str">
        <f t="shared" si="880"/>
        <v>-</v>
      </c>
      <c r="BT1078" s="825" t="str">
        <f t="shared" ca="1" si="881"/>
        <v>-</v>
      </c>
      <c r="BU1078" s="826"/>
      <c r="BV1078" s="827"/>
      <c r="BW1078" s="828" t="str">
        <f t="shared" si="882"/>
        <v>Ж-Е НЕ ВАКЦ.</v>
      </c>
      <c r="BX1078" s="829" t="str">
        <f t="shared" si="883"/>
        <v>-</v>
      </c>
      <c r="BY1078" s="830" t="str">
        <f t="shared" ca="1" si="884"/>
        <v>-</v>
      </c>
      <c r="BZ1078" s="831">
        <v>42891</v>
      </c>
      <c r="CA1078" s="832">
        <v>5</v>
      </c>
      <c r="CB1078" s="833">
        <f t="shared" ca="1" si="885"/>
        <v>243</v>
      </c>
      <c r="CC1078" s="834" t="str">
        <f t="shared" ca="1" si="886"/>
        <v>-</v>
      </c>
      <c r="CD1078" s="835">
        <f t="shared" si="887"/>
        <v>42912</v>
      </c>
      <c r="CE1078" s="831">
        <v>42912</v>
      </c>
      <c r="CF1078" s="832">
        <v>5</v>
      </c>
      <c r="CG1078" s="833">
        <f t="shared" ca="1" si="888"/>
        <v>222</v>
      </c>
      <c r="CH1078" s="836">
        <f t="shared" si="889"/>
        <v>0</v>
      </c>
      <c r="CI1078" s="837" t="str">
        <f t="shared" si="890"/>
        <v>УСПЕШНО</v>
      </c>
      <c r="CJ1078" s="838" t="str">
        <f t="shared" ca="1" si="891"/>
        <v>-</v>
      </c>
      <c r="CK1078" s="831"/>
      <c r="CL1078" s="832"/>
      <c r="CM1078" s="833" t="str">
        <f t="shared" si="892"/>
        <v>-</v>
      </c>
      <c r="CN1078" s="834" t="str">
        <f t="shared" si="893"/>
        <v>-</v>
      </c>
      <c r="CO1078" s="830" t="str">
        <f t="shared" ca="1" si="894"/>
        <v>-</v>
      </c>
      <c r="CP1078" s="839"/>
      <c r="CQ1078" s="832"/>
      <c r="CR1078" s="833" t="str">
        <f t="shared" si="895"/>
        <v>-</v>
      </c>
      <c r="CS1078" s="833" t="str">
        <f t="shared" si="896"/>
        <v>-</v>
      </c>
      <c r="CT1078" s="834" t="str">
        <f t="shared" si="897"/>
        <v>-</v>
      </c>
      <c r="CU1078" s="835" t="str">
        <f t="shared" si="898"/>
        <v>-</v>
      </c>
      <c r="CV1078" s="839"/>
      <c r="CW1078" s="832"/>
      <c r="CX1078" s="833" t="str">
        <f t="shared" si="899"/>
        <v>-</v>
      </c>
      <c r="CY1078" s="840" t="str">
        <f t="shared" si="900"/>
        <v>-</v>
      </c>
      <c r="CZ1078" s="833" t="str">
        <f t="shared" si="901"/>
        <v>-</v>
      </c>
      <c r="DA1078" s="838" t="str">
        <f t="shared" ca="1" si="902"/>
        <v>-</v>
      </c>
      <c r="DB1078" s="841"/>
      <c r="DC1078" s="832"/>
    </row>
    <row r="1079" spans="1:107" x14ac:dyDescent="0.25">
      <c r="A1079" s="790">
        <v>1083</v>
      </c>
      <c r="B1079" s="791">
        <f t="shared" ca="1" si="851"/>
        <v>43134</v>
      </c>
      <c r="C1079" s="792" t="s">
        <v>2584</v>
      </c>
      <c r="D1079" s="793" t="s">
        <v>2582</v>
      </c>
      <c r="E1079" s="794" t="s">
        <v>1563</v>
      </c>
      <c r="F1079" s="859" t="s">
        <v>1621</v>
      </c>
      <c r="G1079" s="845"/>
      <c r="H1079" s="797" t="s">
        <v>603</v>
      </c>
      <c r="I1079" s="798">
        <v>42575</v>
      </c>
      <c r="J1079" s="799">
        <f t="shared" ca="1" si="852"/>
        <v>1.5315068493150685</v>
      </c>
      <c r="K1079" s="799">
        <f t="shared" ca="1" si="853"/>
        <v>18.633333333333333</v>
      </c>
      <c r="L1079" s="800">
        <f t="shared" ca="1" si="854"/>
        <v>559</v>
      </c>
      <c r="M1079" s="801"/>
      <c r="N1079" s="802"/>
      <c r="O1079" s="803" t="str">
        <f t="shared" ca="1" si="855"/>
        <v>-</v>
      </c>
      <c r="P1079" s="804"/>
      <c r="Q1079" s="805" t="s">
        <v>2366</v>
      </c>
      <c r="R1079" s="806" t="s">
        <v>2967</v>
      </c>
      <c r="S1079" s="807">
        <v>42958</v>
      </c>
      <c r="T1079" s="798">
        <v>42978</v>
      </c>
      <c r="U1079" s="798" t="str">
        <f t="shared" si="856"/>
        <v>-</v>
      </c>
      <c r="V1079" s="804" t="str">
        <f t="shared" ca="1" si="857"/>
        <v>-</v>
      </c>
      <c r="W1079" s="808">
        <v>2</v>
      </c>
      <c r="X1079" s="794" t="str">
        <f t="shared" si="903"/>
        <v>-</v>
      </c>
      <c r="Y1079" s="794">
        <v>0</v>
      </c>
      <c r="Z1079" s="809" t="str">
        <f t="shared" ca="1" si="858"/>
        <v>-----</v>
      </c>
      <c r="AA1079" s="810">
        <f t="shared" ca="1" si="859"/>
        <v>156</v>
      </c>
      <c r="AB1079" s="804"/>
      <c r="AC1079" s="811" t="str">
        <f t="shared" ca="1" si="860"/>
        <v>-----</v>
      </c>
      <c r="AD1079" s="798"/>
      <c r="AE1079" s="794" t="str">
        <f t="shared" ca="1" si="861"/>
        <v>-</v>
      </c>
      <c r="AF1079" s="798" t="str">
        <f t="shared" si="862"/>
        <v>-</v>
      </c>
      <c r="AG1079" s="812" t="str">
        <f t="shared" si="863"/>
        <v>---------</v>
      </c>
      <c r="AH1079" s="807">
        <v>43046</v>
      </c>
      <c r="AI1079" s="807" t="str">
        <f t="shared" si="864"/>
        <v>-</v>
      </c>
      <c r="AJ1079" s="807" t="str">
        <f t="shared" si="865"/>
        <v>-</v>
      </c>
      <c r="AK1079" s="813"/>
      <c r="AL1079" s="807" t="str">
        <f t="shared" si="866"/>
        <v>-</v>
      </c>
      <c r="AM1079" s="807" t="str">
        <f t="shared" si="867"/>
        <v>-</v>
      </c>
      <c r="AN1079" s="814" t="str">
        <f t="shared" ca="1" si="868"/>
        <v>-</v>
      </c>
      <c r="AO1079" s="815">
        <v>1</v>
      </c>
      <c r="AP1079" s="816" t="str">
        <f t="shared" ca="1" si="869"/>
        <v>-</v>
      </c>
      <c r="AQ1079" s="817"/>
      <c r="AR1079" s="794" t="str">
        <f t="shared" si="870"/>
        <v>-</v>
      </c>
      <c r="AS1079" s="818"/>
      <c r="AT1079" s="794" t="str">
        <f t="shared" si="871"/>
        <v>-</v>
      </c>
      <c r="AU1079" s="819"/>
      <c r="AV1079" s="820"/>
      <c r="AW1079" s="821"/>
      <c r="AX1079" s="821"/>
      <c r="AY1079" s="969" t="str">
        <f t="shared" si="872"/>
        <v>-</v>
      </c>
      <c r="AZ1079" s="966" t="str">
        <f t="shared" si="873"/>
        <v>-</v>
      </c>
      <c r="BA1079" s="971" t="str">
        <f t="shared" si="874"/>
        <v>-</v>
      </c>
      <c r="BB1079" s="975"/>
      <c r="BC1079" s="821"/>
      <c r="BD1079" s="821"/>
      <c r="BE1079" s="963" t="str">
        <f t="shared" si="875"/>
        <v>-</v>
      </c>
      <c r="BF1079" s="984"/>
      <c r="BG1079" s="988"/>
      <c r="BH1079" s="982"/>
      <c r="BI1079" s="991"/>
      <c r="BJ1079" s="991"/>
      <c r="BK1079" s="993" t="str">
        <f t="shared" si="876"/>
        <v>-</v>
      </c>
      <c r="BL1079" s="820">
        <v>42977</v>
      </c>
      <c r="BM1079" s="821">
        <v>5</v>
      </c>
      <c r="BN1079" s="822">
        <f t="shared" ca="1" si="877"/>
        <v>157</v>
      </c>
      <c r="BO1079" s="823">
        <f t="shared" si="878"/>
        <v>13.4</v>
      </c>
      <c r="BP1079" s="824"/>
      <c r="BQ1079" s="821"/>
      <c r="BR1079" s="822" t="str">
        <f t="shared" si="879"/>
        <v>-</v>
      </c>
      <c r="BS1079" s="823" t="str">
        <f t="shared" si="880"/>
        <v>-</v>
      </c>
      <c r="BT1079" s="825" t="str">
        <f t="shared" ca="1" si="881"/>
        <v>-</v>
      </c>
      <c r="BU1079" s="826"/>
      <c r="BV1079" s="827"/>
      <c r="BW1079" s="828" t="str">
        <f t="shared" si="882"/>
        <v>Ж-Е НЕ ВАКЦ.</v>
      </c>
      <c r="BX1079" s="829" t="str">
        <f t="shared" si="883"/>
        <v>-</v>
      </c>
      <c r="BY1079" s="830" t="str">
        <f t="shared" ca="1" si="884"/>
        <v>-</v>
      </c>
      <c r="BZ1079" s="831">
        <v>42891</v>
      </c>
      <c r="CA1079" s="832">
        <v>5</v>
      </c>
      <c r="CB1079" s="833">
        <f t="shared" ca="1" si="885"/>
        <v>243</v>
      </c>
      <c r="CC1079" s="834" t="str">
        <f t="shared" ca="1" si="886"/>
        <v>-</v>
      </c>
      <c r="CD1079" s="835">
        <f t="shared" si="887"/>
        <v>42912</v>
      </c>
      <c r="CE1079" s="831">
        <v>42912</v>
      </c>
      <c r="CF1079" s="832">
        <v>5</v>
      </c>
      <c r="CG1079" s="833">
        <f t="shared" ca="1" si="888"/>
        <v>222</v>
      </c>
      <c r="CH1079" s="836">
        <f t="shared" si="889"/>
        <v>0</v>
      </c>
      <c r="CI1079" s="837" t="str">
        <f t="shared" si="890"/>
        <v>УСПЕШНО</v>
      </c>
      <c r="CJ1079" s="838" t="str">
        <f t="shared" ca="1" si="891"/>
        <v>-</v>
      </c>
      <c r="CK1079" s="831"/>
      <c r="CL1079" s="832"/>
      <c r="CM1079" s="833" t="str">
        <f t="shared" si="892"/>
        <v>-</v>
      </c>
      <c r="CN1079" s="834" t="str">
        <f t="shared" si="893"/>
        <v>-</v>
      </c>
      <c r="CO1079" s="830" t="str">
        <f t="shared" ca="1" si="894"/>
        <v>-</v>
      </c>
      <c r="CP1079" s="839"/>
      <c r="CQ1079" s="832"/>
      <c r="CR1079" s="833" t="str">
        <f t="shared" si="895"/>
        <v>-</v>
      </c>
      <c r="CS1079" s="833" t="str">
        <f t="shared" si="896"/>
        <v>-</v>
      </c>
      <c r="CT1079" s="834" t="str">
        <f t="shared" si="897"/>
        <v>-</v>
      </c>
      <c r="CU1079" s="835" t="str">
        <f t="shared" si="898"/>
        <v>-</v>
      </c>
      <c r="CV1079" s="839"/>
      <c r="CW1079" s="832"/>
      <c r="CX1079" s="833" t="str">
        <f t="shared" si="899"/>
        <v>-</v>
      </c>
      <c r="CY1079" s="840" t="str">
        <f t="shared" si="900"/>
        <v>-</v>
      </c>
      <c r="CZ1079" s="833" t="str">
        <f t="shared" si="901"/>
        <v>-</v>
      </c>
      <c r="DA1079" s="838" t="str">
        <f t="shared" ca="1" si="902"/>
        <v>-</v>
      </c>
      <c r="DB1079" s="841"/>
      <c r="DC1079" s="832"/>
    </row>
    <row r="1080" spans="1:107" x14ac:dyDescent="0.25">
      <c r="A1080" s="790">
        <v>1084</v>
      </c>
      <c r="B1080" s="791">
        <f t="shared" ca="1" si="851"/>
        <v>43134</v>
      </c>
      <c r="C1080" s="792" t="s">
        <v>2584</v>
      </c>
      <c r="D1080" s="793" t="s">
        <v>2582</v>
      </c>
      <c r="E1080" s="794" t="s">
        <v>1563</v>
      </c>
      <c r="F1080" s="795" t="s">
        <v>1623</v>
      </c>
      <c r="G1080" s="845"/>
      <c r="H1080" s="797" t="s">
        <v>603</v>
      </c>
      <c r="I1080" s="798">
        <v>42575</v>
      </c>
      <c r="J1080" s="799">
        <f t="shared" ca="1" si="852"/>
        <v>1.5315068493150685</v>
      </c>
      <c r="K1080" s="799">
        <f t="shared" ca="1" si="853"/>
        <v>18.633333333333333</v>
      </c>
      <c r="L1080" s="800">
        <f t="shared" ca="1" si="854"/>
        <v>559</v>
      </c>
      <c r="M1080" s="801"/>
      <c r="N1080" s="802"/>
      <c r="O1080" s="803" t="str">
        <f t="shared" ca="1" si="855"/>
        <v>-</v>
      </c>
      <c r="P1080" s="804"/>
      <c r="Q1080" s="805" t="s">
        <v>2366</v>
      </c>
      <c r="R1080" s="806" t="s">
        <v>2435</v>
      </c>
      <c r="S1080" s="807">
        <v>42952</v>
      </c>
      <c r="T1080" s="798">
        <v>42993</v>
      </c>
      <c r="U1080" s="798">
        <f t="shared" si="856"/>
        <v>43011</v>
      </c>
      <c r="V1080" s="804">
        <f t="shared" ca="1" si="857"/>
        <v>123</v>
      </c>
      <c r="W1080" s="808">
        <v>3</v>
      </c>
      <c r="X1080" s="794" t="str">
        <f t="shared" si="903"/>
        <v>-</v>
      </c>
      <c r="Y1080" s="794">
        <v>3</v>
      </c>
      <c r="Z1080" s="809" t="str">
        <f t="shared" ca="1" si="858"/>
        <v>-----</v>
      </c>
      <c r="AA1080" s="810">
        <f t="shared" ca="1" si="859"/>
        <v>141</v>
      </c>
      <c r="AB1080" s="804"/>
      <c r="AC1080" s="811" t="str">
        <f t="shared" ca="1" si="860"/>
        <v>-----</v>
      </c>
      <c r="AD1080" s="798"/>
      <c r="AE1080" s="794" t="str">
        <f t="shared" ca="1" si="861"/>
        <v>-</v>
      </c>
      <c r="AF1080" s="798">
        <f t="shared" si="862"/>
        <v>43028</v>
      </c>
      <c r="AG1080" s="812">
        <f t="shared" ca="1" si="863"/>
        <v>106</v>
      </c>
      <c r="AH1080" s="807"/>
      <c r="AI1080" s="807" t="str">
        <f t="shared" si="864"/>
        <v>-</v>
      </c>
      <c r="AJ1080" s="807" t="str">
        <f t="shared" si="865"/>
        <v>-</v>
      </c>
      <c r="AK1080" s="813"/>
      <c r="AL1080" s="807" t="str">
        <f t="shared" si="866"/>
        <v>-</v>
      </c>
      <c r="AM1080" s="807" t="str">
        <f t="shared" si="867"/>
        <v>-</v>
      </c>
      <c r="AN1080" s="814" t="str">
        <f t="shared" ca="1" si="868"/>
        <v>-</v>
      </c>
      <c r="AO1080" s="815">
        <v>1</v>
      </c>
      <c r="AP1080" s="816" t="str">
        <f t="shared" ca="1" si="869"/>
        <v>-</v>
      </c>
      <c r="AQ1080" s="817"/>
      <c r="AR1080" s="794" t="str">
        <f t="shared" si="870"/>
        <v>-</v>
      </c>
      <c r="AS1080" s="818"/>
      <c r="AT1080" s="794" t="str">
        <f t="shared" si="871"/>
        <v>-</v>
      </c>
      <c r="AU1080" s="819"/>
      <c r="AV1080" s="820"/>
      <c r="AW1080" s="821"/>
      <c r="AX1080" s="821"/>
      <c r="AY1080" s="969" t="str">
        <f t="shared" si="872"/>
        <v>-</v>
      </c>
      <c r="AZ1080" s="966" t="str">
        <f t="shared" si="873"/>
        <v>-</v>
      </c>
      <c r="BA1080" s="971" t="str">
        <f t="shared" si="874"/>
        <v>-</v>
      </c>
      <c r="BB1080" s="975"/>
      <c r="BC1080" s="821"/>
      <c r="BD1080" s="821"/>
      <c r="BE1080" s="963" t="str">
        <f t="shared" si="875"/>
        <v>-</v>
      </c>
      <c r="BF1080" s="984"/>
      <c r="BG1080" s="988"/>
      <c r="BH1080" s="982"/>
      <c r="BI1080" s="991"/>
      <c r="BJ1080" s="991"/>
      <c r="BK1080" s="993" t="str">
        <f t="shared" si="876"/>
        <v>-</v>
      </c>
      <c r="BL1080" s="820">
        <v>42977</v>
      </c>
      <c r="BM1080" s="821">
        <v>5</v>
      </c>
      <c r="BN1080" s="822">
        <f t="shared" ca="1" si="877"/>
        <v>157</v>
      </c>
      <c r="BO1080" s="823">
        <f t="shared" si="878"/>
        <v>13.4</v>
      </c>
      <c r="BP1080" s="824"/>
      <c r="BQ1080" s="821"/>
      <c r="BR1080" s="822" t="str">
        <f t="shared" si="879"/>
        <v>-</v>
      </c>
      <c r="BS1080" s="823" t="str">
        <f t="shared" si="880"/>
        <v>-</v>
      </c>
      <c r="BT1080" s="825" t="str">
        <f t="shared" ca="1" si="881"/>
        <v>-</v>
      </c>
      <c r="BU1080" s="826"/>
      <c r="BV1080" s="827"/>
      <c r="BW1080" s="828" t="str">
        <f t="shared" si="882"/>
        <v>Ж-Е НЕ ВАКЦ.</v>
      </c>
      <c r="BX1080" s="829" t="str">
        <f t="shared" si="883"/>
        <v>-</v>
      </c>
      <c r="BY1080" s="830" t="str">
        <f t="shared" ca="1" si="884"/>
        <v>-</v>
      </c>
      <c r="BZ1080" s="831">
        <v>42891</v>
      </c>
      <c r="CA1080" s="832">
        <v>5</v>
      </c>
      <c r="CB1080" s="833">
        <f t="shared" ca="1" si="885"/>
        <v>243</v>
      </c>
      <c r="CC1080" s="834" t="str">
        <f t="shared" ca="1" si="886"/>
        <v>-</v>
      </c>
      <c r="CD1080" s="835">
        <f t="shared" si="887"/>
        <v>42912</v>
      </c>
      <c r="CE1080" s="831">
        <v>42912</v>
      </c>
      <c r="CF1080" s="832">
        <v>5</v>
      </c>
      <c r="CG1080" s="833">
        <f t="shared" ca="1" si="888"/>
        <v>222</v>
      </c>
      <c r="CH1080" s="836">
        <f t="shared" si="889"/>
        <v>0</v>
      </c>
      <c r="CI1080" s="837" t="str">
        <f t="shared" si="890"/>
        <v>УСПЕШНО</v>
      </c>
      <c r="CJ1080" s="838" t="str">
        <f t="shared" ca="1" si="891"/>
        <v>-</v>
      </c>
      <c r="CK1080" s="831"/>
      <c r="CL1080" s="832"/>
      <c r="CM1080" s="833" t="str">
        <f t="shared" si="892"/>
        <v>-</v>
      </c>
      <c r="CN1080" s="834" t="str">
        <f t="shared" si="893"/>
        <v>-</v>
      </c>
      <c r="CO1080" s="830" t="str">
        <f t="shared" ca="1" si="894"/>
        <v>-</v>
      </c>
      <c r="CP1080" s="839"/>
      <c r="CQ1080" s="832"/>
      <c r="CR1080" s="833" t="str">
        <f t="shared" si="895"/>
        <v>-</v>
      </c>
      <c r="CS1080" s="833" t="str">
        <f t="shared" si="896"/>
        <v>-</v>
      </c>
      <c r="CT1080" s="834" t="str">
        <f t="shared" si="897"/>
        <v>-</v>
      </c>
      <c r="CU1080" s="835" t="str">
        <f t="shared" si="898"/>
        <v>-</v>
      </c>
      <c r="CV1080" s="839"/>
      <c r="CW1080" s="832"/>
      <c r="CX1080" s="833" t="str">
        <f t="shared" si="899"/>
        <v>-</v>
      </c>
      <c r="CY1080" s="840" t="str">
        <f t="shared" si="900"/>
        <v>-</v>
      </c>
      <c r="CZ1080" s="833" t="str">
        <f t="shared" si="901"/>
        <v>-</v>
      </c>
      <c r="DA1080" s="838" t="str">
        <f t="shared" ca="1" si="902"/>
        <v>-</v>
      </c>
      <c r="DB1080" s="841"/>
      <c r="DC1080" s="832"/>
    </row>
    <row r="1081" spans="1:107" x14ac:dyDescent="0.25">
      <c r="A1081" s="790">
        <v>1085</v>
      </c>
      <c r="B1081" s="791">
        <f t="shared" ca="1" si="851"/>
        <v>43134</v>
      </c>
      <c r="C1081" s="792" t="s">
        <v>2584</v>
      </c>
      <c r="D1081" s="793" t="s">
        <v>2582</v>
      </c>
      <c r="E1081" s="794" t="s">
        <v>1563</v>
      </c>
      <c r="F1081" s="795" t="s">
        <v>1628</v>
      </c>
      <c r="G1081" s="845"/>
      <c r="H1081" s="797" t="s">
        <v>603</v>
      </c>
      <c r="I1081" s="798">
        <v>42577</v>
      </c>
      <c r="J1081" s="799">
        <f t="shared" ca="1" si="852"/>
        <v>1.526027397260274</v>
      </c>
      <c r="K1081" s="799">
        <f t="shared" ca="1" si="853"/>
        <v>18.566666666666666</v>
      </c>
      <c r="L1081" s="800">
        <f t="shared" ca="1" si="854"/>
        <v>557</v>
      </c>
      <c r="M1081" s="801"/>
      <c r="N1081" s="802"/>
      <c r="O1081" s="803" t="str">
        <f t="shared" ca="1" si="855"/>
        <v>-</v>
      </c>
      <c r="P1081" s="804"/>
      <c r="Q1081" s="805" t="s">
        <v>1451</v>
      </c>
      <c r="R1081" s="806" t="s">
        <v>2967</v>
      </c>
      <c r="S1081" s="807">
        <v>42960</v>
      </c>
      <c r="T1081" s="798">
        <v>42985</v>
      </c>
      <c r="U1081" s="798">
        <f t="shared" si="856"/>
        <v>43003</v>
      </c>
      <c r="V1081" s="804">
        <f t="shared" ca="1" si="857"/>
        <v>131</v>
      </c>
      <c r="W1081" s="808">
        <v>2</v>
      </c>
      <c r="X1081" s="794" t="str">
        <f t="shared" si="903"/>
        <v>-</v>
      </c>
      <c r="Y1081" s="794">
        <v>3</v>
      </c>
      <c r="Z1081" s="809" t="str">
        <f t="shared" ca="1" si="858"/>
        <v>-----</v>
      </c>
      <c r="AA1081" s="810">
        <f t="shared" ca="1" si="859"/>
        <v>149</v>
      </c>
      <c r="AB1081" s="804"/>
      <c r="AC1081" s="811" t="str">
        <f t="shared" ca="1" si="860"/>
        <v>-----</v>
      </c>
      <c r="AD1081" s="798"/>
      <c r="AE1081" s="794" t="str">
        <f t="shared" ca="1" si="861"/>
        <v>-</v>
      </c>
      <c r="AF1081" s="798">
        <f t="shared" si="862"/>
        <v>43020</v>
      </c>
      <c r="AG1081" s="812">
        <f t="shared" ca="1" si="863"/>
        <v>114</v>
      </c>
      <c r="AH1081" s="807"/>
      <c r="AI1081" s="807" t="str">
        <f t="shared" si="864"/>
        <v>-</v>
      </c>
      <c r="AJ1081" s="807" t="str">
        <f t="shared" si="865"/>
        <v>-</v>
      </c>
      <c r="AK1081" s="813"/>
      <c r="AL1081" s="807" t="str">
        <f t="shared" si="866"/>
        <v>-</v>
      </c>
      <c r="AM1081" s="807" t="str">
        <f t="shared" si="867"/>
        <v>-</v>
      </c>
      <c r="AN1081" s="814" t="str">
        <f t="shared" ca="1" si="868"/>
        <v>-</v>
      </c>
      <c r="AO1081" s="815">
        <v>1</v>
      </c>
      <c r="AP1081" s="816" t="str">
        <f t="shared" ca="1" si="869"/>
        <v>-</v>
      </c>
      <c r="AQ1081" s="817"/>
      <c r="AR1081" s="794" t="str">
        <f t="shared" si="870"/>
        <v>-</v>
      </c>
      <c r="AS1081" s="818"/>
      <c r="AT1081" s="794" t="str">
        <f t="shared" si="871"/>
        <v>-</v>
      </c>
      <c r="AU1081" s="819"/>
      <c r="AV1081" s="820"/>
      <c r="AW1081" s="821"/>
      <c r="AX1081" s="821"/>
      <c r="AY1081" s="969" t="str">
        <f t="shared" si="872"/>
        <v>-</v>
      </c>
      <c r="AZ1081" s="966" t="str">
        <f t="shared" si="873"/>
        <v>-</v>
      </c>
      <c r="BA1081" s="971" t="str">
        <f t="shared" si="874"/>
        <v>-</v>
      </c>
      <c r="BB1081" s="975"/>
      <c r="BC1081" s="821"/>
      <c r="BD1081" s="821"/>
      <c r="BE1081" s="963" t="str">
        <f t="shared" si="875"/>
        <v>-</v>
      </c>
      <c r="BF1081" s="984"/>
      <c r="BG1081" s="988"/>
      <c r="BH1081" s="982"/>
      <c r="BI1081" s="991"/>
      <c r="BJ1081" s="991"/>
      <c r="BK1081" s="993" t="str">
        <f t="shared" si="876"/>
        <v>-</v>
      </c>
      <c r="BL1081" s="820">
        <v>42977</v>
      </c>
      <c r="BM1081" s="821">
        <v>5</v>
      </c>
      <c r="BN1081" s="822">
        <f t="shared" ca="1" si="877"/>
        <v>157</v>
      </c>
      <c r="BO1081" s="823">
        <f t="shared" si="878"/>
        <v>13.333333333333334</v>
      </c>
      <c r="BP1081" s="824"/>
      <c r="BQ1081" s="821"/>
      <c r="BR1081" s="822" t="str">
        <f t="shared" si="879"/>
        <v>-</v>
      </c>
      <c r="BS1081" s="823" t="str">
        <f t="shared" si="880"/>
        <v>-</v>
      </c>
      <c r="BT1081" s="825" t="str">
        <f t="shared" ca="1" si="881"/>
        <v>-</v>
      </c>
      <c r="BU1081" s="826"/>
      <c r="BV1081" s="827"/>
      <c r="BW1081" s="828" t="str">
        <f t="shared" si="882"/>
        <v>Ж-Е НЕ ВАКЦ.</v>
      </c>
      <c r="BX1081" s="829" t="str">
        <f t="shared" si="883"/>
        <v>-</v>
      </c>
      <c r="BY1081" s="830" t="str">
        <f t="shared" ca="1" si="884"/>
        <v>-</v>
      </c>
      <c r="BZ1081" s="831">
        <v>42892</v>
      </c>
      <c r="CA1081" s="832">
        <v>5</v>
      </c>
      <c r="CB1081" s="833">
        <f t="shared" ca="1" si="885"/>
        <v>242</v>
      </c>
      <c r="CC1081" s="834" t="str">
        <f t="shared" ca="1" si="886"/>
        <v>-</v>
      </c>
      <c r="CD1081" s="835">
        <f t="shared" si="887"/>
        <v>42913</v>
      </c>
      <c r="CE1081" s="831">
        <v>42913</v>
      </c>
      <c r="CF1081" s="832">
        <v>5</v>
      </c>
      <c r="CG1081" s="833">
        <f t="shared" ca="1" si="888"/>
        <v>221</v>
      </c>
      <c r="CH1081" s="836">
        <f t="shared" si="889"/>
        <v>0</v>
      </c>
      <c r="CI1081" s="837" t="str">
        <f t="shared" si="890"/>
        <v>УСПЕШНО</v>
      </c>
      <c r="CJ1081" s="838" t="str">
        <f t="shared" ca="1" si="891"/>
        <v>-</v>
      </c>
      <c r="CK1081" s="831"/>
      <c r="CL1081" s="832"/>
      <c r="CM1081" s="833" t="str">
        <f t="shared" si="892"/>
        <v>-</v>
      </c>
      <c r="CN1081" s="834" t="str">
        <f t="shared" si="893"/>
        <v>-</v>
      </c>
      <c r="CO1081" s="830" t="str">
        <f t="shared" ca="1" si="894"/>
        <v>-</v>
      </c>
      <c r="CP1081" s="839"/>
      <c r="CQ1081" s="832"/>
      <c r="CR1081" s="833" t="str">
        <f t="shared" si="895"/>
        <v>-</v>
      </c>
      <c r="CS1081" s="833" t="str">
        <f t="shared" si="896"/>
        <v>-</v>
      </c>
      <c r="CT1081" s="834" t="str">
        <f t="shared" si="897"/>
        <v>-</v>
      </c>
      <c r="CU1081" s="835" t="str">
        <f t="shared" si="898"/>
        <v>-</v>
      </c>
      <c r="CV1081" s="839"/>
      <c r="CW1081" s="832"/>
      <c r="CX1081" s="833" t="str">
        <f t="shared" si="899"/>
        <v>-</v>
      </c>
      <c r="CY1081" s="840" t="str">
        <f t="shared" si="900"/>
        <v>-</v>
      </c>
      <c r="CZ1081" s="833" t="str">
        <f t="shared" si="901"/>
        <v>-</v>
      </c>
      <c r="DA1081" s="838" t="str">
        <f t="shared" ca="1" si="902"/>
        <v>-</v>
      </c>
      <c r="DB1081" s="841"/>
      <c r="DC1081" s="832"/>
    </row>
    <row r="1082" spans="1:107" x14ac:dyDescent="0.25">
      <c r="A1082" s="790">
        <v>1086</v>
      </c>
      <c r="B1082" s="791">
        <f t="shared" ca="1" si="851"/>
        <v>43134</v>
      </c>
      <c r="C1082" s="792" t="s">
        <v>2584</v>
      </c>
      <c r="D1082" s="793" t="s">
        <v>2582</v>
      </c>
      <c r="E1082" s="794" t="s">
        <v>1563</v>
      </c>
      <c r="F1082" s="795" t="s">
        <v>1705</v>
      </c>
      <c r="G1082" s="845"/>
      <c r="H1082" s="797" t="s">
        <v>603</v>
      </c>
      <c r="I1082" s="798">
        <v>42582</v>
      </c>
      <c r="J1082" s="799">
        <f t="shared" ca="1" si="852"/>
        <v>1.5123287671232877</v>
      </c>
      <c r="K1082" s="799">
        <f t="shared" ca="1" si="853"/>
        <v>18.399999999999999</v>
      </c>
      <c r="L1082" s="800">
        <f t="shared" ca="1" si="854"/>
        <v>552</v>
      </c>
      <c r="M1082" s="801"/>
      <c r="N1082" s="802"/>
      <c r="O1082" s="803" t="str">
        <f t="shared" ca="1" si="855"/>
        <v>-</v>
      </c>
      <c r="P1082" s="804"/>
      <c r="Q1082" s="805" t="s">
        <v>2366</v>
      </c>
      <c r="R1082" s="806" t="s">
        <v>2435</v>
      </c>
      <c r="S1082" s="807">
        <v>42943</v>
      </c>
      <c r="T1082" s="798">
        <v>43012</v>
      </c>
      <c r="U1082" s="798">
        <f t="shared" si="856"/>
        <v>43030</v>
      </c>
      <c r="V1082" s="804">
        <f t="shared" ca="1" si="857"/>
        <v>104</v>
      </c>
      <c r="W1082" s="808">
        <v>2</v>
      </c>
      <c r="X1082" s="794" t="str">
        <f t="shared" si="903"/>
        <v>-</v>
      </c>
      <c r="Y1082" s="794">
        <v>3</v>
      </c>
      <c r="Z1082" s="809" t="str">
        <f t="shared" ca="1" si="858"/>
        <v>-----</v>
      </c>
      <c r="AA1082" s="810">
        <f t="shared" ca="1" si="859"/>
        <v>122</v>
      </c>
      <c r="AB1082" s="804"/>
      <c r="AC1082" s="811" t="str">
        <f t="shared" ca="1" si="860"/>
        <v>-----</v>
      </c>
      <c r="AD1082" s="798"/>
      <c r="AE1082" s="794" t="str">
        <f t="shared" ca="1" si="861"/>
        <v>-</v>
      </c>
      <c r="AF1082" s="798">
        <f t="shared" si="862"/>
        <v>43047</v>
      </c>
      <c r="AG1082" s="812">
        <f t="shared" ca="1" si="863"/>
        <v>87</v>
      </c>
      <c r="AH1082" s="807">
        <v>43001</v>
      </c>
      <c r="AI1082" s="807" t="str">
        <f t="shared" si="864"/>
        <v>-</v>
      </c>
      <c r="AJ1082" s="807" t="str">
        <f t="shared" si="865"/>
        <v>-</v>
      </c>
      <c r="AK1082" s="813"/>
      <c r="AL1082" s="807" t="str">
        <f t="shared" si="866"/>
        <v>-</v>
      </c>
      <c r="AM1082" s="807" t="str">
        <f t="shared" si="867"/>
        <v>-</v>
      </c>
      <c r="AN1082" s="814" t="str">
        <f t="shared" ca="1" si="868"/>
        <v>-</v>
      </c>
      <c r="AO1082" s="815">
        <v>1</v>
      </c>
      <c r="AP1082" s="816" t="str">
        <f t="shared" ca="1" si="869"/>
        <v>-</v>
      </c>
      <c r="AQ1082" s="817"/>
      <c r="AR1082" s="794" t="str">
        <f t="shared" si="870"/>
        <v>-</v>
      </c>
      <c r="AS1082" s="818"/>
      <c r="AT1082" s="794" t="str">
        <f t="shared" si="871"/>
        <v>-</v>
      </c>
      <c r="AU1082" s="819"/>
      <c r="AV1082" s="820"/>
      <c r="AW1082" s="821"/>
      <c r="AX1082" s="821"/>
      <c r="AY1082" s="969" t="str">
        <f t="shared" si="872"/>
        <v>-</v>
      </c>
      <c r="AZ1082" s="966" t="str">
        <f t="shared" si="873"/>
        <v>-</v>
      </c>
      <c r="BA1082" s="971" t="str">
        <f t="shared" si="874"/>
        <v>-</v>
      </c>
      <c r="BB1082" s="975"/>
      <c r="BC1082" s="821"/>
      <c r="BD1082" s="821"/>
      <c r="BE1082" s="963" t="str">
        <f t="shared" si="875"/>
        <v>-</v>
      </c>
      <c r="BF1082" s="984"/>
      <c r="BG1082" s="988"/>
      <c r="BH1082" s="982"/>
      <c r="BI1082" s="991"/>
      <c r="BJ1082" s="991"/>
      <c r="BK1082" s="993" t="str">
        <f t="shared" si="876"/>
        <v>-</v>
      </c>
      <c r="BL1082" s="820">
        <v>42977</v>
      </c>
      <c r="BM1082" s="821">
        <v>5</v>
      </c>
      <c r="BN1082" s="822">
        <f t="shared" ca="1" si="877"/>
        <v>157</v>
      </c>
      <c r="BO1082" s="823">
        <f t="shared" si="878"/>
        <v>13.166666666666666</v>
      </c>
      <c r="BP1082" s="824"/>
      <c r="BQ1082" s="821"/>
      <c r="BR1082" s="822" t="str">
        <f t="shared" si="879"/>
        <v>-</v>
      </c>
      <c r="BS1082" s="823" t="str">
        <f t="shared" si="880"/>
        <v>-</v>
      </c>
      <c r="BT1082" s="825" t="str">
        <f t="shared" ca="1" si="881"/>
        <v>-</v>
      </c>
      <c r="BU1082" s="826"/>
      <c r="BV1082" s="827"/>
      <c r="BW1082" s="828" t="str">
        <f t="shared" si="882"/>
        <v>Ж-Е НЕ ВАКЦ.</v>
      </c>
      <c r="BX1082" s="829" t="str">
        <f t="shared" si="883"/>
        <v>-</v>
      </c>
      <c r="BY1082" s="830" t="str">
        <f t="shared" ca="1" si="884"/>
        <v>-</v>
      </c>
      <c r="BZ1082" s="831">
        <v>42892</v>
      </c>
      <c r="CA1082" s="832">
        <v>5</v>
      </c>
      <c r="CB1082" s="833">
        <f t="shared" ca="1" si="885"/>
        <v>242</v>
      </c>
      <c r="CC1082" s="834" t="str">
        <f t="shared" ca="1" si="886"/>
        <v>-</v>
      </c>
      <c r="CD1082" s="835">
        <f t="shared" si="887"/>
        <v>42913</v>
      </c>
      <c r="CE1082" s="831">
        <v>42913</v>
      </c>
      <c r="CF1082" s="832">
        <v>5</v>
      </c>
      <c r="CG1082" s="833">
        <f t="shared" ca="1" si="888"/>
        <v>221</v>
      </c>
      <c r="CH1082" s="836">
        <f t="shared" si="889"/>
        <v>0</v>
      </c>
      <c r="CI1082" s="837" t="str">
        <f t="shared" si="890"/>
        <v>УСПЕШНО</v>
      </c>
      <c r="CJ1082" s="838" t="str">
        <f t="shared" ca="1" si="891"/>
        <v>-</v>
      </c>
      <c r="CK1082" s="831"/>
      <c r="CL1082" s="832"/>
      <c r="CM1082" s="833" t="str">
        <f t="shared" si="892"/>
        <v>-</v>
      </c>
      <c r="CN1082" s="834" t="str">
        <f t="shared" si="893"/>
        <v>-</v>
      </c>
      <c r="CO1082" s="830" t="str">
        <f t="shared" ca="1" si="894"/>
        <v>-</v>
      </c>
      <c r="CP1082" s="839"/>
      <c r="CQ1082" s="832"/>
      <c r="CR1082" s="833" t="str">
        <f t="shared" si="895"/>
        <v>-</v>
      </c>
      <c r="CS1082" s="833" t="str">
        <f t="shared" si="896"/>
        <v>-</v>
      </c>
      <c r="CT1082" s="834" t="str">
        <f t="shared" si="897"/>
        <v>-</v>
      </c>
      <c r="CU1082" s="835" t="str">
        <f t="shared" si="898"/>
        <v>-</v>
      </c>
      <c r="CV1082" s="839"/>
      <c r="CW1082" s="832"/>
      <c r="CX1082" s="833" t="str">
        <f t="shared" si="899"/>
        <v>-</v>
      </c>
      <c r="CY1082" s="840" t="str">
        <f t="shared" si="900"/>
        <v>-</v>
      </c>
      <c r="CZ1082" s="833" t="str">
        <f t="shared" si="901"/>
        <v>-</v>
      </c>
      <c r="DA1082" s="838" t="str">
        <f t="shared" ca="1" si="902"/>
        <v>-</v>
      </c>
      <c r="DB1082" s="841"/>
      <c r="DC1082" s="832"/>
    </row>
    <row r="1083" spans="1:107" x14ac:dyDescent="0.25">
      <c r="A1083" s="790">
        <v>1087</v>
      </c>
      <c r="B1083" s="791">
        <f t="shared" ca="1" si="851"/>
        <v>43134</v>
      </c>
      <c r="C1083" s="792" t="s">
        <v>2584</v>
      </c>
      <c r="D1083" s="793" t="s">
        <v>2582</v>
      </c>
      <c r="E1083" s="794" t="s">
        <v>1563</v>
      </c>
      <c r="F1083" s="795" t="s">
        <v>1711</v>
      </c>
      <c r="G1083" s="845"/>
      <c r="H1083" s="797" t="s">
        <v>603</v>
      </c>
      <c r="I1083" s="798">
        <v>42585</v>
      </c>
      <c r="J1083" s="799">
        <f t="shared" ca="1" si="852"/>
        <v>1.5041095890410958</v>
      </c>
      <c r="K1083" s="799">
        <f t="shared" ca="1" si="853"/>
        <v>18.3</v>
      </c>
      <c r="L1083" s="800">
        <f t="shared" ca="1" si="854"/>
        <v>549</v>
      </c>
      <c r="M1083" s="801"/>
      <c r="N1083" s="802"/>
      <c r="O1083" s="803" t="str">
        <f t="shared" ca="1" si="855"/>
        <v>-</v>
      </c>
      <c r="P1083" s="804"/>
      <c r="Q1083" s="805" t="s">
        <v>2366</v>
      </c>
      <c r="R1083" s="806" t="s">
        <v>2967</v>
      </c>
      <c r="S1083" s="807">
        <v>42917</v>
      </c>
      <c r="T1083" s="798">
        <v>42982</v>
      </c>
      <c r="U1083" s="798">
        <f t="shared" si="856"/>
        <v>43000</v>
      </c>
      <c r="V1083" s="804">
        <f t="shared" ca="1" si="857"/>
        <v>134</v>
      </c>
      <c r="W1083" s="808">
        <v>1</v>
      </c>
      <c r="X1083" s="794" t="str">
        <f t="shared" si="903"/>
        <v>-</v>
      </c>
      <c r="Y1083" s="794">
        <v>3</v>
      </c>
      <c r="Z1083" s="809" t="str">
        <f t="shared" ca="1" si="858"/>
        <v>-----</v>
      </c>
      <c r="AA1083" s="810">
        <f t="shared" ca="1" si="859"/>
        <v>152</v>
      </c>
      <c r="AB1083" s="804"/>
      <c r="AC1083" s="811" t="str">
        <f t="shared" ca="1" si="860"/>
        <v>-----</v>
      </c>
      <c r="AD1083" s="798"/>
      <c r="AE1083" s="794" t="str">
        <f t="shared" ca="1" si="861"/>
        <v>-</v>
      </c>
      <c r="AF1083" s="798">
        <f t="shared" si="862"/>
        <v>43017</v>
      </c>
      <c r="AG1083" s="812">
        <f t="shared" ca="1" si="863"/>
        <v>117</v>
      </c>
      <c r="AH1083" s="807"/>
      <c r="AI1083" s="807" t="str">
        <f t="shared" si="864"/>
        <v>-</v>
      </c>
      <c r="AJ1083" s="807" t="str">
        <f t="shared" si="865"/>
        <v>-</v>
      </c>
      <c r="AK1083" s="813"/>
      <c r="AL1083" s="807" t="str">
        <f t="shared" si="866"/>
        <v>-</v>
      </c>
      <c r="AM1083" s="807" t="str">
        <f t="shared" si="867"/>
        <v>-</v>
      </c>
      <c r="AN1083" s="814" t="str">
        <f t="shared" ca="1" si="868"/>
        <v>-</v>
      </c>
      <c r="AO1083" s="815">
        <v>1</v>
      </c>
      <c r="AP1083" s="816" t="str">
        <f t="shared" ca="1" si="869"/>
        <v>-</v>
      </c>
      <c r="AQ1083" s="817"/>
      <c r="AR1083" s="794" t="str">
        <f t="shared" si="870"/>
        <v>-</v>
      </c>
      <c r="AS1083" s="818"/>
      <c r="AT1083" s="794" t="str">
        <f t="shared" si="871"/>
        <v>-</v>
      </c>
      <c r="AU1083" s="819"/>
      <c r="AV1083" s="820"/>
      <c r="AW1083" s="821"/>
      <c r="AX1083" s="821"/>
      <c r="AY1083" s="969" t="str">
        <f t="shared" si="872"/>
        <v>-</v>
      </c>
      <c r="AZ1083" s="966" t="str">
        <f t="shared" si="873"/>
        <v>-</v>
      </c>
      <c r="BA1083" s="971" t="str">
        <f t="shared" si="874"/>
        <v>-</v>
      </c>
      <c r="BB1083" s="975"/>
      <c r="BC1083" s="821"/>
      <c r="BD1083" s="821"/>
      <c r="BE1083" s="963" t="str">
        <f t="shared" si="875"/>
        <v>-</v>
      </c>
      <c r="BF1083" s="984"/>
      <c r="BG1083" s="988"/>
      <c r="BH1083" s="982"/>
      <c r="BI1083" s="991"/>
      <c r="BJ1083" s="991"/>
      <c r="BK1083" s="993" t="str">
        <f t="shared" si="876"/>
        <v>-</v>
      </c>
      <c r="BL1083" s="820">
        <v>42977</v>
      </c>
      <c r="BM1083" s="821">
        <v>5</v>
      </c>
      <c r="BN1083" s="822">
        <f t="shared" ca="1" si="877"/>
        <v>157</v>
      </c>
      <c r="BO1083" s="823">
        <f t="shared" si="878"/>
        <v>13.066666666666666</v>
      </c>
      <c r="BP1083" s="824"/>
      <c r="BQ1083" s="821"/>
      <c r="BR1083" s="822" t="str">
        <f t="shared" si="879"/>
        <v>-</v>
      </c>
      <c r="BS1083" s="823" t="str">
        <f t="shared" si="880"/>
        <v>-</v>
      </c>
      <c r="BT1083" s="825" t="str">
        <f t="shared" ca="1" si="881"/>
        <v>-</v>
      </c>
      <c r="BU1083" s="826"/>
      <c r="BV1083" s="827"/>
      <c r="BW1083" s="828" t="str">
        <f t="shared" si="882"/>
        <v>Ж-Е НЕ ВАКЦ.</v>
      </c>
      <c r="BX1083" s="829" t="str">
        <f t="shared" si="883"/>
        <v>-</v>
      </c>
      <c r="BY1083" s="830" t="str">
        <f t="shared" ca="1" si="884"/>
        <v>-</v>
      </c>
      <c r="BZ1083" s="831">
        <v>42892</v>
      </c>
      <c r="CA1083" s="832">
        <v>5</v>
      </c>
      <c r="CB1083" s="833">
        <f t="shared" ca="1" si="885"/>
        <v>242</v>
      </c>
      <c r="CC1083" s="834" t="str">
        <f t="shared" ca="1" si="886"/>
        <v>-</v>
      </c>
      <c r="CD1083" s="835">
        <f t="shared" si="887"/>
        <v>42913</v>
      </c>
      <c r="CE1083" s="831">
        <v>42913</v>
      </c>
      <c r="CF1083" s="832">
        <v>5</v>
      </c>
      <c r="CG1083" s="833">
        <f t="shared" ca="1" si="888"/>
        <v>221</v>
      </c>
      <c r="CH1083" s="836">
        <f t="shared" si="889"/>
        <v>0</v>
      </c>
      <c r="CI1083" s="837" t="str">
        <f t="shared" si="890"/>
        <v>УСПЕШНО</v>
      </c>
      <c r="CJ1083" s="838" t="str">
        <f t="shared" ca="1" si="891"/>
        <v>-</v>
      </c>
      <c r="CK1083" s="831"/>
      <c r="CL1083" s="832"/>
      <c r="CM1083" s="833" t="str">
        <f t="shared" si="892"/>
        <v>-</v>
      </c>
      <c r="CN1083" s="834" t="str">
        <f t="shared" si="893"/>
        <v>-</v>
      </c>
      <c r="CO1083" s="830" t="str">
        <f t="shared" ca="1" si="894"/>
        <v>-</v>
      </c>
      <c r="CP1083" s="839"/>
      <c r="CQ1083" s="832"/>
      <c r="CR1083" s="833" t="str">
        <f t="shared" si="895"/>
        <v>-</v>
      </c>
      <c r="CS1083" s="833" t="str">
        <f t="shared" si="896"/>
        <v>-</v>
      </c>
      <c r="CT1083" s="834" t="str">
        <f t="shared" si="897"/>
        <v>-</v>
      </c>
      <c r="CU1083" s="835" t="str">
        <f t="shared" si="898"/>
        <v>-</v>
      </c>
      <c r="CV1083" s="839"/>
      <c r="CW1083" s="832"/>
      <c r="CX1083" s="833" t="str">
        <f t="shared" si="899"/>
        <v>-</v>
      </c>
      <c r="CY1083" s="840" t="str">
        <f t="shared" si="900"/>
        <v>-</v>
      </c>
      <c r="CZ1083" s="833" t="str">
        <f t="shared" si="901"/>
        <v>-</v>
      </c>
      <c r="DA1083" s="838" t="str">
        <f t="shared" ca="1" si="902"/>
        <v>-</v>
      </c>
      <c r="DB1083" s="841"/>
      <c r="DC1083" s="832"/>
    </row>
    <row r="1084" spans="1:107" x14ac:dyDescent="0.25">
      <c r="A1084" s="790">
        <v>1088</v>
      </c>
      <c r="B1084" s="791">
        <f t="shared" ca="1" si="851"/>
        <v>43134</v>
      </c>
      <c r="C1084" s="792" t="s">
        <v>2584</v>
      </c>
      <c r="D1084" s="793" t="s">
        <v>2582</v>
      </c>
      <c r="E1084" s="794" t="s">
        <v>1563</v>
      </c>
      <c r="F1084" s="795" t="s">
        <v>1713</v>
      </c>
      <c r="G1084" s="845"/>
      <c r="H1084" s="797" t="s">
        <v>603</v>
      </c>
      <c r="I1084" s="798">
        <v>42586</v>
      </c>
      <c r="J1084" s="799">
        <f t="shared" ca="1" si="852"/>
        <v>1.5013698630136987</v>
      </c>
      <c r="K1084" s="799">
        <f t="shared" ca="1" si="853"/>
        <v>18.266666666666666</v>
      </c>
      <c r="L1084" s="800">
        <f t="shared" ca="1" si="854"/>
        <v>548</v>
      </c>
      <c r="M1084" s="801"/>
      <c r="N1084" s="802"/>
      <c r="O1084" s="803" t="str">
        <f t="shared" ca="1" si="855"/>
        <v>-</v>
      </c>
      <c r="P1084" s="804"/>
      <c r="Q1084" s="805" t="s">
        <v>1451</v>
      </c>
      <c r="R1084" s="806" t="s">
        <v>2435</v>
      </c>
      <c r="S1084" s="807">
        <v>42953</v>
      </c>
      <c r="T1084" s="798">
        <v>42994</v>
      </c>
      <c r="U1084" s="798">
        <f t="shared" si="856"/>
        <v>43012</v>
      </c>
      <c r="V1084" s="804">
        <f t="shared" ca="1" si="857"/>
        <v>122</v>
      </c>
      <c r="W1084" s="808">
        <v>2</v>
      </c>
      <c r="X1084" s="794" t="str">
        <f t="shared" si="903"/>
        <v>-</v>
      </c>
      <c r="Y1084" s="794">
        <v>3</v>
      </c>
      <c r="Z1084" s="809" t="str">
        <f t="shared" ca="1" si="858"/>
        <v>-----</v>
      </c>
      <c r="AA1084" s="810">
        <f t="shared" ca="1" si="859"/>
        <v>140</v>
      </c>
      <c r="AB1084" s="804"/>
      <c r="AC1084" s="811" t="str">
        <f t="shared" ca="1" si="860"/>
        <v>-----</v>
      </c>
      <c r="AD1084" s="798"/>
      <c r="AE1084" s="794" t="str">
        <f t="shared" ca="1" si="861"/>
        <v>-</v>
      </c>
      <c r="AF1084" s="798">
        <f t="shared" si="862"/>
        <v>43029</v>
      </c>
      <c r="AG1084" s="812">
        <f t="shared" ca="1" si="863"/>
        <v>105</v>
      </c>
      <c r="AH1084" s="807"/>
      <c r="AI1084" s="807" t="str">
        <f t="shared" si="864"/>
        <v>-</v>
      </c>
      <c r="AJ1084" s="807" t="str">
        <f t="shared" si="865"/>
        <v>-</v>
      </c>
      <c r="AK1084" s="813"/>
      <c r="AL1084" s="807" t="str">
        <f t="shared" si="866"/>
        <v>-</v>
      </c>
      <c r="AM1084" s="807" t="str">
        <f t="shared" si="867"/>
        <v>-</v>
      </c>
      <c r="AN1084" s="814" t="str">
        <f t="shared" ca="1" si="868"/>
        <v>-</v>
      </c>
      <c r="AO1084" s="815">
        <v>1</v>
      </c>
      <c r="AP1084" s="816" t="str">
        <f t="shared" ca="1" si="869"/>
        <v>-</v>
      </c>
      <c r="AQ1084" s="817"/>
      <c r="AR1084" s="794" t="str">
        <f t="shared" si="870"/>
        <v>-</v>
      </c>
      <c r="AS1084" s="818"/>
      <c r="AT1084" s="794" t="str">
        <f t="shared" si="871"/>
        <v>-</v>
      </c>
      <c r="AU1084" s="819"/>
      <c r="AV1084" s="820"/>
      <c r="AW1084" s="821"/>
      <c r="AX1084" s="821"/>
      <c r="AY1084" s="969" t="str">
        <f t="shared" si="872"/>
        <v>-</v>
      </c>
      <c r="AZ1084" s="966" t="str">
        <f t="shared" si="873"/>
        <v>-</v>
      </c>
      <c r="BA1084" s="971" t="str">
        <f t="shared" si="874"/>
        <v>-</v>
      </c>
      <c r="BB1084" s="975"/>
      <c r="BC1084" s="821"/>
      <c r="BD1084" s="821"/>
      <c r="BE1084" s="963" t="str">
        <f t="shared" si="875"/>
        <v>-</v>
      </c>
      <c r="BF1084" s="984"/>
      <c r="BG1084" s="988"/>
      <c r="BH1084" s="982"/>
      <c r="BI1084" s="991"/>
      <c r="BJ1084" s="991"/>
      <c r="BK1084" s="993" t="str">
        <f t="shared" si="876"/>
        <v>-</v>
      </c>
      <c r="BL1084" s="820">
        <v>42977</v>
      </c>
      <c r="BM1084" s="821">
        <v>5</v>
      </c>
      <c r="BN1084" s="822">
        <f t="shared" ca="1" si="877"/>
        <v>157</v>
      </c>
      <c r="BO1084" s="823">
        <f t="shared" si="878"/>
        <v>13.033333333333333</v>
      </c>
      <c r="BP1084" s="824"/>
      <c r="BQ1084" s="821"/>
      <c r="BR1084" s="822" t="str">
        <f t="shared" si="879"/>
        <v>-</v>
      </c>
      <c r="BS1084" s="823" t="str">
        <f t="shared" si="880"/>
        <v>-</v>
      </c>
      <c r="BT1084" s="825" t="str">
        <f t="shared" ca="1" si="881"/>
        <v>-</v>
      </c>
      <c r="BU1084" s="826"/>
      <c r="BV1084" s="827"/>
      <c r="BW1084" s="828" t="str">
        <f t="shared" si="882"/>
        <v>Ж-Е НЕ ВАКЦ.</v>
      </c>
      <c r="BX1084" s="829" t="str">
        <f t="shared" si="883"/>
        <v>-</v>
      </c>
      <c r="BY1084" s="830" t="str">
        <f t="shared" ca="1" si="884"/>
        <v>-</v>
      </c>
      <c r="BZ1084" s="831">
        <v>42892</v>
      </c>
      <c r="CA1084" s="832">
        <v>5</v>
      </c>
      <c r="CB1084" s="833">
        <f t="shared" ca="1" si="885"/>
        <v>242</v>
      </c>
      <c r="CC1084" s="834" t="str">
        <f t="shared" ca="1" si="886"/>
        <v>-</v>
      </c>
      <c r="CD1084" s="835">
        <f t="shared" si="887"/>
        <v>42913</v>
      </c>
      <c r="CE1084" s="831">
        <v>42913</v>
      </c>
      <c r="CF1084" s="832">
        <v>5</v>
      </c>
      <c r="CG1084" s="833">
        <f t="shared" ca="1" si="888"/>
        <v>221</v>
      </c>
      <c r="CH1084" s="836">
        <f t="shared" si="889"/>
        <v>0</v>
      </c>
      <c r="CI1084" s="837" t="str">
        <f t="shared" si="890"/>
        <v>УСПЕШНО</v>
      </c>
      <c r="CJ1084" s="838" t="str">
        <f t="shared" ca="1" si="891"/>
        <v>-</v>
      </c>
      <c r="CK1084" s="831"/>
      <c r="CL1084" s="832"/>
      <c r="CM1084" s="833" t="str">
        <f t="shared" si="892"/>
        <v>-</v>
      </c>
      <c r="CN1084" s="834" t="str">
        <f t="shared" si="893"/>
        <v>-</v>
      </c>
      <c r="CO1084" s="830" t="str">
        <f t="shared" ca="1" si="894"/>
        <v>-</v>
      </c>
      <c r="CP1084" s="839"/>
      <c r="CQ1084" s="832"/>
      <c r="CR1084" s="833" t="str">
        <f t="shared" si="895"/>
        <v>-</v>
      </c>
      <c r="CS1084" s="833" t="str">
        <f t="shared" si="896"/>
        <v>-</v>
      </c>
      <c r="CT1084" s="834" t="str">
        <f t="shared" si="897"/>
        <v>-</v>
      </c>
      <c r="CU1084" s="835" t="str">
        <f t="shared" si="898"/>
        <v>-</v>
      </c>
      <c r="CV1084" s="839"/>
      <c r="CW1084" s="832"/>
      <c r="CX1084" s="833" t="str">
        <f t="shared" si="899"/>
        <v>-</v>
      </c>
      <c r="CY1084" s="840" t="str">
        <f t="shared" si="900"/>
        <v>-</v>
      </c>
      <c r="CZ1084" s="833" t="str">
        <f t="shared" si="901"/>
        <v>-</v>
      </c>
      <c r="DA1084" s="838" t="str">
        <f t="shared" ca="1" si="902"/>
        <v>-</v>
      </c>
      <c r="DB1084" s="841"/>
      <c r="DC1084" s="832"/>
    </row>
    <row r="1085" spans="1:107" x14ac:dyDescent="0.25">
      <c r="A1085" s="790">
        <v>1089</v>
      </c>
      <c r="B1085" s="791">
        <f t="shared" ca="1" si="851"/>
        <v>43134</v>
      </c>
      <c r="C1085" s="792" t="s">
        <v>2584</v>
      </c>
      <c r="D1085" s="793" t="s">
        <v>2582</v>
      </c>
      <c r="E1085" s="794" t="s">
        <v>1563</v>
      </c>
      <c r="F1085" s="795" t="s">
        <v>1811</v>
      </c>
      <c r="G1085" s="845"/>
      <c r="H1085" s="797" t="s">
        <v>603</v>
      </c>
      <c r="I1085" s="798">
        <v>42588</v>
      </c>
      <c r="J1085" s="799">
        <f t="shared" ca="1" si="852"/>
        <v>1.4958904109589042</v>
      </c>
      <c r="K1085" s="799">
        <f t="shared" ca="1" si="853"/>
        <v>18.2</v>
      </c>
      <c r="L1085" s="800">
        <f t="shared" ca="1" si="854"/>
        <v>546</v>
      </c>
      <c r="M1085" s="801"/>
      <c r="N1085" s="802"/>
      <c r="O1085" s="803" t="str">
        <f t="shared" ca="1" si="855"/>
        <v>-</v>
      </c>
      <c r="P1085" s="804"/>
      <c r="Q1085" s="68" t="s">
        <v>1451</v>
      </c>
      <c r="R1085" s="118" t="s">
        <v>2435</v>
      </c>
      <c r="S1085" s="807">
        <v>42970</v>
      </c>
      <c r="T1085" s="798">
        <v>43036</v>
      </c>
      <c r="U1085" s="798">
        <f t="shared" si="856"/>
        <v>43054</v>
      </c>
      <c r="V1085" s="804">
        <f t="shared" ca="1" si="857"/>
        <v>80</v>
      </c>
      <c r="W1085" s="808">
        <v>2</v>
      </c>
      <c r="X1085" s="794" t="str">
        <f t="shared" si="903"/>
        <v>-</v>
      </c>
      <c r="Y1085" s="794">
        <v>3</v>
      </c>
      <c r="Z1085" s="809" t="str">
        <f t="shared" ca="1" si="858"/>
        <v>-----</v>
      </c>
      <c r="AA1085" s="810">
        <f t="shared" ca="1" si="859"/>
        <v>98</v>
      </c>
      <c r="AB1085" s="804"/>
      <c r="AC1085" s="811" t="str">
        <f t="shared" ca="1" si="860"/>
        <v>-----</v>
      </c>
      <c r="AD1085" s="798"/>
      <c r="AE1085" s="794" t="str">
        <f t="shared" ca="1" si="861"/>
        <v>-</v>
      </c>
      <c r="AF1085" s="798">
        <f t="shared" si="862"/>
        <v>43071</v>
      </c>
      <c r="AG1085" s="812">
        <f t="shared" ca="1" si="863"/>
        <v>63</v>
      </c>
      <c r="AH1085" s="807">
        <v>43032</v>
      </c>
      <c r="AI1085" s="807" t="str">
        <f t="shared" si="864"/>
        <v>-</v>
      </c>
      <c r="AJ1085" s="807" t="str">
        <f t="shared" si="865"/>
        <v>-</v>
      </c>
      <c r="AK1085" s="813"/>
      <c r="AL1085" s="807" t="str">
        <f t="shared" si="866"/>
        <v>-</v>
      </c>
      <c r="AM1085" s="807" t="str">
        <f t="shared" si="867"/>
        <v>-</v>
      </c>
      <c r="AN1085" s="814" t="str">
        <f t="shared" ca="1" si="868"/>
        <v>-</v>
      </c>
      <c r="AO1085" s="815">
        <v>1</v>
      </c>
      <c r="AP1085" s="816" t="str">
        <f t="shared" ca="1" si="869"/>
        <v>-</v>
      </c>
      <c r="AQ1085" s="817"/>
      <c r="AR1085" s="794" t="str">
        <f t="shared" si="870"/>
        <v>-</v>
      </c>
      <c r="AS1085" s="818"/>
      <c r="AT1085" s="794" t="str">
        <f t="shared" si="871"/>
        <v>-</v>
      </c>
      <c r="AU1085" s="819"/>
      <c r="AV1085" s="820"/>
      <c r="AW1085" s="821"/>
      <c r="AX1085" s="821"/>
      <c r="AY1085" s="969" t="str">
        <f t="shared" si="872"/>
        <v>-</v>
      </c>
      <c r="AZ1085" s="966" t="str">
        <f t="shared" si="873"/>
        <v>-</v>
      </c>
      <c r="BA1085" s="971" t="str">
        <f t="shared" si="874"/>
        <v>-</v>
      </c>
      <c r="BB1085" s="975"/>
      <c r="BC1085" s="821"/>
      <c r="BD1085" s="821"/>
      <c r="BE1085" s="963" t="str">
        <f t="shared" si="875"/>
        <v>-</v>
      </c>
      <c r="BF1085" s="984"/>
      <c r="BG1085" s="988"/>
      <c r="BH1085" s="982"/>
      <c r="BI1085" s="991"/>
      <c r="BJ1085" s="991"/>
      <c r="BK1085" s="993" t="str">
        <f t="shared" si="876"/>
        <v>-</v>
      </c>
      <c r="BL1085" s="820">
        <v>42977</v>
      </c>
      <c r="BM1085" s="821">
        <v>5</v>
      </c>
      <c r="BN1085" s="822">
        <f t="shared" ca="1" si="877"/>
        <v>157</v>
      </c>
      <c r="BO1085" s="823">
        <f t="shared" si="878"/>
        <v>12.966666666666667</v>
      </c>
      <c r="BP1085" s="824"/>
      <c r="BQ1085" s="821"/>
      <c r="BR1085" s="822" t="str">
        <f t="shared" si="879"/>
        <v>-</v>
      </c>
      <c r="BS1085" s="823" t="str">
        <f t="shared" si="880"/>
        <v>-</v>
      </c>
      <c r="BT1085" s="825" t="str">
        <f t="shared" ca="1" si="881"/>
        <v>-</v>
      </c>
      <c r="BU1085" s="826"/>
      <c r="BV1085" s="827"/>
      <c r="BW1085" s="828" t="str">
        <f t="shared" si="882"/>
        <v>Ж-Е НЕ ВАКЦ.</v>
      </c>
      <c r="BX1085" s="829" t="str">
        <f t="shared" si="883"/>
        <v>-</v>
      </c>
      <c r="BY1085" s="830" t="str">
        <f t="shared" ca="1" si="884"/>
        <v>-</v>
      </c>
      <c r="BZ1085" s="831">
        <v>42892</v>
      </c>
      <c r="CA1085" s="832">
        <v>5</v>
      </c>
      <c r="CB1085" s="833">
        <f t="shared" ca="1" si="885"/>
        <v>242</v>
      </c>
      <c r="CC1085" s="834" t="str">
        <f t="shared" ca="1" si="886"/>
        <v>-</v>
      </c>
      <c r="CD1085" s="835">
        <f t="shared" si="887"/>
        <v>42913</v>
      </c>
      <c r="CE1085" s="831">
        <v>42913</v>
      </c>
      <c r="CF1085" s="832">
        <v>5</v>
      </c>
      <c r="CG1085" s="833">
        <f t="shared" ca="1" si="888"/>
        <v>221</v>
      </c>
      <c r="CH1085" s="836">
        <f t="shared" si="889"/>
        <v>0</v>
      </c>
      <c r="CI1085" s="837" t="str">
        <f t="shared" si="890"/>
        <v>УСПЕШНО</v>
      </c>
      <c r="CJ1085" s="838" t="str">
        <f t="shared" ca="1" si="891"/>
        <v>-</v>
      </c>
      <c r="CK1085" s="831"/>
      <c r="CL1085" s="832"/>
      <c r="CM1085" s="833" t="str">
        <f t="shared" si="892"/>
        <v>-</v>
      </c>
      <c r="CN1085" s="834" t="str">
        <f t="shared" si="893"/>
        <v>-</v>
      </c>
      <c r="CO1085" s="830" t="str">
        <f t="shared" ca="1" si="894"/>
        <v>-</v>
      </c>
      <c r="CP1085" s="839"/>
      <c r="CQ1085" s="832"/>
      <c r="CR1085" s="833" t="str">
        <f t="shared" si="895"/>
        <v>-</v>
      </c>
      <c r="CS1085" s="833" t="str">
        <f t="shared" si="896"/>
        <v>-</v>
      </c>
      <c r="CT1085" s="834" t="str">
        <f t="shared" si="897"/>
        <v>-</v>
      </c>
      <c r="CU1085" s="835" t="str">
        <f t="shared" si="898"/>
        <v>-</v>
      </c>
      <c r="CV1085" s="839"/>
      <c r="CW1085" s="832"/>
      <c r="CX1085" s="833" t="str">
        <f t="shared" si="899"/>
        <v>-</v>
      </c>
      <c r="CY1085" s="840" t="str">
        <f t="shared" si="900"/>
        <v>-</v>
      </c>
      <c r="CZ1085" s="833" t="str">
        <f t="shared" si="901"/>
        <v>-</v>
      </c>
      <c r="DA1085" s="838" t="str">
        <f t="shared" ca="1" si="902"/>
        <v>-</v>
      </c>
      <c r="DB1085" s="841"/>
      <c r="DC1085" s="832"/>
    </row>
    <row r="1086" spans="1:107" x14ac:dyDescent="0.25">
      <c r="A1086" s="790">
        <v>1090</v>
      </c>
      <c r="B1086" s="791">
        <f t="shared" ca="1" si="851"/>
        <v>43134</v>
      </c>
      <c r="C1086" s="847" t="s">
        <v>2584</v>
      </c>
      <c r="D1086" s="870" t="s">
        <v>2582</v>
      </c>
      <c r="E1086" s="794" t="s">
        <v>1563</v>
      </c>
      <c r="F1086" s="795" t="s">
        <v>1812</v>
      </c>
      <c r="G1086" s="845"/>
      <c r="H1086" s="797" t="s">
        <v>603</v>
      </c>
      <c r="I1086" s="798">
        <v>42588</v>
      </c>
      <c r="J1086" s="799">
        <f t="shared" ca="1" si="852"/>
        <v>1.4958904109589042</v>
      </c>
      <c r="K1086" s="799">
        <f t="shared" ca="1" si="853"/>
        <v>18.2</v>
      </c>
      <c r="L1086" s="800">
        <f t="shared" ca="1" si="854"/>
        <v>546</v>
      </c>
      <c r="M1086" s="801"/>
      <c r="N1086" s="802"/>
      <c r="O1086" s="803" t="str">
        <f t="shared" ca="1" si="855"/>
        <v>-</v>
      </c>
      <c r="P1086" s="804"/>
      <c r="Q1086" s="805" t="s">
        <v>1451</v>
      </c>
      <c r="R1086" s="806" t="s">
        <v>2967</v>
      </c>
      <c r="S1086" s="807">
        <v>42961</v>
      </c>
      <c r="T1086" s="798">
        <v>42981</v>
      </c>
      <c r="U1086" s="798">
        <f t="shared" si="856"/>
        <v>42999</v>
      </c>
      <c r="V1086" s="804">
        <f t="shared" ca="1" si="857"/>
        <v>135</v>
      </c>
      <c r="W1086" s="808">
        <v>2</v>
      </c>
      <c r="X1086" s="794" t="str">
        <f t="shared" si="903"/>
        <v>-</v>
      </c>
      <c r="Y1086" s="794">
        <v>3</v>
      </c>
      <c r="Z1086" s="809" t="str">
        <f t="shared" ca="1" si="858"/>
        <v>-----</v>
      </c>
      <c r="AA1086" s="810">
        <f t="shared" ca="1" si="859"/>
        <v>153</v>
      </c>
      <c r="AB1086" s="804"/>
      <c r="AC1086" s="811" t="str">
        <f t="shared" ca="1" si="860"/>
        <v>-----</v>
      </c>
      <c r="AD1086" s="798"/>
      <c r="AE1086" s="794" t="str">
        <f t="shared" ca="1" si="861"/>
        <v>-</v>
      </c>
      <c r="AF1086" s="798">
        <f t="shared" si="862"/>
        <v>43016</v>
      </c>
      <c r="AG1086" s="812">
        <f t="shared" ca="1" si="863"/>
        <v>118</v>
      </c>
      <c r="AH1086" s="807"/>
      <c r="AI1086" s="807" t="str">
        <f t="shared" si="864"/>
        <v>-</v>
      </c>
      <c r="AJ1086" s="807" t="str">
        <f t="shared" si="865"/>
        <v>-</v>
      </c>
      <c r="AK1086" s="813"/>
      <c r="AL1086" s="807" t="str">
        <f t="shared" si="866"/>
        <v>-</v>
      </c>
      <c r="AM1086" s="807" t="str">
        <f t="shared" si="867"/>
        <v>-</v>
      </c>
      <c r="AN1086" s="814" t="str">
        <f t="shared" ca="1" si="868"/>
        <v>-</v>
      </c>
      <c r="AO1086" s="815">
        <v>1</v>
      </c>
      <c r="AP1086" s="816" t="str">
        <f t="shared" ca="1" si="869"/>
        <v>-</v>
      </c>
      <c r="AQ1086" s="817"/>
      <c r="AR1086" s="794" t="str">
        <f t="shared" si="870"/>
        <v>-</v>
      </c>
      <c r="AS1086" s="818"/>
      <c r="AT1086" s="794" t="str">
        <f t="shared" si="871"/>
        <v>-</v>
      </c>
      <c r="AU1086" s="819"/>
      <c r="AV1086" s="820"/>
      <c r="AW1086" s="821"/>
      <c r="AX1086" s="821"/>
      <c r="AY1086" s="969" t="str">
        <f t="shared" si="872"/>
        <v>-</v>
      </c>
      <c r="AZ1086" s="966" t="str">
        <f t="shared" si="873"/>
        <v>-</v>
      </c>
      <c r="BA1086" s="971" t="str">
        <f t="shared" si="874"/>
        <v>-</v>
      </c>
      <c r="BB1086" s="975"/>
      <c r="BC1086" s="821"/>
      <c r="BD1086" s="821"/>
      <c r="BE1086" s="963" t="str">
        <f t="shared" si="875"/>
        <v>-</v>
      </c>
      <c r="BF1086" s="984"/>
      <c r="BG1086" s="988"/>
      <c r="BH1086" s="982"/>
      <c r="BI1086" s="991"/>
      <c r="BJ1086" s="991"/>
      <c r="BK1086" s="993" t="str">
        <f t="shared" si="876"/>
        <v>-</v>
      </c>
      <c r="BL1086" s="820">
        <v>42977</v>
      </c>
      <c r="BM1086" s="821">
        <v>5</v>
      </c>
      <c r="BN1086" s="822">
        <f t="shared" ca="1" si="877"/>
        <v>157</v>
      </c>
      <c r="BO1086" s="823">
        <f t="shared" si="878"/>
        <v>12.966666666666667</v>
      </c>
      <c r="BP1086" s="824"/>
      <c r="BQ1086" s="821"/>
      <c r="BR1086" s="822" t="str">
        <f t="shared" si="879"/>
        <v>-</v>
      </c>
      <c r="BS1086" s="823" t="str">
        <f t="shared" si="880"/>
        <v>-</v>
      </c>
      <c r="BT1086" s="825" t="str">
        <f t="shared" ca="1" si="881"/>
        <v>-</v>
      </c>
      <c r="BU1086" s="826"/>
      <c r="BV1086" s="827"/>
      <c r="BW1086" s="828" t="str">
        <f t="shared" si="882"/>
        <v>Ж-Е НЕ ВАКЦ.</v>
      </c>
      <c r="BX1086" s="829" t="str">
        <f t="shared" si="883"/>
        <v>-</v>
      </c>
      <c r="BY1086" s="830" t="str">
        <f t="shared" ca="1" si="884"/>
        <v>-</v>
      </c>
      <c r="BZ1086" s="831">
        <v>42892</v>
      </c>
      <c r="CA1086" s="832">
        <v>5</v>
      </c>
      <c r="CB1086" s="833">
        <f t="shared" ca="1" si="885"/>
        <v>242</v>
      </c>
      <c r="CC1086" s="834" t="str">
        <f t="shared" ca="1" si="886"/>
        <v>ТРЕБУЕТСЯ БУСТЕРНАЯ ДОЗА</v>
      </c>
      <c r="CD1086" s="835">
        <f t="shared" si="887"/>
        <v>42913</v>
      </c>
      <c r="CE1086" s="839" t="s">
        <v>2886</v>
      </c>
      <c r="CF1086" s="832"/>
      <c r="CG1086" s="833" t="str">
        <f t="shared" si="888"/>
        <v>-</v>
      </c>
      <c r="CH1086" s="836" t="str">
        <f t="shared" si="889"/>
        <v>-</v>
      </c>
      <c r="CI1086" s="837" t="str">
        <f t="shared" si="890"/>
        <v>-</v>
      </c>
      <c r="CJ1086" s="838" t="str">
        <f t="shared" si="891"/>
        <v>-</v>
      </c>
      <c r="CK1086" s="831"/>
      <c r="CL1086" s="832"/>
      <c r="CM1086" s="833" t="str">
        <f t="shared" si="892"/>
        <v>-</v>
      </c>
      <c r="CN1086" s="834" t="str">
        <f t="shared" si="893"/>
        <v>-</v>
      </c>
      <c r="CO1086" s="830" t="str">
        <f t="shared" ca="1" si="894"/>
        <v>-</v>
      </c>
      <c r="CP1086" s="839"/>
      <c r="CQ1086" s="832"/>
      <c r="CR1086" s="833" t="str">
        <f t="shared" si="895"/>
        <v>-</v>
      </c>
      <c r="CS1086" s="833" t="str">
        <f t="shared" si="896"/>
        <v>-</v>
      </c>
      <c r="CT1086" s="834" t="str">
        <f t="shared" si="897"/>
        <v>-</v>
      </c>
      <c r="CU1086" s="835" t="str">
        <f t="shared" si="898"/>
        <v>-</v>
      </c>
      <c r="CV1086" s="839"/>
      <c r="CW1086" s="832"/>
      <c r="CX1086" s="833" t="str">
        <f t="shared" si="899"/>
        <v>-</v>
      </c>
      <c r="CY1086" s="840" t="str">
        <f t="shared" si="900"/>
        <v>-</v>
      </c>
      <c r="CZ1086" s="833" t="str">
        <f t="shared" si="901"/>
        <v>-</v>
      </c>
      <c r="DA1086" s="838" t="str">
        <f t="shared" ca="1" si="902"/>
        <v>-</v>
      </c>
      <c r="DB1086" s="841"/>
      <c r="DC1086" s="832"/>
    </row>
    <row r="1087" spans="1:107" x14ac:dyDescent="0.25">
      <c r="A1087" s="790">
        <v>1091</v>
      </c>
      <c r="B1087" s="791">
        <f t="shared" ca="1" si="851"/>
        <v>43134</v>
      </c>
      <c r="C1087" s="792" t="s">
        <v>2584</v>
      </c>
      <c r="D1087" s="793" t="s">
        <v>2582</v>
      </c>
      <c r="E1087" s="794" t="s">
        <v>1563</v>
      </c>
      <c r="F1087" s="795" t="s">
        <v>1829</v>
      </c>
      <c r="G1087" s="845"/>
      <c r="H1087" s="797" t="s">
        <v>603</v>
      </c>
      <c r="I1087" s="798">
        <v>42593</v>
      </c>
      <c r="J1087" s="799">
        <f t="shared" ca="1" si="852"/>
        <v>1.4821917808219178</v>
      </c>
      <c r="K1087" s="799">
        <f t="shared" ca="1" si="853"/>
        <v>18.033333333333335</v>
      </c>
      <c r="L1087" s="800">
        <f t="shared" ca="1" si="854"/>
        <v>541</v>
      </c>
      <c r="M1087" s="801"/>
      <c r="N1087" s="802"/>
      <c r="O1087" s="803" t="str">
        <f t="shared" ca="1" si="855"/>
        <v>-</v>
      </c>
      <c r="P1087" s="804"/>
      <c r="Q1087" s="805" t="s">
        <v>2366</v>
      </c>
      <c r="R1087" s="806" t="s">
        <v>2435</v>
      </c>
      <c r="S1087" s="807">
        <v>42962</v>
      </c>
      <c r="T1087" s="798">
        <v>43053</v>
      </c>
      <c r="U1087" s="798">
        <f t="shared" si="856"/>
        <v>43071</v>
      </c>
      <c r="V1087" s="804">
        <f t="shared" ca="1" si="857"/>
        <v>63</v>
      </c>
      <c r="W1087" s="808">
        <v>2</v>
      </c>
      <c r="X1087" s="794" t="str">
        <f t="shared" si="903"/>
        <v>-</v>
      </c>
      <c r="Y1087" s="794">
        <v>3</v>
      </c>
      <c r="Z1087" s="809" t="str">
        <f t="shared" ca="1" si="858"/>
        <v>-----</v>
      </c>
      <c r="AA1087" s="810">
        <f t="shared" ca="1" si="859"/>
        <v>81</v>
      </c>
      <c r="AB1087" s="804"/>
      <c r="AC1087" s="811" t="str">
        <f t="shared" ca="1" si="860"/>
        <v>-----</v>
      </c>
      <c r="AD1087" s="798"/>
      <c r="AE1087" s="794" t="str">
        <f t="shared" ca="1" si="861"/>
        <v>-</v>
      </c>
      <c r="AF1087" s="798">
        <f t="shared" si="862"/>
        <v>43088</v>
      </c>
      <c r="AG1087" s="812">
        <f t="shared" ca="1" si="863"/>
        <v>46</v>
      </c>
      <c r="AH1087" s="807">
        <v>43032</v>
      </c>
      <c r="AI1087" s="807" t="str">
        <f t="shared" si="864"/>
        <v>-</v>
      </c>
      <c r="AJ1087" s="807" t="str">
        <f t="shared" si="865"/>
        <v>-</v>
      </c>
      <c r="AK1087" s="813"/>
      <c r="AL1087" s="807" t="str">
        <f t="shared" si="866"/>
        <v>-</v>
      </c>
      <c r="AM1087" s="807" t="str">
        <f t="shared" si="867"/>
        <v>-</v>
      </c>
      <c r="AN1087" s="814" t="str">
        <f t="shared" ca="1" si="868"/>
        <v>-</v>
      </c>
      <c r="AO1087" s="815">
        <v>1</v>
      </c>
      <c r="AP1087" s="816" t="str">
        <f t="shared" ca="1" si="869"/>
        <v>-</v>
      </c>
      <c r="AQ1087" s="817"/>
      <c r="AR1087" s="794" t="str">
        <f t="shared" si="870"/>
        <v>-</v>
      </c>
      <c r="AS1087" s="818"/>
      <c r="AT1087" s="794" t="str">
        <f t="shared" si="871"/>
        <v>-</v>
      </c>
      <c r="AU1087" s="819"/>
      <c r="AV1087" s="820"/>
      <c r="AW1087" s="821"/>
      <c r="AX1087" s="821"/>
      <c r="AY1087" s="969" t="str">
        <f t="shared" si="872"/>
        <v>-</v>
      </c>
      <c r="AZ1087" s="966" t="str">
        <f t="shared" si="873"/>
        <v>-</v>
      </c>
      <c r="BA1087" s="971" t="str">
        <f t="shared" si="874"/>
        <v>-</v>
      </c>
      <c r="BB1087" s="975"/>
      <c r="BC1087" s="821"/>
      <c r="BD1087" s="821"/>
      <c r="BE1087" s="963" t="str">
        <f t="shared" si="875"/>
        <v>-</v>
      </c>
      <c r="BF1087" s="984"/>
      <c r="BG1087" s="988"/>
      <c r="BH1087" s="982"/>
      <c r="BI1087" s="991"/>
      <c r="BJ1087" s="991"/>
      <c r="BK1087" s="993" t="str">
        <f t="shared" si="876"/>
        <v>-</v>
      </c>
      <c r="BL1087" s="820">
        <v>42977</v>
      </c>
      <c r="BM1087" s="821">
        <v>5</v>
      </c>
      <c r="BN1087" s="822">
        <f t="shared" ca="1" si="877"/>
        <v>157</v>
      </c>
      <c r="BO1087" s="823">
        <f t="shared" si="878"/>
        <v>12.8</v>
      </c>
      <c r="BP1087" s="824"/>
      <c r="BQ1087" s="821"/>
      <c r="BR1087" s="822" t="str">
        <f t="shared" si="879"/>
        <v>-</v>
      </c>
      <c r="BS1087" s="823" t="str">
        <f t="shared" si="880"/>
        <v>-</v>
      </c>
      <c r="BT1087" s="825" t="str">
        <f t="shared" ca="1" si="881"/>
        <v>-</v>
      </c>
      <c r="BU1087" s="826"/>
      <c r="BV1087" s="827"/>
      <c r="BW1087" s="828" t="str">
        <f t="shared" si="882"/>
        <v>Ж-Е НЕ ВАКЦ.</v>
      </c>
      <c r="BX1087" s="829" t="str">
        <f t="shared" si="883"/>
        <v>-</v>
      </c>
      <c r="BY1087" s="830" t="str">
        <f t="shared" ca="1" si="884"/>
        <v>-</v>
      </c>
      <c r="BZ1087" s="831">
        <v>42891</v>
      </c>
      <c r="CA1087" s="832">
        <v>5</v>
      </c>
      <c r="CB1087" s="833">
        <f t="shared" ca="1" si="885"/>
        <v>243</v>
      </c>
      <c r="CC1087" s="834" t="str">
        <f t="shared" ca="1" si="886"/>
        <v>-</v>
      </c>
      <c r="CD1087" s="835">
        <f t="shared" si="887"/>
        <v>42912</v>
      </c>
      <c r="CE1087" s="831">
        <v>42912</v>
      </c>
      <c r="CF1087" s="832">
        <v>5</v>
      </c>
      <c r="CG1087" s="833">
        <f t="shared" ca="1" si="888"/>
        <v>222</v>
      </c>
      <c r="CH1087" s="836">
        <f t="shared" si="889"/>
        <v>0</v>
      </c>
      <c r="CI1087" s="837" t="str">
        <f t="shared" si="890"/>
        <v>УСПЕШНО</v>
      </c>
      <c r="CJ1087" s="838" t="str">
        <f t="shared" ca="1" si="891"/>
        <v>-</v>
      </c>
      <c r="CK1087" s="831"/>
      <c r="CL1087" s="832"/>
      <c r="CM1087" s="833" t="str">
        <f t="shared" si="892"/>
        <v>-</v>
      </c>
      <c r="CN1087" s="834" t="str">
        <f t="shared" si="893"/>
        <v>-</v>
      </c>
      <c r="CO1087" s="830" t="str">
        <f t="shared" ca="1" si="894"/>
        <v>-</v>
      </c>
      <c r="CP1087" s="839"/>
      <c r="CQ1087" s="832"/>
      <c r="CR1087" s="833" t="str">
        <f t="shared" si="895"/>
        <v>-</v>
      </c>
      <c r="CS1087" s="833" t="str">
        <f t="shared" si="896"/>
        <v>-</v>
      </c>
      <c r="CT1087" s="834" t="str">
        <f t="shared" si="897"/>
        <v>-</v>
      </c>
      <c r="CU1087" s="835" t="str">
        <f t="shared" si="898"/>
        <v>-</v>
      </c>
      <c r="CV1087" s="839"/>
      <c r="CW1087" s="832"/>
      <c r="CX1087" s="833" t="str">
        <f t="shared" si="899"/>
        <v>-</v>
      </c>
      <c r="CY1087" s="840" t="str">
        <f t="shared" si="900"/>
        <v>-</v>
      </c>
      <c r="CZ1087" s="833" t="str">
        <f t="shared" si="901"/>
        <v>-</v>
      </c>
      <c r="DA1087" s="838" t="str">
        <f t="shared" ca="1" si="902"/>
        <v>-</v>
      </c>
      <c r="DB1087" s="841"/>
      <c r="DC1087" s="832"/>
    </row>
    <row r="1088" spans="1:107" x14ac:dyDescent="0.25">
      <c r="A1088" s="790">
        <v>1092</v>
      </c>
      <c r="B1088" s="791">
        <f t="shared" ca="1" si="851"/>
        <v>43134</v>
      </c>
      <c r="C1088" s="792" t="s">
        <v>2584</v>
      </c>
      <c r="D1088" s="793" t="s">
        <v>2582</v>
      </c>
      <c r="E1088" s="794" t="s">
        <v>1563</v>
      </c>
      <c r="F1088" s="795" t="s">
        <v>1832</v>
      </c>
      <c r="G1088" s="845"/>
      <c r="H1088" s="797" t="s">
        <v>603</v>
      </c>
      <c r="I1088" s="798">
        <v>42595</v>
      </c>
      <c r="J1088" s="799">
        <f t="shared" ca="1" si="852"/>
        <v>1.4767123287671233</v>
      </c>
      <c r="K1088" s="799">
        <f t="shared" ca="1" si="853"/>
        <v>17.966666666666665</v>
      </c>
      <c r="L1088" s="800">
        <f t="shared" ca="1" si="854"/>
        <v>539</v>
      </c>
      <c r="M1088" s="801"/>
      <c r="N1088" s="802"/>
      <c r="O1088" s="803" t="str">
        <f t="shared" ca="1" si="855"/>
        <v>-</v>
      </c>
      <c r="P1088" s="804"/>
      <c r="Q1088" s="68" t="s">
        <v>2366</v>
      </c>
      <c r="R1088" s="118" t="s">
        <v>2435</v>
      </c>
      <c r="S1088" s="807">
        <v>42964</v>
      </c>
      <c r="T1088" s="798">
        <v>43028</v>
      </c>
      <c r="U1088" s="798">
        <f t="shared" si="856"/>
        <v>43046</v>
      </c>
      <c r="V1088" s="804">
        <f t="shared" ca="1" si="857"/>
        <v>88</v>
      </c>
      <c r="W1088" s="808">
        <v>4</v>
      </c>
      <c r="X1088" s="794" t="str">
        <f t="shared" si="903"/>
        <v>-</v>
      </c>
      <c r="Y1088" s="794">
        <v>3</v>
      </c>
      <c r="Z1088" s="809" t="str">
        <f t="shared" ca="1" si="858"/>
        <v>-----</v>
      </c>
      <c r="AA1088" s="810">
        <f t="shared" ca="1" si="859"/>
        <v>106</v>
      </c>
      <c r="AB1088" s="804"/>
      <c r="AC1088" s="811" t="str">
        <f t="shared" ca="1" si="860"/>
        <v>-----</v>
      </c>
      <c r="AD1088" s="798"/>
      <c r="AE1088" s="794" t="str">
        <f t="shared" ca="1" si="861"/>
        <v>-</v>
      </c>
      <c r="AF1088" s="798">
        <f t="shared" si="862"/>
        <v>43063</v>
      </c>
      <c r="AG1088" s="812">
        <f t="shared" ca="1" si="863"/>
        <v>71</v>
      </c>
      <c r="AH1088" s="807"/>
      <c r="AI1088" s="807" t="str">
        <f t="shared" si="864"/>
        <v>-</v>
      </c>
      <c r="AJ1088" s="807" t="str">
        <f t="shared" si="865"/>
        <v>-</v>
      </c>
      <c r="AK1088" s="813"/>
      <c r="AL1088" s="807" t="str">
        <f t="shared" si="866"/>
        <v>-</v>
      </c>
      <c r="AM1088" s="807" t="str">
        <f t="shared" si="867"/>
        <v>-</v>
      </c>
      <c r="AN1088" s="814" t="str">
        <f t="shared" ca="1" si="868"/>
        <v>-</v>
      </c>
      <c r="AO1088" s="815">
        <v>1</v>
      </c>
      <c r="AP1088" s="816" t="str">
        <f t="shared" ca="1" si="869"/>
        <v>-</v>
      </c>
      <c r="AQ1088" s="817"/>
      <c r="AR1088" s="794" t="str">
        <f t="shared" si="870"/>
        <v>-</v>
      </c>
      <c r="AS1088" s="818"/>
      <c r="AT1088" s="794" t="str">
        <f t="shared" si="871"/>
        <v>-</v>
      </c>
      <c r="AU1088" s="819"/>
      <c r="AV1088" s="820"/>
      <c r="AW1088" s="821"/>
      <c r="AX1088" s="821"/>
      <c r="AY1088" s="969" t="str">
        <f t="shared" si="872"/>
        <v>-</v>
      </c>
      <c r="AZ1088" s="966" t="str">
        <f t="shared" si="873"/>
        <v>-</v>
      </c>
      <c r="BA1088" s="971" t="str">
        <f t="shared" si="874"/>
        <v>-</v>
      </c>
      <c r="BB1088" s="975"/>
      <c r="BC1088" s="821"/>
      <c r="BD1088" s="821"/>
      <c r="BE1088" s="963" t="str">
        <f t="shared" si="875"/>
        <v>-</v>
      </c>
      <c r="BF1088" s="984"/>
      <c r="BG1088" s="988"/>
      <c r="BH1088" s="982"/>
      <c r="BI1088" s="991"/>
      <c r="BJ1088" s="991"/>
      <c r="BK1088" s="993" t="str">
        <f t="shared" si="876"/>
        <v>-</v>
      </c>
      <c r="BL1088" s="820">
        <v>42977</v>
      </c>
      <c r="BM1088" s="821">
        <v>5</v>
      </c>
      <c r="BN1088" s="822">
        <f t="shared" ca="1" si="877"/>
        <v>157</v>
      </c>
      <c r="BO1088" s="823">
        <f t="shared" si="878"/>
        <v>12.733333333333333</v>
      </c>
      <c r="BP1088" s="824"/>
      <c r="BQ1088" s="821"/>
      <c r="BR1088" s="822" t="str">
        <f t="shared" si="879"/>
        <v>-</v>
      </c>
      <c r="BS1088" s="823" t="str">
        <f t="shared" si="880"/>
        <v>-</v>
      </c>
      <c r="BT1088" s="825" t="str">
        <f t="shared" ca="1" si="881"/>
        <v>-</v>
      </c>
      <c r="BU1088" s="826"/>
      <c r="BV1088" s="827"/>
      <c r="BW1088" s="828" t="str">
        <f t="shared" si="882"/>
        <v>Ж-Е НЕ ВАКЦ.</v>
      </c>
      <c r="BX1088" s="829" t="str">
        <f t="shared" si="883"/>
        <v>-</v>
      </c>
      <c r="BY1088" s="830" t="str">
        <f t="shared" ca="1" si="884"/>
        <v>-</v>
      </c>
      <c r="BZ1088" s="831">
        <v>42892</v>
      </c>
      <c r="CA1088" s="832">
        <v>5</v>
      </c>
      <c r="CB1088" s="833">
        <f t="shared" ca="1" si="885"/>
        <v>242</v>
      </c>
      <c r="CC1088" s="834" t="str">
        <f t="shared" ca="1" si="886"/>
        <v>-</v>
      </c>
      <c r="CD1088" s="835">
        <f t="shared" si="887"/>
        <v>42913</v>
      </c>
      <c r="CE1088" s="831">
        <v>42913</v>
      </c>
      <c r="CF1088" s="832">
        <v>5</v>
      </c>
      <c r="CG1088" s="833">
        <f t="shared" ca="1" si="888"/>
        <v>221</v>
      </c>
      <c r="CH1088" s="836">
        <f t="shared" si="889"/>
        <v>0</v>
      </c>
      <c r="CI1088" s="837" t="str">
        <f t="shared" si="890"/>
        <v>УСПЕШНО</v>
      </c>
      <c r="CJ1088" s="838" t="str">
        <f t="shared" ca="1" si="891"/>
        <v>-</v>
      </c>
      <c r="CK1088" s="831"/>
      <c r="CL1088" s="832"/>
      <c r="CM1088" s="833" t="str">
        <f t="shared" si="892"/>
        <v>-</v>
      </c>
      <c r="CN1088" s="834" t="str">
        <f t="shared" si="893"/>
        <v>-</v>
      </c>
      <c r="CO1088" s="830" t="str">
        <f t="shared" ca="1" si="894"/>
        <v>-</v>
      </c>
      <c r="CP1088" s="839"/>
      <c r="CQ1088" s="832"/>
      <c r="CR1088" s="833" t="str">
        <f t="shared" si="895"/>
        <v>-</v>
      </c>
      <c r="CS1088" s="833" t="str">
        <f t="shared" si="896"/>
        <v>-</v>
      </c>
      <c r="CT1088" s="834" t="str">
        <f t="shared" si="897"/>
        <v>-</v>
      </c>
      <c r="CU1088" s="835" t="str">
        <f t="shared" si="898"/>
        <v>-</v>
      </c>
      <c r="CV1088" s="839"/>
      <c r="CW1088" s="832"/>
      <c r="CX1088" s="833" t="str">
        <f t="shared" si="899"/>
        <v>-</v>
      </c>
      <c r="CY1088" s="840" t="str">
        <f t="shared" si="900"/>
        <v>-</v>
      </c>
      <c r="CZ1088" s="833" t="str">
        <f t="shared" si="901"/>
        <v>-</v>
      </c>
      <c r="DA1088" s="838" t="str">
        <f t="shared" ca="1" si="902"/>
        <v>-</v>
      </c>
      <c r="DB1088" s="841"/>
      <c r="DC1088" s="832"/>
    </row>
    <row r="1089" spans="1:107" x14ac:dyDescent="0.25">
      <c r="A1089" s="790">
        <v>1093</v>
      </c>
      <c r="B1089" s="791">
        <f t="shared" ca="1" si="851"/>
        <v>43134</v>
      </c>
      <c r="C1089" s="792" t="s">
        <v>2584</v>
      </c>
      <c r="D1089" s="793" t="s">
        <v>2582</v>
      </c>
      <c r="E1089" s="794" t="s">
        <v>1563</v>
      </c>
      <c r="F1089" s="795" t="s">
        <v>1835</v>
      </c>
      <c r="G1089" s="845"/>
      <c r="H1089" s="797" t="s">
        <v>603</v>
      </c>
      <c r="I1089" s="798">
        <v>42598</v>
      </c>
      <c r="J1089" s="799">
        <f t="shared" ca="1" si="852"/>
        <v>1.4684931506849315</v>
      </c>
      <c r="K1089" s="799">
        <f t="shared" ca="1" si="853"/>
        <v>17.866666666666667</v>
      </c>
      <c r="L1089" s="800">
        <f t="shared" ca="1" si="854"/>
        <v>536</v>
      </c>
      <c r="M1089" s="801"/>
      <c r="N1089" s="802"/>
      <c r="O1089" s="803" t="str">
        <f t="shared" ca="1" si="855"/>
        <v>-</v>
      </c>
      <c r="P1089" s="804"/>
      <c r="Q1089" s="805" t="s">
        <v>2366</v>
      </c>
      <c r="R1089" s="806" t="s">
        <v>2967</v>
      </c>
      <c r="S1089" s="807">
        <v>42966</v>
      </c>
      <c r="T1089" s="798">
        <v>43003</v>
      </c>
      <c r="U1089" s="798">
        <f t="shared" si="856"/>
        <v>43021</v>
      </c>
      <c r="V1089" s="804">
        <f t="shared" ca="1" si="857"/>
        <v>113</v>
      </c>
      <c r="W1089" s="808">
        <v>2</v>
      </c>
      <c r="X1089" s="794" t="str">
        <f t="shared" si="903"/>
        <v>-</v>
      </c>
      <c r="Y1089" s="794">
        <v>3</v>
      </c>
      <c r="Z1089" s="809" t="str">
        <f t="shared" ca="1" si="858"/>
        <v>-----</v>
      </c>
      <c r="AA1089" s="810">
        <f t="shared" ca="1" si="859"/>
        <v>131</v>
      </c>
      <c r="AB1089" s="804"/>
      <c r="AC1089" s="811" t="str">
        <f t="shared" ca="1" si="860"/>
        <v>-----</v>
      </c>
      <c r="AD1089" s="798"/>
      <c r="AE1089" s="794" t="str">
        <f t="shared" ca="1" si="861"/>
        <v>-</v>
      </c>
      <c r="AF1089" s="798">
        <f t="shared" si="862"/>
        <v>43038</v>
      </c>
      <c r="AG1089" s="812">
        <f t="shared" ca="1" si="863"/>
        <v>96</v>
      </c>
      <c r="AH1089" s="807"/>
      <c r="AI1089" s="807" t="str">
        <f t="shared" si="864"/>
        <v>-</v>
      </c>
      <c r="AJ1089" s="807" t="str">
        <f t="shared" si="865"/>
        <v>-</v>
      </c>
      <c r="AK1089" s="813"/>
      <c r="AL1089" s="807" t="str">
        <f t="shared" si="866"/>
        <v>-</v>
      </c>
      <c r="AM1089" s="807" t="str">
        <f t="shared" si="867"/>
        <v>-</v>
      </c>
      <c r="AN1089" s="814" t="str">
        <f t="shared" ca="1" si="868"/>
        <v>-</v>
      </c>
      <c r="AO1089" s="815">
        <v>1</v>
      </c>
      <c r="AP1089" s="816" t="str">
        <f t="shared" ca="1" si="869"/>
        <v>-</v>
      </c>
      <c r="AQ1089" s="817"/>
      <c r="AR1089" s="794" t="str">
        <f t="shared" si="870"/>
        <v>-</v>
      </c>
      <c r="AS1089" s="818"/>
      <c r="AT1089" s="794" t="str">
        <f t="shared" si="871"/>
        <v>-</v>
      </c>
      <c r="AU1089" s="819"/>
      <c r="AV1089" s="820"/>
      <c r="AW1089" s="821"/>
      <c r="AX1089" s="821"/>
      <c r="AY1089" s="969" t="str">
        <f t="shared" si="872"/>
        <v>-</v>
      </c>
      <c r="AZ1089" s="966" t="str">
        <f t="shared" si="873"/>
        <v>-</v>
      </c>
      <c r="BA1089" s="971" t="str">
        <f t="shared" si="874"/>
        <v>-</v>
      </c>
      <c r="BB1089" s="975"/>
      <c r="BC1089" s="821"/>
      <c r="BD1089" s="821"/>
      <c r="BE1089" s="963" t="str">
        <f t="shared" si="875"/>
        <v>-</v>
      </c>
      <c r="BF1089" s="984"/>
      <c r="BG1089" s="988"/>
      <c r="BH1089" s="982"/>
      <c r="BI1089" s="991"/>
      <c r="BJ1089" s="991"/>
      <c r="BK1089" s="993" t="str">
        <f t="shared" si="876"/>
        <v>-</v>
      </c>
      <c r="BL1089" s="820">
        <v>42977</v>
      </c>
      <c r="BM1089" s="821">
        <v>5</v>
      </c>
      <c r="BN1089" s="822">
        <f t="shared" ca="1" si="877"/>
        <v>157</v>
      </c>
      <c r="BO1089" s="823">
        <f t="shared" si="878"/>
        <v>12.633333333333333</v>
      </c>
      <c r="BP1089" s="824"/>
      <c r="BQ1089" s="821"/>
      <c r="BR1089" s="822" t="str">
        <f t="shared" si="879"/>
        <v>-</v>
      </c>
      <c r="BS1089" s="823" t="str">
        <f t="shared" si="880"/>
        <v>-</v>
      </c>
      <c r="BT1089" s="825" t="str">
        <f t="shared" ca="1" si="881"/>
        <v>-</v>
      </c>
      <c r="BU1089" s="826"/>
      <c r="BV1089" s="827"/>
      <c r="BW1089" s="828" t="str">
        <f t="shared" si="882"/>
        <v>Ж-Е НЕ ВАКЦ.</v>
      </c>
      <c r="BX1089" s="829" t="str">
        <f t="shared" si="883"/>
        <v>-</v>
      </c>
      <c r="BY1089" s="830" t="str">
        <f t="shared" ca="1" si="884"/>
        <v>-</v>
      </c>
      <c r="BZ1089" s="831">
        <v>42892</v>
      </c>
      <c r="CA1089" s="832">
        <v>5</v>
      </c>
      <c r="CB1089" s="833">
        <f t="shared" ca="1" si="885"/>
        <v>242</v>
      </c>
      <c r="CC1089" s="834" t="str">
        <f t="shared" ca="1" si="886"/>
        <v>-</v>
      </c>
      <c r="CD1089" s="835">
        <f t="shared" si="887"/>
        <v>42913</v>
      </c>
      <c r="CE1089" s="831">
        <v>42913</v>
      </c>
      <c r="CF1089" s="832">
        <v>5</v>
      </c>
      <c r="CG1089" s="833">
        <f t="shared" ca="1" si="888"/>
        <v>221</v>
      </c>
      <c r="CH1089" s="836">
        <f t="shared" si="889"/>
        <v>0</v>
      </c>
      <c r="CI1089" s="837" t="str">
        <f t="shared" si="890"/>
        <v>УСПЕШНО</v>
      </c>
      <c r="CJ1089" s="838" t="str">
        <f t="shared" ca="1" si="891"/>
        <v>-</v>
      </c>
      <c r="CK1089" s="831"/>
      <c r="CL1089" s="832"/>
      <c r="CM1089" s="833" t="str">
        <f t="shared" si="892"/>
        <v>-</v>
      </c>
      <c r="CN1089" s="834" t="str">
        <f t="shared" si="893"/>
        <v>-</v>
      </c>
      <c r="CO1089" s="830" t="str">
        <f t="shared" ca="1" si="894"/>
        <v>-</v>
      </c>
      <c r="CP1089" s="839"/>
      <c r="CQ1089" s="832"/>
      <c r="CR1089" s="833" t="str">
        <f t="shared" si="895"/>
        <v>-</v>
      </c>
      <c r="CS1089" s="833" t="str">
        <f t="shared" si="896"/>
        <v>-</v>
      </c>
      <c r="CT1089" s="834" t="str">
        <f t="shared" si="897"/>
        <v>-</v>
      </c>
      <c r="CU1089" s="835" t="str">
        <f t="shared" si="898"/>
        <v>-</v>
      </c>
      <c r="CV1089" s="839"/>
      <c r="CW1089" s="832"/>
      <c r="CX1089" s="833" t="str">
        <f t="shared" si="899"/>
        <v>-</v>
      </c>
      <c r="CY1089" s="840" t="str">
        <f t="shared" si="900"/>
        <v>-</v>
      </c>
      <c r="CZ1089" s="833" t="str">
        <f t="shared" si="901"/>
        <v>-</v>
      </c>
      <c r="DA1089" s="838" t="str">
        <f t="shared" ca="1" si="902"/>
        <v>-</v>
      </c>
      <c r="DB1089" s="841"/>
      <c r="DC1089" s="832"/>
    </row>
    <row r="1090" spans="1:107" x14ac:dyDescent="0.25">
      <c r="A1090" s="790">
        <v>1094</v>
      </c>
      <c r="B1090" s="791">
        <f t="shared" ca="1" si="851"/>
        <v>43134</v>
      </c>
      <c r="C1090" s="792" t="s">
        <v>2584</v>
      </c>
      <c r="D1090" s="793" t="s">
        <v>2582</v>
      </c>
      <c r="E1090" s="794" t="s">
        <v>1563</v>
      </c>
      <c r="F1090" s="795" t="s">
        <v>1839</v>
      </c>
      <c r="G1090" s="845"/>
      <c r="H1090" s="797" t="s">
        <v>603</v>
      </c>
      <c r="I1090" s="798">
        <v>42600</v>
      </c>
      <c r="J1090" s="799">
        <f t="shared" ca="1" si="852"/>
        <v>1.463013698630137</v>
      </c>
      <c r="K1090" s="799">
        <f t="shared" ca="1" si="853"/>
        <v>17.8</v>
      </c>
      <c r="L1090" s="800">
        <f t="shared" ca="1" si="854"/>
        <v>534</v>
      </c>
      <c r="M1090" s="801"/>
      <c r="N1090" s="802"/>
      <c r="O1090" s="803" t="str">
        <f t="shared" ca="1" si="855"/>
        <v>-</v>
      </c>
      <c r="P1090" s="804"/>
      <c r="Q1090" s="805" t="s">
        <v>1451</v>
      </c>
      <c r="R1090" s="806" t="s">
        <v>2435</v>
      </c>
      <c r="S1090" s="807">
        <v>42999</v>
      </c>
      <c r="T1090" s="798">
        <v>43022</v>
      </c>
      <c r="U1090" s="798">
        <f t="shared" si="856"/>
        <v>43040</v>
      </c>
      <c r="V1090" s="804">
        <f t="shared" ca="1" si="857"/>
        <v>94</v>
      </c>
      <c r="W1090" s="808">
        <v>2</v>
      </c>
      <c r="X1090" s="794" t="str">
        <f t="shared" si="903"/>
        <v>-</v>
      </c>
      <c r="Y1090" s="794">
        <v>3</v>
      </c>
      <c r="Z1090" s="809" t="str">
        <f t="shared" ca="1" si="858"/>
        <v>-----</v>
      </c>
      <c r="AA1090" s="810">
        <f t="shared" ca="1" si="859"/>
        <v>112</v>
      </c>
      <c r="AB1090" s="804"/>
      <c r="AC1090" s="811" t="str">
        <f t="shared" ca="1" si="860"/>
        <v>-----</v>
      </c>
      <c r="AD1090" s="798"/>
      <c r="AE1090" s="794" t="str">
        <f t="shared" ca="1" si="861"/>
        <v>-</v>
      </c>
      <c r="AF1090" s="798">
        <f t="shared" si="862"/>
        <v>43057</v>
      </c>
      <c r="AG1090" s="812">
        <f t="shared" ca="1" si="863"/>
        <v>77</v>
      </c>
      <c r="AH1090" s="807"/>
      <c r="AI1090" s="807" t="str">
        <f t="shared" si="864"/>
        <v>-</v>
      </c>
      <c r="AJ1090" s="807" t="str">
        <f t="shared" si="865"/>
        <v>-</v>
      </c>
      <c r="AK1090" s="813"/>
      <c r="AL1090" s="807" t="str">
        <f t="shared" si="866"/>
        <v>-</v>
      </c>
      <c r="AM1090" s="807" t="str">
        <f t="shared" si="867"/>
        <v>-</v>
      </c>
      <c r="AN1090" s="814" t="str">
        <f t="shared" ca="1" si="868"/>
        <v>-</v>
      </c>
      <c r="AO1090" s="815">
        <v>1</v>
      </c>
      <c r="AP1090" s="816" t="str">
        <f t="shared" ca="1" si="869"/>
        <v>-</v>
      </c>
      <c r="AQ1090" s="817"/>
      <c r="AR1090" s="794" t="str">
        <f t="shared" si="870"/>
        <v>-</v>
      </c>
      <c r="AS1090" s="818"/>
      <c r="AT1090" s="794" t="str">
        <f t="shared" si="871"/>
        <v>-</v>
      </c>
      <c r="AU1090" s="819"/>
      <c r="AV1090" s="820"/>
      <c r="AW1090" s="821"/>
      <c r="AX1090" s="821"/>
      <c r="AY1090" s="969" t="str">
        <f t="shared" si="872"/>
        <v>-</v>
      </c>
      <c r="AZ1090" s="966" t="str">
        <f t="shared" si="873"/>
        <v>-</v>
      </c>
      <c r="BA1090" s="971" t="str">
        <f t="shared" si="874"/>
        <v>-</v>
      </c>
      <c r="BB1090" s="975"/>
      <c r="BC1090" s="821"/>
      <c r="BD1090" s="821"/>
      <c r="BE1090" s="963" t="str">
        <f t="shared" si="875"/>
        <v>-</v>
      </c>
      <c r="BF1090" s="984"/>
      <c r="BG1090" s="988"/>
      <c r="BH1090" s="982"/>
      <c r="BI1090" s="991"/>
      <c r="BJ1090" s="991"/>
      <c r="BK1090" s="993" t="str">
        <f t="shared" si="876"/>
        <v>-</v>
      </c>
      <c r="BL1090" s="820">
        <v>42977</v>
      </c>
      <c r="BM1090" s="821">
        <v>5</v>
      </c>
      <c r="BN1090" s="822">
        <f t="shared" ca="1" si="877"/>
        <v>157</v>
      </c>
      <c r="BO1090" s="823">
        <f t="shared" si="878"/>
        <v>12.566666666666666</v>
      </c>
      <c r="BP1090" s="824"/>
      <c r="BQ1090" s="821"/>
      <c r="BR1090" s="822" t="str">
        <f t="shared" si="879"/>
        <v>-</v>
      </c>
      <c r="BS1090" s="823" t="str">
        <f t="shared" si="880"/>
        <v>-</v>
      </c>
      <c r="BT1090" s="825" t="str">
        <f t="shared" ca="1" si="881"/>
        <v>-</v>
      </c>
      <c r="BU1090" s="826"/>
      <c r="BV1090" s="827"/>
      <c r="BW1090" s="828" t="str">
        <f t="shared" si="882"/>
        <v>Ж-Е НЕ ВАКЦ.</v>
      </c>
      <c r="BX1090" s="829" t="str">
        <f t="shared" si="883"/>
        <v>-</v>
      </c>
      <c r="BY1090" s="830" t="str">
        <f t="shared" ca="1" si="884"/>
        <v>-</v>
      </c>
      <c r="BZ1090" s="831">
        <v>42892</v>
      </c>
      <c r="CA1090" s="832">
        <v>5</v>
      </c>
      <c r="CB1090" s="833">
        <f t="shared" ca="1" si="885"/>
        <v>242</v>
      </c>
      <c r="CC1090" s="834" t="str">
        <f t="shared" ca="1" si="886"/>
        <v>-</v>
      </c>
      <c r="CD1090" s="835">
        <f t="shared" si="887"/>
        <v>42913</v>
      </c>
      <c r="CE1090" s="831">
        <v>42913</v>
      </c>
      <c r="CF1090" s="832">
        <v>5</v>
      </c>
      <c r="CG1090" s="833">
        <f t="shared" ca="1" si="888"/>
        <v>221</v>
      </c>
      <c r="CH1090" s="836">
        <f t="shared" si="889"/>
        <v>0</v>
      </c>
      <c r="CI1090" s="837" t="str">
        <f t="shared" si="890"/>
        <v>УСПЕШНО</v>
      </c>
      <c r="CJ1090" s="838" t="str">
        <f t="shared" ca="1" si="891"/>
        <v>-</v>
      </c>
      <c r="CK1090" s="831"/>
      <c r="CL1090" s="832"/>
      <c r="CM1090" s="833" t="str">
        <f t="shared" si="892"/>
        <v>-</v>
      </c>
      <c r="CN1090" s="834" t="str">
        <f t="shared" si="893"/>
        <v>-</v>
      </c>
      <c r="CO1090" s="830" t="str">
        <f t="shared" ca="1" si="894"/>
        <v>-</v>
      </c>
      <c r="CP1090" s="839"/>
      <c r="CQ1090" s="832"/>
      <c r="CR1090" s="833" t="str">
        <f t="shared" si="895"/>
        <v>-</v>
      </c>
      <c r="CS1090" s="833" t="str">
        <f t="shared" si="896"/>
        <v>-</v>
      </c>
      <c r="CT1090" s="834" t="str">
        <f t="shared" si="897"/>
        <v>-</v>
      </c>
      <c r="CU1090" s="835" t="str">
        <f t="shared" si="898"/>
        <v>-</v>
      </c>
      <c r="CV1090" s="839"/>
      <c r="CW1090" s="832"/>
      <c r="CX1090" s="833" t="str">
        <f t="shared" si="899"/>
        <v>-</v>
      </c>
      <c r="CY1090" s="840" t="str">
        <f t="shared" si="900"/>
        <v>-</v>
      </c>
      <c r="CZ1090" s="833" t="str">
        <f t="shared" si="901"/>
        <v>-</v>
      </c>
      <c r="DA1090" s="838" t="str">
        <f t="shared" ca="1" si="902"/>
        <v>-</v>
      </c>
      <c r="DB1090" s="841"/>
      <c r="DC1090" s="832"/>
    </row>
    <row r="1091" spans="1:107" x14ac:dyDescent="0.25">
      <c r="A1091" s="790">
        <v>1095</v>
      </c>
      <c r="B1091" s="791">
        <f t="shared" ref="B1091:B1121" ca="1" si="904">TODAY()</f>
        <v>43134</v>
      </c>
      <c r="C1091" s="792" t="s">
        <v>2584</v>
      </c>
      <c r="D1091" s="793" t="s">
        <v>2582</v>
      </c>
      <c r="E1091" s="794" t="s">
        <v>1563</v>
      </c>
      <c r="F1091" s="795" t="s">
        <v>1841</v>
      </c>
      <c r="G1091" s="845"/>
      <c r="H1091" s="797" t="s">
        <v>603</v>
      </c>
      <c r="I1091" s="798">
        <v>42600</v>
      </c>
      <c r="J1091" s="799">
        <f t="shared" ref="J1091:J1135" ca="1" si="905">(B1091-I1091)/365</f>
        <v>1.463013698630137</v>
      </c>
      <c r="K1091" s="799">
        <f t="shared" ref="K1091:K1135" ca="1" si="906">(B1091-I1091)/30</f>
        <v>17.8</v>
      </c>
      <c r="L1091" s="800">
        <f t="shared" ref="L1091:L1135" ca="1" si="907">B1091-I1091</f>
        <v>534</v>
      </c>
      <c r="M1091" s="801"/>
      <c r="N1091" s="802"/>
      <c r="O1091" s="803" t="str">
        <f t="shared" ref="O1091:O1135" ca="1" si="908">IF(AND(B1091&gt;0,N1091&gt;0),B1091-N1091,"-")</f>
        <v>-</v>
      </c>
      <c r="P1091" s="804"/>
      <c r="Q1091" s="68" t="s">
        <v>2366</v>
      </c>
      <c r="R1091" s="118" t="s">
        <v>2967</v>
      </c>
      <c r="S1091" s="807">
        <v>42994</v>
      </c>
      <c r="T1091" s="798">
        <v>43033</v>
      </c>
      <c r="U1091" s="798" t="str">
        <f t="shared" ref="U1091:U1135" si="909">IF(AND(Y1091&gt;1,T1091&gt;0),T1091+18,"-")</f>
        <v>-</v>
      </c>
      <c r="V1091" s="804" t="str">
        <f t="shared" ref="V1091:V1135" ca="1" si="910">IF(AND(U1091&gt;0,B1091&gt;0,Y1091&gt;1),B1091-U1091,"-")</f>
        <v>-</v>
      </c>
      <c r="W1091" s="808">
        <v>2</v>
      </c>
      <c r="X1091" s="794" t="str">
        <f t="shared" si="903"/>
        <v>-</v>
      </c>
      <c r="Y1091" s="794">
        <v>0</v>
      </c>
      <c r="Z1091" s="809" t="str">
        <f t="shared" ref="Z1091:Z1135" ca="1" si="911">IF(AND(Y1091=1,AA1091&gt;71,OR(ISBLANK(AB1091),AB1091=2)),"ПОДЛЕЖИТ ПЕРЕПРОВЕРКЕ","-----")</f>
        <v>-----</v>
      </c>
      <c r="AA1091" s="810">
        <f t="shared" ref="AA1091:AA1135" ca="1" si="912">IF(AND(O1091&gt;-1,W1091&gt;0,Y1091=1,AB1091=1),"-----",B1091-T1091)</f>
        <v>101</v>
      </c>
      <c r="AB1091" s="804"/>
      <c r="AC1091" s="811" t="str">
        <f t="shared" ref="AC1091:AC1135" ca="1" si="913">IF(AND(AB1091&lt;1,Z1091="ПОДЛЕЖИТ ПЕРЕПРОВЕРКЕ",Y1091=1),T1091+72,"-----")</f>
        <v>-----</v>
      </c>
      <c r="AD1091" s="798"/>
      <c r="AE1091" s="794" t="str">
        <f t="shared" ref="AE1091:AE1135" ca="1" si="914">IF(AND(O1091&gt;120,Y1091=0,N1091&gt;0),"яловая","-")</f>
        <v>-</v>
      </c>
      <c r="AF1091" s="798" t="str">
        <f t="shared" ref="AF1091:AF1135" si="915">IF(AND(T1091&gt;0,OR(Y1091=3,Y1091=2)),T1091+35,"-")</f>
        <v>-</v>
      </c>
      <c r="AG1091" s="812" t="str">
        <f t="shared" ref="AG1091:AG1135" si="916">IF(AND(T1091&gt;0,W1091&gt;0,Q1091&gt;0,OR(Y1091=3,Y1091=2)),B1091-AF1091,"---------")</f>
        <v>---------</v>
      </c>
      <c r="AH1091" s="807">
        <v>43050</v>
      </c>
      <c r="AI1091" s="807" t="str">
        <f t="shared" ref="AI1091:AI1135" si="917">IF(AND($T1091&gt;0,$N1091&gt;0,$Y1091=1),$T1091+280-90,"-")</f>
        <v>-</v>
      </c>
      <c r="AJ1091" s="807" t="str">
        <f t="shared" ref="AJ1091:AJ1135" si="918">IF(AND(T1091&gt;0,Y1091=1,N1091&gt;0),T1091+280-60,"-")</f>
        <v>-</v>
      </c>
      <c r="AK1091" s="813"/>
      <c r="AL1091" s="807" t="str">
        <f t="shared" ref="AL1091:AL1135" si="919">IF(AND($T1091&gt;0,$Y1091=1),$T1091+280-21,"-")</f>
        <v>-</v>
      </c>
      <c r="AM1091" s="807" t="str">
        <f t="shared" ref="AM1091:AM1135" si="920">IF(AND(T1091&gt;0,Y1091=1),T1091+280,"-")</f>
        <v>-</v>
      </c>
      <c r="AN1091" s="814" t="str">
        <f t="shared" ref="AN1091:AN1135" ca="1" si="921">IF(AND(B1091&gt;0,AM1091&gt;0,AH1091&gt;0,Y1091=1),B1091-AM1091,"-")</f>
        <v>-</v>
      </c>
      <c r="AO1091" s="815">
        <v>1</v>
      </c>
      <c r="AP1091" s="816" t="str">
        <f t="shared" ref="AP1091:AP1135" ca="1" si="922">IF(AND(AE1091="яловая",O1091&gt;300),"БРАК","-")</f>
        <v>-</v>
      </c>
      <c r="AQ1091" s="817"/>
      <c r="AR1091" s="794" t="str">
        <f t="shared" ref="AR1091:AR1135" si="923">IF(AND(Y1091=1,P1091=0),"НЕТЕЛЬ","-")</f>
        <v>-</v>
      </c>
      <c r="AS1091" s="818"/>
      <c r="AT1091" s="794" t="str">
        <f t="shared" ref="AT1091:AT1135" si="924">IF(AND(N1091&gt;0,T1091&gt;0,W1091&gt;0,Y1091=1,AH1091&gt;0,AK1091&gt;0),"DRY COW","-")</f>
        <v>-</v>
      </c>
      <c r="AU1091" s="819"/>
      <c r="AV1091" s="820"/>
      <c r="AW1091" s="821"/>
      <c r="AX1091" s="821"/>
      <c r="AY1091" s="969" t="str">
        <f t="shared" ref="AY1091:AY1135" si="925">IF(AND(AV1091&gt;0,AW1091&gt;0,AX1091&gt;0),B1091-AV1091,"-")</f>
        <v>-</v>
      </c>
      <c r="AZ1091" s="966" t="str">
        <f t="shared" ref="AZ1091:AZ1135" si="926">IF(AND(AV1091&gt;0,AW1091&gt;0,AX1091&gt;0,AY1091&gt;10,BB1091=0,BC1091=0,BD1091=0),"РЕВАКЦИНАЦИЯ","-")</f>
        <v>-</v>
      </c>
      <c r="BA1091" s="971" t="str">
        <f t="shared" ref="BA1091:BA1135" si="927">IF(AND(AV1091&gt;0,AW1091&gt;0,AX1091&gt;0),AV1091+10,"-")</f>
        <v>-</v>
      </c>
      <c r="BB1091" s="975"/>
      <c r="BC1091" s="821"/>
      <c r="BD1091" s="821"/>
      <c r="BE1091" s="963" t="str">
        <f t="shared" ref="BE1091:BE1135" si="928">IF(AND(BB1091&gt;0,BC1091&gt;0,BD1091&gt;0),B1091-BB1091,"-")</f>
        <v>-</v>
      </c>
      <c r="BF1091" s="984"/>
      <c r="BG1091" s="988"/>
      <c r="BH1091" s="982"/>
      <c r="BI1091" s="991"/>
      <c r="BJ1091" s="991"/>
      <c r="BK1091" s="993" t="str">
        <f t="shared" ref="BK1091:BK1135" si="929">IF(AND(BF1091&gt;0,BG1091&gt;0,BH1091&gt;0,BI1091&gt;0,BJ1091&gt;0),B1091-BF1091,"-")</f>
        <v>-</v>
      </c>
      <c r="BL1091" s="820">
        <v>42977</v>
      </c>
      <c r="BM1091" s="821">
        <v>5</v>
      </c>
      <c r="BN1091" s="822">
        <f t="shared" ref="BN1091:BN1135" ca="1" si="930">IF(AND(BL1091&gt;0,BM1091&gt;0),B1091-BL1091,"-")</f>
        <v>157</v>
      </c>
      <c r="BO1091" s="823">
        <f t="shared" ref="BO1091:BO1135" si="931">IF(AND(BL1091&gt;0,BM1091&gt;0),(BL1091-I1091)/30,"-")</f>
        <v>12.566666666666666</v>
      </c>
      <c r="BP1091" s="824"/>
      <c r="BQ1091" s="821"/>
      <c r="BR1091" s="822" t="str">
        <f t="shared" ref="BR1091:BR1135" si="932">IF(AND(BP1091&gt;0,BQ1091&gt;0),B1091-BP1091,"-")</f>
        <v>-</v>
      </c>
      <c r="BS1091" s="823" t="str">
        <f t="shared" ref="BS1091:BS1135" si="933">IF(AND(BP1091&gt;0,BQ1091&gt;0),(BP1091-M1091)/30,"-")</f>
        <v>-</v>
      </c>
      <c r="BT1091" s="825" t="str">
        <f t="shared" ref="BT1091:BT1135" ca="1" si="934">IF(AND(OR(E1091="тёлочка",E1091="бычок"),L1091&gt;0,BV1091&lt;2,L1091&lt;60),"ПОДЛЕЖИТ ВАКЦИНАЦИИ","-")</f>
        <v>-</v>
      </c>
      <c r="BU1091" s="826"/>
      <c r="BV1091" s="827"/>
      <c r="BW1091" s="828" t="str">
        <f t="shared" ref="BW1091:BW1135" si="935">IF(AND(BU1091&gt;0,BV1091=2),BU1091-I1091,"Ж-Е НЕ ВАКЦ.")</f>
        <v>Ж-Е НЕ ВАКЦ.</v>
      </c>
      <c r="BX1091" s="829" t="str">
        <f t="shared" ref="BX1091:BX1135" si="936">IF(AND(BU1091&gt;0,BV1091=2),B1091-BU1091,"-")</f>
        <v>-</v>
      </c>
      <c r="BY1091" s="830" t="str">
        <f t="shared" ref="BY1091:BY1135" ca="1" si="937">IF(AND(L1091&gt;42,CA1091&lt;5),"ПОДЛЕЖИТ ВАКЦИНАЦИИ","-")</f>
        <v>-</v>
      </c>
      <c r="BZ1091" s="831">
        <v>42892</v>
      </c>
      <c r="CA1091" s="832">
        <v>5</v>
      </c>
      <c r="CB1091" s="833">
        <f t="shared" ref="CB1091:CB1135" ca="1" si="938">IF(AND(BZ1091&gt;0,CA1091=5),B1091-BZ1091,"-")</f>
        <v>242</v>
      </c>
      <c r="CC1091" s="834" t="str">
        <f t="shared" ref="CC1091:CC1135" ca="1" si="939">IF(AND(CA1091=5,CB1091&gt;20,CF1091&lt;5),"ТРЕБУЕТСЯ БУСТЕРНАЯ ДОЗА","-")</f>
        <v>-</v>
      </c>
      <c r="CD1091" s="835">
        <f t="shared" ref="CD1091:CD1135" si="940">IF(AND(BZ1091&gt;0,CA1091=5),BZ1091+21,"-")</f>
        <v>42913</v>
      </c>
      <c r="CE1091" s="831">
        <v>42913</v>
      </c>
      <c r="CF1091" s="832">
        <v>5</v>
      </c>
      <c r="CG1091" s="833">
        <f t="shared" ref="CG1091:CG1135" ca="1" si="941">IF(AND(CE1091&gt;0,CF1091=5),B1091-CE1091,"-")</f>
        <v>221</v>
      </c>
      <c r="CH1091" s="836">
        <f t="shared" ref="CH1091:CH1135" si="942">IF(AND(CD1091&gt;0,CE1091&gt;0,CF1091=5),CD1091-CE1091,"-")</f>
        <v>0</v>
      </c>
      <c r="CI1091" s="837" t="str">
        <f t="shared" ref="CI1091:CI1135" si="943">IF(AND(CF1091=5,CH1091=0),"УСПЕШНО","-")</f>
        <v>УСПЕШНО</v>
      </c>
      <c r="CJ1091" s="838" t="str">
        <f t="shared" ref="CJ1091:CJ1135" ca="1" si="944">IF(AND(BZ1091&gt;0,CA1091=5,CE1091&gt;0,CF1091=5,CG1091&gt;240,CL1091&lt;5),"НЕОБХОДИМА РЕВАКЦИНАЦИЯ","-")</f>
        <v>-</v>
      </c>
      <c r="CK1091" s="831"/>
      <c r="CL1091" s="832"/>
      <c r="CM1091" s="833" t="str">
        <f t="shared" ref="CM1091:CM1135" si="945">IF(AND(CK1091&gt;0,CL1091=5),N1091-CK1091,"-")</f>
        <v>-</v>
      </c>
      <c r="CN1091" s="834" t="str">
        <f t="shared" ref="CN1091:CN1135" si="946">IF(AND(CK1091&gt;0,CL1091=5,CM1091&gt;240),"НЕОБХОДИМА РЕВАКЦИНАЦИЯ","-")</f>
        <v>-</v>
      </c>
      <c r="CO1091" s="830" t="str">
        <f t="shared" ref="CO1091:CO1135" ca="1" si="947">IF(AND(Y1091=1,AN1091&gt;-70,CQ1091&lt;2),"ТРЕБУЕТСЯ ВАКЦИНАЦИЯ","-")</f>
        <v>-</v>
      </c>
      <c r="CP1091" s="839"/>
      <c r="CQ1091" s="832"/>
      <c r="CR1091" s="833" t="str">
        <f t="shared" ref="CR1091:CR1135" si="948">IF(AND(CP1091&gt;0,CQ1091=2),CP1091-T1091,"-")</f>
        <v>-</v>
      </c>
      <c r="CS1091" s="833" t="str">
        <f t="shared" ref="CS1091:CS1135" si="949">IF(AND(CP1091&gt;0,CQ1091=2),B1091-CP1091,"-")</f>
        <v>-</v>
      </c>
      <c r="CT1091" s="834" t="str">
        <f t="shared" ref="CT1091:CT1135" si="950">IF(AND(CQ1091=2,CS1091&gt;20,CW1091&lt;2),"ТРЕБУЕТСЯ БУСТЕРНАЯ ДОЗА","-")</f>
        <v>-</v>
      </c>
      <c r="CU1091" s="835" t="str">
        <f t="shared" ref="CU1091:CU1135" si="951">IF(AND(CP1091&gt;0,CQ1091=2),CP1091+21,"-")</f>
        <v>-</v>
      </c>
      <c r="CV1091" s="839"/>
      <c r="CW1091" s="832"/>
      <c r="CX1091" s="833" t="str">
        <f t="shared" ref="CX1091:CX1135" si="952">IF(AND(CU1091&gt;0,CV1091&gt;0,CW1091=2),CV1091-CU1091,"-")</f>
        <v>-</v>
      </c>
      <c r="CY1091" s="840" t="str">
        <f t="shared" ref="CY1091:CY1135" si="953">IF(AND(CW1091=2,CX1091=0),"УСПЕШНО","-")</f>
        <v>-</v>
      </c>
      <c r="CZ1091" s="833" t="str">
        <f t="shared" ref="CZ1091:CZ1135" si="954">IF(AND(CV1091&gt;0,CW1091=2),CV1091-T1091,"-")</f>
        <v>-</v>
      </c>
      <c r="DA1091" s="838" t="str">
        <f t="shared" ref="DA1091:DA1135" ca="1" si="955">IF(AND(CP1091&gt;0,CQ1091=2,CV1091&gt;0,CW1091=2,Y1091=1,AN1091&gt;-50,DC1091&lt;2),"ТРЕБУЕТСЯ РЕВАКЦИНАЦИЯ","-")</f>
        <v>-</v>
      </c>
      <c r="DB1091" s="841"/>
      <c r="DC1091" s="832"/>
    </row>
    <row r="1092" spans="1:107" x14ac:dyDescent="0.25">
      <c r="A1092" s="790">
        <v>1096</v>
      </c>
      <c r="B1092" s="791">
        <f t="shared" ca="1" si="904"/>
        <v>43134</v>
      </c>
      <c r="C1092" s="792" t="s">
        <v>2584</v>
      </c>
      <c r="D1092" s="793" t="s">
        <v>2582</v>
      </c>
      <c r="E1092" s="794" t="s">
        <v>1563</v>
      </c>
      <c r="F1092" s="795" t="s">
        <v>1842</v>
      </c>
      <c r="G1092" s="845"/>
      <c r="H1092" s="797" t="s">
        <v>603</v>
      </c>
      <c r="I1092" s="798">
        <v>42602</v>
      </c>
      <c r="J1092" s="799">
        <f t="shared" ca="1" si="905"/>
        <v>1.4575342465753425</v>
      </c>
      <c r="K1092" s="799">
        <f t="shared" ca="1" si="906"/>
        <v>17.733333333333334</v>
      </c>
      <c r="L1092" s="800">
        <f t="shared" ca="1" si="907"/>
        <v>532</v>
      </c>
      <c r="M1092" s="801"/>
      <c r="N1092" s="802"/>
      <c r="O1092" s="803" t="str">
        <f t="shared" ca="1" si="908"/>
        <v>-</v>
      </c>
      <c r="P1092" s="804"/>
      <c r="Q1092" s="805" t="s">
        <v>2366</v>
      </c>
      <c r="R1092" s="806" t="s">
        <v>2967</v>
      </c>
      <c r="S1092" s="807">
        <v>42965</v>
      </c>
      <c r="T1092" s="798">
        <v>43046</v>
      </c>
      <c r="U1092" s="798" t="str">
        <f t="shared" si="909"/>
        <v>-</v>
      </c>
      <c r="V1092" s="804" t="str">
        <f t="shared" ca="1" si="910"/>
        <v>-</v>
      </c>
      <c r="W1092" s="808">
        <v>4</v>
      </c>
      <c r="X1092" s="794" t="str">
        <f t="shared" si="903"/>
        <v>-</v>
      </c>
      <c r="Y1092" s="794">
        <v>0</v>
      </c>
      <c r="Z1092" s="809" t="str">
        <f t="shared" ca="1" si="911"/>
        <v>-----</v>
      </c>
      <c r="AA1092" s="810">
        <f t="shared" ca="1" si="912"/>
        <v>88</v>
      </c>
      <c r="AB1092" s="804"/>
      <c r="AC1092" s="811" t="str">
        <f t="shared" ca="1" si="913"/>
        <v>-----</v>
      </c>
      <c r="AD1092" s="798"/>
      <c r="AE1092" s="794" t="str">
        <f t="shared" ca="1" si="914"/>
        <v>-</v>
      </c>
      <c r="AF1092" s="798" t="str">
        <f t="shared" si="915"/>
        <v>-</v>
      </c>
      <c r="AG1092" s="812" t="str">
        <f t="shared" si="916"/>
        <v>---------</v>
      </c>
      <c r="AH1092" s="807">
        <v>43050</v>
      </c>
      <c r="AI1092" s="807" t="str">
        <f t="shared" si="917"/>
        <v>-</v>
      </c>
      <c r="AJ1092" s="807" t="str">
        <f t="shared" si="918"/>
        <v>-</v>
      </c>
      <c r="AK1092" s="813"/>
      <c r="AL1092" s="807" t="str">
        <f t="shared" si="919"/>
        <v>-</v>
      </c>
      <c r="AM1092" s="807" t="str">
        <f t="shared" si="920"/>
        <v>-</v>
      </c>
      <c r="AN1092" s="814" t="str">
        <f t="shared" ca="1" si="921"/>
        <v>-</v>
      </c>
      <c r="AO1092" s="815">
        <v>1</v>
      </c>
      <c r="AP1092" s="816" t="str">
        <f t="shared" ca="1" si="922"/>
        <v>-</v>
      </c>
      <c r="AQ1092" s="441" t="s">
        <v>3458</v>
      </c>
      <c r="AR1092" s="794" t="str">
        <f t="shared" si="923"/>
        <v>-</v>
      </c>
      <c r="AS1092" s="818"/>
      <c r="AT1092" s="794" t="str">
        <f t="shared" si="924"/>
        <v>-</v>
      </c>
      <c r="AU1092" s="819"/>
      <c r="AV1092" s="820"/>
      <c r="AW1092" s="821"/>
      <c r="AX1092" s="821"/>
      <c r="AY1092" s="969" t="str">
        <f t="shared" si="925"/>
        <v>-</v>
      </c>
      <c r="AZ1092" s="966" t="str">
        <f t="shared" si="926"/>
        <v>-</v>
      </c>
      <c r="BA1092" s="971" t="str">
        <f t="shared" si="927"/>
        <v>-</v>
      </c>
      <c r="BB1092" s="975"/>
      <c r="BC1092" s="821"/>
      <c r="BD1092" s="821"/>
      <c r="BE1092" s="963" t="str">
        <f t="shared" si="928"/>
        <v>-</v>
      </c>
      <c r="BF1092" s="984"/>
      <c r="BG1092" s="988"/>
      <c r="BH1092" s="982"/>
      <c r="BI1092" s="991"/>
      <c r="BJ1092" s="991"/>
      <c r="BK1092" s="993" t="str">
        <f t="shared" si="929"/>
        <v>-</v>
      </c>
      <c r="BL1092" s="820">
        <v>42977</v>
      </c>
      <c r="BM1092" s="821">
        <v>5</v>
      </c>
      <c r="BN1092" s="822">
        <f t="shared" ca="1" si="930"/>
        <v>157</v>
      </c>
      <c r="BO1092" s="823">
        <f t="shared" si="931"/>
        <v>12.5</v>
      </c>
      <c r="BP1092" s="824"/>
      <c r="BQ1092" s="821"/>
      <c r="BR1092" s="822" t="str">
        <f t="shared" si="932"/>
        <v>-</v>
      </c>
      <c r="BS1092" s="823" t="str">
        <f t="shared" si="933"/>
        <v>-</v>
      </c>
      <c r="BT1092" s="825" t="str">
        <f t="shared" ca="1" si="934"/>
        <v>-</v>
      </c>
      <c r="BU1092" s="826"/>
      <c r="BV1092" s="827"/>
      <c r="BW1092" s="828" t="str">
        <f t="shared" si="935"/>
        <v>Ж-Е НЕ ВАКЦ.</v>
      </c>
      <c r="BX1092" s="829" t="str">
        <f t="shared" si="936"/>
        <v>-</v>
      </c>
      <c r="BY1092" s="830" t="str">
        <f t="shared" ca="1" si="937"/>
        <v>-</v>
      </c>
      <c r="BZ1092" s="831">
        <v>42892</v>
      </c>
      <c r="CA1092" s="832">
        <v>5</v>
      </c>
      <c r="CB1092" s="833">
        <f t="shared" ca="1" si="938"/>
        <v>242</v>
      </c>
      <c r="CC1092" s="834" t="str">
        <f t="shared" ca="1" si="939"/>
        <v>-</v>
      </c>
      <c r="CD1092" s="835">
        <f t="shared" si="940"/>
        <v>42913</v>
      </c>
      <c r="CE1092" s="831">
        <v>42913</v>
      </c>
      <c r="CF1092" s="832">
        <v>5</v>
      </c>
      <c r="CG1092" s="833">
        <f t="shared" ca="1" si="941"/>
        <v>221</v>
      </c>
      <c r="CH1092" s="836">
        <f t="shared" si="942"/>
        <v>0</v>
      </c>
      <c r="CI1092" s="837" t="str">
        <f t="shared" si="943"/>
        <v>УСПЕШНО</v>
      </c>
      <c r="CJ1092" s="838" t="str">
        <f t="shared" ca="1" si="944"/>
        <v>-</v>
      </c>
      <c r="CK1092" s="831"/>
      <c r="CL1092" s="832"/>
      <c r="CM1092" s="833" t="str">
        <f t="shared" si="945"/>
        <v>-</v>
      </c>
      <c r="CN1092" s="834" t="str">
        <f t="shared" si="946"/>
        <v>-</v>
      </c>
      <c r="CO1092" s="830" t="str">
        <f t="shared" ca="1" si="947"/>
        <v>-</v>
      </c>
      <c r="CP1092" s="839"/>
      <c r="CQ1092" s="832"/>
      <c r="CR1092" s="833" t="str">
        <f t="shared" si="948"/>
        <v>-</v>
      </c>
      <c r="CS1092" s="833" t="str">
        <f t="shared" si="949"/>
        <v>-</v>
      </c>
      <c r="CT1092" s="834" t="str">
        <f t="shared" si="950"/>
        <v>-</v>
      </c>
      <c r="CU1092" s="835" t="str">
        <f t="shared" si="951"/>
        <v>-</v>
      </c>
      <c r="CV1092" s="839"/>
      <c r="CW1092" s="832"/>
      <c r="CX1092" s="833" t="str">
        <f t="shared" si="952"/>
        <v>-</v>
      </c>
      <c r="CY1092" s="840" t="str">
        <f t="shared" si="953"/>
        <v>-</v>
      </c>
      <c r="CZ1092" s="833" t="str">
        <f t="shared" si="954"/>
        <v>-</v>
      </c>
      <c r="DA1092" s="838" t="str">
        <f t="shared" ca="1" si="955"/>
        <v>-</v>
      </c>
      <c r="DB1092" s="841"/>
      <c r="DC1092" s="832"/>
    </row>
    <row r="1093" spans="1:107" x14ac:dyDescent="0.25">
      <c r="A1093" s="790">
        <v>1097</v>
      </c>
      <c r="B1093" s="791">
        <f t="shared" ca="1" si="904"/>
        <v>43134</v>
      </c>
      <c r="C1093" s="792" t="s">
        <v>2584</v>
      </c>
      <c r="D1093" s="793" t="s">
        <v>2582</v>
      </c>
      <c r="E1093" s="794" t="s">
        <v>1563</v>
      </c>
      <c r="F1093" s="795" t="s">
        <v>1843</v>
      </c>
      <c r="G1093" s="845"/>
      <c r="H1093" s="797" t="s">
        <v>603</v>
      </c>
      <c r="I1093" s="798">
        <v>42603</v>
      </c>
      <c r="J1093" s="799">
        <f t="shared" ca="1" si="905"/>
        <v>1.4547945205479451</v>
      </c>
      <c r="K1093" s="799">
        <f t="shared" ca="1" si="906"/>
        <v>17.7</v>
      </c>
      <c r="L1093" s="800">
        <f t="shared" ca="1" si="907"/>
        <v>531</v>
      </c>
      <c r="M1093" s="801"/>
      <c r="N1093" s="802"/>
      <c r="O1093" s="803" t="str">
        <f t="shared" ca="1" si="908"/>
        <v>-</v>
      </c>
      <c r="P1093" s="804"/>
      <c r="Q1093" s="805" t="s">
        <v>1451</v>
      </c>
      <c r="R1093" s="806" t="s">
        <v>2967</v>
      </c>
      <c r="S1093" s="807">
        <v>43005</v>
      </c>
      <c r="T1093" s="798">
        <v>43005</v>
      </c>
      <c r="U1093" s="798">
        <f t="shared" si="909"/>
        <v>43023</v>
      </c>
      <c r="V1093" s="804">
        <f t="shared" ca="1" si="910"/>
        <v>111</v>
      </c>
      <c r="W1093" s="808">
        <v>1</v>
      </c>
      <c r="X1093" s="794" t="str">
        <f t="shared" si="903"/>
        <v>-</v>
      </c>
      <c r="Y1093" s="794">
        <v>3</v>
      </c>
      <c r="Z1093" s="809" t="str">
        <f t="shared" ca="1" si="911"/>
        <v>-----</v>
      </c>
      <c r="AA1093" s="810">
        <f t="shared" ca="1" si="912"/>
        <v>129</v>
      </c>
      <c r="AB1093" s="804"/>
      <c r="AC1093" s="811" t="str">
        <f t="shared" ca="1" si="913"/>
        <v>-----</v>
      </c>
      <c r="AD1093" s="798"/>
      <c r="AE1093" s="794" t="str">
        <f t="shared" ca="1" si="914"/>
        <v>-</v>
      </c>
      <c r="AF1093" s="798">
        <f t="shared" si="915"/>
        <v>43040</v>
      </c>
      <c r="AG1093" s="812">
        <f t="shared" ca="1" si="916"/>
        <v>94</v>
      </c>
      <c r="AH1093" s="807"/>
      <c r="AI1093" s="807" t="str">
        <f t="shared" si="917"/>
        <v>-</v>
      </c>
      <c r="AJ1093" s="807" t="str">
        <f t="shared" si="918"/>
        <v>-</v>
      </c>
      <c r="AK1093" s="813"/>
      <c r="AL1093" s="807" t="str">
        <f t="shared" si="919"/>
        <v>-</v>
      </c>
      <c r="AM1093" s="807" t="str">
        <f t="shared" si="920"/>
        <v>-</v>
      </c>
      <c r="AN1093" s="814" t="str">
        <f t="shared" ca="1" si="921"/>
        <v>-</v>
      </c>
      <c r="AO1093" s="815">
        <v>1</v>
      </c>
      <c r="AP1093" s="816" t="str">
        <f t="shared" ca="1" si="922"/>
        <v>-</v>
      </c>
      <c r="AQ1093" s="817"/>
      <c r="AR1093" s="794" t="str">
        <f t="shared" si="923"/>
        <v>-</v>
      </c>
      <c r="AS1093" s="818"/>
      <c r="AT1093" s="794" t="str">
        <f t="shared" si="924"/>
        <v>-</v>
      </c>
      <c r="AU1093" s="819"/>
      <c r="AV1093" s="820"/>
      <c r="AW1093" s="821"/>
      <c r="AX1093" s="821"/>
      <c r="AY1093" s="969" t="str">
        <f t="shared" si="925"/>
        <v>-</v>
      </c>
      <c r="AZ1093" s="966" t="str">
        <f t="shared" si="926"/>
        <v>-</v>
      </c>
      <c r="BA1093" s="971" t="str">
        <f t="shared" si="927"/>
        <v>-</v>
      </c>
      <c r="BB1093" s="975"/>
      <c r="BC1093" s="821"/>
      <c r="BD1093" s="821"/>
      <c r="BE1093" s="963" t="str">
        <f t="shared" si="928"/>
        <v>-</v>
      </c>
      <c r="BF1093" s="984"/>
      <c r="BG1093" s="988"/>
      <c r="BH1093" s="982"/>
      <c r="BI1093" s="991"/>
      <c r="BJ1093" s="991"/>
      <c r="BK1093" s="993" t="str">
        <f t="shared" si="929"/>
        <v>-</v>
      </c>
      <c r="BL1093" s="820">
        <v>42977</v>
      </c>
      <c r="BM1093" s="821">
        <v>5</v>
      </c>
      <c r="BN1093" s="822">
        <f t="shared" ca="1" si="930"/>
        <v>157</v>
      </c>
      <c r="BO1093" s="823">
        <f t="shared" si="931"/>
        <v>12.466666666666667</v>
      </c>
      <c r="BP1093" s="824"/>
      <c r="BQ1093" s="821"/>
      <c r="BR1093" s="822" t="str">
        <f t="shared" si="932"/>
        <v>-</v>
      </c>
      <c r="BS1093" s="823" t="str">
        <f t="shared" si="933"/>
        <v>-</v>
      </c>
      <c r="BT1093" s="825" t="str">
        <f t="shared" ca="1" si="934"/>
        <v>-</v>
      </c>
      <c r="BU1093" s="826"/>
      <c r="BV1093" s="827"/>
      <c r="BW1093" s="828" t="str">
        <f t="shared" si="935"/>
        <v>Ж-Е НЕ ВАКЦ.</v>
      </c>
      <c r="BX1093" s="829" t="str">
        <f t="shared" si="936"/>
        <v>-</v>
      </c>
      <c r="BY1093" s="830" t="str">
        <f t="shared" ca="1" si="937"/>
        <v>-</v>
      </c>
      <c r="BZ1093" s="831">
        <v>42892</v>
      </c>
      <c r="CA1093" s="832">
        <v>5</v>
      </c>
      <c r="CB1093" s="833">
        <f t="shared" ca="1" si="938"/>
        <v>242</v>
      </c>
      <c r="CC1093" s="834" t="str">
        <f t="shared" ca="1" si="939"/>
        <v>-</v>
      </c>
      <c r="CD1093" s="835">
        <f t="shared" si="940"/>
        <v>42913</v>
      </c>
      <c r="CE1093" s="831">
        <v>42913</v>
      </c>
      <c r="CF1093" s="832">
        <v>5</v>
      </c>
      <c r="CG1093" s="833">
        <f t="shared" ca="1" si="941"/>
        <v>221</v>
      </c>
      <c r="CH1093" s="836">
        <f t="shared" si="942"/>
        <v>0</v>
      </c>
      <c r="CI1093" s="837" t="str">
        <f t="shared" si="943"/>
        <v>УСПЕШНО</v>
      </c>
      <c r="CJ1093" s="838" t="str">
        <f t="shared" ca="1" si="944"/>
        <v>-</v>
      </c>
      <c r="CK1093" s="831"/>
      <c r="CL1093" s="832"/>
      <c r="CM1093" s="833" t="str">
        <f t="shared" si="945"/>
        <v>-</v>
      </c>
      <c r="CN1093" s="834" t="str">
        <f t="shared" si="946"/>
        <v>-</v>
      </c>
      <c r="CO1093" s="830" t="str">
        <f t="shared" ca="1" si="947"/>
        <v>-</v>
      </c>
      <c r="CP1093" s="839"/>
      <c r="CQ1093" s="832"/>
      <c r="CR1093" s="833" t="str">
        <f t="shared" si="948"/>
        <v>-</v>
      </c>
      <c r="CS1093" s="833" t="str">
        <f t="shared" si="949"/>
        <v>-</v>
      </c>
      <c r="CT1093" s="834" t="str">
        <f t="shared" si="950"/>
        <v>-</v>
      </c>
      <c r="CU1093" s="835" t="str">
        <f t="shared" si="951"/>
        <v>-</v>
      </c>
      <c r="CV1093" s="839"/>
      <c r="CW1093" s="832"/>
      <c r="CX1093" s="833" t="str">
        <f t="shared" si="952"/>
        <v>-</v>
      </c>
      <c r="CY1093" s="840" t="str">
        <f t="shared" si="953"/>
        <v>-</v>
      </c>
      <c r="CZ1093" s="833" t="str">
        <f t="shared" si="954"/>
        <v>-</v>
      </c>
      <c r="DA1093" s="838" t="str">
        <f t="shared" ca="1" si="955"/>
        <v>-</v>
      </c>
      <c r="DB1093" s="841"/>
      <c r="DC1093" s="832"/>
    </row>
    <row r="1094" spans="1:107" x14ac:dyDescent="0.25">
      <c r="A1094" s="790">
        <v>1098</v>
      </c>
      <c r="B1094" s="791">
        <f t="shared" ca="1" si="904"/>
        <v>43134</v>
      </c>
      <c r="C1094" s="792" t="s">
        <v>2584</v>
      </c>
      <c r="D1094" s="793" t="s">
        <v>2582</v>
      </c>
      <c r="E1094" s="794" t="s">
        <v>1563</v>
      </c>
      <c r="F1094" s="795" t="s">
        <v>1847</v>
      </c>
      <c r="G1094" s="845"/>
      <c r="H1094" s="797" t="s">
        <v>603</v>
      </c>
      <c r="I1094" s="798">
        <v>42606</v>
      </c>
      <c r="J1094" s="799">
        <f t="shared" ca="1" si="905"/>
        <v>1.4465753424657535</v>
      </c>
      <c r="K1094" s="799">
        <f t="shared" ca="1" si="906"/>
        <v>17.600000000000001</v>
      </c>
      <c r="L1094" s="800">
        <f t="shared" ca="1" si="907"/>
        <v>528</v>
      </c>
      <c r="M1094" s="801"/>
      <c r="N1094" s="802"/>
      <c r="O1094" s="803" t="str">
        <f t="shared" ca="1" si="908"/>
        <v>-</v>
      </c>
      <c r="P1094" s="804"/>
      <c r="Q1094" s="68" t="s">
        <v>2366</v>
      </c>
      <c r="R1094" s="806" t="s">
        <v>2967</v>
      </c>
      <c r="S1094" s="807">
        <v>43008</v>
      </c>
      <c r="T1094" s="798">
        <v>43046</v>
      </c>
      <c r="U1094" s="798">
        <f t="shared" si="909"/>
        <v>43064</v>
      </c>
      <c r="V1094" s="804">
        <f t="shared" ca="1" si="910"/>
        <v>70</v>
      </c>
      <c r="W1094" s="808">
        <v>3</v>
      </c>
      <c r="X1094" s="794" t="str">
        <f t="shared" si="903"/>
        <v>-</v>
      </c>
      <c r="Y1094" s="794">
        <v>3</v>
      </c>
      <c r="Z1094" s="809" t="str">
        <f t="shared" ca="1" si="911"/>
        <v>-----</v>
      </c>
      <c r="AA1094" s="810">
        <f t="shared" ca="1" si="912"/>
        <v>88</v>
      </c>
      <c r="AB1094" s="804"/>
      <c r="AC1094" s="811" t="str">
        <f t="shared" ca="1" si="913"/>
        <v>-----</v>
      </c>
      <c r="AD1094" s="798"/>
      <c r="AE1094" s="794" t="str">
        <f t="shared" ca="1" si="914"/>
        <v>-</v>
      </c>
      <c r="AF1094" s="798">
        <f t="shared" si="915"/>
        <v>43081</v>
      </c>
      <c r="AG1094" s="812">
        <f t="shared" ca="1" si="916"/>
        <v>53</v>
      </c>
      <c r="AH1094" s="807"/>
      <c r="AI1094" s="807" t="str">
        <f t="shared" si="917"/>
        <v>-</v>
      </c>
      <c r="AJ1094" s="807" t="str">
        <f t="shared" si="918"/>
        <v>-</v>
      </c>
      <c r="AK1094" s="813"/>
      <c r="AL1094" s="807" t="str">
        <f t="shared" si="919"/>
        <v>-</v>
      </c>
      <c r="AM1094" s="807" t="str">
        <f t="shared" si="920"/>
        <v>-</v>
      </c>
      <c r="AN1094" s="814" t="str">
        <f t="shared" ca="1" si="921"/>
        <v>-</v>
      </c>
      <c r="AO1094" s="815">
        <v>1</v>
      </c>
      <c r="AP1094" s="816" t="str">
        <f t="shared" ca="1" si="922"/>
        <v>-</v>
      </c>
      <c r="AQ1094" s="817"/>
      <c r="AR1094" s="794" t="str">
        <f t="shared" si="923"/>
        <v>-</v>
      </c>
      <c r="AS1094" s="818"/>
      <c r="AT1094" s="794" t="str">
        <f t="shared" si="924"/>
        <v>-</v>
      </c>
      <c r="AU1094" s="819"/>
      <c r="AV1094" s="820"/>
      <c r="AW1094" s="821"/>
      <c r="AX1094" s="821"/>
      <c r="AY1094" s="969" t="str">
        <f t="shared" si="925"/>
        <v>-</v>
      </c>
      <c r="AZ1094" s="966" t="str">
        <f t="shared" si="926"/>
        <v>-</v>
      </c>
      <c r="BA1094" s="971" t="str">
        <f t="shared" si="927"/>
        <v>-</v>
      </c>
      <c r="BB1094" s="975"/>
      <c r="BC1094" s="821"/>
      <c r="BD1094" s="821"/>
      <c r="BE1094" s="963" t="str">
        <f t="shared" si="928"/>
        <v>-</v>
      </c>
      <c r="BF1094" s="984"/>
      <c r="BG1094" s="988"/>
      <c r="BH1094" s="982"/>
      <c r="BI1094" s="991"/>
      <c r="BJ1094" s="991"/>
      <c r="BK1094" s="993" t="str">
        <f t="shared" si="929"/>
        <v>-</v>
      </c>
      <c r="BL1094" s="820">
        <v>42977</v>
      </c>
      <c r="BM1094" s="821">
        <v>5</v>
      </c>
      <c r="BN1094" s="822">
        <f t="shared" ca="1" si="930"/>
        <v>157</v>
      </c>
      <c r="BO1094" s="823">
        <f t="shared" si="931"/>
        <v>12.366666666666667</v>
      </c>
      <c r="BP1094" s="824"/>
      <c r="BQ1094" s="821"/>
      <c r="BR1094" s="822" t="str">
        <f t="shared" si="932"/>
        <v>-</v>
      </c>
      <c r="BS1094" s="823" t="str">
        <f t="shared" si="933"/>
        <v>-</v>
      </c>
      <c r="BT1094" s="825" t="str">
        <f t="shared" ca="1" si="934"/>
        <v>-</v>
      </c>
      <c r="BU1094" s="826"/>
      <c r="BV1094" s="827"/>
      <c r="BW1094" s="828" t="str">
        <f t="shared" si="935"/>
        <v>Ж-Е НЕ ВАКЦ.</v>
      </c>
      <c r="BX1094" s="829" t="str">
        <f t="shared" si="936"/>
        <v>-</v>
      </c>
      <c r="BY1094" s="830" t="str">
        <f t="shared" ca="1" si="937"/>
        <v>-</v>
      </c>
      <c r="BZ1094" s="831">
        <v>42892</v>
      </c>
      <c r="CA1094" s="832">
        <v>5</v>
      </c>
      <c r="CB1094" s="833">
        <f t="shared" ca="1" si="938"/>
        <v>242</v>
      </c>
      <c r="CC1094" s="834" t="str">
        <f t="shared" ca="1" si="939"/>
        <v>-</v>
      </c>
      <c r="CD1094" s="835">
        <f t="shared" si="940"/>
        <v>42913</v>
      </c>
      <c r="CE1094" s="831">
        <v>42913</v>
      </c>
      <c r="CF1094" s="832">
        <v>5</v>
      </c>
      <c r="CG1094" s="833">
        <f t="shared" ca="1" si="941"/>
        <v>221</v>
      </c>
      <c r="CH1094" s="836">
        <f t="shared" si="942"/>
        <v>0</v>
      </c>
      <c r="CI1094" s="837" t="str">
        <f t="shared" si="943"/>
        <v>УСПЕШНО</v>
      </c>
      <c r="CJ1094" s="838" t="str">
        <f t="shared" ca="1" si="944"/>
        <v>-</v>
      </c>
      <c r="CK1094" s="831"/>
      <c r="CL1094" s="832"/>
      <c r="CM1094" s="833" t="str">
        <f t="shared" si="945"/>
        <v>-</v>
      </c>
      <c r="CN1094" s="834" t="str">
        <f t="shared" si="946"/>
        <v>-</v>
      </c>
      <c r="CO1094" s="830" t="str">
        <f t="shared" ca="1" si="947"/>
        <v>-</v>
      </c>
      <c r="CP1094" s="839"/>
      <c r="CQ1094" s="832"/>
      <c r="CR1094" s="833" t="str">
        <f t="shared" si="948"/>
        <v>-</v>
      </c>
      <c r="CS1094" s="833" t="str">
        <f t="shared" si="949"/>
        <v>-</v>
      </c>
      <c r="CT1094" s="834" t="str">
        <f t="shared" si="950"/>
        <v>-</v>
      </c>
      <c r="CU1094" s="835" t="str">
        <f t="shared" si="951"/>
        <v>-</v>
      </c>
      <c r="CV1094" s="839"/>
      <c r="CW1094" s="832"/>
      <c r="CX1094" s="833" t="str">
        <f t="shared" si="952"/>
        <v>-</v>
      </c>
      <c r="CY1094" s="840" t="str">
        <f t="shared" si="953"/>
        <v>-</v>
      </c>
      <c r="CZ1094" s="833" t="str">
        <f t="shared" si="954"/>
        <v>-</v>
      </c>
      <c r="DA1094" s="838" t="str">
        <f t="shared" ca="1" si="955"/>
        <v>-</v>
      </c>
      <c r="DB1094" s="841"/>
      <c r="DC1094" s="832"/>
    </row>
    <row r="1095" spans="1:107" x14ac:dyDescent="0.25">
      <c r="A1095" s="790">
        <v>1099</v>
      </c>
      <c r="B1095" s="791">
        <f t="shared" ca="1" si="904"/>
        <v>43134</v>
      </c>
      <c r="C1095" s="792" t="s">
        <v>2584</v>
      </c>
      <c r="D1095" s="793" t="s">
        <v>2582</v>
      </c>
      <c r="E1095" s="794" t="s">
        <v>1563</v>
      </c>
      <c r="F1095" s="795" t="s">
        <v>1849</v>
      </c>
      <c r="G1095" s="845"/>
      <c r="H1095" s="797" t="s">
        <v>603</v>
      </c>
      <c r="I1095" s="798">
        <v>42606</v>
      </c>
      <c r="J1095" s="799">
        <f t="shared" ca="1" si="905"/>
        <v>1.4465753424657535</v>
      </c>
      <c r="K1095" s="799">
        <f t="shared" ca="1" si="906"/>
        <v>17.600000000000001</v>
      </c>
      <c r="L1095" s="800">
        <f t="shared" ca="1" si="907"/>
        <v>528</v>
      </c>
      <c r="M1095" s="801"/>
      <c r="N1095" s="802"/>
      <c r="O1095" s="803" t="str">
        <f t="shared" ca="1" si="908"/>
        <v>-</v>
      </c>
      <c r="P1095" s="804"/>
      <c r="Q1095" s="805" t="s">
        <v>2366</v>
      </c>
      <c r="R1095" s="806" t="s">
        <v>2967</v>
      </c>
      <c r="S1095" s="807">
        <v>42984</v>
      </c>
      <c r="T1095" s="798">
        <v>42984</v>
      </c>
      <c r="U1095" s="798">
        <f t="shared" si="909"/>
        <v>43002</v>
      </c>
      <c r="V1095" s="804">
        <f t="shared" ca="1" si="910"/>
        <v>132</v>
      </c>
      <c r="W1095" s="808">
        <v>1</v>
      </c>
      <c r="X1095" s="794" t="str">
        <f t="shared" si="903"/>
        <v>-</v>
      </c>
      <c r="Y1095" s="794">
        <v>3</v>
      </c>
      <c r="Z1095" s="809" t="str">
        <f t="shared" ca="1" si="911"/>
        <v>-----</v>
      </c>
      <c r="AA1095" s="810">
        <f t="shared" ca="1" si="912"/>
        <v>150</v>
      </c>
      <c r="AB1095" s="804"/>
      <c r="AC1095" s="811" t="str">
        <f t="shared" ca="1" si="913"/>
        <v>-----</v>
      </c>
      <c r="AD1095" s="798"/>
      <c r="AE1095" s="794" t="str">
        <f t="shared" ca="1" si="914"/>
        <v>-</v>
      </c>
      <c r="AF1095" s="798">
        <f t="shared" si="915"/>
        <v>43019</v>
      </c>
      <c r="AG1095" s="812">
        <f t="shared" ca="1" si="916"/>
        <v>115</v>
      </c>
      <c r="AH1095" s="807"/>
      <c r="AI1095" s="807" t="str">
        <f t="shared" si="917"/>
        <v>-</v>
      </c>
      <c r="AJ1095" s="807" t="str">
        <f t="shared" si="918"/>
        <v>-</v>
      </c>
      <c r="AK1095" s="813"/>
      <c r="AL1095" s="807" t="str">
        <f t="shared" si="919"/>
        <v>-</v>
      </c>
      <c r="AM1095" s="807" t="str">
        <f t="shared" si="920"/>
        <v>-</v>
      </c>
      <c r="AN1095" s="814" t="str">
        <f t="shared" ca="1" si="921"/>
        <v>-</v>
      </c>
      <c r="AO1095" s="815">
        <v>1</v>
      </c>
      <c r="AP1095" s="816" t="str">
        <f t="shared" ca="1" si="922"/>
        <v>-</v>
      </c>
      <c r="AQ1095" s="817"/>
      <c r="AR1095" s="794" t="str">
        <f t="shared" si="923"/>
        <v>-</v>
      </c>
      <c r="AS1095" s="818"/>
      <c r="AT1095" s="794" t="str">
        <f t="shared" si="924"/>
        <v>-</v>
      </c>
      <c r="AU1095" s="819"/>
      <c r="AV1095" s="820"/>
      <c r="AW1095" s="821"/>
      <c r="AX1095" s="821"/>
      <c r="AY1095" s="969" t="str">
        <f t="shared" si="925"/>
        <v>-</v>
      </c>
      <c r="AZ1095" s="966" t="str">
        <f t="shared" si="926"/>
        <v>-</v>
      </c>
      <c r="BA1095" s="971" t="str">
        <f t="shared" si="927"/>
        <v>-</v>
      </c>
      <c r="BB1095" s="975"/>
      <c r="BC1095" s="821"/>
      <c r="BD1095" s="821"/>
      <c r="BE1095" s="963" t="str">
        <f t="shared" si="928"/>
        <v>-</v>
      </c>
      <c r="BF1095" s="984"/>
      <c r="BG1095" s="988"/>
      <c r="BH1095" s="982"/>
      <c r="BI1095" s="991"/>
      <c r="BJ1095" s="991"/>
      <c r="BK1095" s="993" t="str">
        <f t="shared" si="929"/>
        <v>-</v>
      </c>
      <c r="BL1095" s="820">
        <v>42977</v>
      </c>
      <c r="BM1095" s="821">
        <v>5</v>
      </c>
      <c r="BN1095" s="822">
        <f t="shared" ca="1" si="930"/>
        <v>157</v>
      </c>
      <c r="BO1095" s="823">
        <f t="shared" si="931"/>
        <v>12.366666666666667</v>
      </c>
      <c r="BP1095" s="824"/>
      <c r="BQ1095" s="821"/>
      <c r="BR1095" s="822" t="str">
        <f t="shared" si="932"/>
        <v>-</v>
      </c>
      <c r="BS1095" s="823" t="str">
        <f t="shared" si="933"/>
        <v>-</v>
      </c>
      <c r="BT1095" s="825" t="str">
        <f t="shared" ca="1" si="934"/>
        <v>-</v>
      </c>
      <c r="BU1095" s="826"/>
      <c r="BV1095" s="827"/>
      <c r="BW1095" s="828" t="str">
        <f t="shared" si="935"/>
        <v>Ж-Е НЕ ВАКЦ.</v>
      </c>
      <c r="BX1095" s="829" t="str">
        <f t="shared" si="936"/>
        <v>-</v>
      </c>
      <c r="BY1095" s="830" t="str">
        <f t="shared" ca="1" si="937"/>
        <v>-</v>
      </c>
      <c r="BZ1095" s="831">
        <v>42892</v>
      </c>
      <c r="CA1095" s="832">
        <v>5</v>
      </c>
      <c r="CB1095" s="833">
        <f t="shared" ca="1" si="938"/>
        <v>242</v>
      </c>
      <c r="CC1095" s="834" t="str">
        <f t="shared" ca="1" si="939"/>
        <v>-</v>
      </c>
      <c r="CD1095" s="835">
        <f t="shared" si="940"/>
        <v>42913</v>
      </c>
      <c r="CE1095" s="831">
        <v>42913</v>
      </c>
      <c r="CF1095" s="832">
        <v>5</v>
      </c>
      <c r="CG1095" s="833">
        <f t="shared" ca="1" si="941"/>
        <v>221</v>
      </c>
      <c r="CH1095" s="836">
        <f t="shared" si="942"/>
        <v>0</v>
      </c>
      <c r="CI1095" s="837" t="str">
        <f t="shared" si="943"/>
        <v>УСПЕШНО</v>
      </c>
      <c r="CJ1095" s="838" t="str">
        <f t="shared" ca="1" si="944"/>
        <v>-</v>
      </c>
      <c r="CK1095" s="831"/>
      <c r="CL1095" s="832"/>
      <c r="CM1095" s="833" t="str">
        <f t="shared" si="945"/>
        <v>-</v>
      </c>
      <c r="CN1095" s="834" t="str">
        <f t="shared" si="946"/>
        <v>-</v>
      </c>
      <c r="CO1095" s="830" t="str">
        <f t="shared" ca="1" si="947"/>
        <v>-</v>
      </c>
      <c r="CP1095" s="839"/>
      <c r="CQ1095" s="832"/>
      <c r="CR1095" s="833" t="str">
        <f t="shared" si="948"/>
        <v>-</v>
      </c>
      <c r="CS1095" s="833" t="str">
        <f t="shared" si="949"/>
        <v>-</v>
      </c>
      <c r="CT1095" s="834" t="str">
        <f t="shared" si="950"/>
        <v>-</v>
      </c>
      <c r="CU1095" s="835" t="str">
        <f t="shared" si="951"/>
        <v>-</v>
      </c>
      <c r="CV1095" s="839"/>
      <c r="CW1095" s="832"/>
      <c r="CX1095" s="833" t="str">
        <f t="shared" si="952"/>
        <v>-</v>
      </c>
      <c r="CY1095" s="840" t="str">
        <f t="shared" si="953"/>
        <v>-</v>
      </c>
      <c r="CZ1095" s="833" t="str">
        <f t="shared" si="954"/>
        <v>-</v>
      </c>
      <c r="DA1095" s="838" t="str">
        <f t="shared" ca="1" si="955"/>
        <v>-</v>
      </c>
      <c r="DB1095" s="841"/>
      <c r="DC1095" s="832"/>
    </row>
    <row r="1096" spans="1:107" x14ac:dyDescent="0.25">
      <c r="A1096" s="790">
        <v>1100</v>
      </c>
      <c r="B1096" s="791">
        <f t="shared" ca="1" si="904"/>
        <v>43134</v>
      </c>
      <c r="C1096" s="792" t="s">
        <v>2584</v>
      </c>
      <c r="D1096" s="793" t="s">
        <v>2582</v>
      </c>
      <c r="E1096" s="794" t="s">
        <v>1563</v>
      </c>
      <c r="F1096" s="795" t="s">
        <v>1864</v>
      </c>
      <c r="G1096" s="845"/>
      <c r="H1096" s="797" t="s">
        <v>603</v>
      </c>
      <c r="I1096" s="798">
        <v>42614</v>
      </c>
      <c r="J1096" s="799">
        <f t="shared" ca="1" si="905"/>
        <v>1.4246575342465753</v>
      </c>
      <c r="K1096" s="799">
        <f t="shared" ca="1" si="906"/>
        <v>17.333333333333332</v>
      </c>
      <c r="L1096" s="800">
        <f t="shared" ca="1" si="907"/>
        <v>520</v>
      </c>
      <c r="M1096" s="801"/>
      <c r="N1096" s="802"/>
      <c r="O1096" s="803" t="str">
        <f t="shared" ca="1" si="908"/>
        <v>-</v>
      </c>
      <c r="P1096" s="804"/>
      <c r="Q1096" s="805" t="s">
        <v>1451</v>
      </c>
      <c r="R1096" s="806" t="s">
        <v>2967</v>
      </c>
      <c r="S1096" s="807">
        <v>42972</v>
      </c>
      <c r="T1096" s="798">
        <v>42999</v>
      </c>
      <c r="U1096" s="798" t="str">
        <f t="shared" si="909"/>
        <v>-</v>
      </c>
      <c r="V1096" s="804" t="str">
        <f t="shared" ca="1" si="910"/>
        <v>-</v>
      </c>
      <c r="W1096" s="808">
        <v>2</v>
      </c>
      <c r="X1096" s="794" t="str">
        <f t="shared" si="903"/>
        <v>-</v>
      </c>
      <c r="Y1096" s="794">
        <v>0</v>
      </c>
      <c r="Z1096" s="809" t="str">
        <f t="shared" ca="1" si="911"/>
        <v>-----</v>
      </c>
      <c r="AA1096" s="810">
        <f t="shared" ca="1" si="912"/>
        <v>135</v>
      </c>
      <c r="AB1096" s="804"/>
      <c r="AC1096" s="811" t="str">
        <f t="shared" ca="1" si="913"/>
        <v>-----</v>
      </c>
      <c r="AD1096" s="798"/>
      <c r="AE1096" s="794" t="str">
        <f t="shared" ca="1" si="914"/>
        <v>-</v>
      </c>
      <c r="AF1096" s="798" t="str">
        <f t="shared" si="915"/>
        <v>-</v>
      </c>
      <c r="AG1096" s="812" t="str">
        <f t="shared" si="916"/>
        <v>---------</v>
      </c>
      <c r="AH1096" s="807">
        <v>43055</v>
      </c>
      <c r="AI1096" s="807" t="str">
        <f t="shared" si="917"/>
        <v>-</v>
      </c>
      <c r="AJ1096" s="807" t="str">
        <f t="shared" si="918"/>
        <v>-</v>
      </c>
      <c r="AK1096" s="813"/>
      <c r="AL1096" s="807" t="str">
        <f t="shared" si="919"/>
        <v>-</v>
      </c>
      <c r="AM1096" s="807" t="str">
        <f t="shared" si="920"/>
        <v>-</v>
      </c>
      <c r="AN1096" s="814" t="str">
        <f t="shared" ca="1" si="921"/>
        <v>-</v>
      </c>
      <c r="AO1096" s="815">
        <v>1</v>
      </c>
      <c r="AP1096" s="816" t="str">
        <f t="shared" ca="1" si="922"/>
        <v>-</v>
      </c>
      <c r="AQ1096" s="817"/>
      <c r="AR1096" s="794" t="str">
        <f t="shared" si="923"/>
        <v>-</v>
      </c>
      <c r="AS1096" s="818"/>
      <c r="AT1096" s="794" t="str">
        <f t="shared" si="924"/>
        <v>-</v>
      </c>
      <c r="AU1096" s="819"/>
      <c r="AV1096" s="820"/>
      <c r="AW1096" s="821"/>
      <c r="AX1096" s="821"/>
      <c r="AY1096" s="969" t="str">
        <f t="shared" si="925"/>
        <v>-</v>
      </c>
      <c r="AZ1096" s="966" t="str">
        <f t="shared" si="926"/>
        <v>-</v>
      </c>
      <c r="BA1096" s="971" t="str">
        <f t="shared" si="927"/>
        <v>-</v>
      </c>
      <c r="BB1096" s="975"/>
      <c r="BC1096" s="821"/>
      <c r="BD1096" s="821"/>
      <c r="BE1096" s="963" t="str">
        <f t="shared" si="928"/>
        <v>-</v>
      </c>
      <c r="BF1096" s="984"/>
      <c r="BG1096" s="988"/>
      <c r="BH1096" s="982"/>
      <c r="BI1096" s="991"/>
      <c r="BJ1096" s="991"/>
      <c r="BK1096" s="993" t="str">
        <f t="shared" si="929"/>
        <v>-</v>
      </c>
      <c r="BL1096" s="820">
        <v>42977</v>
      </c>
      <c r="BM1096" s="821">
        <v>5</v>
      </c>
      <c r="BN1096" s="822">
        <f t="shared" ca="1" si="930"/>
        <v>157</v>
      </c>
      <c r="BO1096" s="823">
        <f t="shared" si="931"/>
        <v>12.1</v>
      </c>
      <c r="BP1096" s="824"/>
      <c r="BQ1096" s="821"/>
      <c r="BR1096" s="822" t="str">
        <f t="shared" si="932"/>
        <v>-</v>
      </c>
      <c r="BS1096" s="823" t="str">
        <f t="shared" si="933"/>
        <v>-</v>
      </c>
      <c r="BT1096" s="825" t="str">
        <f t="shared" ca="1" si="934"/>
        <v>-</v>
      </c>
      <c r="BU1096" s="826"/>
      <c r="BV1096" s="827"/>
      <c r="BW1096" s="828" t="str">
        <f t="shared" si="935"/>
        <v>Ж-Е НЕ ВАКЦ.</v>
      </c>
      <c r="BX1096" s="829" t="str">
        <f t="shared" si="936"/>
        <v>-</v>
      </c>
      <c r="BY1096" s="830" t="str">
        <f t="shared" ca="1" si="937"/>
        <v>-</v>
      </c>
      <c r="BZ1096" s="831">
        <v>42892</v>
      </c>
      <c r="CA1096" s="832">
        <v>5</v>
      </c>
      <c r="CB1096" s="833">
        <f t="shared" ca="1" si="938"/>
        <v>242</v>
      </c>
      <c r="CC1096" s="834" t="str">
        <f t="shared" ca="1" si="939"/>
        <v>-</v>
      </c>
      <c r="CD1096" s="835">
        <f t="shared" si="940"/>
        <v>42913</v>
      </c>
      <c r="CE1096" s="831">
        <v>42913</v>
      </c>
      <c r="CF1096" s="832">
        <v>5</v>
      </c>
      <c r="CG1096" s="833">
        <f t="shared" ca="1" si="941"/>
        <v>221</v>
      </c>
      <c r="CH1096" s="836">
        <f t="shared" si="942"/>
        <v>0</v>
      </c>
      <c r="CI1096" s="837" t="str">
        <f t="shared" si="943"/>
        <v>УСПЕШНО</v>
      </c>
      <c r="CJ1096" s="838" t="str">
        <f t="shared" ca="1" si="944"/>
        <v>-</v>
      </c>
      <c r="CK1096" s="831"/>
      <c r="CL1096" s="832"/>
      <c r="CM1096" s="833" t="str">
        <f t="shared" si="945"/>
        <v>-</v>
      </c>
      <c r="CN1096" s="834" t="str">
        <f t="shared" si="946"/>
        <v>-</v>
      </c>
      <c r="CO1096" s="830" t="str">
        <f t="shared" ca="1" si="947"/>
        <v>-</v>
      </c>
      <c r="CP1096" s="839"/>
      <c r="CQ1096" s="832"/>
      <c r="CR1096" s="833" t="str">
        <f t="shared" si="948"/>
        <v>-</v>
      </c>
      <c r="CS1096" s="833" t="str">
        <f t="shared" si="949"/>
        <v>-</v>
      </c>
      <c r="CT1096" s="834" t="str">
        <f t="shared" si="950"/>
        <v>-</v>
      </c>
      <c r="CU1096" s="835" t="str">
        <f t="shared" si="951"/>
        <v>-</v>
      </c>
      <c r="CV1096" s="839"/>
      <c r="CW1096" s="832"/>
      <c r="CX1096" s="833" t="str">
        <f t="shared" si="952"/>
        <v>-</v>
      </c>
      <c r="CY1096" s="840" t="str">
        <f t="shared" si="953"/>
        <v>-</v>
      </c>
      <c r="CZ1096" s="833" t="str">
        <f t="shared" si="954"/>
        <v>-</v>
      </c>
      <c r="DA1096" s="838" t="str">
        <f t="shared" ca="1" si="955"/>
        <v>-</v>
      </c>
      <c r="DB1096" s="841"/>
      <c r="DC1096" s="832"/>
    </row>
    <row r="1097" spans="1:107" x14ac:dyDescent="0.25">
      <c r="A1097" s="790">
        <v>1101</v>
      </c>
      <c r="B1097" s="791">
        <f t="shared" ca="1" si="904"/>
        <v>43134</v>
      </c>
      <c r="C1097" s="792" t="s">
        <v>2584</v>
      </c>
      <c r="D1097" s="793" t="s">
        <v>2582</v>
      </c>
      <c r="E1097" s="794" t="s">
        <v>1563</v>
      </c>
      <c r="F1097" s="795" t="s">
        <v>1865</v>
      </c>
      <c r="G1097" s="845"/>
      <c r="H1097" s="797" t="s">
        <v>603</v>
      </c>
      <c r="I1097" s="798">
        <v>42617</v>
      </c>
      <c r="J1097" s="799">
        <f t="shared" ca="1" si="905"/>
        <v>1.4164383561643836</v>
      </c>
      <c r="K1097" s="799">
        <f t="shared" ca="1" si="906"/>
        <v>17.233333333333334</v>
      </c>
      <c r="L1097" s="800">
        <f t="shared" ca="1" si="907"/>
        <v>517</v>
      </c>
      <c r="M1097" s="801"/>
      <c r="N1097" s="802"/>
      <c r="O1097" s="803" t="str">
        <f t="shared" ca="1" si="908"/>
        <v>-</v>
      </c>
      <c r="P1097" s="804"/>
      <c r="Q1097" s="805" t="s">
        <v>2366</v>
      </c>
      <c r="R1097" s="806" t="s">
        <v>2435</v>
      </c>
      <c r="S1097" s="807">
        <v>42978</v>
      </c>
      <c r="T1097" s="798">
        <v>42997</v>
      </c>
      <c r="U1097" s="798">
        <f t="shared" si="909"/>
        <v>43015</v>
      </c>
      <c r="V1097" s="804">
        <f t="shared" ca="1" si="910"/>
        <v>119</v>
      </c>
      <c r="W1097" s="808">
        <v>2</v>
      </c>
      <c r="X1097" s="794" t="str">
        <f t="shared" si="903"/>
        <v>-</v>
      </c>
      <c r="Y1097" s="794">
        <v>3</v>
      </c>
      <c r="Z1097" s="809" t="str">
        <f t="shared" ca="1" si="911"/>
        <v>-----</v>
      </c>
      <c r="AA1097" s="810">
        <f t="shared" ca="1" si="912"/>
        <v>137</v>
      </c>
      <c r="AB1097" s="804"/>
      <c r="AC1097" s="811" t="str">
        <f t="shared" ca="1" si="913"/>
        <v>-----</v>
      </c>
      <c r="AD1097" s="798"/>
      <c r="AE1097" s="794" t="str">
        <f t="shared" ca="1" si="914"/>
        <v>-</v>
      </c>
      <c r="AF1097" s="798">
        <f t="shared" si="915"/>
        <v>43032</v>
      </c>
      <c r="AG1097" s="812">
        <f t="shared" ca="1" si="916"/>
        <v>102</v>
      </c>
      <c r="AH1097" s="807"/>
      <c r="AI1097" s="807" t="str">
        <f t="shared" si="917"/>
        <v>-</v>
      </c>
      <c r="AJ1097" s="807" t="str">
        <f t="shared" si="918"/>
        <v>-</v>
      </c>
      <c r="AK1097" s="813"/>
      <c r="AL1097" s="807" t="str">
        <f t="shared" si="919"/>
        <v>-</v>
      </c>
      <c r="AM1097" s="807" t="str">
        <f t="shared" si="920"/>
        <v>-</v>
      </c>
      <c r="AN1097" s="814" t="str">
        <f t="shared" ca="1" si="921"/>
        <v>-</v>
      </c>
      <c r="AO1097" s="815">
        <v>1</v>
      </c>
      <c r="AP1097" s="816" t="str">
        <f t="shared" ca="1" si="922"/>
        <v>-</v>
      </c>
      <c r="AQ1097" s="817"/>
      <c r="AR1097" s="794" t="str">
        <f t="shared" si="923"/>
        <v>-</v>
      </c>
      <c r="AS1097" s="818"/>
      <c r="AT1097" s="794" t="str">
        <f t="shared" si="924"/>
        <v>-</v>
      </c>
      <c r="AU1097" s="819"/>
      <c r="AV1097" s="820"/>
      <c r="AW1097" s="821"/>
      <c r="AX1097" s="821"/>
      <c r="AY1097" s="969" t="str">
        <f t="shared" si="925"/>
        <v>-</v>
      </c>
      <c r="AZ1097" s="966" t="str">
        <f t="shared" si="926"/>
        <v>-</v>
      </c>
      <c r="BA1097" s="971" t="str">
        <f t="shared" si="927"/>
        <v>-</v>
      </c>
      <c r="BB1097" s="975"/>
      <c r="BC1097" s="821"/>
      <c r="BD1097" s="821"/>
      <c r="BE1097" s="963" t="str">
        <f t="shared" si="928"/>
        <v>-</v>
      </c>
      <c r="BF1097" s="984"/>
      <c r="BG1097" s="988"/>
      <c r="BH1097" s="982"/>
      <c r="BI1097" s="991"/>
      <c r="BJ1097" s="991"/>
      <c r="BK1097" s="993" t="str">
        <f t="shared" si="929"/>
        <v>-</v>
      </c>
      <c r="BL1097" s="820">
        <v>42977</v>
      </c>
      <c r="BM1097" s="821">
        <v>5</v>
      </c>
      <c r="BN1097" s="822">
        <f t="shared" ca="1" si="930"/>
        <v>157</v>
      </c>
      <c r="BO1097" s="823">
        <f t="shared" si="931"/>
        <v>12</v>
      </c>
      <c r="BP1097" s="824"/>
      <c r="BQ1097" s="821"/>
      <c r="BR1097" s="822" t="str">
        <f t="shared" si="932"/>
        <v>-</v>
      </c>
      <c r="BS1097" s="823" t="str">
        <f t="shared" si="933"/>
        <v>-</v>
      </c>
      <c r="BT1097" s="825" t="str">
        <f t="shared" ca="1" si="934"/>
        <v>-</v>
      </c>
      <c r="BU1097" s="826"/>
      <c r="BV1097" s="827"/>
      <c r="BW1097" s="828" t="str">
        <f t="shared" si="935"/>
        <v>Ж-Е НЕ ВАКЦ.</v>
      </c>
      <c r="BX1097" s="829" t="str">
        <f t="shared" si="936"/>
        <v>-</v>
      </c>
      <c r="BY1097" s="830" t="str">
        <f t="shared" ca="1" si="937"/>
        <v>-</v>
      </c>
      <c r="BZ1097" s="831">
        <v>42892</v>
      </c>
      <c r="CA1097" s="832">
        <v>5</v>
      </c>
      <c r="CB1097" s="833">
        <f t="shared" ca="1" si="938"/>
        <v>242</v>
      </c>
      <c r="CC1097" s="834" t="str">
        <f t="shared" ca="1" si="939"/>
        <v>-</v>
      </c>
      <c r="CD1097" s="835">
        <f t="shared" si="940"/>
        <v>42913</v>
      </c>
      <c r="CE1097" s="831">
        <v>42913</v>
      </c>
      <c r="CF1097" s="832">
        <v>5</v>
      </c>
      <c r="CG1097" s="833">
        <f t="shared" ca="1" si="941"/>
        <v>221</v>
      </c>
      <c r="CH1097" s="836">
        <f t="shared" si="942"/>
        <v>0</v>
      </c>
      <c r="CI1097" s="837" t="str">
        <f t="shared" si="943"/>
        <v>УСПЕШНО</v>
      </c>
      <c r="CJ1097" s="838" t="str">
        <f t="shared" ca="1" si="944"/>
        <v>-</v>
      </c>
      <c r="CK1097" s="831"/>
      <c r="CL1097" s="832"/>
      <c r="CM1097" s="833" t="str">
        <f t="shared" si="945"/>
        <v>-</v>
      </c>
      <c r="CN1097" s="834" t="str">
        <f t="shared" si="946"/>
        <v>-</v>
      </c>
      <c r="CO1097" s="830" t="str">
        <f t="shared" ca="1" si="947"/>
        <v>-</v>
      </c>
      <c r="CP1097" s="839"/>
      <c r="CQ1097" s="832"/>
      <c r="CR1097" s="833" t="str">
        <f t="shared" si="948"/>
        <v>-</v>
      </c>
      <c r="CS1097" s="833" t="str">
        <f t="shared" si="949"/>
        <v>-</v>
      </c>
      <c r="CT1097" s="834" t="str">
        <f t="shared" si="950"/>
        <v>-</v>
      </c>
      <c r="CU1097" s="835" t="str">
        <f t="shared" si="951"/>
        <v>-</v>
      </c>
      <c r="CV1097" s="839"/>
      <c r="CW1097" s="832"/>
      <c r="CX1097" s="833" t="str">
        <f t="shared" si="952"/>
        <v>-</v>
      </c>
      <c r="CY1097" s="840" t="str">
        <f t="shared" si="953"/>
        <v>-</v>
      </c>
      <c r="CZ1097" s="833" t="str">
        <f t="shared" si="954"/>
        <v>-</v>
      </c>
      <c r="DA1097" s="838" t="str">
        <f t="shared" ca="1" si="955"/>
        <v>-</v>
      </c>
      <c r="DB1097" s="841"/>
      <c r="DC1097" s="832"/>
    </row>
    <row r="1098" spans="1:107" x14ac:dyDescent="0.25">
      <c r="A1098" s="790">
        <v>1102</v>
      </c>
      <c r="B1098" s="791">
        <f t="shared" ca="1" si="904"/>
        <v>43134</v>
      </c>
      <c r="C1098" s="792" t="s">
        <v>2584</v>
      </c>
      <c r="D1098" s="793" t="s">
        <v>2582</v>
      </c>
      <c r="E1098" s="794" t="s">
        <v>1563</v>
      </c>
      <c r="F1098" s="795" t="s">
        <v>1873</v>
      </c>
      <c r="G1098" s="845"/>
      <c r="H1098" s="797" t="s">
        <v>603</v>
      </c>
      <c r="I1098" s="798">
        <v>42621</v>
      </c>
      <c r="J1098" s="799">
        <f t="shared" ca="1" si="905"/>
        <v>1.4054794520547946</v>
      </c>
      <c r="K1098" s="799">
        <f t="shared" ca="1" si="906"/>
        <v>17.100000000000001</v>
      </c>
      <c r="L1098" s="800">
        <f t="shared" ca="1" si="907"/>
        <v>513</v>
      </c>
      <c r="M1098" s="801"/>
      <c r="N1098" s="802"/>
      <c r="O1098" s="803" t="str">
        <f t="shared" ca="1" si="908"/>
        <v>-</v>
      </c>
      <c r="P1098" s="804"/>
      <c r="Q1098" s="805" t="s">
        <v>1451</v>
      </c>
      <c r="R1098" s="806" t="s">
        <v>2967</v>
      </c>
      <c r="S1098" s="807">
        <v>42980</v>
      </c>
      <c r="T1098" s="798">
        <v>42980</v>
      </c>
      <c r="U1098" s="798">
        <f t="shared" si="909"/>
        <v>42998</v>
      </c>
      <c r="V1098" s="804">
        <f t="shared" ca="1" si="910"/>
        <v>136</v>
      </c>
      <c r="W1098" s="808">
        <v>1</v>
      </c>
      <c r="X1098" s="794" t="str">
        <f t="shared" si="903"/>
        <v>-</v>
      </c>
      <c r="Y1098" s="794">
        <v>3</v>
      </c>
      <c r="Z1098" s="809" t="str">
        <f t="shared" ca="1" si="911"/>
        <v>-----</v>
      </c>
      <c r="AA1098" s="810">
        <f t="shared" ca="1" si="912"/>
        <v>154</v>
      </c>
      <c r="AB1098" s="804"/>
      <c r="AC1098" s="811" t="str">
        <f t="shared" ca="1" si="913"/>
        <v>-----</v>
      </c>
      <c r="AD1098" s="798"/>
      <c r="AE1098" s="794" t="str">
        <f t="shared" ca="1" si="914"/>
        <v>-</v>
      </c>
      <c r="AF1098" s="798">
        <f t="shared" si="915"/>
        <v>43015</v>
      </c>
      <c r="AG1098" s="812">
        <f t="shared" ca="1" si="916"/>
        <v>119</v>
      </c>
      <c r="AH1098" s="807"/>
      <c r="AI1098" s="807" t="str">
        <f t="shared" si="917"/>
        <v>-</v>
      </c>
      <c r="AJ1098" s="807" t="str">
        <f t="shared" si="918"/>
        <v>-</v>
      </c>
      <c r="AK1098" s="813"/>
      <c r="AL1098" s="807" t="str">
        <f t="shared" si="919"/>
        <v>-</v>
      </c>
      <c r="AM1098" s="807" t="str">
        <f t="shared" si="920"/>
        <v>-</v>
      </c>
      <c r="AN1098" s="814" t="str">
        <f t="shared" ca="1" si="921"/>
        <v>-</v>
      </c>
      <c r="AO1098" s="815">
        <v>1</v>
      </c>
      <c r="AP1098" s="816" t="str">
        <f t="shared" ca="1" si="922"/>
        <v>-</v>
      </c>
      <c r="AQ1098" s="817"/>
      <c r="AR1098" s="794" t="str">
        <f t="shared" si="923"/>
        <v>-</v>
      </c>
      <c r="AS1098" s="818"/>
      <c r="AT1098" s="794" t="str">
        <f t="shared" si="924"/>
        <v>-</v>
      </c>
      <c r="AU1098" s="819"/>
      <c r="AV1098" s="820"/>
      <c r="AW1098" s="821"/>
      <c r="AX1098" s="821"/>
      <c r="AY1098" s="969" t="str">
        <f t="shared" si="925"/>
        <v>-</v>
      </c>
      <c r="AZ1098" s="966" t="str">
        <f t="shared" si="926"/>
        <v>-</v>
      </c>
      <c r="BA1098" s="971" t="str">
        <f t="shared" si="927"/>
        <v>-</v>
      </c>
      <c r="BB1098" s="975"/>
      <c r="BC1098" s="821"/>
      <c r="BD1098" s="821"/>
      <c r="BE1098" s="963" t="str">
        <f t="shared" si="928"/>
        <v>-</v>
      </c>
      <c r="BF1098" s="984"/>
      <c r="BG1098" s="988"/>
      <c r="BH1098" s="982"/>
      <c r="BI1098" s="991"/>
      <c r="BJ1098" s="991"/>
      <c r="BK1098" s="993" t="str">
        <f t="shared" si="929"/>
        <v>-</v>
      </c>
      <c r="BL1098" s="820">
        <v>42977</v>
      </c>
      <c r="BM1098" s="821">
        <v>5</v>
      </c>
      <c r="BN1098" s="822">
        <f t="shared" ca="1" si="930"/>
        <v>157</v>
      </c>
      <c r="BO1098" s="823">
        <f t="shared" si="931"/>
        <v>11.866666666666667</v>
      </c>
      <c r="BP1098" s="824"/>
      <c r="BQ1098" s="821"/>
      <c r="BR1098" s="822" t="str">
        <f t="shared" si="932"/>
        <v>-</v>
      </c>
      <c r="BS1098" s="823" t="str">
        <f t="shared" si="933"/>
        <v>-</v>
      </c>
      <c r="BT1098" s="825" t="str">
        <f t="shared" ca="1" si="934"/>
        <v>-</v>
      </c>
      <c r="BU1098" s="826"/>
      <c r="BV1098" s="827"/>
      <c r="BW1098" s="828" t="str">
        <f t="shared" si="935"/>
        <v>Ж-Е НЕ ВАКЦ.</v>
      </c>
      <c r="BX1098" s="829" t="str">
        <f t="shared" si="936"/>
        <v>-</v>
      </c>
      <c r="BY1098" s="830" t="str">
        <f t="shared" ca="1" si="937"/>
        <v>-</v>
      </c>
      <c r="BZ1098" s="831">
        <v>42892</v>
      </c>
      <c r="CA1098" s="832">
        <v>5</v>
      </c>
      <c r="CB1098" s="833">
        <f t="shared" ca="1" si="938"/>
        <v>242</v>
      </c>
      <c r="CC1098" s="834" t="str">
        <f t="shared" ca="1" si="939"/>
        <v>-</v>
      </c>
      <c r="CD1098" s="835">
        <f t="shared" si="940"/>
        <v>42913</v>
      </c>
      <c r="CE1098" s="831">
        <v>42913</v>
      </c>
      <c r="CF1098" s="832">
        <v>5</v>
      </c>
      <c r="CG1098" s="833">
        <f t="shared" ca="1" si="941"/>
        <v>221</v>
      </c>
      <c r="CH1098" s="836">
        <f t="shared" si="942"/>
        <v>0</v>
      </c>
      <c r="CI1098" s="837" t="str">
        <f t="shared" si="943"/>
        <v>УСПЕШНО</v>
      </c>
      <c r="CJ1098" s="838" t="str">
        <f t="shared" ca="1" si="944"/>
        <v>-</v>
      </c>
      <c r="CK1098" s="831"/>
      <c r="CL1098" s="832"/>
      <c r="CM1098" s="833" t="str">
        <f t="shared" si="945"/>
        <v>-</v>
      </c>
      <c r="CN1098" s="834" t="str">
        <f t="shared" si="946"/>
        <v>-</v>
      </c>
      <c r="CO1098" s="830" t="str">
        <f t="shared" ca="1" si="947"/>
        <v>-</v>
      </c>
      <c r="CP1098" s="839"/>
      <c r="CQ1098" s="832"/>
      <c r="CR1098" s="833" t="str">
        <f t="shared" si="948"/>
        <v>-</v>
      </c>
      <c r="CS1098" s="833" t="str">
        <f t="shared" si="949"/>
        <v>-</v>
      </c>
      <c r="CT1098" s="834" t="str">
        <f t="shared" si="950"/>
        <v>-</v>
      </c>
      <c r="CU1098" s="835" t="str">
        <f t="shared" si="951"/>
        <v>-</v>
      </c>
      <c r="CV1098" s="839"/>
      <c r="CW1098" s="832"/>
      <c r="CX1098" s="833" t="str">
        <f t="shared" si="952"/>
        <v>-</v>
      </c>
      <c r="CY1098" s="840" t="str">
        <f t="shared" si="953"/>
        <v>-</v>
      </c>
      <c r="CZ1098" s="833" t="str">
        <f t="shared" si="954"/>
        <v>-</v>
      </c>
      <c r="DA1098" s="838" t="str">
        <f t="shared" ca="1" si="955"/>
        <v>-</v>
      </c>
      <c r="DB1098" s="841"/>
      <c r="DC1098" s="832"/>
    </row>
    <row r="1099" spans="1:107" x14ac:dyDescent="0.25">
      <c r="A1099" s="790">
        <v>1103</v>
      </c>
      <c r="B1099" s="791">
        <f t="shared" ca="1" si="904"/>
        <v>43134</v>
      </c>
      <c r="C1099" s="792" t="s">
        <v>2584</v>
      </c>
      <c r="D1099" s="793" t="s">
        <v>2582</v>
      </c>
      <c r="E1099" s="794" t="s">
        <v>1563</v>
      </c>
      <c r="F1099" s="795" t="s">
        <v>1883</v>
      </c>
      <c r="G1099" s="845"/>
      <c r="H1099" s="797" t="s">
        <v>603</v>
      </c>
      <c r="I1099" s="798">
        <v>42626</v>
      </c>
      <c r="J1099" s="799">
        <f t="shared" ca="1" si="905"/>
        <v>1.3917808219178083</v>
      </c>
      <c r="K1099" s="799">
        <f t="shared" ca="1" si="906"/>
        <v>16.933333333333334</v>
      </c>
      <c r="L1099" s="800">
        <f t="shared" ca="1" si="907"/>
        <v>508</v>
      </c>
      <c r="M1099" s="801"/>
      <c r="N1099" s="802"/>
      <c r="O1099" s="803" t="str">
        <f t="shared" ca="1" si="908"/>
        <v>-</v>
      </c>
      <c r="P1099" s="804"/>
      <c r="Q1099" s="68" t="s">
        <v>2366</v>
      </c>
      <c r="R1099" s="806" t="s">
        <v>2967</v>
      </c>
      <c r="S1099" s="807">
        <v>42994</v>
      </c>
      <c r="T1099" s="798">
        <v>43048</v>
      </c>
      <c r="U1099" s="798">
        <f t="shared" si="909"/>
        <v>43066</v>
      </c>
      <c r="V1099" s="804">
        <f t="shared" ca="1" si="910"/>
        <v>68</v>
      </c>
      <c r="W1099" s="808">
        <v>2</v>
      </c>
      <c r="X1099" s="794" t="str">
        <f t="shared" si="903"/>
        <v>-</v>
      </c>
      <c r="Y1099" s="794">
        <v>3</v>
      </c>
      <c r="Z1099" s="809" t="str">
        <f t="shared" ca="1" si="911"/>
        <v>-----</v>
      </c>
      <c r="AA1099" s="810">
        <f t="shared" ca="1" si="912"/>
        <v>86</v>
      </c>
      <c r="AB1099" s="804"/>
      <c r="AC1099" s="811" t="str">
        <f t="shared" ca="1" si="913"/>
        <v>-----</v>
      </c>
      <c r="AD1099" s="798"/>
      <c r="AE1099" s="794" t="str">
        <f t="shared" ca="1" si="914"/>
        <v>-</v>
      </c>
      <c r="AF1099" s="798">
        <f t="shared" si="915"/>
        <v>43083</v>
      </c>
      <c r="AG1099" s="812">
        <f t="shared" ca="1" si="916"/>
        <v>51</v>
      </c>
      <c r="AH1099" s="807"/>
      <c r="AI1099" s="807" t="str">
        <f t="shared" si="917"/>
        <v>-</v>
      </c>
      <c r="AJ1099" s="807" t="str">
        <f t="shared" si="918"/>
        <v>-</v>
      </c>
      <c r="AK1099" s="813"/>
      <c r="AL1099" s="807" t="str">
        <f t="shared" si="919"/>
        <v>-</v>
      </c>
      <c r="AM1099" s="807" t="str">
        <f t="shared" si="920"/>
        <v>-</v>
      </c>
      <c r="AN1099" s="814" t="str">
        <f t="shared" ca="1" si="921"/>
        <v>-</v>
      </c>
      <c r="AO1099" s="815">
        <v>1</v>
      </c>
      <c r="AP1099" s="816" t="str">
        <f t="shared" ca="1" si="922"/>
        <v>-</v>
      </c>
      <c r="AQ1099" s="817"/>
      <c r="AR1099" s="794" t="str">
        <f t="shared" si="923"/>
        <v>-</v>
      </c>
      <c r="AS1099" s="818"/>
      <c r="AT1099" s="794" t="str">
        <f t="shared" si="924"/>
        <v>-</v>
      </c>
      <c r="AU1099" s="819"/>
      <c r="AV1099" s="820"/>
      <c r="AW1099" s="821"/>
      <c r="AX1099" s="821"/>
      <c r="AY1099" s="969" t="str">
        <f t="shared" si="925"/>
        <v>-</v>
      </c>
      <c r="AZ1099" s="966" t="str">
        <f t="shared" si="926"/>
        <v>-</v>
      </c>
      <c r="BA1099" s="971" t="str">
        <f t="shared" si="927"/>
        <v>-</v>
      </c>
      <c r="BB1099" s="975"/>
      <c r="BC1099" s="821"/>
      <c r="BD1099" s="821"/>
      <c r="BE1099" s="963" t="str">
        <f t="shared" si="928"/>
        <v>-</v>
      </c>
      <c r="BF1099" s="984"/>
      <c r="BG1099" s="988"/>
      <c r="BH1099" s="982"/>
      <c r="BI1099" s="991"/>
      <c r="BJ1099" s="991"/>
      <c r="BK1099" s="993" t="str">
        <f t="shared" si="929"/>
        <v>-</v>
      </c>
      <c r="BL1099" s="820">
        <v>42977</v>
      </c>
      <c r="BM1099" s="821">
        <v>5</v>
      </c>
      <c r="BN1099" s="822">
        <f t="shared" ca="1" si="930"/>
        <v>157</v>
      </c>
      <c r="BO1099" s="823">
        <f t="shared" si="931"/>
        <v>11.7</v>
      </c>
      <c r="BP1099" s="824"/>
      <c r="BQ1099" s="821"/>
      <c r="BR1099" s="822" t="str">
        <f t="shared" si="932"/>
        <v>-</v>
      </c>
      <c r="BS1099" s="823" t="str">
        <f t="shared" si="933"/>
        <v>-</v>
      </c>
      <c r="BT1099" s="825" t="str">
        <f t="shared" ca="1" si="934"/>
        <v>-</v>
      </c>
      <c r="BU1099" s="826"/>
      <c r="BV1099" s="827"/>
      <c r="BW1099" s="828" t="str">
        <f t="shared" si="935"/>
        <v>Ж-Е НЕ ВАКЦ.</v>
      </c>
      <c r="BX1099" s="829" t="str">
        <f t="shared" si="936"/>
        <v>-</v>
      </c>
      <c r="BY1099" s="830" t="str">
        <f t="shared" ca="1" si="937"/>
        <v>-</v>
      </c>
      <c r="BZ1099" s="831">
        <v>42892</v>
      </c>
      <c r="CA1099" s="832">
        <v>5</v>
      </c>
      <c r="CB1099" s="833">
        <f t="shared" ca="1" si="938"/>
        <v>242</v>
      </c>
      <c r="CC1099" s="834" t="str">
        <f t="shared" ca="1" si="939"/>
        <v>-</v>
      </c>
      <c r="CD1099" s="835">
        <f t="shared" si="940"/>
        <v>42913</v>
      </c>
      <c r="CE1099" s="831">
        <v>42913</v>
      </c>
      <c r="CF1099" s="832">
        <v>5</v>
      </c>
      <c r="CG1099" s="833">
        <f t="shared" ca="1" si="941"/>
        <v>221</v>
      </c>
      <c r="CH1099" s="836">
        <f t="shared" si="942"/>
        <v>0</v>
      </c>
      <c r="CI1099" s="837" t="str">
        <f t="shared" si="943"/>
        <v>УСПЕШНО</v>
      </c>
      <c r="CJ1099" s="838" t="str">
        <f t="shared" ca="1" si="944"/>
        <v>-</v>
      </c>
      <c r="CK1099" s="831"/>
      <c r="CL1099" s="832"/>
      <c r="CM1099" s="833" t="str">
        <f t="shared" si="945"/>
        <v>-</v>
      </c>
      <c r="CN1099" s="834" t="str">
        <f t="shared" si="946"/>
        <v>-</v>
      </c>
      <c r="CO1099" s="830" t="str">
        <f t="shared" ca="1" si="947"/>
        <v>-</v>
      </c>
      <c r="CP1099" s="839"/>
      <c r="CQ1099" s="832"/>
      <c r="CR1099" s="833" t="str">
        <f t="shared" si="948"/>
        <v>-</v>
      </c>
      <c r="CS1099" s="833" t="str">
        <f t="shared" si="949"/>
        <v>-</v>
      </c>
      <c r="CT1099" s="834" t="str">
        <f t="shared" si="950"/>
        <v>-</v>
      </c>
      <c r="CU1099" s="835" t="str">
        <f t="shared" si="951"/>
        <v>-</v>
      </c>
      <c r="CV1099" s="839"/>
      <c r="CW1099" s="832"/>
      <c r="CX1099" s="833" t="str">
        <f t="shared" si="952"/>
        <v>-</v>
      </c>
      <c r="CY1099" s="840" t="str">
        <f t="shared" si="953"/>
        <v>-</v>
      </c>
      <c r="CZ1099" s="833" t="str">
        <f t="shared" si="954"/>
        <v>-</v>
      </c>
      <c r="DA1099" s="838" t="str">
        <f t="shared" ca="1" si="955"/>
        <v>-</v>
      </c>
      <c r="DB1099" s="841"/>
      <c r="DC1099" s="832"/>
    </row>
    <row r="1100" spans="1:107" x14ac:dyDescent="0.25">
      <c r="A1100" s="790">
        <v>1104</v>
      </c>
      <c r="B1100" s="791">
        <f t="shared" ca="1" si="904"/>
        <v>43134</v>
      </c>
      <c r="C1100" s="792" t="s">
        <v>2584</v>
      </c>
      <c r="D1100" s="793" t="s">
        <v>2582</v>
      </c>
      <c r="E1100" s="794" t="s">
        <v>1563</v>
      </c>
      <c r="F1100" s="795" t="s">
        <v>1886</v>
      </c>
      <c r="G1100" s="845"/>
      <c r="H1100" s="797" t="s">
        <v>603</v>
      </c>
      <c r="I1100" s="798">
        <v>42627</v>
      </c>
      <c r="J1100" s="799">
        <f t="shared" ca="1" si="905"/>
        <v>1.3890410958904109</v>
      </c>
      <c r="K1100" s="799">
        <f t="shared" ca="1" si="906"/>
        <v>16.899999999999999</v>
      </c>
      <c r="L1100" s="800">
        <f t="shared" ca="1" si="907"/>
        <v>507</v>
      </c>
      <c r="M1100" s="801"/>
      <c r="N1100" s="802"/>
      <c r="O1100" s="803" t="str">
        <f t="shared" ca="1" si="908"/>
        <v>-</v>
      </c>
      <c r="P1100" s="804"/>
      <c r="Q1100" s="805" t="s">
        <v>2366</v>
      </c>
      <c r="R1100" s="806" t="s">
        <v>2435</v>
      </c>
      <c r="S1100" s="807">
        <v>43004</v>
      </c>
      <c r="T1100" s="798">
        <v>43053</v>
      </c>
      <c r="U1100" s="798">
        <f t="shared" si="909"/>
        <v>43071</v>
      </c>
      <c r="V1100" s="804">
        <f t="shared" ca="1" si="910"/>
        <v>63</v>
      </c>
      <c r="W1100" s="808">
        <v>2</v>
      </c>
      <c r="X1100" s="794" t="str">
        <f t="shared" si="903"/>
        <v>-</v>
      </c>
      <c r="Y1100" s="794">
        <v>3</v>
      </c>
      <c r="Z1100" s="809" t="str">
        <f t="shared" ca="1" si="911"/>
        <v>-----</v>
      </c>
      <c r="AA1100" s="810">
        <f t="shared" ca="1" si="912"/>
        <v>81</v>
      </c>
      <c r="AB1100" s="804"/>
      <c r="AC1100" s="811" t="str">
        <f t="shared" ca="1" si="913"/>
        <v>-----</v>
      </c>
      <c r="AD1100" s="798"/>
      <c r="AE1100" s="794" t="str">
        <f t="shared" ca="1" si="914"/>
        <v>-</v>
      </c>
      <c r="AF1100" s="798">
        <f t="shared" si="915"/>
        <v>43088</v>
      </c>
      <c r="AG1100" s="812">
        <f t="shared" ca="1" si="916"/>
        <v>46</v>
      </c>
      <c r="AH1100" s="807"/>
      <c r="AI1100" s="807" t="str">
        <f t="shared" si="917"/>
        <v>-</v>
      </c>
      <c r="AJ1100" s="807" t="str">
        <f t="shared" si="918"/>
        <v>-</v>
      </c>
      <c r="AK1100" s="813"/>
      <c r="AL1100" s="807" t="str">
        <f t="shared" si="919"/>
        <v>-</v>
      </c>
      <c r="AM1100" s="807" t="str">
        <f t="shared" si="920"/>
        <v>-</v>
      </c>
      <c r="AN1100" s="814" t="str">
        <f t="shared" ca="1" si="921"/>
        <v>-</v>
      </c>
      <c r="AO1100" s="815">
        <v>1</v>
      </c>
      <c r="AP1100" s="816" t="str">
        <f t="shared" ca="1" si="922"/>
        <v>-</v>
      </c>
      <c r="AQ1100" s="817"/>
      <c r="AR1100" s="794" t="str">
        <f t="shared" si="923"/>
        <v>-</v>
      </c>
      <c r="AS1100" s="818"/>
      <c r="AT1100" s="794" t="str">
        <f t="shared" si="924"/>
        <v>-</v>
      </c>
      <c r="AU1100" s="819"/>
      <c r="AV1100" s="820"/>
      <c r="AW1100" s="821"/>
      <c r="AX1100" s="821"/>
      <c r="AY1100" s="969" t="str">
        <f t="shared" si="925"/>
        <v>-</v>
      </c>
      <c r="AZ1100" s="966" t="str">
        <f t="shared" si="926"/>
        <v>-</v>
      </c>
      <c r="BA1100" s="971" t="str">
        <f t="shared" si="927"/>
        <v>-</v>
      </c>
      <c r="BB1100" s="975"/>
      <c r="BC1100" s="821"/>
      <c r="BD1100" s="821"/>
      <c r="BE1100" s="963" t="str">
        <f t="shared" si="928"/>
        <v>-</v>
      </c>
      <c r="BF1100" s="984"/>
      <c r="BG1100" s="988"/>
      <c r="BH1100" s="982"/>
      <c r="BI1100" s="991"/>
      <c r="BJ1100" s="991"/>
      <c r="BK1100" s="993" t="str">
        <f t="shared" si="929"/>
        <v>-</v>
      </c>
      <c r="BL1100" s="820">
        <v>42977</v>
      </c>
      <c r="BM1100" s="821">
        <v>5</v>
      </c>
      <c r="BN1100" s="822">
        <f t="shared" ca="1" si="930"/>
        <v>157</v>
      </c>
      <c r="BO1100" s="823">
        <f t="shared" si="931"/>
        <v>11.666666666666666</v>
      </c>
      <c r="BP1100" s="824"/>
      <c r="BQ1100" s="821"/>
      <c r="BR1100" s="822" t="str">
        <f t="shared" si="932"/>
        <v>-</v>
      </c>
      <c r="BS1100" s="823" t="str">
        <f t="shared" si="933"/>
        <v>-</v>
      </c>
      <c r="BT1100" s="825" t="str">
        <f t="shared" ca="1" si="934"/>
        <v>-</v>
      </c>
      <c r="BU1100" s="826"/>
      <c r="BV1100" s="827"/>
      <c r="BW1100" s="828" t="str">
        <f t="shared" si="935"/>
        <v>Ж-Е НЕ ВАКЦ.</v>
      </c>
      <c r="BX1100" s="829" t="str">
        <f t="shared" si="936"/>
        <v>-</v>
      </c>
      <c r="BY1100" s="830" t="str">
        <f t="shared" ca="1" si="937"/>
        <v>-</v>
      </c>
      <c r="BZ1100" s="831">
        <v>42892</v>
      </c>
      <c r="CA1100" s="832">
        <v>5</v>
      </c>
      <c r="CB1100" s="833">
        <f t="shared" ca="1" si="938"/>
        <v>242</v>
      </c>
      <c r="CC1100" s="834" t="str">
        <f t="shared" ca="1" si="939"/>
        <v>-</v>
      </c>
      <c r="CD1100" s="835">
        <f t="shared" si="940"/>
        <v>42913</v>
      </c>
      <c r="CE1100" s="831">
        <v>42913</v>
      </c>
      <c r="CF1100" s="832">
        <v>5</v>
      </c>
      <c r="CG1100" s="833">
        <f t="shared" ca="1" si="941"/>
        <v>221</v>
      </c>
      <c r="CH1100" s="836">
        <f t="shared" si="942"/>
        <v>0</v>
      </c>
      <c r="CI1100" s="837" t="str">
        <f t="shared" si="943"/>
        <v>УСПЕШНО</v>
      </c>
      <c r="CJ1100" s="838" t="str">
        <f t="shared" ca="1" si="944"/>
        <v>-</v>
      </c>
      <c r="CK1100" s="831"/>
      <c r="CL1100" s="832"/>
      <c r="CM1100" s="833" t="str">
        <f t="shared" si="945"/>
        <v>-</v>
      </c>
      <c r="CN1100" s="834" t="str">
        <f t="shared" si="946"/>
        <v>-</v>
      </c>
      <c r="CO1100" s="830" t="str">
        <f t="shared" ca="1" si="947"/>
        <v>-</v>
      </c>
      <c r="CP1100" s="839"/>
      <c r="CQ1100" s="832"/>
      <c r="CR1100" s="833" t="str">
        <f t="shared" si="948"/>
        <v>-</v>
      </c>
      <c r="CS1100" s="833" t="str">
        <f t="shared" si="949"/>
        <v>-</v>
      </c>
      <c r="CT1100" s="834" t="str">
        <f t="shared" si="950"/>
        <v>-</v>
      </c>
      <c r="CU1100" s="835" t="str">
        <f t="shared" si="951"/>
        <v>-</v>
      </c>
      <c r="CV1100" s="839"/>
      <c r="CW1100" s="832"/>
      <c r="CX1100" s="833" t="str">
        <f t="shared" si="952"/>
        <v>-</v>
      </c>
      <c r="CY1100" s="840" t="str">
        <f t="shared" si="953"/>
        <v>-</v>
      </c>
      <c r="CZ1100" s="833" t="str">
        <f t="shared" si="954"/>
        <v>-</v>
      </c>
      <c r="DA1100" s="838" t="str">
        <f t="shared" ca="1" si="955"/>
        <v>-</v>
      </c>
      <c r="DB1100" s="841"/>
      <c r="DC1100" s="832"/>
    </row>
    <row r="1101" spans="1:107" x14ac:dyDescent="0.25">
      <c r="A1101" s="790">
        <v>1105</v>
      </c>
      <c r="B1101" s="791">
        <f t="shared" ca="1" si="904"/>
        <v>43134</v>
      </c>
      <c r="C1101" s="792" t="s">
        <v>2584</v>
      </c>
      <c r="D1101" s="793" t="s">
        <v>2582</v>
      </c>
      <c r="E1101" s="794" t="s">
        <v>1563</v>
      </c>
      <c r="F1101" s="795" t="s">
        <v>1887</v>
      </c>
      <c r="G1101" s="845"/>
      <c r="H1101" s="797" t="s">
        <v>603</v>
      </c>
      <c r="I1101" s="798">
        <v>42627</v>
      </c>
      <c r="J1101" s="799">
        <f t="shared" ca="1" si="905"/>
        <v>1.3890410958904109</v>
      </c>
      <c r="K1101" s="799">
        <f t="shared" ca="1" si="906"/>
        <v>16.899999999999999</v>
      </c>
      <c r="L1101" s="800">
        <f t="shared" ca="1" si="907"/>
        <v>507</v>
      </c>
      <c r="M1101" s="801"/>
      <c r="N1101" s="802"/>
      <c r="O1101" s="803" t="str">
        <f t="shared" ca="1" si="908"/>
        <v>-</v>
      </c>
      <c r="P1101" s="804"/>
      <c r="Q1101" s="68" t="s">
        <v>2366</v>
      </c>
      <c r="R1101" s="118" t="s">
        <v>2435</v>
      </c>
      <c r="S1101" s="807">
        <v>43022</v>
      </c>
      <c r="T1101" s="798">
        <v>43041</v>
      </c>
      <c r="U1101" s="798">
        <f t="shared" si="909"/>
        <v>43059</v>
      </c>
      <c r="V1101" s="804">
        <f t="shared" ca="1" si="910"/>
        <v>75</v>
      </c>
      <c r="W1101" s="808">
        <v>2</v>
      </c>
      <c r="X1101" s="794" t="str">
        <f t="shared" si="903"/>
        <v>-</v>
      </c>
      <c r="Y1101" s="794">
        <v>3</v>
      </c>
      <c r="Z1101" s="809" t="str">
        <f t="shared" ca="1" si="911"/>
        <v>-----</v>
      </c>
      <c r="AA1101" s="810">
        <f t="shared" ca="1" si="912"/>
        <v>93</v>
      </c>
      <c r="AB1101" s="804"/>
      <c r="AC1101" s="811" t="str">
        <f t="shared" ca="1" si="913"/>
        <v>-----</v>
      </c>
      <c r="AD1101" s="798"/>
      <c r="AE1101" s="794" t="str">
        <f t="shared" ca="1" si="914"/>
        <v>-</v>
      </c>
      <c r="AF1101" s="798">
        <f t="shared" si="915"/>
        <v>43076</v>
      </c>
      <c r="AG1101" s="812">
        <f t="shared" ca="1" si="916"/>
        <v>58</v>
      </c>
      <c r="AH1101" s="807"/>
      <c r="AI1101" s="807" t="str">
        <f t="shared" si="917"/>
        <v>-</v>
      </c>
      <c r="AJ1101" s="807" t="str">
        <f t="shared" si="918"/>
        <v>-</v>
      </c>
      <c r="AK1101" s="813"/>
      <c r="AL1101" s="807" t="str">
        <f t="shared" si="919"/>
        <v>-</v>
      </c>
      <c r="AM1101" s="807" t="str">
        <f t="shared" si="920"/>
        <v>-</v>
      </c>
      <c r="AN1101" s="814" t="str">
        <f t="shared" ca="1" si="921"/>
        <v>-</v>
      </c>
      <c r="AO1101" s="815">
        <v>1</v>
      </c>
      <c r="AP1101" s="816" t="str">
        <f t="shared" ca="1" si="922"/>
        <v>-</v>
      </c>
      <c r="AQ1101" s="817"/>
      <c r="AR1101" s="794" t="str">
        <f t="shared" si="923"/>
        <v>-</v>
      </c>
      <c r="AS1101" s="818"/>
      <c r="AT1101" s="794" t="str">
        <f t="shared" si="924"/>
        <v>-</v>
      </c>
      <c r="AU1101" s="819"/>
      <c r="AV1101" s="820"/>
      <c r="AW1101" s="821"/>
      <c r="AX1101" s="821"/>
      <c r="AY1101" s="969" t="str">
        <f t="shared" si="925"/>
        <v>-</v>
      </c>
      <c r="AZ1101" s="966" t="str">
        <f t="shared" si="926"/>
        <v>-</v>
      </c>
      <c r="BA1101" s="971" t="str">
        <f t="shared" si="927"/>
        <v>-</v>
      </c>
      <c r="BB1101" s="975"/>
      <c r="BC1101" s="821"/>
      <c r="BD1101" s="821"/>
      <c r="BE1101" s="963" t="str">
        <f t="shared" si="928"/>
        <v>-</v>
      </c>
      <c r="BF1101" s="984"/>
      <c r="BG1101" s="988"/>
      <c r="BH1101" s="982"/>
      <c r="BI1101" s="991"/>
      <c r="BJ1101" s="991"/>
      <c r="BK1101" s="993" t="str">
        <f t="shared" si="929"/>
        <v>-</v>
      </c>
      <c r="BL1101" s="820">
        <v>42977</v>
      </c>
      <c r="BM1101" s="821">
        <v>5</v>
      </c>
      <c r="BN1101" s="822">
        <f t="shared" ca="1" si="930"/>
        <v>157</v>
      </c>
      <c r="BO1101" s="823">
        <f t="shared" si="931"/>
        <v>11.666666666666666</v>
      </c>
      <c r="BP1101" s="824"/>
      <c r="BQ1101" s="821"/>
      <c r="BR1101" s="822" t="str">
        <f t="shared" si="932"/>
        <v>-</v>
      </c>
      <c r="BS1101" s="823" t="str">
        <f t="shared" si="933"/>
        <v>-</v>
      </c>
      <c r="BT1101" s="825" t="str">
        <f t="shared" ca="1" si="934"/>
        <v>-</v>
      </c>
      <c r="BU1101" s="826"/>
      <c r="BV1101" s="827"/>
      <c r="BW1101" s="828" t="str">
        <f t="shared" si="935"/>
        <v>Ж-Е НЕ ВАКЦ.</v>
      </c>
      <c r="BX1101" s="829" t="str">
        <f t="shared" si="936"/>
        <v>-</v>
      </c>
      <c r="BY1101" s="830" t="str">
        <f t="shared" ca="1" si="937"/>
        <v>-</v>
      </c>
      <c r="BZ1101" s="831">
        <v>42892</v>
      </c>
      <c r="CA1101" s="832">
        <v>5</v>
      </c>
      <c r="CB1101" s="833">
        <f t="shared" ca="1" si="938"/>
        <v>242</v>
      </c>
      <c r="CC1101" s="834" t="str">
        <f t="shared" ca="1" si="939"/>
        <v>-</v>
      </c>
      <c r="CD1101" s="835">
        <f t="shared" si="940"/>
        <v>42913</v>
      </c>
      <c r="CE1101" s="831">
        <v>42913</v>
      </c>
      <c r="CF1101" s="832">
        <v>5</v>
      </c>
      <c r="CG1101" s="833">
        <f t="shared" ca="1" si="941"/>
        <v>221</v>
      </c>
      <c r="CH1101" s="836">
        <f t="shared" si="942"/>
        <v>0</v>
      </c>
      <c r="CI1101" s="837" t="str">
        <f t="shared" si="943"/>
        <v>УСПЕШНО</v>
      </c>
      <c r="CJ1101" s="838" t="str">
        <f t="shared" ca="1" si="944"/>
        <v>-</v>
      </c>
      <c r="CK1101" s="831"/>
      <c r="CL1101" s="832"/>
      <c r="CM1101" s="833" t="str">
        <f t="shared" si="945"/>
        <v>-</v>
      </c>
      <c r="CN1101" s="834" t="str">
        <f t="shared" si="946"/>
        <v>-</v>
      </c>
      <c r="CO1101" s="830" t="str">
        <f t="shared" ca="1" si="947"/>
        <v>-</v>
      </c>
      <c r="CP1101" s="839"/>
      <c r="CQ1101" s="832"/>
      <c r="CR1101" s="833" t="str">
        <f t="shared" si="948"/>
        <v>-</v>
      </c>
      <c r="CS1101" s="833" t="str">
        <f t="shared" si="949"/>
        <v>-</v>
      </c>
      <c r="CT1101" s="834" t="str">
        <f t="shared" si="950"/>
        <v>-</v>
      </c>
      <c r="CU1101" s="835" t="str">
        <f t="shared" si="951"/>
        <v>-</v>
      </c>
      <c r="CV1101" s="839"/>
      <c r="CW1101" s="832"/>
      <c r="CX1101" s="833" t="str">
        <f t="shared" si="952"/>
        <v>-</v>
      </c>
      <c r="CY1101" s="840" t="str">
        <f t="shared" si="953"/>
        <v>-</v>
      </c>
      <c r="CZ1101" s="833" t="str">
        <f t="shared" si="954"/>
        <v>-</v>
      </c>
      <c r="DA1101" s="838" t="str">
        <f t="shared" ca="1" si="955"/>
        <v>-</v>
      </c>
      <c r="DB1101" s="841"/>
      <c r="DC1101" s="832"/>
    </row>
    <row r="1102" spans="1:107" x14ac:dyDescent="0.25">
      <c r="A1102" s="790">
        <v>1106</v>
      </c>
      <c r="B1102" s="791">
        <f t="shared" ca="1" si="904"/>
        <v>43134</v>
      </c>
      <c r="C1102" s="792" t="s">
        <v>2584</v>
      </c>
      <c r="D1102" s="793" t="s">
        <v>2582</v>
      </c>
      <c r="E1102" s="794" t="s">
        <v>1563</v>
      </c>
      <c r="F1102" s="795" t="s">
        <v>1890</v>
      </c>
      <c r="G1102" s="845"/>
      <c r="H1102" s="797" t="s">
        <v>603</v>
      </c>
      <c r="I1102" s="798">
        <v>42629</v>
      </c>
      <c r="J1102" s="799">
        <f t="shared" ca="1" si="905"/>
        <v>1.3835616438356164</v>
      </c>
      <c r="K1102" s="799">
        <f t="shared" ca="1" si="906"/>
        <v>16.833333333333332</v>
      </c>
      <c r="L1102" s="800">
        <f t="shared" ca="1" si="907"/>
        <v>505</v>
      </c>
      <c r="M1102" s="801"/>
      <c r="N1102" s="802"/>
      <c r="O1102" s="803" t="str">
        <f t="shared" ca="1" si="908"/>
        <v>-</v>
      </c>
      <c r="P1102" s="804"/>
      <c r="Q1102" s="805" t="s">
        <v>1451</v>
      </c>
      <c r="R1102" s="806" t="s">
        <v>2967</v>
      </c>
      <c r="S1102" s="807">
        <v>43008</v>
      </c>
      <c r="T1102" s="798">
        <v>43008</v>
      </c>
      <c r="U1102" s="798">
        <f t="shared" si="909"/>
        <v>43026</v>
      </c>
      <c r="V1102" s="804">
        <f t="shared" ca="1" si="910"/>
        <v>108</v>
      </c>
      <c r="W1102" s="808">
        <v>1</v>
      </c>
      <c r="X1102" s="794" t="str">
        <f t="shared" si="903"/>
        <v>-</v>
      </c>
      <c r="Y1102" s="794">
        <v>3</v>
      </c>
      <c r="Z1102" s="809" t="str">
        <f t="shared" ca="1" si="911"/>
        <v>-----</v>
      </c>
      <c r="AA1102" s="810">
        <f t="shared" ca="1" si="912"/>
        <v>126</v>
      </c>
      <c r="AB1102" s="804"/>
      <c r="AC1102" s="811" t="str">
        <f t="shared" ca="1" si="913"/>
        <v>-----</v>
      </c>
      <c r="AD1102" s="798"/>
      <c r="AE1102" s="794" t="str">
        <f t="shared" ca="1" si="914"/>
        <v>-</v>
      </c>
      <c r="AF1102" s="798">
        <f t="shared" si="915"/>
        <v>43043</v>
      </c>
      <c r="AG1102" s="812">
        <f t="shared" ca="1" si="916"/>
        <v>91</v>
      </c>
      <c r="AH1102" s="807"/>
      <c r="AI1102" s="807" t="str">
        <f t="shared" si="917"/>
        <v>-</v>
      </c>
      <c r="AJ1102" s="807" t="str">
        <f t="shared" si="918"/>
        <v>-</v>
      </c>
      <c r="AK1102" s="813"/>
      <c r="AL1102" s="807" t="str">
        <f t="shared" si="919"/>
        <v>-</v>
      </c>
      <c r="AM1102" s="807" t="str">
        <f t="shared" si="920"/>
        <v>-</v>
      </c>
      <c r="AN1102" s="814" t="str">
        <f t="shared" ca="1" si="921"/>
        <v>-</v>
      </c>
      <c r="AO1102" s="815">
        <v>1</v>
      </c>
      <c r="AP1102" s="816" t="str">
        <f t="shared" ca="1" si="922"/>
        <v>-</v>
      </c>
      <c r="AQ1102" s="817"/>
      <c r="AR1102" s="794" t="str">
        <f t="shared" si="923"/>
        <v>-</v>
      </c>
      <c r="AS1102" s="818"/>
      <c r="AT1102" s="794" t="str">
        <f t="shared" si="924"/>
        <v>-</v>
      </c>
      <c r="AU1102" s="819"/>
      <c r="AV1102" s="820"/>
      <c r="AW1102" s="821"/>
      <c r="AX1102" s="821"/>
      <c r="AY1102" s="969" t="str">
        <f t="shared" si="925"/>
        <v>-</v>
      </c>
      <c r="AZ1102" s="966" t="str">
        <f t="shared" si="926"/>
        <v>-</v>
      </c>
      <c r="BA1102" s="971" t="str">
        <f t="shared" si="927"/>
        <v>-</v>
      </c>
      <c r="BB1102" s="975"/>
      <c r="BC1102" s="821"/>
      <c r="BD1102" s="821"/>
      <c r="BE1102" s="963" t="str">
        <f t="shared" si="928"/>
        <v>-</v>
      </c>
      <c r="BF1102" s="984"/>
      <c r="BG1102" s="988"/>
      <c r="BH1102" s="982"/>
      <c r="BI1102" s="991"/>
      <c r="BJ1102" s="991"/>
      <c r="BK1102" s="993" t="str">
        <f t="shared" si="929"/>
        <v>-</v>
      </c>
      <c r="BL1102" s="820">
        <v>42977</v>
      </c>
      <c r="BM1102" s="821">
        <v>5</v>
      </c>
      <c r="BN1102" s="822">
        <f t="shared" ca="1" si="930"/>
        <v>157</v>
      </c>
      <c r="BO1102" s="823">
        <f t="shared" si="931"/>
        <v>11.6</v>
      </c>
      <c r="BP1102" s="824"/>
      <c r="BQ1102" s="821"/>
      <c r="BR1102" s="822" t="str">
        <f t="shared" si="932"/>
        <v>-</v>
      </c>
      <c r="BS1102" s="823" t="str">
        <f t="shared" si="933"/>
        <v>-</v>
      </c>
      <c r="BT1102" s="825" t="str">
        <f t="shared" ca="1" si="934"/>
        <v>-</v>
      </c>
      <c r="BU1102" s="826"/>
      <c r="BV1102" s="827"/>
      <c r="BW1102" s="828" t="str">
        <f t="shared" si="935"/>
        <v>Ж-Е НЕ ВАКЦ.</v>
      </c>
      <c r="BX1102" s="829" t="str">
        <f t="shared" si="936"/>
        <v>-</v>
      </c>
      <c r="BY1102" s="830" t="str">
        <f t="shared" ca="1" si="937"/>
        <v>-</v>
      </c>
      <c r="BZ1102" s="831">
        <v>42892</v>
      </c>
      <c r="CA1102" s="832">
        <v>5</v>
      </c>
      <c r="CB1102" s="833">
        <f t="shared" ca="1" si="938"/>
        <v>242</v>
      </c>
      <c r="CC1102" s="834" t="str">
        <f t="shared" ca="1" si="939"/>
        <v>-</v>
      </c>
      <c r="CD1102" s="835">
        <f t="shared" si="940"/>
        <v>42913</v>
      </c>
      <c r="CE1102" s="831">
        <v>42913</v>
      </c>
      <c r="CF1102" s="832">
        <v>5</v>
      </c>
      <c r="CG1102" s="833">
        <f t="shared" ca="1" si="941"/>
        <v>221</v>
      </c>
      <c r="CH1102" s="836">
        <f t="shared" si="942"/>
        <v>0</v>
      </c>
      <c r="CI1102" s="837" t="str">
        <f t="shared" si="943"/>
        <v>УСПЕШНО</v>
      </c>
      <c r="CJ1102" s="838" t="str">
        <f t="shared" ca="1" si="944"/>
        <v>-</v>
      </c>
      <c r="CK1102" s="831"/>
      <c r="CL1102" s="832"/>
      <c r="CM1102" s="833" t="str">
        <f t="shared" si="945"/>
        <v>-</v>
      </c>
      <c r="CN1102" s="834" t="str">
        <f t="shared" si="946"/>
        <v>-</v>
      </c>
      <c r="CO1102" s="830" t="str">
        <f t="shared" ca="1" si="947"/>
        <v>-</v>
      </c>
      <c r="CP1102" s="839"/>
      <c r="CQ1102" s="832"/>
      <c r="CR1102" s="833" t="str">
        <f t="shared" si="948"/>
        <v>-</v>
      </c>
      <c r="CS1102" s="833" t="str">
        <f t="shared" si="949"/>
        <v>-</v>
      </c>
      <c r="CT1102" s="834" t="str">
        <f t="shared" si="950"/>
        <v>-</v>
      </c>
      <c r="CU1102" s="835" t="str">
        <f t="shared" si="951"/>
        <v>-</v>
      </c>
      <c r="CV1102" s="839"/>
      <c r="CW1102" s="832"/>
      <c r="CX1102" s="833" t="str">
        <f t="shared" si="952"/>
        <v>-</v>
      </c>
      <c r="CY1102" s="840" t="str">
        <f t="shared" si="953"/>
        <v>-</v>
      </c>
      <c r="CZ1102" s="833" t="str">
        <f t="shared" si="954"/>
        <v>-</v>
      </c>
      <c r="DA1102" s="838" t="str">
        <f t="shared" ca="1" si="955"/>
        <v>-</v>
      </c>
      <c r="DB1102" s="841"/>
      <c r="DC1102" s="832"/>
    </row>
    <row r="1103" spans="1:107" x14ac:dyDescent="0.25">
      <c r="A1103" s="790">
        <v>1107</v>
      </c>
      <c r="B1103" s="791">
        <f t="shared" ca="1" si="904"/>
        <v>43134</v>
      </c>
      <c r="C1103" s="792" t="s">
        <v>2584</v>
      </c>
      <c r="D1103" s="793" t="s">
        <v>2582</v>
      </c>
      <c r="E1103" s="794" t="s">
        <v>1563</v>
      </c>
      <c r="F1103" s="795" t="s">
        <v>1891</v>
      </c>
      <c r="G1103" s="845"/>
      <c r="H1103" s="797" t="s">
        <v>603</v>
      </c>
      <c r="I1103" s="798">
        <v>42630</v>
      </c>
      <c r="J1103" s="799">
        <f t="shared" ca="1" si="905"/>
        <v>1.3808219178082193</v>
      </c>
      <c r="K1103" s="799">
        <f t="shared" ca="1" si="906"/>
        <v>16.8</v>
      </c>
      <c r="L1103" s="800">
        <f t="shared" ca="1" si="907"/>
        <v>504</v>
      </c>
      <c r="M1103" s="801"/>
      <c r="N1103" s="802"/>
      <c r="O1103" s="803" t="str">
        <f t="shared" ca="1" si="908"/>
        <v>-</v>
      </c>
      <c r="P1103" s="804"/>
      <c r="Q1103" s="805" t="s">
        <v>1451</v>
      </c>
      <c r="R1103" s="806" t="s">
        <v>2435</v>
      </c>
      <c r="S1103" s="807">
        <v>43001</v>
      </c>
      <c r="T1103" s="798">
        <v>43001</v>
      </c>
      <c r="U1103" s="798" t="str">
        <f t="shared" si="909"/>
        <v>-</v>
      </c>
      <c r="V1103" s="804" t="str">
        <f t="shared" ca="1" si="910"/>
        <v>-</v>
      </c>
      <c r="W1103" s="808">
        <v>1</v>
      </c>
      <c r="X1103" s="794" t="str">
        <f t="shared" si="903"/>
        <v>-</v>
      </c>
      <c r="Y1103" s="794">
        <v>1</v>
      </c>
      <c r="Z1103" s="809" t="str">
        <f t="shared" ca="1" si="911"/>
        <v>ПОДЛЕЖИТ ПЕРЕПРОВЕРКЕ</v>
      </c>
      <c r="AA1103" s="810">
        <f t="shared" ca="1" si="912"/>
        <v>133</v>
      </c>
      <c r="AB1103" s="804"/>
      <c r="AC1103" s="811">
        <f t="shared" ca="1" si="913"/>
        <v>43073</v>
      </c>
      <c r="AD1103" s="798"/>
      <c r="AE1103" s="794" t="str">
        <f t="shared" ca="1" si="914"/>
        <v>-</v>
      </c>
      <c r="AF1103" s="798" t="str">
        <f t="shared" si="915"/>
        <v>-</v>
      </c>
      <c r="AG1103" s="812" t="str">
        <f t="shared" si="916"/>
        <v>---------</v>
      </c>
      <c r="AH1103" s="807">
        <v>43050</v>
      </c>
      <c r="AI1103" s="807" t="str">
        <f t="shared" si="917"/>
        <v>-</v>
      </c>
      <c r="AJ1103" s="807" t="str">
        <f t="shared" si="918"/>
        <v>-</v>
      </c>
      <c r="AK1103" s="813"/>
      <c r="AL1103" s="807">
        <f t="shared" si="919"/>
        <v>43260</v>
      </c>
      <c r="AM1103" s="807">
        <f t="shared" si="920"/>
        <v>43281</v>
      </c>
      <c r="AN1103" s="814">
        <f t="shared" ca="1" si="921"/>
        <v>-147</v>
      </c>
      <c r="AO1103" s="815">
        <v>1</v>
      </c>
      <c r="AP1103" s="816" t="str">
        <f t="shared" ca="1" si="922"/>
        <v>-</v>
      </c>
      <c r="AQ1103" s="817"/>
      <c r="AR1103" s="794" t="str">
        <f t="shared" si="923"/>
        <v>НЕТЕЛЬ</v>
      </c>
      <c r="AS1103" s="818"/>
      <c r="AT1103" s="794" t="str">
        <f t="shared" si="924"/>
        <v>-</v>
      </c>
      <c r="AU1103" s="819"/>
      <c r="AV1103" s="820"/>
      <c r="AW1103" s="821"/>
      <c r="AX1103" s="821"/>
      <c r="AY1103" s="969" t="str">
        <f t="shared" si="925"/>
        <v>-</v>
      </c>
      <c r="AZ1103" s="966" t="str">
        <f t="shared" si="926"/>
        <v>-</v>
      </c>
      <c r="BA1103" s="971" t="str">
        <f t="shared" si="927"/>
        <v>-</v>
      </c>
      <c r="BB1103" s="975"/>
      <c r="BC1103" s="821"/>
      <c r="BD1103" s="821"/>
      <c r="BE1103" s="963" t="str">
        <f t="shared" si="928"/>
        <v>-</v>
      </c>
      <c r="BF1103" s="984"/>
      <c r="BG1103" s="988"/>
      <c r="BH1103" s="982"/>
      <c r="BI1103" s="991"/>
      <c r="BJ1103" s="991"/>
      <c r="BK1103" s="993" t="str">
        <f t="shared" si="929"/>
        <v>-</v>
      </c>
      <c r="BL1103" s="820">
        <v>42977</v>
      </c>
      <c r="BM1103" s="821">
        <v>5</v>
      </c>
      <c r="BN1103" s="822">
        <f t="shared" ca="1" si="930"/>
        <v>157</v>
      </c>
      <c r="BO1103" s="823">
        <f t="shared" si="931"/>
        <v>11.566666666666666</v>
      </c>
      <c r="BP1103" s="824"/>
      <c r="BQ1103" s="821"/>
      <c r="BR1103" s="822" t="str">
        <f t="shared" si="932"/>
        <v>-</v>
      </c>
      <c r="BS1103" s="823" t="str">
        <f t="shared" si="933"/>
        <v>-</v>
      </c>
      <c r="BT1103" s="825" t="str">
        <f t="shared" ca="1" si="934"/>
        <v>-</v>
      </c>
      <c r="BU1103" s="826"/>
      <c r="BV1103" s="827"/>
      <c r="BW1103" s="828" t="str">
        <f t="shared" si="935"/>
        <v>Ж-Е НЕ ВАКЦ.</v>
      </c>
      <c r="BX1103" s="829" t="str">
        <f t="shared" si="936"/>
        <v>-</v>
      </c>
      <c r="BY1103" s="830" t="str">
        <f t="shared" ca="1" si="937"/>
        <v>-</v>
      </c>
      <c r="BZ1103" s="831">
        <v>42892</v>
      </c>
      <c r="CA1103" s="832">
        <v>5</v>
      </c>
      <c r="CB1103" s="833">
        <f t="shared" ca="1" si="938"/>
        <v>242</v>
      </c>
      <c r="CC1103" s="834" t="str">
        <f t="shared" ca="1" si="939"/>
        <v>-</v>
      </c>
      <c r="CD1103" s="835">
        <f t="shared" si="940"/>
        <v>42913</v>
      </c>
      <c r="CE1103" s="831">
        <v>42913</v>
      </c>
      <c r="CF1103" s="832">
        <v>5</v>
      </c>
      <c r="CG1103" s="833">
        <f t="shared" ca="1" si="941"/>
        <v>221</v>
      </c>
      <c r="CH1103" s="836">
        <f t="shared" si="942"/>
        <v>0</v>
      </c>
      <c r="CI1103" s="837" t="str">
        <f t="shared" si="943"/>
        <v>УСПЕШНО</v>
      </c>
      <c r="CJ1103" s="838" t="str">
        <f t="shared" ca="1" si="944"/>
        <v>-</v>
      </c>
      <c r="CK1103" s="831"/>
      <c r="CL1103" s="832"/>
      <c r="CM1103" s="833" t="str">
        <f t="shared" si="945"/>
        <v>-</v>
      </c>
      <c r="CN1103" s="834" t="str">
        <f t="shared" si="946"/>
        <v>-</v>
      </c>
      <c r="CO1103" s="830" t="str">
        <f t="shared" ca="1" si="947"/>
        <v>-</v>
      </c>
      <c r="CP1103" s="839"/>
      <c r="CQ1103" s="832"/>
      <c r="CR1103" s="833" t="str">
        <f t="shared" si="948"/>
        <v>-</v>
      </c>
      <c r="CS1103" s="833" t="str">
        <f t="shared" si="949"/>
        <v>-</v>
      </c>
      <c r="CT1103" s="834" t="str">
        <f t="shared" si="950"/>
        <v>-</v>
      </c>
      <c r="CU1103" s="835" t="str">
        <f t="shared" si="951"/>
        <v>-</v>
      </c>
      <c r="CV1103" s="839"/>
      <c r="CW1103" s="832"/>
      <c r="CX1103" s="833" t="str">
        <f t="shared" si="952"/>
        <v>-</v>
      </c>
      <c r="CY1103" s="840" t="str">
        <f t="shared" si="953"/>
        <v>-</v>
      </c>
      <c r="CZ1103" s="833" t="str">
        <f t="shared" si="954"/>
        <v>-</v>
      </c>
      <c r="DA1103" s="838" t="str">
        <f t="shared" ca="1" si="955"/>
        <v>-</v>
      </c>
      <c r="DB1103" s="841"/>
      <c r="DC1103" s="832"/>
    </row>
    <row r="1104" spans="1:107" x14ac:dyDescent="0.25">
      <c r="A1104" s="790">
        <v>1108</v>
      </c>
      <c r="B1104" s="791">
        <f t="shared" ca="1" si="904"/>
        <v>43134</v>
      </c>
      <c r="C1104" s="792" t="s">
        <v>2584</v>
      </c>
      <c r="D1104" s="793" t="s">
        <v>2582</v>
      </c>
      <c r="E1104" s="794" t="s">
        <v>1563</v>
      </c>
      <c r="F1104" s="795" t="s">
        <v>1892</v>
      </c>
      <c r="G1104" s="845"/>
      <c r="H1104" s="797" t="s">
        <v>603</v>
      </c>
      <c r="I1104" s="798">
        <v>42631</v>
      </c>
      <c r="J1104" s="799">
        <f t="shared" ca="1" si="905"/>
        <v>1.3780821917808219</v>
      </c>
      <c r="K1104" s="799">
        <f t="shared" ca="1" si="906"/>
        <v>16.766666666666666</v>
      </c>
      <c r="L1104" s="800">
        <f t="shared" ca="1" si="907"/>
        <v>503</v>
      </c>
      <c r="M1104" s="801"/>
      <c r="N1104" s="802"/>
      <c r="O1104" s="803" t="str">
        <f t="shared" ca="1" si="908"/>
        <v>-</v>
      </c>
      <c r="P1104" s="804"/>
      <c r="Q1104" s="68" t="s">
        <v>2366</v>
      </c>
      <c r="R1104" s="806" t="s">
        <v>2435</v>
      </c>
      <c r="S1104" s="807">
        <v>43022</v>
      </c>
      <c r="T1104" s="798">
        <v>43045</v>
      </c>
      <c r="U1104" s="798">
        <f t="shared" si="909"/>
        <v>43063</v>
      </c>
      <c r="V1104" s="804">
        <f t="shared" ca="1" si="910"/>
        <v>71</v>
      </c>
      <c r="W1104" s="808">
        <v>2</v>
      </c>
      <c r="X1104" s="794" t="str">
        <f t="shared" si="903"/>
        <v>-</v>
      </c>
      <c r="Y1104" s="794">
        <v>3</v>
      </c>
      <c r="Z1104" s="809" t="str">
        <f t="shared" ca="1" si="911"/>
        <v>-----</v>
      </c>
      <c r="AA1104" s="810">
        <f t="shared" ca="1" si="912"/>
        <v>89</v>
      </c>
      <c r="AB1104" s="804"/>
      <c r="AC1104" s="811" t="str">
        <f t="shared" ca="1" si="913"/>
        <v>-----</v>
      </c>
      <c r="AD1104" s="798"/>
      <c r="AE1104" s="794" t="str">
        <f t="shared" ca="1" si="914"/>
        <v>-</v>
      </c>
      <c r="AF1104" s="798">
        <f t="shared" si="915"/>
        <v>43080</v>
      </c>
      <c r="AG1104" s="812">
        <f t="shared" ca="1" si="916"/>
        <v>54</v>
      </c>
      <c r="AH1104" s="807"/>
      <c r="AI1104" s="807" t="str">
        <f t="shared" si="917"/>
        <v>-</v>
      </c>
      <c r="AJ1104" s="807" t="str">
        <f t="shared" si="918"/>
        <v>-</v>
      </c>
      <c r="AK1104" s="813"/>
      <c r="AL1104" s="807" t="str">
        <f t="shared" si="919"/>
        <v>-</v>
      </c>
      <c r="AM1104" s="807" t="str">
        <f t="shared" si="920"/>
        <v>-</v>
      </c>
      <c r="AN1104" s="814" t="str">
        <f t="shared" ca="1" si="921"/>
        <v>-</v>
      </c>
      <c r="AO1104" s="815">
        <v>1</v>
      </c>
      <c r="AP1104" s="816" t="str">
        <f t="shared" ca="1" si="922"/>
        <v>-</v>
      </c>
      <c r="AQ1104" s="817"/>
      <c r="AR1104" s="794" t="str">
        <f t="shared" si="923"/>
        <v>-</v>
      </c>
      <c r="AS1104" s="818"/>
      <c r="AT1104" s="794" t="str">
        <f t="shared" si="924"/>
        <v>-</v>
      </c>
      <c r="AU1104" s="819"/>
      <c r="AV1104" s="820"/>
      <c r="AW1104" s="821"/>
      <c r="AX1104" s="821"/>
      <c r="AY1104" s="969" t="str">
        <f t="shared" si="925"/>
        <v>-</v>
      </c>
      <c r="AZ1104" s="966" t="str">
        <f t="shared" si="926"/>
        <v>-</v>
      </c>
      <c r="BA1104" s="971" t="str">
        <f t="shared" si="927"/>
        <v>-</v>
      </c>
      <c r="BB1104" s="975"/>
      <c r="BC1104" s="821"/>
      <c r="BD1104" s="821"/>
      <c r="BE1104" s="963" t="str">
        <f t="shared" si="928"/>
        <v>-</v>
      </c>
      <c r="BF1104" s="984"/>
      <c r="BG1104" s="988"/>
      <c r="BH1104" s="982"/>
      <c r="BI1104" s="991"/>
      <c r="BJ1104" s="991"/>
      <c r="BK1104" s="993" t="str">
        <f t="shared" si="929"/>
        <v>-</v>
      </c>
      <c r="BL1104" s="820">
        <v>42977</v>
      </c>
      <c r="BM1104" s="821">
        <v>5</v>
      </c>
      <c r="BN1104" s="822">
        <f t="shared" ca="1" si="930"/>
        <v>157</v>
      </c>
      <c r="BO1104" s="823">
        <f t="shared" si="931"/>
        <v>11.533333333333333</v>
      </c>
      <c r="BP1104" s="824"/>
      <c r="BQ1104" s="821"/>
      <c r="BR1104" s="822" t="str">
        <f t="shared" si="932"/>
        <v>-</v>
      </c>
      <c r="BS1104" s="823" t="str">
        <f t="shared" si="933"/>
        <v>-</v>
      </c>
      <c r="BT1104" s="825" t="str">
        <f t="shared" ca="1" si="934"/>
        <v>-</v>
      </c>
      <c r="BU1104" s="826"/>
      <c r="BV1104" s="827"/>
      <c r="BW1104" s="828" t="str">
        <f t="shared" si="935"/>
        <v>Ж-Е НЕ ВАКЦ.</v>
      </c>
      <c r="BX1104" s="829" t="str">
        <f t="shared" si="936"/>
        <v>-</v>
      </c>
      <c r="BY1104" s="830" t="str">
        <f t="shared" ca="1" si="937"/>
        <v>-</v>
      </c>
      <c r="BZ1104" s="831">
        <v>42892</v>
      </c>
      <c r="CA1104" s="832">
        <v>5</v>
      </c>
      <c r="CB1104" s="833">
        <f t="shared" ca="1" si="938"/>
        <v>242</v>
      </c>
      <c r="CC1104" s="834" t="str">
        <f t="shared" ca="1" si="939"/>
        <v>-</v>
      </c>
      <c r="CD1104" s="835">
        <f t="shared" si="940"/>
        <v>42913</v>
      </c>
      <c r="CE1104" s="831">
        <v>42913</v>
      </c>
      <c r="CF1104" s="832">
        <v>5</v>
      </c>
      <c r="CG1104" s="833">
        <f t="shared" ca="1" si="941"/>
        <v>221</v>
      </c>
      <c r="CH1104" s="836">
        <f t="shared" si="942"/>
        <v>0</v>
      </c>
      <c r="CI1104" s="837" t="str">
        <f t="shared" si="943"/>
        <v>УСПЕШНО</v>
      </c>
      <c r="CJ1104" s="838" t="str">
        <f t="shared" ca="1" si="944"/>
        <v>-</v>
      </c>
      <c r="CK1104" s="831"/>
      <c r="CL1104" s="832"/>
      <c r="CM1104" s="833" t="str">
        <f t="shared" si="945"/>
        <v>-</v>
      </c>
      <c r="CN1104" s="834" t="str">
        <f t="shared" si="946"/>
        <v>-</v>
      </c>
      <c r="CO1104" s="830" t="str">
        <f t="shared" ca="1" si="947"/>
        <v>-</v>
      </c>
      <c r="CP1104" s="839"/>
      <c r="CQ1104" s="832"/>
      <c r="CR1104" s="833" t="str">
        <f t="shared" si="948"/>
        <v>-</v>
      </c>
      <c r="CS1104" s="833" t="str">
        <f t="shared" si="949"/>
        <v>-</v>
      </c>
      <c r="CT1104" s="834" t="str">
        <f t="shared" si="950"/>
        <v>-</v>
      </c>
      <c r="CU1104" s="835" t="str">
        <f t="shared" si="951"/>
        <v>-</v>
      </c>
      <c r="CV1104" s="839"/>
      <c r="CW1104" s="832"/>
      <c r="CX1104" s="833" t="str">
        <f t="shared" si="952"/>
        <v>-</v>
      </c>
      <c r="CY1104" s="840" t="str">
        <f t="shared" si="953"/>
        <v>-</v>
      </c>
      <c r="CZ1104" s="833" t="str">
        <f t="shared" si="954"/>
        <v>-</v>
      </c>
      <c r="DA1104" s="838" t="str">
        <f t="shared" ca="1" si="955"/>
        <v>-</v>
      </c>
      <c r="DB1104" s="841"/>
      <c r="DC1104" s="832"/>
    </row>
    <row r="1105" spans="1:107" x14ac:dyDescent="0.25">
      <c r="A1105" s="790">
        <v>1109</v>
      </c>
      <c r="B1105" s="791">
        <f t="shared" ca="1" si="904"/>
        <v>43134</v>
      </c>
      <c r="C1105" s="792" t="s">
        <v>2584</v>
      </c>
      <c r="D1105" s="793" t="s">
        <v>2582</v>
      </c>
      <c r="E1105" s="794" t="s">
        <v>1563</v>
      </c>
      <c r="F1105" s="795" t="s">
        <v>1893</v>
      </c>
      <c r="G1105" s="845"/>
      <c r="H1105" s="797" t="s">
        <v>603</v>
      </c>
      <c r="I1105" s="798">
        <v>42631</v>
      </c>
      <c r="J1105" s="799">
        <f t="shared" ca="1" si="905"/>
        <v>1.3780821917808219</v>
      </c>
      <c r="K1105" s="799">
        <f t="shared" ca="1" si="906"/>
        <v>16.766666666666666</v>
      </c>
      <c r="L1105" s="800">
        <f t="shared" ca="1" si="907"/>
        <v>503</v>
      </c>
      <c r="M1105" s="801"/>
      <c r="N1105" s="802"/>
      <c r="O1105" s="803" t="str">
        <f t="shared" ca="1" si="908"/>
        <v>-</v>
      </c>
      <c r="P1105" s="804"/>
      <c r="Q1105" s="68" t="s">
        <v>2366</v>
      </c>
      <c r="R1105" s="118" t="s">
        <v>2435</v>
      </c>
      <c r="S1105" s="807">
        <v>43026</v>
      </c>
      <c r="T1105" s="798">
        <v>43045</v>
      </c>
      <c r="U1105" s="798">
        <f t="shared" si="909"/>
        <v>43063</v>
      </c>
      <c r="V1105" s="804">
        <f t="shared" ca="1" si="910"/>
        <v>71</v>
      </c>
      <c r="W1105" s="808">
        <v>2</v>
      </c>
      <c r="X1105" s="794" t="str">
        <f t="shared" si="903"/>
        <v>-</v>
      </c>
      <c r="Y1105" s="794">
        <v>3</v>
      </c>
      <c r="Z1105" s="809" t="str">
        <f t="shared" ca="1" si="911"/>
        <v>-----</v>
      </c>
      <c r="AA1105" s="810">
        <f t="shared" ca="1" si="912"/>
        <v>89</v>
      </c>
      <c r="AB1105" s="804"/>
      <c r="AC1105" s="811" t="str">
        <f t="shared" ca="1" si="913"/>
        <v>-----</v>
      </c>
      <c r="AD1105" s="798"/>
      <c r="AE1105" s="794" t="str">
        <f t="shared" ca="1" si="914"/>
        <v>-</v>
      </c>
      <c r="AF1105" s="798">
        <f t="shared" si="915"/>
        <v>43080</v>
      </c>
      <c r="AG1105" s="812">
        <f t="shared" ca="1" si="916"/>
        <v>54</v>
      </c>
      <c r="AH1105" s="807"/>
      <c r="AI1105" s="807" t="str">
        <f t="shared" si="917"/>
        <v>-</v>
      </c>
      <c r="AJ1105" s="807" t="str">
        <f t="shared" si="918"/>
        <v>-</v>
      </c>
      <c r="AK1105" s="813"/>
      <c r="AL1105" s="807" t="str">
        <f t="shared" si="919"/>
        <v>-</v>
      </c>
      <c r="AM1105" s="807" t="str">
        <f t="shared" si="920"/>
        <v>-</v>
      </c>
      <c r="AN1105" s="814" t="str">
        <f t="shared" ca="1" si="921"/>
        <v>-</v>
      </c>
      <c r="AO1105" s="815">
        <v>1</v>
      </c>
      <c r="AP1105" s="816" t="str">
        <f t="shared" ca="1" si="922"/>
        <v>-</v>
      </c>
      <c r="AQ1105" s="817"/>
      <c r="AR1105" s="794" t="str">
        <f t="shared" si="923"/>
        <v>-</v>
      </c>
      <c r="AS1105" s="818"/>
      <c r="AT1105" s="794" t="str">
        <f t="shared" si="924"/>
        <v>-</v>
      </c>
      <c r="AU1105" s="819"/>
      <c r="AV1105" s="820"/>
      <c r="AW1105" s="821"/>
      <c r="AX1105" s="821"/>
      <c r="AY1105" s="969" t="str">
        <f t="shared" si="925"/>
        <v>-</v>
      </c>
      <c r="AZ1105" s="966" t="str">
        <f t="shared" si="926"/>
        <v>-</v>
      </c>
      <c r="BA1105" s="971" t="str">
        <f t="shared" si="927"/>
        <v>-</v>
      </c>
      <c r="BB1105" s="975"/>
      <c r="BC1105" s="821"/>
      <c r="BD1105" s="821"/>
      <c r="BE1105" s="963" t="str">
        <f t="shared" si="928"/>
        <v>-</v>
      </c>
      <c r="BF1105" s="984"/>
      <c r="BG1105" s="988"/>
      <c r="BH1105" s="982"/>
      <c r="BI1105" s="991"/>
      <c r="BJ1105" s="991"/>
      <c r="BK1105" s="993" t="str">
        <f t="shared" si="929"/>
        <v>-</v>
      </c>
      <c r="BL1105" s="820">
        <v>42977</v>
      </c>
      <c r="BM1105" s="821">
        <v>5</v>
      </c>
      <c r="BN1105" s="822">
        <f t="shared" ca="1" si="930"/>
        <v>157</v>
      </c>
      <c r="BO1105" s="823">
        <f t="shared" si="931"/>
        <v>11.533333333333333</v>
      </c>
      <c r="BP1105" s="824"/>
      <c r="BQ1105" s="821"/>
      <c r="BR1105" s="822" t="str">
        <f t="shared" si="932"/>
        <v>-</v>
      </c>
      <c r="BS1105" s="823" t="str">
        <f t="shared" si="933"/>
        <v>-</v>
      </c>
      <c r="BT1105" s="825" t="str">
        <f t="shared" ca="1" si="934"/>
        <v>-</v>
      </c>
      <c r="BU1105" s="826"/>
      <c r="BV1105" s="827"/>
      <c r="BW1105" s="828" t="str">
        <f t="shared" si="935"/>
        <v>Ж-Е НЕ ВАКЦ.</v>
      </c>
      <c r="BX1105" s="829" t="str">
        <f t="shared" si="936"/>
        <v>-</v>
      </c>
      <c r="BY1105" s="830" t="str">
        <f t="shared" ca="1" si="937"/>
        <v>-</v>
      </c>
      <c r="BZ1105" s="831">
        <v>42892</v>
      </c>
      <c r="CA1105" s="832">
        <v>5</v>
      </c>
      <c r="CB1105" s="833">
        <f t="shared" ca="1" si="938"/>
        <v>242</v>
      </c>
      <c r="CC1105" s="834" t="str">
        <f t="shared" ca="1" si="939"/>
        <v>-</v>
      </c>
      <c r="CD1105" s="835">
        <f t="shared" si="940"/>
        <v>42913</v>
      </c>
      <c r="CE1105" s="831">
        <v>42913</v>
      </c>
      <c r="CF1105" s="832">
        <v>5</v>
      </c>
      <c r="CG1105" s="833">
        <f t="shared" ca="1" si="941"/>
        <v>221</v>
      </c>
      <c r="CH1105" s="836">
        <f t="shared" si="942"/>
        <v>0</v>
      </c>
      <c r="CI1105" s="837" t="str">
        <f t="shared" si="943"/>
        <v>УСПЕШНО</v>
      </c>
      <c r="CJ1105" s="838" t="str">
        <f t="shared" ca="1" si="944"/>
        <v>-</v>
      </c>
      <c r="CK1105" s="831"/>
      <c r="CL1105" s="832"/>
      <c r="CM1105" s="833" t="str">
        <f t="shared" si="945"/>
        <v>-</v>
      </c>
      <c r="CN1105" s="834" t="str">
        <f t="shared" si="946"/>
        <v>-</v>
      </c>
      <c r="CO1105" s="830" t="str">
        <f t="shared" ca="1" si="947"/>
        <v>-</v>
      </c>
      <c r="CP1105" s="839"/>
      <c r="CQ1105" s="832"/>
      <c r="CR1105" s="833" t="str">
        <f t="shared" si="948"/>
        <v>-</v>
      </c>
      <c r="CS1105" s="833" t="str">
        <f t="shared" si="949"/>
        <v>-</v>
      </c>
      <c r="CT1105" s="834" t="str">
        <f t="shared" si="950"/>
        <v>-</v>
      </c>
      <c r="CU1105" s="835" t="str">
        <f t="shared" si="951"/>
        <v>-</v>
      </c>
      <c r="CV1105" s="839"/>
      <c r="CW1105" s="832"/>
      <c r="CX1105" s="833" t="str">
        <f t="shared" si="952"/>
        <v>-</v>
      </c>
      <c r="CY1105" s="840" t="str">
        <f t="shared" si="953"/>
        <v>-</v>
      </c>
      <c r="CZ1105" s="833" t="str">
        <f t="shared" si="954"/>
        <v>-</v>
      </c>
      <c r="DA1105" s="838" t="str">
        <f t="shared" ca="1" si="955"/>
        <v>-</v>
      </c>
      <c r="DB1105" s="841"/>
      <c r="DC1105" s="832"/>
    </row>
    <row r="1106" spans="1:107" x14ac:dyDescent="0.25">
      <c r="A1106" s="790">
        <v>1110</v>
      </c>
      <c r="B1106" s="791">
        <f t="shared" ca="1" si="904"/>
        <v>43134</v>
      </c>
      <c r="C1106" s="792" t="s">
        <v>2584</v>
      </c>
      <c r="D1106" s="793" t="s">
        <v>2582</v>
      </c>
      <c r="E1106" s="794" t="s">
        <v>1563</v>
      </c>
      <c r="F1106" s="795" t="s">
        <v>1894</v>
      </c>
      <c r="G1106" s="845"/>
      <c r="H1106" s="797" t="s">
        <v>603</v>
      </c>
      <c r="I1106" s="798">
        <v>42632</v>
      </c>
      <c r="J1106" s="799">
        <f t="shared" ca="1" si="905"/>
        <v>1.3753424657534246</v>
      </c>
      <c r="K1106" s="799">
        <f t="shared" ca="1" si="906"/>
        <v>16.733333333333334</v>
      </c>
      <c r="L1106" s="800">
        <f t="shared" ca="1" si="907"/>
        <v>502</v>
      </c>
      <c r="M1106" s="801"/>
      <c r="N1106" s="802"/>
      <c r="O1106" s="803" t="str">
        <f t="shared" ca="1" si="908"/>
        <v>-</v>
      </c>
      <c r="P1106" s="804"/>
      <c r="Q1106" s="805" t="s">
        <v>1451</v>
      </c>
      <c r="R1106" s="806" t="s">
        <v>2435</v>
      </c>
      <c r="S1106" s="807">
        <v>42997</v>
      </c>
      <c r="T1106" s="798">
        <v>43036</v>
      </c>
      <c r="U1106" s="798">
        <f t="shared" si="909"/>
        <v>43054</v>
      </c>
      <c r="V1106" s="804">
        <f t="shared" ca="1" si="910"/>
        <v>80</v>
      </c>
      <c r="W1106" s="808">
        <v>3</v>
      </c>
      <c r="X1106" s="794" t="str">
        <f t="shared" si="903"/>
        <v>-</v>
      </c>
      <c r="Y1106" s="794">
        <v>3</v>
      </c>
      <c r="Z1106" s="809" t="str">
        <f t="shared" ca="1" si="911"/>
        <v>-----</v>
      </c>
      <c r="AA1106" s="810">
        <f t="shared" ca="1" si="912"/>
        <v>98</v>
      </c>
      <c r="AB1106" s="804"/>
      <c r="AC1106" s="811" t="str">
        <f t="shared" ca="1" si="913"/>
        <v>-----</v>
      </c>
      <c r="AD1106" s="798"/>
      <c r="AE1106" s="794" t="str">
        <f t="shared" ca="1" si="914"/>
        <v>-</v>
      </c>
      <c r="AF1106" s="798">
        <f t="shared" si="915"/>
        <v>43071</v>
      </c>
      <c r="AG1106" s="812">
        <f t="shared" ca="1" si="916"/>
        <v>63</v>
      </c>
      <c r="AH1106" s="807"/>
      <c r="AI1106" s="807" t="str">
        <f t="shared" si="917"/>
        <v>-</v>
      </c>
      <c r="AJ1106" s="807" t="str">
        <f t="shared" si="918"/>
        <v>-</v>
      </c>
      <c r="AK1106" s="813"/>
      <c r="AL1106" s="807" t="str">
        <f t="shared" si="919"/>
        <v>-</v>
      </c>
      <c r="AM1106" s="807" t="str">
        <f t="shared" si="920"/>
        <v>-</v>
      </c>
      <c r="AN1106" s="814" t="str">
        <f t="shared" ca="1" si="921"/>
        <v>-</v>
      </c>
      <c r="AO1106" s="815">
        <v>1</v>
      </c>
      <c r="AP1106" s="816" t="str">
        <f t="shared" ca="1" si="922"/>
        <v>-</v>
      </c>
      <c r="AQ1106" s="817"/>
      <c r="AR1106" s="794" t="str">
        <f t="shared" si="923"/>
        <v>-</v>
      </c>
      <c r="AS1106" s="818"/>
      <c r="AT1106" s="794" t="str">
        <f t="shared" si="924"/>
        <v>-</v>
      </c>
      <c r="AU1106" s="819"/>
      <c r="AV1106" s="820"/>
      <c r="AW1106" s="821"/>
      <c r="AX1106" s="821"/>
      <c r="AY1106" s="969" t="str">
        <f t="shared" si="925"/>
        <v>-</v>
      </c>
      <c r="AZ1106" s="966" t="str">
        <f t="shared" si="926"/>
        <v>-</v>
      </c>
      <c r="BA1106" s="971" t="str">
        <f t="shared" si="927"/>
        <v>-</v>
      </c>
      <c r="BB1106" s="975"/>
      <c r="BC1106" s="821"/>
      <c r="BD1106" s="821"/>
      <c r="BE1106" s="963" t="str">
        <f t="shared" si="928"/>
        <v>-</v>
      </c>
      <c r="BF1106" s="984"/>
      <c r="BG1106" s="988"/>
      <c r="BH1106" s="982"/>
      <c r="BI1106" s="991"/>
      <c r="BJ1106" s="991"/>
      <c r="BK1106" s="993" t="str">
        <f t="shared" si="929"/>
        <v>-</v>
      </c>
      <c r="BL1106" s="820">
        <v>42977</v>
      </c>
      <c r="BM1106" s="821">
        <v>5</v>
      </c>
      <c r="BN1106" s="822">
        <f t="shared" ca="1" si="930"/>
        <v>157</v>
      </c>
      <c r="BO1106" s="823">
        <f t="shared" si="931"/>
        <v>11.5</v>
      </c>
      <c r="BP1106" s="824"/>
      <c r="BQ1106" s="821"/>
      <c r="BR1106" s="822" t="str">
        <f t="shared" si="932"/>
        <v>-</v>
      </c>
      <c r="BS1106" s="823" t="str">
        <f t="shared" si="933"/>
        <v>-</v>
      </c>
      <c r="BT1106" s="825" t="str">
        <f t="shared" ca="1" si="934"/>
        <v>-</v>
      </c>
      <c r="BU1106" s="826"/>
      <c r="BV1106" s="827"/>
      <c r="BW1106" s="828" t="str">
        <f t="shared" si="935"/>
        <v>Ж-Е НЕ ВАКЦ.</v>
      </c>
      <c r="BX1106" s="829" t="str">
        <f t="shared" si="936"/>
        <v>-</v>
      </c>
      <c r="BY1106" s="830" t="str">
        <f t="shared" ca="1" si="937"/>
        <v>-</v>
      </c>
      <c r="BZ1106" s="831">
        <v>42892</v>
      </c>
      <c r="CA1106" s="832">
        <v>5</v>
      </c>
      <c r="CB1106" s="833">
        <f t="shared" ca="1" si="938"/>
        <v>242</v>
      </c>
      <c r="CC1106" s="834" t="str">
        <f t="shared" ca="1" si="939"/>
        <v>-</v>
      </c>
      <c r="CD1106" s="835">
        <f t="shared" si="940"/>
        <v>42913</v>
      </c>
      <c r="CE1106" s="831">
        <v>42913</v>
      </c>
      <c r="CF1106" s="832">
        <v>5</v>
      </c>
      <c r="CG1106" s="833">
        <f t="shared" ca="1" si="941"/>
        <v>221</v>
      </c>
      <c r="CH1106" s="836">
        <f t="shared" si="942"/>
        <v>0</v>
      </c>
      <c r="CI1106" s="837" t="str">
        <f t="shared" si="943"/>
        <v>УСПЕШНО</v>
      </c>
      <c r="CJ1106" s="838" t="str">
        <f t="shared" ca="1" si="944"/>
        <v>-</v>
      </c>
      <c r="CK1106" s="831"/>
      <c r="CL1106" s="832"/>
      <c r="CM1106" s="833" t="str">
        <f t="shared" si="945"/>
        <v>-</v>
      </c>
      <c r="CN1106" s="834" t="str">
        <f t="shared" si="946"/>
        <v>-</v>
      </c>
      <c r="CO1106" s="830" t="str">
        <f t="shared" ca="1" si="947"/>
        <v>-</v>
      </c>
      <c r="CP1106" s="839"/>
      <c r="CQ1106" s="832"/>
      <c r="CR1106" s="833" t="str">
        <f t="shared" si="948"/>
        <v>-</v>
      </c>
      <c r="CS1106" s="833" t="str">
        <f t="shared" si="949"/>
        <v>-</v>
      </c>
      <c r="CT1106" s="834" t="str">
        <f t="shared" si="950"/>
        <v>-</v>
      </c>
      <c r="CU1106" s="835" t="str">
        <f t="shared" si="951"/>
        <v>-</v>
      </c>
      <c r="CV1106" s="839"/>
      <c r="CW1106" s="832"/>
      <c r="CX1106" s="833" t="str">
        <f t="shared" si="952"/>
        <v>-</v>
      </c>
      <c r="CY1106" s="840" t="str">
        <f t="shared" si="953"/>
        <v>-</v>
      </c>
      <c r="CZ1106" s="833" t="str">
        <f t="shared" si="954"/>
        <v>-</v>
      </c>
      <c r="DA1106" s="838" t="str">
        <f t="shared" ca="1" si="955"/>
        <v>-</v>
      </c>
      <c r="DB1106" s="841"/>
      <c r="DC1106" s="832"/>
    </row>
    <row r="1107" spans="1:107" x14ac:dyDescent="0.25">
      <c r="A1107" s="790">
        <v>1111</v>
      </c>
      <c r="B1107" s="791">
        <f t="shared" ca="1" si="904"/>
        <v>43134</v>
      </c>
      <c r="C1107" s="792" t="s">
        <v>2584</v>
      </c>
      <c r="D1107" s="793" t="s">
        <v>2582</v>
      </c>
      <c r="E1107" s="794" t="s">
        <v>1563</v>
      </c>
      <c r="F1107" s="795" t="s">
        <v>2003</v>
      </c>
      <c r="G1107" s="845"/>
      <c r="H1107" s="797" t="s">
        <v>603</v>
      </c>
      <c r="I1107" s="798">
        <v>42641</v>
      </c>
      <c r="J1107" s="799">
        <f t="shared" ca="1" si="905"/>
        <v>1.3506849315068492</v>
      </c>
      <c r="K1107" s="799">
        <f t="shared" ca="1" si="906"/>
        <v>16.433333333333334</v>
      </c>
      <c r="L1107" s="800">
        <f t="shared" ca="1" si="907"/>
        <v>493</v>
      </c>
      <c r="M1107" s="801"/>
      <c r="N1107" s="802"/>
      <c r="O1107" s="803" t="str">
        <f t="shared" ca="1" si="908"/>
        <v>-</v>
      </c>
      <c r="P1107" s="804"/>
      <c r="Q1107" s="68" t="s">
        <v>2366</v>
      </c>
      <c r="R1107" s="118" t="s">
        <v>2435</v>
      </c>
      <c r="S1107" s="807">
        <v>43025</v>
      </c>
      <c r="T1107" s="798">
        <v>43045</v>
      </c>
      <c r="U1107" s="798">
        <f t="shared" si="909"/>
        <v>43063</v>
      </c>
      <c r="V1107" s="804">
        <f t="shared" ca="1" si="910"/>
        <v>71</v>
      </c>
      <c r="W1107" s="808">
        <v>2</v>
      </c>
      <c r="X1107" s="794" t="str">
        <f t="shared" si="903"/>
        <v>-</v>
      </c>
      <c r="Y1107" s="794">
        <v>3</v>
      </c>
      <c r="Z1107" s="809" t="str">
        <f t="shared" ca="1" si="911"/>
        <v>-----</v>
      </c>
      <c r="AA1107" s="810">
        <f t="shared" ca="1" si="912"/>
        <v>89</v>
      </c>
      <c r="AB1107" s="804"/>
      <c r="AC1107" s="811" t="str">
        <f t="shared" ca="1" si="913"/>
        <v>-----</v>
      </c>
      <c r="AD1107" s="798"/>
      <c r="AE1107" s="794" t="str">
        <f t="shared" ca="1" si="914"/>
        <v>-</v>
      </c>
      <c r="AF1107" s="798">
        <f t="shared" si="915"/>
        <v>43080</v>
      </c>
      <c r="AG1107" s="812">
        <f t="shared" ca="1" si="916"/>
        <v>54</v>
      </c>
      <c r="AH1107" s="807"/>
      <c r="AI1107" s="807" t="str">
        <f t="shared" si="917"/>
        <v>-</v>
      </c>
      <c r="AJ1107" s="807" t="str">
        <f t="shared" si="918"/>
        <v>-</v>
      </c>
      <c r="AK1107" s="813"/>
      <c r="AL1107" s="807" t="str">
        <f t="shared" si="919"/>
        <v>-</v>
      </c>
      <c r="AM1107" s="807" t="str">
        <f t="shared" si="920"/>
        <v>-</v>
      </c>
      <c r="AN1107" s="814" t="str">
        <f t="shared" ca="1" si="921"/>
        <v>-</v>
      </c>
      <c r="AO1107" s="815">
        <v>1</v>
      </c>
      <c r="AP1107" s="816" t="str">
        <f t="shared" ca="1" si="922"/>
        <v>-</v>
      </c>
      <c r="AQ1107" s="817"/>
      <c r="AR1107" s="794" t="str">
        <f t="shared" si="923"/>
        <v>-</v>
      </c>
      <c r="AS1107" s="818"/>
      <c r="AT1107" s="794" t="str">
        <f t="shared" si="924"/>
        <v>-</v>
      </c>
      <c r="AU1107" s="819"/>
      <c r="AV1107" s="820"/>
      <c r="AW1107" s="821"/>
      <c r="AX1107" s="821"/>
      <c r="AY1107" s="969" t="str">
        <f t="shared" si="925"/>
        <v>-</v>
      </c>
      <c r="AZ1107" s="966" t="str">
        <f t="shared" si="926"/>
        <v>-</v>
      </c>
      <c r="BA1107" s="971" t="str">
        <f t="shared" si="927"/>
        <v>-</v>
      </c>
      <c r="BB1107" s="975"/>
      <c r="BC1107" s="821"/>
      <c r="BD1107" s="821"/>
      <c r="BE1107" s="963" t="str">
        <f t="shared" si="928"/>
        <v>-</v>
      </c>
      <c r="BF1107" s="984"/>
      <c r="BG1107" s="988"/>
      <c r="BH1107" s="982"/>
      <c r="BI1107" s="991"/>
      <c r="BJ1107" s="991"/>
      <c r="BK1107" s="993" t="str">
        <f t="shared" si="929"/>
        <v>-</v>
      </c>
      <c r="BL1107" s="820">
        <v>42977</v>
      </c>
      <c r="BM1107" s="821">
        <v>5</v>
      </c>
      <c r="BN1107" s="822">
        <f t="shared" ca="1" si="930"/>
        <v>157</v>
      </c>
      <c r="BO1107" s="823">
        <f t="shared" si="931"/>
        <v>11.2</v>
      </c>
      <c r="BP1107" s="824"/>
      <c r="BQ1107" s="821"/>
      <c r="BR1107" s="822" t="str">
        <f t="shared" si="932"/>
        <v>-</v>
      </c>
      <c r="BS1107" s="823" t="str">
        <f t="shared" si="933"/>
        <v>-</v>
      </c>
      <c r="BT1107" s="825" t="str">
        <f t="shared" ca="1" si="934"/>
        <v>-</v>
      </c>
      <c r="BU1107" s="826"/>
      <c r="BV1107" s="827"/>
      <c r="BW1107" s="828" t="str">
        <f t="shared" si="935"/>
        <v>Ж-Е НЕ ВАКЦ.</v>
      </c>
      <c r="BX1107" s="829" t="str">
        <f t="shared" si="936"/>
        <v>-</v>
      </c>
      <c r="BY1107" s="830" t="str">
        <f t="shared" ca="1" si="937"/>
        <v>-</v>
      </c>
      <c r="BZ1107" s="831">
        <v>42892</v>
      </c>
      <c r="CA1107" s="832">
        <v>5</v>
      </c>
      <c r="CB1107" s="833">
        <f t="shared" ca="1" si="938"/>
        <v>242</v>
      </c>
      <c r="CC1107" s="834" t="str">
        <f t="shared" ca="1" si="939"/>
        <v>-</v>
      </c>
      <c r="CD1107" s="835">
        <f t="shared" si="940"/>
        <v>42913</v>
      </c>
      <c r="CE1107" s="831">
        <v>42913</v>
      </c>
      <c r="CF1107" s="832">
        <v>5</v>
      </c>
      <c r="CG1107" s="833">
        <f t="shared" ca="1" si="941"/>
        <v>221</v>
      </c>
      <c r="CH1107" s="836">
        <f t="shared" si="942"/>
        <v>0</v>
      </c>
      <c r="CI1107" s="837" t="str">
        <f t="shared" si="943"/>
        <v>УСПЕШНО</v>
      </c>
      <c r="CJ1107" s="838" t="str">
        <f t="shared" ca="1" si="944"/>
        <v>-</v>
      </c>
      <c r="CK1107" s="831"/>
      <c r="CL1107" s="832"/>
      <c r="CM1107" s="833" t="str">
        <f t="shared" si="945"/>
        <v>-</v>
      </c>
      <c r="CN1107" s="834" t="str">
        <f t="shared" si="946"/>
        <v>-</v>
      </c>
      <c r="CO1107" s="830" t="str">
        <f t="shared" ca="1" si="947"/>
        <v>-</v>
      </c>
      <c r="CP1107" s="839"/>
      <c r="CQ1107" s="832"/>
      <c r="CR1107" s="833" t="str">
        <f t="shared" si="948"/>
        <v>-</v>
      </c>
      <c r="CS1107" s="833" t="str">
        <f t="shared" si="949"/>
        <v>-</v>
      </c>
      <c r="CT1107" s="834" t="str">
        <f t="shared" si="950"/>
        <v>-</v>
      </c>
      <c r="CU1107" s="835" t="str">
        <f t="shared" si="951"/>
        <v>-</v>
      </c>
      <c r="CV1107" s="839"/>
      <c r="CW1107" s="832"/>
      <c r="CX1107" s="833" t="str">
        <f t="shared" si="952"/>
        <v>-</v>
      </c>
      <c r="CY1107" s="840" t="str">
        <f t="shared" si="953"/>
        <v>-</v>
      </c>
      <c r="CZ1107" s="833" t="str">
        <f t="shared" si="954"/>
        <v>-</v>
      </c>
      <c r="DA1107" s="838" t="str">
        <f t="shared" ca="1" si="955"/>
        <v>-</v>
      </c>
      <c r="DB1107" s="841"/>
      <c r="DC1107" s="832"/>
    </row>
    <row r="1108" spans="1:107" x14ac:dyDescent="0.25">
      <c r="A1108" s="790">
        <v>1112</v>
      </c>
      <c r="B1108" s="791">
        <f t="shared" ca="1" si="904"/>
        <v>43134</v>
      </c>
      <c r="C1108" s="792" t="s">
        <v>2584</v>
      </c>
      <c r="D1108" s="793" t="s">
        <v>2582</v>
      </c>
      <c r="E1108" s="794" t="s">
        <v>1563</v>
      </c>
      <c r="F1108" s="795" t="s">
        <v>2006</v>
      </c>
      <c r="G1108" s="845"/>
      <c r="H1108" s="797" t="s">
        <v>603</v>
      </c>
      <c r="I1108" s="798">
        <v>42646</v>
      </c>
      <c r="J1108" s="799">
        <f t="shared" ca="1" si="905"/>
        <v>1.3369863013698631</v>
      </c>
      <c r="K1108" s="799">
        <f t="shared" ca="1" si="906"/>
        <v>16.266666666666666</v>
      </c>
      <c r="L1108" s="800">
        <f t="shared" ca="1" si="907"/>
        <v>488</v>
      </c>
      <c r="M1108" s="801"/>
      <c r="N1108" s="802"/>
      <c r="O1108" s="803" t="str">
        <f t="shared" ca="1" si="908"/>
        <v>-</v>
      </c>
      <c r="P1108" s="804"/>
      <c r="Q1108" s="68" t="s">
        <v>2366</v>
      </c>
      <c r="R1108" s="118" t="s">
        <v>2967</v>
      </c>
      <c r="S1108" s="807">
        <v>43008</v>
      </c>
      <c r="T1108" s="798">
        <v>43048</v>
      </c>
      <c r="U1108" s="798">
        <f t="shared" si="909"/>
        <v>43066</v>
      </c>
      <c r="V1108" s="804">
        <f t="shared" ca="1" si="910"/>
        <v>68</v>
      </c>
      <c r="W1108" s="808">
        <v>2</v>
      </c>
      <c r="X1108" s="794" t="str">
        <f t="shared" si="903"/>
        <v>-</v>
      </c>
      <c r="Y1108" s="794">
        <v>3</v>
      </c>
      <c r="Z1108" s="809" t="str">
        <f t="shared" ca="1" si="911"/>
        <v>-----</v>
      </c>
      <c r="AA1108" s="810">
        <f t="shared" ca="1" si="912"/>
        <v>86</v>
      </c>
      <c r="AB1108" s="804"/>
      <c r="AC1108" s="811" t="str">
        <f t="shared" ca="1" si="913"/>
        <v>-----</v>
      </c>
      <c r="AD1108" s="798"/>
      <c r="AE1108" s="794" t="str">
        <f t="shared" ca="1" si="914"/>
        <v>-</v>
      </c>
      <c r="AF1108" s="798">
        <f t="shared" si="915"/>
        <v>43083</v>
      </c>
      <c r="AG1108" s="812">
        <f t="shared" ca="1" si="916"/>
        <v>51</v>
      </c>
      <c r="AH1108" s="807"/>
      <c r="AI1108" s="807" t="str">
        <f t="shared" si="917"/>
        <v>-</v>
      </c>
      <c r="AJ1108" s="807" t="str">
        <f t="shared" si="918"/>
        <v>-</v>
      </c>
      <c r="AK1108" s="813"/>
      <c r="AL1108" s="807" t="str">
        <f t="shared" si="919"/>
        <v>-</v>
      </c>
      <c r="AM1108" s="807" t="str">
        <f t="shared" si="920"/>
        <v>-</v>
      </c>
      <c r="AN1108" s="814" t="str">
        <f t="shared" ca="1" si="921"/>
        <v>-</v>
      </c>
      <c r="AO1108" s="815">
        <v>1</v>
      </c>
      <c r="AP1108" s="816" t="str">
        <f t="shared" ca="1" si="922"/>
        <v>-</v>
      </c>
      <c r="AQ1108" s="817"/>
      <c r="AR1108" s="794" t="str">
        <f t="shared" si="923"/>
        <v>-</v>
      </c>
      <c r="AS1108" s="818"/>
      <c r="AT1108" s="794" t="str">
        <f t="shared" si="924"/>
        <v>-</v>
      </c>
      <c r="AU1108" s="819"/>
      <c r="AV1108" s="820"/>
      <c r="AW1108" s="821"/>
      <c r="AX1108" s="821"/>
      <c r="AY1108" s="969" t="str">
        <f t="shared" si="925"/>
        <v>-</v>
      </c>
      <c r="AZ1108" s="966" t="str">
        <f t="shared" si="926"/>
        <v>-</v>
      </c>
      <c r="BA1108" s="971" t="str">
        <f t="shared" si="927"/>
        <v>-</v>
      </c>
      <c r="BB1108" s="975"/>
      <c r="BC1108" s="821"/>
      <c r="BD1108" s="821"/>
      <c r="BE1108" s="963" t="str">
        <f t="shared" si="928"/>
        <v>-</v>
      </c>
      <c r="BF1108" s="984"/>
      <c r="BG1108" s="988"/>
      <c r="BH1108" s="982"/>
      <c r="BI1108" s="991"/>
      <c r="BJ1108" s="991"/>
      <c r="BK1108" s="993" t="str">
        <f t="shared" si="929"/>
        <v>-</v>
      </c>
      <c r="BL1108" s="820">
        <v>42977</v>
      </c>
      <c r="BM1108" s="821">
        <v>5</v>
      </c>
      <c r="BN1108" s="822">
        <f t="shared" ca="1" si="930"/>
        <v>157</v>
      </c>
      <c r="BO1108" s="823">
        <f t="shared" si="931"/>
        <v>11.033333333333333</v>
      </c>
      <c r="BP1108" s="824"/>
      <c r="BQ1108" s="821"/>
      <c r="BR1108" s="822" t="str">
        <f t="shared" si="932"/>
        <v>-</v>
      </c>
      <c r="BS1108" s="823" t="str">
        <f t="shared" si="933"/>
        <v>-</v>
      </c>
      <c r="BT1108" s="825" t="str">
        <f t="shared" ca="1" si="934"/>
        <v>-</v>
      </c>
      <c r="BU1108" s="826"/>
      <c r="BV1108" s="827"/>
      <c r="BW1108" s="828" t="str">
        <f t="shared" si="935"/>
        <v>Ж-Е НЕ ВАКЦ.</v>
      </c>
      <c r="BX1108" s="829" t="str">
        <f t="shared" si="936"/>
        <v>-</v>
      </c>
      <c r="BY1108" s="830" t="str">
        <f t="shared" ca="1" si="937"/>
        <v>-</v>
      </c>
      <c r="BZ1108" s="831">
        <v>42892</v>
      </c>
      <c r="CA1108" s="832">
        <v>5</v>
      </c>
      <c r="CB1108" s="833">
        <f t="shared" ca="1" si="938"/>
        <v>242</v>
      </c>
      <c r="CC1108" s="834" t="str">
        <f t="shared" ca="1" si="939"/>
        <v>-</v>
      </c>
      <c r="CD1108" s="835">
        <f t="shared" si="940"/>
        <v>42913</v>
      </c>
      <c r="CE1108" s="831">
        <v>42913</v>
      </c>
      <c r="CF1108" s="832">
        <v>5</v>
      </c>
      <c r="CG1108" s="833">
        <f t="shared" ca="1" si="941"/>
        <v>221</v>
      </c>
      <c r="CH1108" s="836">
        <f t="shared" si="942"/>
        <v>0</v>
      </c>
      <c r="CI1108" s="837" t="str">
        <f t="shared" si="943"/>
        <v>УСПЕШНО</v>
      </c>
      <c r="CJ1108" s="838" t="str">
        <f t="shared" ca="1" si="944"/>
        <v>-</v>
      </c>
      <c r="CK1108" s="831"/>
      <c r="CL1108" s="832"/>
      <c r="CM1108" s="833" t="str">
        <f t="shared" si="945"/>
        <v>-</v>
      </c>
      <c r="CN1108" s="834" t="str">
        <f t="shared" si="946"/>
        <v>-</v>
      </c>
      <c r="CO1108" s="830" t="str">
        <f t="shared" ca="1" si="947"/>
        <v>-</v>
      </c>
      <c r="CP1108" s="839"/>
      <c r="CQ1108" s="832"/>
      <c r="CR1108" s="833" t="str">
        <f t="shared" si="948"/>
        <v>-</v>
      </c>
      <c r="CS1108" s="833" t="str">
        <f t="shared" si="949"/>
        <v>-</v>
      </c>
      <c r="CT1108" s="834" t="str">
        <f t="shared" si="950"/>
        <v>-</v>
      </c>
      <c r="CU1108" s="835" t="str">
        <f t="shared" si="951"/>
        <v>-</v>
      </c>
      <c r="CV1108" s="839"/>
      <c r="CW1108" s="832"/>
      <c r="CX1108" s="833" t="str">
        <f t="shared" si="952"/>
        <v>-</v>
      </c>
      <c r="CY1108" s="840" t="str">
        <f t="shared" si="953"/>
        <v>-</v>
      </c>
      <c r="CZ1108" s="833" t="str">
        <f t="shared" si="954"/>
        <v>-</v>
      </c>
      <c r="DA1108" s="838" t="str">
        <f t="shared" ca="1" si="955"/>
        <v>-</v>
      </c>
      <c r="DB1108" s="841"/>
      <c r="DC1108" s="832"/>
    </row>
    <row r="1109" spans="1:107" x14ac:dyDescent="0.25">
      <c r="A1109" s="790">
        <v>1113</v>
      </c>
      <c r="B1109" s="791">
        <f t="shared" ca="1" si="904"/>
        <v>43134</v>
      </c>
      <c r="C1109" s="792" t="s">
        <v>2584</v>
      </c>
      <c r="D1109" s="793" t="s">
        <v>2582</v>
      </c>
      <c r="E1109" s="794" t="s">
        <v>1563</v>
      </c>
      <c r="F1109" s="795" t="s">
        <v>2080</v>
      </c>
      <c r="G1109" s="845"/>
      <c r="H1109" s="797" t="s">
        <v>603</v>
      </c>
      <c r="I1109" s="798">
        <v>42653</v>
      </c>
      <c r="J1109" s="799">
        <f t="shared" ca="1" si="905"/>
        <v>1.3178082191780822</v>
      </c>
      <c r="K1109" s="799">
        <f t="shared" ca="1" si="906"/>
        <v>16.033333333333335</v>
      </c>
      <c r="L1109" s="800">
        <f t="shared" ca="1" si="907"/>
        <v>481</v>
      </c>
      <c r="M1109" s="801"/>
      <c r="N1109" s="802"/>
      <c r="O1109" s="803" t="str">
        <f t="shared" ca="1" si="908"/>
        <v>-</v>
      </c>
      <c r="P1109" s="804"/>
      <c r="Q1109" s="68" t="s">
        <v>2366</v>
      </c>
      <c r="R1109" s="118" t="s">
        <v>2967</v>
      </c>
      <c r="S1109" s="807">
        <v>43028</v>
      </c>
      <c r="T1109" s="798">
        <v>43028</v>
      </c>
      <c r="U1109" s="798">
        <f t="shared" si="909"/>
        <v>43046</v>
      </c>
      <c r="V1109" s="804">
        <f t="shared" ca="1" si="910"/>
        <v>88</v>
      </c>
      <c r="W1109" s="808">
        <v>1</v>
      </c>
      <c r="X1109" s="794" t="str">
        <f t="shared" si="903"/>
        <v>-</v>
      </c>
      <c r="Y1109" s="794">
        <v>3</v>
      </c>
      <c r="Z1109" s="809" t="str">
        <f t="shared" ca="1" si="911"/>
        <v>-----</v>
      </c>
      <c r="AA1109" s="810">
        <f t="shared" ca="1" si="912"/>
        <v>106</v>
      </c>
      <c r="AB1109" s="804"/>
      <c r="AC1109" s="811" t="str">
        <f t="shared" ca="1" si="913"/>
        <v>-----</v>
      </c>
      <c r="AD1109" s="798"/>
      <c r="AE1109" s="794" t="str">
        <f t="shared" ca="1" si="914"/>
        <v>-</v>
      </c>
      <c r="AF1109" s="798">
        <f t="shared" si="915"/>
        <v>43063</v>
      </c>
      <c r="AG1109" s="812">
        <f t="shared" ca="1" si="916"/>
        <v>71</v>
      </c>
      <c r="AH1109" s="807"/>
      <c r="AI1109" s="807" t="str">
        <f t="shared" si="917"/>
        <v>-</v>
      </c>
      <c r="AJ1109" s="807" t="str">
        <f t="shared" si="918"/>
        <v>-</v>
      </c>
      <c r="AK1109" s="813"/>
      <c r="AL1109" s="807" t="str">
        <f t="shared" si="919"/>
        <v>-</v>
      </c>
      <c r="AM1109" s="807" t="str">
        <f t="shared" si="920"/>
        <v>-</v>
      </c>
      <c r="AN1109" s="814" t="str">
        <f t="shared" ca="1" si="921"/>
        <v>-</v>
      </c>
      <c r="AO1109" s="815">
        <v>1</v>
      </c>
      <c r="AP1109" s="816" t="str">
        <f t="shared" ca="1" si="922"/>
        <v>-</v>
      </c>
      <c r="AQ1109" s="817"/>
      <c r="AR1109" s="794" t="str">
        <f t="shared" si="923"/>
        <v>-</v>
      </c>
      <c r="AS1109" s="818"/>
      <c r="AT1109" s="794" t="str">
        <f t="shared" si="924"/>
        <v>-</v>
      </c>
      <c r="AU1109" s="819"/>
      <c r="AV1109" s="820"/>
      <c r="AW1109" s="821"/>
      <c r="AX1109" s="821"/>
      <c r="AY1109" s="969" t="str">
        <f t="shared" si="925"/>
        <v>-</v>
      </c>
      <c r="AZ1109" s="966" t="str">
        <f t="shared" si="926"/>
        <v>-</v>
      </c>
      <c r="BA1109" s="971" t="str">
        <f t="shared" si="927"/>
        <v>-</v>
      </c>
      <c r="BB1109" s="975"/>
      <c r="BC1109" s="821"/>
      <c r="BD1109" s="821"/>
      <c r="BE1109" s="963" t="str">
        <f t="shared" si="928"/>
        <v>-</v>
      </c>
      <c r="BF1109" s="984"/>
      <c r="BG1109" s="988"/>
      <c r="BH1109" s="982"/>
      <c r="BI1109" s="991"/>
      <c r="BJ1109" s="991"/>
      <c r="BK1109" s="993" t="str">
        <f t="shared" si="929"/>
        <v>-</v>
      </c>
      <c r="BL1109" s="820">
        <v>42977</v>
      </c>
      <c r="BM1109" s="821">
        <v>5</v>
      </c>
      <c r="BN1109" s="822">
        <f t="shared" ca="1" si="930"/>
        <v>157</v>
      </c>
      <c r="BO1109" s="823">
        <f t="shared" si="931"/>
        <v>10.8</v>
      </c>
      <c r="BP1109" s="824"/>
      <c r="BQ1109" s="821"/>
      <c r="BR1109" s="822" t="str">
        <f t="shared" si="932"/>
        <v>-</v>
      </c>
      <c r="BS1109" s="823" t="str">
        <f t="shared" si="933"/>
        <v>-</v>
      </c>
      <c r="BT1109" s="825" t="str">
        <f t="shared" ca="1" si="934"/>
        <v>-</v>
      </c>
      <c r="BU1109" s="826"/>
      <c r="BV1109" s="827"/>
      <c r="BW1109" s="828" t="str">
        <f t="shared" si="935"/>
        <v>Ж-Е НЕ ВАКЦ.</v>
      </c>
      <c r="BX1109" s="829" t="str">
        <f t="shared" si="936"/>
        <v>-</v>
      </c>
      <c r="BY1109" s="830" t="str">
        <f t="shared" ca="1" si="937"/>
        <v>-</v>
      </c>
      <c r="BZ1109" s="831">
        <v>42892</v>
      </c>
      <c r="CA1109" s="832">
        <v>5</v>
      </c>
      <c r="CB1109" s="833">
        <f t="shared" ca="1" si="938"/>
        <v>242</v>
      </c>
      <c r="CC1109" s="834" t="str">
        <f t="shared" ca="1" si="939"/>
        <v>-</v>
      </c>
      <c r="CD1109" s="835">
        <f t="shared" si="940"/>
        <v>42913</v>
      </c>
      <c r="CE1109" s="831">
        <v>42913</v>
      </c>
      <c r="CF1109" s="832">
        <v>5</v>
      </c>
      <c r="CG1109" s="833">
        <f t="shared" ca="1" si="941"/>
        <v>221</v>
      </c>
      <c r="CH1109" s="836">
        <f t="shared" si="942"/>
        <v>0</v>
      </c>
      <c r="CI1109" s="837" t="str">
        <f t="shared" si="943"/>
        <v>УСПЕШНО</v>
      </c>
      <c r="CJ1109" s="838" t="str">
        <f t="shared" ca="1" si="944"/>
        <v>-</v>
      </c>
      <c r="CK1109" s="831"/>
      <c r="CL1109" s="832"/>
      <c r="CM1109" s="833" t="str">
        <f t="shared" si="945"/>
        <v>-</v>
      </c>
      <c r="CN1109" s="834" t="str">
        <f t="shared" si="946"/>
        <v>-</v>
      </c>
      <c r="CO1109" s="830" t="str">
        <f t="shared" ca="1" si="947"/>
        <v>-</v>
      </c>
      <c r="CP1109" s="839"/>
      <c r="CQ1109" s="832"/>
      <c r="CR1109" s="833" t="str">
        <f t="shared" si="948"/>
        <v>-</v>
      </c>
      <c r="CS1109" s="833" t="str">
        <f t="shared" si="949"/>
        <v>-</v>
      </c>
      <c r="CT1109" s="834" t="str">
        <f t="shared" si="950"/>
        <v>-</v>
      </c>
      <c r="CU1109" s="835" t="str">
        <f t="shared" si="951"/>
        <v>-</v>
      </c>
      <c r="CV1109" s="839"/>
      <c r="CW1109" s="832"/>
      <c r="CX1109" s="833" t="str">
        <f t="shared" si="952"/>
        <v>-</v>
      </c>
      <c r="CY1109" s="840" t="str">
        <f t="shared" si="953"/>
        <v>-</v>
      </c>
      <c r="CZ1109" s="833" t="str">
        <f t="shared" si="954"/>
        <v>-</v>
      </c>
      <c r="DA1109" s="838" t="str">
        <f t="shared" ca="1" si="955"/>
        <v>-</v>
      </c>
      <c r="DB1109" s="841"/>
      <c r="DC1109" s="832"/>
    </row>
    <row r="1110" spans="1:107" x14ac:dyDescent="0.25">
      <c r="A1110" s="790">
        <v>1114</v>
      </c>
      <c r="B1110" s="791">
        <f t="shared" ca="1" si="904"/>
        <v>43134</v>
      </c>
      <c r="C1110" s="792" t="s">
        <v>2584</v>
      </c>
      <c r="D1110" s="793" t="s">
        <v>2582</v>
      </c>
      <c r="E1110" s="794" t="s">
        <v>1563</v>
      </c>
      <c r="F1110" s="795" t="s">
        <v>2133</v>
      </c>
      <c r="G1110" s="845"/>
      <c r="H1110" s="797" t="s">
        <v>603</v>
      </c>
      <c r="I1110" s="798">
        <v>42654</v>
      </c>
      <c r="J1110" s="799">
        <f t="shared" ca="1" si="905"/>
        <v>1.3150684931506849</v>
      </c>
      <c r="K1110" s="799">
        <f t="shared" ca="1" si="906"/>
        <v>16</v>
      </c>
      <c r="L1110" s="800">
        <f t="shared" ca="1" si="907"/>
        <v>480</v>
      </c>
      <c r="M1110" s="801"/>
      <c r="N1110" s="802"/>
      <c r="O1110" s="803" t="str">
        <f t="shared" ca="1" si="908"/>
        <v>-</v>
      </c>
      <c r="P1110" s="804"/>
      <c r="Q1110" s="68" t="s">
        <v>2366</v>
      </c>
      <c r="R1110" s="118" t="s">
        <v>2435</v>
      </c>
      <c r="S1110" s="807">
        <v>43016</v>
      </c>
      <c r="T1110" s="798">
        <v>43053</v>
      </c>
      <c r="U1110" s="798">
        <f t="shared" si="909"/>
        <v>43071</v>
      </c>
      <c r="V1110" s="804">
        <f t="shared" ca="1" si="910"/>
        <v>63</v>
      </c>
      <c r="W1110" s="808">
        <v>3</v>
      </c>
      <c r="X1110" s="794" t="str">
        <f t="shared" si="903"/>
        <v>-</v>
      </c>
      <c r="Y1110" s="794">
        <v>3</v>
      </c>
      <c r="Z1110" s="809" t="str">
        <f t="shared" ca="1" si="911"/>
        <v>-----</v>
      </c>
      <c r="AA1110" s="810">
        <f t="shared" ca="1" si="912"/>
        <v>81</v>
      </c>
      <c r="AB1110" s="804"/>
      <c r="AC1110" s="811" t="str">
        <f t="shared" ca="1" si="913"/>
        <v>-----</v>
      </c>
      <c r="AD1110" s="798"/>
      <c r="AE1110" s="794" t="str">
        <f t="shared" ca="1" si="914"/>
        <v>-</v>
      </c>
      <c r="AF1110" s="798">
        <f t="shared" si="915"/>
        <v>43088</v>
      </c>
      <c r="AG1110" s="812">
        <f t="shared" ca="1" si="916"/>
        <v>46</v>
      </c>
      <c r="AH1110" s="807"/>
      <c r="AI1110" s="807" t="str">
        <f t="shared" si="917"/>
        <v>-</v>
      </c>
      <c r="AJ1110" s="807" t="str">
        <f t="shared" si="918"/>
        <v>-</v>
      </c>
      <c r="AK1110" s="813"/>
      <c r="AL1110" s="807" t="str">
        <f t="shared" si="919"/>
        <v>-</v>
      </c>
      <c r="AM1110" s="807" t="str">
        <f t="shared" si="920"/>
        <v>-</v>
      </c>
      <c r="AN1110" s="814" t="str">
        <f t="shared" ca="1" si="921"/>
        <v>-</v>
      </c>
      <c r="AO1110" s="815">
        <v>1</v>
      </c>
      <c r="AP1110" s="816" t="str">
        <f t="shared" ca="1" si="922"/>
        <v>-</v>
      </c>
      <c r="AQ1110" s="817"/>
      <c r="AR1110" s="794" t="str">
        <f t="shared" si="923"/>
        <v>-</v>
      </c>
      <c r="AS1110" s="818"/>
      <c r="AT1110" s="794" t="str">
        <f t="shared" si="924"/>
        <v>-</v>
      </c>
      <c r="AU1110" s="819"/>
      <c r="AV1110" s="820"/>
      <c r="AW1110" s="821"/>
      <c r="AX1110" s="821"/>
      <c r="AY1110" s="969" t="str">
        <f t="shared" si="925"/>
        <v>-</v>
      </c>
      <c r="AZ1110" s="966" t="str">
        <f t="shared" si="926"/>
        <v>-</v>
      </c>
      <c r="BA1110" s="971" t="str">
        <f t="shared" si="927"/>
        <v>-</v>
      </c>
      <c r="BB1110" s="975"/>
      <c r="BC1110" s="821"/>
      <c r="BD1110" s="821"/>
      <c r="BE1110" s="963" t="str">
        <f t="shared" si="928"/>
        <v>-</v>
      </c>
      <c r="BF1110" s="984"/>
      <c r="BG1110" s="988"/>
      <c r="BH1110" s="982"/>
      <c r="BI1110" s="991"/>
      <c r="BJ1110" s="991"/>
      <c r="BK1110" s="993" t="str">
        <f t="shared" si="929"/>
        <v>-</v>
      </c>
      <c r="BL1110" s="820">
        <v>42977</v>
      </c>
      <c r="BM1110" s="821">
        <v>5</v>
      </c>
      <c r="BN1110" s="822">
        <f t="shared" ca="1" si="930"/>
        <v>157</v>
      </c>
      <c r="BO1110" s="823">
        <f t="shared" si="931"/>
        <v>10.766666666666667</v>
      </c>
      <c r="BP1110" s="824"/>
      <c r="BQ1110" s="821"/>
      <c r="BR1110" s="822" t="str">
        <f t="shared" si="932"/>
        <v>-</v>
      </c>
      <c r="BS1110" s="823" t="str">
        <f t="shared" si="933"/>
        <v>-</v>
      </c>
      <c r="BT1110" s="825" t="str">
        <f t="shared" ca="1" si="934"/>
        <v>-</v>
      </c>
      <c r="BU1110" s="826"/>
      <c r="BV1110" s="827"/>
      <c r="BW1110" s="828" t="str">
        <f t="shared" si="935"/>
        <v>Ж-Е НЕ ВАКЦ.</v>
      </c>
      <c r="BX1110" s="829" t="str">
        <f t="shared" si="936"/>
        <v>-</v>
      </c>
      <c r="BY1110" s="830" t="str">
        <f t="shared" ca="1" si="937"/>
        <v>-</v>
      </c>
      <c r="BZ1110" s="831">
        <v>42892</v>
      </c>
      <c r="CA1110" s="832">
        <v>5</v>
      </c>
      <c r="CB1110" s="833">
        <f t="shared" ca="1" si="938"/>
        <v>242</v>
      </c>
      <c r="CC1110" s="834" t="str">
        <f t="shared" ca="1" si="939"/>
        <v>-</v>
      </c>
      <c r="CD1110" s="835">
        <f t="shared" si="940"/>
        <v>42913</v>
      </c>
      <c r="CE1110" s="831">
        <v>42913</v>
      </c>
      <c r="CF1110" s="832">
        <v>5</v>
      </c>
      <c r="CG1110" s="833">
        <f t="shared" ca="1" si="941"/>
        <v>221</v>
      </c>
      <c r="CH1110" s="836">
        <f t="shared" si="942"/>
        <v>0</v>
      </c>
      <c r="CI1110" s="837" t="str">
        <f t="shared" si="943"/>
        <v>УСПЕШНО</v>
      </c>
      <c r="CJ1110" s="838" t="str">
        <f t="shared" ca="1" si="944"/>
        <v>-</v>
      </c>
      <c r="CK1110" s="831"/>
      <c r="CL1110" s="832"/>
      <c r="CM1110" s="833" t="str">
        <f t="shared" si="945"/>
        <v>-</v>
      </c>
      <c r="CN1110" s="834" t="str">
        <f t="shared" si="946"/>
        <v>-</v>
      </c>
      <c r="CO1110" s="830" t="str">
        <f t="shared" ca="1" si="947"/>
        <v>-</v>
      </c>
      <c r="CP1110" s="839"/>
      <c r="CQ1110" s="832"/>
      <c r="CR1110" s="833" t="str">
        <f t="shared" si="948"/>
        <v>-</v>
      </c>
      <c r="CS1110" s="833" t="str">
        <f t="shared" si="949"/>
        <v>-</v>
      </c>
      <c r="CT1110" s="834" t="str">
        <f t="shared" si="950"/>
        <v>-</v>
      </c>
      <c r="CU1110" s="835" t="str">
        <f t="shared" si="951"/>
        <v>-</v>
      </c>
      <c r="CV1110" s="839"/>
      <c r="CW1110" s="832"/>
      <c r="CX1110" s="833" t="str">
        <f t="shared" si="952"/>
        <v>-</v>
      </c>
      <c r="CY1110" s="840" t="str">
        <f t="shared" si="953"/>
        <v>-</v>
      </c>
      <c r="CZ1110" s="833" t="str">
        <f t="shared" si="954"/>
        <v>-</v>
      </c>
      <c r="DA1110" s="838" t="str">
        <f t="shared" ca="1" si="955"/>
        <v>-</v>
      </c>
      <c r="DB1110" s="841"/>
      <c r="DC1110" s="832"/>
    </row>
    <row r="1111" spans="1:107" x14ac:dyDescent="0.25">
      <c r="A1111" s="790">
        <v>1115</v>
      </c>
      <c r="B1111" s="791">
        <f t="shared" ca="1" si="904"/>
        <v>43134</v>
      </c>
      <c r="C1111" s="792" t="s">
        <v>2584</v>
      </c>
      <c r="D1111" s="793" t="s">
        <v>2582</v>
      </c>
      <c r="E1111" s="794" t="s">
        <v>1563</v>
      </c>
      <c r="F1111" s="795" t="s">
        <v>2140</v>
      </c>
      <c r="G1111" s="845"/>
      <c r="H1111" s="797" t="s">
        <v>603</v>
      </c>
      <c r="I1111" s="798">
        <v>42657</v>
      </c>
      <c r="J1111" s="799">
        <f t="shared" ca="1" si="905"/>
        <v>1.3068493150684932</v>
      </c>
      <c r="K1111" s="799">
        <f t="shared" ca="1" si="906"/>
        <v>15.9</v>
      </c>
      <c r="L1111" s="800">
        <f t="shared" ca="1" si="907"/>
        <v>477</v>
      </c>
      <c r="M1111" s="801"/>
      <c r="N1111" s="802"/>
      <c r="O1111" s="803" t="str">
        <f t="shared" ca="1" si="908"/>
        <v>-</v>
      </c>
      <c r="P1111" s="804"/>
      <c r="Q1111" s="805" t="s">
        <v>1451</v>
      </c>
      <c r="R1111" s="806" t="s">
        <v>2435</v>
      </c>
      <c r="S1111" s="807">
        <v>43024</v>
      </c>
      <c r="T1111" s="798">
        <v>43024</v>
      </c>
      <c r="U1111" s="798">
        <f t="shared" si="909"/>
        <v>43042</v>
      </c>
      <c r="V1111" s="804">
        <f t="shared" ca="1" si="910"/>
        <v>92</v>
      </c>
      <c r="W1111" s="808">
        <v>1</v>
      </c>
      <c r="X1111" s="794" t="str">
        <f t="shared" si="903"/>
        <v>-</v>
      </c>
      <c r="Y1111" s="794">
        <v>3</v>
      </c>
      <c r="Z1111" s="809" t="str">
        <f t="shared" ca="1" si="911"/>
        <v>-----</v>
      </c>
      <c r="AA1111" s="810">
        <f t="shared" ca="1" si="912"/>
        <v>110</v>
      </c>
      <c r="AB1111" s="804"/>
      <c r="AC1111" s="811" t="str">
        <f t="shared" ca="1" si="913"/>
        <v>-----</v>
      </c>
      <c r="AD1111" s="798"/>
      <c r="AE1111" s="794" t="str">
        <f t="shared" ca="1" si="914"/>
        <v>-</v>
      </c>
      <c r="AF1111" s="798">
        <f t="shared" si="915"/>
        <v>43059</v>
      </c>
      <c r="AG1111" s="812">
        <f t="shared" ca="1" si="916"/>
        <v>75</v>
      </c>
      <c r="AH1111" s="807"/>
      <c r="AI1111" s="807" t="str">
        <f t="shared" si="917"/>
        <v>-</v>
      </c>
      <c r="AJ1111" s="807" t="str">
        <f t="shared" si="918"/>
        <v>-</v>
      </c>
      <c r="AK1111" s="813"/>
      <c r="AL1111" s="807" t="str">
        <f t="shared" si="919"/>
        <v>-</v>
      </c>
      <c r="AM1111" s="807" t="str">
        <f t="shared" si="920"/>
        <v>-</v>
      </c>
      <c r="AN1111" s="814" t="str">
        <f t="shared" ca="1" si="921"/>
        <v>-</v>
      </c>
      <c r="AO1111" s="815">
        <v>1</v>
      </c>
      <c r="AP1111" s="816" t="str">
        <f t="shared" ca="1" si="922"/>
        <v>-</v>
      </c>
      <c r="AQ1111" s="817"/>
      <c r="AR1111" s="794" t="str">
        <f t="shared" si="923"/>
        <v>-</v>
      </c>
      <c r="AS1111" s="818"/>
      <c r="AT1111" s="794" t="str">
        <f t="shared" si="924"/>
        <v>-</v>
      </c>
      <c r="AU1111" s="819"/>
      <c r="AV1111" s="820"/>
      <c r="AW1111" s="821"/>
      <c r="AX1111" s="821"/>
      <c r="AY1111" s="969" t="str">
        <f t="shared" si="925"/>
        <v>-</v>
      </c>
      <c r="AZ1111" s="966" t="str">
        <f t="shared" si="926"/>
        <v>-</v>
      </c>
      <c r="BA1111" s="971" t="str">
        <f t="shared" si="927"/>
        <v>-</v>
      </c>
      <c r="BB1111" s="975"/>
      <c r="BC1111" s="821"/>
      <c r="BD1111" s="821"/>
      <c r="BE1111" s="963" t="str">
        <f t="shared" si="928"/>
        <v>-</v>
      </c>
      <c r="BF1111" s="984"/>
      <c r="BG1111" s="988"/>
      <c r="BH1111" s="982"/>
      <c r="BI1111" s="991"/>
      <c r="BJ1111" s="991"/>
      <c r="BK1111" s="993" t="str">
        <f t="shared" si="929"/>
        <v>-</v>
      </c>
      <c r="BL1111" s="820">
        <v>42977</v>
      </c>
      <c r="BM1111" s="821">
        <v>5</v>
      </c>
      <c r="BN1111" s="822">
        <f t="shared" ca="1" si="930"/>
        <v>157</v>
      </c>
      <c r="BO1111" s="823">
        <f t="shared" si="931"/>
        <v>10.666666666666666</v>
      </c>
      <c r="BP1111" s="824"/>
      <c r="BQ1111" s="821"/>
      <c r="BR1111" s="822" t="str">
        <f t="shared" si="932"/>
        <v>-</v>
      </c>
      <c r="BS1111" s="823" t="str">
        <f t="shared" si="933"/>
        <v>-</v>
      </c>
      <c r="BT1111" s="825" t="str">
        <f t="shared" ca="1" si="934"/>
        <v>-</v>
      </c>
      <c r="BU1111" s="826"/>
      <c r="BV1111" s="827"/>
      <c r="BW1111" s="828" t="str">
        <f t="shared" si="935"/>
        <v>Ж-Е НЕ ВАКЦ.</v>
      </c>
      <c r="BX1111" s="829" t="str">
        <f t="shared" si="936"/>
        <v>-</v>
      </c>
      <c r="BY1111" s="830" t="str">
        <f t="shared" ca="1" si="937"/>
        <v>-</v>
      </c>
      <c r="BZ1111" s="831">
        <v>42892</v>
      </c>
      <c r="CA1111" s="832">
        <v>5</v>
      </c>
      <c r="CB1111" s="833">
        <f t="shared" ca="1" si="938"/>
        <v>242</v>
      </c>
      <c r="CC1111" s="834" t="str">
        <f t="shared" ca="1" si="939"/>
        <v>-</v>
      </c>
      <c r="CD1111" s="835">
        <f t="shared" si="940"/>
        <v>42913</v>
      </c>
      <c r="CE1111" s="831">
        <v>42913</v>
      </c>
      <c r="CF1111" s="832">
        <v>5</v>
      </c>
      <c r="CG1111" s="833">
        <f t="shared" ca="1" si="941"/>
        <v>221</v>
      </c>
      <c r="CH1111" s="836">
        <f t="shared" si="942"/>
        <v>0</v>
      </c>
      <c r="CI1111" s="837" t="str">
        <f t="shared" si="943"/>
        <v>УСПЕШНО</v>
      </c>
      <c r="CJ1111" s="838" t="str">
        <f t="shared" ca="1" si="944"/>
        <v>-</v>
      </c>
      <c r="CK1111" s="831"/>
      <c r="CL1111" s="832"/>
      <c r="CM1111" s="833" t="str">
        <f t="shared" si="945"/>
        <v>-</v>
      </c>
      <c r="CN1111" s="834" t="str">
        <f t="shared" si="946"/>
        <v>-</v>
      </c>
      <c r="CO1111" s="830" t="str">
        <f t="shared" ca="1" si="947"/>
        <v>-</v>
      </c>
      <c r="CP1111" s="839"/>
      <c r="CQ1111" s="832"/>
      <c r="CR1111" s="833" t="str">
        <f t="shared" si="948"/>
        <v>-</v>
      </c>
      <c r="CS1111" s="833" t="str">
        <f t="shared" si="949"/>
        <v>-</v>
      </c>
      <c r="CT1111" s="834" t="str">
        <f t="shared" si="950"/>
        <v>-</v>
      </c>
      <c r="CU1111" s="835" t="str">
        <f t="shared" si="951"/>
        <v>-</v>
      </c>
      <c r="CV1111" s="839"/>
      <c r="CW1111" s="832"/>
      <c r="CX1111" s="833" t="str">
        <f t="shared" si="952"/>
        <v>-</v>
      </c>
      <c r="CY1111" s="840" t="str">
        <f t="shared" si="953"/>
        <v>-</v>
      </c>
      <c r="CZ1111" s="833" t="str">
        <f t="shared" si="954"/>
        <v>-</v>
      </c>
      <c r="DA1111" s="838" t="str">
        <f t="shared" ca="1" si="955"/>
        <v>-</v>
      </c>
      <c r="DB1111" s="841"/>
      <c r="DC1111" s="832"/>
    </row>
    <row r="1112" spans="1:107" x14ac:dyDescent="0.25">
      <c r="A1112" s="790">
        <v>1116</v>
      </c>
      <c r="B1112" s="791">
        <f t="shared" ca="1" si="904"/>
        <v>43134</v>
      </c>
      <c r="C1112" s="29" t="s">
        <v>2584</v>
      </c>
      <c r="D1112" s="793" t="s">
        <v>2582</v>
      </c>
      <c r="E1112" s="794" t="s">
        <v>1563</v>
      </c>
      <c r="F1112" s="795" t="s">
        <v>2141</v>
      </c>
      <c r="G1112" s="845"/>
      <c r="H1112" s="797" t="s">
        <v>603</v>
      </c>
      <c r="I1112" s="798">
        <v>42658</v>
      </c>
      <c r="J1112" s="799">
        <f t="shared" ca="1" si="905"/>
        <v>1.3041095890410959</v>
      </c>
      <c r="K1112" s="799">
        <f t="shared" ca="1" si="906"/>
        <v>15.866666666666667</v>
      </c>
      <c r="L1112" s="800">
        <f t="shared" ca="1" si="907"/>
        <v>476</v>
      </c>
      <c r="M1112" s="801"/>
      <c r="N1112" s="802"/>
      <c r="O1112" s="803" t="str">
        <f t="shared" ca="1" si="908"/>
        <v>-</v>
      </c>
      <c r="P1112" s="804"/>
      <c r="Q1112" s="805"/>
      <c r="R1112" s="806"/>
      <c r="S1112" s="807"/>
      <c r="T1112" s="798"/>
      <c r="U1112" s="798" t="str">
        <f t="shared" si="909"/>
        <v>-</v>
      </c>
      <c r="V1112" s="804" t="str">
        <f t="shared" ca="1" si="910"/>
        <v>-</v>
      </c>
      <c r="W1112" s="808">
        <v>0</v>
      </c>
      <c r="X1112" s="794" t="str">
        <f t="shared" si="903"/>
        <v>-</v>
      </c>
      <c r="Y1112" s="794">
        <v>0</v>
      </c>
      <c r="Z1112" s="809" t="str">
        <f t="shared" ca="1" si="911"/>
        <v>-----</v>
      </c>
      <c r="AA1112" s="810">
        <f t="shared" ca="1" si="912"/>
        <v>43134</v>
      </c>
      <c r="AB1112" s="804"/>
      <c r="AC1112" s="811" t="str">
        <f t="shared" ca="1" si="913"/>
        <v>-----</v>
      </c>
      <c r="AD1112" s="798"/>
      <c r="AE1112" s="794" t="str">
        <f t="shared" ca="1" si="914"/>
        <v>-</v>
      </c>
      <c r="AF1112" s="798" t="str">
        <f t="shared" si="915"/>
        <v>-</v>
      </c>
      <c r="AG1112" s="812" t="str">
        <f t="shared" si="916"/>
        <v>---------</v>
      </c>
      <c r="AH1112" s="807"/>
      <c r="AI1112" s="807" t="str">
        <f t="shared" si="917"/>
        <v>-</v>
      </c>
      <c r="AJ1112" s="807" t="str">
        <f t="shared" si="918"/>
        <v>-</v>
      </c>
      <c r="AK1112" s="813"/>
      <c r="AL1112" s="807" t="str">
        <f t="shared" si="919"/>
        <v>-</v>
      </c>
      <c r="AM1112" s="807" t="str">
        <f t="shared" si="920"/>
        <v>-</v>
      </c>
      <c r="AN1112" s="814" t="str">
        <f t="shared" ca="1" si="921"/>
        <v>-</v>
      </c>
      <c r="AO1112" s="815">
        <v>1</v>
      </c>
      <c r="AP1112" s="816" t="str">
        <f t="shared" ca="1" si="922"/>
        <v>-</v>
      </c>
      <c r="AQ1112" s="817"/>
      <c r="AR1112" s="794" t="str">
        <f t="shared" si="923"/>
        <v>-</v>
      </c>
      <c r="AS1112" s="818"/>
      <c r="AT1112" s="794" t="str">
        <f t="shared" si="924"/>
        <v>-</v>
      </c>
      <c r="AU1112" s="819"/>
      <c r="AV1112" s="820"/>
      <c r="AW1112" s="821"/>
      <c r="AX1112" s="821"/>
      <c r="AY1112" s="969" t="str">
        <f t="shared" si="925"/>
        <v>-</v>
      </c>
      <c r="AZ1112" s="966" t="str">
        <f t="shared" si="926"/>
        <v>-</v>
      </c>
      <c r="BA1112" s="971" t="str">
        <f t="shared" si="927"/>
        <v>-</v>
      </c>
      <c r="BB1112" s="975"/>
      <c r="BC1112" s="821"/>
      <c r="BD1112" s="821"/>
      <c r="BE1112" s="963" t="str">
        <f t="shared" si="928"/>
        <v>-</v>
      </c>
      <c r="BF1112" s="984"/>
      <c r="BG1112" s="988"/>
      <c r="BH1112" s="982"/>
      <c r="BI1112" s="991"/>
      <c r="BJ1112" s="991"/>
      <c r="BK1112" s="993" t="str">
        <f t="shared" si="929"/>
        <v>-</v>
      </c>
      <c r="BL1112" s="820">
        <v>42977</v>
      </c>
      <c r="BM1112" s="821">
        <v>5</v>
      </c>
      <c r="BN1112" s="822">
        <f t="shared" ca="1" si="930"/>
        <v>157</v>
      </c>
      <c r="BO1112" s="823">
        <f t="shared" si="931"/>
        <v>10.633333333333333</v>
      </c>
      <c r="BP1112" s="824"/>
      <c r="BQ1112" s="821"/>
      <c r="BR1112" s="822" t="str">
        <f t="shared" si="932"/>
        <v>-</v>
      </c>
      <c r="BS1112" s="823" t="str">
        <f t="shared" si="933"/>
        <v>-</v>
      </c>
      <c r="BT1112" s="825" t="str">
        <f t="shared" ca="1" si="934"/>
        <v>-</v>
      </c>
      <c r="BU1112" s="826"/>
      <c r="BV1112" s="827"/>
      <c r="BW1112" s="828" t="str">
        <f t="shared" si="935"/>
        <v>Ж-Е НЕ ВАКЦ.</v>
      </c>
      <c r="BX1112" s="829" t="str">
        <f t="shared" si="936"/>
        <v>-</v>
      </c>
      <c r="BY1112" s="830" t="str">
        <f t="shared" ca="1" si="937"/>
        <v>-</v>
      </c>
      <c r="BZ1112" s="831">
        <v>42892</v>
      </c>
      <c r="CA1112" s="832">
        <v>5</v>
      </c>
      <c r="CB1112" s="833">
        <f t="shared" ca="1" si="938"/>
        <v>242</v>
      </c>
      <c r="CC1112" s="834" t="str">
        <f t="shared" ca="1" si="939"/>
        <v>-</v>
      </c>
      <c r="CD1112" s="835">
        <f t="shared" si="940"/>
        <v>42913</v>
      </c>
      <c r="CE1112" s="831">
        <v>42913</v>
      </c>
      <c r="CF1112" s="832">
        <v>5</v>
      </c>
      <c r="CG1112" s="833">
        <f t="shared" ca="1" si="941"/>
        <v>221</v>
      </c>
      <c r="CH1112" s="836">
        <f t="shared" si="942"/>
        <v>0</v>
      </c>
      <c r="CI1112" s="837" t="str">
        <f t="shared" si="943"/>
        <v>УСПЕШНО</v>
      </c>
      <c r="CJ1112" s="838" t="str">
        <f t="shared" ca="1" si="944"/>
        <v>-</v>
      </c>
      <c r="CK1112" s="831"/>
      <c r="CL1112" s="832"/>
      <c r="CM1112" s="833" t="str">
        <f t="shared" si="945"/>
        <v>-</v>
      </c>
      <c r="CN1112" s="834" t="str">
        <f t="shared" si="946"/>
        <v>-</v>
      </c>
      <c r="CO1112" s="830" t="str">
        <f t="shared" ca="1" si="947"/>
        <v>-</v>
      </c>
      <c r="CP1112" s="839"/>
      <c r="CQ1112" s="832"/>
      <c r="CR1112" s="833" t="str">
        <f t="shared" si="948"/>
        <v>-</v>
      </c>
      <c r="CS1112" s="833" t="str">
        <f t="shared" si="949"/>
        <v>-</v>
      </c>
      <c r="CT1112" s="834" t="str">
        <f t="shared" si="950"/>
        <v>-</v>
      </c>
      <c r="CU1112" s="835" t="str">
        <f t="shared" si="951"/>
        <v>-</v>
      </c>
      <c r="CV1112" s="839"/>
      <c r="CW1112" s="832"/>
      <c r="CX1112" s="833" t="str">
        <f t="shared" si="952"/>
        <v>-</v>
      </c>
      <c r="CY1112" s="840" t="str">
        <f t="shared" si="953"/>
        <v>-</v>
      </c>
      <c r="CZ1112" s="833" t="str">
        <f t="shared" si="954"/>
        <v>-</v>
      </c>
      <c r="DA1112" s="838" t="str">
        <f t="shared" ca="1" si="955"/>
        <v>-</v>
      </c>
      <c r="DB1112" s="841"/>
      <c r="DC1112" s="832"/>
    </row>
    <row r="1113" spans="1:107" x14ac:dyDescent="0.25">
      <c r="A1113" s="790">
        <v>1117</v>
      </c>
      <c r="B1113" s="791">
        <f t="shared" ca="1" si="904"/>
        <v>43134</v>
      </c>
      <c r="C1113" s="29" t="s">
        <v>2584</v>
      </c>
      <c r="D1113" s="793" t="s">
        <v>2582</v>
      </c>
      <c r="E1113" s="794" t="s">
        <v>1563</v>
      </c>
      <c r="F1113" s="795" t="s">
        <v>2142</v>
      </c>
      <c r="G1113" s="845"/>
      <c r="H1113" s="797" t="s">
        <v>603</v>
      </c>
      <c r="I1113" s="798">
        <v>42661</v>
      </c>
      <c r="J1113" s="799">
        <f t="shared" ca="1" si="905"/>
        <v>1.295890410958904</v>
      </c>
      <c r="K1113" s="799">
        <f t="shared" ca="1" si="906"/>
        <v>15.766666666666667</v>
      </c>
      <c r="L1113" s="800">
        <f t="shared" ca="1" si="907"/>
        <v>473</v>
      </c>
      <c r="M1113" s="801"/>
      <c r="N1113" s="802"/>
      <c r="O1113" s="803" t="str">
        <f t="shared" ca="1" si="908"/>
        <v>-</v>
      </c>
      <c r="P1113" s="804"/>
      <c r="Q1113" s="68" t="s">
        <v>1451</v>
      </c>
      <c r="R1113" s="118" t="s">
        <v>2435</v>
      </c>
      <c r="S1113" s="807">
        <v>43035</v>
      </c>
      <c r="T1113" s="798">
        <v>43035</v>
      </c>
      <c r="U1113" s="798">
        <f t="shared" si="909"/>
        <v>43053</v>
      </c>
      <c r="V1113" s="804">
        <f t="shared" ca="1" si="910"/>
        <v>81</v>
      </c>
      <c r="W1113" s="808">
        <v>1</v>
      </c>
      <c r="X1113" s="794" t="str">
        <f t="shared" si="903"/>
        <v>-</v>
      </c>
      <c r="Y1113" s="794">
        <v>3</v>
      </c>
      <c r="Z1113" s="809" t="str">
        <f t="shared" ca="1" si="911"/>
        <v>-----</v>
      </c>
      <c r="AA1113" s="810">
        <f t="shared" ca="1" si="912"/>
        <v>99</v>
      </c>
      <c r="AB1113" s="804"/>
      <c r="AC1113" s="811" t="str">
        <f t="shared" ca="1" si="913"/>
        <v>-----</v>
      </c>
      <c r="AD1113" s="798"/>
      <c r="AE1113" s="794" t="str">
        <f t="shared" ca="1" si="914"/>
        <v>-</v>
      </c>
      <c r="AF1113" s="798">
        <f t="shared" si="915"/>
        <v>43070</v>
      </c>
      <c r="AG1113" s="812">
        <f t="shared" ca="1" si="916"/>
        <v>64</v>
      </c>
      <c r="AH1113" s="807"/>
      <c r="AI1113" s="807" t="str">
        <f t="shared" si="917"/>
        <v>-</v>
      </c>
      <c r="AJ1113" s="807" t="str">
        <f t="shared" si="918"/>
        <v>-</v>
      </c>
      <c r="AK1113" s="813"/>
      <c r="AL1113" s="807" t="str">
        <f t="shared" si="919"/>
        <v>-</v>
      </c>
      <c r="AM1113" s="807" t="str">
        <f t="shared" si="920"/>
        <v>-</v>
      </c>
      <c r="AN1113" s="814" t="str">
        <f t="shared" ca="1" si="921"/>
        <v>-</v>
      </c>
      <c r="AO1113" s="815">
        <v>1</v>
      </c>
      <c r="AP1113" s="816" t="str">
        <f t="shared" ca="1" si="922"/>
        <v>-</v>
      </c>
      <c r="AQ1113" s="817"/>
      <c r="AR1113" s="794" t="str">
        <f t="shared" si="923"/>
        <v>-</v>
      </c>
      <c r="AS1113" s="818"/>
      <c r="AT1113" s="794" t="str">
        <f t="shared" si="924"/>
        <v>-</v>
      </c>
      <c r="AU1113" s="819"/>
      <c r="AV1113" s="820"/>
      <c r="AW1113" s="821"/>
      <c r="AX1113" s="821"/>
      <c r="AY1113" s="969" t="str">
        <f t="shared" si="925"/>
        <v>-</v>
      </c>
      <c r="AZ1113" s="966" t="str">
        <f t="shared" si="926"/>
        <v>-</v>
      </c>
      <c r="BA1113" s="971" t="str">
        <f t="shared" si="927"/>
        <v>-</v>
      </c>
      <c r="BB1113" s="975"/>
      <c r="BC1113" s="821"/>
      <c r="BD1113" s="821"/>
      <c r="BE1113" s="963" t="str">
        <f t="shared" si="928"/>
        <v>-</v>
      </c>
      <c r="BF1113" s="984"/>
      <c r="BG1113" s="988"/>
      <c r="BH1113" s="982"/>
      <c r="BI1113" s="991"/>
      <c r="BJ1113" s="991"/>
      <c r="BK1113" s="993" t="str">
        <f t="shared" si="929"/>
        <v>-</v>
      </c>
      <c r="BL1113" s="820">
        <v>42977</v>
      </c>
      <c r="BM1113" s="821">
        <v>5</v>
      </c>
      <c r="BN1113" s="822">
        <f t="shared" ca="1" si="930"/>
        <v>157</v>
      </c>
      <c r="BO1113" s="823">
        <f t="shared" si="931"/>
        <v>10.533333333333333</v>
      </c>
      <c r="BP1113" s="824"/>
      <c r="BQ1113" s="821"/>
      <c r="BR1113" s="822" t="str">
        <f t="shared" si="932"/>
        <v>-</v>
      </c>
      <c r="BS1113" s="823" t="str">
        <f t="shared" si="933"/>
        <v>-</v>
      </c>
      <c r="BT1113" s="825" t="str">
        <f t="shared" ca="1" si="934"/>
        <v>-</v>
      </c>
      <c r="BU1113" s="826"/>
      <c r="BV1113" s="827"/>
      <c r="BW1113" s="828" t="str">
        <f t="shared" si="935"/>
        <v>Ж-Е НЕ ВАКЦ.</v>
      </c>
      <c r="BX1113" s="829" t="str">
        <f t="shared" si="936"/>
        <v>-</v>
      </c>
      <c r="BY1113" s="830" t="str">
        <f t="shared" ca="1" si="937"/>
        <v>-</v>
      </c>
      <c r="BZ1113" s="831">
        <v>42892</v>
      </c>
      <c r="CA1113" s="832">
        <v>5</v>
      </c>
      <c r="CB1113" s="833">
        <f t="shared" ca="1" si="938"/>
        <v>242</v>
      </c>
      <c r="CC1113" s="834" t="str">
        <f t="shared" ca="1" si="939"/>
        <v>-</v>
      </c>
      <c r="CD1113" s="835">
        <f t="shared" si="940"/>
        <v>42913</v>
      </c>
      <c r="CE1113" s="831">
        <v>42913</v>
      </c>
      <c r="CF1113" s="832">
        <v>5</v>
      </c>
      <c r="CG1113" s="833">
        <f t="shared" ca="1" si="941"/>
        <v>221</v>
      </c>
      <c r="CH1113" s="836">
        <f t="shared" si="942"/>
        <v>0</v>
      </c>
      <c r="CI1113" s="837" t="str">
        <f t="shared" si="943"/>
        <v>УСПЕШНО</v>
      </c>
      <c r="CJ1113" s="838" t="str">
        <f t="shared" ca="1" si="944"/>
        <v>-</v>
      </c>
      <c r="CK1113" s="831"/>
      <c r="CL1113" s="832"/>
      <c r="CM1113" s="833" t="str">
        <f t="shared" si="945"/>
        <v>-</v>
      </c>
      <c r="CN1113" s="834" t="str">
        <f t="shared" si="946"/>
        <v>-</v>
      </c>
      <c r="CO1113" s="830" t="str">
        <f t="shared" ca="1" si="947"/>
        <v>-</v>
      </c>
      <c r="CP1113" s="839"/>
      <c r="CQ1113" s="832"/>
      <c r="CR1113" s="833" t="str">
        <f t="shared" si="948"/>
        <v>-</v>
      </c>
      <c r="CS1113" s="833" t="str">
        <f t="shared" si="949"/>
        <v>-</v>
      </c>
      <c r="CT1113" s="834" t="str">
        <f t="shared" si="950"/>
        <v>-</v>
      </c>
      <c r="CU1113" s="835" t="str">
        <f t="shared" si="951"/>
        <v>-</v>
      </c>
      <c r="CV1113" s="839"/>
      <c r="CW1113" s="832"/>
      <c r="CX1113" s="833" t="str">
        <f t="shared" si="952"/>
        <v>-</v>
      </c>
      <c r="CY1113" s="840" t="str">
        <f t="shared" si="953"/>
        <v>-</v>
      </c>
      <c r="CZ1113" s="833" t="str">
        <f t="shared" si="954"/>
        <v>-</v>
      </c>
      <c r="DA1113" s="838" t="str">
        <f t="shared" ca="1" si="955"/>
        <v>-</v>
      </c>
      <c r="DB1113" s="841"/>
      <c r="DC1113" s="832"/>
    </row>
    <row r="1114" spans="1:107" x14ac:dyDescent="0.25">
      <c r="A1114" s="790">
        <v>1118</v>
      </c>
      <c r="B1114" s="791">
        <f t="shared" ca="1" si="904"/>
        <v>43134</v>
      </c>
      <c r="C1114" s="792" t="s">
        <v>2584</v>
      </c>
      <c r="D1114" s="793" t="s">
        <v>2582</v>
      </c>
      <c r="E1114" s="794" t="s">
        <v>1563</v>
      </c>
      <c r="F1114" s="795" t="s">
        <v>2143</v>
      </c>
      <c r="G1114" s="845"/>
      <c r="H1114" s="797" t="s">
        <v>603</v>
      </c>
      <c r="I1114" s="798">
        <v>42661</v>
      </c>
      <c r="J1114" s="799">
        <f t="shared" ca="1" si="905"/>
        <v>1.295890410958904</v>
      </c>
      <c r="K1114" s="799">
        <f t="shared" ca="1" si="906"/>
        <v>15.766666666666667</v>
      </c>
      <c r="L1114" s="800">
        <f t="shared" ca="1" si="907"/>
        <v>473</v>
      </c>
      <c r="M1114" s="801"/>
      <c r="N1114" s="802"/>
      <c r="O1114" s="803" t="str">
        <f t="shared" ca="1" si="908"/>
        <v>-</v>
      </c>
      <c r="P1114" s="804"/>
      <c r="Q1114" s="805" t="s">
        <v>1451</v>
      </c>
      <c r="R1114" s="806" t="s">
        <v>2435</v>
      </c>
      <c r="S1114" s="807">
        <v>43019</v>
      </c>
      <c r="T1114" s="798">
        <v>43019</v>
      </c>
      <c r="U1114" s="798">
        <f t="shared" si="909"/>
        <v>43037</v>
      </c>
      <c r="V1114" s="804">
        <f t="shared" ca="1" si="910"/>
        <v>97</v>
      </c>
      <c r="W1114" s="808">
        <v>1</v>
      </c>
      <c r="X1114" s="794" t="str">
        <f t="shared" si="903"/>
        <v>-</v>
      </c>
      <c r="Y1114" s="794">
        <v>3</v>
      </c>
      <c r="Z1114" s="809" t="str">
        <f t="shared" ca="1" si="911"/>
        <v>-----</v>
      </c>
      <c r="AA1114" s="810">
        <f t="shared" ca="1" si="912"/>
        <v>115</v>
      </c>
      <c r="AB1114" s="804"/>
      <c r="AC1114" s="811" t="str">
        <f t="shared" ca="1" si="913"/>
        <v>-----</v>
      </c>
      <c r="AD1114" s="798"/>
      <c r="AE1114" s="794" t="str">
        <f t="shared" ca="1" si="914"/>
        <v>-</v>
      </c>
      <c r="AF1114" s="798">
        <f t="shared" si="915"/>
        <v>43054</v>
      </c>
      <c r="AG1114" s="812">
        <f t="shared" ca="1" si="916"/>
        <v>80</v>
      </c>
      <c r="AH1114" s="807"/>
      <c r="AI1114" s="807" t="str">
        <f t="shared" si="917"/>
        <v>-</v>
      </c>
      <c r="AJ1114" s="807" t="str">
        <f t="shared" si="918"/>
        <v>-</v>
      </c>
      <c r="AK1114" s="813"/>
      <c r="AL1114" s="807" t="str">
        <f t="shared" si="919"/>
        <v>-</v>
      </c>
      <c r="AM1114" s="807" t="str">
        <f t="shared" si="920"/>
        <v>-</v>
      </c>
      <c r="AN1114" s="814" t="str">
        <f t="shared" ca="1" si="921"/>
        <v>-</v>
      </c>
      <c r="AO1114" s="815">
        <v>1</v>
      </c>
      <c r="AP1114" s="816" t="str">
        <f t="shared" ca="1" si="922"/>
        <v>-</v>
      </c>
      <c r="AQ1114" s="817"/>
      <c r="AR1114" s="794" t="str">
        <f t="shared" si="923"/>
        <v>-</v>
      </c>
      <c r="AS1114" s="818"/>
      <c r="AT1114" s="794" t="str">
        <f t="shared" si="924"/>
        <v>-</v>
      </c>
      <c r="AU1114" s="819"/>
      <c r="AV1114" s="820"/>
      <c r="AW1114" s="821"/>
      <c r="AX1114" s="821"/>
      <c r="AY1114" s="969" t="str">
        <f t="shared" si="925"/>
        <v>-</v>
      </c>
      <c r="AZ1114" s="966" t="str">
        <f t="shared" si="926"/>
        <v>-</v>
      </c>
      <c r="BA1114" s="971" t="str">
        <f t="shared" si="927"/>
        <v>-</v>
      </c>
      <c r="BB1114" s="975"/>
      <c r="BC1114" s="821"/>
      <c r="BD1114" s="821"/>
      <c r="BE1114" s="963" t="str">
        <f t="shared" si="928"/>
        <v>-</v>
      </c>
      <c r="BF1114" s="984"/>
      <c r="BG1114" s="988"/>
      <c r="BH1114" s="982"/>
      <c r="BI1114" s="991"/>
      <c r="BJ1114" s="991"/>
      <c r="BK1114" s="993" t="str">
        <f t="shared" si="929"/>
        <v>-</v>
      </c>
      <c r="BL1114" s="820">
        <v>42977</v>
      </c>
      <c r="BM1114" s="821">
        <v>5</v>
      </c>
      <c r="BN1114" s="822">
        <f t="shared" ca="1" si="930"/>
        <v>157</v>
      </c>
      <c r="BO1114" s="823">
        <f t="shared" si="931"/>
        <v>10.533333333333333</v>
      </c>
      <c r="BP1114" s="824"/>
      <c r="BQ1114" s="821"/>
      <c r="BR1114" s="822" t="str">
        <f t="shared" si="932"/>
        <v>-</v>
      </c>
      <c r="BS1114" s="823" t="str">
        <f t="shared" si="933"/>
        <v>-</v>
      </c>
      <c r="BT1114" s="825" t="str">
        <f t="shared" ca="1" si="934"/>
        <v>-</v>
      </c>
      <c r="BU1114" s="826"/>
      <c r="BV1114" s="827"/>
      <c r="BW1114" s="828" t="str">
        <f t="shared" si="935"/>
        <v>Ж-Е НЕ ВАКЦ.</v>
      </c>
      <c r="BX1114" s="829" t="str">
        <f t="shared" si="936"/>
        <v>-</v>
      </c>
      <c r="BY1114" s="830" t="str">
        <f t="shared" ca="1" si="937"/>
        <v>-</v>
      </c>
      <c r="BZ1114" s="831">
        <v>42894</v>
      </c>
      <c r="CA1114" s="832">
        <v>5</v>
      </c>
      <c r="CB1114" s="833">
        <f t="shared" ca="1" si="938"/>
        <v>240</v>
      </c>
      <c r="CC1114" s="834" t="str">
        <f t="shared" ca="1" si="939"/>
        <v>-</v>
      </c>
      <c r="CD1114" s="835">
        <f t="shared" si="940"/>
        <v>42915</v>
      </c>
      <c r="CE1114" s="831">
        <v>42913</v>
      </c>
      <c r="CF1114" s="832">
        <v>5</v>
      </c>
      <c r="CG1114" s="833">
        <f t="shared" ca="1" si="941"/>
        <v>221</v>
      </c>
      <c r="CH1114" s="836">
        <f t="shared" si="942"/>
        <v>2</v>
      </c>
      <c r="CI1114" s="837" t="str">
        <f t="shared" si="943"/>
        <v>-</v>
      </c>
      <c r="CJ1114" s="838" t="str">
        <f t="shared" ca="1" si="944"/>
        <v>-</v>
      </c>
      <c r="CK1114" s="831"/>
      <c r="CL1114" s="832"/>
      <c r="CM1114" s="833" t="str">
        <f t="shared" si="945"/>
        <v>-</v>
      </c>
      <c r="CN1114" s="834" t="str">
        <f t="shared" si="946"/>
        <v>-</v>
      </c>
      <c r="CO1114" s="830" t="str">
        <f t="shared" ca="1" si="947"/>
        <v>-</v>
      </c>
      <c r="CP1114" s="839"/>
      <c r="CQ1114" s="832"/>
      <c r="CR1114" s="833" t="str">
        <f t="shared" si="948"/>
        <v>-</v>
      </c>
      <c r="CS1114" s="833" t="str">
        <f t="shared" si="949"/>
        <v>-</v>
      </c>
      <c r="CT1114" s="834" t="str">
        <f t="shared" si="950"/>
        <v>-</v>
      </c>
      <c r="CU1114" s="835" t="str">
        <f t="shared" si="951"/>
        <v>-</v>
      </c>
      <c r="CV1114" s="839"/>
      <c r="CW1114" s="832"/>
      <c r="CX1114" s="833" t="str">
        <f t="shared" si="952"/>
        <v>-</v>
      </c>
      <c r="CY1114" s="840" t="str">
        <f t="shared" si="953"/>
        <v>-</v>
      </c>
      <c r="CZ1114" s="833" t="str">
        <f t="shared" si="954"/>
        <v>-</v>
      </c>
      <c r="DA1114" s="838" t="str">
        <f t="shared" ca="1" si="955"/>
        <v>-</v>
      </c>
      <c r="DB1114" s="841"/>
      <c r="DC1114" s="832"/>
    </row>
    <row r="1115" spans="1:107" x14ac:dyDescent="0.25">
      <c r="A1115" s="790">
        <v>1119</v>
      </c>
      <c r="B1115" s="791">
        <f t="shared" ca="1" si="904"/>
        <v>43134</v>
      </c>
      <c r="C1115" s="792" t="s">
        <v>2584</v>
      </c>
      <c r="D1115" s="793" t="s">
        <v>2582</v>
      </c>
      <c r="E1115" s="794" t="s">
        <v>1563</v>
      </c>
      <c r="F1115" s="795" t="s">
        <v>2146</v>
      </c>
      <c r="G1115" s="845"/>
      <c r="H1115" s="797" t="s">
        <v>603</v>
      </c>
      <c r="I1115" s="798">
        <v>42662</v>
      </c>
      <c r="J1115" s="799">
        <f t="shared" ca="1" si="905"/>
        <v>1.2931506849315069</v>
      </c>
      <c r="K1115" s="799">
        <f t="shared" ca="1" si="906"/>
        <v>15.733333333333333</v>
      </c>
      <c r="L1115" s="800">
        <f t="shared" ca="1" si="907"/>
        <v>472</v>
      </c>
      <c r="M1115" s="801"/>
      <c r="N1115" s="802"/>
      <c r="O1115" s="803" t="str">
        <f t="shared" ca="1" si="908"/>
        <v>-</v>
      </c>
      <c r="P1115" s="804"/>
      <c r="Q1115" s="68" t="s">
        <v>2366</v>
      </c>
      <c r="R1115" s="118" t="s">
        <v>2967</v>
      </c>
      <c r="S1115" s="807">
        <v>43027</v>
      </c>
      <c r="T1115" s="798">
        <v>43048</v>
      </c>
      <c r="U1115" s="798">
        <f t="shared" si="909"/>
        <v>43066</v>
      </c>
      <c r="V1115" s="804">
        <f t="shared" ca="1" si="910"/>
        <v>68</v>
      </c>
      <c r="W1115" s="808">
        <v>2</v>
      </c>
      <c r="X1115" s="794" t="str">
        <f t="shared" si="903"/>
        <v>-</v>
      </c>
      <c r="Y1115" s="794">
        <v>3</v>
      </c>
      <c r="Z1115" s="809" t="str">
        <f t="shared" ca="1" si="911"/>
        <v>-----</v>
      </c>
      <c r="AA1115" s="810">
        <f t="shared" ca="1" si="912"/>
        <v>86</v>
      </c>
      <c r="AB1115" s="804"/>
      <c r="AC1115" s="811" t="str">
        <f t="shared" ca="1" si="913"/>
        <v>-----</v>
      </c>
      <c r="AD1115" s="798"/>
      <c r="AE1115" s="794" t="str">
        <f t="shared" ca="1" si="914"/>
        <v>-</v>
      </c>
      <c r="AF1115" s="798">
        <f t="shared" si="915"/>
        <v>43083</v>
      </c>
      <c r="AG1115" s="812">
        <f t="shared" ca="1" si="916"/>
        <v>51</v>
      </c>
      <c r="AH1115" s="807"/>
      <c r="AI1115" s="807" t="str">
        <f t="shared" si="917"/>
        <v>-</v>
      </c>
      <c r="AJ1115" s="807" t="str">
        <f t="shared" si="918"/>
        <v>-</v>
      </c>
      <c r="AK1115" s="813"/>
      <c r="AL1115" s="807" t="str">
        <f t="shared" si="919"/>
        <v>-</v>
      </c>
      <c r="AM1115" s="807" t="str">
        <f t="shared" si="920"/>
        <v>-</v>
      </c>
      <c r="AN1115" s="814" t="str">
        <f t="shared" ca="1" si="921"/>
        <v>-</v>
      </c>
      <c r="AO1115" s="815">
        <v>1</v>
      </c>
      <c r="AP1115" s="816" t="str">
        <f t="shared" ca="1" si="922"/>
        <v>-</v>
      </c>
      <c r="AQ1115" s="817"/>
      <c r="AR1115" s="794" t="str">
        <f t="shared" si="923"/>
        <v>-</v>
      </c>
      <c r="AS1115" s="818"/>
      <c r="AT1115" s="794" t="str">
        <f t="shared" si="924"/>
        <v>-</v>
      </c>
      <c r="AU1115" s="819"/>
      <c r="AV1115" s="820"/>
      <c r="AW1115" s="821"/>
      <c r="AX1115" s="821"/>
      <c r="AY1115" s="969" t="str">
        <f t="shared" si="925"/>
        <v>-</v>
      </c>
      <c r="AZ1115" s="966" t="str">
        <f t="shared" si="926"/>
        <v>-</v>
      </c>
      <c r="BA1115" s="971" t="str">
        <f t="shared" si="927"/>
        <v>-</v>
      </c>
      <c r="BB1115" s="975"/>
      <c r="BC1115" s="821"/>
      <c r="BD1115" s="821"/>
      <c r="BE1115" s="963" t="str">
        <f t="shared" si="928"/>
        <v>-</v>
      </c>
      <c r="BF1115" s="984"/>
      <c r="BG1115" s="988"/>
      <c r="BH1115" s="982"/>
      <c r="BI1115" s="991"/>
      <c r="BJ1115" s="991"/>
      <c r="BK1115" s="993" t="str">
        <f t="shared" si="929"/>
        <v>-</v>
      </c>
      <c r="BL1115" s="820">
        <v>42977</v>
      </c>
      <c r="BM1115" s="821">
        <v>5</v>
      </c>
      <c r="BN1115" s="822">
        <f t="shared" ca="1" si="930"/>
        <v>157</v>
      </c>
      <c r="BO1115" s="823">
        <f t="shared" si="931"/>
        <v>10.5</v>
      </c>
      <c r="BP1115" s="824"/>
      <c r="BQ1115" s="821"/>
      <c r="BR1115" s="822" t="str">
        <f t="shared" si="932"/>
        <v>-</v>
      </c>
      <c r="BS1115" s="823" t="str">
        <f t="shared" si="933"/>
        <v>-</v>
      </c>
      <c r="BT1115" s="825" t="str">
        <f t="shared" ca="1" si="934"/>
        <v>-</v>
      </c>
      <c r="BU1115" s="826"/>
      <c r="BV1115" s="827"/>
      <c r="BW1115" s="828" t="str">
        <f t="shared" si="935"/>
        <v>Ж-Е НЕ ВАКЦ.</v>
      </c>
      <c r="BX1115" s="829" t="str">
        <f t="shared" si="936"/>
        <v>-</v>
      </c>
      <c r="BY1115" s="830" t="str">
        <f t="shared" ca="1" si="937"/>
        <v>-</v>
      </c>
      <c r="BZ1115" s="831">
        <v>42892</v>
      </c>
      <c r="CA1115" s="832">
        <v>5</v>
      </c>
      <c r="CB1115" s="833">
        <f t="shared" ca="1" si="938"/>
        <v>242</v>
      </c>
      <c r="CC1115" s="834" t="str">
        <f t="shared" ca="1" si="939"/>
        <v>-</v>
      </c>
      <c r="CD1115" s="835">
        <f t="shared" si="940"/>
        <v>42913</v>
      </c>
      <c r="CE1115" s="831">
        <v>42913</v>
      </c>
      <c r="CF1115" s="832">
        <v>5</v>
      </c>
      <c r="CG1115" s="833">
        <f t="shared" ca="1" si="941"/>
        <v>221</v>
      </c>
      <c r="CH1115" s="836">
        <f t="shared" si="942"/>
        <v>0</v>
      </c>
      <c r="CI1115" s="837" t="str">
        <f t="shared" si="943"/>
        <v>УСПЕШНО</v>
      </c>
      <c r="CJ1115" s="838" t="str">
        <f t="shared" ca="1" si="944"/>
        <v>-</v>
      </c>
      <c r="CK1115" s="831"/>
      <c r="CL1115" s="832"/>
      <c r="CM1115" s="833" t="str">
        <f t="shared" si="945"/>
        <v>-</v>
      </c>
      <c r="CN1115" s="834" t="str">
        <f t="shared" si="946"/>
        <v>-</v>
      </c>
      <c r="CO1115" s="830" t="str">
        <f t="shared" ca="1" si="947"/>
        <v>-</v>
      </c>
      <c r="CP1115" s="839"/>
      <c r="CQ1115" s="832"/>
      <c r="CR1115" s="833" t="str">
        <f t="shared" si="948"/>
        <v>-</v>
      </c>
      <c r="CS1115" s="833" t="str">
        <f t="shared" si="949"/>
        <v>-</v>
      </c>
      <c r="CT1115" s="834" t="str">
        <f t="shared" si="950"/>
        <v>-</v>
      </c>
      <c r="CU1115" s="835" t="str">
        <f t="shared" si="951"/>
        <v>-</v>
      </c>
      <c r="CV1115" s="839"/>
      <c r="CW1115" s="832"/>
      <c r="CX1115" s="833" t="str">
        <f t="shared" si="952"/>
        <v>-</v>
      </c>
      <c r="CY1115" s="840" t="str">
        <f t="shared" si="953"/>
        <v>-</v>
      </c>
      <c r="CZ1115" s="833" t="str">
        <f t="shared" si="954"/>
        <v>-</v>
      </c>
      <c r="DA1115" s="838" t="str">
        <f t="shared" ca="1" si="955"/>
        <v>-</v>
      </c>
      <c r="DB1115" s="841"/>
      <c r="DC1115" s="832"/>
    </row>
    <row r="1116" spans="1:107" x14ac:dyDescent="0.25">
      <c r="A1116" s="790">
        <v>1120</v>
      </c>
      <c r="B1116" s="791">
        <f t="shared" ca="1" si="904"/>
        <v>43134</v>
      </c>
      <c r="C1116" s="792" t="s">
        <v>2584</v>
      </c>
      <c r="D1116" s="793" t="s">
        <v>2582</v>
      </c>
      <c r="E1116" s="794" t="s">
        <v>1563</v>
      </c>
      <c r="F1116" s="795" t="s">
        <v>2148</v>
      </c>
      <c r="G1116" s="845"/>
      <c r="H1116" s="797" t="s">
        <v>603</v>
      </c>
      <c r="I1116" s="798">
        <v>42663</v>
      </c>
      <c r="J1116" s="799">
        <f t="shared" ca="1" si="905"/>
        <v>1.2904109589041095</v>
      </c>
      <c r="K1116" s="799">
        <f t="shared" ca="1" si="906"/>
        <v>15.7</v>
      </c>
      <c r="L1116" s="800">
        <f t="shared" ca="1" si="907"/>
        <v>471</v>
      </c>
      <c r="M1116" s="801"/>
      <c r="N1116" s="802"/>
      <c r="O1116" s="803" t="str">
        <f t="shared" ca="1" si="908"/>
        <v>-</v>
      </c>
      <c r="P1116" s="804"/>
      <c r="Q1116" s="68" t="s">
        <v>2366</v>
      </c>
      <c r="R1116" s="806" t="s">
        <v>2435</v>
      </c>
      <c r="S1116" s="807">
        <v>43022</v>
      </c>
      <c r="T1116" s="798">
        <v>43038</v>
      </c>
      <c r="U1116" s="798">
        <f t="shared" si="909"/>
        <v>43056</v>
      </c>
      <c r="V1116" s="804">
        <f t="shared" ca="1" si="910"/>
        <v>78</v>
      </c>
      <c r="W1116" s="808">
        <v>2</v>
      </c>
      <c r="X1116" s="794" t="str">
        <f t="shared" si="903"/>
        <v>-</v>
      </c>
      <c r="Y1116" s="794">
        <v>3</v>
      </c>
      <c r="Z1116" s="809" t="str">
        <f t="shared" ca="1" si="911"/>
        <v>-----</v>
      </c>
      <c r="AA1116" s="810">
        <f t="shared" ca="1" si="912"/>
        <v>96</v>
      </c>
      <c r="AB1116" s="804"/>
      <c r="AC1116" s="811" t="str">
        <f t="shared" ca="1" si="913"/>
        <v>-----</v>
      </c>
      <c r="AD1116" s="798"/>
      <c r="AE1116" s="794" t="str">
        <f t="shared" ca="1" si="914"/>
        <v>-</v>
      </c>
      <c r="AF1116" s="798">
        <f t="shared" si="915"/>
        <v>43073</v>
      </c>
      <c r="AG1116" s="812">
        <f t="shared" ca="1" si="916"/>
        <v>61</v>
      </c>
      <c r="AH1116" s="807"/>
      <c r="AI1116" s="807" t="str">
        <f t="shared" si="917"/>
        <v>-</v>
      </c>
      <c r="AJ1116" s="807" t="str">
        <f t="shared" si="918"/>
        <v>-</v>
      </c>
      <c r="AK1116" s="813"/>
      <c r="AL1116" s="807" t="str">
        <f t="shared" si="919"/>
        <v>-</v>
      </c>
      <c r="AM1116" s="807" t="str">
        <f t="shared" si="920"/>
        <v>-</v>
      </c>
      <c r="AN1116" s="814" t="str">
        <f t="shared" ca="1" si="921"/>
        <v>-</v>
      </c>
      <c r="AO1116" s="815">
        <v>1</v>
      </c>
      <c r="AP1116" s="816" t="str">
        <f t="shared" ca="1" si="922"/>
        <v>-</v>
      </c>
      <c r="AQ1116" s="817"/>
      <c r="AR1116" s="794" t="str">
        <f t="shared" si="923"/>
        <v>-</v>
      </c>
      <c r="AS1116" s="818"/>
      <c r="AT1116" s="794" t="str">
        <f t="shared" si="924"/>
        <v>-</v>
      </c>
      <c r="AU1116" s="819" t="s">
        <v>2696</v>
      </c>
      <c r="AV1116" s="820"/>
      <c r="AW1116" s="821"/>
      <c r="AX1116" s="821"/>
      <c r="AY1116" s="969" t="str">
        <f t="shared" si="925"/>
        <v>-</v>
      </c>
      <c r="AZ1116" s="966" t="str">
        <f t="shared" si="926"/>
        <v>-</v>
      </c>
      <c r="BA1116" s="971" t="str">
        <f t="shared" si="927"/>
        <v>-</v>
      </c>
      <c r="BB1116" s="975"/>
      <c r="BC1116" s="821"/>
      <c r="BD1116" s="821"/>
      <c r="BE1116" s="963" t="str">
        <f t="shared" si="928"/>
        <v>-</v>
      </c>
      <c r="BF1116" s="984"/>
      <c r="BG1116" s="988"/>
      <c r="BH1116" s="982"/>
      <c r="BI1116" s="991"/>
      <c r="BJ1116" s="991"/>
      <c r="BK1116" s="993" t="str">
        <f t="shared" si="929"/>
        <v>-</v>
      </c>
      <c r="BL1116" s="820">
        <v>42977</v>
      </c>
      <c r="BM1116" s="821">
        <v>5</v>
      </c>
      <c r="BN1116" s="822">
        <f t="shared" ca="1" si="930"/>
        <v>157</v>
      </c>
      <c r="BO1116" s="823">
        <f t="shared" si="931"/>
        <v>10.466666666666667</v>
      </c>
      <c r="BP1116" s="824"/>
      <c r="BQ1116" s="821"/>
      <c r="BR1116" s="822" t="str">
        <f t="shared" si="932"/>
        <v>-</v>
      </c>
      <c r="BS1116" s="823" t="str">
        <f t="shared" si="933"/>
        <v>-</v>
      </c>
      <c r="BT1116" s="825" t="str">
        <f t="shared" ca="1" si="934"/>
        <v>-</v>
      </c>
      <c r="BU1116" s="826"/>
      <c r="BV1116" s="827"/>
      <c r="BW1116" s="828" t="str">
        <f t="shared" si="935"/>
        <v>Ж-Е НЕ ВАКЦ.</v>
      </c>
      <c r="BX1116" s="829" t="str">
        <f t="shared" si="936"/>
        <v>-</v>
      </c>
      <c r="BY1116" s="830" t="str">
        <f t="shared" ca="1" si="937"/>
        <v>-</v>
      </c>
      <c r="BZ1116" s="831">
        <v>42892</v>
      </c>
      <c r="CA1116" s="832">
        <v>5</v>
      </c>
      <c r="CB1116" s="833">
        <f t="shared" ca="1" si="938"/>
        <v>242</v>
      </c>
      <c r="CC1116" s="834" t="str">
        <f t="shared" ca="1" si="939"/>
        <v>-</v>
      </c>
      <c r="CD1116" s="835">
        <f t="shared" si="940"/>
        <v>42913</v>
      </c>
      <c r="CE1116" s="831">
        <v>42913</v>
      </c>
      <c r="CF1116" s="832">
        <v>5</v>
      </c>
      <c r="CG1116" s="833">
        <f t="shared" ca="1" si="941"/>
        <v>221</v>
      </c>
      <c r="CH1116" s="836">
        <f t="shared" si="942"/>
        <v>0</v>
      </c>
      <c r="CI1116" s="837" t="str">
        <f t="shared" si="943"/>
        <v>УСПЕШНО</v>
      </c>
      <c r="CJ1116" s="838" t="str">
        <f t="shared" ca="1" si="944"/>
        <v>-</v>
      </c>
      <c r="CK1116" s="831"/>
      <c r="CL1116" s="832"/>
      <c r="CM1116" s="833" t="str">
        <f t="shared" si="945"/>
        <v>-</v>
      </c>
      <c r="CN1116" s="834" t="str">
        <f t="shared" si="946"/>
        <v>-</v>
      </c>
      <c r="CO1116" s="830" t="str">
        <f t="shared" ca="1" si="947"/>
        <v>-</v>
      </c>
      <c r="CP1116" s="839"/>
      <c r="CQ1116" s="832"/>
      <c r="CR1116" s="833" t="str">
        <f t="shared" si="948"/>
        <v>-</v>
      </c>
      <c r="CS1116" s="833" t="str">
        <f t="shared" si="949"/>
        <v>-</v>
      </c>
      <c r="CT1116" s="834" t="str">
        <f t="shared" si="950"/>
        <v>-</v>
      </c>
      <c r="CU1116" s="835" t="str">
        <f t="shared" si="951"/>
        <v>-</v>
      </c>
      <c r="CV1116" s="839"/>
      <c r="CW1116" s="832"/>
      <c r="CX1116" s="833" t="str">
        <f t="shared" si="952"/>
        <v>-</v>
      </c>
      <c r="CY1116" s="840" t="str">
        <f t="shared" si="953"/>
        <v>-</v>
      </c>
      <c r="CZ1116" s="833" t="str">
        <f t="shared" si="954"/>
        <v>-</v>
      </c>
      <c r="DA1116" s="838" t="str">
        <f t="shared" ca="1" si="955"/>
        <v>-</v>
      </c>
      <c r="DB1116" s="841"/>
      <c r="DC1116" s="832"/>
    </row>
    <row r="1117" spans="1:107" x14ac:dyDescent="0.25">
      <c r="A1117" s="790">
        <v>1121</v>
      </c>
      <c r="B1117" s="791">
        <f t="shared" ca="1" si="904"/>
        <v>43134</v>
      </c>
      <c r="C1117" s="29" t="s">
        <v>2584</v>
      </c>
      <c r="D1117" s="793" t="s">
        <v>2582</v>
      </c>
      <c r="E1117" s="794" t="s">
        <v>1563</v>
      </c>
      <c r="F1117" s="795" t="s">
        <v>2151</v>
      </c>
      <c r="G1117" s="845"/>
      <c r="H1117" s="797" t="s">
        <v>603</v>
      </c>
      <c r="I1117" s="798">
        <v>42666</v>
      </c>
      <c r="J1117" s="799">
        <f t="shared" ca="1" si="905"/>
        <v>1.2821917808219179</v>
      </c>
      <c r="K1117" s="799">
        <f t="shared" ca="1" si="906"/>
        <v>15.6</v>
      </c>
      <c r="L1117" s="800">
        <f t="shared" ca="1" si="907"/>
        <v>468</v>
      </c>
      <c r="M1117" s="801"/>
      <c r="N1117" s="802"/>
      <c r="O1117" s="803" t="str">
        <f t="shared" ca="1" si="908"/>
        <v>-</v>
      </c>
      <c r="P1117" s="804"/>
      <c r="Q1117" s="805"/>
      <c r="R1117" s="806"/>
      <c r="S1117" s="807"/>
      <c r="T1117" s="798"/>
      <c r="U1117" s="798" t="str">
        <f t="shared" si="909"/>
        <v>-</v>
      </c>
      <c r="V1117" s="804" t="str">
        <f t="shared" ca="1" si="910"/>
        <v>-</v>
      </c>
      <c r="W1117" s="808">
        <v>0</v>
      </c>
      <c r="X1117" s="794" t="str">
        <f t="shared" si="903"/>
        <v>-</v>
      </c>
      <c r="Y1117" s="794">
        <v>0</v>
      </c>
      <c r="Z1117" s="809" t="str">
        <f t="shared" ca="1" si="911"/>
        <v>-----</v>
      </c>
      <c r="AA1117" s="810">
        <f t="shared" ca="1" si="912"/>
        <v>43134</v>
      </c>
      <c r="AB1117" s="804"/>
      <c r="AC1117" s="811" t="str">
        <f t="shared" ca="1" si="913"/>
        <v>-----</v>
      </c>
      <c r="AD1117" s="798"/>
      <c r="AE1117" s="794" t="str">
        <f t="shared" ca="1" si="914"/>
        <v>-</v>
      </c>
      <c r="AF1117" s="798" t="str">
        <f t="shared" si="915"/>
        <v>-</v>
      </c>
      <c r="AG1117" s="812" t="str">
        <f t="shared" si="916"/>
        <v>---------</v>
      </c>
      <c r="AH1117" s="807"/>
      <c r="AI1117" s="807" t="str">
        <f t="shared" si="917"/>
        <v>-</v>
      </c>
      <c r="AJ1117" s="807" t="str">
        <f t="shared" si="918"/>
        <v>-</v>
      </c>
      <c r="AK1117" s="813"/>
      <c r="AL1117" s="807" t="str">
        <f t="shared" si="919"/>
        <v>-</v>
      </c>
      <c r="AM1117" s="807" t="str">
        <f t="shared" si="920"/>
        <v>-</v>
      </c>
      <c r="AN1117" s="814" t="str">
        <f t="shared" ca="1" si="921"/>
        <v>-</v>
      </c>
      <c r="AO1117" s="815">
        <v>1</v>
      </c>
      <c r="AP1117" s="816" t="str">
        <f t="shared" ca="1" si="922"/>
        <v>-</v>
      </c>
      <c r="AQ1117" s="817"/>
      <c r="AR1117" s="794" t="str">
        <f t="shared" si="923"/>
        <v>-</v>
      </c>
      <c r="AS1117" s="818"/>
      <c r="AT1117" s="794" t="str">
        <f t="shared" si="924"/>
        <v>-</v>
      </c>
      <c r="AU1117" s="819"/>
      <c r="AV1117" s="820"/>
      <c r="AW1117" s="821"/>
      <c r="AX1117" s="821"/>
      <c r="AY1117" s="969" t="str">
        <f t="shared" si="925"/>
        <v>-</v>
      </c>
      <c r="AZ1117" s="966" t="str">
        <f t="shared" si="926"/>
        <v>-</v>
      </c>
      <c r="BA1117" s="971" t="str">
        <f t="shared" si="927"/>
        <v>-</v>
      </c>
      <c r="BB1117" s="975"/>
      <c r="BC1117" s="821"/>
      <c r="BD1117" s="821"/>
      <c r="BE1117" s="963" t="str">
        <f t="shared" si="928"/>
        <v>-</v>
      </c>
      <c r="BF1117" s="984"/>
      <c r="BG1117" s="988"/>
      <c r="BH1117" s="982"/>
      <c r="BI1117" s="991"/>
      <c r="BJ1117" s="991"/>
      <c r="BK1117" s="993" t="str">
        <f t="shared" si="929"/>
        <v>-</v>
      </c>
      <c r="BL1117" s="820">
        <v>42977</v>
      </c>
      <c r="BM1117" s="821">
        <v>5</v>
      </c>
      <c r="BN1117" s="822">
        <f t="shared" ca="1" si="930"/>
        <v>157</v>
      </c>
      <c r="BO1117" s="823">
        <f t="shared" si="931"/>
        <v>10.366666666666667</v>
      </c>
      <c r="BP1117" s="824"/>
      <c r="BQ1117" s="821"/>
      <c r="BR1117" s="822" t="str">
        <f t="shared" si="932"/>
        <v>-</v>
      </c>
      <c r="BS1117" s="823" t="str">
        <f t="shared" si="933"/>
        <v>-</v>
      </c>
      <c r="BT1117" s="825" t="str">
        <f t="shared" ca="1" si="934"/>
        <v>-</v>
      </c>
      <c r="BU1117" s="826"/>
      <c r="BV1117" s="827"/>
      <c r="BW1117" s="828" t="str">
        <f t="shared" si="935"/>
        <v>Ж-Е НЕ ВАКЦ.</v>
      </c>
      <c r="BX1117" s="829" t="str">
        <f t="shared" si="936"/>
        <v>-</v>
      </c>
      <c r="BY1117" s="830" t="str">
        <f t="shared" ca="1" si="937"/>
        <v>-</v>
      </c>
      <c r="BZ1117" s="831">
        <v>42892</v>
      </c>
      <c r="CA1117" s="832">
        <v>5</v>
      </c>
      <c r="CB1117" s="833">
        <f t="shared" ca="1" si="938"/>
        <v>242</v>
      </c>
      <c r="CC1117" s="834" t="str">
        <f t="shared" ca="1" si="939"/>
        <v>-</v>
      </c>
      <c r="CD1117" s="835">
        <f t="shared" si="940"/>
        <v>42913</v>
      </c>
      <c r="CE1117" s="831">
        <v>42913</v>
      </c>
      <c r="CF1117" s="832">
        <v>5</v>
      </c>
      <c r="CG1117" s="833">
        <f t="shared" ca="1" si="941"/>
        <v>221</v>
      </c>
      <c r="CH1117" s="836">
        <f t="shared" si="942"/>
        <v>0</v>
      </c>
      <c r="CI1117" s="837" t="str">
        <f t="shared" si="943"/>
        <v>УСПЕШНО</v>
      </c>
      <c r="CJ1117" s="838" t="str">
        <f t="shared" ca="1" si="944"/>
        <v>-</v>
      </c>
      <c r="CK1117" s="831"/>
      <c r="CL1117" s="832"/>
      <c r="CM1117" s="833" t="str">
        <f t="shared" si="945"/>
        <v>-</v>
      </c>
      <c r="CN1117" s="834" t="str">
        <f t="shared" si="946"/>
        <v>-</v>
      </c>
      <c r="CO1117" s="830" t="str">
        <f t="shared" ca="1" si="947"/>
        <v>-</v>
      </c>
      <c r="CP1117" s="839"/>
      <c r="CQ1117" s="832"/>
      <c r="CR1117" s="833" t="str">
        <f t="shared" si="948"/>
        <v>-</v>
      </c>
      <c r="CS1117" s="833" t="str">
        <f t="shared" si="949"/>
        <v>-</v>
      </c>
      <c r="CT1117" s="834" t="str">
        <f t="shared" si="950"/>
        <v>-</v>
      </c>
      <c r="CU1117" s="835" t="str">
        <f t="shared" si="951"/>
        <v>-</v>
      </c>
      <c r="CV1117" s="839"/>
      <c r="CW1117" s="832"/>
      <c r="CX1117" s="833" t="str">
        <f t="shared" si="952"/>
        <v>-</v>
      </c>
      <c r="CY1117" s="840" t="str">
        <f t="shared" si="953"/>
        <v>-</v>
      </c>
      <c r="CZ1117" s="833" t="str">
        <f t="shared" si="954"/>
        <v>-</v>
      </c>
      <c r="DA1117" s="838" t="str">
        <f t="shared" ca="1" si="955"/>
        <v>-</v>
      </c>
      <c r="DB1117" s="841"/>
      <c r="DC1117" s="832"/>
    </row>
    <row r="1118" spans="1:107" x14ac:dyDescent="0.25">
      <c r="A1118" s="790">
        <v>1122</v>
      </c>
      <c r="B1118" s="791">
        <f t="shared" ca="1" si="904"/>
        <v>43134</v>
      </c>
      <c r="C1118" s="792" t="s">
        <v>2584</v>
      </c>
      <c r="D1118" s="793" t="s">
        <v>2582</v>
      </c>
      <c r="E1118" s="794" t="s">
        <v>1563</v>
      </c>
      <c r="F1118" s="795" t="s">
        <v>2152</v>
      </c>
      <c r="G1118" s="845"/>
      <c r="H1118" s="797" t="s">
        <v>603</v>
      </c>
      <c r="I1118" s="798">
        <v>42668</v>
      </c>
      <c r="J1118" s="799">
        <f t="shared" ca="1" si="905"/>
        <v>1.2767123287671234</v>
      </c>
      <c r="K1118" s="799">
        <f t="shared" ca="1" si="906"/>
        <v>15.533333333333333</v>
      </c>
      <c r="L1118" s="800">
        <f t="shared" ca="1" si="907"/>
        <v>466</v>
      </c>
      <c r="M1118" s="801"/>
      <c r="N1118" s="802"/>
      <c r="O1118" s="803" t="str">
        <f t="shared" ca="1" si="908"/>
        <v>-</v>
      </c>
      <c r="P1118" s="804"/>
      <c r="Q1118" s="68" t="s">
        <v>1451</v>
      </c>
      <c r="R1118" s="118" t="s">
        <v>2435</v>
      </c>
      <c r="S1118" s="807">
        <v>43025</v>
      </c>
      <c r="T1118" s="798">
        <v>43025</v>
      </c>
      <c r="U1118" s="798">
        <f t="shared" si="909"/>
        <v>43043</v>
      </c>
      <c r="V1118" s="804">
        <f t="shared" ca="1" si="910"/>
        <v>91</v>
      </c>
      <c r="W1118" s="808">
        <v>1</v>
      </c>
      <c r="X1118" s="794" t="str">
        <f t="shared" si="903"/>
        <v>-</v>
      </c>
      <c r="Y1118" s="794">
        <v>3</v>
      </c>
      <c r="Z1118" s="809" t="str">
        <f t="shared" ca="1" si="911"/>
        <v>-----</v>
      </c>
      <c r="AA1118" s="810">
        <f t="shared" ca="1" si="912"/>
        <v>109</v>
      </c>
      <c r="AB1118" s="804"/>
      <c r="AC1118" s="811" t="str">
        <f t="shared" ca="1" si="913"/>
        <v>-----</v>
      </c>
      <c r="AD1118" s="798"/>
      <c r="AE1118" s="794" t="str">
        <f t="shared" ca="1" si="914"/>
        <v>-</v>
      </c>
      <c r="AF1118" s="798">
        <f t="shared" si="915"/>
        <v>43060</v>
      </c>
      <c r="AG1118" s="812">
        <f t="shared" ca="1" si="916"/>
        <v>74</v>
      </c>
      <c r="AH1118" s="807"/>
      <c r="AI1118" s="807" t="str">
        <f t="shared" si="917"/>
        <v>-</v>
      </c>
      <c r="AJ1118" s="807" t="str">
        <f t="shared" si="918"/>
        <v>-</v>
      </c>
      <c r="AK1118" s="813"/>
      <c r="AL1118" s="807" t="str">
        <f t="shared" si="919"/>
        <v>-</v>
      </c>
      <c r="AM1118" s="807" t="str">
        <f t="shared" si="920"/>
        <v>-</v>
      </c>
      <c r="AN1118" s="814" t="str">
        <f t="shared" ca="1" si="921"/>
        <v>-</v>
      </c>
      <c r="AO1118" s="815">
        <v>1</v>
      </c>
      <c r="AP1118" s="816" t="str">
        <f t="shared" ca="1" si="922"/>
        <v>-</v>
      </c>
      <c r="AQ1118" s="817"/>
      <c r="AR1118" s="794" t="str">
        <f t="shared" si="923"/>
        <v>-</v>
      </c>
      <c r="AS1118" s="818"/>
      <c r="AT1118" s="794" t="str">
        <f t="shared" si="924"/>
        <v>-</v>
      </c>
      <c r="AU1118" s="819"/>
      <c r="AV1118" s="820"/>
      <c r="AW1118" s="821"/>
      <c r="AX1118" s="821"/>
      <c r="AY1118" s="969" t="str">
        <f t="shared" si="925"/>
        <v>-</v>
      </c>
      <c r="AZ1118" s="966" t="str">
        <f t="shared" si="926"/>
        <v>-</v>
      </c>
      <c r="BA1118" s="971" t="str">
        <f t="shared" si="927"/>
        <v>-</v>
      </c>
      <c r="BB1118" s="975"/>
      <c r="BC1118" s="821"/>
      <c r="BD1118" s="821"/>
      <c r="BE1118" s="963" t="str">
        <f t="shared" si="928"/>
        <v>-</v>
      </c>
      <c r="BF1118" s="984"/>
      <c r="BG1118" s="988"/>
      <c r="BH1118" s="982"/>
      <c r="BI1118" s="991"/>
      <c r="BJ1118" s="991"/>
      <c r="BK1118" s="993" t="str">
        <f t="shared" si="929"/>
        <v>-</v>
      </c>
      <c r="BL1118" s="820">
        <v>42977</v>
      </c>
      <c r="BM1118" s="821">
        <v>5</v>
      </c>
      <c r="BN1118" s="822">
        <f t="shared" ca="1" si="930"/>
        <v>157</v>
      </c>
      <c r="BO1118" s="823">
        <f t="shared" si="931"/>
        <v>10.3</v>
      </c>
      <c r="BP1118" s="824"/>
      <c r="BQ1118" s="821"/>
      <c r="BR1118" s="822" t="str">
        <f t="shared" si="932"/>
        <v>-</v>
      </c>
      <c r="BS1118" s="823" t="str">
        <f t="shared" si="933"/>
        <v>-</v>
      </c>
      <c r="BT1118" s="825" t="str">
        <f t="shared" ca="1" si="934"/>
        <v>-</v>
      </c>
      <c r="BU1118" s="826"/>
      <c r="BV1118" s="827"/>
      <c r="BW1118" s="828" t="str">
        <f t="shared" si="935"/>
        <v>Ж-Е НЕ ВАКЦ.</v>
      </c>
      <c r="BX1118" s="829" t="str">
        <f t="shared" si="936"/>
        <v>-</v>
      </c>
      <c r="BY1118" s="830" t="str">
        <f t="shared" ca="1" si="937"/>
        <v>-</v>
      </c>
      <c r="BZ1118" s="831">
        <v>42892</v>
      </c>
      <c r="CA1118" s="832">
        <v>5</v>
      </c>
      <c r="CB1118" s="833">
        <f t="shared" ca="1" si="938"/>
        <v>242</v>
      </c>
      <c r="CC1118" s="834" t="str">
        <f t="shared" ca="1" si="939"/>
        <v>-</v>
      </c>
      <c r="CD1118" s="835">
        <f t="shared" si="940"/>
        <v>42913</v>
      </c>
      <c r="CE1118" s="831">
        <v>42913</v>
      </c>
      <c r="CF1118" s="832">
        <v>5</v>
      </c>
      <c r="CG1118" s="833">
        <f t="shared" ca="1" si="941"/>
        <v>221</v>
      </c>
      <c r="CH1118" s="836">
        <f t="shared" si="942"/>
        <v>0</v>
      </c>
      <c r="CI1118" s="837" t="str">
        <f t="shared" si="943"/>
        <v>УСПЕШНО</v>
      </c>
      <c r="CJ1118" s="838" t="str">
        <f t="shared" ca="1" si="944"/>
        <v>-</v>
      </c>
      <c r="CK1118" s="831"/>
      <c r="CL1118" s="832"/>
      <c r="CM1118" s="833" t="str">
        <f t="shared" si="945"/>
        <v>-</v>
      </c>
      <c r="CN1118" s="834" t="str">
        <f t="shared" si="946"/>
        <v>-</v>
      </c>
      <c r="CO1118" s="830" t="str">
        <f t="shared" ca="1" si="947"/>
        <v>-</v>
      </c>
      <c r="CP1118" s="839"/>
      <c r="CQ1118" s="832"/>
      <c r="CR1118" s="833" t="str">
        <f t="shared" si="948"/>
        <v>-</v>
      </c>
      <c r="CS1118" s="833" t="str">
        <f t="shared" si="949"/>
        <v>-</v>
      </c>
      <c r="CT1118" s="834" t="str">
        <f t="shared" si="950"/>
        <v>-</v>
      </c>
      <c r="CU1118" s="835" t="str">
        <f t="shared" si="951"/>
        <v>-</v>
      </c>
      <c r="CV1118" s="839"/>
      <c r="CW1118" s="832"/>
      <c r="CX1118" s="833" t="str">
        <f t="shared" si="952"/>
        <v>-</v>
      </c>
      <c r="CY1118" s="840" t="str">
        <f t="shared" si="953"/>
        <v>-</v>
      </c>
      <c r="CZ1118" s="833" t="str">
        <f t="shared" si="954"/>
        <v>-</v>
      </c>
      <c r="DA1118" s="838" t="str">
        <f t="shared" ca="1" si="955"/>
        <v>-</v>
      </c>
      <c r="DB1118" s="841"/>
      <c r="DC1118" s="832"/>
    </row>
    <row r="1119" spans="1:107" x14ac:dyDescent="0.25">
      <c r="A1119" s="790">
        <v>1123</v>
      </c>
      <c r="B1119" s="791">
        <f t="shared" ca="1" si="904"/>
        <v>43134</v>
      </c>
      <c r="C1119" s="29" t="s">
        <v>2584</v>
      </c>
      <c r="D1119" s="793" t="s">
        <v>2582</v>
      </c>
      <c r="E1119" s="794" t="s">
        <v>1563</v>
      </c>
      <c r="F1119" s="795" t="s">
        <v>2187</v>
      </c>
      <c r="G1119" s="845"/>
      <c r="H1119" s="797" t="s">
        <v>603</v>
      </c>
      <c r="I1119" s="798">
        <v>42672</v>
      </c>
      <c r="J1119" s="799">
        <f t="shared" ca="1" si="905"/>
        <v>1.2657534246575342</v>
      </c>
      <c r="K1119" s="799">
        <f t="shared" ca="1" si="906"/>
        <v>15.4</v>
      </c>
      <c r="L1119" s="800">
        <f t="shared" ca="1" si="907"/>
        <v>462</v>
      </c>
      <c r="M1119" s="801"/>
      <c r="N1119" s="802"/>
      <c r="O1119" s="803" t="str">
        <f t="shared" ca="1" si="908"/>
        <v>-</v>
      </c>
      <c r="P1119" s="804"/>
      <c r="Q1119" s="68" t="s">
        <v>2366</v>
      </c>
      <c r="R1119" s="118" t="s">
        <v>2435</v>
      </c>
      <c r="S1119" s="807">
        <v>43045</v>
      </c>
      <c r="T1119" s="798">
        <v>43045</v>
      </c>
      <c r="U1119" s="798">
        <f t="shared" si="909"/>
        <v>43063</v>
      </c>
      <c r="V1119" s="804">
        <f t="shared" ca="1" si="910"/>
        <v>71</v>
      </c>
      <c r="W1119" s="808">
        <v>1</v>
      </c>
      <c r="X1119" s="794" t="str">
        <f t="shared" si="903"/>
        <v>-</v>
      </c>
      <c r="Y1119" s="794">
        <v>3</v>
      </c>
      <c r="Z1119" s="809" t="str">
        <f t="shared" ca="1" si="911"/>
        <v>-----</v>
      </c>
      <c r="AA1119" s="810">
        <f t="shared" ca="1" si="912"/>
        <v>89</v>
      </c>
      <c r="AB1119" s="804"/>
      <c r="AC1119" s="811" t="str">
        <f t="shared" ca="1" si="913"/>
        <v>-----</v>
      </c>
      <c r="AD1119" s="798"/>
      <c r="AE1119" s="794" t="str">
        <f t="shared" ca="1" si="914"/>
        <v>-</v>
      </c>
      <c r="AF1119" s="798">
        <f t="shared" si="915"/>
        <v>43080</v>
      </c>
      <c r="AG1119" s="812">
        <f t="shared" ca="1" si="916"/>
        <v>54</v>
      </c>
      <c r="AH1119" s="807"/>
      <c r="AI1119" s="807" t="str">
        <f t="shared" si="917"/>
        <v>-</v>
      </c>
      <c r="AJ1119" s="807" t="str">
        <f t="shared" si="918"/>
        <v>-</v>
      </c>
      <c r="AK1119" s="813"/>
      <c r="AL1119" s="807" t="str">
        <f t="shared" si="919"/>
        <v>-</v>
      </c>
      <c r="AM1119" s="807" t="str">
        <f t="shared" si="920"/>
        <v>-</v>
      </c>
      <c r="AN1119" s="814" t="str">
        <f t="shared" ca="1" si="921"/>
        <v>-</v>
      </c>
      <c r="AO1119" s="815">
        <v>1</v>
      </c>
      <c r="AP1119" s="816" t="str">
        <f t="shared" ca="1" si="922"/>
        <v>-</v>
      </c>
      <c r="AQ1119" s="817"/>
      <c r="AR1119" s="794" t="str">
        <f t="shared" si="923"/>
        <v>-</v>
      </c>
      <c r="AS1119" s="818"/>
      <c r="AT1119" s="794" t="str">
        <f t="shared" si="924"/>
        <v>-</v>
      </c>
      <c r="AU1119" s="819"/>
      <c r="AV1119" s="820"/>
      <c r="AW1119" s="821"/>
      <c r="AX1119" s="821"/>
      <c r="AY1119" s="969" t="str">
        <f t="shared" si="925"/>
        <v>-</v>
      </c>
      <c r="AZ1119" s="966" t="str">
        <f t="shared" si="926"/>
        <v>-</v>
      </c>
      <c r="BA1119" s="971" t="str">
        <f t="shared" si="927"/>
        <v>-</v>
      </c>
      <c r="BB1119" s="975"/>
      <c r="BC1119" s="821"/>
      <c r="BD1119" s="821"/>
      <c r="BE1119" s="963" t="str">
        <f t="shared" si="928"/>
        <v>-</v>
      </c>
      <c r="BF1119" s="984"/>
      <c r="BG1119" s="988"/>
      <c r="BH1119" s="982"/>
      <c r="BI1119" s="991"/>
      <c r="BJ1119" s="991"/>
      <c r="BK1119" s="993" t="str">
        <f t="shared" si="929"/>
        <v>-</v>
      </c>
      <c r="BL1119" s="820">
        <v>42977</v>
      </c>
      <c r="BM1119" s="821">
        <v>5</v>
      </c>
      <c r="BN1119" s="822">
        <f t="shared" ca="1" si="930"/>
        <v>157</v>
      </c>
      <c r="BO1119" s="823">
        <f t="shared" si="931"/>
        <v>10.166666666666666</v>
      </c>
      <c r="BP1119" s="824"/>
      <c r="BQ1119" s="821"/>
      <c r="BR1119" s="822" t="str">
        <f t="shared" si="932"/>
        <v>-</v>
      </c>
      <c r="BS1119" s="823" t="str">
        <f t="shared" si="933"/>
        <v>-</v>
      </c>
      <c r="BT1119" s="825" t="str">
        <f t="shared" ca="1" si="934"/>
        <v>-</v>
      </c>
      <c r="BU1119" s="826"/>
      <c r="BV1119" s="827"/>
      <c r="BW1119" s="828" t="str">
        <f t="shared" si="935"/>
        <v>Ж-Е НЕ ВАКЦ.</v>
      </c>
      <c r="BX1119" s="829" t="str">
        <f t="shared" si="936"/>
        <v>-</v>
      </c>
      <c r="BY1119" s="830" t="str">
        <f t="shared" ca="1" si="937"/>
        <v>-</v>
      </c>
      <c r="BZ1119" s="831">
        <v>42892</v>
      </c>
      <c r="CA1119" s="832">
        <v>5</v>
      </c>
      <c r="CB1119" s="833">
        <f t="shared" ca="1" si="938"/>
        <v>242</v>
      </c>
      <c r="CC1119" s="834" t="str">
        <f t="shared" ca="1" si="939"/>
        <v>-</v>
      </c>
      <c r="CD1119" s="835">
        <f t="shared" si="940"/>
        <v>42913</v>
      </c>
      <c r="CE1119" s="831">
        <v>42913</v>
      </c>
      <c r="CF1119" s="832">
        <v>5</v>
      </c>
      <c r="CG1119" s="833">
        <f t="shared" ca="1" si="941"/>
        <v>221</v>
      </c>
      <c r="CH1119" s="836">
        <f t="shared" si="942"/>
        <v>0</v>
      </c>
      <c r="CI1119" s="837" t="str">
        <f t="shared" si="943"/>
        <v>УСПЕШНО</v>
      </c>
      <c r="CJ1119" s="838" t="str">
        <f t="shared" ca="1" si="944"/>
        <v>-</v>
      </c>
      <c r="CK1119" s="831"/>
      <c r="CL1119" s="832"/>
      <c r="CM1119" s="833" t="str">
        <f t="shared" si="945"/>
        <v>-</v>
      </c>
      <c r="CN1119" s="834" t="str">
        <f t="shared" si="946"/>
        <v>-</v>
      </c>
      <c r="CO1119" s="830" t="str">
        <f t="shared" ca="1" si="947"/>
        <v>-</v>
      </c>
      <c r="CP1119" s="839"/>
      <c r="CQ1119" s="832"/>
      <c r="CR1119" s="833" t="str">
        <f t="shared" si="948"/>
        <v>-</v>
      </c>
      <c r="CS1119" s="833" t="str">
        <f t="shared" si="949"/>
        <v>-</v>
      </c>
      <c r="CT1119" s="834" t="str">
        <f t="shared" si="950"/>
        <v>-</v>
      </c>
      <c r="CU1119" s="835" t="str">
        <f t="shared" si="951"/>
        <v>-</v>
      </c>
      <c r="CV1119" s="839"/>
      <c r="CW1119" s="832"/>
      <c r="CX1119" s="833" t="str">
        <f t="shared" si="952"/>
        <v>-</v>
      </c>
      <c r="CY1119" s="840" t="str">
        <f t="shared" si="953"/>
        <v>-</v>
      </c>
      <c r="CZ1119" s="833" t="str">
        <f t="shared" si="954"/>
        <v>-</v>
      </c>
      <c r="DA1119" s="838" t="str">
        <f t="shared" ca="1" si="955"/>
        <v>-</v>
      </c>
      <c r="DB1119" s="841"/>
      <c r="DC1119" s="832"/>
    </row>
    <row r="1120" spans="1:107" x14ac:dyDescent="0.25">
      <c r="A1120" s="790">
        <v>1124</v>
      </c>
      <c r="B1120" s="791">
        <f t="shared" ca="1" si="904"/>
        <v>43134</v>
      </c>
      <c r="C1120" s="29" t="s">
        <v>2584</v>
      </c>
      <c r="D1120" s="793" t="s">
        <v>2582</v>
      </c>
      <c r="E1120" s="794" t="s">
        <v>1563</v>
      </c>
      <c r="F1120" s="795" t="s">
        <v>2230</v>
      </c>
      <c r="G1120" s="845"/>
      <c r="H1120" s="797" t="s">
        <v>603</v>
      </c>
      <c r="I1120" s="798">
        <v>42696</v>
      </c>
      <c r="J1120" s="799">
        <f t="shared" ca="1" si="905"/>
        <v>1.2</v>
      </c>
      <c r="K1120" s="799">
        <f t="shared" ca="1" si="906"/>
        <v>14.6</v>
      </c>
      <c r="L1120" s="800">
        <f t="shared" ca="1" si="907"/>
        <v>438</v>
      </c>
      <c r="M1120" s="801"/>
      <c r="N1120" s="802"/>
      <c r="O1120" s="803" t="str">
        <f t="shared" ca="1" si="908"/>
        <v>-</v>
      </c>
      <c r="P1120" s="804"/>
      <c r="Q1120" s="805"/>
      <c r="R1120" s="806"/>
      <c r="S1120" s="807"/>
      <c r="T1120" s="798"/>
      <c r="U1120" s="798" t="str">
        <f t="shared" si="909"/>
        <v>-</v>
      </c>
      <c r="V1120" s="804" t="str">
        <f t="shared" ca="1" si="910"/>
        <v>-</v>
      </c>
      <c r="W1120" s="808">
        <v>0</v>
      </c>
      <c r="X1120" s="794" t="str">
        <f t="shared" si="903"/>
        <v>-</v>
      </c>
      <c r="Y1120" s="794">
        <v>0</v>
      </c>
      <c r="Z1120" s="809" t="str">
        <f t="shared" ca="1" si="911"/>
        <v>-----</v>
      </c>
      <c r="AA1120" s="810">
        <f t="shared" ca="1" si="912"/>
        <v>43134</v>
      </c>
      <c r="AB1120" s="804"/>
      <c r="AC1120" s="811" t="str">
        <f t="shared" ca="1" si="913"/>
        <v>-----</v>
      </c>
      <c r="AD1120" s="798"/>
      <c r="AE1120" s="794" t="str">
        <f t="shared" ca="1" si="914"/>
        <v>-</v>
      </c>
      <c r="AF1120" s="798" t="str">
        <f t="shared" si="915"/>
        <v>-</v>
      </c>
      <c r="AG1120" s="812" t="str">
        <f t="shared" si="916"/>
        <v>---------</v>
      </c>
      <c r="AH1120" s="807"/>
      <c r="AI1120" s="807" t="str">
        <f t="shared" si="917"/>
        <v>-</v>
      </c>
      <c r="AJ1120" s="807" t="str">
        <f t="shared" si="918"/>
        <v>-</v>
      </c>
      <c r="AK1120" s="813"/>
      <c r="AL1120" s="807" t="str">
        <f t="shared" si="919"/>
        <v>-</v>
      </c>
      <c r="AM1120" s="807" t="str">
        <f t="shared" si="920"/>
        <v>-</v>
      </c>
      <c r="AN1120" s="814" t="str">
        <f t="shared" ca="1" si="921"/>
        <v>-</v>
      </c>
      <c r="AO1120" s="815">
        <v>1</v>
      </c>
      <c r="AP1120" s="816" t="str">
        <f t="shared" ca="1" si="922"/>
        <v>-</v>
      </c>
      <c r="AQ1120" s="817"/>
      <c r="AR1120" s="794" t="str">
        <f t="shared" si="923"/>
        <v>-</v>
      </c>
      <c r="AS1120" s="818"/>
      <c r="AT1120" s="794" t="str">
        <f t="shared" si="924"/>
        <v>-</v>
      </c>
      <c r="AU1120" s="819"/>
      <c r="AV1120" s="820"/>
      <c r="AW1120" s="821"/>
      <c r="AX1120" s="821"/>
      <c r="AY1120" s="969" t="str">
        <f t="shared" si="925"/>
        <v>-</v>
      </c>
      <c r="AZ1120" s="966" t="str">
        <f t="shared" si="926"/>
        <v>-</v>
      </c>
      <c r="BA1120" s="971" t="str">
        <f t="shared" si="927"/>
        <v>-</v>
      </c>
      <c r="BB1120" s="975"/>
      <c r="BC1120" s="821"/>
      <c r="BD1120" s="821"/>
      <c r="BE1120" s="963" t="str">
        <f t="shared" si="928"/>
        <v>-</v>
      </c>
      <c r="BF1120" s="984"/>
      <c r="BG1120" s="988"/>
      <c r="BH1120" s="982"/>
      <c r="BI1120" s="991"/>
      <c r="BJ1120" s="991"/>
      <c r="BK1120" s="993" t="str">
        <f t="shared" si="929"/>
        <v>-</v>
      </c>
      <c r="BL1120" s="820">
        <v>42977</v>
      </c>
      <c r="BM1120" s="821">
        <v>5</v>
      </c>
      <c r="BN1120" s="822">
        <f t="shared" ca="1" si="930"/>
        <v>157</v>
      </c>
      <c r="BO1120" s="823">
        <f t="shared" si="931"/>
        <v>9.3666666666666671</v>
      </c>
      <c r="BP1120" s="824"/>
      <c r="BQ1120" s="821"/>
      <c r="BR1120" s="822" t="str">
        <f t="shared" si="932"/>
        <v>-</v>
      </c>
      <c r="BS1120" s="823" t="str">
        <f t="shared" si="933"/>
        <v>-</v>
      </c>
      <c r="BT1120" s="825" t="str">
        <f t="shared" ca="1" si="934"/>
        <v>-</v>
      </c>
      <c r="BU1120" s="826"/>
      <c r="BV1120" s="827"/>
      <c r="BW1120" s="828" t="str">
        <f t="shared" si="935"/>
        <v>Ж-Е НЕ ВАКЦ.</v>
      </c>
      <c r="BX1120" s="829" t="str">
        <f t="shared" si="936"/>
        <v>-</v>
      </c>
      <c r="BY1120" s="830" t="str">
        <f t="shared" ca="1" si="937"/>
        <v>-</v>
      </c>
      <c r="BZ1120" s="831">
        <v>42892</v>
      </c>
      <c r="CA1120" s="832">
        <v>5</v>
      </c>
      <c r="CB1120" s="833">
        <f t="shared" ca="1" si="938"/>
        <v>242</v>
      </c>
      <c r="CC1120" s="834" t="str">
        <f t="shared" ca="1" si="939"/>
        <v>-</v>
      </c>
      <c r="CD1120" s="835">
        <f t="shared" si="940"/>
        <v>42913</v>
      </c>
      <c r="CE1120" s="831">
        <v>42913</v>
      </c>
      <c r="CF1120" s="832">
        <v>5</v>
      </c>
      <c r="CG1120" s="833">
        <f t="shared" ca="1" si="941"/>
        <v>221</v>
      </c>
      <c r="CH1120" s="836">
        <f t="shared" si="942"/>
        <v>0</v>
      </c>
      <c r="CI1120" s="837" t="str">
        <f t="shared" si="943"/>
        <v>УСПЕШНО</v>
      </c>
      <c r="CJ1120" s="838" t="str">
        <f t="shared" ca="1" si="944"/>
        <v>-</v>
      </c>
      <c r="CK1120" s="831"/>
      <c r="CL1120" s="832"/>
      <c r="CM1120" s="833" t="str">
        <f t="shared" si="945"/>
        <v>-</v>
      </c>
      <c r="CN1120" s="834" t="str">
        <f t="shared" si="946"/>
        <v>-</v>
      </c>
      <c r="CO1120" s="830" t="str">
        <f t="shared" ca="1" si="947"/>
        <v>-</v>
      </c>
      <c r="CP1120" s="839"/>
      <c r="CQ1120" s="832"/>
      <c r="CR1120" s="833" t="str">
        <f t="shared" si="948"/>
        <v>-</v>
      </c>
      <c r="CS1120" s="833" t="str">
        <f t="shared" si="949"/>
        <v>-</v>
      </c>
      <c r="CT1120" s="834" t="str">
        <f t="shared" si="950"/>
        <v>-</v>
      </c>
      <c r="CU1120" s="835" t="str">
        <f t="shared" si="951"/>
        <v>-</v>
      </c>
      <c r="CV1120" s="839"/>
      <c r="CW1120" s="832"/>
      <c r="CX1120" s="833" t="str">
        <f t="shared" si="952"/>
        <v>-</v>
      </c>
      <c r="CY1120" s="840" t="str">
        <f t="shared" si="953"/>
        <v>-</v>
      </c>
      <c r="CZ1120" s="833" t="str">
        <f t="shared" si="954"/>
        <v>-</v>
      </c>
      <c r="DA1120" s="838" t="str">
        <f t="shared" ca="1" si="955"/>
        <v>-</v>
      </c>
      <c r="DB1120" s="841"/>
      <c r="DC1120" s="832"/>
    </row>
    <row r="1121" spans="1:107" x14ac:dyDescent="0.25">
      <c r="A1121" s="790">
        <v>1125</v>
      </c>
      <c r="B1121" s="791">
        <f t="shared" ca="1" si="904"/>
        <v>43134</v>
      </c>
      <c r="C1121" s="29" t="s">
        <v>2584</v>
      </c>
      <c r="D1121" s="793" t="s">
        <v>2582</v>
      </c>
      <c r="E1121" s="794" t="s">
        <v>1563</v>
      </c>
      <c r="F1121" s="795" t="s">
        <v>2268</v>
      </c>
      <c r="G1121" s="845"/>
      <c r="H1121" s="797" t="s">
        <v>603</v>
      </c>
      <c r="I1121" s="798">
        <v>42721</v>
      </c>
      <c r="J1121" s="799">
        <f t="shared" ca="1" si="905"/>
        <v>1.1315068493150684</v>
      </c>
      <c r="K1121" s="799">
        <f t="shared" ca="1" si="906"/>
        <v>13.766666666666667</v>
      </c>
      <c r="L1121" s="800">
        <f t="shared" ca="1" si="907"/>
        <v>413</v>
      </c>
      <c r="M1121" s="801"/>
      <c r="N1121" s="802"/>
      <c r="O1121" s="803" t="str">
        <f t="shared" ca="1" si="908"/>
        <v>-</v>
      </c>
      <c r="P1121" s="804"/>
      <c r="Q1121" s="805"/>
      <c r="R1121" s="806"/>
      <c r="S1121" s="807"/>
      <c r="T1121" s="798"/>
      <c r="U1121" s="798" t="str">
        <f t="shared" si="909"/>
        <v>-</v>
      </c>
      <c r="V1121" s="804" t="str">
        <f t="shared" ca="1" si="910"/>
        <v>-</v>
      </c>
      <c r="W1121" s="808">
        <v>0</v>
      </c>
      <c r="X1121" s="794" t="str">
        <f t="shared" si="903"/>
        <v>-</v>
      </c>
      <c r="Y1121" s="794">
        <v>0</v>
      </c>
      <c r="Z1121" s="809" t="str">
        <f t="shared" ca="1" si="911"/>
        <v>-----</v>
      </c>
      <c r="AA1121" s="810">
        <f t="shared" ca="1" si="912"/>
        <v>43134</v>
      </c>
      <c r="AB1121" s="804"/>
      <c r="AC1121" s="811" t="str">
        <f t="shared" ca="1" si="913"/>
        <v>-----</v>
      </c>
      <c r="AD1121" s="798"/>
      <c r="AE1121" s="794" t="str">
        <f t="shared" ca="1" si="914"/>
        <v>-</v>
      </c>
      <c r="AF1121" s="798" t="str">
        <f t="shared" si="915"/>
        <v>-</v>
      </c>
      <c r="AG1121" s="812" t="str">
        <f t="shared" si="916"/>
        <v>---------</v>
      </c>
      <c r="AH1121" s="807"/>
      <c r="AI1121" s="807" t="str">
        <f t="shared" si="917"/>
        <v>-</v>
      </c>
      <c r="AJ1121" s="807" t="str">
        <f t="shared" si="918"/>
        <v>-</v>
      </c>
      <c r="AK1121" s="813"/>
      <c r="AL1121" s="807" t="str">
        <f t="shared" si="919"/>
        <v>-</v>
      </c>
      <c r="AM1121" s="807" t="str">
        <f t="shared" si="920"/>
        <v>-</v>
      </c>
      <c r="AN1121" s="814" t="str">
        <f t="shared" ca="1" si="921"/>
        <v>-</v>
      </c>
      <c r="AO1121" s="815">
        <v>1</v>
      </c>
      <c r="AP1121" s="816" t="str">
        <f t="shared" ca="1" si="922"/>
        <v>-</v>
      </c>
      <c r="AQ1121" s="817"/>
      <c r="AR1121" s="794" t="str">
        <f t="shared" si="923"/>
        <v>-</v>
      </c>
      <c r="AS1121" s="818"/>
      <c r="AT1121" s="794" t="str">
        <f t="shared" si="924"/>
        <v>-</v>
      </c>
      <c r="AU1121" s="819"/>
      <c r="AV1121" s="820"/>
      <c r="AW1121" s="821"/>
      <c r="AX1121" s="821"/>
      <c r="AY1121" s="969" t="str">
        <f t="shared" si="925"/>
        <v>-</v>
      </c>
      <c r="AZ1121" s="966" t="str">
        <f t="shared" si="926"/>
        <v>-</v>
      </c>
      <c r="BA1121" s="971" t="str">
        <f t="shared" si="927"/>
        <v>-</v>
      </c>
      <c r="BB1121" s="975"/>
      <c r="BC1121" s="821"/>
      <c r="BD1121" s="821"/>
      <c r="BE1121" s="963" t="str">
        <f t="shared" si="928"/>
        <v>-</v>
      </c>
      <c r="BF1121" s="984"/>
      <c r="BG1121" s="988"/>
      <c r="BH1121" s="982"/>
      <c r="BI1121" s="991"/>
      <c r="BJ1121" s="991"/>
      <c r="BK1121" s="993" t="str">
        <f t="shared" si="929"/>
        <v>-</v>
      </c>
      <c r="BL1121" s="820">
        <v>42977</v>
      </c>
      <c r="BM1121" s="821">
        <v>5</v>
      </c>
      <c r="BN1121" s="822">
        <f t="shared" ca="1" si="930"/>
        <v>157</v>
      </c>
      <c r="BO1121" s="823">
        <f t="shared" si="931"/>
        <v>8.5333333333333332</v>
      </c>
      <c r="BP1121" s="824"/>
      <c r="BQ1121" s="821"/>
      <c r="BR1121" s="822" t="str">
        <f t="shared" si="932"/>
        <v>-</v>
      </c>
      <c r="BS1121" s="823" t="str">
        <f t="shared" si="933"/>
        <v>-</v>
      </c>
      <c r="BT1121" s="825" t="str">
        <f t="shared" ca="1" si="934"/>
        <v>-</v>
      </c>
      <c r="BU1121" s="826"/>
      <c r="BV1121" s="827"/>
      <c r="BW1121" s="828" t="str">
        <f t="shared" si="935"/>
        <v>Ж-Е НЕ ВАКЦ.</v>
      </c>
      <c r="BX1121" s="829" t="str">
        <f t="shared" si="936"/>
        <v>-</v>
      </c>
      <c r="BY1121" s="830" t="str">
        <f t="shared" ca="1" si="937"/>
        <v>-</v>
      </c>
      <c r="BZ1121" s="831">
        <v>42888</v>
      </c>
      <c r="CA1121" s="832">
        <v>5</v>
      </c>
      <c r="CB1121" s="833">
        <f t="shared" ca="1" si="938"/>
        <v>246</v>
      </c>
      <c r="CC1121" s="834" t="str">
        <f t="shared" ca="1" si="939"/>
        <v>-</v>
      </c>
      <c r="CD1121" s="835">
        <f t="shared" si="940"/>
        <v>42909</v>
      </c>
      <c r="CE1121" s="831">
        <v>42909</v>
      </c>
      <c r="CF1121" s="832">
        <v>5</v>
      </c>
      <c r="CG1121" s="833">
        <f t="shared" ca="1" si="941"/>
        <v>225</v>
      </c>
      <c r="CH1121" s="836">
        <f t="shared" si="942"/>
        <v>0</v>
      </c>
      <c r="CI1121" s="837" t="str">
        <f t="shared" si="943"/>
        <v>УСПЕШНО</v>
      </c>
      <c r="CJ1121" s="838" t="str">
        <f t="shared" ca="1" si="944"/>
        <v>-</v>
      </c>
      <c r="CK1121" s="831"/>
      <c r="CL1121" s="832"/>
      <c r="CM1121" s="833" t="str">
        <f t="shared" si="945"/>
        <v>-</v>
      </c>
      <c r="CN1121" s="834" t="str">
        <f t="shared" si="946"/>
        <v>-</v>
      </c>
      <c r="CO1121" s="830" t="str">
        <f t="shared" ca="1" si="947"/>
        <v>-</v>
      </c>
      <c r="CP1121" s="839"/>
      <c r="CQ1121" s="832"/>
      <c r="CR1121" s="833" t="str">
        <f t="shared" si="948"/>
        <v>-</v>
      </c>
      <c r="CS1121" s="833" t="str">
        <f t="shared" si="949"/>
        <v>-</v>
      </c>
      <c r="CT1121" s="834" t="str">
        <f t="shared" si="950"/>
        <v>-</v>
      </c>
      <c r="CU1121" s="835" t="str">
        <f t="shared" si="951"/>
        <v>-</v>
      </c>
      <c r="CV1121" s="839"/>
      <c r="CW1121" s="832"/>
      <c r="CX1121" s="833" t="str">
        <f t="shared" si="952"/>
        <v>-</v>
      </c>
      <c r="CY1121" s="840" t="str">
        <f t="shared" si="953"/>
        <v>-</v>
      </c>
      <c r="CZ1121" s="833" t="str">
        <f t="shared" si="954"/>
        <v>-</v>
      </c>
      <c r="DA1121" s="838" t="str">
        <f t="shared" ca="1" si="955"/>
        <v>-</v>
      </c>
      <c r="DB1121" s="841"/>
      <c r="DC1121" s="832"/>
    </row>
    <row r="1122" spans="1:107" x14ac:dyDescent="0.25">
      <c r="A1122" s="790"/>
      <c r="B1122" s="791"/>
      <c r="C1122" s="792"/>
      <c r="D1122" s="793"/>
      <c r="E1122" s="794"/>
      <c r="F1122" s="795"/>
      <c r="G1122" s="871"/>
      <c r="H1122" s="797"/>
      <c r="I1122" s="798"/>
      <c r="J1122" s="799">
        <f t="shared" si="905"/>
        <v>0</v>
      </c>
      <c r="K1122" s="799">
        <f t="shared" si="906"/>
        <v>0</v>
      </c>
      <c r="L1122" s="800">
        <f t="shared" si="907"/>
        <v>0</v>
      </c>
      <c r="M1122" s="801"/>
      <c r="N1122" s="802"/>
      <c r="O1122" s="803" t="str">
        <f t="shared" si="908"/>
        <v>-</v>
      </c>
      <c r="P1122" s="804"/>
      <c r="Q1122" s="805"/>
      <c r="R1122" s="806"/>
      <c r="S1122" s="807"/>
      <c r="T1122" s="798"/>
      <c r="U1122" s="798" t="str">
        <f t="shared" si="909"/>
        <v>-</v>
      </c>
      <c r="V1122" s="804" t="str">
        <f t="shared" si="910"/>
        <v>-</v>
      </c>
      <c r="W1122" s="808"/>
      <c r="X1122" s="794" t="str">
        <f t="shared" si="903"/>
        <v>-</v>
      </c>
      <c r="Y1122" s="794"/>
      <c r="Z1122" s="809" t="str">
        <f t="shared" si="911"/>
        <v>-----</v>
      </c>
      <c r="AA1122" s="810">
        <f t="shared" si="912"/>
        <v>0</v>
      </c>
      <c r="AB1122" s="804"/>
      <c r="AC1122" s="811" t="str">
        <f t="shared" si="913"/>
        <v>-----</v>
      </c>
      <c r="AD1122" s="798"/>
      <c r="AE1122" s="794" t="str">
        <f t="shared" si="914"/>
        <v>-</v>
      </c>
      <c r="AF1122" s="798" t="str">
        <f t="shared" si="915"/>
        <v>-</v>
      </c>
      <c r="AG1122" s="812" t="str">
        <f t="shared" si="916"/>
        <v>---------</v>
      </c>
      <c r="AH1122" s="807"/>
      <c r="AI1122" s="807" t="str">
        <f t="shared" si="917"/>
        <v>-</v>
      </c>
      <c r="AJ1122" s="807" t="str">
        <f t="shared" si="918"/>
        <v>-</v>
      </c>
      <c r="AK1122" s="813"/>
      <c r="AL1122" s="807" t="str">
        <f t="shared" si="919"/>
        <v>-</v>
      </c>
      <c r="AM1122" s="807" t="str">
        <f t="shared" si="920"/>
        <v>-</v>
      </c>
      <c r="AN1122" s="814" t="str">
        <f t="shared" si="921"/>
        <v>-</v>
      </c>
      <c r="AO1122" s="815"/>
      <c r="AP1122" s="816" t="str">
        <f t="shared" si="922"/>
        <v>-</v>
      </c>
      <c r="AQ1122" s="817"/>
      <c r="AR1122" s="794" t="str">
        <f t="shared" si="923"/>
        <v>-</v>
      </c>
      <c r="AS1122" s="818"/>
      <c r="AT1122" s="794" t="str">
        <f t="shared" si="924"/>
        <v>-</v>
      </c>
      <c r="AU1122" s="819"/>
      <c r="AV1122" s="865"/>
      <c r="AW1122" s="821"/>
      <c r="AX1122" s="821"/>
      <c r="AY1122" s="969" t="str">
        <f t="shared" si="925"/>
        <v>-</v>
      </c>
      <c r="AZ1122" s="966" t="str">
        <f t="shared" si="926"/>
        <v>-</v>
      </c>
      <c r="BA1122" s="971" t="str">
        <f t="shared" si="927"/>
        <v>-</v>
      </c>
      <c r="BB1122" s="975"/>
      <c r="BC1122" s="821"/>
      <c r="BD1122" s="821"/>
      <c r="BE1122" s="963" t="str">
        <f t="shared" si="928"/>
        <v>-</v>
      </c>
      <c r="BF1122" s="984"/>
      <c r="BG1122" s="988"/>
      <c r="BH1122" s="982"/>
      <c r="BI1122" s="991"/>
      <c r="BJ1122" s="991"/>
      <c r="BK1122" s="993" t="str">
        <f t="shared" si="929"/>
        <v>-</v>
      </c>
      <c r="BL1122" s="865"/>
      <c r="BM1122" s="821"/>
      <c r="BN1122" s="822" t="str">
        <f t="shared" si="930"/>
        <v>-</v>
      </c>
      <c r="BO1122" s="823" t="str">
        <f t="shared" si="931"/>
        <v>-</v>
      </c>
      <c r="BP1122" s="868"/>
      <c r="BQ1122" s="821"/>
      <c r="BR1122" s="822" t="str">
        <f t="shared" si="932"/>
        <v>-</v>
      </c>
      <c r="BS1122" s="823" t="str">
        <f t="shared" si="933"/>
        <v>-</v>
      </c>
      <c r="BT1122" s="825" t="str">
        <f t="shared" si="934"/>
        <v>-</v>
      </c>
      <c r="BU1122" s="826"/>
      <c r="BV1122" s="827"/>
      <c r="BW1122" s="828" t="str">
        <f t="shared" si="935"/>
        <v>Ж-Е НЕ ВАКЦ.</v>
      </c>
      <c r="BX1122" s="829" t="str">
        <f t="shared" si="936"/>
        <v>-</v>
      </c>
      <c r="BY1122" s="830" t="str">
        <f t="shared" si="937"/>
        <v>-</v>
      </c>
      <c r="BZ1122" s="839"/>
      <c r="CA1122" s="832"/>
      <c r="CB1122" s="833" t="str">
        <f t="shared" si="938"/>
        <v>-</v>
      </c>
      <c r="CC1122" s="834" t="str">
        <f t="shared" si="939"/>
        <v>-</v>
      </c>
      <c r="CD1122" s="835" t="str">
        <f t="shared" si="940"/>
        <v>-</v>
      </c>
      <c r="CE1122" s="839"/>
      <c r="CF1122" s="832"/>
      <c r="CG1122" s="833" t="str">
        <f t="shared" si="941"/>
        <v>-</v>
      </c>
      <c r="CH1122" s="836" t="str">
        <f t="shared" si="942"/>
        <v>-</v>
      </c>
      <c r="CI1122" s="837" t="str">
        <f t="shared" si="943"/>
        <v>-</v>
      </c>
      <c r="CJ1122" s="838" t="str">
        <f t="shared" si="944"/>
        <v>-</v>
      </c>
      <c r="CK1122" s="831"/>
      <c r="CL1122" s="832"/>
      <c r="CM1122" s="833" t="str">
        <f t="shared" si="945"/>
        <v>-</v>
      </c>
      <c r="CN1122" s="834" t="str">
        <f t="shared" si="946"/>
        <v>-</v>
      </c>
      <c r="CO1122" s="830" t="str">
        <f t="shared" si="947"/>
        <v>-</v>
      </c>
      <c r="CP1122" s="839"/>
      <c r="CQ1122" s="832"/>
      <c r="CR1122" s="833" t="str">
        <f t="shared" si="948"/>
        <v>-</v>
      </c>
      <c r="CS1122" s="833" t="str">
        <f t="shared" si="949"/>
        <v>-</v>
      </c>
      <c r="CT1122" s="834" t="str">
        <f t="shared" si="950"/>
        <v>-</v>
      </c>
      <c r="CU1122" s="835" t="str">
        <f t="shared" si="951"/>
        <v>-</v>
      </c>
      <c r="CV1122" s="839"/>
      <c r="CW1122" s="832"/>
      <c r="CX1122" s="833" t="str">
        <f t="shared" si="952"/>
        <v>-</v>
      </c>
      <c r="CY1122" s="840" t="str">
        <f t="shared" si="953"/>
        <v>-</v>
      </c>
      <c r="CZ1122" s="833" t="str">
        <f t="shared" si="954"/>
        <v>-</v>
      </c>
      <c r="DA1122" s="838" t="str">
        <f t="shared" si="955"/>
        <v>-</v>
      </c>
      <c r="DB1122" s="841"/>
      <c r="DC1122" s="832"/>
    </row>
    <row r="1123" spans="1:107" x14ac:dyDescent="0.25">
      <c r="A1123" s="790"/>
      <c r="B1123" s="791"/>
      <c r="C1123" s="792"/>
      <c r="D1123" s="793"/>
      <c r="E1123" s="794"/>
      <c r="F1123" s="795"/>
      <c r="G1123" s="871"/>
      <c r="H1123" s="797"/>
      <c r="I1123" s="798"/>
      <c r="J1123" s="799">
        <f t="shared" si="905"/>
        <v>0</v>
      </c>
      <c r="K1123" s="799">
        <f t="shared" si="906"/>
        <v>0</v>
      </c>
      <c r="L1123" s="800">
        <f t="shared" si="907"/>
        <v>0</v>
      </c>
      <c r="M1123" s="801"/>
      <c r="N1123" s="802"/>
      <c r="O1123" s="803" t="str">
        <f t="shared" si="908"/>
        <v>-</v>
      </c>
      <c r="P1123" s="804"/>
      <c r="Q1123" s="805"/>
      <c r="R1123" s="806"/>
      <c r="S1123" s="807"/>
      <c r="T1123" s="798"/>
      <c r="U1123" s="798" t="str">
        <f t="shared" si="909"/>
        <v>-</v>
      </c>
      <c r="V1123" s="804" t="str">
        <f t="shared" si="910"/>
        <v>-</v>
      </c>
      <c r="W1123" s="808"/>
      <c r="X1123" s="794" t="str">
        <f t="shared" si="903"/>
        <v>-</v>
      </c>
      <c r="Y1123" s="794"/>
      <c r="Z1123" s="809" t="str">
        <f t="shared" si="911"/>
        <v>-----</v>
      </c>
      <c r="AA1123" s="810">
        <f t="shared" si="912"/>
        <v>0</v>
      </c>
      <c r="AB1123" s="804"/>
      <c r="AC1123" s="811" t="str">
        <f t="shared" si="913"/>
        <v>-----</v>
      </c>
      <c r="AD1123" s="798"/>
      <c r="AE1123" s="794" t="str">
        <f t="shared" si="914"/>
        <v>-</v>
      </c>
      <c r="AF1123" s="798" t="str">
        <f t="shared" si="915"/>
        <v>-</v>
      </c>
      <c r="AG1123" s="812" t="str">
        <f t="shared" si="916"/>
        <v>---------</v>
      </c>
      <c r="AH1123" s="807"/>
      <c r="AI1123" s="807" t="str">
        <f t="shared" si="917"/>
        <v>-</v>
      </c>
      <c r="AJ1123" s="807" t="str">
        <f t="shared" si="918"/>
        <v>-</v>
      </c>
      <c r="AK1123" s="813"/>
      <c r="AL1123" s="807" t="str">
        <f t="shared" si="919"/>
        <v>-</v>
      </c>
      <c r="AM1123" s="807" t="str">
        <f t="shared" si="920"/>
        <v>-</v>
      </c>
      <c r="AN1123" s="814" t="str">
        <f t="shared" si="921"/>
        <v>-</v>
      </c>
      <c r="AO1123" s="815"/>
      <c r="AP1123" s="816" t="str">
        <f t="shared" si="922"/>
        <v>-</v>
      </c>
      <c r="AQ1123" s="817"/>
      <c r="AR1123" s="794" t="str">
        <f t="shared" si="923"/>
        <v>-</v>
      </c>
      <c r="AS1123" s="818"/>
      <c r="AT1123" s="794" t="str">
        <f t="shared" si="924"/>
        <v>-</v>
      </c>
      <c r="AU1123" s="819"/>
      <c r="AV1123" s="865"/>
      <c r="AW1123" s="821"/>
      <c r="AX1123" s="821"/>
      <c r="AY1123" s="969" t="str">
        <f t="shared" si="925"/>
        <v>-</v>
      </c>
      <c r="AZ1123" s="966" t="str">
        <f t="shared" si="926"/>
        <v>-</v>
      </c>
      <c r="BA1123" s="971" t="str">
        <f t="shared" si="927"/>
        <v>-</v>
      </c>
      <c r="BB1123" s="975"/>
      <c r="BC1123" s="821"/>
      <c r="BD1123" s="821"/>
      <c r="BE1123" s="963" t="str">
        <f t="shared" si="928"/>
        <v>-</v>
      </c>
      <c r="BF1123" s="984"/>
      <c r="BG1123" s="988"/>
      <c r="BH1123" s="982"/>
      <c r="BI1123" s="991"/>
      <c r="BJ1123" s="991"/>
      <c r="BK1123" s="993" t="str">
        <f t="shared" si="929"/>
        <v>-</v>
      </c>
      <c r="BL1123" s="865"/>
      <c r="BM1123" s="821"/>
      <c r="BN1123" s="822" t="str">
        <f t="shared" si="930"/>
        <v>-</v>
      </c>
      <c r="BO1123" s="823" t="str">
        <f t="shared" si="931"/>
        <v>-</v>
      </c>
      <c r="BP1123" s="868"/>
      <c r="BQ1123" s="821"/>
      <c r="BR1123" s="822" t="str">
        <f t="shared" si="932"/>
        <v>-</v>
      </c>
      <c r="BS1123" s="823" t="str">
        <f t="shared" si="933"/>
        <v>-</v>
      </c>
      <c r="BT1123" s="825" t="str">
        <f t="shared" si="934"/>
        <v>-</v>
      </c>
      <c r="BU1123" s="826"/>
      <c r="BV1123" s="827"/>
      <c r="BW1123" s="828" t="str">
        <f t="shared" si="935"/>
        <v>Ж-Е НЕ ВАКЦ.</v>
      </c>
      <c r="BX1123" s="829" t="str">
        <f t="shared" si="936"/>
        <v>-</v>
      </c>
      <c r="BY1123" s="830" t="str">
        <f t="shared" si="937"/>
        <v>-</v>
      </c>
      <c r="BZ1123" s="839"/>
      <c r="CA1123" s="832"/>
      <c r="CB1123" s="833" t="str">
        <f t="shared" si="938"/>
        <v>-</v>
      </c>
      <c r="CC1123" s="834" t="str">
        <f t="shared" si="939"/>
        <v>-</v>
      </c>
      <c r="CD1123" s="835" t="str">
        <f t="shared" si="940"/>
        <v>-</v>
      </c>
      <c r="CE1123" s="839"/>
      <c r="CF1123" s="832"/>
      <c r="CG1123" s="833" t="str">
        <f t="shared" si="941"/>
        <v>-</v>
      </c>
      <c r="CH1123" s="836" t="str">
        <f t="shared" si="942"/>
        <v>-</v>
      </c>
      <c r="CI1123" s="837" t="str">
        <f t="shared" si="943"/>
        <v>-</v>
      </c>
      <c r="CJ1123" s="838" t="str">
        <f t="shared" si="944"/>
        <v>-</v>
      </c>
      <c r="CK1123" s="831"/>
      <c r="CL1123" s="832"/>
      <c r="CM1123" s="833" t="str">
        <f t="shared" si="945"/>
        <v>-</v>
      </c>
      <c r="CN1123" s="834" t="str">
        <f t="shared" si="946"/>
        <v>-</v>
      </c>
      <c r="CO1123" s="830" t="str">
        <f t="shared" si="947"/>
        <v>-</v>
      </c>
      <c r="CP1123" s="839"/>
      <c r="CQ1123" s="832"/>
      <c r="CR1123" s="833" t="str">
        <f t="shared" si="948"/>
        <v>-</v>
      </c>
      <c r="CS1123" s="833" t="str">
        <f t="shared" si="949"/>
        <v>-</v>
      </c>
      <c r="CT1123" s="834" t="str">
        <f t="shared" si="950"/>
        <v>-</v>
      </c>
      <c r="CU1123" s="835" t="str">
        <f t="shared" si="951"/>
        <v>-</v>
      </c>
      <c r="CV1123" s="839"/>
      <c r="CW1123" s="832"/>
      <c r="CX1123" s="833" t="str">
        <f t="shared" si="952"/>
        <v>-</v>
      </c>
      <c r="CY1123" s="840" t="str">
        <f t="shared" si="953"/>
        <v>-</v>
      </c>
      <c r="CZ1123" s="833" t="str">
        <f t="shared" si="954"/>
        <v>-</v>
      </c>
      <c r="DA1123" s="838" t="str">
        <f t="shared" si="955"/>
        <v>-</v>
      </c>
      <c r="DB1123" s="841"/>
      <c r="DC1123" s="832"/>
    </row>
    <row r="1124" spans="1:107" x14ac:dyDescent="0.25">
      <c r="A1124" s="790"/>
      <c r="B1124" s="791"/>
      <c r="C1124" s="792"/>
      <c r="D1124" s="793"/>
      <c r="E1124" s="794"/>
      <c r="F1124" s="795"/>
      <c r="G1124" s="871"/>
      <c r="H1124" s="797"/>
      <c r="I1124" s="798"/>
      <c r="J1124" s="799">
        <f t="shared" si="905"/>
        <v>0</v>
      </c>
      <c r="K1124" s="799">
        <f t="shared" si="906"/>
        <v>0</v>
      </c>
      <c r="L1124" s="800">
        <f t="shared" si="907"/>
        <v>0</v>
      </c>
      <c r="M1124" s="801"/>
      <c r="N1124" s="802"/>
      <c r="O1124" s="803" t="str">
        <f t="shared" si="908"/>
        <v>-</v>
      </c>
      <c r="P1124" s="804"/>
      <c r="Q1124" s="805"/>
      <c r="R1124" s="806"/>
      <c r="S1124" s="807"/>
      <c r="T1124" s="798"/>
      <c r="U1124" s="798" t="str">
        <f t="shared" si="909"/>
        <v>-</v>
      </c>
      <c r="V1124" s="804" t="str">
        <f t="shared" si="910"/>
        <v>-</v>
      </c>
      <c r="W1124" s="808"/>
      <c r="X1124" s="794" t="str">
        <f t="shared" si="903"/>
        <v>-</v>
      </c>
      <c r="Y1124" s="794"/>
      <c r="Z1124" s="809" t="str">
        <f t="shared" si="911"/>
        <v>-----</v>
      </c>
      <c r="AA1124" s="810">
        <f t="shared" si="912"/>
        <v>0</v>
      </c>
      <c r="AB1124" s="804"/>
      <c r="AC1124" s="811" t="str">
        <f t="shared" si="913"/>
        <v>-----</v>
      </c>
      <c r="AD1124" s="798"/>
      <c r="AE1124" s="794" t="str">
        <f t="shared" si="914"/>
        <v>-</v>
      </c>
      <c r="AF1124" s="798" t="str">
        <f t="shared" si="915"/>
        <v>-</v>
      </c>
      <c r="AG1124" s="812" t="str">
        <f t="shared" si="916"/>
        <v>---------</v>
      </c>
      <c r="AH1124" s="807"/>
      <c r="AI1124" s="807" t="str">
        <f t="shared" si="917"/>
        <v>-</v>
      </c>
      <c r="AJ1124" s="807" t="str">
        <f t="shared" si="918"/>
        <v>-</v>
      </c>
      <c r="AK1124" s="813"/>
      <c r="AL1124" s="807" t="str">
        <f t="shared" si="919"/>
        <v>-</v>
      </c>
      <c r="AM1124" s="807" t="str">
        <f t="shared" si="920"/>
        <v>-</v>
      </c>
      <c r="AN1124" s="814" t="str">
        <f t="shared" si="921"/>
        <v>-</v>
      </c>
      <c r="AO1124" s="815"/>
      <c r="AP1124" s="816" t="str">
        <f t="shared" si="922"/>
        <v>-</v>
      </c>
      <c r="AQ1124" s="817"/>
      <c r="AR1124" s="794" t="str">
        <f t="shared" si="923"/>
        <v>-</v>
      </c>
      <c r="AS1124" s="818"/>
      <c r="AT1124" s="794" t="str">
        <f t="shared" si="924"/>
        <v>-</v>
      </c>
      <c r="AU1124" s="819"/>
      <c r="AV1124" s="865"/>
      <c r="AW1124" s="821"/>
      <c r="AX1124" s="821"/>
      <c r="AY1124" s="969" t="str">
        <f t="shared" si="925"/>
        <v>-</v>
      </c>
      <c r="AZ1124" s="966" t="str">
        <f t="shared" si="926"/>
        <v>-</v>
      </c>
      <c r="BA1124" s="971" t="str">
        <f t="shared" si="927"/>
        <v>-</v>
      </c>
      <c r="BB1124" s="975"/>
      <c r="BC1124" s="821"/>
      <c r="BD1124" s="821"/>
      <c r="BE1124" s="963" t="str">
        <f t="shared" si="928"/>
        <v>-</v>
      </c>
      <c r="BF1124" s="984"/>
      <c r="BG1124" s="988"/>
      <c r="BH1124" s="982"/>
      <c r="BI1124" s="991"/>
      <c r="BJ1124" s="991"/>
      <c r="BK1124" s="993" t="str">
        <f t="shared" si="929"/>
        <v>-</v>
      </c>
      <c r="BL1124" s="865"/>
      <c r="BM1124" s="821"/>
      <c r="BN1124" s="822" t="str">
        <f t="shared" si="930"/>
        <v>-</v>
      </c>
      <c r="BO1124" s="823" t="str">
        <f t="shared" si="931"/>
        <v>-</v>
      </c>
      <c r="BP1124" s="868"/>
      <c r="BQ1124" s="821"/>
      <c r="BR1124" s="822" t="str">
        <f t="shared" si="932"/>
        <v>-</v>
      </c>
      <c r="BS1124" s="823" t="str">
        <f t="shared" si="933"/>
        <v>-</v>
      </c>
      <c r="BT1124" s="825" t="str">
        <f t="shared" si="934"/>
        <v>-</v>
      </c>
      <c r="BU1124" s="826"/>
      <c r="BV1124" s="827"/>
      <c r="BW1124" s="828" t="str">
        <f t="shared" si="935"/>
        <v>Ж-Е НЕ ВАКЦ.</v>
      </c>
      <c r="BX1124" s="829" t="str">
        <f t="shared" si="936"/>
        <v>-</v>
      </c>
      <c r="BY1124" s="830" t="str">
        <f t="shared" si="937"/>
        <v>-</v>
      </c>
      <c r="BZ1124" s="839"/>
      <c r="CA1124" s="832"/>
      <c r="CB1124" s="833" t="str">
        <f t="shared" si="938"/>
        <v>-</v>
      </c>
      <c r="CC1124" s="834" t="str">
        <f t="shared" si="939"/>
        <v>-</v>
      </c>
      <c r="CD1124" s="835" t="str">
        <f t="shared" si="940"/>
        <v>-</v>
      </c>
      <c r="CE1124" s="839"/>
      <c r="CF1124" s="832"/>
      <c r="CG1124" s="833" t="str">
        <f t="shared" si="941"/>
        <v>-</v>
      </c>
      <c r="CH1124" s="836" t="str">
        <f t="shared" si="942"/>
        <v>-</v>
      </c>
      <c r="CI1124" s="837" t="str">
        <f t="shared" si="943"/>
        <v>-</v>
      </c>
      <c r="CJ1124" s="838" t="str">
        <f t="shared" si="944"/>
        <v>-</v>
      </c>
      <c r="CK1124" s="831"/>
      <c r="CL1124" s="832"/>
      <c r="CM1124" s="833" t="str">
        <f t="shared" si="945"/>
        <v>-</v>
      </c>
      <c r="CN1124" s="834" t="str">
        <f t="shared" si="946"/>
        <v>-</v>
      </c>
      <c r="CO1124" s="830" t="str">
        <f t="shared" si="947"/>
        <v>-</v>
      </c>
      <c r="CP1124" s="839"/>
      <c r="CQ1124" s="832"/>
      <c r="CR1124" s="833" t="str">
        <f t="shared" si="948"/>
        <v>-</v>
      </c>
      <c r="CS1124" s="833" t="str">
        <f t="shared" si="949"/>
        <v>-</v>
      </c>
      <c r="CT1124" s="834" t="str">
        <f t="shared" si="950"/>
        <v>-</v>
      </c>
      <c r="CU1124" s="835" t="str">
        <f t="shared" si="951"/>
        <v>-</v>
      </c>
      <c r="CV1124" s="839"/>
      <c r="CW1124" s="832"/>
      <c r="CX1124" s="833" t="str">
        <f t="shared" si="952"/>
        <v>-</v>
      </c>
      <c r="CY1124" s="840" t="str">
        <f t="shared" si="953"/>
        <v>-</v>
      </c>
      <c r="CZ1124" s="833" t="str">
        <f t="shared" si="954"/>
        <v>-</v>
      </c>
      <c r="DA1124" s="838" t="str">
        <f t="shared" si="955"/>
        <v>-</v>
      </c>
      <c r="DB1124" s="841"/>
      <c r="DC1124" s="832"/>
    </row>
    <row r="1125" spans="1:107" x14ac:dyDescent="0.25">
      <c r="A1125" s="790"/>
      <c r="B1125" s="791"/>
      <c r="C1125" s="792"/>
      <c r="D1125" s="793"/>
      <c r="E1125" s="794"/>
      <c r="F1125" s="795"/>
      <c r="G1125" s="871"/>
      <c r="H1125" s="797"/>
      <c r="I1125" s="798"/>
      <c r="J1125" s="799">
        <f t="shared" si="905"/>
        <v>0</v>
      </c>
      <c r="K1125" s="799">
        <f t="shared" si="906"/>
        <v>0</v>
      </c>
      <c r="L1125" s="800">
        <f t="shared" si="907"/>
        <v>0</v>
      </c>
      <c r="M1125" s="801"/>
      <c r="N1125" s="802"/>
      <c r="O1125" s="803" t="str">
        <f t="shared" si="908"/>
        <v>-</v>
      </c>
      <c r="P1125" s="804"/>
      <c r="Q1125" s="805"/>
      <c r="R1125" s="806"/>
      <c r="S1125" s="807"/>
      <c r="T1125" s="798"/>
      <c r="U1125" s="798" t="str">
        <f t="shared" si="909"/>
        <v>-</v>
      </c>
      <c r="V1125" s="804" t="str">
        <f t="shared" si="910"/>
        <v>-</v>
      </c>
      <c r="W1125" s="808"/>
      <c r="X1125" s="794" t="str">
        <f t="shared" si="903"/>
        <v>-</v>
      </c>
      <c r="Y1125" s="794"/>
      <c r="Z1125" s="809" t="str">
        <f t="shared" si="911"/>
        <v>-----</v>
      </c>
      <c r="AA1125" s="810">
        <f t="shared" si="912"/>
        <v>0</v>
      </c>
      <c r="AB1125" s="804"/>
      <c r="AC1125" s="811" t="str">
        <f t="shared" si="913"/>
        <v>-----</v>
      </c>
      <c r="AD1125" s="798"/>
      <c r="AE1125" s="794" t="str">
        <f t="shared" si="914"/>
        <v>-</v>
      </c>
      <c r="AF1125" s="798" t="str">
        <f t="shared" si="915"/>
        <v>-</v>
      </c>
      <c r="AG1125" s="812" t="str">
        <f t="shared" si="916"/>
        <v>---------</v>
      </c>
      <c r="AH1125" s="807"/>
      <c r="AI1125" s="807" t="str">
        <f t="shared" si="917"/>
        <v>-</v>
      </c>
      <c r="AJ1125" s="807" t="str">
        <f t="shared" si="918"/>
        <v>-</v>
      </c>
      <c r="AK1125" s="813"/>
      <c r="AL1125" s="807" t="str">
        <f t="shared" si="919"/>
        <v>-</v>
      </c>
      <c r="AM1125" s="807" t="str">
        <f t="shared" si="920"/>
        <v>-</v>
      </c>
      <c r="AN1125" s="814" t="str">
        <f t="shared" si="921"/>
        <v>-</v>
      </c>
      <c r="AO1125" s="815"/>
      <c r="AP1125" s="816" t="str">
        <f t="shared" si="922"/>
        <v>-</v>
      </c>
      <c r="AQ1125" s="817"/>
      <c r="AR1125" s="794" t="str">
        <f t="shared" si="923"/>
        <v>-</v>
      </c>
      <c r="AS1125" s="818"/>
      <c r="AT1125" s="794" t="str">
        <f t="shared" si="924"/>
        <v>-</v>
      </c>
      <c r="AU1125" s="819"/>
      <c r="AV1125" s="865"/>
      <c r="AW1125" s="821"/>
      <c r="AX1125" s="821"/>
      <c r="AY1125" s="969" t="str">
        <f t="shared" si="925"/>
        <v>-</v>
      </c>
      <c r="AZ1125" s="966" t="str">
        <f t="shared" si="926"/>
        <v>-</v>
      </c>
      <c r="BA1125" s="971" t="str">
        <f t="shared" si="927"/>
        <v>-</v>
      </c>
      <c r="BB1125" s="975"/>
      <c r="BC1125" s="821"/>
      <c r="BD1125" s="821"/>
      <c r="BE1125" s="963" t="str">
        <f t="shared" si="928"/>
        <v>-</v>
      </c>
      <c r="BF1125" s="984"/>
      <c r="BG1125" s="988"/>
      <c r="BH1125" s="982"/>
      <c r="BI1125" s="991"/>
      <c r="BJ1125" s="991"/>
      <c r="BK1125" s="993" t="str">
        <f t="shared" si="929"/>
        <v>-</v>
      </c>
      <c r="BL1125" s="865"/>
      <c r="BM1125" s="821"/>
      <c r="BN1125" s="822" t="str">
        <f t="shared" si="930"/>
        <v>-</v>
      </c>
      <c r="BO1125" s="823" t="str">
        <f t="shared" si="931"/>
        <v>-</v>
      </c>
      <c r="BP1125" s="868"/>
      <c r="BQ1125" s="821"/>
      <c r="BR1125" s="822" t="str">
        <f t="shared" si="932"/>
        <v>-</v>
      </c>
      <c r="BS1125" s="823" t="str">
        <f t="shared" si="933"/>
        <v>-</v>
      </c>
      <c r="BT1125" s="825" t="str">
        <f t="shared" si="934"/>
        <v>-</v>
      </c>
      <c r="BU1125" s="826"/>
      <c r="BV1125" s="827"/>
      <c r="BW1125" s="828" t="str">
        <f t="shared" si="935"/>
        <v>Ж-Е НЕ ВАКЦ.</v>
      </c>
      <c r="BX1125" s="829" t="str">
        <f t="shared" si="936"/>
        <v>-</v>
      </c>
      <c r="BY1125" s="830" t="str">
        <f t="shared" si="937"/>
        <v>-</v>
      </c>
      <c r="BZ1125" s="839"/>
      <c r="CA1125" s="832"/>
      <c r="CB1125" s="833" t="str">
        <f t="shared" si="938"/>
        <v>-</v>
      </c>
      <c r="CC1125" s="834" t="str">
        <f t="shared" si="939"/>
        <v>-</v>
      </c>
      <c r="CD1125" s="835" t="str">
        <f t="shared" si="940"/>
        <v>-</v>
      </c>
      <c r="CE1125" s="839"/>
      <c r="CF1125" s="832"/>
      <c r="CG1125" s="833" t="str">
        <f t="shared" si="941"/>
        <v>-</v>
      </c>
      <c r="CH1125" s="836" t="str">
        <f t="shared" si="942"/>
        <v>-</v>
      </c>
      <c r="CI1125" s="837" t="str">
        <f t="shared" si="943"/>
        <v>-</v>
      </c>
      <c r="CJ1125" s="838" t="str">
        <f t="shared" si="944"/>
        <v>-</v>
      </c>
      <c r="CK1125" s="831"/>
      <c r="CL1125" s="832"/>
      <c r="CM1125" s="833" t="str">
        <f t="shared" si="945"/>
        <v>-</v>
      </c>
      <c r="CN1125" s="834" t="str">
        <f t="shared" si="946"/>
        <v>-</v>
      </c>
      <c r="CO1125" s="830" t="str">
        <f t="shared" si="947"/>
        <v>-</v>
      </c>
      <c r="CP1125" s="839"/>
      <c r="CQ1125" s="832"/>
      <c r="CR1125" s="833" t="str">
        <f t="shared" si="948"/>
        <v>-</v>
      </c>
      <c r="CS1125" s="833" t="str">
        <f t="shared" si="949"/>
        <v>-</v>
      </c>
      <c r="CT1125" s="834" t="str">
        <f t="shared" si="950"/>
        <v>-</v>
      </c>
      <c r="CU1125" s="835" t="str">
        <f t="shared" si="951"/>
        <v>-</v>
      </c>
      <c r="CV1125" s="839"/>
      <c r="CW1125" s="832"/>
      <c r="CX1125" s="833" t="str">
        <f t="shared" si="952"/>
        <v>-</v>
      </c>
      <c r="CY1125" s="840" t="str">
        <f t="shared" si="953"/>
        <v>-</v>
      </c>
      <c r="CZ1125" s="833" t="str">
        <f t="shared" si="954"/>
        <v>-</v>
      </c>
      <c r="DA1125" s="838" t="str">
        <f t="shared" si="955"/>
        <v>-</v>
      </c>
      <c r="DB1125" s="841"/>
      <c r="DC1125" s="832"/>
    </row>
    <row r="1126" spans="1:107" x14ac:dyDescent="0.25">
      <c r="A1126" s="790"/>
      <c r="B1126" s="791"/>
      <c r="C1126" s="792"/>
      <c r="D1126" s="793"/>
      <c r="E1126" s="794"/>
      <c r="F1126" s="795"/>
      <c r="G1126" s="871"/>
      <c r="H1126" s="797"/>
      <c r="I1126" s="798"/>
      <c r="J1126" s="799">
        <f t="shared" si="905"/>
        <v>0</v>
      </c>
      <c r="K1126" s="799">
        <f t="shared" si="906"/>
        <v>0</v>
      </c>
      <c r="L1126" s="800">
        <f t="shared" si="907"/>
        <v>0</v>
      </c>
      <c r="M1126" s="801"/>
      <c r="N1126" s="802"/>
      <c r="O1126" s="803" t="str">
        <f t="shared" si="908"/>
        <v>-</v>
      </c>
      <c r="P1126" s="804"/>
      <c r="Q1126" s="805"/>
      <c r="R1126" s="806"/>
      <c r="S1126" s="807"/>
      <c r="T1126" s="798"/>
      <c r="U1126" s="798" t="str">
        <f t="shared" si="909"/>
        <v>-</v>
      </c>
      <c r="V1126" s="804" t="str">
        <f t="shared" si="910"/>
        <v>-</v>
      </c>
      <c r="W1126" s="808"/>
      <c r="X1126" s="794" t="str">
        <f t="shared" si="903"/>
        <v>-</v>
      </c>
      <c r="Y1126" s="794"/>
      <c r="Z1126" s="809" t="str">
        <f t="shared" si="911"/>
        <v>-----</v>
      </c>
      <c r="AA1126" s="810">
        <f t="shared" si="912"/>
        <v>0</v>
      </c>
      <c r="AB1126" s="804"/>
      <c r="AC1126" s="811" t="str">
        <f t="shared" si="913"/>
        <v>-----</v>
      </c>
      <c r="AD1126" s="798"/>
      <c r="AE1126" s="794" t="str">
        <f t="shared" si="914"/>
        <v>-</v>
      </c>
      <c r="AF1126" s="798" t="str">
        <f t="shared" si="915"/>
        <v>-</v>
      </c>
      <c r="AG1126" s="812" t="str">
        <f t="shared" si="916"/>
        <v>---------</v>
      </c>
      <c r="AH1126" s="807"/>
      <c r="AI1126" s="807" t="str">
        <f t="shared" si="917"/>
        <v>-</v>
      </c>
      <c r="AJ1126" s="807" t="str">
        <f t="shared" si="918"/>
        <v>-</v>
      </c>
      <c r="AK1126" s="813"/>
      <c r="AL1126" s="807" t="str">
        <f t="shared" si="919"/>
        <v>-</v>
      </c>
      <c r="AM1126" s="807" t="str">
        <f t="shared" si="920"/>
        <v>-</v>
      </c>
      <c r="AN1126" s="814" t="str">
        <f t="shared" si="921"/>
        <v>-</v>
      </c>
      <c r="AO1126" s="815"/>
      <c r="AP1126" s="816" t="str">
        <f t="shared" si="922"/>
        <v>-</v>
      </c>
      <c r="AQ1126" s="817"/>
      <c r="AR1126" s="794" t="str">
        <f t="shared" si="923"/>
        <v>-</v>
      </c>
      <c r="AS1126" s="818"/>
      <c r="AT1126" s="794" t="str">
        <f t="shared" si="924"/>
        <v>-</v>
      </c>
      <c r="AU1126" s="819"/>
      <c r="AV1126" s="865"/>
      <c r="AW1126" s="821"/>
      <c r="AX1126" s="821"/>
      <c r="AY1126" s="969" t="str">
        <f t="shared" si="925"/>
        <v>-</v>
      </c>
      <c r="AZ1126" s="966" t="str">
        <f t="shared" si="926"/>
        <v>-</v>
      </c>
      <c r="BA1126" s="971" t="str">
        <f t="shared" si="927"/>
        <v>-</v>
      </c>
      <c r="BB1126" s="975"/>
      <c r="BC1126" s="821"/>
      <c r="BD1126" s="821"/>
      <c r="BE1126" s="963" t="str">
        <f t="shared" si="928"/>
        <v>-</v>
      </c>
      <c r="BF1126" s="984"/>
      <c r="BG1126" s="988"/>
      <c r="BH1126" s="982"/>
      <c r="BI1126" s="991"/>
      <c r="BJ1126" s="991"/>
      <c r="BK1126" s="993" t="str">
        <f t="shared" si="929"/>
        <v>-</v>
      </c>
      <c r="BL1126" s="865"/>
      <c r="BM1126" s="821"/>
      <c r="BN1126" s="822" t="str">
        <f t="shared" si="930"/>
        <v>-</v>
      </c>
      <c r="BO1126" s="823" t="str">
        <f t="shared" si="931"/>
        <v>-</v>
      </c>
      <c r="BP1126" s="868"/>
      <c r="BQ1126" s="821"/>
      <c r="BR1126" s="822" t="str">
        <f t="shared" si="932"/>
        <v>-</v>
      </c>
      <c r="BS1126" s="823" t="str">
        <f t="shared" si="933"/>
        <v>-</v>
      </c>
      <c r="BT1126" s="825" t="str">
        <f t="shared" si="934"/>
        <v>-</v>
      </c>
      <c r="BU1126" s="826"/>
      <c r="BV1126" s="827"/>
      <c r="BW1126" s="828" t="str">
        <f t="shared" si="935"/>
        <v>Ж-Е НЕ ВАКЦ.</v>
      </c>
      <c r="BX1126" s="829" t="str">
        <f t="shared" si="936"/>
        <v>-</v>
      </c>
      <c r="BY1126" s="830" t="str">
        <f t="shared" si="937"/>
        <v>-</v>
      </c>
      <c r="BZ1126" s="839"/>
      <c r="CA1126" s="832"/>
      <c r="CB1126" s="833" t="str">
        <f t="shared" si="938"/>
        <v>-</v>
      </c>
      <c r="CC1126" s="834" t="str">
        <f t="shared" si="939"/>
        <v>-</v>
      </c>
      <c r="CD1126" s="835" t="str">
        <f t="shared" si="940"/>
        <v>-</v>
      </c>
      <c r="CE1126" s="839"/>
      <c r="CF1126" s="832"/>
      <c r="CG1126" s="833" t="str">
        <f t="shared" si="941"/>
        <v>-</v>
      </c>
      <c r="CH1126" s="836" t="str">
        <f t="shared" si="942"/>
        <v>-</v>
      </c>
      <c r="CI1126" s="837" t="str">
        <f t="shared" si="943"/>
        <v>-</v>
      </c>
      <c r="CJ1126" s="838" t="str">
        <f t="shared" si="944"/>
        <v>-</v>
      </c>
      <c r="CK1126" s="831"/>
      <c r="CL1126" s="832"/>
      <c r="CM1126" s="833" t="str">
        <f t="shared" si="945"/>
        <v>-</v>
      </c>
      <c r="CN1126" s="834" t="str">
        <f t="shared" si="946"/>
        <v>-</v>
      </c>
      <c r="CO1126" s="830" t="str">
        <f t="shared" si="947"/>
        <v>-</v>
      </c>
      <c r="CP1126" s="839"/>
      <c r="CQ1126" s="832"/>
      <c r="CR1126" s="833" t="str">
        <f t="shared" si="948"/>
        <v>-</v>
      </c>
      <c r="CS1126" s="833" t="str">
        <f t="shared" si="949"/>
        <v>-</v>
      </c>
      <c r="CT1126" s="834" t="str">
        <f t="shared" si="950"/>
        <v>-</v>
      </c>
      <c r="CU1126" s="835" t="str">
        <f t="shared" si="951"/>
        <v>-</v>
      </c>
      <c r="CV1126" s="839"/>
      <c r="CW1126" s="832"/>
      <c r="CX1126" s="833" t="str">
        <f t="shared" si="952"/>
        <v>-</v>
      </c>
      <c r="CY1126" s="840" t="str">
        <f t="shared" si="953"/>
        <v>-</v>
      </c>
      <c r="CZ1126" s="833" t="str">
        <f t="shared" si="954"/>
        <v>-</v>
      </c>
      <c r="DA1126" s="838" t="str">
        <f t="shared" si="955"/>
        <v>-</v>
      </c>
      <c r="DB1126" s="841"/>
      <c r="DC1126" s="832"/>
    </row>
    <row r="1127" spans="1:107" x14ac:dyDescent="0.25">
      <c r="A1127" s="790"/>
      <c r="B1127" s="791"/>
      <c r="C1127" s="792"/>
      <c r="D1127" s="793"/>
      <c r="E1127" s="794"/>
      <c r="F1127" s="795"/>
      <c r="G1127" s="871"/>
      <c r="H1127" s="797"/>
      <c r="I1127" s="798"/>
      <c r="J1127" s="799">
        <f t="shared" si="905"/>
        <v>0</v>
      </c>
      <c r="K1127" s="799">
        <f t="shared" si="906"/>
        <v>0</v>
      </c>
      <c r="L1127" s="800">
        <f t="shared" si="907"/>
        <v>0</v>
      </c>
      <c r="M1127" s="801"/>
      <c r="N1127" s="802"/>
      <c r="O1127" s="803" t="str">
        <f t="shared" si="908"/>
        <v>-</v>
      </c>
      <c r="P1127" s="804"/>
      <c r="Q1127" s="805"/>
      <c r="R1127" s="806"/>
      <c r="S1127" s="807"/>
      <c r="T1127" s="798"/>
      <c r="U1127" s="798" t="str">
        <f t="shared" si="909"/>
        <v>-</v>
      </c>
      <c r="V1127" s="804" t="str">
        <f t="shared" si="910"/>
        <v>-</v>
      </c>
      <c r="W1127" s="808"/>
      <c r="X1127" s="794" t="str">
        <f t="shared" si="903"/>
        <v>-</v>
      </c>
      <c r="Y1127" s="794"/>
      <c r="Z1127" s="809" t="str">
        <f t="shared" si="911"/>
        <v>-----</v>
      </c>
      <c r="AA1127" s="810">
        <f t="shared" si="912"/>
        <v>0</v>
      </c>
      <c r="AB1127" s="804"/>
      <c r="AC1127" s="811" t="str">
        <f t="shared" si="913"/>
        <v>-----</v>
      </c>
      <c r="AD1127" s="798"/>
      <c r="AE1127" s="794" t="str">
        <f t="shared" si="914"/>
        <v>-</v>
      </c>
      <c r="AF1127" s="798" t="str">
        <f t="shared" si="915"/>
        <v>-</v>
      </c>
      <c r="AG1127" s="812" t="str">
        <f t="shared" si="916"/>
        <v>---------</v>
      </c>
      <c r="AH1127" s="807"/>
      <c r="AI1127" s="807" t="str">
        <f t="shared" si="917"/>
        <v>-</v>
      </c>
      <c r="AJ1127" s="807" t="str">
        <f t="shared" si="918"/>
        <v>-</v>
      </c>
      <c r="AK1127" s="813"/>
      <c r="AL1127" s="807" t="str">
        <f t="shared" si="919"/>
        <v>-</v>
      </c>
      <c r="AM1127" s="807" t="str">
        <f t="shared" si="920"/>
        <v>-</v>
      </c>
      <c r="AN1127" s="814" t="str">
        <f t="shared" si="921"/>
        <v>-</v>
      </c>
      <c r="AO1127" s="815"/>
      <c r="AP1127" s="816" t="str">
        <f t="shared" si="922"/>
        <v>-</v>
      </c>
      <c r="AQ1127" s="817"/>
      <c r="AR1127" s="794" t="str">
        <f t="shared" si="923"/>
        <v>-</v>
      </c>
      <c r="AS1127" s="818"/>
      <c r="AT1127" s="794" t="str">
        <f t="shared" si="924"/>
        <v>-</v>
      </c>
      <c r="AU1127" s="819"/>
      <c r="AV1127" s="865"/>
      <c r="AW1127" s="821"/>
      <c r="AX1127" s="821"/>
      <c r="AY1127" s="969" t="str">
        <f t="shared" si="925"/>
        <v>-</v>
      </c>
      <c r="AZ1127" s="966" t="str">
        <f t="shared" si="926"/>
        <v>-</v>
      </c>
      <c r="BA1127" s="971" t="str">
        <f t="shared" si="927"/>
        <v>-</v>
      </c>
      <c r="BB1127" s="975"/>
      <c r="BC1127" s="821"/>
      <c r="BD1127" s="821"/>
      <c r="BE1127" s="963" t="str">
        <f t="shared" si="928"/>
        <v>-</v>
      </c>
      <c r="BF1127" s="984"/>
      <c r="BG1127" s="988"/>
      <c r="BH1127" s="982"/>
      <c r="BI1127" s="991"/>
      <c r="BJ1127" s="991"/>
      <c r="BK1127" s="993" t="str">
        <f t="shared" si="929"/>
        <v>-</v>
      </c>
      <c r="BL1127" s="865"/>
      <c r="BM1127" s="821"/>
      <c r="BN1127" s="822" t="str">
        <f t="shared" si="930"/>
        <v>-</v>
      </c>
      <c r="BO1127" s="823" t="str">
        <f t="shared" si="931"/>
        <v>-</v>
      </c>
      <c r="BP1127" s="868"/>
      <c r="BQ1127" s="821"/>
      <c r="BR1127" s="822" t="str">
        <f t="shared" si="932"/>
        <v>-</v>
      </c>
      <c r="BS1127" s="823" t="str">
        <f t="shared" si="933"/>
        <v>-</v>
      </c>
      <c r="BT1127" s="825" t="str">
        <f t="shared" si="934"/>
        <v>-</v>
      </c>
      <c r="BU1127" s="826"/>
      <c r="BV1127" s="827"/>
      <c r="BW1127" s="828" t="str">
        <f t="shared" si="935"/>
        <v>Ж-Е НЕ ВАКЦ.</v>
      </c>
      <c r="BX1127" s="829" t="str">
        <f t="shared" si="936"/>
        <v>-</v>
      </c>
      <c r="BY1127" s="830" t="str">
        <f t="shared" si="937"/>
        <v>-</v>
      </c>
      <c r="BZ1127" s="839"/>
      <c r="CA1127" s="832"/>
      <c r="CB1127" s="833" t="str">
        <f t="shared" si="938"/>
        <v>-</v>
      </c>
      <c r="CC1127" s="834" t="str">
        <f t="shared" si="939"/>
        <v>-</v>
      </c>
      <c r="CD1127" s="835" t="str">
        <f t="shared" si="940"/>
        <v>-</v>
      </c>
      <c r="CE1127" s="839"/>
      <c r="CF1127" s="832"/>
      <c r="CG1127" s="833" t="str">
        <f t="shared" si="941"/>
        <v>-</v>
      </c>
      <c r="CH1127" s="836" t="str">
        <f t="shared" si="942"/>
        <v>-</v>
      </c>
      <c r="CI1127" s="837" t="str">
        <f t="shared" si="943"/>
        <v>-</v>
      </c>
      <c r="CJ1127" s="838" t="str">
        <f t="shared" si="944"/>
        <v>-</v>
      </c>
      <c r="CK1127" s="831"/>
      <c r="CL1127" s="832"/>
      <c r="CM1127" s="833" t="str">
        <f t="shared" si="945"/>
        <v>-</v>
      </c>
      <c r="CN1127" s="834" t="str">
        <f t="shared" si="946"/>
        <v>-</v>
      </c>
      <c r="CO1127" s="830" t="str">
        <f t="shared" si="947"/>
        <v>-</v>
      </c>
      <c r="CP1127" s="839"/>
      <c r="CQ1127" s="832"/>
      <c r="CR1127" s="833" t="str">
        <f t="shared" si="948"/>
        <v>-</v>
      </c>
      <c r="CS1127" s="833" t="str">
        <f t="shared" si="949"/>
        <v>-</v>
      </c>
      <c r="CT1127" s="834" t="str">
        <f t="shared" si="950"/>
        <v>-</v>
      </c>
      <c r="CU1127" s="835" t="str">
        <f t="shared" si="951"/>
        <v>-</v>
      </c>
      <c r="CV1127" s="839"/>
      <c r="CW1127" s="832"/>
      <c r="CX1127" s="833" t="str">
        <f t="shared" si="952"/>
        <v>-</v>
      </c>
      <c r="CY1127" s="840" t="str">
        <f t="shared" si="953"/>
        <v>-</v>
      </c>
      <c r="CZ1127" s="833" t="str">
        <f t="shared" si="954"/>
        <v>-</v>
      </c>
      <c r="DA1127" s="838" t="str">
        <f t="shared" si="955"/>
        <v>-</v>
      </c>
      <c r="DB1127" s="841"/>
      <c r="DC1127" s="832"/>
    </row>
    <row r="1128" spans="1:107" x14ac:dyDescent="0.25">
      <c r="A1128" s="790"/>
      <c r="B1128" s="791"/>
      <c r="C1128" s="792"/>
      <c r="D1128" s="793"/>
      <c r="E1128" s="794"/>
      <c r="F1128" s="795"/>
      <c r="G1128" s="871"/>
      <c r="H1128" s="797"/>
      <c r="I1128" s="798"/>
      <c r="J1128" s="799">
        <f t="shared" si="905"/>
        <v>0</v>
      </c>
      <c r="K1128" s="799">
        <f t="shared" si="906"/>
        <v>0</v>
      </c>
      <c r="L1128" s="800">
        <f t="shared" si="907"/>
        <v>0</v>
      </c>
      <c r="M1128" s="801"/>
      <c r="N1128" s="802"/>
      <c r="O1128" s="803" t="str">
        <f t="shared" si="908"/>
        <v>-</v>
      </c>
      <c r="P1128" s="804"/>
      <c r="Q1128" s="805"/>
      <c r="R1128" s="806"/>
      <c r="S1128" s="807"/>
      <c r="T1128" s="798"/>
      <c r="U1128" s="798" t="str">
        <f t="shared" si="909"/>
        <v>-</v>
      </c>
      <c r="V1128" s="804" t="str">
        <f t="shared" si="910"/>
        <v>-</v>
      </c>
      <c r="W1128" s="808"/>
      <c r="X1128" s="794" t="str">
        <f t="shared" si="903"/>
        <v>-</v>
      </c>
      <c r="Y1128" s="794"/>
      <c r="Z1128" s="809" t="str">
        <f t="shared" si="911"/>
        <v>-----</v>
      </c>
      <c r="AA1128" s="810">
        <f t="shared" si="912"/>
        <v>0</v>
      </c>
      <c r="AB1128" s="804"/>
      <c r="AC1128" s="811" t="str">
        <f t="shared" si="913"/>
        <v>-----</v>
      </c>
      <c r="AD1128" s="798"/>
      <c r="AE1128" s="794" t="str">
        <f t="shared" si="914"/>
        <v>-</v>
      </c>
      <c r="AF1128" s="798" t="str">
        <f t="shared" si="915"/>
        <v>-</v>
      </c>
      <c r="AG1128" s="812" t="str">
        <f t="shared" si="916"/>
        <v>---------</v>
      </c>
      <c r="AH1128" s="807"/>
      <c r="AI1128" s="807" t="str">
        <f t="shared" si="917"/>
        <v>-</v>
      </c>
      <c r="AJ1128" s="807" t="str">
        <f t="shared" si="918"/>
        <v>-</v>
      </c>
      <c r="AK1128" s="813"/>
      <c r="AL1128" s="807" t="str">
        <f t="shared" si="919"/>
        <v>-</v>
      </c>
      <c r="AM1128" s="807" t="str">
        <f t="shared" si="920"/>
        <v>-</v>
      </c>
      <c r="AN1128" s="814" t="str">
        <f t="shared" si="921"/>
        <v>-</v>
      </c>
      <c r="AO1128" s="815"/>
      <c r="AP1128" s="816" t="str">
        <f t="shared" si="922"/>
        <v>-</v>
      </c>
      <c r="AQ1128" s="817"/>
      <c r="AR1128" s="794" t="str">
        <f t="shared" si="923"/>
        <v>-</v>
      </c>
      <c r="AS1128" s="818"/>
      <c r="AT1128" s="794" t="str">
        <f t="shared" si="924"/>
        <v>-</v>
      </c>
      <c r="AU1128" s="819"/>
      <c r="AV1128" s="865"/>
      <c r="AW1128" s="821"/>
      <c r="AX1128" s="821"/>
      <c r="AY1128" s="969" t="str">
        <f t="shared" si="925"/>
        <v>-</v>
      </c>
      <c r="AZ1128" s="966" t="str">
        <f t="shared" si="926"/>
        <v>-</v>
      </c>
      <c r="BA1128" s="971" t="str">
        <f t="shared" si="927"/>
        <v>-</v>
      </c>
      <c r="BB1128" s="975"/>
      <c r="BC1128" s="821"/>
      <c r="BD1128" s="821"/>
      <c r="BE1128" s="963" t="str">
        <f t="shared" si="928"/>
        <v>-</v>
      </c>
      <c r="BF1128" s="984"/>
      <c r="BG1128" s="988"/>
      <c r="BH1128" s="982"/>
      <c r="BI1128" s="991"/>
      <c r="BJ1128" s="991"/>
      <c r="BK1128" s="993" t="str">
        <f t="shared" si="929"/>
        <v>-</v>
      </c>
      <c r="BL1128" s="865"/>
      <c r="BM1128" s="821"/>
      <c r="BN1128" s="822" t="str">
        <f t="shared" si="930"/>
        <v>-</v>
      </c>
      <c r="BO1128" s="823" t="str">
        <f t="shared" si="931"/>
        <v>-</v>
      </c>
      <c r="BP1128" s="868"/>
      <c r="BQ1128" s="821"/>
      <c r="BR1128" s="822" t="str">
        <f t="shared" si="932"/>
        <v>-</v>
      </c>
      <c r="BS1128" s="823" t="str">
        <f t="shared" si="933"/>
        <v>-</v>
      </c>
      <c r="BT1128" s="825" t="str">
        <f t="shared" si="934"/>
        <v>-</v>
      </c>
      <c r="BU1128" s="826"/>
      <c r="BV1128" s="827"/>
      <c r="BW1128" s="828" t="str">
        <f t="shared" si="935"/>
        <v>Ж-Е НЕ ВАКЦ.</v>
      </c>
      <c r="BX1128" s="829" t="str">
        <f t="shared" si="936"/>
        <v>-</v>
      </c>
      <c r="BY1128" s="830" t="str">
        <f t="shared" si="937"/>
        <v>-</v>
      </c>
      <c r="BZ1128" s="839"/>
      <c r="CA1128" s="832"/>
      <c r="CB1128" s="833" t="str">
        <f t="shared" si="938"/>
        <v>-</v>
      </c>
      <c r="CC1128" s="834" t="str">
        <f t="shared" si="939"/>
        <v>-</v>
      </c>
      <c r="CD1128" s="835" t="str">
        <f t="shared" si="940"/>
        <v>-</v>
      </c>
      <c r="CE1128" s="839"/>
      <c r="CF1128" s="832"/>
      <c r="CG1128" s="833" t="str">
        <f t="shared" si="941"/>
        <v>-</v>
      </c>
      <c r="CH1128" s="836" t="str">
        <f t="shared" si="942"/>
        <v>-</v>
      </c>
      <c r="CI1128" s="837" t="str">
        <f t="shared" si="943"/>
        <v>-</v>
      </c>
      <c r="CJ1128" s="838" t="str">
        <f t="shared" si="944"/>
        <v>-</v>
      </c>
      <c r="CK1128" s="831"/>
      <c r="CL1128" s="832"/>
      <c r="CM1128" s="833" t="str">
        <f t="shared" si="945"/>
        <v>-</v>
      </c>
      <c r="CN1128" s="834" t="str">
        <f t="shared" si="946"/>
        <v>-</v>
      </c>
      <c r="CO1128" s="830" t="str">
        <f t="shared" si="947"/>
        <v>-</v>
      </c>
      <c r="CP1128" s="839"/>
      <c r="CQ1128" s="832"/>
      <c r="CR1128" s="833" t="str">
        <f t="shared" si="948"/>
        <v>-</v>
      </c>
      <c r="CS1128" s="833" t="str">
        <f t="shared" si="949"/>
        <v>-</v>
      </c>
      <c r="CT1128" s="834" t="str">
        <f t="shared" si="950"/>
        <v>-</v>
      </c>
      <c r="CU1128" s="835" t="str">
        <f t="shared" si="951"/>
        <v>-</v>
      </c>
      <c r="CV1128" s="839"/>
      <c r="CW1128" s="832"/>
      <c r="CX1128" s="833" t="str">
        <f t="shared" si="952"/>
        <v>-</v>
      </c>
      <c r="CY1128" s="840" t="str">
        <f t="shared" si="953"/>
        <v>-</v>
      </c>
      <c r="CZ1128" s="833" t="str">
        <f t="shared" si="954"/>
        <v>-</v>
      </c>
      <c r="DA1128" s="838" t="str">
        <f t="shared" si="955"/>
        <v>-</v>
      </c>
      <c r="DB1128" s="841"/>
      <c r="DC1128" s="832"/>
    </row>
    <row r="1129" spans="1:107" x14ac:dyDescent="0.25">
      <c r="A1129" s="790"/>
      <c r="B1129" s="791"/>
      <c r="C1129" s="792"/>
      <c r="D1129" s="793"/>
      <c r="E1129" s="794"/>
      <c r="F1129" s="795"/>
      <c r="G1129" s="871"/>
      <c r="H1129" s="797"/>
      <c r="I1129" s="798"/>
      <c r="J1129" s="799">
        <f t="shared" si="905"/>
        <v>0</v>
      </c>
      <c r="K1129" s="799">
        <f t="shared" si="906"/>
        <v>0</v>
      </c>
      <c r="L1129" s="800">
        <f t="shared" si="907"/>
        <v>0</v>
      </c>
      <c r="M1129" s="801"/>
      <c r="N1129" s="802"/>
      <c r="O1129" s="803" t="str">
        <f t="shared" si="908"/>
        <v>-</v>
      </c>
      <c r="P1129" s="804"/>
      <c r="Q1129" s="805"/>
      <c r="R1129" s="806"/>
      <c r="S1129" s="807"/>
      <c r="T1129" s="798"/>
      <c r="U1129" s="798" t="str">
        <f t="shared" si="909"/>
        <v>-</v>
      </c>
      <c r="V1129" s="804" t="str">
        <f t="shared" si="910"/>
        <v>-</v>
      </c>
      <c r="W1129" s="808"/>
      <c r="X1129" s="794" t="str">
        <f t="shared" si="903"/>
        <v>-</v>
      </c>
      <c r="Y1129" s="794"/>
      <c r="Z1129" s="809" t="str">
        <f t="shared" si="911"/>
        <v>-----</v>
      </c>
      <c r="AA1129" s="810">
        <f t="shared" si="912"/>
        <v>0</v>
      </c>
      <c r="AB1129" s="804"/>
      <c r="AC1129" s="811" t="str">
        <f t="shared" si="913"/>
        <v>-----</v>
      </c>
      <c r="AD1129" s="798"/>
      <c r="AE1129" s="794" t="str">
        <f t="shared" si="914"/>
        <v>-</v>
      </c>
      <c r="AF1129" s="798" t="str">
        <f t="shared" si="915"/>
        <v>-</v>
      </c>
      <c r="AG1129" s="812" t="str">
        <f t="shared" si="916"/>
        <v>---------</v>
      </c>
      <c r="AH1129" s="807"/>
      <c r="AI1129" s="807" t="str">
        <f t="shared" si="917"/>
        <v>-</v>
      </c>
      <c r="AJ1129" s="807" t="str">
        <f t="shared" si="918"/>
        <v>-</v>
      </c>
      <c r="AK1129" s="813"/>
      <c r="AL1129" s="807" t="str">
        <f t="shared" si="919"/>
        <v>-</v>
      </c>
      <c r="AM1129" s="807" t="str">
        <f t="shared" si="920"/>
        <v>-</v>
      </c>
      <c r="AN1129" s="814" t="str">
        <f t="shared" si="921"/>
        <v>-</v>
      </c>
      <c r="AO1129" s="815"/>
      <c r="AP1129" s="816" t="str">
        <f t="shared" si="922"/>
        <v>-</v>
      </c>
      <c r="AQ1129" s="817"/>
      <c r="AR1129" s="794" t="str">
        <f t="shared" si="923"/>
        <v>-</v>
      </c>
      <c r="AS1129" s="818"/>
      <c r="AT1129" s="794" t="str">
        <f t="shared" si="924"/>
        <v>-</v>
      </c>
      <c r="AU1129" s="819"/>
      <c r="AV1129" s="865"/>
      <c r="AW1129" s="821"/>
      <c r="AX1129" s="821"/>
      <c r="AY1129" s="969" t="str">
        <f t="shared" si="925"/>
        <v>-</v>
      </c>
      <c r="AZ1129" s="966" t="str">
        <f t="shared" si="926"/>
        <v>-</v>
      </c>
      <c r="BA1129" s="971" t="str">
        <f t="shared" si="927"/>
        <v>-</v>
      </c>
      <c r="BB1129" s="975"/>
      <c r="BC1129" s="821"/>
      <c r="BD1129" s="821"/>
      <c r="BE1129" s="963" t="str">
        <f t="shared" si="928"/>
        <v>-</v>
      </c>
      <c r="BF1129" s="984"/>
      <c r="BG1129" s="988"/>
      <c r="BH1129" s="982"/>
      <c r="BI1129" s="991"/>
      <c r="BJ1129" s="991"/>
      <c r="BK1129" s="993" t="str">
        <f t="shared" si="929"/>
        <v>-</v>
      </c>
      <c r="BL1129" s="865"/>
      <c r="BM1129" s="821"/>
      <c r="BN1129" s="822" t="str">
        <f t="shared" si="930"/>
        <v>-</v>
      </c>
      <c r="BO1129" s="823" t="str">
        <f t="shared" si="931"/>
        <v>-</v>
      </c>
      <c r="BP1129" s="868"/>
      <c r="BQ1129" s="821"/>
      <c r="BR1129" s="822" t="str">
        <f t="shared" si="932"/>
        <v>-</v>
      </c>
      <c r="BS1129" s="823" t="str">
        <f t="shared" si="933"/>
        <v>-</v>
      </c>
      <c r="BT1129" s="825" t="str">
        <f t="shared" si="934"/>
        <v>-</v>
      </c>
      <c r="BU1129" s="826"/>
      <c r="BV1129" s="827"/>
      <c r="BW1129" s="828" t="str">
        <f t="shared" si="935"/>
        <v>Ж-Е НЕ ВАКЦ.</v>
      </c>
      <c r="BX1129" s="829" t="str">
        <f t="shared" si="936"/>
        <v>-</v>
      </c>
      <c r="BY1129" s="830" t="str">
        <f t="shared" si="937"/>
        <v>-</v>
      </c>
      <c r="BZ1129" s="839"/>
      <c r="CA1129" s="832"/>
      <c r="CB1129" s="833" t="str">
        <f t="shared" si="938"/>
        <v>-</v>
      </c>
      <c r="CC1129" s="834" t="str">
        <f t="shared" si="939"/>
        <v>-</v>
      </c>
      <c r="CD1129" s="835" t="str">
        <f t="shared" si="940"/>
        <v>-</v>
      </c>
      <c r="CE1129" s="839"/>
      <c r="CF1129" s="832"/>
      <c r="CG1129" s="833" t="str">
        <f t="shared" si="941"/>
        <v>-</v>
      </c>
      <c r="CH1129" s="836" t="str">
        <f t="shared" si="942"/>
        <v>-</v>
      </c>
      <c r="CI1129" s="837" t="str">
        <f t="shared" si="943"/>
        <v>-</v>
      </c>
      <c r="CJ1129" s="838" t="str">
        <f t="shared" si="944"/>
        <v>-</v>
      </c>
      <c r="CK1129" s="831"/>
      <c r="CL1129" s="832"/>
      <c r="CM1129" s="833" t="str">
        <f t="shared" si="945"/>
        <v>-</v>
      </c>
      <c r="CN1129" s="834" t="str">
        <f t="shared" si="946"/>
        <v>-</v>
      </c>
      <c r="CO1129" s="830" t="str">
        <f t="shared" si="947"/>
        <v>-</v>
      </c>
      <c r="CP1129" s="839"/>
      <c r="CQ1129" s="832"/>
      <c r="CR1129" s="833" t="str">
        <f t="shared" si="948"/>
        <v>-</v>
      </c>
      <c r="CS1129" s="833" t="str">
        <f t="shared" si="949"/>
        <v>-</v>
      </c>
      <c r="CT1129" s="834" t="str">
        <f t="shared" si="950"/>
        <v>-</v>
      </c>
      <c r="CU1129" s="835" t="str">
        <f t="shared" si="951"/>
        <v>-</v>
      </c>
      <c r="CV1129" s="839"/>
      <c r="CW1129" s="832"/>
      <c r="CX1129" s="833" t="str">
        <f t="shared" si="952"/>
        <v>-</v>
      </c>
      <c r="CY1129" s="840" t="str">
        <f t="shared" si="953"/>
        <v>-</v>
      </c>
      <c r="CZ1129" s="833" t="str">
        <f t="shared" si="954"/>
        <v>-</v>
      </c>
      <c r="DA1129" s="838" t="str">
        <f t="shared" si="955"/>
        <v>-</v>
      </c>
      <c r="DB1129" s="841"/>
      <c r="DC1129" s="832"/>
    </row>
    <row r="1130" spans="1:107" x14ac:dyDescent="0.25">
      <c r="A1130" s="790"/>
      <c r="B1130" s="791"/>
      <c r="C1130" s="792"/>
      <c r="D1130" s="793"/>
      <c r="E1130" s="794"/>
      <c r="F1130" s="795"/>
      <c r="G1130" s="871"/>
      <c r="H1130" s="797"/>
      <c r="I1130" s="798"/>
      <c r="J1130" s="799">
        <f t="shared" si="905"/>
        <v>0</v>
      </c>
      <c r="K1130" s="799">
        <f t="shared" si="906"/>
        <v>0</v>
      </c>
      <c r="L1130" s="800">
        <f t="shared" si="907"/>
        <v>0</v>
      </c>
      <c r="M1130" s="801"/>
      <c r="N1130" s="802"/>
      <c r="O1130" s="803" t="str">
        <f t="shared" si="908"/>
        <v>-</v>
      </c>
      <c r="P1130" s="804"/>
      <c r="Q1130" s="805"/>
      <c r="R1130" s="806"/>
      <c r="S1130" s="807"/>
      <c r="T1130" s="798"/>
      <c r="U1130" s="798" t="str">
        <f t="shared" si="909"/>
        <v>-</v>
      </c>
      <c r="V1130" s="804" t="str">
        <f t="shared" si="910"/>
        <v>-</v>
      </c>
      <c r="W1130" s="808"/>
      <c r="X1130" s="794" t="str">
        <f t="shared" si="903"/>
        <v>-</v>
      </c>
      <c r="Y1130" s="794"/>
      <c r="Z1130" s="809" t="str">
        <f t="shared" si="911"/>
        <v>-----</v>
      </c>
      <c r="AA1130" s="810">
        <f t="shared" si="912"/>
        <v>0</v>
      </c>
      <c r="AB1130" s="804"/>
      <c r="AC1130" s="811" t="str">
        <f t="shared" si="913"/>
        <v>-----</v>
      </c>
      <c r="AD1130" s="798"/>
      <c r="AE1130" s="794" t="str">
        <f t="shared" si="914"/>
        <v>-</v>
      </c>
      <c r="AF1130" s="798" t="str">
        <f t="shared" si="915"/>
        <v>-</v>
      </c>
      <c r="AG1130" s="812" t="str">
        <f t="shared" si="916"/>
        <v>---------</v>
      </c>
      <c r="AH1130" s="807"/>
      <c r="AI1130" s="807" t="str">
        <f t="shared" si="917"/>
        <v>-</v>
      </c>
      <c r="AJ1130" s="807" t="str">
        <f t="shared" si="918"/>
        <v>-</v>
      </c>
      <c r="AK1130" s="813"/>
      <c r="AL1130" s="807" t="str">
        <f t="shared" si="919"/>
        <v>-</v>
      </c>
      <c r="AM1130" s="807" t="str">
        <f t="shared" si="920"/>
        <v>-</v>
      </c>
      <c r="AN1130" s="814" t="str">
        <f t="shared" si="921"/>
        <v>-</v>
      </c>
      <c r="AO1130" s="815"/>
      <c r="AP1130" s="816" t="str">
        <f t="shared" si="922"/>
        <v>-</v>
      </c>
      <c r="AQ1130" s="817"/>
      <c r="AR1130" s="794" t="str">
        <f t="shared" si="923"/>
        <v>-</v>
      </c>
      <c r="AS1130" s="818"/>
      <c r="AT1130" s="794" t="str">
        <f t="shared" si="924"/>
        <v>-</v>
      </c>
      <c r="AU1130" s="819"/>
      <c r="AV1130" s="865"/>
      <c r="AW1130" s="821"/>
      <c r="AX1130" s="821"/>
      <c r="AY1130" s="969" t="str">
        <f t="shared" si="925"/>
        <v>-</v>
      </c>
      <c r="AZ1130" s="966" t="str">
        <f t="shared" si="926"/>
        <v>-</v>
      </c>
      <c r="BA1130" s="971" t="str">
        <f t="shared" si="927"/>
        <v>-</v>
      </c>
      <c r="BB1130" s="975"/>
      <c r="BC1130" s="821"/>
      <c r="BD1130" s="821"/>
      <c r="BE1130" s="963" t="str">
        <f t="shared" si="928"/>
        <v>-</v>
      </c>
      <c r="BF1130" s="984"/>
      <c r="BG1130" s="988"/>
      <c r="BH1130" s="982"/>
      <c r="BI1130" s="991"/>
      <c r="BJ1130" s="991"/>
      <c r="BK1130" s="993" t="str">
        <f t="shared" si="929"/>
        <v>-</v>
      </c>
      <c r="BL1130" s="865"/>
      <c r="BM1130" s="821"/>
      <c r="BN1130" s="822" t="str">
        <f t="shared" si="930"/>
        <v>-</v>
      </c>
      <c r="BO1130" s="823" t="str">
        <f t="shared" si="931"/>
        <v>-</v>
      </c>
      <c r="BP1130" s="868"/>
      <c r="BQ1130" s="821"/>
      <c r="BR1130" s="822" t="str">
        <f t="shared" si="932"/>
        <v>-</v>
      </c>
      <c r="BS1130" s="823" t="str">
        <f t="shared" si="933"/>
        <v>-</v>
      </c>
      <c r="BT1130" s="825" t="str">
        <f t="shared" si="934"/>
        <v>-</v>
      </c>
      <c r="BU1130" s="826"/>
      <c r="BV1130" s="827"/>
      <c r="BW1130" s="828" t="str">
        <f t="shared" si="935"/>
        <v>Ж-Е НЕ ВАКЦ.</v>
      </c>
      <c r="BX1130" s="829" t="str">
        <f t="shared" si="936"/>
        <v>-</v>
      </c>
      <c r="BY1130" s="830" t="str">
        <f t="shared" si="937"/>
        <v>-</v>
      </c>
      <c r="BZ1130" s="839"/>
      <c r="CA1130" s="832"/>
      <c r="CB1130" s="833" t="str">
        <f t="shared" si="938"/>
        <v>-</v>
      </c>
      <c r="CC1130" s="834" t="str">
        <f t="shared" si="939"/>
        <v>-</v>
      </c>
      <c r="CD1130" s="835" t="str">
        <f t="shared" si="940"/>
        <v>-</v>
      </c>
      <c r="CE1130" s="839"/>
      <c r="CF1130" s="832"/>
      <c r="CG1130" s="833" t="str">
        <f t="shared" si="941"/>
        <v>-</v>
      </c>
      <c r="CH1130" s="836" t="str">
        <f t="shared" si="942"/>
        <v>-</v>
      </c>
      <c r="CI1130" s="837" t="str">
        <f t="shared" si="943"/>
        <v>-</v>
      </c>
      <c r="CJ1130" s="838" t="str">
        <f t="shared" si="944"/>
        <v>-</v>
      </c>
      <c r="CK1130" s="831"/>
      <c r="CL1130" s="832"/>
      <c r="CM1130" s="833" t="str">
        <f t="shared" si="945"/>
        <v>-</v>
      </c>
      <c r="CN1130" s="834" t="str">
        <f t="shared" si="946"/>
        <v>-</v>
      </c>
      <c r="CO1130" s="830" t="str">
        <f t="shared" si="947"/>
        <v>-</v>
      </c>
      <c r="CP1130" s="839"/>
      <c r="CQ1130" s="832"/>
      <c r="CR1130" s="833" t="str">
        <f t="shared" si="948"/>
        <v>-</v>
      </c>
      <c r="CS1130" s="833" t="str">
        <f t="shared" si="949"/>
        <v>-</v>
      </c>
      <c r="CT1130" s="834" t="str">
        <f t="shared" si="950"/>
        <v>-</v>
      </c>
      <c r="CU1130" s="835" t="str">
        <f t="shared" si="951"/>
        <v>-</v>
      </c>
      <c r="CV1130" s="839"/>
      <c r="CW1130" s="832"/>
      <c r="CX1130" s="833" t="str">
        <f t="shared" si="952"/>
        <v>-</v>
      </c>
      <c r="CY1130" s="840" t="str">
        <f t="shared" si="953"/>
        <v>-</v>
      </c>
      <c r="CZ1130" s="833" t="str">
        <f t="shared" si="954"/>
        <v>-</v>
      </c>
      <c r="DA1130" s="838" t="str">
        <f t="shared" si="955"/>
        <v>-</v>
      </c>
      <c r="DB1130" s="841"/>
      <c r="DC1130" s="832"/>
    </row>
    <row r="1131" spans="1:107" x14ac:dyDescent="0.25">
      <c r="A1131" s="790"/>
      <c r="B1131" s="791"/>
      <c r="C1131" s="792"/>
      <c r="D1131" s="793"/>
      <c r="E1131" s="794"/>
      <c r="F1131" s="795"/>
      <c r="G1131" s="871"/>
      <c r="H1131" s="797"/>
      <c r="I1131" s="798"/>
      <c r="J1131" s="799">
        <f t="shared" si="905"/>
        <v>0</v>
      </c>
      <c r="K1131" s="799">
        <f t="shared" si="906"/>
        <v>0</v>
      </c>
      <c r="L1131" s="800">
        <f t="shared" si="907"/>
        <v>0</v>
      </c>
      <c r="M1131" s="801"/>
      <c r="N1131" s="802"/>
      <c r="O1131" s="803" t="str">
        <f t="shared" si="908"/>
        <v>-</v>
      </c>
      <c r="P1131" s="804"/>
      <c r="Q1131" s="805"/>
      <c r="R1131" s="806"/>
      <c r="S1131" s="807"/>
      <c r="T1131" s="798"/>
      <c r="U1131" s="798" t="str">
        <f t="shared" si="909"/>
        <v>-</v>
      </c>
      <c r="V1131" s="804" t="str">
        <f t="shared" si="910"/>
        <v>-</v>
      </c>
      <c r="W1131" s="808"/>
      <c r="X1131" s="794" t="str">
        <f t="shared" si="903"/>
        <v>-</v>
      </c>
      <c r="Y1131" s="794"/>
      <c r="Z1131" s="809" t="str">
        <f t="shared" si="911"/>
        <v>-----</v>
      </c>
      <c r="AA1131" s="810">
        <f t="shared" si="912"/>
        <v>0</v>
      </c>
      <c r="AB1131" s="804"/>
      <c r="AC1131" s="811" t="str">
        <f t="shared" si="913"/>
        <v>-----</v>
      </c>
      <c r="AD1131" s="798"/>
      <c r="AE1131" s="794" t="str">
        <f t="shared" si="914"/>
        <v>-</v>
      </c>
      <c r="AF1131" s="798" t="str">
        <f t="shared" si="915"/>
        <v>-</v>
      </c>
      <c r="AG1131" s="812" t="str">
        <f t="shared" si="916"/>
        <v>---------</v>
      </c>
      <c r="AH1131" s="807"/>
      <c r="AI1131" s="807" t="str">
        <f t="shared" si="917"/>
        <v>-</v>
      </c>
      <c r="AJ1131" s="807" t="str">
        <f t="shared" si="918"/>
        <v>-</v>
      </c>
      <c r="AK1131" s="813"/>
      <c r="AL1131" s="807" t="str">
        <f t="shared" si="919"/>
        <v>-</v>
      </c>
      <c r="AM1131" s="807" t="str">
        <f t="shared" si="920"/>
        <v>-</v>
      </c>
      <c r="AN1131" s="814" t="str">
        <f t="shared" si="921"/>
        <v>-</v>
      </c>
      <c r="AO1131" s="815"/>
      <c r="AP1131" s="816" t="str">
        <f t="shared" si="922"/>
        <v>-</v>
      </c>
      <c r="AQ1131" s="817"/>
      <c r="AR1131" s="794" t="str">
        <f t="shared" si="923"/>
        <v>-</v>
      </c>
      <c r="AS1131" s="818"/>
      <c r="AT1131" s="794" t="str">
        <f t="shared" si="924"/>
        <v>-</v>
      </c>
      <c r="AU1131" s="819"/>
      <c r="AV1131" s="865"/>
      <c r="AW1131" s="821"/>
      <c r="AX1131" s="821"/>
      <c r="AY1131" s="969" t="str">
        <f t="shared" si="925"/>
        <v>-</v>
      </c>
      <c r="AZ1131" s="966" t="str">
        <f t="shared" si="926"/>
        <v>-</v>
      </c>
      <c r="BA1131" s="971" t="str">
        <f t="shared" si="927"/>
        <v>-</v>
      </c>
      <c r="BB1131" s="975"/>
      <c r="BC1131" s="821"/>
      <c r="BD1131" s="821"/>
      <c r="BE1131" s="963" t="str">
        <f t="shared" si="928"/>
        <v>-</v>
      </c>
      <c r="BF1131" s="984"/>
      <c r="BG1131" s="988"/>
      <c r="BH1131" s="982"/>
      <c r="BI1131" s="991"/>
      <c r="BJ1131" s="991"/>
      <c r="BK1131" s="993" t="str">
        <f t="shared" si="929"/>
        <v>-</v>
      </c>
      <c r="BL1131" s="865"/>
      <c r="BM1131" s="821"/>
      <c r="BN1131" s="822" t="str">
        <f t="shared" si="930"/>
        <v>-</v>
      </c>
      <c r="BO1131" s="823" t="str">
        <f t="shared" si="931"/>
        <v>-</v>
      </c>
      <c r="BP1131" s="868"/>
      <c r="BQ1131" s="821"/>
      <c r="BR1131" s="822" t="str">
        <f t="shared" si="932"/>
        <v>-</v>
      </c>
      <c r="BS1131" s="823" t="str">
        <f t="shared" si="933"/>
        <v>-</v>
      </c>
      <c r="BT1131" s="825" t="str">
        <f t="shared" si="934"/>
        <v>-</v>
      </c>
      <c r="BU1131" s="826"/>
      <c r="BV1131" s="827"/>
      <c r="BW1131" s="828" t="str">
        <f t="shared" si="935"/>
        <v>Ж-Е НЕ ВАКЦ.</v>
      </c>
      <c r="BX1131" s="829" t="str">
        <f t="shared" si="936"/>
        <v>-</v>
      </c>
      <c r="BY1131" s="830" t="str">
        <f t="shared" si="937"/>
        <v>-</v>
      </c>
      <c r="BZ1131" s="839"/>
      <c r="CA1131" s="832"/>
      <c r="CB1131" s="833" t="str">
        <f t="shared" si="938"/>
        <v>-</v>
      </c>
      <c r="CC1131" s="834" t="str">
        <f t="shared" si="939"/>
        <v>-</v>
      </c>
      <c r="CD1131" s="835" t="str">
        <f t="shared" si="940"/>
        <v>-</v>
      </c>
      <c r="CE1131" s="839"/>
      <c r="CF1131" s="832"/>
      <c r="CG1131" s="833" t="str">
        <f t="shared" si="941"/>
        <v>-</v>
      </c>
      <c r="CH1131" s="836" t="str">
        <f t="shared" si="942"/>
        <v>-</v>
      </c>
      <c r="CI1131" s="837" t="str">
        <f t="shared" si="943"/>
        <v>-</v>
      </c>
      <c r="CJ1131" s="838" t="str">
        <f t="shared" si="944"/>
        <v>-</v>
      </c>
      <c r="CK1131" s="831"/>
      <c r="CL1131" s="832"/>
      <c r="CM1131" s="833" t="str">
        <f t="shared" si="945"/>
        <v>-</v>
      </c>
      <c r="CN1131" s="834" t="str">
        <f t="shared" si="946"/>
        <v>-</v>
      </c>
      <c r="CO1131" s="830" t="str">
        <f t="shared" si="947"/>
        <v>-</v>
      </c>
      <c r="CP1131" s="839"/>
      <c r="CQ1131" s="832"/>
      <c r="CR1131" s="833" t="str">
        <f t="shared" si="948"/>
        <v>-</v>
      </c>
      <c r="CS1131" s="833" t="str">
        <f t="shared" si="949"/>
        <v>-</v>
      </c>
      <c r="CT1131" s="834" t="str">
        <f t="shared" si="950"/>
        <v>-</v>
      </c>
      <c r="CU1131" s="835" t="str">
        <f t="shared" si="951"/>
        <v>-</v>
      </c>
      <c r="CV1131" s="839"/>
      <c r="CW1131" s="832"/>
      <c r="CX1131" s="833" t="str">
        <f t="shared" si="952"/>
        <v>-</v>
      </c>
      <c r="CY1131" s="840" t="str">
        <f t="shared" si="953"/>
        <v>-</v>
      </c>
      <c r="CZ1131" s="833" t="str">
        <f t="shared" si="954"/>
        <v>-</v>
      </c>
      <c r="DA1131" s="838" t="str">
        <f t="shared" si="955"/>
        <v>-</v>
      </c>
      <c r="DB1131" s="841"/>
      <c r="DC1131" s="832"/>
    </row>
    <row r="1132" spans="1:107" x14ac:dyDescent="0.25">
      <c r="A1132" s="790"/>
      <c r="B1132" s="791"/>
      <c r="C1132" s="792"/>
      <c r="D1132" s="793"/>
      <c r="E1132" s="794"/>
      <c r="F1132" s="795"/>
      <c r="G1132" s="871"/>
      <c r="H1132" s="797"/>
      <c r="I1132" s="798"/>
      <c r="J1132" s="799">
        <f t="shared" si="905"/>
        <v>0</v>
      </c>
      <c r="K1132" s="799">
        <f t="shared" si="906"/>
        <v>0</v>
      </c>
      <c r="L1132" s="800">
        <f t="shared" si="907"/>
        <v>0</v>
      </c>
      <c r="M1132" s="801"/>
      <c r="N1132" s="802"/>
      <c r="O1132" s="803" t="str">
        <f t="shared" si="908"/>
        <v>-</v>
      </c>
      <c r="P1132" s="804"/>
      <c r="Q1132" s="805"/>
      <c r="R1132" s="806"/>
      <c r="S1132" s="807"/>
      <c r="T1132" s="798"/>
      <c r="U1132" s="798" t="str">
        <f t="shared" si="909"/>
        <v>-</v>
      </c>
      <c r="V1132" s="804" t="str">
        <f t="shared" si="910"/>
        <v>-</v>
      </c>
      <c r="W1132" s="808"/>
      <c r="X1132" s="794" t="str">
        <f t="shared" si="903"/>
        <v>-</v>
      </c>
      <c r="Y1132" s="794"/>
      <c r="Z1132" s="809" t="str">
        <f t="shared" si="911"/>
        <v>-----</v>
      </c>
      <c r="AA1132" s="810">
        <f t="shared" si="912"/>
        <v>0</v>
      </c>
      <c r="AB1132" s="804"/>
      <c r="AC1132" s="811" t="str">
        <f t="shared" si="913"/>
        <v>-----</v>
      </c>
      <c r="AD1132" s="798"/>
      <c r="AE1132" s="794" t="str">
        <f t="shared" si="914"/>
        <v>-</v>
      </c>
      <c r="AF1132" s="798" t="str">
        <f t="shared" si="915"/>
        <v>-</v>
      </c>
      <c r="AG1132" s="812" t="str">
        <f t="shared" si="916"/>
        <v>---------</v>
      </c>
      <c r="AH1132" s="807"/>
      <c r="AI1132" s="807" t="str">
        <f t="shared" si="917"/>
        <v>-</v>
      </c>
      <c r="AJ1132" s="807" t="str">
        <f t="shared" si="918"/>
        <v>-</v>
      </c>
      <c r="AK1132" s="813"/>
      <c r="AL1132" s="807" t="str">
        <f t="shared" si="919"/>
        <v>-</v>
      </c>
      <c r="AM1132" s="807" t="str">
        <f t="shared" si="920"/>
        <v>-</v>
      </c>
      <c r="AN1132" s="814" t="str">
        <f t="shared" si="921"/>
        <v>-</v>
      </c>
      <c r="AO1132" s="815"/>
      <c r="AP1132" s="816" t="str">
        <f t="shared" si="922"/>
        <v>-</v>
      </c>
      <c r="AQ1132" s="817"/>
      <c r="AR1132" s="794" t="str">
        <f t="shared" si="923"/>
        <v>-</v>
      </c>
      <c r="AS1132" s="818"/>
      <c r="AT1132" s="794" t="str">
        <f t="shared" si="924"/>
        <v>-</v>
      </c>
      <c r="AU1132" s="819"/>
      <c r="AV1132" s="865"/>
      <c r="AW1132" s="821"/>
      <c r="AX1132" s="821"/>
      <c r="AY1132" s="969" t="str">
        <f t="shared" si="925"/>
        <v>-</v>
      </c>
      <c r="AZ1132" s="966" t="str">
        <f t="shared" si="926"/>
        <v>-</v>
      </c>
      <c r="BA1132" s="971" t="str">
        <f t="shared" si="927"/>
        <v>-</v>
      </c>
      <c r="BB1132" s="975"/>
      <c r="BC1132" s="821"/>
      <c r="BD1132" s="821"/>
      <c r="BE1132" s="963" t="str">
        <f t="shared" si="928"/>
        <v>-</v>
      </c>
      <c r="BF1132" s="984"/>
      <c r="BG1132" s="988"/>
      <c r="BH1132" s="982"/>
      <c r="BI1132" s="991"/>
      <c r="BJ1132" s="991"/>
      <c r="BK1132" s="993" t="str">
        <f t="shared" si="929"/>
        <v>-</v>
      </c>
      <c r="BL1132" s="865"/>
      <c r="BM1132" s="821"/>
      <c r="BN1132" s="822" t="str">
        <f t="shared" si="930"/>
        <v>-</v>
      </c>
      <c r="BO1132" s="823" t="str">
        <f t="shared" si="931"/>
        <v>-</v>
      </c>
      <c r="BP1132" s="868"/>
      <c r="BQ1132" s="821"/>
      <c r="BR1132" s="822" t="str">
        <f t="shared" si="932"/>
        <v>-</v>
      </c>
      <c r="BS1132" s="823" t="str">
        <f t="shared" si="933"/>
        <v>-</v>
      </c>
      <c r="BT1132" s="825" t="str">
        <f t="shared" si="934"/>
        <v>-</v>
      </c>
      <c r="BU1132" s="826"/>
      <c r="BV1132" s="827"/>
      <c r="BW1132" s="828" t="str">
        <f t="shared" si="935"/>
        <v>Ж-Е НЕ ВАКЦ.</v>
      </c>
      <c r="BX1132" s="829" t="str">
        <f t="shared" si="936"/>
        <v>-</v>
      </c>
      <c r="BY1132" s="830" t="str">
        <f t="shared" si="937"/>
        <v>-</v>
      </c>
      <c r="BZ1132" s="839"/>
      <c r="CA1132" s="832"/>
      <c r="CB1132" s="833" t="str">
        <f t="shared" si="938"/>
        <v>-</v>
      </c>
      <c r="CC1132" s="834" t="str">
        <f t="shared" si="939"/>
        <v>-</v>
      </c>
      <c r="CD1132" s="835" t="str">
        <f t="shared" si="940"/>
        <v>-</v>
      </c>
      <c r="CE1132" s="839"/>
      <c r="CF1132" s="832"/>
      <c r="CG1132" s="833" t="str">
        <f t="shared" si="941"/>
        <v>-</v>
      </c>
      <c r="CH1132" s="836" t="str">
        <f t="shared" si="942"/>
        <v>-</v>
      </c>
      <c r="CI1132" s="837" t="str">
        <f t="shared" si="943"/>
        <v>-</v>
      </c>
      <c r="CJ1132" s="838" t="str">
        <f t="shared" si="944"/>
        <v>-</v>
      </c>
      <c r="CK1132" s="831"/>
      <c r="CL1132" s="832"/>
      <c r="CM1132" s="833" t="str">
        <f t="shared" si="945"/>
        <v>-</v>
      </c>
      <c r="CN1132" s="834" t="str">
        <f t="shared" si="946"/>
        <v>-</v>
      </c>
      <c r="CO1132" s="830" t="str">
        <f t="shared" si="947"/>
        <v>-</v>
      </c>
      <c r="CP1132" s="839"/>
      <c r="CQ1132" s="832"/>
      <c r="CR1132" s="833" t="str">
        <f t="shared" si="948"/>
        <v>-</v>
      </c>
      <c r="CS1132" s="833" t="str">
        <f t="shared" si="949"/>
        <v>-</v>
      </c>
      <c r="CT1132" s="834" t="str">
        <f t="shared" si="950"/>
        <v>-</v>
      </c>
      <c r="CU1132" s="835" t="str">
        <f t="shared" si="951"/>
        <v>-</v>
      </c>
      <c r="CV1132" s="839"/>
      <c r="CW1132" s="832"/>
      <c r="CX1132" s="833" t="str">
        <f t="shared" si="952"/>
        <v>-</v>
      </c>
      <c r="CY1132" s="840" t="str">
        <f t="shared" si="953"/>
        <v>-</v>
      </c>
      <c r="CZ1132" s="833" t="str">
        <f t="shared" si="954"/>
        <v>-</v>
      </c>
      <c r="DA1132" s="838" t="str">
        <f t="shared" si="955"/>
        <v>-</v>
      </c>
      <c r="DB1132" s="841"/>
      <c r="DC1132" s="832"/>
    </row>
    <row r="1133" spans="1:107" x14ac:dyDescent="0.25">
      <c r="A1133" s="790"/>
      <c r="B1133" s="791"/>
      <c r="C1133" s="792"/>
      <c r="D1133" s="793"/>
      <c r="E1133" s="794"/>
      <c r="F1133" s="795"/>
      <c r="G1133" s="871"/>
      <c r="H1133" s="797"/>
      <c r="I1133" s="798"/>
      <c r="J1133" s="799">
        <f t="shared" si="905"/>
        <v>0</v>
      </c>
      <c r="K1133" s="799">
        <f t="shared" si="906"/>
        <v>0</v>
      </c>
      <c r="L1133" s="800">
        <f t="shared" si="907"/>
        <v>0</v>
      </c>
      <c r="M1133" s="801"/>
      <c r="N1133" s="802"/>
      <c r="O1133" s="803" t="str">
        <f t="shared" si="908"/>
        <v>-</v>
      </c>
      <c r="P1133" s="804"/>
      <c r="Q1133" s="805"/>
      <c r="R1133" s="806"/>
      <c r="S1133" s="807"/>
      <c r="T1133" s="798"/>
      <c r="U1133" s="798" t="str">
        <f t="shared" si="909"/>
        <v>-</v>
      </c>
      <c r="V1133" s="804" t="str">
        <f t="shared" si="910"/>
        <v>-</v>
      </c>
      <c r="W1133" s="808"/>
      <c r="X1133" s="794" t="str">
        <f t="shared" si="903"/>
        <v>-</v>
      </c>
      <c r="Y1133" s="794"/>
      <c r="Z1133" s="809" t="str">
        <f t="shared" si="911"/>
        <v>-----</v>
      </c>
      <c r="AA1133" s="810">
        <f t="shared" si="912"/>
        <v>0</v>
      </c>
      <c r="AB1133" s="804"/>
      <c r="AC1133" s="811" t="str">
        <f t="shared" si="913"/>
        <v>-----</v>
      </c>
      <c r="AD1133" s="798"/>
      <c r="AE1133" s="794" t="str">
        <f t="shared" si="914"/>
        <v>-</v>
      </c>
      <c r="AF1133" s="798" t="str">
        <f t="shared" si="915"/>
        <v>-</v>
      </c>
      <c r="AG1133" s="812" t="str">
        <f t="shared" si="916"/>
        <v>---------</v>
      </c>
      <c r="AH1133" s="807"/>
      <c r="AI1133" s="807" t="str">
        <f t="shared" si="917"/>
        <v>-</v>
      </c>
      <c r="AJ1133" s="807" t="str">
        <f t="shared" si="918"/>
        <v>-</v>
      </c>
      <c r="AK1133" s="813"/>
      <c r="AL1133" s="807" t="str">
        <f t="shared" si="919"/>
        <v>-</v>
      </c>
      <c r="AM1133" s="807" t="str">
        <f t="shared" si="920"/>
        <v>-</v>
      </c>
      <c r="AN1133" s="814" t="str">
        <f t="shared" si="921"/>
        <v>-</v>
      </c>
      <c r="AO1133" s="815"/>
      <c r="AP1133" s="816" t="str">
        <f t="shared" si="922"/>
        <v>-</v>
      </c>
      <c r="AQ1133" s="817"/>
      <c r="AR1133" s="794" t="str">
        <f t="shared" si="923"/>
        <v>-</v>
      </c>
      <c r="AS1133" s="818"/>
      <c r="AT1133" s="794" t="str">
        <f t="shared" si="924"/>
        <v>-</v>
      </c>
      <c r="AU1133" s="819"/>
      <c r="AV1133" s="865"/>
      <c r="AW1133" s="821"/>
      <c r="AX1133" s="821"/>
      <c r="AY1133" s="969" t="str">
        <f t="shared" si="925"/>
        <v>-</v>
      </c>
      <c r="AZ1133" s="966" t="str">
        <f t="shared" si="926"/>
        <v>-</v>
      </c>
      <c r="BA1133" s="971" t="str">
        <f t="shared" si="927"/>
        <v>-</v>
      </c>
      <c r="BB1133" s="975"/>
      <c r="BC1133" s="821"/>
      <c r="BD1133" s="821"/>
      <c r="BE1133" s="963" t="str">
        <f t="shared" si="928"/>
        <v>-</v>
      </c>
      <c r="BF1133" s="984"/>
      <c r="BG1133" s="988"/>
      <c r="BH1133" s="982"/>
      <c r="BI1133" s="991"/>
      <c r="BJ1133" s="991"/>
      <c r="BK1133" s="993" t="str">
        <f t="shared" si="929"/>
        <v>-</v>
      </c>
      <c r="BL1133" s="865"/>
      <c r="BM1133" s="821"/>
      <c r="BN1133" s="822" t="str">
        <f t="shared" si="930"/>
        <v>-</v>
      </c>
      <c r="BO1133" s="823" t="str">
        <f t="shared" si="931"/>
        <v>-</v>
      </c>
      <c r="BP1133" s="868"/>
      <c r="BQ1133" s="821"/>
      <c r="BR1133" s="822" t="str">
        <f t="shared" si="932"/>
        <v>-</v>
      </c>
      <c r="BS1133" s="823" t="str">
        <f t="shared" si="933"/>
        <v>-</v>
      </c>
      <c r="BT1133" s="825" t="str">
        <f t="shared" si="934"/>
        <v>-</v>
      </c>
      <c r="BU1133" s="826"/>
      <c r="BV1133" s="827"/>
      <c r="BW1133" s="828" t="str">
        <f t="shared" si="935"/>
        <v>Ж-Е НЕ ВАКЦ.</v>
      </c>
      <c r="BX1133" s="829" t="str">
        <f t="shared" si="936"/>
        <v>-</v>
      </c>
      <c r="BY1133" s="830" t="str">
        <f t="shared" si="937"/>
        <v>-</v>
      </c>
      <c r="BZ1133" s="839"/>
      <c r="CA1133" s="832"/>
      <c r="CB1133" s="833" t="str">
        <f t="shared" si="938"/>
        <v>-</v>
      </c>
      <c r="CC1133" s="834" t="str">
        <f t="shared" si="939"/>
        <v>-</v>
      </c>
      <c r="CD1133" s="835" t="str">
        <f t="shared" si="940"/>
        <v>-</v>
      </c>
      <c r="CE1133" s="839"/>
      <c r="CF1133" s="832"/>
      <c r="CG1133" s="833" t="str">
        <f t="shared" si="941"/>
        <v>-</v>
      </c>
      <c r="CH1133" s="836" t="str">
        <f t="shared" si="942"/>
        <v>-</v>
      </c>
      <c r="CI1133" s="837" t="str">
        <f t="shared" si="943"/>
        <v>-</v>
      </c>
      <c r="CJ1133" s="838" t="str">
        <f t="shared" si="944"/>
        <v>-</v>
      </c>
      <c r="CK1133" s="831"/>
      <c r="CL1133" s="832"/>
      <c r="CM1133" s="833" t="str">
        <f t="shared" si="945"/>
        <v>-</v>
      </c>
      <c r="CN1133" s="834" t="str">
        <f t="shared" si="946"/>
        <v>-</v>
      </c>
      <c r="CO1133" s="830" t="str">
        <f t="shared" si="947"/>
        <v>-</v>
      </c>
      <c r="CP1133" s="839"/>
      <c r="CQ1133" s="832"/>
      <c r="CR1133" s="833" t="str">
        <f t="shared" si="948"/>
        <v>-</v>
      </c>
      <c r="CS1133" s="833" t="str">
        <f t="shared" si="949"/>
        <v>-</v>
      </c>
      <c r="CT1133" s="834" t="str">
        <f t="shared" si="950"/>
        <v>-</v>
      </c>
      <c r="CU1133" s="835" t="str">
        <f t="shared" si="951"/>
        <v>-</v>
      </c>
      <c r="CV1133" s="839"/>
      <c r="CW1133" s="832"/>
      <c r="CX1133" s="833" t="str">
        <f t="shared" si="952"/>
        <v>-</v>
      </c>
      <c r="CY1133" s="840" t="str">
        <f t="shared" si="953"/>
        <v>-</v>
      </c>
      <c r="CZ1133" s="833" t="str">
        <f t="shared" si="954"/>
        <v>-</v>
      </c>
      <c r="DA1133" s="838" t="str">
        <f t="shared" si="955"/>
        <v>-</v>
      </c>
      <c r="DB1133" s="841"/>
      <c r="DC1133" s="832"/>
    </row>
    <row r="1134" spans="1:107" x14ac:dyDescent="0.25">
      <c r="A1134" s="790"/>
      <c r="B1134" s="791"/>
      <c r="C1134" s="792"/>
      <c r="D1134" s="793"/>
      <c r="E1134" s="794"/>
      <c r="F1134" s="795"/>
      <c r="G1134" s="871"/>
      <c r="H1134" s="797"/>
      <c r="I1134" s="798"/>
      <c r="J1134" s="799">
        <f t="shared" si="905"/>
        <v>0</v>
      </c>
      <c r="K1134" s="799">
        <f t="shared" si="906"/>
        <v>0</v>
      </c>
      <c r="L1134" s="800">
        <f t="shared" si="907"/>
        <v>0</v>
      </c>
      <c r="M1134" s="801"/>
      <c r="N1134" s="802"/>
      <c r="O1134" s="803" t="str">
        <f t="shared" si="908"/>
        <v>-</v>
      </c>
      <c r="P1134" s="804"/>
      <c r="Q1134" s="805"/>
      <c r="R1134" s="806"/>
      <c r="S1134" s="807"/>
      <c r="T1134" s="798"/>
      <c r="U1134" s="798" t="str">
        <f t="shared" si="909"/>
        <v>-</v>
      </c>
      <c r="V1134" s="804" t="str">
        <f t="shared" si="910"/>
        <v>-</v>
      </c>
      <c r="W1134" s="808"/>
      <c r="X1134" s="794" t="str">
        <f t="shared" si="903"/>
        <v>-</v>
      </c>
      <c r="Y1134" s="794"/>
      <c r="Z1134" s="809" t="str">
        <f t="shared" si="911"/>
        <v>-----</v>
      </c>
      <c r="AA1134" s="810">
        <f t="shared" si="912"/>
        <v>0</v>
      </c>
      <c r="AB1134" s="804"/>
      <c r="AC1134" s="811" t="str">
        <f t="shared" si="913"/>
        <v>-----</v>
      </c>
      <c r="AD1134" s="798"/>
      <c r="AE1134" s="794" t="str">
        <f t="shared" si="914"/>
        <v>-</v>
      </c>
      <c r="AF1134" s="798" t="str">
        <f t="shared" si="915"/>
        <v>-</v>
      </c>
      <c r="AG1134" s="812" t="str">
        <f t="shared" si="916"/>
        <v>---------</v>
      </c>
      <c r="AH1134" s="807"/>
      <c r="AI1134" s="807" t="str">
        <f t="shared" si="917"/>
        <v>-</v>
      </c>
      <c r="AJ1134" s="807" t="str">
        <f t="shared" si="918"/>
        <v>-</v>
      </c>
      <c r="AK1134" s="813"/>
      <c r="AL1134" s="807" t="str">
        <f t="shared" si="919"/>
        <v>-</v>
      </c>
      <c r="AM1134" s="807" t="str">
        <f t="shared" si="920"/>
        <v>-</v>
      </c>
      <c r="AN1134" s="814" t="str">
        <f t="shared" si="921"/>
        <v>-</v>
      </c>
      <c r="AO1134" s="815"/>
      <c r="AP1134" s="816" t="str">
        <f t="shared" si="922"/>
        <v>-</v>
      </c>
      <c r="AQ1134" s="817"/>
      <c r="AR1134" s="794" t="str">
        <f t="shared" si="923"/>
        <v>-</v>
      </c>
      <c r="AS1134" s="818"/>
      <c r="AT1134" s="794" t="str">
        <f t="shared" si="924"/>
        <v>-</v>
      </c>
      <c r="AU1134" s="819"/>
      <c r="AV1134" s="865"/>
      <c r="AW1134" s="821"/>
      <c r="AX1134" s="821"/>
      <c r="AY1134" s="969" t="str">
        <f t="shared" si="925"/>
        <v>-</v>
      </c>
      <c r="AZ1134" s="966" t="str">
        <f t="shared" si="926"/>
        <v>-</v>
      </c>
      <c r="BA1134" s="971" t="str">
        <f t="shared" si="927"/>
        <v>-</v>
      </c>
      <c r="BB1134" s="975"/>
      <c r="BC1134" s="821"/>
      <c r="BD1134" s="821"/>
      <c r="BE1134" s="963" t="str">
        <f t="shared" si="928"/>
        <v>-</v>
      </c>
      <c r="BF1134" s="984"/>
      <c r="BG1134" s="988"/>
      <c r="BH1134" s="982"/>
      <c r="BI1134" s="991"/>
      <c r="BJ1134" s="991"/>
      <c r="BK1134" s="993" t="str">
        <f t="shared" si="929"/>
        <v>-</v>
      </c>
      <c r="BL1134" s="865"/>
      <c r="BM1134" s="821"/>
      <c r="BN1134" s="822" t="str">
        <f t="shared" si="930"/>
        <v>-</v>
      </c>
      <c r="BO1134" s="823" t="str">
        <f t="shared" si="931"/>
        <v>-</v>
      </c>
      <c r="BP1134" s="868"/>
      <c r="BQ1134" s="821"/>
      <c r="BR1134" s="822" t="str">
        <f t="shared" si="932"/>
        <v>-</v>
      </c>
      <c r="BS1134" s="823" t="str">
        <f t="shared" si="933"/>
        <v>-</v>
      </c>
      <c r="BT1134" s="825" t="str">
        <f t="shared" si="934"/>
        <v>-</v>
      </c>
      <c r="BU1134" s="826"/>
      <c r="BV1134" s="827"/>
      <c r="BW1134" s="828" t="str">
        <f t="shared" si="935"/>
        <v>Ж-Е НЕ ВАКЦ.</v>
      </c>
      <c r="BX1134" s="829" t="str">
        <f t="shared" si="936"/>
        <v>-</v>
      </c>
      <c r="BY1134" s="830" t="str">
        <f t="shared" si="937"/>
        <v>-</v>
      </c>
      <c r="BZ1134" s="839"/>
      <c r="CA1134" s="832"/>
      <c r="CB1134" s="833" t="str">
        <f t="shared" si="938"/>
        <v>-</v>
      </c>
      <c r="CC1134" s="834" t="str">
        <f t="shared" si="939"/>
        <v>-</v>
      </c>
      <c r="CD1134" s="835" t="str">
        <f t="shared" si="940"/>
        <v>-</v>
      </c>
      <c r="CE1134" s="839"/>
      <c r="CF1134" s="832"/>
      <c r="CG1134" s="833" t="str">
        <f t="shared" si="941"/>
        <v>-</v>
      </c>
      <c r="CH1134" s="836" t="str">
        <f t="shared" si="942"/>
        <v>-</v>
      </c>
      <c r="CI1134" s="837" t="str">
        <f t="shared" si="943"/>
        <v>-</v>
      </c>
      <c r="CJ1134" s="838" t="str">
        <f t="shared" si="944"/>
        <v>-</v>
      </c>
      <c r="CK1134" s="831"/>
      <c r="CL1134" s="832"/>
      <c r="CM1134" s="833" t="str">
        <f t="shared" si="945"/>
        <v>-</v>
      </c>
      <c r="CN1134" s="834" t="str">
        <f t="shared" si="946"/>
        <v>-</v>
      </c>
      <c r="CO1134" s="830" t="str">
        <f t="shared" si="947"/>
        <v>-</v>
      </c>
      <c r="CP1134" s="839"/>
      <c r="CQ1134" s="832"/>
      <c r="CR1134" s="833" t="str">
        <f t="shared" si="948"/>
        <v>-</v>
      </c>
      <c r="CS1134" s="833" t="str">
        <f t="shared" si="949"/>
        <v>-</v>
      </c>
      <c r="CT1134" s="834" t="str">
        <f t="shared" si="950"/>
        <v>-</v>
      </c>
      <c r="CU1134" s="835" t="str">
        <f t="shared" si="951"/>
        <v>-</v>
      </c>
      <c r="CV1134" s="839"/>
      <c r="CW1134" s="832"/>
      <c r="CX1134" s="833" t="str">
        <f t="shared" si="952"/>
        <v>-</v>
      </c>
      <c r="CY1134" s="840" t="str">
        <f t="shared" si="953"/>
        <v>-</v>
      </c>
      <c r="CZ1134" s="833" t="str">
        <f t="shared" si="954"/>
        <v>-</v>
      </c>
      <c r="DA1134" s="838" t="str">
        <f t="shared" si="955"/>
        <v>-</v>
      </c>
      <c r="DB1134" s="841"/>
      <c r="DC1134" s="832"/>
    </row>
    <row r="1135" spans="1:107" x14ac:dyDescent="0.25">
      <c r="A1135" s="790"/>
      <c r="B1135" s="791"/>
      <c r="C1135" s="792"/>
      <c r="D1135" s="793"/>
      <c r="E1135" s="794"/>
      <c r="F1135" s="795"/>
      <c r="G1135" s="871"/>
      <c r="H1135" s="797"/>
      <c r="I1135" s="798"/>
      <c r="J1135" s="799">
        <f t="shared" si="905"/>
        <v>0</v>
      </c>
      <c r="K1135" s="799">
        <f t="shared" si="906"/>
        <v>0</v>
      </c>
      <c r="L1135" s="800">
        <f t="shared" si="907"/>
        <v>0</v>
      </c>
      <c r="M1135" s="801"/>
      <c r="N1135" s="802"/>
      <c r="O1135" s="803" t="str">
        <f t="shared" si="908"/>
        <v>-</v>
      </c>
      <c r="P1135" s="804"/>
      <c r="Q1135" s="805"/>
      <c r="R1135" s="806"/>
      <c r="S1135" s="807"/>
      <c r="T1135" s="798"/>
      <c r="U1135" s="798" t="str">
        <f t="shared" si="909"/>
        <v>-</v>
      </c>
      <c r="V1135" s="804" t="str">
        <f t="shared" si="910"/>
        <v>-</v>
      </c>
      <c r="W1135" s="808"/>
      <c r="X1135" s="794" t="str">
        <f t="shared" si="903"/>
        <v>-</v>
      </c>
      <c r="Y1135" s="794"/>
      <c r="Z1135" s="809" t="str">
        <f t="shared" si="911"/>
        <v>-----</v>
      </c>
      <c r="AA1135" s="810">
        <f t="shared" si="912"/>
        <v>0</v>
      </c>
      <c r="AB1135" s="804"/>
      <c r="AC1135" s="811" t="str">
        <f t="shared" si="913"/>
        <v>-----</v>
      </c>
      <c r="AD1135" s="798"/>
      <c r="AE1135" s="794" t="str">
        <f t="shared" si="914"/>
        <v>-</v>
      </c>
      <c r="AF1135" s="798" t="str">
        <f t="shared" si="915"/>
        <v>-</v>
      </c>
      <c r="AG1135" s="812" t="str">
        <f t="shared" si="916"/>
        <v>---------</v>
      </c>
      <c r="AH1135" s="807"/>
      <c r="AI1135" s="807" t="str">
        <f t="shared" si="917"/>
        <v>-</v>
      </c>
      <c r="AJ1135" s="807" t="str">
        <f t="shared" si="918"/>
        <v>-</v>
      </c>
      <c r="AK1135" s="813"/>
      <c r="AL1135" s="807" t="str">
        <f t="shared" si="919"/>
        <v>-</v>
      </c>
      <c r="AM1135" s="807" t="str">
        <f t="shared" si="920"/>
        <v>-</v>
      </c>
      <c r="AN1135" s="814" t="str">
        <f t="shared" si="921"/>
        <v>-</v>
      </c>
      <c r="AO1135" s="815"/>
      <c r="AP1135" s="816" t="str">
        <f t="shared" si="922"/>
        <v>-</v>
      </c>
      <c r="AQ1135" s="817"/>
      <c r="AR1135" s="794" t="str">
        <f t="shared" si="923"/>
        <v>-</v>
      </c>
      <c r="AS1135" s="818"/>
      <c r="AT1135" s="794" t="str">
        <f t="shared" si="924"/>
        <v>-</v>
      </c>
      <c r="AU1135" s="819"/>
      <c r="AV1135" s="865"/>
      <c r="AW1135" s="821"/>
      <c r="AX1135" s="821"/>
      <c r="AY1135" s="969" t="str">
        <f t="shared" si="925"/>
        <v>-</v>
      </c>
      <c r="AZ1135" s="966" t="str">
        <f t="shared" si="926"/>
        <v>-</v>
      </c>
      <c r="BA1135" s="971" t="str">
        <f t="shared" si="927"/>
        <v>-</v>
      </c>
      <c r="BB1135" s="975"/>
      <c r="BC1135" s="821"/>
      <c r="BD1135" s="821"/>
      <c r="BE1135" s="963" t="str">
        <f t="shared" si="928"/>
        <v>-</v>
      </c>
      <c r="BF1135" s="984"/>
      <c r="BG1135" s="988"/>
      <c r="BH1135" s="982"/>
      <c r="BI1135" s="991"/>
      <c r="BJ1135" s="991"/>
      <c r="BK1135" s="993" t="str">
        <f t="shared" si="929"/>
        <v>-</v>
      </c>
      <c r="BL1135" s="865"/>
      <c r="BM1135" s="821"/>
      <c r="BN1135" s="822" t="str">
        <f t="shared" si="930"/>
        <v>-</v>
      </c>
      <c r="BO1135" s="823" t="str">
        <f t="shared" si="931"/>
        <v>-</v>
      </c>
      <c r="BP1135" s="868"/>
      <c r="BQ1135" s="821"/>
      <c r="BR1135" s="822" t="str">
        <f t="shared" si="932"/>
        <v>-</v>
      </c>
      <c r="BS1135" s="823" t="str">
        <f t="shared" si="933"/>
        <v>-</v>
      </c>
      <c r="BT1135" s="825" t="str">
        <f t="shared" si="934"/>
        <v>-</v>
      </c>
      <c r="BU1135" s="826"/>
      <c r="BV1135" s="827"/>
      <c r="BW1135" s="828" t="str">
        <f t="shared" si="935"/>
        <v>Ж-Е НЕ ВАКЦ.</v>
      </c>
      <c r="BX1135" s="829" t="str">
        <f t="shared" si="936"/>
        <v>-</v>
      </c>
      <c r="BY1135" s="830" t="str">
        <f t="shared" si="937"/>
        <v>-</v>
      </c>
      <c r="BZ1135" s="839"/>
      <c r="CA1135" s="832"/>
      <c r="CB1135" s="833" t="str">
        <f t="shared" si="938"/>
        <v>-</v>
      </c>
      <c r="CC1135" s="834" t="str">
        <f t="shared" si="939"/>
        <v>-</v>
      </c>
      <c r="CD1135" s="835" t="str">
        <f t="shared" si="940"/>
        <v>-</v>
      </c>
      <c r="CE1135" s="839"/>
      <c r="CF1135" s="832"/>
      <c r="CG1135" s="833" t="str">
        <f t="shared" si="941"/>
        <v>-</v>
      </c>
      <c r="CH1135" s="836" t="str">
        <f t="shared" si="942"/>
        <v>-</v>
      </c>
      <c r="CI1135" s="837" t="str">
        <f t="shared" si="943"/>
        <v>-</v>
      </c>
      <c r="CJ1135" s="838" t="str">
        <f t="shared" si="944"/>
        <v>-</v>
      </c>
      <c r="CK1135" s="831"/>
      <c r="CL1135" s="832"/>
      <c r="CM1135" s="833" t="str">
        <f t="shared" si="945"/>
        <v>-</v>
      </c>
      <c r="CN1135" s="834" t="str">
        <f t="shared" si="946"/>
        <v>-</v>
      </c>
      <c r="CO1135" s="830" t="str">
        <f t="shared" si="947"/>
        <v>-</v>
      </c>
      <c r="CP1135" s="839"/>
      <c r="CQ1135" s="832"/>
      <c r="CR1135" s="833" t="str">
        <f t="shared" si="948"/>
        <v>-</v>
      </c>
      <c r="CS1135" s="833" t="str">
        <f t="shared" si="949"/>
        <v>-</v>
      </c>
      <c r="CT1135" s="834" t="str">
        <f t="shared" si="950"/>
        <v>-</v>
      </c>
      <c r="CU1135" s="835" t="str">
        <f t="shared" si="951"/>
        <v>-</v>
      </c>
      <c r="CV1135" s="839"/>
      <c r="CW1135" s="832"/>
      <c r="CX1135" s="833" t="str">
        <f t="shared" si="952"/>
        <v>-</v>
      </c>
      <c r="CY1135" s="840" t="str">
        <f t="shared" si="953"/>
        <v>-</v>
      </c>
      <c r="CZ1135" s="833" t="str">
        <f t="shared" si="954"/>
        <v>-</v>
      </c>
      <c r="DA1135" s="838" t="str">
        <f t="shared" si="955"/>
        <v>-</v>
      </c>
      <c r="DB1135" s="841"/>
      <c r="DC1135" s="832"/>
    </row>
  </sheetData>
  <sortState ref="B3:DC1136">
    <sortCondition ref="C3:C1136"/>
    <sortCondition ref="D3:D1136"/>
    <sortCondition ref="F3:F1136"/>
  </sortState>
  <dataConsolidate/>
  <mergeCells count="12">
    <mergeCell ref="AX1:AY1"/>
    <mergeCell ref="BB1:BE1"/>
    <mergeCell ref="BM1:BO1"/>
    <mergeCell ref="DA1:DC1"/>
    <mergeCell ref="BU1:BX1"/>
    <mergeCell ref="BZ1:CB1"/>
    <mergeCell ref="CD1:CI1"/>
    <mergeCell ref="CP1:CS1"/>
    <mergeCell ref="CU1:CZ1"/>
    <mergeCell ref="CJ1:CM1"/>
    <mergeCell ref="BQ1:BS1"/>
    <mergeCell ref="BF1:BK1"/>
  </mergeCells>
  <phoneticPr fontId="1" type="noConversion"/>
  <conditionalFormatting sqref="V3:V1135">
    <cfRule type="cellIs" dxfId="1481" priority="699" operator="lessThan">
      <formula>21</formula>
    </cfRule>
  </conditionalFormatting>
  <conditionalFormatting sqref="U3:U1048576">
    <cfRule type="timePeriod" dxfId="1480" priority="697" timePeriod="today">
      <formula>FLOOR(U3,1)=TODAY()</formula>
    </cfRule>
  </conditionalFormatting>
  <conditionalFormatting sqref="V3:V1048576">
    <cfRule type="cellIs" dxfId="1479" priority="696" operator="between">
      <formula>0</formula>
      <formula>7</formula>
    </cfRule>
  </conditionalFormatting>
  <conditionalFormatting sqref="O1:O1048576">
    <cfRule type="cellIs" dxfId="1478" priority="662" operator="between">
      <formula>63</formula>
      <formula>70</formula>
    </cfRule>
    <cfRule type="cellIs" dxfId="1477" priority="694" operator="equal">
      <formula>42</formula>
    </cfRule>
    <cfRule type="cellIs" dxfId="1476" priority="695" operator="equal">
      <formula>21</formula>
    </cfRule>
  </conditionalFormatting>
  <conditionalFormatting sqref="AG3:AG1048576">
    <cfRule type="cellIs" dxfId="1475" priority="693" operator="between">
      <formula>0</formula>
      <formula>7</formula>
    </cfRule>
  </conditionalFormatting>
  <conditionalFormatting sqref="AG3:AG1048576">
    <cfRule type="cellIs" dxfId="1474" priority="692" operator="between">
      <formula>-10</formula>
      <formula>-1</formula>
    </cfRule>
  </conditionalFormatting>
  <conditionalFormatting sqref="AG3:AG1048576">
    <cfRule type="cellIs" dxfId="1473" priority="690" operator="between">
      <formula>8</formula>
      <formula>200</formula>
    </cfRule>
  </conditionalFormatting>
  <conditionalFormatting sqref="F487">
    <cfRule type="duplicateValues" dxfId="1472" priority="688"/>
  </conditionalFormatting>
  <conditionalFormatting sqref="F446">
    <cfRule type="duplicateValues" dxfId="1471" priority="660"/>
  </conditionalFormatting>
  <conditionalFormatting sqref="F442">
    <cfRule type="duplicateValues" dxfId="1470" priority="650"/>
  </conditionalFormatting>
  <conditionalFormatting sqref="F455">
    <cfRule type="duplicateValues" dxfId="1469" priority="630"/>
  </conditionalFormatting>
  <conditionalFormatting sqref="F444">
    <cfRule type="duplicateValues" dxfId="1468" priority="622"/>
  </conditionalFormatting>
  <conditionalFormatting sqref="F447">
    <cfRule type="duplicateValues" dxfId="1467" priority="612"/>
  </conditionalFormatting>
  <conditionalFormatting sqref="AN1:AN1048576">
    <cfRule type="cellIs" dxfId="1466" priority="582" operator="between">
      <formula>5</formula>
      <formula>2500</formula>
    </cfRule>
  </conditionalFormatting>
  <conditionalFormatting sqref="F680">
    <cfRule type="duplicateValues" dxfId="1465" priority="570"/>
  </conditionalFormatting>
  <conditionalFormatting sqref="F702:F707">
    <cfRule type="duplicateValues" dxfId="1464" priority="537"/>
  </conditionalFormatting>
  <conditionalFormatting sqref="F657:F667">
    <cfRule type="duplicateValues" dxfId="1463" priority="515"/>
  </conditionalFormatting>
  <conditionalFormatting sqref="F665:F667">
    <cfRule type="duplicateValues" dxfId="1462" priority="495"/>
  </conditionalFormatting>
  <conditionalFormatting sqref="F668:F670">
    <cfRule type="duplicateValues" dxfId="1461" priority="471"/>
  </conditionalFormatting>
  <conditionalFormatting sqref="F636">
    <cfRule type="duplicateValues" dxfId="1460" priority="427"/>
  </conditionalFormatting>
  <conditionalFormatting sqref="F627 F633:F635">
    <cfRule type="duplicateValues" dxfId="1459" priority="416"/>
  </conditionalFormatting>
  <conditionalFormatting sqref="F570">
    <cfRule type="duplicateValues" dxfId="1458" priority="375"/>
  </conditionalFormatting>
  <conditionalFormatting sqref="F694:F701">
    <cfRule type="duplicateValues" dxfId="1457" priority="3144"/>
  </conditionalFormatting>
  <conditionalFormatting sqref="F588">
    <cfRule type="duplicateValues" dxfId="1456" priority="319"/>
  </conditionalFormatting>
  <conditionalFormatting sqref="F589:F592">
    <cfRule type="duplicateValues" dxfId="1455" priority="328"/>
  </conditionalFormatting>
  <conditionalFormatting sqref="F593">
    <cfRule type="duplicateValues" dxfId="1454" priority="316"/>
  </conditionalFormatting>
  <conditionalFormatting sqref="F583:F587">
    <cfRule type="duplicateValues" dxfId="1453" priority="305"/>
  </conditionalFormatting>
  <conditionalFormatting sqref="F596:F601">
    <cfRule type="duplicateValues" dxfId="1452" priority="294"/>
  </conditionalFormatting>
  <conditionalFormatting sqref="F844:F1048576 F711:F756 F637:F656 F708 F686:F693 F443 F445 F671:F679 F456:F549 F626 F594:F595 F235:F441 F552:F582 F3:F5 F602:F620 F448:F454 F7:F233 F760:F836">
    <cfRule type="duplicateValues" dxfId="1451" priority="3176"/>
  </conditionalFormatting>
  <conditionalFormatting sqref="F550:F551">
    <cfRule type="duplicateValues" dxfId="1450" priority="3504"/>
  </conditionalFormatting>
  <conditionalFormatting sqref="F621">
    <cfRule type="duplicateValues" dxfId="1449" priority="283"/>
  </conditionalFormatting>
  <conditionalFormatting sqref="CO1 CT1 DA1 BY2:DC2 Z1 BT1:BT1048576 BY1:BY1048576">
    <cfRule type="cellIs" dxfId="1448" priority="261" operator="equal">
      <formula>"ПОДЛЕЖИТ ВАКЦИНАЦИИ"</formula>
    </cfRule>
  </conditionalFormatting>
  <conditionalFormatting sqref="BW2:BW1048576">
    <cfRule type="cellIs" dxfId="1447" priority="260" operator="equal">
      <formula>"Ж-Е НЕ ВАКЦ."</formula>
    </cfRule>
  </conditionalFormatting>
  <conditionalFormatting sqref="BT1 CT1 DA1 Z1 BY1:BY1048576 CO1:CO1048576">
    <cfRule type="cellIs" dxfId="1446" priority="255" operator="equal">
      <formula>"ТРЕБУЕТСЯ ВАКЦИНАЦИЯ"</formula>
    </cfRule>
  </conditionalFormatting>
  <conditionalFormatting sqref="CU1 CT2 CN1 CC1:CD1 CC2 CC3:CD1048576 CT3:CU1048576">
    <cfRule type="cellIs" dxfId="1445" priority="254" operator="equal">
      <formula>"ТРЕБУЕТСЯ БУСТЕРНАЯ ДОЗА"</formula>
    </cfRule>
  </conditionalFormatting>
  <conditionalFormatting sqref="BA1:BA1048576 CD1:CD1048576 CU1:CU1048576">
    <cfRule type="timePeriod" dxfId="1444" priority="252" timePeriod="today">
      <formula>FLOOR(BA1,1)=TODAY()</formula>
    </cfRule>
    <cfRule type="timePeriod" dxfId="1443" priority="253" timePeriod="tomorrow">
      <formula>FLOOR(BA1,1)=TODAY()+1</formula>
    </cfRule>
  </conditionalFormatting>
  <conditionalFormatting sqref="CI2:CI1048576 CY2:CY1048576">
    <cfRule type="cellIs" dxfId="1442" priority="250" operator="equal">
      <formula>"УСПЕШНО"</formula>
    </cfRule>
    <cfRule type="cellIs" dxfId="1441" priority="251" operator="equal">
      <formula>"НАРУШЕН СРОК ВАКЦИНАЦИИ"</formula>
    </cfRule>
  </conditionalFormatting>
  <conditionalFormatting sqref="CJ1:CJ1048576 CN2:CN1048576 DA2:DA1048576">
    <cfRule type="cellIs" dxfId="1440" priority="249" operator="equal">
      <formula>"ТРЕБУЕТСЯ РЕВАКЦИНАЦИЯ"</formula>
    </cfRule>
  </conditionalFormatting>
  <conditionalFormatting sqref="CH2:CH1048576 CX2:CX1048576">
    <cfRule type="cellIs" dxfId="1439" priority="248" operator="equal">
      <formula>0</formula>
    </cfRule>
  </conditionalFormatting>
  <conditionalFormatting sqref="F6">
    <cfRule type="duplicateValues" dxfId="1438" priority="226"/>
  </conditionalFormatting>
  <conditionalFormatting sqref="BY1 CC1 CJ1 CT1 DA1 BT1 CN1:CO1 Z1">
    <cfRule type="cellIs" dxfId="1437" priority="182" operator="equal">
      <formula>0</formula>
    </cfRule>
    <cfRule type="cellIs" dxfId="1436" priority="183" operator="greaterThan">
      <formula>0</formula>
    </cfRule>
  </conditionalFormatting>
  <conditionalFormatting sqref="CJ1:CJ1048576 CN2:CN1048576">
    <cfRule type="cellIs" dxfId="1435" priority="161" operator="equal">
      <formula>"НЕОБХОДИМА РЕВАКЦИНАЦИЯ"</formula>
    </cfRule>
  </conditionalFormatting>
  <conditionalFormatting sqref="F628:F632">
    <cfRule type="duplicateValues" dxfId="1434" priority="147"/>
  </conditionalFormatting>
  <conditionalFormatting sqref="F837:F840">
    <cfRule type="duplicateValues" dxfId="1433" priority="113"/>
  </conditionalFormatting>
  <conditionalFormatting sqref="F841:F843">
    <cfRule type="duplicateValues" dxfId="1432" priority="91"/>
  </conditionalFormatting>
  <conditionalFormatting sqref="Z2:Z1048576">
    <cfRule type="cellIs" dxfId="1431" priority="69" operator="equal">
      <formula>"ПОДЛЕЖИТ ПЕРЕПРОВЕРКЕ"</formula>
    </cfRule>
  </conditionalFormatting>
  <conditionalFormatting sqref="F622:F625">
    <cfRule type="duplicateValues" dxfId="1430" priority="3710"/>
  </conditionalFormatting>
  <conditionalFormatting sqref="F234">
    <cfRule type="duplicateValues" dxfId="1429" priority="62"/>
  </conditionalFormatting>
  <conditionalFormatting sqref="F928">
    <cfRule type="duplicateValues" dxfId="1428" priority="18"/>
  </conditionalFormatting>
  <conditionalFormatting sqref="F757:F759">
    <cfRule type="duplicateValues" dxfId="1427" priority="3944"/>
  </conditionalFormatting>
  <conditionalFormatting sqref="F681:F685">
    <cfRule type="duplicateValues" dxfId="1426" priority="5260"/>
  </conditionalFormatting>
  <conditionalFormatting sqref="F709:F710">
    <cfRule type="duplicateValues" dxfId="1425" priority="5290"/>
  </conditionalFormatting>
  <conditionalFormatting sqref="AZ3:AZ1135">
    <cfRule type="cellIs" dxfId="1424" priority="4" operator="equal">
      <formula>"РЕВАКЦИНАЦИЯ"</formula>
    </cfRule>
  </conditionalFormatting>
  <conditionalFormatting sqref="AZ1">
    <cfRule type="cellIs" dxfId="1423" priority="3" operator="greaterThan">
      <formula>0</formula>
    </cfRule>
  </conditionalFormatting>
  <printOptions gridLines="1"/>
  <pageMargins left="0.31496062992125984" right="0.19685039370078741" top="0.15748031496062992" bottom="0.15748031496062992" header="0.15748031496062992" footer="0.15748031496062992"/>
  <pageSetup paperSize="9" fitToHeight="0" orientation="landscape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H851"/>
  <sheetViews>
    <sheetView zoomScale="89" zoomScaleNormal="89" workbookViewId="0">
      <pane ySplit="7" topLeftCell="A362" activePane="bottomLeft" state="frozen"/>
      <selection pane="bottomLeft" activeCell="A369" sqref="A369:XFD369"/>
    </sheetView>
  </sheetViews>
  <sheetFormatPr defaultRowHeight="15.75" x14ac:dyDescent="0.25"/>
  <cols>
    <col min="1" max="1" width="3.85546875" style="633" customWidth="1"/>
    <col min="2" max="2" width="9.85546875" style="634" customWidth="1"/>
    <col min="3" max="3" width="6.42578125" style="635" customWidth="1"/>
    <col min="4" max="4" width="15.7109375" style="636" hidden="1" customWidth="1"/>
    <col min="5" max="5" width="12.85546875" style="637" customWidth="1"/>
    <col min="6" max="6" width="8.85546875" style="638" customWidth="1"/>
    <col min="7" max="7" width="11.28515625" style="639" customWidth="1"/>
    <col min="8" max="8" width="12.7109375" style="640" customWidth="1"/>
    <col min="9" max="11" width="10.7109375" style="641" customWidth="1"/>
    <col min="12" max="12" width="10.7109375" style="640" customWidth="1"/>
    <col min="13" max="14" width="8.7109375" style="642" customWidth="1"/>
    <col min="15" max="15" width="12.7109375" style="642" customWidth="1"/>
    <col min="16" max="16" width="14.7109375" style="581" customWidth="1"/>
    <col min="17" max="17" width="12.7109375" style="640" customWidth="1"/>
    <col min="18" max="20" width="10.7109375" style="641" customWidth="1"/>
    <col min="21" max="21" width="10.7109375" style="640" customWidth="1"/>
    <col min="22" max="23" width="8.7109375" style="642" customWidth="1"/>
    <col min="24" max="24" width="12.7109375" style="642" customWidth="1"/>
    <col min="25" max="25" width="14.7109375" style="581" customWidth="1"/>
    <col min="26" max="26" width="12.7109375" style="640" customWidth="1"/>
    <col min="27" max="29" width="10.7109375" style="641" customWidth="1"/>
    <col min="30" max="30" width="10.7109375" style="640" customWidth="1"/>
    <col min="31" max="32" width="8.7109375" style="642" customWidth="1"/>
    <col min="33" max="33" width="12.7109375" style="642" customWidth="1"/>
    <col min="34" max="34" width="14.7109375" style="581" customWidth="1"/>
    <col min="35" max="35" width="12.7109375" style="640" customWidth="1"/>
    <col min="36" max="38" width="10.7109375" style="641" customWidth="1"/>
    <col min="39" max="39" width="10.7109375" style="640" customWidth="1"/>
    <col min="40" max="41" width="8.7109375" style="642" customWidth="1"/>
    <col min="42" max="42" width="12.7109375" style="642" customWidth="1"/>
    <col min="43" max="43" width="14.7109375" style="581" customWidth="1"/>
    <col min="44" max="44" width="12.7109375" style="640" customWidth="1"/>
    <col min="45" max="47" width="10.7109375" style="641" customWidth="1"/>
    <col min="48" max="48" width="10.7109375" style="640" customWidth="1"/>
    <col min="49" max="50" width="8.7109375" style="642" customWidth="1"/>
    <col min="51" max="51" width="12.7109375" style="642" customWidth="1"/>
    <col min="52" max="52" width="14.7109375" style="581" customWidth="1"/>
    <col min="53" max="53" width="12.7109375" style="640" customWidth="1"/>
    <col min="54" max="55" width="10.7109375" style="641" customWidth="1"/>
    <col min="56" max="56" width="10.7109375" style="640" customWidth="1"/>
    <col min="57" max="58" width="8.7109375" style="642" customWidth="1"/>
    <col min="59" max="59" width="12.7109375" style="642" customWidth="1"/>
    <col min="60" max="60" width="14.7109375" style="581" customWidth="1"/>
    <col min="61" max="16384" width="9.140625" style="173"/>
  </cols>
  <sheetData>
    <row r="1" spans="1:60" ht="13.5" thickBot="1" x14ac:dyDescent="0.25">
      <c r="A1" s="1034" t="s">
        <v>2790</v>
      </c>
      <c r="B1" s="1035"/>
      <c r="C1" s="1035"/>
      <c r="D1" s="1035"/>
      <c r="E1" s="1035"/>
      <c r="F1" s="1035"/>
      <c r="G1" s="1035"/>
      <c r="H1" s="1028" t="s">
        <v>3372</v>
      </c>
      <c r="I1" s="1029"/>
      <c r="J1" s="1029"/>
      <c r="K1" s="1029"/>
      <c r="L1" s="1029"/>
      <c r="M1" s="1029"/>
      <c r="N1" s="1029"/>
      <c r="O1" s="1029"/>
      <c r="P1" s="1030"/>
      <c r="Q1" s="1056" t="s">
        <v>3187</v>
      </c>
      <c r="R1" s="1057"/>
      <c r="S1" s="1057"/>
      <c r="T1" s="1057"/>
      <c r="U1" s="1057"/>
      <c r="V1" s="1057"/>
      <c r="W1" s="1057"/>
      <c r="X1" s="1057"/>
      <c r="Y1" s="1058"/>
      <c r="Z1" s="1028" t="s">
        <v>3103</v>
      </c>
      <c r="AA1" s="1029"/>
      <c r="AB1" s="1029"/>
      <c r="AC1" s="1029"/>
      <c r="AD1" s="1029"/>
      <c r="AE1" s="1029"/>
      <c r="AF1" s="1029"/>
      <c r="AG1" s="1029"/>
      <c r="AH1" s="1030"/>
      <c r="AI1" s="1056">
        <v>42944</v>
      </c>
      <c r="AJ1" s="1057"/>
      <c r="AK1" s="1057"/>
      <c r="AL1" s="1057"/>
      <c r="AM1" s="1057"/>
      <c r="AN1" s="1057"/>
      <c r="AO1" s="1057"/>
      <c r="AP1" s="1057"/>
      <c r="AQ1" s="1058"/>
      <c r="AR1" s="1028">
        <v>42915</v>
      </c>
      <c r="AS1" s="1029"/>
      <c r="AT1" s="1029"/>
      <c r="AU1" s="1029"/>
      <c r="AV1" s="1029"/>
      <c r="AW1" s="1029"/>
      <c r="AX1" s="1029"/>
      <c r="AY1" s="1029"/>
      <c r="AZ1" s="1030"/>
      <c r="BA1" s="1031">
        <v>42886</v>
      </c>
      <c r="BB1" s="1032"/>
      <c r="BC1" s="1032"/>
      <c r="BD1" s="1032"/>
      <c r="BE1" s="1032"/>
      <c r="BF1" s="1032"/>
      <c r="BG1" s="1032"/>
      <c r="BH1" s="1033"/>
    </row>
    <row r="2" spans="1:60" ht="15.75" customHeight="1" thickBot="1" x14ac:dyDescent="0.25">
      <c r="A2" s="1036"/>
      <c r="B2" s="1037"/>
      <c r="C2" s="1037"/>
      <c r="D2" s="1037"/>
      <c r="E2" s="1037"/>
      <c r="F2" s="1037"/>
      <c r="G2" s="1037"/>
      <c r="H2" s="1054" t="s">
        <v>2832</v>
      </c>
      <c r="I2" s="1041"/>
      <c r="J2" s="1042" t="s">
        <v>2834</v>
      </c>
      <c r="K2" s="1043"/>
      <c r="L2" s="573" t="s">
        <v>2833</v>
      </c>
      <c r="M2" s="574" t="s">
        <v>2835</v>
      </c>
      <c r="N2" s="575" t="s">
        <v>2836</v>
      </c>
      <c r="O2" s="1044" t="s">
        <v>2837</v>
      </c>
      <c r="P2" s="1045"/>
      <c r="Q2" s="1054" t="s">
        <v>2832</v>
      </c>
      <c r="R2" s="1041"/>
      <c r="S2" s="1042" t="s">
        <v>2834</v>
      </c>
      <c r="T2" s="1043"/>
      <c r="U2" s="573" t="s">
        <v>2833</v>
      </c>
      <c r="V2" s="574" t="s">
        <v>2835</v>
      </c>
      <c r="W2" s="575" t="s">
        <v>2836</v>
      </c>
      <c r="X2" s="1044" t="s">
        <v>2837</v>
      </c>
      <c r="Y2" s="1045"/>
      <c r="Z2" s="1054" t="s">
        <v>2832</v>
      </c>
      <c r="AA2" s="1041"/>
      <c r="AB2" s="1042" t="s">
        <v>2834</v>
      </c>
      <c r="AC2" s="1043"/>
      <c r="AD2" s="573" t="s">
        <v>2833</v>
      </c>
      <c r="AE2" s="574" t="s">
        <v>2835</v>
      </c>
      <c r="AF2" s="575" t="s">
        <v>2836</v>
      </c>
      <c r="AG2" s="1044" t="s">
        <v>2837</v>
      </c>
      <c r="AH2" s="1045"/>
      <c r="AI2" s="1054" t="s">
        <v>2832</v>
      </c>
      <c r="AJ2" s="1041"/>
      <c r="AK2" s="1042" t="s">
        <v>2834</v>
      </c>
      <c r="AL2" s="1043"/>
      <c r="AM2" s="573" t="s">
        <v>2833</v>
      </c>
      <c r="AN2" s="574" t="s">
        <v>2835</v>
      </c>
      <c r="AO2" s="575" t="s">
        <v>2836</v>
      </c>
      <c r="AP2" s="1044" t="s">
        <v>2837</v>
      </c>
      <c r="AQ2" s="1045"/>
      <c r="AR2" s="1040" t="s">
        <v>2832</v>
      </c>
      <c r="AS2" s="1041"/>
      <c r="AT2" s="1042" t="s">
        <v>2834</v>
      </c>
      <c r="AU2" s="1043"/>
      <c r="AV2" s="573" t="s">
        <v>2833</v>
      </c>
      <c r="AW2" s="574" t="s">
        <v>2835</v>
      </c>
      <c r="AX2" s="575" t="s">
        <v>2836</v>
      </c>
      <c r="AY2" s="1044" t="s">
        <v>2837</v>
      </c>
      <c r="AZ2" s="1045"/>
      <c r="BA2" s="1054" t="s">
        <v>2832</v>
      </c>
      <c r="BB2" s="1041"/>
      <c r="BC2" s="576" t="s">
        <v>2834</v>
      </c>
      <c r="BD2" s="573" t="s">
        <v>2833</v>
      </c>
      <c r="BE2" s="574" t="s">
        <v>2835</v>
      </c>
      <c r="BF2" s="575" t="s">
        <v>2836</v>
      </c>
      <c r="BG2" s="1044" t="s">
        <v>2837</v>
      </c>
      <c r="BH2" s="1045"/>
    </row>
    <row r="3" spans="1:60" s="494" customFormat="1" ht="30" customHeight="1" thickTop="1" thickBot="1" x14ac:dyDescent="0.3">
      <c r="A3" s="1038"/>
      <c r="B3" s="1039"/>
      <c r="C3" s="1039"/>
      <c r="D3" s="1039"/>
      <c r="E3" s="1039"/>
      <c r="F3" s="1039"/>
      <c r="G3" s="1039"/>
      <c r="H3" s="1055">
        <f>COUNTIF(L8:L4958,"&gt;=0")-COUNTIF(L8:L4958,"&gt;9,9")</f>
        <v>129</v>
      </c>
      <c r="I3" s="1047"/>
      <c r="J3" s="1048">
        <f>COUNTIF(L8:L4958,"&gt;=10")-COUNTIF(L8:L4958,"&gt;19,9")</f>
        <v>181</v>
      </c>
      <c r="K3" s="1046"/>
      <c r="L3" s="577">
        <f>COUNTIF(L8:L4958,"&gt;=20")-COUNTIF(L8:L4958,"&gt;29,9")</f>
        <v>185</v>
      </c>
      <c r="M3" s="577">
        <f>COUNTIF(L8:L4958,"&gt;=30")-COUNTIF(L8:L4958,"&gt;39,9")</f>
        <v>67</v>
      </c>
      <c r="N3" s="577">
        <f>COUNTIF(L8:L4958,"&gt;=40")-COUNTIF(L8:L4958,"&gt;49,9")</f>
        <v>8</v>
      </c>
      <c r="O3" s="1047">
        <f>COUNTIF(L8:L4958,"&gt;=50")</f>
        <v>0</v>
      </c>
      <c r="P3" s="1049"/>
      <c r="Q3" s="1055">
        <f>COUNTIF(U8:U4958,"&gt;=0")-COUNTIF(U8:U4958,"&gt;9,9")</f>
        <v>80</v>
      </c>
      <c r="R3" s="1047"/>
      <c r="S3" s="1048">
        <f>COUNTIF(U8:U4958,"&gt;=10")-COUNTIF(U8:U4958,"&gt;19,9")</f>
        <v>188</v>
      </c>
      <c r="T3" s="1046"/>
      <c r="U3" s="994">
        <f>COUNTIF(U8:U4958,"&gt;=20")-COUNTIF(U8:U4958,"&gt;29,9")</f>
        <v>262</v>
      </c>
      <c r="V3" s="994">
        <f>COUNTIF(U8:U4958,"&gt;=30")-COUNTIF(U8:U4958,"&gt;39,9")</f>
        <v>32</v>
      </c>
      <c r="W3" s="994">
        <f>COUNTIF(U8:U4958,"&gt;=40")-COUNTIF(U8:U4958,"&gt;49,9")</f>
        <v>0</v>
      </c>
      <c r="X3" s="1047">
        <f>COUNTIF(U8:U4958,"&gt;=50")</f>
        <v>0</v>
      </c>
      <c r="Y3" s="1049"/>
      <c r="Z3" s="1055">
        <f>COUNTIF(AD8:AD4958,"&gt;=0")-COUNTIF(AD8:AD4958,"&gt;9,9")</f>
        <v>80</v>
      </c>
      <c r="AA3" s="1047"/>
      <c r="AB3" s="1048">
        <f>COUNTIF(AD8:AD4958,"&gt;=10")-COUNTIF(AD8:AD4958,"&gt;19,9")</f>
        <v>134</v>
      </c>
      <c r="AC3" s="1046"/>
      <c r="AD3" s="577">
        <f>COUNTIF(AD8:AD4958,"&gt;=20")-COUNTIF(AD8:AD4958,"&gt;29,9")</f>
        <v>246</v>
      </c>
      <c r="AE3" s="577">
        <f>COUNTIF(AD8:AD4958,"&gt;=30")-COUNTIF(AD8:AD4958,"&gt;39,9")</f>
        <v>74</v>
      </c>
      <c r="AF3" s="577">
        <f>COUNTIF(AD8:AD4958,"&gt;=40")-COUNTIF(AD8:AD4958,"&gt;49,9")</f>
        <v>12</v>
      </c>
      <c r="AG3" s="1047">
        <f>COUNTIF(AD8:AD4958,"&gt;=50")</f>
        <v>0</v>
      </c>
      <c r="AH3" s="1049"/>
      <c r="AI3" s="1055">
        <f>COUNTIF(AM8:AM4958,"&gt;=0")-COUNTIF(AM8:AM4958,"&gt;9,9")</f>
        <v>90</v>
      </c>
      <c r="AJ3" s="1047"/>
      <c r="AK3" s="1048">
        <f>COUNTIF(AM8:AM4958,"&gt;=10")-COUNTIF(AM8:AM4958,"&gt;19,9")</f>
        <v>116</v>
      </c>
      <c r="AL3" s="1046"/>
      <c r="AM3" s="577">
        <f>COUNTIF(AM8:AM4958,"&gt;=20")-COUNTIF(AM8:AM4958,"&gt;29,9")</f>
        <v>240</v>
      </c>
      <c r="AN3" s="577">
        <f>COUNTIF(AM8:AM4958,"&gt;=30")-COUNTIF(AM8:AM4958,"&gt;39,9")</f>
        <v>92</v>
      </c>
      <c r="AO3" s="577">
        <f>COUNTIF(AM8:AM4958,"&gt;=40")-COUNTIF(AM8:AM4958,"&gt;49,9")</f>
        <v>3</v>
      </c>
      <c r="AP3" s="1047">
        <f>COUNTIF(AM8:AM4958,"&gt;=50")</f>
        <v>0</v>
      </c>
      <c r="AQ3" s="1049"/>
      <c r="AR3" s="1046">
        <f>COUNTIF(AV8:AV4958,"&gt;=0")-COUNTIF(AV8:AV4958,"&gt;9,9")</f>
        <v>90</v>
      </c>
      <c r="AS3" s="1047"/>
      <c r="AT3" s="1048">
        <f>COUNTIF(AV8:AV4958,"&gt;=10")-COUNTIF(AV8:AV4958,"&gt;19,9")</f>
        <v>131</v>
      </c>
      <c r="AU3" s="1046"/>
      <c r="AV3" s="577">
        <f>COUNTIF(AV8:AV4958,"&gt;=20")-COUNTIF(AV8:AV4958,"&gt;29,9")</f>
        <v>210</v>
      </c>
      <c r="AW3" s="577">
        <f>COUNTIF(AV8:AV4958,"&gt;=30")-COUNTIF(AV8:AV4958,"&gt;39,9")</f>
        <v>96</v>
      </c>
      <c r="AX3" s="577">
        <f>COUNTIF(AV8:AV4958,"&gt;=40")-COUNTIF(AV8:AV4958,"&gt;49,9")</f>
        <v>9</v>
      </c>
      <c r="AY3" s="1047">
        <f>COUNTIF(AV8:AV4958,"&gt;=50")</f>
        <v>1</v>
      </c>
      <c r="AZ3" s="1049"/>
      <c r="BA3" s="1055">
        <f>COUNTIF(BD8:BD4958,"&gt;=0")-COUNTIF(BD8:BD4958,"&gt;9,9")</f>
        <v>91</v>
      </c>
      <c r="BB3" s="1047"/>
      <c r="BC3" s="577">
        <f>COUNTIF(BD8:BD4958,"&gt;=10")-COUNTIF(BD8:BD4958,"&gt;19,9")</f>
        <v>199</v>
      </c>
      <c r="BD3" s="577">
        <f>COUNTIF(BD8:BD4958,"&gt;=20")-COUNTIF(BD8:BD4958,"&gt;29,9")</f>
        <v>155</v>
      </c>
      <c r="BE3" s="577">
        <f>COUNTIF(BD8:BD4958,"&gt;=30")-COUNTIF(BD8:BD4958,"&gt;39,9")</f>
        <v>84</v>
      </c>
      <c r="BF3" s="577">
        <f>COUNTIF(BD8:BD4958,"&gt;=40")-COUNTIF(BD8:BD4958,"&gt;49,9")</f>
        <v>5</v>
      </c>
      <c r="BG3" s="1047">
        <f>COUNTIF(BD8:BD4958,"&gt;=50")</f>
        <v>0</v>
      </c>
      <c r="BH3" s="1049"/>
    </row>
    <row r="4" spans="1:60" s="581" customFormat="1" ht="20.100000000000001" customHeight="1" thickTop="1" thickBot="1" x14ac:dyDescent="0.25">
      <c r="A4" s="1050">
        <f ca="1">TODAY()</f>
        <v>43134</v>
      </c>
      <c r="B4" s="1051"/>
      <c r="C4" s="1051"/>
      <c r="D4" s="1051"/>
      <c r="E4" s="1051"/>
      <c r="F4" s="1051"/>
      <c r="G4" s="1051"/>
      <c r="H4" s="578">
        <v>43007</v>
      </c>
      <c r="I4" s="1026" t="s">
        <v>2786</v>
      </c>
      <c r="J4" s="1026"/>
      <c r="K4" s="1026"/>
      <c r="L4" s="1026"/>
      <c r="M4" s="579" t="s">
        <v>2787</v>
      </c>
      <c r="N4" s="579" t="s">
        <v>2788</v>
      </c>
      <c r="O4" s="579" t="s">
        <v>2789</v>
      </c>
      <c r="P4" s="1027">
        <v>43038</v>
      </c>
      <c r="Q4" s="578">
        <v>42976</v>
      </c>
      <c r="R4" s="1026" t="s">
        <v>2786</v>
      </c>
      <c r="S4" s="1026"/>
      <c r="T4" s="1026"/>
      <c r="U4" s="1026"/>
      <c r="V4" s="579" t="s">
        <v>2787</v>
      </c>
      <c r="W4" s="579" t="s">
        <v>2788</v>
      </c>
      <c r="X4" s="579" t="s">
        <v>2789</v>
      </c>
      <c r="Y4" s="1027">
        <v>43007</v>
      </c>
      <c r="Z4" s="578">
        <v>42944</v>
      </c>
      <c r="AA4" s="1026" t="s">
        <v>2786</v>
      </c>
      <c r="AB4" s="1026"/>
      <c r="AC4" s="1026"/>
      <c r="AD4" s="1026"/>
      <c r="AE4" s="579" t="s">
        <v>2787</v>
      </c>
      <c r="AF4" s="579" t="s">
        <v>2788</v>
      </c>
      <c r="AG4" s="579" t="s">
        <v>2789</v>
      </c>
      <c r="AH4" s="1027">
        <v>42975</v>
      </c>
      <c r="AI4" s="578">
        <v>42915</v>
      </c>
      <c r="AJ4" s="1026" t="s">
        <v>2786</v>
      </c>
      <c r="AK4" s="1026"/>
      <c r="AL4" s="1026"/>
      <c r="AM4" s="1026"/>
      <c r="AN4" s="579" t="s">
        <v>2787</v>
      </c>
      <c r="AO4" s="579" t="s">
        <v>2788</v>
      </c>
      <c r="AP4" s="579" t="s">
        <v>2789</v>
      </c>
      <c r="AQ4" s="1027">
        <v>42944</v>
      </c>
      <c r="AR4" s="580">
        <v>42886</v>
      </c>
      <c r="AS4" s="1026" t="s">
        <v>2786</v>
      </c>
      <c r="AT4" s="1026"/>
      <c r="AU4" s="1026"/>
      <c r="AV4" s="1026"/>
      <c r="AW4" s="579" t="s">
        <v>2787</v>
      </c>
      <c r="AX4" s="579" t="s">
        <v>2788</v>
      </c>
      <c r="AY4" s="579" t="s">
        <v>2789</v>
      </c>
      <c r="AZ4" s="1027">
        <v>42915</v>
      </c>
      <c r="BA4" s="578">
        <v>42853</v>
      </c>
      <c r="BB4" s="1026" t="s">
        <v>2786</v>
      </c>
      <c r="BC4" s="1026"/>
      <c r="BD4" s="1026"/>
      <c r="BE4" s="579" t="s">
        <v>2787</v>
      </c>
      <c r="BF4" s="579" t="s">
        <v>2788</v>
      </c>
      <c r="BG4" s="579" t="s">
        <v>2789</v>
      </c>
      <c r="BH4" s="1027">
        <v>42886</v>
      </c>
    </row>
    <row r="5" spans="1:60" s="581" customFormat="1" ht="15.95" customHeight="1" thickTop="1" thickBot="1" x14ac:dyDescent="0.25">
      <c r="A5" s="1052"/>
      <c r="B5" s="1053"/>
      <c r="C5" s="1053"/>
      <c r="D5" s="1053"/>
      <c r="E5" s="1053"/>
      <c r="F5" s="1053"/>
      <c r="G5" s="1053"/>
      <c r="H5" s="578" t="s">
        <v>2042</v>
      </c>
      <c r="I5" s="582" t="s">
        <v>2042</v>
      </c>
      <c r="J5" s="582"/>
      <c r="K5" s="582" t="s">
        <v>2042</v>
      </c>
      <c r="L5" s="583" t="s">
        <v>2042</v>
      </c>
      <c r="M5" s="584" t="s">
        <v>2042</v>
      </c>
      <c r="N5" s="584" t="s">
        <v>2042</v>
      </c>
      <c r="O5" s="584" t="s">
        <v>2042</v>
      </c>
      <c r="P5" s="1027"/>
      <c r="Q5" s="578" t="s">
        <v>2042</v>
      </c>
      <c r="R5" s="582" t="s">
        <v>2042</v>
      </c>
      <c r="S5" s="582"/>
      <c r="T5" s="582" t="s">
        <v>2042</v>
      </c>
      <c r="U5" s="583" t="s">
        <v>2042</v>
      </c>
      <c r="V5" s="584" t="s">
        <v>2042</v>
      </c>
      <c r="W5" s="584" t="s">
        <v>2042</v>
      </c>
      <c r="X5" s="584" t="s">
        <v>2042</v>
      </c>
      <c r="Y5" s="1027"/>
      <c r="Z5" s="578" t="s">
        <v>2042</v>
      </c>
      <c r="AA5" s="582" t="s">
        <v>2042</v>
      </c>
      <c r="AB5" s="582"/>
      <c r="AC5" s="582" t="s">
        <v>2042</v>
      </c>
      <c r="AD5" s="583" t="s">
        <v>2042</v>
      </c>
      <c r="AE5" s="584" t="s">
        <v>2042</v>
      </c>
      <c r="AF5" s="584" t="s">
        <v>2042</v>
      </c>
      <c r="AG5" s="584" t="s">
        <v>2042</v>
      </c>
      <c r="AH5" s="1027"/>
      <c r="AI5" s="578" t="s">
        <v>2042</v>
      </c>
      <c r="AJ5" s="582" t="s">
        <v>2042</v>
      </c>
      <c r="AK5" s="582"/>
      <c r="AL5" s="582" t="s">
        <v>2042</v>
      </c>
      <c r="AM5" s="583" t="s">
        <v>2042</v>
      </c>
      <c r="AN5" s="584" t="s">
        <v>2042</v>
      </c>
      <c r="AO5" s="584" t="s">
        <v>2042</v>
      </c>
      <c r="AP5" s="584" t="s">
        <v>2042</v>
      </c>
      <c r="AQ5" s="1027"/>
      <c r="AR5" s="580" t="s">
        <v>2042</v>
      </c>
      <c r="AS5" s="582" t="s">
        <v>2042</v>
      </c>
      <c r="AT5" s="582"/>
      <c r="AU5" s="582" t="s">
        <v>2042</v>
      </c>
      <c r="AV5" s="583" t="s">
        <v>2042</v>
      </c>
      <c r="AW5" s="584" t="s">
        <v>2042</v>
      </c>
      <c r="AX5" s="584" t="s">
        <v>2042</v>
      </c>
      <c r="AY5" s="584" t="s">
        <v>2042</v>
      </c>
      <c r="AZ5" s="1027"/>
      <c r="BA5" s="578" t="s">
        <v>2042</v>
      </c>
      <c r="BB5" s="582" t="s">
        <v>2042</v>
      </c>
      <c r="BC5" s="582" t="s">
        <v>2042</v>
      </c>
      <c r="BD5" s="583" t="s">
        <v>2042</v>
      </c>
      <c r="BE5" s="584" t="s">
        <v>2042</v>
      </c>
      <c r="BF5" s="584" t="s">
        <v>2042</v>
      </c>
      <c r="BG5" s="584" t="s">
        <v>2042</v>
      </c>
      <c r="BH5" s="1027"/>
    </row>
    <row r="6" spans="1:60" s="581" customFormat="1" ht="24.95" customHeight="1" thickTop="1" thickBot="1" x14ac:dyDescent="0.25">
      <c r="A6" s="1052"/>
      <c r="B6" s="1053"/>
      <c r="C6" s="1053"/>
      <c r="D6" s="1053"/>
      <c r="E6" s="1053"/>
      <c r="F6" s="1053"/>
      <c r="G6" s="1053"/>
      <c r="H6" s="585">
        <f>SUM(H8:H1458)</f>
        <v>10404.940000000006</v>
      </c>
      <c r="I6" s="586">
        <f>SUM(I8:I2460)</f>
        <v>4142.0999999999985</v>
      </c>
      <c r="J6" s="586">
        <f>SUM(J8:J2460)</f>
        <v>2432.9000000000005</v>
      </c>
      <c r="K6" s="586">
        <f>SUM(K8:K2460)</f>
        <v>3644.0000000000009</v>
      </c>
      <c r="L6" s="586">
        <f>SUM(L8:L2460)</f>
        <v>10219.000000000009</v>
      </c>
      <c r="M6" s="586"/>
      <c r="N6" s="586"/>
      <c r="O6" s="586"/>
      <c r="P6" s="587">
        <f>H6-L6</f>
        <v>185.93999999999687</v>
      </c>
      <c r="Q6" s="585">
        <f>SUM(Q8:Q1458)</f>
        <v>11057.200000000012</v>
      </c>
      <c r="R6" s="586">
        <f>SUM(R8:R2460)</f>
        <v>4284.8399999999974</v>
      </c>
      <c r="S6" s="586">
        <f>SUM(S8:S2460)</f>
        <v>2235.4000000000015</v>
      </c>
      <c r="T6" s="586">
        <f>SUM(T8:T2460)</f>
        <v>3875.0999999999995</v>
      </c>
      <c r="U6" s="586">
        <f>SUM(U8:U2460)</f>
        <v>10395.340000000006</v>
      </c>
      <c r="V6" s="586"/>
      <c r="W6" s="586"/>
      <c r="X6" s="586"/>
      <c r="Y6" s="587">
        <f>Q6-U6</f>
        <v>661.86000000000604</v>
      </c>
      <c r="Z6" s="585">
        <f>SUM(Z8:Z1458)</f>
        <v>11057.200000000012</v>
      </c>
      <c r="AA6" s="586">
        <f>SUM(AA8:AA2460)</f>
        <v>4885.2109999999975</v>
      </c>
      <c r="AB6" s="586">
        <f>SUM(AB8:AB2460)</f>
        <v>2247</v>
      </c>
      <c r="AC6" s="586">
        <f>SUM(AC8:AC2460)</f>
        <v>4196.5999999999995</v>
      </c>
      <c r="AD6" s="586">
        <f>SUM(AD8:AD2460)</f>
        <v>11328.811</v>
      </c>
      <c r="AE6" s="586"/>
      <c r="AF6" s="586"/>
      <c r="AG6" s="586"/>
      <c r="AH6" s="587">
        <f>Z6-AD6</f>
        <v>-271.61099999998805</v>
      </c>
      <c r="AI6" s="585">
        <f>SUM(AI8:AI1458)</f>
        <v>11087.199999999997</v>
      </c>
      <c r="AJ6" s="586">
        <f>SUM(AJ8:AJ2460)</f>
        <v>4729.4999999999982</v>
      </c>
      <c r="AK6" s="586">
        <f>SUM(AK8:AK2460)</f>
        <v>2146.9</v>
      </c>
      <c r="AL6" s="586">
        <f>SUM(AL8:AL2460)</f>
        <v>4180.7999999999975</v>
      </c>
      <c r="AM6" s="586">
        <f>SUM(AM8:AM2460)</f>
        <v>11057.200000000012</v>
      </c>
      <c r="AN6" s="586"/>
      <c r="AO6" s="586"/>
      <c r="AP6" s="586"/>
      <c r="AQ6" s="587">
        <f>AI6-AM6</f>
        <v>29.999999999985448</v>
      </c>
      <c r="AR6" s="588">
        <f>SUM(AR8:AR1458)</f>
        <v>11248.500000000007</v>
      </c>
      <c r="AS6" s="586">
        <f>SUM(AS8:AS2460)</f>
        <v>5134.199999999998</v>
      </c>
      <c r="AT6" s="586">
        <f>SUM(AT8:AT2460)</f>
        <v>1742.9000000000008</v>
      </c>
      <c r="AU6" s="586">
        <f>SUM(AU8:AU2460)</f>
        <v>4210.0999999999995</v>
      </c>
      <c r="AV6" s="586">
        <f>SUM(AV8:AV2460)</f>
        <v>11087.199999999997</v>
      </c>
      <c r="AW6" s="586"/>
      <c r="AX6" s="586"/>
      <c r="AY6" s="586"/>
      <c r="AZ6" s="587">
        <f>AR6-AV6</f>
        <v>161.30000000001019</v>
      </c>
      <c r="BA6" s="585">
        <f>SUM(BA8:BA1458)</f>
        <v>11248.500000000007</v>
      </c>
      <c r="BB6" s="586">
        <f>SUM(BB8:BB2460)</f>
        <v>5239.6000000000004</v>
      </c>
      <c r="BC6" s="586">
        <f>SUM(BC8:BC2460)</f>
        <v>4732.3</v>
      </c>
      <c r="BD6" s="586">
        <f>SUM(BD8:BD2460)</f>
        <v>9971.899999999996</v>
      </c>
      <c r="BE6" s="586"/>
      <c r="BF6" s="586"/>
      <c r="BG6" s="586"/>
      <c r="BH6" s="587">
        <f t="shared" ref="BH6" si="0">BA6-BD6</f>
        <v>1276.6000000000113</v>
      </c>
    </row>
    <row r="7" spans="1:60" ht="39" thickBot="1" x14ac:dyDescent="0.25">
      <c r="A7" s="589" t="s">
        <v>18</v>
      </c>
      <c r="B7" s="590" t="s">
        <v>22</v>
      </c>
      <c r="C7" s="591" t="s">
        <v>21</v>
      </c>
      <c r="D7" s="592" t="s">
        <v>19</v>
      </c>
      <c r="E7" s="592" t="s">
        <v>20</v>
      </c>
      <c r="F7" s="593" t="s">
        <v>9</v>
      </c>
      <c r="G7" s="594" t="s">
        <v>16</v>
      </c>
      <c r="H7" s="595" t="s">
        <v>2781</v>
      </c>
      <c r="I7" s="596" t="s">
        <v>2782</v>
      </c>
      <c r="J7" s="596" t="s">
        <v>2889</v>
      </c>
      <c r="K7" s="596" t="s">
        <v>2783</v>
      </c>
      <c r="L7" s="597" t="s">
        <v>2784</v>
      </c>
      <c r="M7" s="598"/>
      <c r="N7" s="598"/>
      <c r="O7" s="598"/>
      <c r="P7" s="599"/>
      <c r="Q7" s="595" t="s">
        <v>2781</v>
      </c>
      <c r="R7" s="596" t="s">
        <v>2782</v>
      </c>
      <c r="S7" s="596" t="s">
        <v>2889</v>
      </c>
      <c r="T7" s="596" t="s">
        <v>2783</v>
      </c>
      <c r="U7" s="597" t="s">
        <v>2784</v>
      </c>
      <c r="V7" s="598"/>
      <c r="W7" s="598"/>
      <c r="X7" s="598"/>
      <c r="Y7" s="599"/>
      <c r="Z7" s="595" t="s">
        <v>2781</v>
      </c>
      <c r="AA7" s="596" t="s">
        <v>2782</v>
      </c>
      <c r="AB7" s="596" t="s">
        <v>2889</v>
      </c>
      <c r="AC7" s="596" t="s">
        <v>2783</v>
      </c>
      <c r="AD7" s="597" t="s">
        <v>2784</v>
      </c>
      <c r="AE7" s="598"/>
      <c r="AF7" s="598"/>
      <c r="AG7" s="598"/>
      <c r="AH7" s="599"/>
      <c r="AI7" s="595" t="s">
        <v>2781</v>
      </c>
      <c r="AJ7" s="596" t="s">
        <v>2782</v>
      </c>
      <c r="AK7" s="596" t="s">
        <v>2889</v>
      </c>
      <c r="AL7" s="596" t="s">
        <v>2783</v>
      </c>
      <c r="AM7" s="597" t="s">
        <v>2784</v>
      </c>
      <c r="AN7" s="598"/>
      <c r="AO7" s="598"/>
      <c r="AP7" s="598"/>
      <c r="AQ7" s="599"/>
      <c r="AR7" s="600" t="s">
        <v>2781</v>
      </c>
      <c r="AS7" s="596" t="s">
        <v>2782</v>
      </c>
      <c r="AT7" s="596" t="s">
        <v>2889</v>
      </c>
      <c r="AU7" s="596" t="s">
        <v>2783</v>
      </c>
      <c r="AV7" s="597" t="s">
        <v>2784</v>
      </c>
      <c r="AW7" s="598"/>
      <c r="AX7" s="598"/>
      <c r="AY7" s="598"/>
      <c r="AZ7" s="599"/>
      <c r="BA7" s="595" t="s">
        <v>2781</v>
      </c>
      <c r="BB7" s="596" t="s">
        <v>2782</v>
      </c>
      <c r="BC7" s="596" t="s">
        <v>2783</v>
      </c>
      <c r="BD7" s="597" t="s">
        <v>2784</v>
      </c>
      <c r="BE7" s="598"/>
      <c r="BF7" s="598"/>
      <c r="BG7" s="598"/>
      <c r="BH7" s="601" t="s">
        <v>2785</v>
      </c>
    </row>
    <row r="8" spans="1:60" ht="16.5" thickBot="1" x14ac:dyDescent="0.3">
      <c r="A8" s="602">
        <v>1</v>
      </c>
      <c r="B8" s="603">
        <f t="shared" ref="B8:B71" ca="1" si="1">TODAY()</f>
        <v>43134</v>
      </c>
      <c r="C8" s="604" t="s">
        <v>2865</v>
      </c>
      <c r="D8" s="605" t="s">
        <v>2851</v>
      </c>
      <c r="E8" s="606" t="s">
        <v>640</v>
      </c>
      <c r="F8" s="607" t="s">
        <v>855</v>
      </c>
      <c r="G8" s="608">
        <v>42632</v>
      </c>
      <c r="H8" s="609">
        <f>U8</f>
        <v>0</v>
      </c>
      <c r="I8" s="610"/>
      <c r="J8" s="610"/>
      <c r="K8" s="610"/>
      <c r="L8" s="611">
        <f t="shared" ref="L8:L71" si="2">SUM(I8:K8)</f>
        <v>0</v>
      </c>
      <c r="M8" s="612"/>
      <c r="N8" s="612"/>
      <c r="O8" s="612"/>
      <c r="P8" s="613">
        <f t="shared" ref="P8:P71" si="3">L8-H8</f>
        <v>0</v>
      </c>
      <c r="Q8" s="609">
        <f>AM8</f>
        <v>24</v>
      </c>
      <c r="R8" s="610"/>
      <c r="S8" s="610"/>
      <c r="T8" s="610"/>
      <c r="U8" s="611">
        <f t="shared" ref="U8:U71" si="4">SUM(R8:T8)</f>
        <v>0</v>
      </c>
      <c r="V8" s="612"/>
      <c r="W8" s="612"/>
      <c r="X8" s="612"/>
      <c r="Y8" s="613">
        <f t="shared" ref="Y8:Y71" si="5">U8-Q8</f>
        <v>-24</v>
      </c>
      <c r="Z8" s="609">
        <f>AM8</f>
        <v>24</v>
      </c>
      <c r="AA8" s="610">
        <v>8</v>
      </c>
      <c r="AB8" s="610"/>
      <c r="AC8" s="610">
        <v>8</v>
      </c>
      <c r="AD8" s="611">
        <f t="shared" ref="AD8:AD71" si="6">SUM(AA8:AC8)</f>
        <v>16</v>
      </c>
      <c r="AE8" s="612"/>
      <c r="AF8" s="612"/>
      <c r="AG8" s="612"/>
      <c r="AH8" s="613">
        <f t="shared" ref="AH8:AH71" si="7">AD8-Z8</f>
        <v>-8</v>
      </c>
      <c r="AI8" s="609">
        <f>AV8</f>
        <v>19</v>
      </c>
      <c r="AJ8" s="610">
        <v>8</v>
      </c>
      <c r="AK8" s="610"/>
      <c r="AL8" s="610">
        <v>16</v>
      </c>
      <c r="AM8" s="614">
        <f t="shared" ref="AM8:AM71" si="8">SUM(AJ8:AL8)</f>
        <v>24</v>
      </c>
      <c r="AN8" s="612"/>
      <c r="AO8" s="612"/>
      <c r="AP8" s="612"/>
      <c r="AQ8" s="613">
        <f t="shared" ref="AQ8:AQ71" si="9">AM8-AI8</f>
        <v>5</v>
      </c>
      <c r="AR8" s="615">
        <f>BA8</f>
        <v>29.4</v>
      </c>
      <c r="AS8" s="616">
        <v>10</v>
      </c>
      <c r="AT8" s="616"/>
      <c r="AU8" s="616">
        <v>9</v>
      </c>
      <c r="AV8" s="617">
        <f t="shared" ref="AV8:AV71" si="10">SUM(AS8:AU8)</f>
        <v>19</v>
      </c>
      <c r="AW8" s="618">
        <v>4.1500000000000004</v>
      </c>
      <c r="AX8" s="618">
        <v>3.48</v>
      </c>
      <c r="AY8" s="618">
        <v>90</v>
      </c>
      <c r="AZ8" s="619">
        <f t="shared" ref="AZ8:AZ71" si="11">AV8-AR8</f>
        <v>-10.399999999999999</v>
      </c>
      <c r="BA8" s="617">
        <v>29.4</v>
      </c>
      <c r="BB8" s="616">
        <v>11</v>
      </c>
      <c r="BC8" s="616">
        <v>8</v>
      </c>
      <c r="BD8" s="617">
        <f t="shared" ref="BD8:BD71" si="12">SUM(BB8:BC8)</f>
        <v>19</v>
      </c>
      <c r="BE8" s="618"/>
      <c r="BF8" s="618"/>
      <c r="BG8" s="618"/>
      <c r="BH8" s="618">
        <f t="shared" ref="BH8:BH71" si="13">BA8-BD8</f>
        <v>10.399999999999999</v>
      </c>
    </row>
    <row r="9" spans="1:60" ht="17.25" thickTop="1" thickBot="1" x14ac:dyDescent="0.3">
      <c r="A9" s="77">
        <v>2</v>
      </c>
      <c r="B9" s="603">
        <f t="shared" ca="1" si="1"/>
        <v>43134</v>
      </c>
      <c r="C9" s="29" t="s">
        <v>2865</v>
      </c>
      <c r="D9" s="59" t="s">
        <v>2851</v>
      </c>
      <c r="E9" s="22" t="s">
        <v>105</v>
      </c>
      <c r="F9" s="27" t="s">
        <v>106</v>
      </c>
      <c r="G9" s="567">
        <v>42719</v>
      </c>
      <c r="H9" s="609">
        <f t="shared" ref="H9:H72" si="14">U9</f>
        <v>0</v>
      </c>
      <c r="I9" s="620"/>
      <c r="J9" s="620"/>
      <c r="K9" s="620"/>
      <c r="L9" s="611">
        <f t="shared" si="2"/>
        <v>0</v>
      </c>
      <c r="M9" s="621"/>
      <c r="N9" s="621"/>
      <c r="O9" s="621"/>
      <c r="P9" s="622">
        <f t="shared" si="3"/>
        <v>0</v>
      </c>
      <c r="Q9" s="609">
        <f t="shared" ref="Q9:Q72" si="15">AM9</f>
        <v>18.2</v>
      </c>
      <c r="R9" s="620"/>
      <c r="S9" s="620"/>
      <c r="T9" s="620"/>
      <c r="U9" s="611">
        <f t="shared" si="4"/>
        <v>0</v>
      </c>
      <c r="V9" s="621"/>
      <c r="W9" s="621"/>
      <c r="X9" s="621"/>
      <c r="Y9" s="622">
        <f t="shared" si="5"/>
        <v>-18.2</v>
      </c>
      <c r="Z9" s="609">
        <f t="shared" ref="Z9:Z72" si="16">AM9</f>
        <v>18.2</v>
      </c>
      <c r="AA9" s="620">
        <v>6.4</v>
      </c>
      <c r="AB9" s="620"/>
      <c r="AC9" s="620">
        <v>7</v>
      </c>
      <c r="AD9" s="611">
        <f t="shared" si="6"/>
        <v>13.4</v>
      </c>
      <c r="AE9" s="621"/>
      <c r="AF9" s="621"/>
      <c r="AG9" s="621"/>
      <c r="AH9" s="622">
        <f t="shared" si="7"/>
        <v>-4.7999999999999989</v>
      </c>
      <c r="AI9" s="609">
        <f t="shared" ref="AI9:AI72" si="17">AV9</f>
        <v>21</v>
      </c>
      <c r="AJ9" s="620">
        <v>10.199999999999999</v>
      </c>
      <c r="AK9" s="620"/>
      <c r="AL9" s="620">
        <v>8</v>
      </c>
      <c r="AM9" s="623">
        <f t="shared" si="8"/>
        <v>18.2</v>
      </c>
      <c r="AN9" s="621"/>
      <c r="AO9" s="621"/>
      <c r="AP9" s="621"/>
      <c r="AQ9" s="622">
        <f t="shared" si="9"/>
        <v>-2.8000000000000007</v>
      </c>
      <c r="AR9" s="615">
        <f t="shared" ref="AR9:AR72" si="18">BA9</f>
        <v>25.5</v>
      </c>
      <c r="AS9" s="610">
        <v>12</v>
      </c>
      <c r="AT9" s="610"/>
      <c r="AU9" s="610">
        <v>9</v>
      </c>
      <c r="AV9" s="614">
        <f t="shared" si="10"/>
        <v>21</v>
      </c>
      <c r="AW9" s="612">
        <v>3.31</v>
      </c>
      <c r="AX9" s="612">
        <v>3.35</v>
      </c>
      <c r="AY9" s="612">
        <v>90</v>
      </c>
      <c r="AZ9" s="624">
        <f t="shared" si="11"/>
        <v>-4.5</v>
      </c>
      <c r="BA9" s="614">
        <v>25.5</v>
      </c>
      <c r="BB9" s="610">
        <v>17</v>
      </c>
      <c r="BC9" s="610">
        <v>10</v>
      </c>
      <c r="BD9" s="614">
        <f t="shared" si="12"/>
        <v>27</v>
      </c>
      <c r="BE9" s="612"/>
      <c r="BF9" s="612"/>
      <c r="BG9" s="612"/>
      <c r="BH9" s="612">
        <f t="shared" si="13"/>
        <v>-1.5</v>
      </c>
    </row>
    <row r="10" spans="1:60" ht="17.25" thickTop="1" thickBot="1" x14ac:dyDescent="0.3">
      <c r="A10" s="602">
        <v>3</v>
      </c>
      <c r="B10" s="603">
        <f t="shared" ca="1" si="1"/>
        <v>43134</v>
      </c>
      <c r="C10" s="29" t="s">
        <v>2865</v>
      </c>
      <c r="D10" s="59" t="s">
        <v>2851</v>
      </c>
      <c r="E10" s="22" t="s">
        <v>108</v>
      </c>
      <c r="F10" s="239" t="s">
        <v>372</v>
      </c>
      <c r="G10" s="567">
        <v>42680</v>
      </c>
      <c r="H10" s="609">
        <f t="shared" si="14"/>
        <v>14.2</v>
      </c>
      <c r="I10" s="620"/>
      <c r="J10" s="620"/>
      <c r="K10" s="620"/>
      <c r="L10" s="611">
        <f t="shared" si="2"/>
        <v>0</v>
      </c>
      <c r="M10" s="621"/>
      <c r="N10" s="621"/>
      <c r="O10" s="621"/>
      <c r="P10" s="622">
        <f t="shared" si="3"/>
        <v>-14.2</v>
      </c>
      <c r="Q10" s="609">
        <f t="shared" si="15"/>
        <v>19</v>
      </c>
      <c r="R10" s="620">
        <v>5</v>
      </c>
      <c r="S10" s="620"/>
      <c r="T10" s="620">
        <v>9.1999999999999993</v>
      </c>
      <c r="U10" s="611">
        <f t="shared" si="4"/>
        <v>14.2</v>
      </c>
      <c r="V10" s="621"/>
      <c r="W10" s="621"/>
      <c r="X10" s="621"/>
      <c r="Y10" s="622">
        <f t="shared" si="5"/>
        <v>-4.8000000000000007</v>
      </c>
      <c r="Z10" s="609">
        <f t="shared" si="16"/>
        <v>19</v>
      </c>
      <c r="AA10" s="620">
        <v>9</v>
      </c>
      <c r="AB10" s="620"/>
      <c r="AC10" s="620">
        <v>9</v>
      </c>
      <c r="AD10" s="611">
        <f t="shared" si="6"/>
        <v>18</v>
      </c>
      <c r="AE10" s="621"/>
      <c r="AF10" s="621"/>
      <c r="AG10" s="621"/>
      <c r="AH10" s="622">
        <f t="shared" si="7"/>
        <v>-1</v>
      </c>
      <c r="AI10" s="609">
        <f t="shared" si="17"/>
        <v>19</v>
      </c>
      <c r="AJ10" s="620">
        <v>8</v>
      </c>
      <c r="AK10" s="620"/>
      <c r="AL10" s="620">
        <v>11</v>
      </c>
      <c r="AM10" s="623">
        <f t="shared" si="8"/>
        <v>19</v>
      </c>
      <c r="AN10" s="621"/>
      <c r="AO10" s="621"/>
      <c r="AP10" s="621"/>
      <c r="AQ10" s="622">
        <f t="shared" si="9"/>
        <v>0</v>
      </c>
      <c r="AR10" s="615">
        <f t="shared" si="18"/>
        <v>20.2</v>
      </c>
      <c r="AS10" s="620">
        <v>11</v>
      </c>
      <c r="AT10" s="620"/>
      <c r="AU10" s="620">
        <v>8</v>
      </c>
      <c r="AV10" s="623">
        <f t="shared" si="10"/>
        <v>19</v>
      </c>
      <c r="AW10" s="621">
        <v>3.86</v>
      </c>
      <c r="AX10" s="621">
        <v>3.35</v>
      </c>
      <c r="AY10" s="621">
        <v>98</v>
      </c>
      <c r="AZ10" s="624">
        <f t="shared" si="11"/>
        <v>-1.1999999999999993</v>
      </c>
      <c r="BA10" s="623">
        <v>20.2</v>
      </c>
      <c r="BB10" s="620">
        <v>10</v>
      </c>
      <c r="BC10" s="620">
        <v>9.5</v>
      </c>
      <c r="BD10" s="623">
        <f t="shared" si="12"/>
        <v>19.5</v>
      </c>
      <c r="BE10" s="621"/>
      <c r="BF10" s="621"/>
      <c r="BG10" s="621"/>
      <c r="BH10" s="621">
        <f t="shared" si="13"/>
        <v>0.69999999999999929</v>
      </c>
    </row>
    <row r="11" spans="1:60" ht="17.25" thickTop="1" thickBot="1" x14ac:dyDescent="0.3">
      <c r="A11" s="77">
        <v>4</v>
      </c>
      <c r="B11" s="603">
        <f t="shared" ca="1" si="1"/>
        <v>43134</v>
      </c>
      <c r="C11" s="29" t="s">
        <v>2865</v>
      </c>
      <c r="D11" s="59" t="s">
        <v>2851</v>
      </c>
      <c r="E11" s="22" t="s">
        <v>305</v>
      </c>
      <c r="F11" s="27" t="s">
        <v>306</v>
      </c>
      <c r="G11" s="567">
        <v>42525</v>
      </c>
      <c r="H11" s="609">
        <f t="shared" si="14"/>
        <v>14.8</v>
      </c>
      <c r="I11" s="620">
        <v>5.6</v>
      </c>
      <c r="J11" s="620"/>
      <c r="K11" s="620">
        <v>5.3</v>
      </c>
      <c r="L11" s="611">
        <f t="shared" si="2"/>
        <v>10.899999999999999</v>
      </c>
      <c r="M11" s="621"/>
      <c r="N11" s="621"/>
      <c r="O11" s="621"/>
      <c r="P11" s="622">
        <f t="shared" si="3"/>
        <v>-3.9000000000000021</v>
      </c>
      <c r="Q11" s="609">
        <f t="shared" si="15"/>
        <v>17</v>
      </c>
      <c r="R11" s="620">
        <v>7</v>
      </c>
      <c r="S11" s="620"/>
      <c r="T11" s="620">
        <v>7.8</v>
      </c>
      <c r="U11" s="611">
        <f t="shared" si="4"/>
        <v>14.8</v>
      </c>
      <c r="V11" s="621"/>
      <c r="W11" s="621"/>
      <c r="X11" s="621"/>
      <c r="Y11" s="622">
        <f t="shared" si="5"/>
        <v>-2.1999999999999993</v>
      </c>
      <c r="Z11" s="609">
        <f t="shared" si="16"/>
        <v>17</v>
      </c>
      <c r="AA11" s="620">
        <v>10</v>
      </c>
      <c r="AB11" s="620"/>
      <c r="AC11" s="620">
        <v>7</v>
      </c>
      <c r="AD11" s="611">
        <f t="shared" si="6"/>
        <v>17</v>
      </c>
      <c r="AE11" s="621"/>
      <c r="AF11" s="621"/>
      <c r="AG11" s="621"/>
      <c r="AH11" s="622">
        <f t="shared" si="7"/>
        <v>0</v>
      </c>
      <c r="AI11" s="609">
        <f t="shared" si="17"/>
        <v>20</v>
      </c>
      <c r="AJ11" s="620">
        <v>8</v>
      </c>
      <c r="AK11" s="620"/>
      <c r="AL11" s="620">
        <v>9</v>
      </c>
      <c r="AM11" s="623">
        <f t="shared" si="8"/>
        <v>17</v>
      </c>
      <c r="AN11" s="621"/>
      <c r="AO11" s="621"/>
      <c r="AP11" s="621"/>
      <c r="AQ11" s="622">
        <f t="shared" si="9"/>
        <v>-3</v>
      </c>
      <c r="AR11" s="615">
        <f t="shared" si="18"/>
        <v>17.2</v>
      </c>
      <c r="AS11" s="620">
        <v>12</v>
      </c>
      <c r="AT11" s="620"/>
      <c r="AU11" s="620">
        <v>8</v>
      </c>
      <c r="AV11" s="623">
        <f t="shared" si="10"/>
        <v>20</v>
      </c>
      <c r="AW11" s="621">
        <v>5</v>
      </c>
      <c r="AX11" s="621">
        <v>4.1399999999999997</v>
      </c>
      <c r="AY11" s="621">
        <v>128</v>
      </c>
      <c r="AZ11" s="624">
        <f t="shared" si="11"/>
        <v>2.8000000000000007</v>
      </c>
      <c r="BA11" s="623">
        <v>17.2</v>
      </c>
      <c r="BB11" s="620">
        <v>8.6</v>
      </c>
      <c r="BC11" s="620">
        <v>5</v>
      </c>
      <c r="BD11" s="623">
        <f t="shared" si="12"/>
        <v>13.6</v>
      </c>
      <c r="BE11" s="621"/>
      <c r="BF11" s="621"/>
      <c r="BG11" s="621"/>
      <c r="BH11" s="621">
        <f t="shared" si="13"/>
        <v>3.5999999999999996</v>
      </c>
    </row>
    <row r="12" spans="1:60" ht="17.25" thickTop="1" thickBot="1" x14ac:dyDescent="0.3">
      <c r="A12" s="602">
        <v>5</v>
      </c>
      <c r="B12" s="603">
        <f t="shared" ca="1" si="1"/>
        <v>43134</v>
      </c>
      <c r="C12" s="29" t="s">
        <v>2865</v>
      </c>
      <c r="D12" s="59" t="s">
        <v>2851</v>
      </c>
      <c r="E12" s="22" t="s">
        <v>476</v>
      </c>
      <c r="F12" s="27" t="s">
        <v>477</v>
      </c>
      <c r="G12" s="567">
        <v>42765</v>
      </c>
      <c r="H12" s="609">
        <f t="shared" si="14"/>
        <v>15.5</v>
      </c>
      <c r="I12" s="620">
        <v>4.4000000000000004</v>
      </c>
      <c r="J12" s="620"/>
      <c r="K12" s="620">
        <v>4.3</v>
      </c>
      <c r="L12" s="611">
        <f t="shared" si="2"/>
        <v>8.6999999999999993</v>
      </c>
      <c r="M12" s="621"/>
      <c r="N12" s="621"/>
      <c r="O12" s="621"/>
      <c r="P12" s="622">
        <f t="shared" si="3"/>
        <v>-6.8000000000000007</v>
      </c>
      <c r="Q12" s="609">
        <f t="shared" si="15"/>
        <v>22.4</v>
      </c>
      <c r="R12" s="620">
        <v>7</v>
      </c>
      <c r="S12" s="620"/>
      <c r="T12" s="620">
        <v>8.5</v>
      </c>
      <c r="U12" s="611">
        <f t="shared" si="4"/>
        <v>15.5</v>
      </c>
      <c r="V12" s="621"/>
      <c r="W12" s="621"/>
      <c r="X12" s="621"/>
      <c r="Y12" s="622">
        <f t="shared" si="5"/>
        <v>-6.8999999999999986</v>
      </c>
      <c r="Z12" s="609">
        <f t="shared" si="16"/>
        <v>22.4</v>
      </c>
      <c r="AA12" s="620">
        <v>9.1999999999999993</v>
      </c>
      <c r="AB12" s="620"/>
      <c r="AC12" s="620">
        <v>10</v>
      </c>
      <c r="AD12" s="611">
        <f t="shared" si="6"/>
        <v>19.2</v>
      </c>
      <c r="AE12" s="621"/>
      <c r="AF12" s="621"/>
      <c r="AG12" s="621"/>
      <c r="AH12" s="622">
        <f t="shared" si="7"/>
        <v>-3.1999999999999993</v>
      </c>
      <c r="AI12" s="609">
        <f t="shared" si="17"/>
        <v>22</v>
      </c>
      <c r="AJ12" s="620">
        <v>12.4</v>
      </c>
      <c r="AK12" s="620"/>
      <c r="AL12" s="620">
        <v>10</v>
      </c>
      <c r="AM12" s="623">
        <f t="shared" si="8"/>
        <v>22.4</v>
      </c>
      <c r="AN12" s="621"/>
      <c r="AO12" s="621"/>
      <c r="AP12" s="621"/>
      <c r="AQ12" s="622">
        <f t="shared" si="9"/>
        <v>0.39999999999999858</v>
      </c>
      <c r="AR12" s="615">
        <f t="shared" si="18"/>
        <v>6</v>
      </c>
      <c r="AS12" s="620">
        <v>11</v>
      </c>
      <c r="AT12" s="620"/>
      <c r="AU12" s="620">
        <v>11</v>
      </c>
      <c r="AV12" s="623">
        <f t="shared" si="10"/>
        <v>22</v>
      </c>
      <c r="AW12" s="621">
        <v>5.14</v>
      </c>
      <c r="AX12" s="621">
        <v>3.47</v>
      </c>
      <c r="AY12" s="621">
        <v>90</v>
      </c>
      <c r="AZ12" s="624">
        <f t="shared" si="11"/>
        <v>16</v>
      </c>
      <c r="BA12" s="623">
        <v>6</v>
      </c>
      <c r="BB12" s="620">
        <v>11</v>
      </c>
      <c r="BC12" s="620">
        <v>10</v>
      </c>
      <c r="BD12" s="623">
        <f t="shared" si="12"/>
        <v>21</v>
      </c>
      <c r="BE12" s="621"/>
      <c r="BF12" s="621"/>
      <c r="BG12" s="621"/>
      <c r="BH12" s="621">
        <f t="shared" si="13"/>
        <v>-15</v>
      </c>
    </row>
    <row r="13" spans="1:60" ht="17.25" thickTop="1" thickBot="1" x14ac:dyDescent="0.3">
      <c r="A13" s="77">
        <v>6</v>
      </c>
      <c r="B13" s="603">
        <f t="shared" ca="1" si="1"/>
        <v>43134</v>
      </c>
      <c r="C13" s="29" t="s">
        <v>2865</v>
      </c>
      <c r="D13" s="59" t="s">
        <v>2851</v>
      </c>
      <c r="E13" s="22" t="s">
        <v>688</v>
      </c>
      <c r="F13" s="27" t="s">
        <v>689</v>
      </c>
      <c r="G13" s="567">
        <v>42679</v>
      </c>
      <c r="H13" s="609">
        <f t="shared" si="14"/>
        <v>4</v>
      </c>
      <c r="I13" s="620"/>
      <c r="J13" s="620"/>
      <c r="K13" s="620"/>
      <c r="L13" s="611">
        <f t="shared" si="2"/>
        <v>0</v>
      </c>
      <c r="M13" s="621"/>
      <c r="N13" s="621"/>
      <c r="O13" s="621"/>
      <c r="P13" s="622">
        <f t="shared" si="3"/>
        <v>-4</v>
      </c>
      <c r="Q13" s="609">
        <f t="shared" si="15"/>
        <v>10.3</v>
      </c>
      <c r="R13" s="620">
        <v>2</v>
      </c>
      <c r="S13" s="620"/>
      <c r="T13" s="620">
        <v>2</v>
      </c>
      <c r="U13" s="611">
        <f t="shared" si="4"/>
        <v>4</v>
      </c>
      <c r="V13" s="621"/>
      <c r="W13" s="621"/>
      <c r="X13" s="621"/>
      <c r="Y13" s="622">
        <f t="shared" si="5"/>
        <v>-6.3000000000000007</v>
      </c>
      <c r="Z13" s="609">
        <f t="shared" si="16"/>
        <v>10.3</v>
      </c>
      <c r="AA13" s="620">
        <v>6.3</v>
      </c>
      <c r="AB13" s="620"/>
      <c r="AC13" s="620">
        <v>6</v>
      </c>
      <c r="AD13" s="611">
        <f t="shared" si="6"/>
        <v>12.3</v>
      </c>
      <c r="AE13" s="621"/>
      <c r="AF13" s="621"/>
      <c r="AG13" s="621"/>
      <c r="AH13" s="622">
        <f t="shared" si="7"/>
        <v>2</v>
      </c>
      <c r="AI13" s="609">
        <f t="shared" si="17"/>
        <v>12.2</v>
      </c>
      <c r="AJ13" s="620">
        <v>4.3</v>
      </c>
      <c r="AK13" s="620"/>
      <c r="AL13" s="620">
        <v>6</v>
      </c>
      <c r="AM13" s="623">
        <f t="shared" si="8"/>
        <v>10.3</v>
      </c>
      <c r="AN13" s="621"/>
      <c r="AO13" s="621"/>
      <c r="AP13" s="621"/>
      <c r="AQ13" s="622">
        <f t="shared" si="9"/>
        <v>-1.8999999999999986</v>
      </c>
      <c r="AR13" s="615">
        <f t="shared" si="18"/>
        <v>15</v>
      </c>
      <c r="AS13" s="620">
        <v>7</v>
      </c>
      <c r="AT13" s="620"/>
      <c r="AU13" s="620">
        <v>5.2</v>
      </c>
      <c r="AV13" s="623">
        <f t="shared" si="10"/>
        <v>12.2</v>
      </c>
      <c r="AW13" s="621">
        <v>4.3600000000000003</v>
      </c>
      <c r="AX13" s="621">
        <v>3.5</v>
      </c>
      <c r="AY13" s="621">
        <v>90</v>
      </c>
      <c r="AZ13" s="624">
        <f t="shared" si="11"/>
        <v>-2.8000000000000007</v>
      </c>
      <c r="BA13" s="623">
        <v>15</v>
      </c>
      <c r="BB13" s="620">
        <v>5.9</v>
      </c>
      <c r="BC13" s="620">
        <v>5.9</v>
      </c>
      <c r="BD13" s="623">
        <f t="shared" si="12"/>
        <v>11.8</v>
      </c>
      <c r="BE13" s="621"/>
      <c r="BF13" s="621"/>
      <c r="BG13" s="621"/>
      <c r="BH13" s="621">
        <f t="shared" si="13"/>
        <v>3.1999999999999993</v>
      </c>
    </row>
    <row r="14" spans="1:60" ht="17.25" thickTop="1" thickBot="1" x14ac:dyDescent="0.3">
      <c r="A14" s="602">
        <v>7</v>
      </c>
      <c r="B14" s="603">
        <f t="shared" ca="1" si="1"/>
        <v>43134</v>
      </c>
      <c r="C14" s="29" t="s">
        <v>2865</v>
      </c>
      <c r="D14" s="59" t="s">
        <v>2851</v>
      </c>
      <c r="E14" s="22" t="s">
        <v>354</v>
      </c>
      <c r="F14" s="27" t="s">
        <v>355</v>
      </c>
      <c r="G14" s="567">
        <v>42708</v>
      </c>
      <c r="H14" s="609">
        <f t="shared" si="14"/>
        <v>11</v>
      </c>
      <c r="I14" s="620">
        <v>2</v>
      </c>
      <c r="J14" s="620"/>
      <c r="K14" s="620">
        <v>2</v>
      </c>
      <c r="L14" s="611">
        <f t="shared" si="2"/>
        <v>4</v>
      </c>
      <c r="M14" s="621"/>
      <c r="N14" s="621"/>
      <c r="O14" s="621"/>
      <c r="P14" s="622">
        <f t="shared" si="3"/>
        <v>-7</v>
      </c>
      <c r="Q14" s="609">
        <f t="shared" si="15"/>
        <v>15</v>
      </c>
      <c r="R14" s="620">
        <v>5</v>
      </c>
      <c r="S14" s="620"/>
      <c r="T14" s="620">
        <v>6</v>
      </c>
      <c r="U14" s="611">
        <f t="shared" si="4"/>
        <v>11</v>
      </c>
      <c r="V14" s="621"/>
      <c r="W14" s="621"/>
      <c r="X14" s="621"/>
      <c r="Y14" s="622">
        <f t="shared" si="5"/>
        <v>-4</v>
      </c>
      <c r="Z14" s="609">
        <f t="shared" si="16"/>
        <v>15</v>
      </c>
      <c r="AA14" s="620">
        <v>6</v>
      </c>
      <c r="AB14" s="620"/>
      <c r="AC14" s="620">
        <v>5</v>
      </c>
      <c r="AD14" s="611">
        <f t="shared" si="6"/>
        <v>11</v>
      </c>
      <c r="AE14" s="621"/>
      <c r="AF14" s="621"/>
      <c r="AG14" s="621"/>
      <c r="AH14" s="622">
        <f t="shared" si="7"/>
        <v>-4</v>
      </c>
      <c r="AI14" s="609">
        <f t="shared" si="17"/>
        <v>13.8</v>
      </c>
      <c r="AJ14" s="620">
        <v>9</v>
      </c>
      <c r="AK14" s="620"/>
      <c r="AL14" s="620">
        <v>6</v>
      </c>
      <c r="AM14" s="623">
        <f t="shared" si="8"/>
        <v>15</v>
      </c>
      <c r="AN14" s="621"/>
      <c r="AO14" s="621"/>
      <c r="AP14" s="621"/>
      <c r="AQ14" s="622">
        <f t="shared" si="9"/>
        <v>1.1999999999999993</v>
      </c>
      <c r="AR14" s="615">
        <f t="shared" si="18"/>
        <v>17</v>
      </c>
      <c r="AS14" s="620">
        <v>8.8000000000000007</v>
      </c>
      <c r="AT14" s="620"/>
      <c r="AU14" s="620">
        <v>5</v>
      </c>
      <c r="AV14" s="623">
        <f t="shared" si="10"/>
        <v>13.8</v>
      </c>
      <c r="AW14" s="621">
        <v>4.04</v>
      </c>
      <c r="AX14" s="621">
        <v>3.28</v>
      </c>
      <c r="AY14" s="621">
        <v>90</v>
      </c>
      <c r="AZ14" s="624">
        <f t="shared" si="11"/>
        <v>-3.1999999999999993</v>
      </c>
      <c r="BA14" s="623">
        <v>17</v>
      </c>
      <c r="BB14" s="620">
        <v>7</v>
      </c>
      <c r="BC14" s="620">
        <v>6.2</v>
      </c>
      <c r="BD14" s="623">
        <f t="shared" si="12"/>
        <v>13.2</v>
      </c>
      <c r="BE14" s="621"/>
      <c r="BF14" s="621"/>
      <c r="BG14" s="621"/>
      <c r="BH14" s="621">
        <f t="shared" si="13"/>
        <v>3.8000000000000007</v>
      </c>
    </row>
    <row r="15" spans="1:60" ht="17.25" thickTop="1" thickBot="1" x14ac:dyDescent="0.3">
      <c r="A15" s="77">
        <v>8</v>
      </c>
      <c r="B15" s="603">
        <f t="shared" ca="1" si="1"/>
        <v>43134</v>
      </c>
      <c r="C15" s="29" t="s">
        <v>2865</v>
      </c>
      <c r="D15" s="59" t="s">
        <v>2851</v>
      </c>
      <c r="E15" s="22" t="s">
        <v>142</v>
      </c>
      <c r="F15" s="239" t="s">
        <v>143</v>
      </c>
      <c r="G15" s="567">
        <v>42782</v>
      </c>
      <c r="H15" s="609">
        <f t="shared" si="14"/>
        <v>14.7</v>
      </c>
      <c r="I15" s="620">
        <v>2.6</v>
      </c>
      <c r="J15" s="620"/>
      <c r="K15" s="620">
        <v>3</v>
      </c>
      <c r="L15" s="611">
        <f t="shared" si="2"/>
        <v>5.6</v>
      </c>
      <c r="M15" s="621"/>
      <c r="N15" s="621"/>
      <c r="O15" s="621"/>
      <c r="P15" s="622">
        <f t="shared" si="3"/>
        <v>-9.1</v>
      </c>
      <c r="Q15" s="609">
        <f t="shared" si="15"/>
        <v>9.6</v>
      </c>
      <c r="R15" s="620">
        <v>6.2</v>
      </c>
      <c r="S15" s="620"/>
      <c r="T15" s="620">
        <v>8.5</v>
      </c>
      <c r="U15" s="611">
        <f t="shared" si="4"/>
        <v>14.7</v>
      </c>
      <c r="V15" s="621"/>
      <c r="W15" s="621"/>
      <c r="X15" s="621"/>
      <c r="Y15" s="622">
        <f t="shared" si="5"/>
        <v>5.0999999999999996</v>
      </c>
      <c r="Z15" s="609">
        <f t="shared" si="16"/>
        <v>9.6</v>
      </c>
      <c r="AA15" s="620">
        <v>7.4</v>
      </c>
      <c r="AB15" s="620"/>
      <c r="AC15" s="620">
        <v>6</v>
      </c>
      <c r="AD15" s="611">
        <f t="shared" si="6"/>
        <v>13.4</v>
      </c>
      <c r="AE15" s="621"/>
      <c r="AF15" s="621"/>
      <c r="AG15" s="621"/>
      <c r="AH15" s="622">
        <f t="shared" si="7"/>
        <v>3.8000000000000007</v>
      </c>
      <c r="AI15" s="609">
        <f t="shared" si="17"/>
        <v>16.8</v>
      </c>
      <c r="AJ15" s="620">
        <v>8.6</v>
      </c>
      <c r="AK15" s="620"/>
      <c r="AL15" s="620">
        <v>1</v>
      </c>
      <c r="AM15" s="623">
        <f t="shared" si="8"/>
        <v>9.6</v>
      </c>
      <c r="AN15" s="621"/>
      <c r="AO15" s="621"/>
      <c r="AP15" s="621"/>
      <c r="AQ15" s="622">
        <f t="shared" si="9"/>
        <v>-7.2000000000000011</v>
      </c>
      <c r="AR15" s="615">
        <f t="shared" si="18"/>
        <v>21</v>
      </c>
      <c r="AS15" s="620">
        <v>9.6</v>
      </c>
      <c r="AT15" s="620"/>
      <c r="AU15" s="620">
        <v>7.2</v>
      </c>
      <c r="AV15" s="623">
        <f t="shared" si="10"/>
        <v>16.8</v>
      </c>
      <c r="AW15" s="621">
        <v>3.88</v>
      </c>
      <c r="AX15" s="621">
        <v>3.34</v>
      </c>
      <c r="AY15" s="621">
        <v>95</v>
      </c>
      <c r="AZ15" s="624">
        <f t="shared" si="11"/>
        <v>-4.1999999999999993</v>
      </c>
      <c r="BA15" s="623">
        <v>21</v>
      </c>
      <c r="BB15" s="620">
        <v>8</v>
      </c>
      <c r="BC15" s="620">
        <v>5</v>
      </c>
      <c r="BD15" s="623">
        <f t="shared" si="12"/>
        <v>13</v>
      </c>
      <c r="BE15" s="621"/>
      <c r="BF15" s="621"/>
      <c r="BG15" s="621"/>
      <c r="BH15" s="621">
        <f t="shared" si="13"/>
        <v>8</v>
      </c>
    </row>
    <row r="16" spans="1:60" ht="17.25" thickTop="1" thickBot="1" x14ac:dyDescent="0.3">
      <c r="A16" s="602">
        <v>9</v>
      </c>
      <c r="B16" s="603">
        <f t="shared" ca="1" si="1"/>
        <v>43134</v>
      </c>
      <c r="C16" s="29" t="s">
        <v>2865</v>
      </c>
      <c r="D16" s="59" t="s">
        <v>2851</v>
      </c>
      <c r="E16" s="22" t="s">
        <v>691</v>
      </c>
      <c r="F16" s="27" t="s">
        <v>692</v>
      </c>
      <c r="G16" s="567">
        <v>42672</v>
      </c>
      <c r="H16" s="609">
        <f t="shared" si="14"/>
        <v>0</v>
      </c>
      <c r="I16" s="620">
        <v>13.8</v>
      </c>
      <c r="J16" s="620">
        <v>8</v>
      </c>
      <c r="K16" s="620">
        <v>12</v>
      </c>
      <c r="L16" s="611">
        <f t="shared" si="2"/>
        <v>33.799999999999997</v>
      </c>
      <c r="M16" s="621"/>
      <c r="N16" s="621"/>
      <c r="O16" s="621"/>
      <c r="P16" s="622">
        <f t="shared" si="3"/>
        <v>33.799999999999997</v>
      </c>
      <c r="Q16" s="609">
        <f t="shared" si="15"/>
        <v>23.2</v>
      </c>
      <c r="R16" s="620"/>
      <c r="S16" s="620"/>
      <c r="T16" s="620"/>
      <c r="U16" s="611">
        <f t="shared" si="4"/>
        <v>0</v>
      </c>
      <c r="V16" s="621"/>
      <c r="W16" s="621"/>
      <c r="X16" s="621"/>
      <c r="Y16" s="622">
        <f t="shared" si="5"/>
        <v>-23.2</v>
      </c>
      <c r="Z16" s="609">
        <f t="shared" si="16"/>
        <v>23.2</v>
      </c>
      <c r="AA16" s="620"/>
      <c r="AB16" s="620"/>
      <c r="AC16" s="620"/>
      <c r="AD16" s="611">
        <f t="shared" si="6"/>
        <v>0</v>
      </c>
      <c r="AE16" s="621"/>
      <c r="AF16" s="621"/>
      <c r="AG16" s="621"/>
      <c r="AH16" s="622">
        <f t="shared" si="7"/>
        <v>-23.2</v>
      </c>
      <c r="AI16" s="609">
        <f t="shared" si="17"/>
        <v>27</v>
      </c>
      <c r="AJ16" s="620">
        <v>12.2</v>
      </c>
      <c r="AK16" s="620"/>
      <c r="AL16" s="620">
        <v>11</v>
      </c>
      <c r="AM16" s="623">
        <f t="shared" si="8"/>
        <v>23.2</v>
      </c>
      <c r="AN16" s="621"/>
      <c r="AO16" s="621"/>
      <c r="AP16" s="621"/>
      <c r="AQ16" s="622">
        <f t="shared" si="9"/>
        <v>-3.8000000000000007</v>
      </c>
      <c r="AR16" s="615">
        <f t="shared" si="18"/>
        <v>25</v>
      </c>
      <c r="AS16" s="620">
        <v>20</v>
      </c>
      <c r="AT16" s="620"/>
      <c r="AU16" s="620">
        <v>7</v>
      </c>
      <c r="AV16" s="623">
        <f t="shared" si="10"/>
        <v>27</v>
      </c>
      <c r="AW16" s="621"/>
      <c r="AX16" s="621"/>
      <c r="AY16" s="621"/>
      <c r="AZ16" s="624">
        <f t="shared" si="11"/>
        <v>2</v>
      </c>
      <c r="BA16" s="623">
        <v>25</v>
      </c>
      <c r="BB16" s="620">
        <v>6.5</v>
      </c>
      <c r="BC16" s="620">
        <v>7</v>
      </c>
      <c r="BD16" s="623">
        <f t="shared" si="12"/>
        <v>13.5</v>
      </c>
      <c r="BE16" s="621"/>
      <c r="BF16" s="621"/>
      <c r="BG16" s="621"/>
      <c r="BH16" s="621">
        <f t="shared" si="13"/>
        <v>11.5</v>
      </c>
    </row>
    <row r="17" spans="1:60" ht="17.25" thickTop="1" thickBot="1" x14ac:dyDescent="0.3">
      <c r="A17" s="77">
        <v>10</v>
      </c>
      <c r="B17" s="603">
        <f t="shared" ca="1" si="1"/>
        <v>43134</v>
      </c>
      <c r="C17" s="29" t="s">
        <v>2865</v>
      </c>
      <c r="D17" s="59" t="s">
        <v>2851</v>
      </c>
      <c r="E17" s="22" t="s">
        <v>806</v>
      </c>
      <c r="F17" s="27" t="s">
        <v>807</v>
      </c>
      <c r="G17" s="567">
        <v>42611</v>
      </c>
      <c r="H17" s="609">
        <f t="shared" si="14"/>
        <v>26.9</v>
      </c>
      <c r="I17" s="620">
        <v>14.2</v>
      </c>
      <c r="J17" s="620">
        <v>11.9</v>
      </c>
      <c r="K17" s="620">
        <v>11.9</v>
      </c>
      <c r="L17" s="611">
        <f t="shared" si="2"/>
        <v>38</v>
      </c>
      <c r="M17" s="621"/>
      <c r="N17" s="621"/>
      <c r="O17" s="621"/>
      <c r="P17" s="622">
        <f t="shared" si="3"/>
        <v>11.100000000000001</v>
      </c>
      <c r="Q17" s="609">
        <f t="shared" si="15"/>
        <v>0</v>
      </c>
      <c r="R17" s="620">
        <v>11.2</v>
      </c>
      <c r="S17" s="620">
        <v>8</v>
      </c>
      <c r="T17" s="620">
        <v>7.7</v>
      </c>
      <c r="U17" s="611">
        <f t="shared" si="4"/>
        <v>26.9</v>
      </c>
      <c r="V17" s="621"/>
      <c r="W17" s="621"/>
      <c r="X17" s="621"/>
      <c r="Y17" s="622">
        <f t="shared" si="5"/>
        <v>26.9</v>
      </c>
      <c r="Z17" s="609">
        <f t="shared" si="16"/>
        <v>0</v>
      </c>
      <c r="AA17" s="620"/>
      <c r="AB17" s="620"/>
      <c r="AC17" s="620"/>
      <c r="AD17" s="611">
        <f t="shared" si="6"/>
        <v>0</v>
      </c>
      <c r="AE17" s="621"/>
      <c r="AF17" s="621"/>
      <c r="AG17" s="621"/>
      <c r="AH17" s="622">
        <f t="shared" si="7"/>
        <v>0</v>
      </c>
      <c r="AI17" s="609">
        <f t="shared" si="17"/>
        <v>14</v>
      </c>
      <c r="AJ17" s="620"/>
      <c r="AK17" s="620"/>
      <c r="AL17" s="620"/>
      <c r="AM17" s="623">
        <f t="shared" si="8"/>
        <v>0</v>
      </c>
      <c r="AN17" s="621"/>
      <c r="AO17" s="621"/>
      <c r="AP17" s="621"/>
      <c r="AQ17" s="622">
        <f t="shared" si="9"/>
        <v>-14</v>
      </c>
      <c r="AR17" s="615">
        <f t="shared" si="18"/>
        <v>14.5</v>
      </c>
      <c r="AS17" s="620">
        <v>9</v>
      </c>
      <c r="AT17" s="620"/>
      <c r="AU17" s="620">
        <v>5</v>
      </c>
      <c r="AV17" s="623">
        <f t="shared" si="10"/>
        <v>14</v>
      </c>
      <c r="AW17" s="621">
        <v>4.3499999999999996</v>
      </c>
      <c r="AX17" s="621">
        <v>3.92</v>
      </c>
      <c r="AY17" s="621">
        <v>104</v>
      </c>
      <c r="AZ17" s="624">
        <f t="shared" si="11"/>
        <v>-0.5</v>
      </c>
      <c r="BA17" s="623">
        <v>14.5</v>
      </c>
      <c r="BB17" s="620">
        <v>5</v>
      </c>
      <c r="BC17" s="620">
        <v>5</v>
      </c>
      <c r="BD17" s="623">
        <f t="shared" si="12"/>
        <v>10</v>
      </c>
      <c r="BE17" s="621"/>
      <c r="BF17" s="621"/>
      <c r="BG17" s="621"/>
      <c r="BH17" s="621">
        <f t="shared" si="13"/>
        <v>4.5</v>
      </c>
    </row>
    <row r="18" spans="1:60" ht="17.25" thickTop="1" thickBot="1" x14ac:dyDescent="0.3">
      <c r="A18" s="602">
        <v>11</v>
      </c>
      <c r="B18" s="603">
        <f t="shared" ca="1" si="1"/>
        <v>43134</v>
      </c>
      <c r="C18" s="29" t="s">
        <v>2865</v>
      </c>
      <c r="D18" s="59" t="s">
        <v>2851</v>
      </c>
      <c r="E18" s="22" t="s">
        <v>754</v>
      </c>
      <c r="F18" s="27" t="s">
        <v>1844</v>
      </c>
      <c r="G18" s="567">
        <v>42823</v>
      </c>
      <c r="H18" s="609">
        <f t="shared" si="14"/>
        <v>16.100000000000001</v>
      </c>
      <c r="I18" s="620">
        <v>4.5999999999999996</v>
      </c>
      <c r="J18" s="620"/>
      <c r="K18" s="620">
        <v>5.2</v>
      </c>
      <c r="L18" s="611">
        <f t="shared" si="2"/>
        <v>9.8000000000000007</v>
      </c>
      <c r="M18" s="621"/>
      <c r="N18" s="621"/>
      <c r="O18" s="621"/>
      <c r="P18" s="622">
        <f t="shared" si="3"/>
        <v>-6.3000000000000007</v>
      </c>
      <c r="Q18" s="609">
        <f t="shared" si="15"/>
        <v>22</v>
      </c>
      <c r="R18" s="620">
        <v>10</v>
      </c>
      <c r="S18" s="620"/>
      <c r="T18" s="620">
        <v>6.1</v>
      </c>
      <c r="U18" s="611">
        <f t="shared" si="4"/>
        <v>16.100000000000001</v>
      </c>
      <c r="V18" s="621"/>
      <c r="W18" s="621"/>
      <c r="X18" s="621"/>
      <c r="Y18" s="622">
        <f t="shared" si="5"/>
        <v>-5.8999999999999986</v>
      </c>
      <c r="Z18" s="609">
        <f t="shared" si="16"/>
        <v>22</v>
      </c>
      <c r="AA18" s="620">
        <v>8</v>
      </c>
      <c r="AB18" s="620"/>
      <c r="AC18" s="620">
        <v>10</v>
      </c>
      <c r="AD18" s="611">
        <f t="shared" si="6"/>
        <v>18</v>
      </c>
      <c r="AE18" s="621"/>
      <c r="AF18" s="621"/>
      <c r="AG18" s="621"/>
      <c r="AH18" s="622">
        <f t="shared" si="7"/>
        <v>-4</v>
      </c>
      <c r="AI18" s="609">
        <f t="shared" si="17"/>
        <v>25.4</v>
      </c>
      <c r="AJ18" s="620">
        <v>13</v>
      </c>
      <c r="AK18" s="620"/>
      <c r="AL18" s="620">
        <v>9</v>
      </c>
      <c r="AM18" s="623">
        <f t="shared" si="8"/>
        <v>22</v>
      </c>
      <c r="AN18" s="621"/>
      <c r="AO18" s="621"/>
      <c r="AP18" s="621"/>
      <c r="AQ18" s="622">
        <f t="shared" si="9"/>
        <v>-3.3999999999999986</v>
      </c>
      <c r="AR18" s="615">
        <f t="shared" si="18"/>
        <v>22</v>
      </c>
      <c r="AS18" s="620">
        <v>10.4</v>
      </c>
      <c r="AT18" s="620"/>
      <c r="AU18" s="620">
        <v>15</v>
      </c>
      <c r="AV18" s="623">
        <f t="shared" si="10"/>
        <v>25.4</v>
      </c>
      <c r="AW18" s="621">
        <v>4.63</v>
      </c>
      <c r="AX18" s="621">
        <v>3.46</v>
      </c>
      <c r="AY18" s="621">
        <v>90</v>
      </c>
      <c r="AZ18" s="624">
        <f t="shared" si="11"/>
        <v>3.3999999999999986</v>
      </c>
      <c r="BA18" s="623">
        <v>22</v>
      </c>
      <c r="BB18" s="620">
        <v>11</v>
      </c>
      <c r="BC18" s="620">
        <v>10.5</v>
      </c>
      <c r="BD18" s="623">
        <f t="shared" si="12"/>
        <v>21.5</v>
      </c>
      <c r="BE18" s="621"/>
      <c r="BF18" s="621"/>
      <c r="BG18" s="621"/>
      <c r="BH18" s="621">
        <f t="shared" si="13"/>
        <v>0.5</v>
      </c>
    </row>
    <row r="19" spans="1:60" ht="17.25" thickTop="1" thickBot="1" x14ac:dyDescent="0.3">
      <c r="A19" s="77">
        <v>12</v>
      </c>
      <c r="B19" s="603">
        <f t="shared" ca="1" si="1"/>
        <v>43134</v>
      </c>
      <c r="C19" s="29" t="s">
        <v>2865</v>
      </c>
      <c r="D19" s="59" t="s">
        <v>2851</v>
      </c>
      <c r="E19" s="22" t="s">
        <v>146</v>
      </c>
      <c r="F19" s="27" t="s">
        <v>808</v>
      </c>
      <c r="G19" s="567">
        <v>42532</v>
      </c>
      <c r="H19" s="609">
        <f t="shared" si="14"/>
        <v>14</v>
      </c>
      <c r="I19" s="620">
        <v>7</v>
      </c>
      <c r="J19" s="620"/>
      <c r="K19" s="620">
        <v>7</v>
      </c>
      <c r="L19" s="611">
        <f t="shared" si="2"/>
        <v>14</v>
      </c>
      <c r="M19" s="621"/>
      <c r="N19" s="621"/>
      <c r="O19" s="621"/>
      <c r="P19" s="622">
        <f t="shared" si="3"/>
        <v>0</v>
      </c>
      <c r="Q19" s="609">
        <f t="shared" si="15"/>
        <v>15.6</v>
      </c>
      <c r="R19" s="620">
        <v>7.6</v>
      </c>
      <c r="S19" s="620"/>
      <c r="T19" s="620">
        <v>6.4</v>
      </c>
      <c r="U19" s="611">
        <f t="shared" si="4"/>
        <v>14</v>
      </c>
      <c r="V19" s="621"/>
      <c r="W19" s="621"/>
      <c r="X19" s="621"/>
      <c r="Y19" s="622">
        <f t="shared" si="5"/>
        <v>-1.5999999999999996</v>
      </c>
      <c r="Z19" s="609">
        <f t="shared" si="16"/>
        <v>15.6</v>
      </c>
      <c r="AA19" s="620">
        <v>10.1</v>
      </c>
      <c r="AB19" s="620"/>
      <c r="AC19" s="620">
        <v>8.1999999999999993</v>
      </c>
      <c r="AD19" s="611">
        <f t="shared" si="6"/>
        <v>18.299999999999997</v>
      </c>
      <c r="AE19" s="621"/>
      <c r="AF19" s="621"/>
      <c r="AG19" s="621"/>
      <c r="AH19" s="622">
        <f t="shared" si="7"/>
        <v>2.6999999999999975</v>
      </c>
      <c r="AI19" s="609">
        <f t="shared" si="17"/>
        <v>13.1</v>
      </c>
      <c r="AJ19" s="620">
        <v>12.2</v>
      </c>
      <c r="AK19" s="620"/>
      <c r="AL19" s="620">
        <v>3.4</v>
      </c>
      <c r="AM19" s="623">
        <f t="shared" si="8"/>
        <v>15.6</v>
      </c>
      <c r="AN19" s="621"/>
      <c r="AO19" s="621"/>
      <c r="AP19" s="621"/>
      <c r="AQ19" s="622">
        <f t="shared" si="9"/>
        <v>2.5</v>
      </c>
      <c r="AR19" s="615">
        <f t="shared" si="18"/>
        <v>21.3</v>
      </c>
      <c r="AS19" s="620">
        <v>6</v>
      </c>
      <c r="AT19" s="620"/>
      <c r="AU19" s="620">
        <v>7.1</v>
      </c>
      <c r="AV19" s="623">
        <f t="shared" si="10"/>
        <v>13.1</v>
      </c>
      <c r="AW19" s="621">
        <v>5.35</v>
      </c>
      <c r="AX19" s="621">
        <v>4.1900000000000004</v>
      </c>
      <c r="AY19" s="621">
        <v>105</v>
      </c>
      <c r="AZ19" s="624">
        <f t="shared" si="11"/>
        <v>-8.2000000000000011</v>
      </c>
      <c r="BA19" s="623">
        <v>21.3</v>
      </c>
      <c r="BB19" s="620">
        <v>8.4</v>
      </c>
      <c r="BC19" s="620">
        <v>7</v>
      </c>
      <c r="BD19" s="623">
        <f t="shared" si="12"/>
        <v>15.4</v>
      </c>
      <c r="BE19" s="621"/>
      <c r="BF19" s="621"/>
      <c r="BG19" s="621"/>
      <c r="BH19" s="621">
        <f t="shared" si="13"/>
        <v>5.9</v>
      </c>
    </row>
    <row r="20" spans="1:60" ht="17.25" thickTop="1" thickBot="1" x14ac:dyDescent="0.3">
      <c r="A20" s="602">
        <v>13</v>
      </c>
      <c r="B20" s="603">
        <f t="shared" ca="1" si="1"/>
        <v>43134</v>
      </c>
      <c r="C20" s="29" t="s">
        <v>2865</v>
      </c>
      <c r="D20" s="59" t="s">
        <v>2851</v>
      </c>
      <c r="E20" s="22" t="s">
        <v>853</v>
      </c>
      <c r="F20" s="27" t="s">
        <v>854</v>
      </c>
      <c r="G20" s="567">
        <v>42526</v>
      </c>
      <c r="H20" s="609">
        <f t="shared" si="14"/>
        <v>10</v>
      </c>
      <c r="I20" s="620">
        <v>4</v>
      </c>
      <c r="J20" s="620"/>
      <c r="K20" s="620">
        <v>4</v>
      </c>
      <c r="L20" s="611">
        <f t="shared" si="2"/>
        <v>8</v>
      </c>
      <c r="M20" s="621"/>
      <c r="N20" s="621"/>
      <c r="O20" s="621"/>
      <c r="P20" s="622">
        <f t="shared" si="3"/>
        <v>-2</v>
      </c>
      <c r="Q20" s="609">
        <f t="shared" si="15"/>
        <v>18.8</v>
      </c>
      <c r="R20" s="620">
        <v>7</v>
      </c>
      <c r="S20" s="620"/>
      <c r="T20" s="620">
        <v>3</v>
      </c>
      <c r="U20" s="611">
        <f t="shared" si="4"/>
        <v>10</v>
      </c>
      <c r="V20" s="621"/>
      <c r="W20" s="621"/>
      <c r="X20" s="621"/>
      <c r="Y20" s="622">
        <f t="shared" si="5"/>
        <v>-8.8000000000000007</v>
      </c>
      <c r="Z20" s="609">
        <f t="shared" si="16"/>
        <v>18.8</v>
      </c>
      <c r="AA20" s="620">
        <v>10</v>
      </c>
      <c r="AB20" s="620"/>
      <c r="AC20" s="620">
        <v>8.8000000000000007</v>
      </c>
      <c r="AD20" s="611">
        <f t="shared" si="6"/>
        <v>18.8</v>
      </c>
      <c r="AE20" s="621"/>
      <c r="AF20" s="621"/>
      <c r="AG20" s="621"/>
      <c r="AH20" s="622">
        <f t="shared" si="7"/>
        <v>0</v>
      </c>
      <c r="AI20" s="609">
        <f t="shared" si="17"/>
        <v>17</v>
      </c>
      <c r="AJ20" s="620">
        <v>11</v>
      </c>
      <c r="AK20" s="620"/>
      <c r="AL20" s="620">
        <v>7.8</v>
      </c>
      <c r="AM20" s="623">
        <f t="shared" si="8"/>
        <v>18.8</v>
      </c>
      <c r="AN20" s="621"/>
      <c r="AO20" s="621"/>
      <c r="AP20" s="621"/>
      <c r="AQ20" s="622">
        <f t="shared" si="9"/>
        <v>1.8000000000000007</v>
      </c>
      <c r="AR20" s="615">
        <f t="shared" si="18"/>
        <v>19.8</v>
      </c>
      <c r="AS20" s="620">
        <v>10</v>
      </c>
      <c r="AT20" s="620"/>
      <c r="AU20" s="620">
        <v>7</v>
      </c>
      <c r="AV20" s="623">
        <f t="shared" si="10"/>
        <v>17</v>
      </c>
      <c r="AW20" s="621">
        <v>5.12</v>
      </c>
      <c r="AX20" s="621">
        <v>4.08</v>
      </c>
      <c r="AY20" s="621">
        <v>111</v>
      </c>
      <c r="AZ20" s="624">
        <f t="shared" si="11"/>
        <v>-2.8000000000000007</v>
      </c>
      <c r="BA20" s="623">
        <v>19.8</v>
      </c>
      <c r="BB20" s="620">
        <v>9.4</v>
      </c>
      <c r="BC20" s="620">
        <v>10</v>
      </c>
      <c r="BD20" s="623">
        <f t="shared" si="12"/>
        <v>19.399999999999999</v>
      </c>
      <c r="BE20" s="621"/>
      <c r="BF20" s="621"/>
      <c r="BG20" s="621"/>
      <c r="BH20" s="621">
        <f t="shared" si="13"/>
        <v>0.40000000000000213</v>
      </c>
    </row>
    <row r="21" spans="1:60" ht="17.25" thickTop="1" thickBot="1" x14ac:dyDescent="0.3">
      <c r="A21" s="77">
        <v>14</v>
      </c>
      <c r="B21" s="603">
        <f t="shared" ca="1" si="1"/>
        <v>43134</v>
      </c>
      <c r="C21" s="29" t="s">
        <v>2865</v>
      </c>
      <c r="D21" s="59" t="s">
        <v>2851</v>
      </c>
      <c r="E21" s="22" t="s">
        <v>515</v>
      </c>
      <c r="F21" s="27" t="s">
        <v>516</v>
      </c>
      <c r="G21" s="567">
        <v>42737</v>
      </c>
      <c r="H21" s="609">
        <f t="shared" si="14"/>
        <v>12</v>
      </c>
      <c r="I21" s="620">
        <v>1</v>
      </c>
      <c r="J21" s="620"/>
      <c r="K21" s="620">
        <v>1</v>
      </c>
      <c r="L21" s="611">
        <f t="shared" si="2"/>
        <v>2</v>
      </c>
      <c r="M21" s="621"/>
      <c r="N21" s="621"/>
      <c r="O21" s="621"/>
      <c r="P21" s="622">
        <f t="shared" si="3"/>
        <v>-10</v>
      </c>
      <c r="Q21" s="609">
        <f t="shared" si="15"/>
        <v>18.600000000000001</v>
      </c>
      <c r="R21" s="620">
        <v>0</v>
      </c>
      <c r="S21" s="620"/>
      <c r="T21" s="620">
        <v>12</v>
      </c>
      <c r="U21" s="611">
        <f t="shared" si="4"/>
        <v>12</v>
      </c>
      <c r="V21" s="621"/>
      <c r="W21" s="621"/>
      <c r="X21" s="621"/>
      <c r="Y21" s="622">
        <f t="shared" si="5"/>
        <v>-6.6000000000000014</v>
      </c>
      <c r="Z21" s="609">
        <f t="shared" si="16"/>
        <v>18.600000000000001</v>
      </c>
      <c r="AA21" s="620">
        <v>4</v>
      </c>
      <c r="AB21" s="620"/>
      <c r="AC21" s="620">
        <v>3</v>
      </c>
      <c r="AD21" s="611">
        <f t="shared" si="6"/>
        <v>7</v>
      </c>
      <c r="AE21" s="621"/>
      <c r="AF21" s="621"/>
      <c r="AG21" s="621"/>
      <c r="AH21" s="622">
        <f t="shared" si="7"/>
        <v>-11.600000000000001</v>
      </c>
      <c r="AI21" s="609">
        <f t="shared" si="17"/>
        <v>22.2</v>
      </c>
      <c r="AJ21" s="620">
        <v>9</v>
      </c>
      <c r="AK21" s="620"/>
      <c r="AL21" s="620">
        <v>9.6</v>
      </c>
      <c r="AM21" s="623">
        <f t="shared" si="8"/>
        <v>18.600000000000001</v>
      </c>
      <c r="AN21" s="621"/>
      <c r="AO21" s="621"/>
      <c r="AP21" s="621"/>
      <c r="AQ21" s="622">
        <f t="shared" si="9"/>
        <v>-3.5999999999999979</v>
      </c>
      <c r="AR21" s="615">
        <f t="shared" si="18"/>
        <v>25.5</v>
      </c>
      <c r="AS21" s="620">
        <v>13</v>
      </c>
      <c r="AT21" s="620"/>
      <c r="AU21" s="620">
        <v>9.1999999999999993</v>
      </c>
      <c r="AV21" s="623">
        <f t="shared" si="10"/>
        <v>22.2</v>
      </c>
      <c r="AW21" s="621">
        <v>3.16</v>
      </c>
      <c r="AX21" s="621">
        <v>3.4</v>
      </c>
      <c r="AY21" s="621">
        <v>90</v>
      </c>
      <c r="AZ21" s="624">
        <f t="shared" si="11"/>
        <v>-3.3000000000000007</v>
      </c>
      <c r="BA21" s="623">
        <v>25.5</v>
      </c>
      <c r="BB21" s="620">
        <v>10</v>
      </c>
      <c r="BC21" s="620">
        <v>10.199999999999999</v>
      </c>
      <c r="BD21" s="623">
        <f t="shared" si="12"/>
        <v>20.2</v>
      </c>
      <c r="BE21" s="621"/>
      <c r="BF21" s="621"/>
      <c r="BG21" s="621"/>
      <c r="BH21" s="621">
        <f t="shared" si="13"/>
        <v>5.3000000000000007</v>
      </c>
    </row>
    <row r="22" spans="1:60" ht="17.25" thickTop="1" thickBot="1" x14ac:dyDescent="0.3">
      <c r="A22" s="602">
        <v>15</v>
      </c>
      <c r="B22" s="603">
        <f t="shared" ca="1" si="1"/>
        <v>43134</v>
      </c>
      <c r="C22" s="29" t="s">
        <v>2865</v>
      </c>
      <c r="D22" s="59" t="s">
        <v>2851</v>
      </c>
      <c r="E22" s="22" t="s">
        <v>358</v>
      </c>
      <c r="F22" s="239" t="s">
        <v>726</v>
      </c>
      <c r="G22" s="567">
        <v>42516</v>
      </c>
      <c r="H22" s="609">
        <f t="shared" si="14"/>
        <v>14</v>
      </c>
      <c r="I22" s="620">
        <v>7</v>
      </c>
      <c r="J22" s="620"/>
      <c r="K22" s="620">
        <v>7</v>
      </c>
      <c r="L22" s="611">
        <f t="shared" si="2"/>
        <v>14</v>
      </c>
      <c r="M22" s="621"/>
      <c r="N22" s="621"/>
      <c r="O22" s="621"/>
      <c r="P22" s="622">
        <f t="shared" si="3"/>
        <v>0</v>
      </c>
      <c r="Q22" s="609">
        <f t="shared" si="15"/>
        <v>20</v>
      </c>
      <c r="R22" s="620">
        <v>7</v>
      </c>
      <c r="S22" s="620"/>
      <c r="T22" s="620">
        <v>7</v>
      </c>
      <c r="U22" s="611">
        <f t="shared" si="4"/>
        <v>14</v>
      </c>
      <c r="V22" s="621"/>
      <c r="W22" s="621"/>
      <c r="X22" s="621"/>
      <c r="Y22" s="622">
        <f t="shared" si="5"/>
        <v>-6</v>
      </c>
      <c r="Z22" s="609">
        <f t="shared" si="16"/>
        <v>20</v>
      </c>
      <c r="AA22" s="620">
        <v>9.9</v>
      </c>
      <c r="AB22" s="620"/>
      <c r="AC22" s="620">
        <v>7.8</v>
      </c>
      <c r="AD22" s="611">
        <f t="shared" si="6"/>
        <v>17.7</v>
      </c>
      <c r="AE22" s="621"/>
      <c r="AF22" s="621"/>
      <c r="AG22" s="621"/>
      <c r="AH22" s="622">
        <f t="shared" si="7"/>
        <v>-2.3000000000000007</v>
      </c>
      <c r="AI22" s="609">
        <f t="shared" si="17"/>
        <v>20.3</v>
      </c>
      <c r="AJ22" s="620">
        <v>11</v>
      </c>
      <c r="AK22" s="620"/>
      <c r="AL22" s="620">
        <v>9</v>
      </c>
      <c r="AM22" s="623">
        <f t="shared" si="8"/>
        <v>20</v>
      </c>
      <c r="AN22" s="621"/>
      <c r="AO22" s="621"/>
      <c r="AP22" s="621"/>
      <c r="AQ22" s="622">
        <f t="shared" si="9"/>
        <v>-0.30000000000000071</v>
      </c>
      <c r="AR22" s="615">
        <f t="shared" si="18"/>
        <v>20</v>
      </c>
      <c r="AS22" s="620">
        <v>10.4</v>
      </c>
      <c r="AT22" s="620"/>
      <c r="AU22" s="620">
        <v>9.9</v>
      </c>
      <c r="AV22" s="623">
        <f t="shared" si="10"/>
        <v>20.3</v>
      </c>
      <c r="AW22" s="621">
        <v>5.77</v>
      </c>
      <c r="AX22" s="621">
        <v>4.22</v>
      </c>
      <c r="AY22" s="621">
        <v>109</v>
      </c>
      <c r="AZ22" s="624">
        <f t="shared" si="11"/>
        <v>0.30000000000000071</v>
      </c>
      <c r="BA22" s="623">
        <v>20</v>
      </c>
      <c r="BB22" s="620">
        <v>13</v>
      </c>
      <c r="BC22" s="620">
        <v>10</v>
      </c>
      <c r="BD22" s="623">
        <f t="shared" si="12"/>
        <v>23</v>
      </c>
      <c r="BE22" s="621"/>
      <c r="BF22" s="621"/>
      <c r="BG22" s="621"/>
      <c r="BH22" s="621">
        <f t="shared" si="13"/>
        <v>-3</v>
      </c>
    </row>
    <row r="23" spans="1:60" ht="17.25" thickTop="1" thickBot="1" x14ac:dyDescent="0.3">
      <c r="A23" s="77">
        <v>16</v>
      </c>
      <c r="B23" s="603">
        <f t="shared" ca="1" si="1"/>
        <v>43134</v>
      </c>
      <c r="C23" s="29" t="s">
        <v>2865</v>
      </c>
      <c r="D23" s="59" t="s">
        <v>2851</v>
      </c>
      <c r="E23" s="22" t="s">
        <v>336</v>
      </c>
      <c r="F23" s="27" t="s">
        <v>824</v>
      </c>
      <c r="G23" s="567">
        <v>42541</v>
      </c>
      <c r="H23" s="609">
        <f t="shared" si="14"/>
        <v>31</v>
      </c>
      <c r="I23" s="620">
        <v>8.1999999999999993</v>
      </c>
      <c r="J23" s="620">
        <v>8.6</v>
      </c>
      <c r="K23" s="620">
        <v>8</v>
      </c>
      <c r="L23" s="611">
        <f t="shared" si="2"/>
        <v>24.799999999999997</v>
      </c>
      <c r="M23" s="621"/>
      <c r="N23" s="621"/>
      <c r="O23" s="621"/>
      <c r="P23" s="622">
        <f t="shared" si="3"/>
        <v>-6.2000000000000028</v>
      </c>
      <c r="Q23" s="609">
        <f t="shared" si="15"/>
        <v>0</v>
      </c>
      <c r="R23" s="620">
        <v>13</v>
      </c>
      <c r="S23" s="620">
        <v>10</v>
      </c>
      <c r="T23" s="620">
        <v>8</v>
      </c>
      <c r="U23" s="611">
        <f t="shared" si="4"/>
        <v>31</v>
      </c>
      <c r="V23" s="621"/>
      <c r="W23" s="621"/>
      <c r="X23" s="621"/>
      <c r="Y23" s="622">
        <f t="shared" si="5"/>
        <v>31</v>
      </c>
      <c r="Z23" s="609">
        <f t="shared" si="16"/>
        <v>0</v>
      </c>
      <c r="AA23" s="620">
        <v>10.6</v>
      </c>
      <c r="AB23" s="620">
        <v>9</v>
      </c>
      <c r="AC23" s="620">
        <v>9.1</v>
      </c>
      <c r="AD23" s="611">
        <f t="shared" si="6"/>
        <v>28.700000000000003</v>
      </c>
      <c r="AE23" s="621"/>
      <c r="AF23" s="621"/>
      <c r="AG23" s="621"/>
      <c r="AH23" s="622">
        <f t="shared" si="7"/>
        <v>28.700000000000003</v>
      </c>
      <c r="AI23" s="609">
        <f t="shared" si="17"/>
        <v>14.8</v>
      </c>
      <c r="AJ23" s="620"/>
      <c r="AK23" s="620"/>
      <c r="AL23" s="620"/>
      <c r="AM23" s="623">
        <f t="shared" si="8"/>
        <v>0</v>
      </c>
      <c r="AN23" s="621"/>
      <c r="AO23" s="621"/>
      <c r="AP23" s="621"/>
      <c r="AQ23" s="622">
        <f t="shared" si="9"/>
        <v>-14.8</v>
      </c>
      <c r="AR23" s="615">
        <f t="shared" si="18"/>
        <v>20</v>
      </c>
      <c r="AS23" s="620">
        <v>9</v>
      </c>
      <c r="AT23" s="620"/>
      <c r="AU23" s="620">
        <v>5.8</v>
      </c>
      <c r="AV23" s="623">
        <f t="shared" si="10"/>
        <v>14.8</v>
      </c>
      <c r="AW23" s="621">
        <v>5.44</v>
      </c>
      <c r="AX23" s="621">
        <v>3.84</v>
      </c>
      <c r="AY23" s="621">
        <v>394</v>
      </c>
      <c r="AZ23" s="624">
        <f t="shared" si="11"/>
        <v>-5.1999999999999993</v>
      </c>
      <c r="BA23" s="623">
        <v>20</v>
      </c>
      <c r="BB23" s="620">
        <v>12</v>
      </c>
      <c r="BC23" s="620">
        <v>8</v>
      </c>
      <c r="BD23" s="623">
        <f t="shared" si="12"/>
        <v>20</v>
      </c>
      <c r="BE23" s="621"/>
      <c r="BF23" s="621"/>
      <c r="BG23" s="621"/>
      <c r="BH23" s="621">
        <f t="shared" si="13"/>
        <v>0</v>
      </c>
    </row>
    <row r="24" spans="1:60" ht="17.25" thickTop="1" thickBot="1" x14ac:dyDescent="0.3">
      <c r="A24" s="602">
        <v>17</v>
      </c>
      <c r="B24" s="603">
        <f t="shared" ca="1" si="1"/>
        <v>43134</v>
      </c>
      <c r="C24" s="29" t="s">
        <v>2865</v>
      </c>
      <c r="D24" s="59" t="s">
        <v>2851</v>
      </c>
      <c r="E24" s="22" t="s">
        <v>695</v>
      </c>
      <c r="F24" s="239" t="s">
        <v>696</v>
      </c>
      <c r="G24" s="567">
        <v>42814</v>
      </c>
      <c r="H24" s="609">
        <f t="shared" si="14"/>
        <v>12.600000000000001</v>
      </c>
      <c r="I24" s="620">
        <v>4</v>
      </c>
      <c r="J24" s="620"/>
      <c r="K24" s="620">
        <v>8</v>
      </c>
      <c r="L24" s="611">
        <f t="shared" si="2"/>
        <v>12</v>
      </c>
      <c r="M24" s="621"/>
      <c r="N24" s="621"/>
      <c r="O24" s="621"/>
      <c r="P24" s="622">
        <f t="shared" si="3"/>
        <v>-0.60000000000000142</v>
      </c>
      <c r="Q24" s="609">
        <f t="shared" si="15"/>
        <v>23.6</v>
      </c>
      <c r="R24" s="620">
        <v>3.2</v>
      </c>
      <c r="S24" s="620">
        <v>6.2</v>
      </c>
      <c r="T24" s="620">
        <v>3.2</v>
      </c>
      <c r="U24" s="611">
        <f t="shared" si="4"/>
        <v>12.600000000000001</v>
      </c>
      <c r="V24" s="621"/>
      <c r="W24" s="621"/>
      <c r="X24" s="621"/>
      <c r="Y24" s="622">
        <f t="shared" si="5"/>
        <v>-11</v>
      </c>
      <c r="Z24" s="609">
        <f t="shared" si="16"/>
        <v>23.6</v>
      </c>
      <c r="AA24" s="620">
        <v>18.399999999999999</v>
      </c>
      <c r="AB24" s="620"/>
      <c r="AC24" s="620">
        <v>6.8</v>
      </c>
      <c r="AD24" s="611">
        <f t="shared" si="6"/>
        <v>25.2</v>
      </c>
      <c r="AE24" s="621"/>
      <c r="AF24" s="621"/>
      <c r="AG24" s="621"/>
      <c r="AH24" s="622">
        <f t="shared" si="7"/>
        <v>1.5999999999999979</v>
      </c>
      <c r="AI24" s="609">
        <f t="shared" si="17"/>
        <v>23.4</v>
      </c>
      <c r="AJ24" s="620">
        <v>15.4</v>
      </c>
      <c r="AK24" s="620"/>
      <c r="AL24" s="620">
        <v>8.1999999999999993</v>
      </c>
      <c r="AM24" s="623">
        <f t="shared" si="8"/>
        <v>23.6</v>
      </c>
      <c r="AN24" s="621"/>
      <c r="AO24" s="621"/>
      <c r="AP24" s="621"/>
      <c r="AQ24" s="622">
        <f t="shared" si="9"/>
        <v>0.20000000000000284</v>
      </c>
      <c r="AR24" s="615">
        <f t="shared" si="18"/>
        <v>22.6</v>
      </c>
      <c r="AS24" s="620">
        <v>9.4</v>
      </c>
      <c r="AT24" s="620"/>
      <c r="AU24" s="620">
        <v>14</v>
      </c>
      <c r="AV24" s="623">
        <f t="shared" si="10"/>
        <v>23.4</v>
      </c>
      <c r="AW24" s="621">
        <v>4</v>
      </c>
      <c r="AX24" s="621">
        <v>3.47</v>
      </c>
      <c r="AY24" s="621">
        <v>150</v>
      </c>
      <c r="AZ24" s="624">
        <f t="shared" si="11"/>
        <v>0.79999999999999716</v>
      </c>
      <c r="BA24" s="623">
        <v>22.6</v>
      </c>
      <c r="BB24" s="620">
        <v>6</v>
      </c>
      <c r="BC24" s="620">
        <v>7</v>
      </c>
      <c r="BD24" s="623">
        <f t="shared" si="12"/>
        <v>13</v>
      </c>
      <c r="BE24" s="621"/>
      <c r="BF24" s="621"/>
      <c r="BG24" s="621"/>
      <c r="BH24" s="621">
        <f t="shared" si="13"/>
        <v>9.6000000000000014</v>
      </c>
    </row>
    <row r="25" spans="1:60" ht="17.25" thickTop="1" thickBot="1" x14ac:dyDescent="0.3">
      <c r="A25" s="77">
        <v>18</v>
      </c>
      <c r="B25" s="603">
        <f t="shared" ca="1" si="1"/>
        <v>43134</v>
      </c>
      <c r="C25" s="29" t="s">
        <v>2865</v>
      </c>
      <c r="D25" s="59" t="s">
        <v>2851</v>
      </c>
      <c r="E25" s="22" t="s">
        <v>772</v>
      </c>
      <c r="F25" s="27" t="s">
        <v>730</v>
      </c>
      <c r="G25" s="567">
        <v>42516</v>
      </c>
      <c r="H25" s="609">
        <f t="shared" si="14"/>
        <v>20.3</v>
      </c>
      <c r="I25" s="620">
        <v>0.8</v>
      </c>
      <c r="J25" s="620"/>
      <c r="K25" s="620">
        <v>1</v>
      </c>
      <c r="L25" s="611">
        <f t="shared" si="2"/>
        <v>1.8</v>
      </c>
      <c r="M25" s="621"/>
      <c r="N25" s="621"/>
      <c r="O25" s="621"/>
      <c r="P25" s="622">
        <f t="shared" si="3"/>
        <v>-18.5</v>
      </c>
      <c r="Q25" s="609">
        <f t="shared" si="15"/>
        <v>0</v>
      </c>
      <c r="R25" s="620">
        <v>5.6</v>
      </c>
      <c r="S25" s="620">
        <v>9.5</v>
      </c>
      <c r="T25" s="620">
        <v>5.2</v>
      </c>
      <c r="U25" s="611">
        <f t="shared" si="4"/>
        <v>20.3</v>
      </c>
      <c r="V25" s="621"/>
      <c r="W25" s="621"/>
      <c r="X25" s="621"/>
      <c r="Y25" s="622">
        <f t="shared" si="5"/>
        <v>20.3</v>
      </c>
      <c r="Z25" s="609">
        <f t="shared" si="16"/>
        <v>0</v>
      </c>
      <c r="AA25" s="620"/>
      <c r="AB25" s="620"/>
      <c r="AC25" s="620"/>
      <c r="AD25" s="611">
        <f t="shared" si="6"/>
        <v>0</v>
      </c>
      <c r="AE25" s="621"/>
      <c r="AF25" s="621"/>
      <c r="AG25" s="621"/>
      <c r="AH25" s="622">
        <f t="shared" si="7"/>
        <v>0</v>
      </c>
      <c r="AI25" s="609">
        <f t="shared" si="17"/>
        <v>5.5</v>
      </c>
      <c r="AJ25" s="620"/>
      <c r="AK25" s="620"/>
      <c r="AL25" s="620"/>
      <c r="AM25" s="623">
        <f t="shared" si="8"/>
        <v>0</v>
      </c>
      <c r="AN25" s="621"/>
      <c r="AO25" s="621"/>
      <c r="AP25" s="621"/>
      <c r="AQ25" s="622">
        <f t="shared" si="9"/>
        <v>-5.5</v>
      </c>
      <c r="AR25" s="615">
        <f t="shared" si="18"/>
        <v>12.5</v>
      </c>
      <c r="AS25" s="620">
        <v>4</v>
      </c>
      <c r="AT25" s="620"/>
      <c r="AU25" s="620">
        <v>1.5</v>
      </c>
      <c r="AV25" s="623">
        <f t="shared" si="10"/>
        <v>5.5</v>
      </c>
      <c r="AW25" s="621">
        <v>4.05</v>
      </c>
      <c r="AX25" s="621">
        <v>3.72</v>
      </c>
      <c r="AY25" s="621">
        <v>90</v>
      </c>
      <c r="AZ25" s="624">
        <f t="shared" si="11"/>
        <v>-7</v>
      </c>
      <c r="BA25" s="623">
        <v>12.5</v>
      </c>
      <c r="BB25" s="620">
        <v>3.5</v>
      </c>
      <c r="BC25" s="620">
        <v>8</v>
      </c>
      <c r="BD25" s="623">
        <f t="shared" si="12"/>
        <v>11.5</v>
      </c>
      <c r="BE25" s="621"/>
      <c r="BF25" s="621"/>
      <c r="BG25" s="621"/>
      <c r="BH25" s="621">
        <f t="shared" si="13"/>
        <v>1</v>
      </c>
    </row>
    <row r="26" spans="1:60" ht="17.25" thickTop="1" thickBot="1" x14ac:dyDescent="0.3">
      <c r="A26" s="602">
        <v>19</v>
      </c>
      <c r="B26" s="603">
        <f t="shared" ca="1" si="1"/>
        <v>43134</v>
      </c>
      <c r="C26" s="29" t="s">
        <v>2865</v>
      </c>
      <c r="D26" s="59" t="s">
        <v>2851</v>
      </c>
      <c r="E26" s="22" t="s">
        <v>237</v>
      </c>
      <c r="F26" s="27" t="s">
        <v>238</v>
      </c>
      <c r="G26" s="567">
        <v>42545</v>
      </c>
      <c r="H26" s="609">
        <f t="shared" si="14"/>
        <v>0</v>
      </c>
      <c r="I26" s="620">
        <v>8.8000000000000007</v>
      </c>
      <c r="J26" s="620">
        <v>13.2</v>
      </c>
      <c r="K26" s="620">
        <v>7.2</v>
      </c>
      <c r="L26" s="611">
        <f t="shared" si="2"/>
        <v>29.2</v>
      </c>
      <c r="M26" s="621"/>
      <c r="N26" s="621"/>
      <c r="O26" s="621"/>
      <c r="P26" s="622">
        <f t="shared" si="3"/>
        <v>29.2</v>
      </c>
      <c r="Q26" s="609">
        <f t="shared" si="15"/>
        <v>22</v>
      </c>
      <c r="R26" s="620"/>
      <c r="S26" s="620"/>
      <c r="T26" s="620"/>
      <c r="U26" s="611">
        <f t="shared" si="4"/>
        <v>0</v>
      </c>
      <c r="V26" s="621"/>
      <c r="W26" s="621"/>
      <c r="X26" s="621"/>
      <c r="Y26" s="622">
        <f t="shared" si="5"/>
        <v>-22</v>
      </c>
      <c r="Z26" s="609">
        <f t="shared" si="16"/>
        <v>22</v>
      </c>
      <c r="AA26" s="620"/>
      <c r="AB26" s="620"/>
      <c r="AC26" s="620"/>
      <c r="AD26" s="611">
        <f t="shared" si="6"/>
        <v>0</v>
      </c>
      <c r="AE26" s="621"/>
      <c r="AF26" s="621"/>
      <c r="AG26" s="621"/>
      <c r="AH26" s="622">
        <f t="shared" si="7"/>
        <v>-22</v>
      </c>
      <c r="AI26" s="609">
        <f t="shared" si="17"/>
        <v>21</v>
      </c>
      <c r="AJ26" s="620">
        <v>10</v>
      </c>
      <c r="AK26" s="620"/>
      <c r="AL26" s="620">
        <v>12</v>
      </c>
      <c r="AM26" s="623">
        <f t="shared" si="8"/>
        <v>22</v>
      </c>
      <c r="AN26" s="621"/>
      <c r="AO26" s="621"/>
      <c r="AP26" s="621"/>
      <c r="AQ26" s="622">
        <f t="shared" si="9"/>
        <v>1</v>
      </c>
      <c r="AR26" s="615">
        <f t="shared" si="18"/>
        <v>21</v>
      </c>
      <c r="AS26" s="620">
        <v>10</v>
      </c>
      <c r="AT26" s="620"/>
      <c r="AU26" s="620">
        <v>11</v>
      </c>
      <c r="AV26" s="623">
        <f t="shared" si="10"/>
        <v>21</v>
      </c>
      <c r="AW26" s="621">
        <v>4.5199999999999996</v>
      </c>
      <c r="AX26" s="621">
        <v>3.76</v>
      </c>
      <c r="AY26" s="621">
        <v>90</v>
      </c>
      <c r="AZ26" s="624">
        <f t="shared" si="11"/>
        <v>0</v>
      </c>
      <c r="BA26" s="623">
        <v>21</v>
      </c>
      <c r="BB26" s="620">
        <v>11</v>
      </c>
      <c r="BC26" s="620">
        <v>3</v>
      </c>
      <c r="BD26" s="623">
        <f t="shared" si="12"/>
        <v>14</v>
      </c>
      <c r="BE26" s="621"/>
      <c r="BF26" s="621"/>
      <c r="BG26" s="621"/>
      <c r="BH26" s="621">
        <f t="shared" si="13"/>
        <v>7</v>
      </c>
    </row>
    <row r="27" spans="1:60" ht="17.25" thickTop="1" thickBot="1" x14ac:dyDescent="0.3">
      <c r="A27" s="77">
        <v>20</v>
      </c>
      <c r="B27" s="603">
        <f t="shared" ca="1" si="1"/>
        <v>43134</v>
      </c>
      <c r="C27" s="29" t="s">
        <v>2865</v>
      </c>
      <c r="D27" s="59" t="s">
        <v>2851</v>
      </c>
      <c r="E27" s="22" t="s">
        <v>631</v>
      </c>
      <c r="F27" s="239" t="s">
        <v>888</v>
      </c>
      <c r="G27" s="567">
        <v>42629</v>
      </c>
      <c r="H27" s="609">
        <f t="shared" si="14"/>
        <v>20.439999999999998</v>
      </c>
      <c r="I27" s="620">
        <v>5</v>
      </c>
      <c r="J27" s="620"/>
      <c r="K27" s="620">
        <v>10.4</v>
      </c>
      <c r="L27" s="611">
        <f t="shared" si="2"/>
        <v>15.4</v>
      </c>
      <c r="M27" s="621"/>
      <c r="N27" s="621"/>
      <c r="O27" s="621"/>
      <c r="P27" s="622">
        <f t="shared" si="3"/>
        <v>-5.0399999999999974</v>
      </c>
      <c r="Q27" s="609">
        <f t="shared" si="15"/>
        <v>22</v>
      </c>
      <c r="R27" s="620">
        <v>12.44</v>
      </c>
      <c r="S27" s="620"/>
      <c r="T27" s="620">
        <v>8</v>
      </c>
      <c r="U27" s="611">
        <f t="shared" si="4"/>
        <v>20.439999999999998</v>
      </c>
      <c r="V27" s="621"/>
      <c r="W27" s="621"/>
      <c r="X27" s="621"/>
      <c r="Y27" s="622">
        <f t="shared" si="5"/>
        <v>-1.5600000000000023</v>
      </c>
      <c r="Z27" s="609">
        <f t="shared" si="16"/>
        <v>22</v>
      </c>
      <c r="AA27" s="620">
        <v>11</v>
      </c>
      <c r="AB27" s="620"/>
      <c r="AC27" s="620">
        <v>9.1999999999999993</v>
      </c>
      <c r="AD27" s="611">
        <f t="shared" si="6"/>
        <v>20.2</v>
      </c>
      <c r="AE27" s="621"/>
      <c r="AF27" s="621"/>
      <c r="AG27" s="621"/>
      <c r="AH27" s="622">
        <f t="shared" si="7"/>
        <v>-1.8000000000000007</v>
      </c>
      <c r="AI27" s="609">
        <f t="shared" si="17"/>
        <v>21.6</v>
      </c>
      <c r="AJ27" s="620">
        <v>10</v>
      </c>
      <c r="AK27" s="620"/>
      <c r="AL27" s="620">
        <v>12</v>
      </c>
      <c r="AM27" s="623">
        <f t="shared" si="8"/>
        <v>22</v>
      </c>
      <c r="AN27" s="621"/>
      <c r="AO27" s="621"/>
      <c r="AP27" s="621"/>
      <c r="AQ27" s="622">
        <f t="shared" si="9"/>
        <v>0.39999999999999858</v>
      </c>
      <c r="AR27" s="615">
        <f t="shared" si="18"/>
        <v>26</v>
      </c>
      <c r="AS27" s="620">
        <v>12</v>
      </c>
      <c r="AT27" s="620"/>
      <c r="AU27" s="620">
        <v>9.6</v>
      </c>
      <c r="AV27" s="623">
        <f t="shared" si="10"/>
        <v>21.6</v>
      </c>
      <c r="AW27" s="621">
        <v>3.56</v>
      </c>
      <c r="AX27" s="621">
        <v>3.37</v>
      </c>
      <c r="AY27" s="621">
        <v>90</v>
      </c>
      <c r="AZ27" s="624">
        <f t="shared" si="11"/>
        <v>-4.3999999999999986</v>
      </c>
      <c r="BA27" s="623">
        <v>26</v>
      </c>
      <c r="BB27" s="620">
        <v>5</v>
      </c>
      <c r="BC27" s="620">
        <v>11</v>
      </c>
      <c r="BD27" s="623">
        <f t="shared" si="12"/>
        <v>16</v>
      </c>
      <c r="BE27" s="621"/>
      <c r="BF27" s="621"/>
      <c r="BG27" s="621"/>
      <c r="BH27" s="621">
        <f t="shared" si="13"/>
        <v>10</v>
      </c>
    </row>
    <row r="28" spans="1:60" ht="17.25" thickTop="1" thickBot="1" x14ac:dyDescent="0.3">
      <c r="A28" s="602">
        <v>21</v>
      </c>
      <c r="B28" s="603">
        <f t="shared" ca="1" si="1"/>
        <v>43134</v>
      </c>
      <c r="C28" s="29" t="s">
        <v>2865</v>
      </c>
      <c r="D28" s="59" t="s">
        <v>2851</v>
      </c>
      <c r="E28" s="22" t="s">
        <v>780</v>
      </c>
      <c r="F28" s="27" t="s">
        <v>781</v>
      </c>
      <c r="G28" s="567">
        <v>42598</v>
      </c>
      <c r="H28" s="609">
        <f t="shared" si="14"/>
        <v>0</v>
      </c>
      <c r="I28" s="620"/>
      <c r="J28" s="620"/>
      <c r="K28" s="620"/>
      <c r="L28" s="611">
        <f t="shared" si="2"/>
        <v>0</v>
      </c>
      <c r="M28" s="621"/>
      <c r="N28" s="621"/>
      <c r="O28" s="621"/>
      <c r="P28" s="622">
        <f t="shared" si="3"/>
        <v>0</v>
      </c>
      <c r="Q28" s="609">
        <f t="shared" si="15"/>
        <v>18</v>
      </c>
      <c r="R28" s="620"/>
      <c r="S28" s="620"/>
      <c r="T28" s="620"/>
      <c r="U28" s="611">
        <f t="shared" si="4"/>
        <v>0</v>
      </c>
      <c r="V28" s="621"/>
      <c r="W28" s="621"/>
      <c r="X28" s="621"/>
      <c r="Y28" s="622">
        <f t="shared" si="5"/>
        <v>-18</v>
      </c>
      <c r="Z28" s="609">
        <f t="shared" si="16"/>
        <v>18</v>
      </c>
      <c r="AA28" s="620">
        <v>9</v>
      </c>
      <c r="AB28" s="620"/>
      <c r="AC28" s="620">
        <v>6</v>
      </c>
      <c r="AD28" s="611">
        <f t="shared" si="6"/>
        <v>15</v>
      </c>
      <c r="AE28" s="621"/>
      <c r="AF28" s="621"/>
      <c r="AG28" s="621"/>
      <c r="AH28" s="622">
        <f t="shared" si="7"/>
        <v>-3</v>
      </c>
      <c r="AI28" s="609">
        <f t="shared" si="17"/>
        <v>18</v>
      </c>
      <c r="AJ28" s="620">
        <v>8</v>
      </c>
      <c r="AK28" s="620"/>
      <c r="AL28" s="620">
        <v>10</v>
      </c>
      <c r="AM28" s="623">
        <f t="shared" si="8"/>
        <v>18</v>
      </c>
      <c r="AN28" s="621"/>
      <c r="AO28" s="621"/>
      <c r="AP28" s="621"/>
      <c r="AQ28" s="622">
        <f t="shared" si="9"/>
        <v>0</v>
      </c>
      <c r="AR28" s="615">
        <f t="shared" si="18"/>
        <v>17.5</v>
      </c>
      <c r="AS28" s="620">
        <v>11</v>
      </c>
      <c r="AT28" s="620"/>
      <c r="AU28" s="620">
        <v>7</v>
      </c>
      <c r="AV28" s="623">
        <f t="shared" si="10"/>
        <v>18</v>
      </c>
      <c r="AW28" s="621"/>
      <c r="AX28" s="621"/>
      <c r="AY28" s="621"/>
      <c r="AZ28" s="624">
        <f t="shared" si="11"/>
        <v>0.5</v>
      </c>
      <c r="BA28" s="623">
        <v>17.5</v>
      </c>
      <c r="BB28" s="620">
        <v>8.5</v>
      </c>
      <c r="BC28" s="620">
        <v>6</v>
      </c>
      <c r="BD28" s="623">
        <f t="shared" si="12"/>
        <v>14.5</v>
      </c>
      <c r="BE28" s="621"/>
      <c r="BF28" s="621"/>
      <c r="BG28" s="621"/>
      <c r="BH28" s="621">
        <f t="shared" si="13"/>
        <v>3</v>
      </c>
    </row>
    <row r="29" spans="1:60" ht="17.25" thickTop="1" thickBot="1" x14ac:dyDescent="0.3">
      <c r="A29" s="77">
        <v>22</v>
      </c>
      <c r="B29" s="603">
        <f t="shared" ca="1" si="1"/>
        <v>43134</v>
      </c>
      <c r="C29" s="29" t="s">
        <v>2865</v>
      </c>
      <c r="D29" s="59" t="s">
        <v>2851</v>
      </c>
      <c r="E29" s="22" t="s">
        <v>890</v>
      </c>
      <c r="F29" s="239" t="s">
        <v>891</v>
      </c>
      <c r="G29" s="567">
        <v>42527</v>
      </c>
      <c r="H29" s="609">
        <f t="shared" si="14"/>
        <v>34</v>
      </c>
      <c r="I29" s="620">
        <v>6</v>
      </c>
      <c r="J29" s="620">
        <v>7</v>
      </c>
      <c r="K29" s="620">
        <v>7.5</v>
      </c>
      <c r="L29" s="611">
        <f t="shared" si="2"/>
        <v>20.5</v>
      </c>
      <c r="M29" s="621"/>
      <c r="N29" s="621"/>
      <c r="O29" s="621"/>
      <c r="P29" s="622">
        <f t="shared" si="3"/>
        <v>-13.5</v>
      </c>
      <c r="Q29" s="609">
        <f t="shared" si="15"/>
        <v>0</v>
      </c>
      <c r="R29" s="620">
        <v>12.7</v>
      </c>
      <c r="S29" s="620">
        <v>9.6999999999999993</v>
      </c>
      <c r="T29" s="620">
        <v>11.6</v>
      </c>
      <c r="U29" s="611">
        <f t="shared" si="4"/>
        <v>34</v>
      </c>
      <c r="V29" s="621"/>
      <c r="W29" s="621"/>
      <c r="X29" s="621"/>
      <c r="Y29" s="622">
        <f t="shared" si="5"/>
        <v>34</v>
      </c>
      <c r="Z29" s="609">
        <f t="shared" si="16"/>
        <v>0</v>
      </c>
      <c r="AA29" s="620"/>
      <c r="AB29" s="620"/>
      <c r="AC29" s="620"/>
      <c r="AD29" s="611">
        <f t="shared" si="6"/>
        <v>0</v>
      </c>
      <c r="AE29" s="621"/>
      <c r="AF29" s="621"/>
      <c r="AG29" s="621"/>
      <c r="AH29" s="622">
        <f t="shared" si="7"/>
        <v>0</v>
      </c>
      <c r="AI29" s="609">
        <f t="shared" si="17"/>
        <v>11.3</v>
      </c>
      <c r="AJ29" s="620"/>
      <c r="AK29" s="620"/>
      <c r="AL29" s="620"/>
      <c r="AM29" s="623">
        <f t="shared" si="8"/>
        <v>0</v>
      </c>
      <c r="AN29" s="621"/>
      <c r="AO29" s="621"/>
      <c r="AP29" s="621"/>
      <c r="AQ29" s="622">
        <f t="shared" si="9"/>
        <v>-11.3</v>
      </c>
      <c r="AR29" s="615">
        <f t="shared" si="18"/>
        <v>16</v>
      </c>
      <c r="AS29" s="620">
        <v>6</v>
      </c>
      <c r="AT29" s="620"/>
      <c r="AU29" s="620">
        <v>5.3</v>
      </c>
      <c r="AV29" s="623">
        <f t="shared" si="10"/>
        <v>11.3</v>
      </c>
      <c r="AW29" s="621">
        <v>6.81</v>
      </c>
      <c r="AX29" s="621">
        <v>4.1900000000000004</v>
      </c>
      <c r="AY29" s="621">
        <v>111</v>
      </c>
      <c r="AZ29" s="624">
        <f t="shared" si="11"/>
        <v>-4.6999999999999993</v>
      </c>
      <c r="BA29" s="623">
        <v>16</v>
      </c>
      <c r="BB29" s="620">
        <v>9</v>
      </c>
      <c r="BC29" s="620">
        <v>7</v>
      </c>
      <c r="BD29" s="623">
        <f t="shared" si="12"/>
        <v>16</v>
      </c>
      <c r="BE29" s="621"/>
      <c r="BF29" s="621"/>
      <c r="BG29" s="621"/>
      <c r="BH29" s="621">
        <f t="shared" si="13"/>
        <v>0</v>
      </c>
    </row>
    <row r="30" spans="1:60" ht="17.25" thickTop="1" thickBot="1" x14ac:dyDescent="0.3">
      <c r="A30" s="602">
        <v>23</v>
      </c>
      <c r="B30" s="603">
        <f t="shared" ca="1" si="1"/>
        <v>43134</v>
      </c>
      <c r="C30" s="29" t="s">
        <v>2865</v>
      </c>
      <c r="D30" s="59" t="s">
        <v>2851</v>
      </c>
      <c r="E30" s="22" t="s">
        <v>576</v>
      </c>
      <c r="F30" s="27" t="s">
        <v>892</v>
      </c>
      <c r="G30" s="567">
        <v>42836</v>
      </c>
      <c r="H30" s="609">
        <f t="shared" si="14"/>
        <v>19</v>
      </c>
      <c r="I30" s="620">
        <v>10.8</v>
      </c>
      <c r="J30" s="620"/>
      <c r="K30" s="620">
        <v>6</v>
      </c>
      <c r="L30" s="611">
        <f t="shared" si="2"/>
        <v>16.8</v>
      </c>
      <c r="M30" s="621"/>
      <c r="N30" s="621"/>
      <c r="O30" s="621"/>
      <c r="P30" s="622">
        <f t="shared" si="3"/>
        <v>-2.1999999999999993</v>
      </c>
      <c r="Q30" s="609">
        <f t="shared" si="15"/>
        <v>28.6</v>
      </c>
      <c r="R30" s="620">
        <v>7</v>
      </c>
      <c r="S30" s="620">
        <v>6</v>
      </c>
      <c r="T30" s="620">
        <v>6</v>
      </c>
      <c r="U30" s="611">
        <f t="shared" si="4"/>
        <v>19</v>
      </c>
      <c r="V30" s="621"/>
      <c r="W30" s="621"/>
      <c r="X30" s="621"/>
      <c r="Y30" s="622">
        <f t="shared" si="5"/>
        <v>-9.6000000000000014</v>
      </c>
      <c r="Z30" s="609">
        <f t="shared" si="16"/>
        <v>28.6</v>
      </c>
      <c r="AA30" s="620">
        <v>15</v>
      </c>
      <c r="AB30" s="620"/>
      <c r="AC30" s="620">
        <v>7</v>
      </c>
      <c r="AD30" s="611">
        <f t="shared" si="6"/>
        <v>22</v>
      </c>
      <c r="AE30" s="621"/>
      <c r="AF30" s="621"/>
      <c r="AG30" s="621"/>
      <c r="AH30" s="622">
        <f t="shared" si="7"/>
        <v>-6.6000000000000014</v>
      </c>
      <c r="AI30" s="609">
        <f t="shared" si="17"/>
        <v>31.4</v>
      </c>
      <c r="AJ30" s="620">
        <v>17</v>
      </c>
      <c r="AK30" s="620"/>
      <c r="AL30" s="620">
        <v>11.6</v>
      </c>
      <c r="AM30" s="623">
        <f t="shared" si="8"/>
        <v>28.6</v>
      </c>
      <c r="AN30" s="621"/>
      <c r="AO30" s="621"/>
      <c r="AP30" s="621"/>
      <c r="AQ30" s="622">
        <f t="shared" si="9"/>
        <v>-2.7999999999999972</v>
      </c>
      <c r="AR30" s="615">
        <f t="shared" si="18"/>
        <v>22</v>
      </c>
      <c r="AS30" s="620">
        <v>19</v>
      </c>
      <c r="AT30" s="620"/>
      <c r="AU30" s="620">
        <v>12.4</v>
      </c>
      <c r="AV30" s="623">
        <f t="shared" si="10"/>
        <v>31.4</v>
      </c>
      <c r="AW30" s="621">
        <v>6.04</v>
      </c>
      <c r="AX30" s="621">
        <v>2.97</v>
      </c>
      <c r="AY30" s="621">
        <v>90</v>
      </c>
      <c r="AZ30" s="624">
        <f t="shared" si="11"/>
        <v>9.3999999999999986</v>
      </c>
      <c r="BA30" s="623">
        <v>22</v>
      </c>
      <c r="BB30" s="620">
        <v>11</v>
      </c>
      <c r="BC30" s="620">
        <v>13.2</v>
      </c>
      <c r="BD30" s="623">
        <f t="shared" si="12"/>
        <v>24.2</v>
      </c>
      <c r="BE30" s="621"/>
      <c r="BF30" s="621"/>
      <c r="BG30" s="621"/>
      <c r="BH30" s="621">
        <f t="shared" si="13"/>
        <v>-2.1999999999999993</v>
      </c>
    </row>
    <row r="31" spans="1:60" ht="17.25" thickTop="1" thickBot="1" x14ac:dyDescent="0.3">
      <c r="A31" s="77">
        <v>24</v>
      </c>
      <c r="B31" s="603">
        <f t="shared" ca="1" si="1"/>
        <v>43134</v>
      </c>
      <c r="C31" s="29" t="s">
        <v>2865</v>
      </c>
      <c r="D31" s="59" t="s">
        <v>2851</v>
      </c>
      <c r="E31" s="22" t="s">
        <v>480</v>
      </c>
      <c r="F31" s="27" t="s">
        <v>481</v>
      </c>
      <c r="G31" s="567">
        <v>42695</v>
      </c>
      <c r="H31" s="609">
        <f t="shared" si="14"/>
        <v>16.8</v>
      </c>
      <c r="I31" s="620">
        <v>6.8</v>
      </c>
      <c r="J31" s="620"/>
      <c r="K31" s="620">
        <v>4</v>
      </c>
      <c r="L31" s="611">
        <f t="shared" si="2"/>
        <v>10.8</v>
      </c>
      <c r="M31" s="621"/>
      <c r="N31" s="621"/>
      <c r="O31" s="621"/>
      <c r="P31" s="622">
        <f t="shared" si="3"/>
        <v>-6</v>
      </c>
      <c r="Q31" s="609">
        <f t="shared" si="15"/>
        <v>15.6</v>
      </c>
      <c r="R31" s="620">
        <v>6</v>
      </c>
      <c r="S31" s="620"/>
      <c r="T31" s="620">
        <v>10.8</v>
      </c>
      <c r="U31" s="611">
        <f t="shared" si="4"/>
        <v>16.8</v>
      </c>
      <c r="V31" s="621"/>
      <c r="W31" s="621"/>
      <c r="X31" s="621"/>
      <c r="Y31" s="622">
        <f t="shared" si="5"/>
        <v>1.2000000000000011</v>
      </c>
      <c r="Z31" s="609">
        <f t="shared" si="16"/>
        <v>15.6</v>
      </c>
      <c r="AA31" s="620">
        <v>8</v>
      </c>
      <c r="AB31" s="620"/>
      <c r="AC31" s="620">
        <v>10</v>
      </c>
      <c r="AD31" s="611">
        <f t="shared" si="6"/>
        <v>18</v>
      </c>
      <c r="AE31" s="621"/>
      <c r="AF31" s="621"/>
      <c r="AG31" s="621"/>
      <c r="AH31" s="622">
        <f t="shared" si="7"/>
        <v>2.4000000000000004</v>
      </c>
      <c r="AI31" s="609">
        <f t="shared" si="17"/>
        <v>17.899999999999999</v>
      </c>
      <c r="AJ31" s="620">
        <v>8</v>
      </c>
      <c r="AK31" s="620"/>
      <c r="AL31" s="620">
        <v>7.6</v>
      </c>
      <c r="AM31" s="623">
        <f t="shared" si="8"/>
        <v>15.6</v>
      </c>
      <c r="AN31" s="621"/>
      <c r="AO31" s="621"/>
      <c r="AP31" s="621"/>
      <c r="AQ31" s="622">
        <f t="shared" si="9"/>
        <v>-2.2999999999999989</v>
      </c>
      <c r="AR31" s="615">
        <f t="shared" si="18"/>
        <v>19.600000000000001</v>
      </c>
      <c r="AS31" s="620">
        <v>9</v>
      </c>
      <c r="AT31" s="620"/>
      <c r="AU31" s="620">
        <v>8.9</v>
      </c>
      <c r="AV31" s="623">
        <f t="shared" si="10"/>
        <v>17.899999999999999</v>
      </c>
      <c r="AW31" s="621">
        <v>4.05</v>
      </c>
      <c r="AX31" s="621">
        <v>4.24</v>
      </c>
      <c r="AY31" s="621">
        <v>110</v>
      </c>
      <c r="AZ31" s="624">
        <f t="shared" si="11"/>
        <v>-1.7000000000000028</v>
      </c>
      <c r="BA31" s="623">
        <v>19.600000000000001</v>
      </c>
      <c r="BB31" s="620">
        <v>8</v>
      </c>
      <c r="BC31" s="620">
        <v>8</v>
      </c>
      <c r="BD31" s="623">
        <f t="shared" si="12"/>
        <v>16</v>
      </c>
      <c r="BE31" s="621"/>
      <c r="BF31" s="621"/>
      <c r="BG31" s="621"/>
      <c r="BH31" s="621">
        <f t="shared" si="13"/>
        <v>3.6000000000000014</v>
      </c>
    </row>
    <row r="32" spans="1:60" ht="17.25" thickTop="1" thickBot="1" x14ac:dyDescent="0.3">
      <c r="A32" s="602">
        <v>25</v>
      </c>
      <c r="B32" s="603">
        <f t="shared" ca="1" si="1"/>
        <v>43134</v>
      </c>
      <c r="C32" s="29" t="s">
        <v>2865</v>
      </c>
      <c r="D32" s="59" t="s">
        <v>2851</v>
      </c>
      <c r="E32" s="22" t="s">
        <v>138</v>
      </c>
      <c r="F32" s="239" t="s">
        <v>249</v>
      </c>
      <c r="G32" s="567">
        <v>42547</v>
      </c>
      <c r="H32" s="609">
        <f t="shared" si="14"/>
        <v>0</v>
      </c>
      <c r="I32" s="620">
        <v>11.2</v>
      </c>
      <c r="J32" s="620">
        <v>9.6</v>
      </c>
      <c r="K32" s="620">
        <v>11.8</v>
      </c>
      <c r="L32" s="611">
        <f t="shared" si="2"/>
        <v>32.599999999999994</v>
      </c>
      <c r="M32" s="621"/>
      <c r="N32" s="621"/>
      <c r="O32" s="621"/>
      <c r="P32" s="622">
        <f t="shared" si="3"/>
        <v>32.599999999999994</v>
      </c>
      <c r="Q32" s="609">
        <f t="shared" si="15"/>
        <v>17.2</v>
      </c>
      <c r="R32" s="620"/>
      <c r="S32" s="620"/>
      <c r="T32" s="620"/>
      <c r="U32" s="611">
        <f t="shared" si="4"/>
        <v>0</v>
      </c>
      <c r="V32" s="621"/>
      <c r="W32" s="621"/>
      <c r="X32" s="621"/>
      <c r="Y32" s="622">
        <f t="shared" si="5"/>
        <v>-17.2</v>
      </c>
      <c r="Z32" s="609">
        <f t="shared" si="16"/>
        <v>17.2</v>
      </c>
      <c r="AA32" s="620"/>
      <c r="AB32" s="620"/>
      <c r="AC32" s="620"/>
      <c r="AD32" s="611">
        <f t="shared" si="6"/>
        <v>0</v>
      </c>
      <c r="AE32" s="621"/>
      <c r="AF32" s="621"/>
      <c r="AG32" s="621"/>
      <c r="AH32" s="622">
        <f t="shared" si="7"/>
        <v>-17.2</v>
      </c>
      <c r="AI32" s="609">
        <f t="shared" si="17"/>
        <v>20.6</v>
      </c>
      <c r="AJ32" s="620">
        <v>8.1999999999999993</v>
      </c>
      <c r="AK32" s="620"/>
      <c r="AL32" s="620">
        <v>9</v>
      </c>
      <c r="AM32" s="623">
        <f t="shared" si="8"/>
        <v>17.2</v>
      </c>
      <c r="AN32" s="621"/>
      <c r="AO32" s="621"/>
      <c r="AP32" s="621"/>
      <c r="AQ32" s="622">
        <f t="shared" si="9"/>
        <v>-3.4000000000000021</v>
      </c>
      <c r="AR32" s="615">
        <f t="shared" si="18"/>
        <v>21.3</v>
      </c>
      <c r="AS32" s="620">
        <v>11</v>
      </c>
      <c r="AT32" s="620"/>
      <c r="AU32" s="620">
        <v>9.6</v>
      </c>
      <c r="AV32" s="623">
        <f t="shared" si="10"/>
        <v>20.6</v>
      </c>
      <c r="AW32" s="621">
        <v>5.09</v>
      </c>
      <c r="AX32" s="621">
        <v>3.27</v>
      </c>
      <c r="AY32" s="621">
        <v>90</v>
      </c>
      <c r="AZ32" s="624">
        <f t="shared" si="11"/>
        <v>-0.69999999999999929</v>
      </c>
      <c r="BA32" s="623">
        <v>21.3</v>
      </c>
      <c r="BB32" s="620">
        <v>12</v>
      </c>
      <c r="BC32" s="620">
        <v>10</v>
      </c>
      <c r="BD32" s="623">
        <f t="shared" si="12"/>
        <v>22</v>
      </c>
      <c r="BE32" s="621"/>
      <c r="BF32" s="621"/>
      <c r="BG32" s="621"/>
      <c r="BH32" s="621">
        <f t="shared" si="13"/>
        <v>-0.69999999999999929</v>
      </c>
    </row>
    <row r="33" spans="1:60" ht="17.25" thickTop="1" thickBot="1" x14ac:dyDescent="0.3">
      <c r="A33" s="77">
        <v>26</v>
      </c>
      <c r="B33" s="603">
        <f t="shared" ca="1" si="1"/>
        <v>43134</v>
      </c>
      <c r="C33" s="29" t="s">
        <v>2865</v>
      </c>
      <c r="D33" s="59" t="s">
        <v>2851</v>
      </c>
      <c r="E33" s="22" t="s">
        <v>283</v>
      </c>
      <c r="F33" s="27" t="s">
        <v>284</v>
      </c>
      <c r="G33" s="567">
        <v>42585</v>
      </c>
      <c r="H33" s="609">
        <f t="shared" si="14"/>
        <v>25.200000000000003</v>
      </c>
      <c r="I33" s="620">
        <v>11</v>
      </c>
      <c r="J33" s="620">
        <v>8.1999999999999993</v>
      </c>
      <c r="K33" s="620">
        <v>8</v>
      </c>
      <c r="L33" s="611">
        <f t="shared" si="2"/>
        <v>27.2</v>
      </c>
      <c r="M33" s="621"/>
      <c r="N33" s="621"/>
      <c r="O33" s="621"/>
      <c r="P33" s="622">
        <f t="shared" si="3"/>
        <v>1.9999999999999964</v>
      </c>
      <c r="Q33" s="609">
        <f t="shared" si="15"/>
        <v>0</v>
      </c>
      <c r="R33" s="620">
        <v>6.6</v>
      </c>
      <c r="S33" s="620">
        <v>9.5</v>
      </c>
      <c r="T33" s="620">
        <v>9.1</v>
      </c>
      <c r="U33" s="611">
        <f t="shared" si="4"/>
        <v>25.200000000000003</v>
      </c>
      <c r="V33" s="621"/>
      <c r="W33" s="621"/>
      <c r="X33" s="621"/>
      <c r="Y33" s="622">
        <f t="shared" si="5"/>
        <v>25.200000000000003</v>
      </c>
      <c r="Z33" s="609">
        <f t="shared" si="16"/>
        <v>0</v>
      </c>
      <c r="AA33" s="620"/>
      <c r="AB33" s="620"/>
      <c r="AC33" s="620"/>
      <c r="AD33" s="611">
        <f t="shared" si="6"/>
        <v>0</v>
      </c>
      <c r="AE33" s="621"/>
      <c r="AF33" s="621"/>
      <c r="AG33" s="621"/>
      <c r="AH33" s="622">
        <f t="shared" si="7"/>
        <v>0</v>
      </c>
      <c r="AI33" s="609">
        <f t="shared" si="17"/>
        <v>18.799999999999997</v>
      </c>
      <c r="AJ33" s="620"/>
      <c r="AK33" s="620"/>
      <c r="AL33" s="620"/>
      <c r="AM33" s="623">
        <f t="shared" si="8"/>
        <v>0</v>
      </c>
      <c r="AN33" s="621"/>
      <c r="AO33" s="621"/>
      <c r="AP33" s="621"/>
      <c r="AQ33" s="622">
        <f t="shared" si="9"/>
        <v>-18.799999999999997</v>
      </c>
      <c r="AR33" s="615">
        <f t="shared" si="18"/>
        <v>23.4</v>
      </c>
      <c r="AS33" s="620">
        <v>9.6</v>
      </c>
      <c r="AT33" s="620"/>
      <c r="AU33" s="620">
        <v>9.1999999999999993</v>
      </c>
      <c r="AV33" s="623">
        <f t="shared" si="10"/>
        <v>18.799999999999997</v>
      </c>
      <c r="AW33" s="621">
        <v>4.63</v>
      </c>
      <c r="AX33" s="621">
        <v>3.7</v>
      </c>
      <c r="AY33" s="621">
        <v>99</v>
      </c>
      <c r="AZ33" s="624">
        <f t="shared" si="11"/>
        <v>-4.6000000000000014</v>
      </c>
      <c r="BA33" s="623">
        <v>23.4</v>
      </c>
      <c r="BB33" s="620">
        <v>10</v>
      </c>
      <c r="BC33" s="620">
        <v>11</v>
      </c>
      <c r="BD33" s="623">
        <f t="shared" si="12"/>
        <v>21</v>
      </c>
      <c r="BE33" s="621"/>
      <c r="BF33" s="621"/>
      <c r="BG33" s="621"/>
      <c r="BH33" s="621">
        <f t="shared" si="13"/>
        <v>2.3999999999999986</v>
      </c>
    </row>
    <row r="34" spans="1:60" ht="17.25" thickTop="1" thickBot="1" x14ac:dyDescent="0.3">
      <c r="A34" s="602">
        <v>27</v>
      </c>
      <c r="B34" s="603">
        <f t="shared" ca="1" si="1"/>
        <v>43134</v>
      </c>
      <c r="C34" s="29" t="s">
        <v>2865</v>
      </c>
      <c r="D34" s="59" t="s">
        <v>2851</v>
      </c>
      <c r="E34" s="22" t="s">
        <v>484</v>
      </c>
      <c r="F34" s="27" t="s">
        <v>485</v>
      </c>
      <c r="G34" s="567">
        <v>42552</v>
      </c>
      <c r="H34" s="609">
        <f t="shared" si="14"/>
        <v>11.8</v>
      </c>
      <c r="I34" s="620"/>
      <c r="J34" s="620"/>
      <c r="K34" s="620"/>
      <c r="L34" s="611">
        <f t="shared" si="2"/>
        <v>0</v>
      </c>
      <c r="M34" s="621"/>
      <c r="N34" s="621"/>
      <c r="O34" s="621"/>
      <c r="P34" s="622">
        <f t="shared" si="3"/>
        <v>-11.8</v>
      </c>
      <c r="Q34" s="609">
        <f t="shared" si="15"/>
        <v>25.2</v>
      </c>
      <c r="R34" s="620">
        <v>4.8</v>
      </c>
      <c r="S34" s="620"/>
      <c r="T34" s="620">
        <v>7</v>
      </c>
      <c r="U34" s="611">
        <f t="shared" si="4"/>
        <v>11.8</v>
      </c>
      <c r="V34" s="621"/>
      <c r="W34" s="621"/>
      <c r="X34" s="621"/>
      <c r="Y34" s="622">
        <f t="shared" si="5"/>
        <v>-13.399999999999999</v>
      </c>
      <c r="Z34" s="609">
        <f t="shared" si="16"/>
        <v>25.2</v>
      </c>
      <c r="AA34" s="620">
        <v>11</v>
      </c>
      <c r="AB34" s="620"/>
      <c r="AC34" s="620">
        <v>8.4</v>
      </c>
      <c r="AD34" s="611">
        <f t="shared" si="6"/>
        <v>19.399999999999999</v>
      </c>
      <c r="AE34" s="621"/>
      <c r="AF34" s="621"/>
      <c r="AG34" s="621"/>
      <c r="AH34" s="622">
        <f t="shared" si="7"/>
        <v>-5.8000000000000007</v>
      </c>
      <c r="AI34" s="609">
        <f t="shared" si="17"/>
        <v>19</v>
      </c>
      <c r="AJ34" s="620">
        <v>13</v>
      </c>
      <c r="AK34" s="620"/>
      <c r="AL34" s="620">
        <v>12.2</v>
      </c>
      <c r="AM34" s="623">
        <f t="shared" si="8"/>
        <v>25.2</v>
      </c>
      <c r="AN34" s="621"/>
      <c r="AO34" s="621"/>
      <c r="AP34" s="621"/>
      <c r="AQ34" s="622">
        <f t="shared" si="9"/>
        <v>6.1999999999999993</v>
      </c>
      <c r="AR34" s="615">
        <f t="shared" si="18"/>
        <v>18</v>
      </c>
      <c r="AS34" s="620">
        <v>14</v>
      </c>
      <c r="AT34" s="620"/>
      <c r="AU34" s="620">
        <v>5</v>
      </c>
      <c r="AV34" s="623">
        <f t="shared" si="10"/>
        <v>19</v>
      </c>
      <c r="AW34" s="621">
        <v>4.1500000000000004</v>
      </c>
      <c r="AX34" s="621">
        <v>4.03</v>
      </c>
      <c r="AY34" s="621">
        <v>90</v>
      </c>
      <c r="AZ34" s="624">
        <f t="shared" si="11"/>
        <v>1</v>
      </c>
      <c r="BA34" s="623">
        <v>18</v>
      </c>
      <c r="BB34" s="620">
        <v>11</v>
      </c>
      <c r="BC34" s="620">
        <v>12</v>
      </c>
      <c r="BD34" s="623">
        <f t="shared" si="12"/>
        <v>23</v>
      </c>
      <c r="BE34" s="621"/>
      <c r="BF34" s="621"/>
      <c r="BG34" s="621"/>
      <c r="BH34" s="621">
        <f t="shared" si="13"/>
        <v>-5</v>
      </c>
    </row>
    <row r="35" spans="1:60" ht="17.25" thickTop="1" thickBot="1" x14ac:dyDescent="0.3">
      <c r="A35" s="77">
        <v>28</v>
      </c>
      <c r="B35" s="603">
        <f t="shared" ca="1" si="1"/>
        <v>43134</v>
      </c>
      <c r="C35" s="29" t="s">
        <v>2865</v>
      </c>
      <c r="D35" s="59" t="s">
        <v>2851</v>
      </c>
      <c r="E35" s="22" t="s">
        <v>488</v>
      </c>
      <c r="F35" s="239" t="s">
        <v>489</v>
      </c>
      <c r="G35" s="567">
        <v>42563</v>
      </c>
      <c r="H35" s="609">
        <f t="shared" si="14"/>
        <v>34.200000000000003</v>
      </c>
      <c r="I35" s="620">
        <v>10</v>
      </c>
      <c r="J35" s="620">
        <v>10</v>
      </c>
      <c r="K35" s="620">
        <v>10</v>
      </c>
      <c r="L35" s="611">
        <f t="shared" si="2"/>
        <v>30</v>
      </c>
      <c r="M35" s="621"/>
      <c r="N35" s="621"/>
      <c r="O35" s="621"/>
      <c r="P35" s="622">
        <f t="shared" si="3"/>
        <v>-4.2000000000000028</v>
      </c>
      <c r="Q35" s="609">
        <f t="shared" si="15"/>
        <v>0</v>
      </c>
      <c r="R35" s="620">
        <v>13.1</v>
      </c>
      <c r="S35" s="620">
        <v>11.3</v>
      </c>
      <c r="T35" s="620">
        <v>9.8000000000000007</v>
      </c>
      <c r="U35" s="611">
        <f t="shared" si="4"/>
        <v>34.200000000000003</v>
      </c>
      <c r="V35" s="621"/>
      <c r="W35" s="621"/>
      <c r="X35" s="621"/>
      <c r="Y35" s="622">
        <f t="shared" si="5"/>
        <v>34.200000000000003</v>
      </c>
      <c r="Z35" s="609">
        <f t="shared" si="16"/>
        <v>0</v>
      </c>
      <c r="AA35" s="620"/>
      <c r="AB35" s="620"/>
      <c r="AC35" s="620"/>
      <c r="AD35" s="611">
        <f t="shared" si="6"/>
        <v>0</v>
      </c>
      <c r="AE35" s="621"/>
      <c r="AF35" s="621"/>
      <c r="AG35" s="621"/>
      <c r="AH35" s="622">
        <f t="shared" si="7"/>
        <v>0</v>
      </c>
      <c r="AI35" s="609">
        <f t="shared" si="17"/>
        <v>5.4</v>
      </c>
      <c r="AJ35" s="620"/>
      <c r="AK35" s="620"/>
      <c r="AL35" s="620"/>
      <c r="AM35" s="623">
        <f t="shared" si="8"/>
        <v>0</v>
      </c>
      <c r="AN35" s="621"/>
      <c r="AO35" s="621"/>
      <c r="AP35" s="621"/>
      <c r="AQ35" s="622">
        <f t="shared" si="9"/>
        <v>-5.4</v>
      </c>
      <c r="AR35" s="615">
        <f t="shared" si="18"/>
        <v>13.5</v>
      </c>
      <c r="AS35" s="620">
        <v>3</v>
      </c>
      <c r="AT35" s="620"/>
      <c r="AU35" s="620">
        <v>2.4</v>
      </c>
      <c r="AV35" s="623">
        <f t="shared" si="10"/>
        <v>5.4</v>
      </c>
      <c r="AW35" s="621"/>
      <c r="AX35" s="621"/>
      <c r="AY35" s="621"/>
      <c r="AZ35" s="624">
        <f t="shared" si="11"/>
        <v>-8.1</v>
      </c>
      <c r="BA35" s="623">
        <v>13.5</v>
      </c>
      <c r="BB35" s="620">
        <v>3.2</v>
      </c>
      <c r="BC35" s="620">
        <v>3</v>
      </c>
      <c r="BD35" s="623">
        <f t="shared" si="12"/>
        <v>6.2</v>
      </c>
      <c r="BE35" s="621"/>
      <c r="BF35" s="621"/>
      <c r="BG35" s="621"/>
      <c r="BH35" s="621">
        <f t="shared" si="13"/>
        <v>7.3</v>
      </c>
    </row>
    <row r="36" spans="1:60" ht="17.25" thickTop="1" thickBot="1" x14ac:dyDescent="0.3">
      <c r="A36" s="602">
        <v>29</v>
      </c>
      <c r="B36" s="603">
        <f t="shared" ca="1" si="1"/>
        <v>43134</v>
      </c>
      <c r="C36" s="29" t="s">
        <v>2865</v>
      </c>
      <c r="D36" s="59" t="s">
        <v>2851</v>
      </c>
      <c r="E36" s="22" t="s">
        <v>271</v>
      </c>
      <c r="F36" s="27" t="s">
        <v>490</v>
      </c>
      <c r="G36" s="567">
        <v>42737</v>
      </c>
      <c r="H36" s="609">
        <f t="shared" si="14"/>
        <v>7.2</v>
      </c>
      <c r="I36" s="620">
        <v>2</v>
      </c>
      <c r="J36" s="620"/>
      <c r="K36" s="620">
        <v>1</v>
      </c>
      <c r="L36" s="611">
        <f t="shared" si="2"/>
        <v>3</v>
      </c>
      <c r="M36" s="621"/>
      <c r="N36" s="621"/>
      <c r="O36" s="621"/>
      <c r="P36" s="622">
        <f t="shared" si="3"/>
        <v>-4.2</v>
      </c>
      <c r="Q36" s="609">
        <f t="shared" si="15"/>
        <v>16.600000000000001</v>
      </c>
      <c r="R36" s="620">
        <v>3</v>
      </c>
      <c r="S36" s="620"/>
      <c r="T36" s="620">
        <v>4.2</v>
      </c>
      <c r="U36" s="611">
        <f t="shared" si="4"/>
        <v>7.2</v>
      </c>
      <c r="V36" s="621"/>
      <c r="W36" s="621"/>
      <c r="X36" s="621"/>
      <c r="Y36" s="622">
        <f t="shared" si="5"/>
        <v>-9.4000000000000021</v>
      </c>
      <c r="Z36" s="609">
        <f t="shared" si="16"/>
        <v>16.600000000000001</v>
      </c>
      <c r="AA36" s="620">
        <v>6.4</v>
      </c>
      <c r="AB36" s="620"/>
      <c r="AC36" s="620">
        <v>6</v>
      </c>
      <c r="AD36" s="611">
        <f t="shared" si="6"/>
        <v>12.4</v>
      </c>
      <c r="AE36" s="621"/>
      <c r="AF36" s="621"/>
      <c r="AG36" s="621"/>
      <c r="AH36" s="622">
        <f t="shared" si="7"/>
        <v>-4.2000000000000011</v>
      </c>
      <c r="AI36" s="609">
        <f t="shared" si="17"/>
        <v>9</v>
      </c>
      <c r="AJ36" s="620">
        <v>8</v>
      </c>
      <c r="AK36" s="620"/>
      <c r="AL36" s="620">
        <v>8.6</v>
      </c>
      <c r="AM36" s="623">
        <f t="shared" si="8"/>
        <v>16.600000000000001</v>
      </c>
      <c r="AN36" s="621"/>
      <c r="AO36" s="621"/>
      <c r="AP36" s="621"/>
      <c r="AQ36" s="622">
        <f t="shared" si="9"/>
        <v>7.6000000000000014</v>
      </c>
      <c r="AR36" s="615">
        <f t="shared" si="18"/>
        <v>25</v>
      </c>
      <c r="AS36" s="620">
        <v>3</v>
      </c>
      <c r="AT36" s="620"/>
      <c r="AU36" s="620">
        <v>6</v>
      </c>
      <c r="AV36" s="623">
        <f t="shared" si="10"/>
        <v>9</v>
      </c>
      <c r="AW36" s="621">
        <v>3.69</v>
      </c>
      <c r="AX36" s="621">
        <v>3.54</v>
      </c>
      <c r="AY36" s="621">
        <v>90</v>
      </c>
      <c r="AZ36" s="624">
        <f t="shared" si="11"/>
        <v>-16</v>
      </c>
      <c r="BA36" s="623">
        <v>25</v>
      </c>
      <c r="BB36" s="620">
        <v>10.4</v>
      </c>
      <c r="BC36" s="620">
        <v>10.5</v>
      </c>
      <c r="BD36" s="623">
        <f t="shared" si="12"/>
        <v>20.9</v>
      </c>
      <c r="BE36" s="621"/>
      <c r="BF36" s="621"/>
      <c r="BG36" s="621"/>
      <c r="BH36" s="621">
        <f t="shared" si="13"/>
        <v>4.1000000000000014</v>
      </c>
    </row>
    <row r="37" spans="1:60" ht="17.25" thickTop="1" thickBot="1" x14ac:dyDescent="0.3">
      <c r="A37" s="77">
        <v>30</v>
      </c>
      <c r="B37" s="603">
        <f t="shared" ca="1" si="1"/>
        <v>43134</v>
      </c>
      <c r="C37" s="29" t="s">
        <v>2865</v>
      </c>
      <c r="D37" s="59" t="s">
        <v>2851</v>
      </c>
      <c r="E37" s="22" t="s">
        <v>491</v>
      </c>
      <c r="F37" s="27" t="s">
        <v>492</v>
      </c>
      <c r="G37" s="567">
        <v>42652</v>
      </c>
      <c r="H37" s="609">
        <f t="shared" si="14"/>
        <v>31.300000000000004</v>
      </c>
      <c r="I37" s="620">
        <v>16.8</v>
      </c>
      <c r="J37" s="620">
        <v>11</v>
      </c>
      <c r="K37" s="620">
        <v>11</v>
      </c>
      <c r="L37" s="611">
        <f t="shared" si="2"/>
        <v>38.799999999999997</v>
      </c>
      <c r="M37" s="621"/>
      <c r="N37" s="621"/>
      <c r="O37" s="621"/>
      <c r="P37" s="622">
        <f t="shared" si="3"/>
        <v>7.4999999999999929</v>
      </c>
      <c r="Q37" s="609">
        <f t="shared" si="15"/>
        <v>0</v>
      </c>
      <c r="R37" s="620">
        <v>9.9</v>
      </c>
      <c r="S37" s="620">
        <v>11.3</v>
      </c>
      <c r="T37" s="620">
        <v>10.1</v>
      </c>
      <c r="U37" s="611">
        <f t="shared" si="4"/>
        <v>31.300000000000004</v>
      </c>
      <c r="V37" s="621"/>
      <c r="W37" s="621"/>
      <c r="X37" s="621"/>
      <c r="Y37" s="622">
        <f t="shared" si="5"/>
        <v>31.300000000000004</v>
      </c>
      <c r="Z37" s="609">
        <f t="shared" si="16"/>
        <v>0</v>
      </c>
      <c r="AA37" s="620"/>
      <c r="AB37" s="620"/>
      <c r="AC37" s="620"/>
      <c r="AD37" s="611">
        <f t="shared" si="6"/>
        <v>0</v>
      </c>
      <c r="AE37" s="621"/>
      <c r="AF37" s="621"/>
      <c r="AG37" s="621"/>
      <c r="AH37" s="622">
        <f t="shared" si="7"/>
        <v>0</v>
      </c>
      <c r="AI37" s="609">
        <f t="shared" si="17"/>
        <v>12.6</v>
      </c>
      <c r="AJ37" s="620"/>
      <c r="AK37" s="620"/>
      <c r="AL37" s="620"/>
      <c r="AM37" s="623">
        <f t="shared" si="8"/>
        <v>0</v>
      </c>
      <c r="AN37" s="621"/>
      <c r="AO37" s="621"/>
      <c r="AP37" s="621"/>
      <c r="AQ37" s="622">
        <f t="shared" si="9"/>
        <v>-12.6</v>
      </c>
      <c r="AR37" s="615">
        <f t="shared" si="18"/>
        <v>11.5</v>
      </c>
      <c r="AS37" s="620">
        <v>7</v>
      </c>
      <c r="AT37" s="620"/>
      <c r="AU37" s="620">
        <v>5.6</v>
      </c>
      <c r="AV37" s="623">
        <f t="shared" si="10"/>
        <v>12.6</v>
      </c>
      <c r="AW37" s="621">
        <v>5.0199999999999996</v>
      </c>
      <c r="AX37" s="621">
        <v>3.82</v>
      </c>
      <c r="AY37" s="621">
        <v>90</v>
      </c>
      <c r="AZ37" s="624">
        <f t="shared" si="11"/>
        <v>1.0999999999999996</v>
      </c>
      <c r="BA37" s="623">
        <v>11.5</v>
      </c>
      <c r="BB37" s="620">
        <v>5</v>
      </c>
      <c r="BC37" s="620">
        <v>4</v>
      </c>
      <c r="BD37" s="623">
        <f t="shared" si="12"/>
        <v>9</v>
      </c>
      <c r="BE37" s="621"/>
      <c r="BF37" s="621"/>
      <c r="BG37" s="621"/>
      <c r="BH37" s="621">
        <f t="shared" si="13"/>
        <v>2.5</v>
      </c>
    </row>
    <row r="38" spans="1:60" ht="17.25" thickTop="1" thickBot="1" x14ac:dyDescent="0.3">
      <c r="A38" s="602">
        <v>31</v>
      </c>
      <c r="B38" s="603">
        <f t="shared" ca="1" si="1"/>
        <v>43134</v>
      </c>
      <c r="C38" s="29" t="s">
        <v>2896</v>
      </c>
      <c r="D38" s="59" t="s">
        <v>2851</v>
      </c>
      <c r="E38" s="22" t="s">
        <v>283</v>
      </c>
      <c r="F38" s="27" t="s">
        <v>497</v>
      </c>
      <c r="G38" s="567">
        <v>42698</v>
      </c>
      <c r="H38" s="609">
        <f t="shared" si="14"/>
        <v>0</v>
      </c>
      <c r="I38" s="620"/>
      <c r="J38" s="620"/>
      <c r="K38" s="620"/>
      <c r="L38" s="611">
        <f t="shared" si="2"/>
        <v>0</v>
      </c>
      <c r="M38" s="621"/>
      <c r="N38" s="621"/>
      <c r="O38" s="621"/>
      <c r="P38" s="622">
        <f t="shared" si="3"/>
        <v>0</v>
      </c>
      <c r="Q38" s="609">
        <f t="shared" si="15"/>
        <v>17.299999999999997</v>
      </c>
      <c r="R38" s="620"/>
      <c r="S38" s="620"/>
      <c r="T38" s="620"/>
      <c r="U38" s="611">
        <f t="shared" si="4"/>
        <v>0</v>
      </c>
      <c r="V38" s="621"/>
      <c r="W38" s="621"/>
      <c r="X38" s="621"/>
      <c r="Y38" s="622">
        <f t="shared" si="5"/>
        <v>-17.299999999999997</v>
      </c>
      <c r="Z38" s="609">
        <f t="shared" si="16"/>
        <v>17.299999999999997</v>
      </c>
      <c r="AA38" s="620">
        <v>4.8</v>
      </c>
      <c r="AB38" s="620"/>
      <c r="AC38" s="620">
        <v>6</v>
      </c>
      <c r="AD38" s="611">
        <f t="shared" si="6"/>
        <v>10.8</v>
      </c>
      <c r="AE38" s="621"/>
      <c r="AF38" s="621"/>
      <c r="AG38" s="621"/>
      <c r="AH38" s="622">
        <f t="shared" si="7"/>
        <v>-6.4999999999999964</v>
      </c>
      <c r="AI38" s="609">
        <f t="shared" si="17"/>
        <v>17.399999999999999</v>
      </c>
      <c r="AJ38" s="620">
        <v>8.6999999999999993</v>
      </c>
      <c r="AK38" s="620"/>
      <c r="AL38" s="620">
        <v>8.6</v>
      </c>
      <c r="AM38" s="623">
        <f t="shared" si="8"/>
        <v>17.299999999999997</v>
      </c>
      <c r="AN38" s="621"/>
      <c r="AO38" s="621"/>
      <c r="AP38" s="621"/>
      <c r="AQ38" s="622">
        <f t="shared" si="9"/>
        <v>-0.10000000000000142</v>
      </c>
      <c r="AR38" s="615">
        <f t="shared" si="18"/>
        <v>33</v>
      </c>
      <c r="AS38" s="620">
        <v>9.4</v>
      </c>
      <c r="AT38" s="620"/>
      <c r="AU38" s="620">
        <v>8</v>
      </c>
      <c r="AV38" s="623">
        <f t="shared" si="10"/>
        <v>17.399999999999999</v>
      </c>
      <c r="AW38" s="621">
        <v>4.83</v>
      </c>
      <c r="AX38" s="621">
        <v>3.82</v>
      </c>
      <c r="AY38" s="621">
        <v>90</v>
      </c>
      <c r="AZ38" s="624">
        <f t="shared" si="11"/>
        <v>-15.600000000000001</v>
      </c>
      <c r="BA38" s="623">
        <v>33</v>
      </c>
      <c r="BB38" s="620">
        <v>9</v>
      </c>
      <c r="BC38" s="620">
        <v>10</v>
      </c>
      <c r="BD38" s="623">
        <f t="shared" si="12"/>
        <v>19</v>
      </c>
      <c r="BE38" s="621"/>
      <c r="BF38" s="621"/>
      <c r="BG38" s="621"/>
      <c r="BH38" s="621">
        <f t="shared" si="13"/>
        <v>14</v>
      </c>
    </row>
    <row r="39" spans="1:60" ht="17.25" thickTop="1" thickBot="1" x14ac:dyDescent="0.3">
      <c r="A39" s="77">
        <v>32</v>
      </c>
      <c r="B39" s="603">
        <f t="shared" ca="1" si="1"/>
        <v>43134</v>
      </c>
      <c r="C39" s="29" t="s">
        <v>2865</v>
      </c>
      <c r="D39" s="59" t="s">
        <v>2851</v>
      </c>
      <c r="E39" s="22" t="s">
        <v>554</v>
      </c>
      <c r="F39" s="27" t="s">
        <v>555</v>
      </c>
      <c r="G39" s="567">
        <v>42721</v>
      </c>
      <c r="H39" s="609">
        <f t="shared" si="14"/>
        <v>14.799999999999999</v>
      </c>
      <c r="I39" s="620">
        <v>6.2</v>
      </c>
      <c r="J39" s="620"/>
      <c r="K39" s="620">
        <v>5</v>
      </c>
      <c r="L39" s="611">
        <f t="shared" si="2"/>
        <v>11.2</v>
      </c>
      <c r="M39" s="621"/>
      <c r="N39" s="621"/>
      <c r="O39" s="621"/>
      <c r="P39" s="622">
        <f t="shared" si="3"/>
        <v>-3.5999999999999996</v>
      </c>
      <c r="Q39" s="609">
        <f t="shared" si="15"/>
        <v>25.6</v>
      </c>
      <c r="R39" s="620">
        <v>8.1999999999999993</v>
      </c>
      <c r="S39" s="620"/>
      <c r="T39" s="620">
        <v>6.6</v>
      </c>
      <c r="U39" s="611">
        <f t="shared" si="4"/>
        <v>14.799999999999999</v>
      </c>
      <c r="V39" s="621"/>
      <c r="W39" s="621"/>
      <c r="X39" s="621"/>
      <c r="Y39" s="622">
        <f t="shared" si="5"/>
        <v>-10.800000000000002</v>
      </c>
      <c r="Z39" s="609">
        <f t="shared" si="16"/>
        <v>25.6</v>
      </c>
      <c r="AA39" s="620">
        <v>13.4</v>
      </c>
      <c r="AB39" s="620"/>
      <c r="AC39" s="620">
        <v>8.4</v>
      </c>
      <c r="AD39" s="611">
        <f t="shared" si="6"/>
        <v>21.8</v>
      </c>
      <c r="AE39" s="621"/>
      <c r="AF39" s="621"/>
      <c r="AG39" s="621"/>
      <c r="AH39" s="622">
        <f t="shared" si="7"/>
        <v>-3.8000000000000007</v>
      </c>
      <c r="AI39" s="609">
        <f t="shared" si="17"/>
        <v>20.5</v>
      </c>
      <c r="AJ39" s="620">
        <v>13</v>
      </c>
      <c r="AK39" s="620"/>
      <c r="AL39" s="620">
        <v>12.6</v>
      </c>
      <c r="AM39" s="623">
        <f t="shared" si="8"/>
        <v>25.6</v>
      </c>
      <c r="AN39" s="621"/>
      <c r="AO39" s="621"/>
      <c r="AP39" s="621"/>
      <c r="AQ39" s="622">
        <f t="shared" si="9"/>
        <v>5.1000000000000014</v>
      </c>
      <c r="AR39" s="615">
        <f t="shared" si="18"/>
        <v>31</v>
      </c>
      <c r="AS39" s="620">
        <v>15</v>
      </c>
      <c r="AT39" s="620"/>
      <c r="AU39" s="620">
        <v>5.5</v>
      </c>
      <c r="AV39" s="623">
        <f t="shared" si="10"/>
        <v>20.5</v>
      </c>
      <c r="AW39" s="621">
        <v>4.4000000000000004</v>
      </c>
      <c r="AX39" s="621">
        <v>3.88</v>
      </c>
      <c r="AY39" s="621">
        <v>97</v>
      </c>
      <c r="AZ39" s="624">
        <f t="shared" si="11"/>
        <v>-10.5</v>
      </c>
      <c r="BA39" s="623">
        <v>31</v>
      </c>
      <c r="BB39" s="620">
        <v>11</v>
      </c>
      <c r="BC39" s="620">
        <v>9.1999999999999993</v>
      </c>
      <c r="BD39" s="623">
        <f t="shared" si="12"/>
        <v>20.2</v>
      </c>
      <c r="BE39" s="621"/>
      <c r="BF39" s="621"/>
      <c r="BG39" s="621"/>
      <c r="BH39" s="621">
        <f t="shared" si="13"/>
        <v>10.8</v>
      </c>
    </row>
    <row r="40" spans="1:60" ht="17.25" thickTop="1" thickBot="1" x14ac:dyDescent="0.3">
      <c r="A40" s="602">
        <v>33</v>
      </c>
      <c r="B40" s="603">
        <f t="shared" ca="1" si="1"/>
        <v>43134</v>
      </c>
      <c r="C40" s="29" t="s">
        <v>2865</v>
      </c>
      <c r="D40" s="59" t="s">
        <v>2851</v>
      </c>
      <c r="E40" s="22" t="s">
        <v>433</v>
      </c>
      <c r="F40" s="27" t="s">
        <v>434</v>
      </c>
      <c r="G40" s="567">
        <v>42729</v>
      </c>
      <c r="H40" s="609">
        <f t="shared" si="14"/>
        <v>0</v>
      </c>
      <c r="I40" s="620"/>
      <c r="J40" s="620"/>
      <c r="K40" s="620"/>
      <c r="L40" s="611">
        <f t="shared" si="2"/>
        <v>0</v>
      </c>
      <c r="M40" s="621"/>
      <c r="N40" s="621"/>
      <c r="O40" s="621"/>
      <c r="P40" s="622">
        <f t="shared" si="3"/>
        <v>0</v>
      </c>
      <c r="Q40" s="609">
        <f t="shared" si="15"/>
        <v>26</v>
      </c>
      <c r="R40" s="620"/>
      <c r="S40" s="620"/>
      <c r="T40" s="620"/>
      <c r="U40" s="611">
        <f t="shared" si="4"/>
        <v>0</v>
      </c>
      <c r="V40" s="621"/>
      <c r="W40" s="621"/>
      <c r="X40" s="621"/>
      <c r="Y40" s="622">
        <f t="shared" si="5"/>
        <v>-26</v>
      </c>
      <c r="Z40" s="609">
        <f t="shared" si="16"/>
        <v>26</v>
      </c>
      <c r="AA40" s="620">
        <v>4.5999999999999996</v>
      </c>
      <c r="AB40" s="620"/>
      <c r="AC40" s="620">
        <v>9.6999999999999993</v>
      </c>
      <c r="AD40" s="611">
        <f t="shared" si="6"/>
        <v>14.299999999999999</v>
      </c>
      <c r="AE40" s="621"/>
      <c r="AF40" s="621"/>
      <c r="AG40" s="621"/>
      <c r="AH40" s="622">
        <f t="shared" si="7"/>
        <v>-11.700000000000001</v>
      </c>
      <c r="AI40" s="609">
        <f t="shared" si="17"/>
        <v>27</v>
      </c>
      <c r="AJ40" s="620">
        <v>14</v>
      </c>
      <c r="AK40" s="620"/>
      <c r="AL40" s="620">
        <v>12</v>
      </c>
      <c r="AM40" s="623">
        <f t="shared" si="8"/>
        <v>26</v>
      </c>
      <c r="AN40" s="621"/>
      <c r="AO40" s="621"/>
      <c r="AP40" s="621"/>
      <c r="AQ40" s="622">
        <f t="shared" si="9"/>
        <v>-1</v>
      </c>
      <c r="AR40" s="615">
        <f t="shared" si="18"/>
        <v>39</v>
      </c>
      <c r="AS40" s="620">
        <v>16</v>
      </c>
      <c r="AT40" s="620"/>
      <c r="AU40" s="620">
        <v>11</v>
      </c>
      <c r="AV40" s="623">
        <f t="shared" si="10"/>
        <v>27</v>
      </c>
      <c r="AW40" s="621">
        <v>4.76</v>
      </c>
      <c r="AX40" s="621">
        <v>3.73</v>
      </c>
      <c r="AY40" s="621">
        <v>90</v>
      </c>
      <c r="AZ40" s="624">
        <f t="shared" si="11"/>
        <v>-12</v>
      </c>
      <c r="BA40" s="623">
        <v>39</v>
      </c>
      <c r="BB40" s="620">
        <v>14</v>
      </c>
      <c r="BC40" s="620">
        <v>9.1999999999999993</v>
      </c>
      <c r="BD40" s="623">
        <f t="shared" si="12"/>
        <v>23.2</v>
      </c>
      <c r="BE40" s="621"/>
      <c r="BF40" s="621"/>
      <c r="BG40" s="621"/>
      <c r="BH40" s="621">
        <f t="shared" si="13"/>
        <v>15.8</v>
      </c>
    </row>
    <row r="41" spans="1:60" ht="17.25" thickTop="1" thickBot="1" x14ac:dyDescent="0.3">
      <c r="A41" s="77">
        <v>34</v>
      </c>
      <c r="B41" s="603">
        <f t="shared" ca="1" si="1"/>
        <v>43134</v>
      </c>
      <c r="C41" s="29" t="s">
        <v>2865</v>
      </c>
      <c r="D41" s="59" t="s">
        <v>2851</v>
      </c>
      <c r="E41" s="22" t="s">
        <v>221</v>
      </c>
      <c r="F41" s="27" t="s">
        <v>435</v>
      </c>
      <c r="G41" s="567">
        <v>42723</v>
      </c>
      <c r="H41" s="609">
        <f t="shared" si="14"/>
        <v>0</v>
      </c>
      <c r="I41" s="620"/>
      <c r="J41" s="620"/>
      <c r="K41" s="620"/>
      <c r="L41" s="611">
        <f t="shared" si="2"/>
        <v>0</v>
      </c>
      <c r="M41" s="621"/>
      <c r="N41" s="621"/>
      <c r="O41" s="621"/>
      <c r="P41" s="622">
        <f t="shared" si="3"/>
        <v>0</v>
      </c>
      <c r="Q41" s="609">
        <f t="shared" si="15"/>
        <v>29</v>
      </c>
      <c r="R41" s="620"/>
      <c r="S41" s="620"/>
      <c r="T41" s="620"/>
      <c r="U41" s="611">
        <f t="shared" si="4"/>
        <v>0</v>
      </c>
      <c r="V41" s="621"/>
      <c r="W41" s="621"/>
      <c r="X41" s="621"/>
      <c r="Y41" s="622">
        <f t="shared" si="5"/>
        <v>-29</v>
      </c>
      <c r="Z41" s="609">
        <f t="shared" si="16"/>
        <v>29</v>
      </c>
      <c r="AA41" s="620">
        <v>8</v>
      </c>
      <c r="AB41" s="620"/>
      <c r="AC41" s="620">
        <v>8</v>
      </c>
      <c r="AD41" s="611">
        <f t="shared" si="6"/>
        <v>16</v>
      </c>
      <c r="AE41" s="621"/>
      <c r="AF41" s="621"/>
      <c r="AG41" s="621"/>
      <c r="AH41" s="622">
        <f t="shared" si="7"/>
        <v>-13</v>
      </c>
      <c r="AI41" s="609">
        <f t="shared" si="17"/>
        <v>21.9</v>
      </c>
      <c r="AJ41" s="620">
        <v>11</v>
      </c>
      <c r="AK41" s="620"/>
      <c r="AL41" s="620">
        <v>18</v>
      </c>
      <c r="AM41" s="623">
        <f t="shared" si="8"/>
        <v>29</v>
      </c>
      <c r="AN41" s="621"/>
      <c r="AO41" s="621"/>
      <c r="AP41" s="621"/>
      <c r="AQ41" s="622">
        <f t="shared" si="9"/>
        <v>7.1000000000000014</v>
      </c>
      <c r="AR41" s="615">
        <f t="shared" si="18"/>
        <v>27</v>
      </c>
      <c r="AS41" s="620">
        <v>13</v>
      </c>
      <c r="AT41" s="620"/>
      <c r="AU41" s="620">
        <v>8.9</v>
      </c>
      <c r="AV41" s="623">
        <f t="shared" si="10"/>
        <v>21.9</v>
      </c>
      <c r="AW41" s="621">
        <v>4.6399999999999997</v>
      </c>
      <c r="AX41" s="621">
        <v>3.65</v>
      </c>
      <c r="AY41" s="621">
        <v>90</v>
      </c>
      <c r="AZ41" s="624">
        <f t="shared" si="11"/>
        <v>-5.1000000000000014</v>
      </c>
      <c r="BA41" s="623">
        <v>27</v>
      </c>
      <c r="BB41" s="620">
        <v>11</v>
      </c>
      <c r="BC41" s="620">
        <v>11.2</v>
      </c>
      <c r="BD41" s="623">
        <f t="shared" si="12"/>
        <v>22.2</v>
      </c>
      <c r="BE41" s="621"/>
      <c r="BF41" s="621"/>
      <c r="BG41" s="621"/>
      <c r="BH41" s="621">
        <f t="shared" si="13"/>
        <v>4.8000000000000007</v>
      </c>
    </row>
    <row r="42" spans="1:60" ht="17.25" thickTop="1" thickBot="1" x14ac:dyDescent="0.3">
      <c r="A42" s="602">
        <v>35</v>
      </c>
      <c r="B42" s="603">
        <f t="shared" ca="1" si="1"/>
        <v>43134</v>
      </c>
      <c r="C42" s="29" t="s">
        <v>2865</v>
      </c>
      <c r="D42" s="59" t="s">
        <v>2851</v>
      </c>
      <c r="E42" s="22" t="s">
        <v>930</v>
      </c>
      <c r="F42" s="27" t="s">
        <v>931</v>
      </c>
      <c r="G42" s="567">
        <v>42794</v>
      </c>
      <c r="H42" s="609">
        <f t="shared" si="14"/>
        <v>23</v>
      </c>
      <c r="I42" s="620">
        <v>6</v>
      </c>
      <c r="J42" s="620"/>
      <c r="K42" s="620">
        <v>7.4</v>
      </c>
      <c r="L42" s="611">
        <f t="shared" si="2"/>
        <v>13.4</v>
      </c>
      <c r="M42" s="621"/>
      <c r="N42" s="621"/>
      <c r="O42" s="621"/>
      <c r="P42" s="622">
        <f t="shared" si="3"/>
        <v>-9.6</v>
      </c>
      <c r="Q42" s="609">
        <f t="shared" si="15"/>
        <v>17</v>
      </c>
      <c r="R42" s="620">
        <v>7.4</v>
      </c>
      <c r="S42" s="620"/>
      <c r="T42" s="620">
        <v>15.6</v>
      </c>
      <c r="U42" s="611">
        <f t="shared" si="4"/>
        <v>23</v>
      </c>
      <c r="V42" s="621"/>
      <c r="W42" s="621"/>
      <c r="X42" s="621"/>
      <c r="Y42" s="622">
        <f t="shared" si="5"/>
        <v>6</v>
      </c>
      <c r="Z42" s="609">
        <f t="shared" si="16"/>
        <v>17</v>
      </c>
      <c r="AA42" s="620">
        <v>9.9</v>
      </c>
      <c r="AB42" s="620"/>
      <c r="AC42" s="620">
        <v>9.6</v>
      </c>
      <c r="AD42" s="611">
        <f t="shared" si="6"/>
        <v>19.5</v>
      </c>
      <c r="AE42" s="621"/>
      <c r="AF42" s="621"/>
      <c r="AG42" s="621"/>
      <c r="AH42" s="622">
        <f t="shared" si="7"/>
        <v>2.5</v>
      </c>
      <c r="AI42" s="609">
        <f t="shared" si="17"/>
        <v>19</v>
      </c>
      <c r="AJ42" s="620">
        <v>9</v>
      </c>
      <c r="AK42" s="620"/>
      <c r="AL42" s="620">
        <v>8</v>
      </c>
      <c r="AM42" s="623">
        <f t="shared" si="8"/>
        <v>17</v>
      </c>
      <c r="AN42" s="621"/>
      <c r="AO42" s="621"/>
      <c r="AP42" s="621"/>
      <c r="AQ42" s="622">
        <f t="shared" si="9"/>
        <v>-2</v>
      </c>
      <c r="AR42" s="615">
        <f t="shared" si="18"/>
        <v>22.2</v>
      </c>
      <c r="AS42" s="620">
        <v>9</v>
      </c>
      <c r="AT42" s="620"/>
      <c r="AU42" s="620">
        <v>10</v>
      </c>
      <c r="AV42" s="623">
        <f t="shared" si="10"/>
        <v>19</v>
      </c>
      <c r="AW42" s="621">
        <v>4.03</v>
      </c>
      <c r="AX42" s="621">
        <v>3.67</v>
      </c>
      <c r="AY42" s="621">
        <v>90</v>
      </c>
      <c r="AZ42" s="624">
        <f t="shared" si="11"/>
        <v>-3.1999999999999993</v>
      </c>
      <c r="BA42" s="623">
        <v>22.2</v>
      </c>
      <c r="BB42" s="620">
        <v>8.5</v>
      </c>
      <c r="BC42" s="620">
        <v>9</v>
      </c>
      <c r="BD42" s="623">
        <f t="shared" si="12"/>
        <v>17.5</v>
      </c>
      <c r="BE42" s="621"/>
      <c r="BF42" s="621"/>
      <c r="BG42" s="621"/>
      <c r="BH42" s="621">
        <f t="shared" si="13"/>
        <v>4.6999999999999993</v>
      </c>
    </row>
    <row r="43" spans="1:60" ht="17.25" thickTop="1" thickBot="1" x14ac:dyDescent="0.3">
      <c r="A43" s="77">
        <v>36</v>
      </c>
      <c r="B43" s="603">
        <f t="shared" ca="1" si="1"/>
        <v>43134</v>
      </c>
      <c r="C43" s="29" t="s">
        <v>2865</v>
      </c>
      <c r="D43" s="59" t="s">
        <v>2851</v>
      </c>
      <c r="E43" s="22" t="s">
        <v>104</v>
      </c>
      <c r="F43" s="27" t="s">
        <v>1132</v>
      </c>
      <c r="G43" s="567">
        <v>42570</v>
      </c>
      <c r="H43" s="609">
        <f t="shared" si="14"/>
        <v>12.3</v>
      </c>
      <c r="I43" s="620">
        <v>4</v>
      </c>
      <c r="J43" s="620"/>
      <c r="K43" s="620"/>
      <c r="L43" s="611">
        <f t="shared" si="2"/>
        <v>4</v>
      </c>
      <c r="M43" s="621"/>
      <c r="N43" s="621"/>
      <c r="O43" s="621"/>
      <c r="P43" s="622">
        <f t="shared" si="3"/>
        <v>-8.3000000000000007</v>
      </c>
      <c r="Q43" s="609">
        <f t="shared" si="15"/>
        <v>16</v>
      </c>
      <c r="R43" s="620">
        <v>8.8000000000000007</v>
      </c>
      <c r="S43" s="620"/>
      <c r="T43" s="620">
        <v>3.5</v>
      </c>
      <c r="U43" s="611">
        <f t="shared" si="4"/>
        <v>12.3</v>
      </c>
      <c r="V43" s="621"/>
      <c r="W43" s="621"/>
      <c r="X43" s="621"/>
      <c r="Y43" s="622">
        <f t="shared" si="5"/>
        <v>-3.6999999999999993</v>
      </c>
      <c r="Z43" s="609">
        <f t="shared" si="16"/>
        <v>16</v>
      </c>
      <c r="AA43" s="620">
        <v>9</v>
      </c>
      <c r="AB43" s="620"/>
      <c r="AC43" s="620">
        <v>5.8</v>
      </c>
      <c r="AD43" s="611">
        <f t="shared" si="6"/>
        <v>14.8</v>
      </c>
      <c r="AE43" s="621"/>
      <c r="AF43" s="621"/>
      <c r="AG43" s="621"/>
      <c r="AH43" s="622">
        <f t="shared" si="7"/>
        <v>-1.1999999999999993</v>
      </c>
      <c r="AI43" s="609">
        <f t="shared" si="17"/>
        <v>18.600000000000001</v>
      </c>
      <c r="AJ43" s="620">
        <v>8</v>
      </c>
      <c r="AK43" s="620"/>
      <c r="AL43" s="620">
        <v>8</v>
      </c>
      <c r="AM43" s="623">
        <f t="shared" si="8"/>
        <v>16</v>
      </c>
      <c r="AN43" s="621"/>
      <c r="AO43" s="621"/>
      <c r="AP43" s="621"/>
      <c r="AQ43" s="622">
        <f t="shared" si="9"/>
        <v>-2.6000000000000014</v>
      </c>
      <c r="AR43" s="615">
        <f t="shared" si="18"/>
        <v>20.2</v>
      </c>
      <c r="AS43" s="620">
        <v>12</v>
      </c>
      <c r="AT43" s="620"/>
      <c r="AU43" s="620">
        <v>6.6</v>
      </c>
      <c r="AV43" s="623">
        <f t="shared" si="10"/>
        <v>18.600000000000001</v>
      </c>
      <c r="AW43" s="621">
        <v>2.89</v>
      </c>
      <c r="AX43" s="621">
        <v>3.5</v>
      </c>
      <c r="AY43" s="621">
        <v>90</v>
      </c>
      <c r="AZ43" s="624">
        <f t="shared" si="11"/>
        <v>-1.5999999999999979</v>
      </c>
      <c r="BA43" s="623">
        <v>20.2</v>
      </c>
      <c r="BB43" s="620">
        <v>10</v>
      </c>
      <c r="BC43" s="620">
        <v>10</v>
      </c>
      <c r="BD43" s="623">
        <f t="shared" si="12"/>
        <v>20</v>
      </c>
      <c r="BE43" s="621"/>
      <c r="BF43" s="621"/>
      <c r="BG43" s="621"/>
      <c r="BH43" s="621">
        <f t="shared" si="13"/>
        <v>0.19999999999999929</v>
      </c>
    </row>
    <row r="44" spans="1:60" ht="17.25" thickTop="1" thickBot="1" x14ac:dyDescent="0.3">
      <c r="A44" s="602">
        <v>37</v>
      </c>
      <c r="B44" s="603">
        <f t="shared" ca="1" si="1"/>
        <v>43134</v>
      </c>
      <c r="C44" s="29" t="s">
        <v>2865</v>
      </c>
      <c r="D44" s="59" t="s">
        <v>2851</v>
      </c>
      <c r="E44" s="22" t="s">
        <v>1268</v>
      </c>
      <c r="F44" s="27" t="s">
        <v>1134</v>
      </c>
      <c r="G44" s="567">
        <v>42552</v>
      </c>
      <c r="H44" s="609">
        <f t="shared" si="14"/>
        <v>8.8000000000000007</v>
      </c>
      <c r="I44" s="620"/>
      <c r="J44" s="620"/>
      <c r="K44" s="620"/>
      <c r="L44" s="611">
        <f t="shared" si="2"/>
        <v>0</v>
      </c>
      <c r="M44" s="621"/>
      <c r="N44" s="621"/>
      <c r="O44" s="621"/>
      <c r="P44" s="622">
        <f t="shared" si="3"/>
        <v>-8.8000000000000007</v>
      </c>
      <c r="Q44" s="609">
        <f t="shared" si="15"/>
        <v>11</v>
      </c>
      <c r="R44" s="620">
        <v>6</v>
      </c>
      <c r="S44" s="620"/>
      <c r="T44" s="620">
        <v>2.8</v>
      </c>
      <c r="U44" s="611">
        <f t="shared" si="4"/>
        <v>8.8000000000000007</v>
      </c>
      <c r="V44" s="621"/>
      <c r="W44" s="621"/>
      <c r="X44" s="621"/>
      <c r="Y44" s="622">
        <f t="shared" si="5"/>
        <v>-2.1999999999999993</v>
      </c>
      <c r="Z44" s="609">
        <f t="shared" si="16"/>
        <v>11</v>
      </c>
      <c r="AA44" s="620">
        <v>5</v>
      </c>
      <c r="AB44" s="620"/>
      <c r="AC44" s="620">
        <v>5</v>
      </c>
      <c r="AD44" s="611">
        <f t="shared" si="6"/>
        <v>10</v>
      </c>
      <c r="AE44" s="621"/>
      <c r="AF44" s="621"/>
      <c r="AG44" s="621"/>
      <c r="AH44" s="622">
        <f t="shared" si="7"/>
        <v>-1</v>
      </c>
      <c r="AI44" s="609">
        <f t="shared" si="17"/>
        <v>15</v>
      </c>
      <c r="AJ44" s="620">
        <v>7</v>
      </c>
      <c r="AK44" s="620"/>
      <c r="AL44" s="620">
        <v>4</v>
      </c>
      <c r="AM44" s="623">
        <f t="shared" si="8"/>
        <v>11</v>
      </c>
      <c r="AN44" s="621"/>
      <c r="AO44" s="621"/>
      <c r="AP44" s="621"/>
      <c r="AQ44" s="622">
        <f t="shared" si="9"/>
        <v>-4</v>
      </c>
      <c r="AR44" s="615">
        <f t="shared" si="18"/>
        <v>10.199999999999999</v>
      </c>
      <c r="AS44" s="620">
        <v>8</v>
      </c>
      <c r="AT44" s="620"/>
      <c r="AU44" s="620">
        <v>7</v>
      </c>
      <c r="AV44" s="623">
        <f t="shared" si="10"/>
        <v>15</v>
      </c>
      <c r="AW44" s="621">
        <v>5</v>
      </c>
      <c r="AX44" s="621">
        <v>3.97</v>
      </c>
      <c r="AY44" s="621">
        <v>93</v>
      </c>
      <c r="AZ44" s="624">
        <f t="shared" si="11"/>
        <v>4.8000000000000007</v>
      </c>
      <c r="BA44" s="623">
        <v>10.199999999999999</v>
      </c>
      <c r="BB44" s="620">
        <v>7</v>
      </c>
      <c r="BC44" s="620">
        <v>11</v>
      </c>
      <c r="BD44" s="623">
        <f t="shared" si="12"/>
        <v>18</v>
      </c>
      <c r="BE44" s="621"/>
      <c r="BF44" s="621"/>
      <c r="BG44" s="621"/>
      <c r="BH44" s="621">
        <f t="shared" si="13"/>
        <v>-7.8000000000000007</v>
      </c>
    </row>
    <row r="45" spans="1:60" ht="17.25" thickTop="1" thickBot="1" x14ac:dyDescent="0.3">
      <c r="A45" s="77">
        <v>38</v>
      </c>
      <c r="B45" s="603">
        <f t="shared" ca="1" si="1"/>
        <v>43134</v>
      </c>
      <c r="C45" s="29" t="s">
        <v>2865</v>
      </c>
      <c r="D45" s="59" t="s">
        <v>2851</v>
      </c>
      <c r="E45" s="22" t="s">
        <v>560</v>
      </c>
      <c r="F45" s="27" t="s">
        <v>561</v>
      </c>
      <c r="G45" s="567">
        <v>42682</v>
      </c>
      <c r="H45" s="609">
        <f t="shared" si="14"/>
        <v>21.4</v>
      </c>
      <c r="I45" s="620">
        <v>10.6</v>
      </c>
      <c r="J45" s="620"/>
      <c r="K45" s="620">
        <v>4</v>
      </c>
      <c r="L45" s="611">
        <f t="shared" si="2"/>
        <v>14.6</v>
      </c>
      <c r="M45" s="621"/>
      <c r="N45" s="621"/>
      <c r="O45" s="621"/>
      <c r="P45" s="622">
        <f t="shared" si="3"/>
        <v>-6.7999999999999989</v>
      </c>
      <c r="Q45" s="609">
        <f t="shared" si="15"/>
        <v>20</v>
      </c>
      <c r="R45" s="620">
        <v>15</v>
      </c>
      <c r="S45" s="620"/>
      <c r="T45" s="620">
        <v>6.4</v>
      </c>
      <c r="U45" s="611">
        <f t="shared" si="4"/>
        <v>21.4</v>
      </c>
      <c r="V45" s="621"/>
      <c r="W45" s="621"/>
      <c r="X45" s="621"/>
      <c r="Y45" s="622">
        <f t="shared" si="5"/>
        <v>1.3999999999999986</v>
      </c>
      <c r="Z45" s="609">
        <f t="shared" si="16"/>
        <v>20</v>
      </c>
      <c r="AA45" s="620">
        <v>11.4</v>
      </c>
      <c r="AB45" s="620"/>
      <c r="AC45" s="620">
        <v>8</v>
      </c>
      <c r="AD45" s="611">
        <f t="shared" si="6"/>
        <v>19.399999999999999</v>
      </c>
      <c r="AE45" s="621"/>
      <c r="AF45" s="621"/>
      <c r="AG45" s="621"/>
      <c r="AH45" s="622">
        <f t="shared" si="7"/>
        <v>-0.60000000000000142</v>
      </c>
      <c r="AI45" s="609">
        <f t="shared" si="17"/>
        <v>27</v>
      </c>
      <c r="AJ45" s="620">
        <v>11</v>
      </c>
      <c r="AK45" s="620"/>
      <c r="AL45" s="620">
        <v>9</v>
      </c>
      <c r="AM45" s="623">
        <f t="shared" si="8"/>
        <v>20</v>
      </c>
      <c r="AN45" s="621"/>
      <c r="AO45" s="621"/>
      <c r="AP45" s="621"/>
      <c r="AQ45" s="622">
        <f t="shared" si="9"/>
        <v>-7</v>
      </c>
      <c r="AR45" s="615">
        <f t="shared" si="18"/>
        <v>27.5</v>
      </c>
      <c r="AS45" s="620">
        <v>15</v>
      </c>
      <c r="AT45" s="620"/>
      <c r="AU45" s="620">
        <v>12</v>
      </c>
      <c r="AV45" s="623">
        <f t="shared" si="10"/>
        <v>27</v>
      </c>
      <c r="AW45" s="621">
        <v>4.7699999999999996</v>
      </c>
      <c r="AX45" s="621">
        <v>3.22</v>
      </c>
      <c r="AY45" s="621">
        <v>90</v>
      </c>
      <c r="AZ45" s="624">
        <f t="shared" si="11"/>
        <v>-0.5</v>
      </c>
      <c r="BA45" s="623">
        <v>27.5</v>
      </c>
      <c r="BB45" s="620">
        <v>12</v>
      </c>
      <c r="BC45" s="620">
        <v>11.2</v>
      </c>
      <c r="BD45" s="623">
        <f t="shared" si="12"/>
        <v>23.2</v>
      </c>
      <c r="BE45" s="621"/>
      <c r="BF45" s="621"/>
      <c r="BG45" s="621"/>
      <c r="BH45" s="621">
        <f t="shared" si="13"/>
        <v>4.3000000000000007</v>
      </c>
    </row>
    <row r="46" spans="1:60" ht="17.25" thickTop="1" thickBot="1" x14ac:dyDescent="0.3">
      <c r="A46" s="602">
        <v>39</v>
      </c>
      <c r="B46" s="603">
        <f t="shared" ca="1" si="1"/>
        <v>43134</v>
      </c>
      <c r="C46" s="29" t="s">
        <v>2865</v>
      </c>
      <c r="D46" s="59" t="s">
        <v>2851</v>
      </c>
      <c r="E46" s="22" t="s">
        <v>1276</v>
      </c>
      <c r="F46" s="27" t="s">
        <v>1148</v>
      </c>
      <c r="G46" s="567">
        <v>42572</v>
      </c>
      <c r="H46" s="609">
        <f t="shared" si="14"/>
        <v>29.8</v>
      </c>
      <c r="I46" s="620">
        <v>8.4</v>
      </c>
      <c r="J46" s="620">
        <v>6.8</v>
      </c>
      <c r="K46" s="620">
        <v>6</v>
      </c>
      <c r="L46" s="611">
        <f t="shared" si="2"/>
        <v>21.2</v>
      </c>
      <c r="M46" s="621"/>
      <c r="N46" s="621"/>
      <c r="O46" s="621"/>
      <c r="P46" s="622">
        <f t="shared" si="3"/>
        <v>-8.6000000000000014</v>
      </c>
      <c r="Q46" s="609">
        <f t="shared" si="15"/>
        <v>0</v>
      </c>
      <c r="R46" s="620">
        <v>10</v>
      </c>
      <c r="S46" s="620">
        <v>11</v>
      </c>
      <c r="T46" s="620">
        <v>8.8000000000000007</v>
      </c>
      <c r="U46" s="611">
        <f t="shared" si="4"/>
        <v>29.8</v>
      </c>
      <c r="V46" s="621"/>
      <c r="W46" s="621"/>
      <c r="X46" s="621"/>
      <c r="Y46" s="622">
        <f t="shared" si="5"/>
        <v>29.8</v>
      </c>
      <c r="Z46" s="609">
        <f t="shared" si="16"/>
        <v>0</v>
      </c>
      <c r="AA46" s="620"/>
      <c r="AB46" s="620"/>
      <c r="AC46" s="620"/>
      <c r="AD46" s="611">
        <f t="shared" si="6"/>
        <v>0</v>
      </c>
      <c r="AE46" s="621"/>
      <c r="AF46" s="621"/>
      <c r="AG46" s="621"/>
      <c r="AH46" s="622">
        <f t="shared" si="7"/>
        <v>0</v>
      </c>
      <c r="AI46" s="609">
        <f t="shared" si="17"/>
        <v>22</v>
      </c>
      <c r="AJ46" s="620"/>
      <c r="AK46" s="620"/>
      <c r="AL46" s="620"/>
      <c r="AM46" s="623">
        <f t="shared" si="8"/>
        <v>0</v>
      </c>
      <c r="AN46" s="621"/>
      <c r="AO46" s="621"/>
      <c r="AP46" s="621"/>
      <c r="AQ46" s="622">
        <f t="shared" si="9"/>
        <v>-22</v>
      </c>
      <c r="AR46" s="615">
        <f t="shared" si="18"/>
        <v>22.5</v>
      </c>
      <c r="AS46" s="620">
        <v>14</v>
      </c>
      <c r="AT46" s="620"/>
      <c r="AU46" s="620">
        <v>8</v>
      </c>
      <c r="AV46" s="623">
        <f t="shared" si="10"/>
        <v>22</v>
      </c>
      <c r="AW46" s="621">
        <v>4.03</v>
      </c>
      <c r="AX46" s="621">
        <v>3.42</v>
      </c>
      <c r="AY46" s="621">
        <v>90</v>
      </c>
      <c r="AZ46" s="624">
        <f t="shared" si="11"/>
        <v>-0.5</v>
      </c>
      <c r="BA46" s="623">
        <v>22.5</v>
      </c>
      <c r="BB46" s="620">
        <v>8.4</v>
      </c>
      <c r="BC46" s="620">
        <v>8</v>
      </c>
      <c r="BD46" s="623">
        <f t="shared" si="12"/>
        <v>16.399999999999999</v>
      </c>
      <c r="BE46" s="621"/>
      <c r="BF46" s="621"/>
      <c r="BG46" s="621"/>
      <c r="BH46" s="621">
        <f t="shared" si="13"/>
        <v>6.1000000000000014</v>
      </c>
    </row>
    <row r="47" spans="1:60" ht="17.25" thickTop="1" thickBot="1" x14ac:dyDescent="0.3">
      <c r="A47" s="77">
        <v>40</v>
      </c>
      <c r="B47" s="603">
        <f t="shared" ca="1" si="1"/>
        <v>43134</v>
      </c>
      <c r="C47" s="29" t="s">
        <v>2865</v>
      </c>
      <c r="D47" s="59" t="s">
        <v>2851</v>
      </c>
      <c r="E47" s="22" t="s">
        <v>1283</v>
      </c>
      <c r="F47" s="27" t="s">
        <v>1158</v>
      </c>
      <c r="G47" s="567">
        <v>42651</v>
      </c>
      <c r="H47" s="609">
        <f t="shared" si="14"/>
        <v>0</v>
      </c>
      <c r="I47" s="620"/>
      <c r="J47" s="620"/>
      <c r="K47" s="620"/>
      <c r="L47" s="611">
        <f t="shared" si="2"/>
        <v>0</v>
      </c>
      <c r="M47" s="621"/>
      <c r="N47" s="621"/>
      <c r="O47" s="621"/>
      <c r="P47" s="622">
        <f t="shared" si="3"/>
        <v>0</v>
      </c>
      <c r="Q47" s="609">
        <f t="shared" si="15"/>
        <v>18.3</v>
      </c>
      <c r="R47" s="620"/>
      <c r="S47" s="620"/>
      <c r="T47" s="620"/>
      <c r="U47" s="611">
        <f t="shared" si="4"/>
        <v>0</v>
      </c>
      <c r="V47" s="621"/>
      <c r="W47" s="621"/>
      <c r="X47" s="621"/>
      <c r="Y47" s="622">
        <f t="shared" si="5"/>
        <v>-18.3</v>
      </c>
      <c r="Z47" s="609">
        <f t="shared" si="16"/>
        <v>18.3</v>
      </c>
      <c r="AA47" s="620"/>
      <c r="AB47" s="620"/>
      <c r="AC47" s="620"/>
      <c r="AD47" s="611">
        <f t="shared" si="6"/>
        <v>0</v>
      </c>
      <c r="AE47" s="621"/>
      <c r="AF47" s="621"/>
      <c r="AG47" s="621"/>
      <c r="AH47" s="622">
        <f t="shared" si="7"/>
        <v>-18.3</v>
      </c>
      <c r="AI47" s="609">
        <f t="shared" si="17"/>
        <v>17.2</v>
      </c>
      <c r="AJ47" s="620">
        <v>7</v>
      </c>
      <c r="AK47" s="620"/>
      <c r="AL47" s="620">
        <v>11.3</v>
      </c>
      <c r="AM47" s="623">
        <f t="shared" si="8"/>
        <v>18.3</v>
      </c>
      <c r="AN47" s="621"/>
      <c r="AO47" s="621"/>
      <c r="AP47" s="621"/>
      <c r="AQ47" s="622">
        <f t="shared" si="9"/>
        <v>1.1000000000000014</v>
      </c>
      <c r="AR47" s="615">
        <f t="shared" si="18"/>
        <v>20</v>
      </c>
      <c r="AS47" s="620">
        <v>9</v>
      </c>
      <c r="AT47" s="620"/>
      <c r="AU47" s="620">
        <v>8.1999999999999993</v>
      </c>
      <c r="AV47" s="623">
        <f t="shared" si="10"/>
        <v>17.2</v>
      </c>
      <c r="AW47" s="621">
        <v>5.2</v>
      </c>
      <c r="AX47" s="621">
        <v>3.88</v>
      </c>
      <c r="AY47" s="621">
        <v>128</v>
      </c>
      <c r="AZ47" s="624">
        <f t="shared" si="11"/>
        <v>-2.8000000000000007</v>
      </c>
      <c r="BA47" s="623">
        <v>20</v>
      </c>
      <c r="BB47" s="620">
        <v>9</v>
      </c>
      <c r="BC47" s="620">
        <v>7</v>
      </c>
      <c r="BD47" s="623">
        <f t="shared" si="12"/>
        <v>16</v>
      </c>
      <c r="BE47" s="621"/>
      <c r="BF47" s="621"/>
      <c r="BG47" s="621"/>
      <c r="BH47" s="621">
        <f t="shared" si="13"/>
        <v>4</v>
      </c>
    </row>
    <row r="48" spans="1:60" ht="17.25" thickTop="1" thickBot="1" x14ac:dyDescent="0.3">
      <c r="A48" s="602">
        <v>41</v>
      </c>
      <c r="B48" s="603">
        <f t="shared" ca="1" si="1"/>
        <v>43134</v>
      </c>
      <c r="C48" s="29" t="s">
        <v>2865</v>
      </c>
      <c r="D48" s="59" t="s">
        <v>2851</v>
      </c>
      <c r="E48" s="22" t="s">
        <v>1285</v>
      </c>
      <c r="F48" s="27" t="s">
        <v>1161</v>
      </c>
      <c r="G48" s="567">
        <v>42565</v>
      </c>
      <c r="H48" s="609">
        <f t="shared" si="14"/>
        <v>18.200000000000003</v>
      </c>
      <c r="I48" s="620">
        <v>9</v>
      </c>
      <c r="J48" s="620">
        <v>14.5</v>
      </c>
      <c r="K48" s="620">
        <v>12</v>
      </c>
      <c r="L48" s="611">
        <f t="shared" si="2"/>
        <v>35.5</v>
      </c>
      <c r="M48" s="621"/>
      <c r="N48" s="621"/>
      <c r="O48" s="621"/>
      <c r="P48" s="622">
        <f t="shared" si="3"/>
        <v>17.299999999999997</v>
      </c>
      <c r="Q48" s="609">
        <f t="shared" si="15"/>
        <v>0</v>
      </c>
      <c r="R48" s="620">
        <v>6.4</v>
      </c>
      <c r="S48" s="620">
        <v>5.4</v>
      </c>
      <c r="T48" s="620">
        <v>6.4</v>
      </c>
      <c r="U48" s="611">
        <f t="shared" si="4"/>
        <v>18.200000000000003</v>
      </c>
      <c r="V48" s="621"/>
      <c r="W48" s="621"/>
      <c r="X48" s="621"/>
      <c r="Y48" s="622">
        <f t="shared" si="5"/>
        <v>18.200000000000003</v>
      </c>
      <c r="Z48" s="609">
        <f t="shared" si="16"/>
        <v>0</v>
      </c>
      <c r="AA48" s="620"/>
      <c r="AB48" s="620"/>
      <c r="AC48" s="620"/>
      <c r="AD48" s="611">
        <f t="shared" si="6"/>
        <v>0</v>
      </c>
      <c r="AE48" s="621"/>
      <c r="AF48" s="621"/>
      <c r="AG48" s="621"/>
      <c r="AH48" s="622">
        <f t="shared" si="7"/>
        <v>0</v>
      </c>
      <c r="AI48" s="609">
        <f t="shared" si="17"/>
        <v>10.5</v>
      </c>
      <c r="AJ48" s="620"/>
      <c r="AK48" s="620"/>
      <c r="AL48" s="620"/>
      <c r="AM48" s="623">
        <f t="shared" si="8"/>
        <v>0</v>
      </c>
      <c r="AN48" s="621"/>
      <c r="AO48" s="621"/>
      <c r="AP48" s="621"/>
      <c r="AQ48" s="622">
        <f t="shared" si="9"/>
        <v>-10.5</v>
      </c>
      <c r="AR48" s="615">
        <f t="shared" si="18"/>
        <v>18.5</v>
      </c>
      <c r="AS48" s="620">
        <v>6.6</v>
      </c>
      <c r="AT48" s="620"/>
      <c r="AU48" s="620">
        <v>3.9</v>
      </c>
      <c r="AV48" s="623">
        <f t="shared" si="10"/>
        <v>10.5</v>
      </c>
      <c r="AW48" s="621">
        <v>4.97</v>
      </c>
      <c r="AX48" s="621">
        <v>3.87</v>
      </c>
      <c r="AY48" s="621">
        <v>143</v>
      </c>
      <c r="AZ48" s="624">
        <f t="shared" si="11"/>
        <v>-8</v>
      </c>
      <c r="BA48" s="623">
        <v>18.5</v>
      </c>
      <c r="BB48" s="620">
        <v>7.4</v>
      </c>
      <c r="BC48" s="620">
        <v>6.2</v>
      </c>
      <c r="BD48" s="623">
        <f t="shared" si="12"/>
        <v>13.600000000000001</v>
      </c>
      <c r="BE48" s="621"/>
      <c r="BF48" s="621"/>
      <c r="BG48" s="621"/>
      <c r="BH48" s="621">
        <f t="shared" si="13"/>
        <v>4.8999999999999986</v>
      </c>
    </row>
    <row r="49" spans="1:60" ht="17.25" thickTop="1" thickBot="1" x14ac:dyDescent="0.3">
      <c r="A49" s="77">
        <v>42</v>
      </c>
      <c r="B49" s="603">
        <f t="shared" ca="1" si="1"/>
        <v>43134</v>
      </c>
      <c r="C49" s="29" t="s">
        <v>2865</v>
      </c>
      <c r="D49" s="59" t="s">
        <v>2851</v>
      </c>
      <c r="E49" s="22" t="s">
        <v>1286</v>
      </c>
      <c r="F49" s="239" t="s">
        <v>1162</v>
      </c>
      <c r="G49" s="567">
        <v>42621</v>
      </c>
      <c r="H49" s="609">
        <f t="shared" si="14"/>
        <v>0</v>
      </c>
      <c r="I49" s="620"/>
      <c r="J49" s="620"/>
      <c r="K49" s="620"/>
      <c r="L49" s="611">
        <f t="shared" si="2"/>
        <v>0</v>
      </c>
      <c r="M49" s="621"/>
      <c r="N49" s="621"/>
      <c r="O49" s="621"/>
      <c r="P49" s="622">
        <f t="shared" si="3"/>
        <v>0</v>
      </c>
      <c r="Q49" s="609">
        <f t="shared" si="15"/>
        <v>18</v>
      </c>
      <c r="R49" s="620"/>
      <c r="S49" s="620"/>
      <c r="T49" s="620"/>
      <c r="U49" s="611">
        <f t="shared" si="4"/>
        <v>0</v>
      </c>
      <c r="V49" s="621"/>
      <c r="W49" s="621"/>
      <c r="X49" s="621"/>
      <c r="Y49" s="622">
        <f t="shared" si="5"/>
        <v>-18</v>
      </c>
      <c r="Z49" s="609">
        <f t="shared" si="16"/>
        <v>18</v>
      </c>
      <c r="AA49" s="620">
        <v>8</v>
      </c>
      <c r="AB49" s="620"/>
      <c r="AC49" s="620">
        <v>6.6</v>
      </c>
      <c r="AD49" s="611">
        <f t="shared" si="6"/>
        <v>14.6</v>
      </c>
      <c r="AE49" s="621"/>
      <c r="AF49" s="621"/>
      <c r="AG49" s="621"/>
      <c r="AH49" s="622">
        <f t="shared" si="7"/>
        <v>-3.4000000000000004</v>
      </c>
      <c r="AI49" s="609">
        <f t="shared" si="17"/>
        <v>20.2</v>
      </c>
      <c r="AJ49" s="620">
        <v>10</v>
      </c>
      <c r="AK49" s="620"/>
      <c r="AL49" s="620">
        <v>8</v>
      </c>
      <c r="AM49" s="623">
        <f t="shared" si="8"/>
        <v>18</v>
      </c>
      <c r="AN49" s="621"/>
      <c r="AO49" s="621"/>
      <c r="AP49" s="621"/>
      <c r="AQ49" s="622">
        <f t="shared" si="9"/>
        <v>-2.1999999999999993</v>
      </c>
      <c r="AR49" s="615">
        <f t="shared" si="18"/>
        <v>21</v>
      </c>
      <c r="AS49" s="620">
        <v>12</v>
      </c>
      <c r="AT49" s="620"/>
      <c r="AU49" s="620">
        <v>8.1999999999999993</v>
      </c>
      <c r="AV49" s="623">
        <f t="shared" si="10"/>
        <v>20.2</v>
      </c>
      <c r="AW49" s="621">
        <v>4.0599999999999996</v>
      </c>
      <c r="AX49" s="621">
        <v>3.5</v>
      </c>
      <c r="AY49" s="621">
        <v>90</v>
      </c>
      <c r="AZ49" s="624">
        <f t="shared" si="11"/>
        <v>-0.80000000000000071</v>
      </c>
      <c r="BA49" s="623">
        <v>21</v>
      </c>
      <c r="BB49" s="620">
        <v>8.1999999999999993</v>
      </c>
      <c r="BC49" s="620">
        <v>8</v>
      </c>
      <c r="BD49" s="623">
        <f t="shared" si="12"/>
        <v>16.2</v>
      </c>
      <c r="BE49" s="621"/>
      <c r="BF49" s="621"/>
      <c r="BG49" s="621"/>
      <c r="BH49" s="621">
        <f t="shared" si="13"/>
        <v>4.8000000000000007</v>
      </c>
    </row>
    <row r="50" spans="1:60" ht="17.25" thickTop="1" thickBot="1" x14ac:dyDescent="0.3">
      <c r="A50" s="602">
        <v>43</v>
      </c>
      <c r="B50" s="603">
        <f t="shared" ca="1" si="1"/>
        <v>43134</v>
      </c>
      <c r="C50" s="29" t="s">
        <v>2865</v>
      </c>
      <c r="D50" s="59" t="s">
        <v>2851</v>
      </c>
      <c r="E50" s="22" t="s">
        <v>1293</v>
      </c>
      <c r="F50" s="27" t="s">
        <v>1169</v>
      </c>
      <c r="G50" s="567">
        <v>42516</v>
      </c>
      <c r="H50" s="609">
        <f t="shared" si="14"/>
        <v>13.5</v>
      </c>
      <c r="I50" s="620">
        <v>6</v>
      </c>
      <c r="J50" s="620"/>
      <c r="K50" s="620">
        <v>5</v>
      </c>
      <c r="L50" s="611">
        <f t="shared" si="2"/>
        <v>11</v>
      </c>
      <c r="M50" s="621"/>
      <c r="N50" s="621"/>
      <c r="O50" s="621"/>
      <c r="P50" s="622">
        <f t="shared" si="3"/>
        <v>-2.5</v>
      </c>
      <c r="Q50" s="609">
        <f t="shared" si="15"/>
        <v>21.6</v>
      </c>
      <c r="R50" s="620">
        <v>7.5</v>
      </c>
      <c r="S50" s="620"/>
      <c r="T50" s="620">
        <v>6</v>
      </c>
      <c r="U50" s="611">
        <f t="shared" si="4"/>
        <v>13.5</v>
      </c>
      <c r="V50" s="621"/>
      <c r="W50" s="621"/>
      <c r="X50" s="621"/>
      <c r="Y50" s="622">
        <f t="shared" si="5"/>
        <v>-8.1000000000000014</v>
      </c>
      <c r="Z50" s="609">
        <f t="shared" si="16"/>
        <v>21.6</v>
      </c>
      <c r="AA50" s="620">
        <v>3</v>
      </c>
      <c r="AB50" s="620"/>
      <c r="AC50" s="620">
        <v>14.2</v>
      </c>
      <c r="AD50" s="611">
        <f t="shared" si="6"/>
        <v>17.2</v>
      </c>
      <c r="AE50" s="621"/>
      <c r="AF50" s="621"/>
      <c r="AG50" s="621"/>
      <c r="AH50" s="622">
        <f t="shared" si="7"/>
        <v>-4.4000000000000021</v>
      </c>
      <c r="AI50" s="609">
        <f t="shared" si="17"/>
        <v>19</v>
      </c>
      <c r="AJ50" s="620">
        <v>10.199999999999999</v>
      </c>
      <c r="AK50" s="620"/>
      <c r="AL50" s="620">
        <v>11.4</v>
      </c>
      <c r="AM50" s="623">
        <f t="shared" si="8"/>
        <v>21.6</v>
      </c>
      <c r="AN50" s="621"/>
      <c r="AO50" s="621"/>
      <c r="AP50" s="621"/>
      <c r="AQ50" s="622">
        <f t="shared" si="9"/>
        <v>2.6000000000000014</v>
      </c>
      <c r="AR50" s="615">
        <f t="shared" si="18"/>
        <v>14</v>
      </c>
      <c r="AS50" s="620">
        <v>10</v>
      </c>
      <c r="AT50" s="620"/>
      <c r="AU50" s="620">
        <v>9</v>
      </c>
      <c r="AV50" s="623">
        <f t="shared" si="10"/>
        <v>19</v>
      </c>
      <c r="AW50" s="621">
        <v>3.87</v>
      </c>
      <c r="AX50" s="621">
        <v>3.53</v>
      </c>
      <c r="AY50" s="621">
        <v>90</v>
      </c>
      <c r="AZ50" s="624">
        <f t="shared" si="11"/>
        <v>5</v>
      </c>
      <c r="BA50" s="623">
        <v>14</v>
      </c>
      <c r="BB50" s="620">
        <v>7</v>
      </c>
      <c r="BC50" s="620">
        <v>7</v>
      </c>
      <c r="BD50" s="623">
        <f t="shared" si="12"/>
        <v>14</v>
      </c>
      <c r="BE50" s="621"/>
      <c r="BF50" s="621"/>
      <c r="BG50" s="621"/>
      <c r="BH50" s="621">
        <f t="shared" si="13"/>
        <v>0</v>
      </c>
    </row>
    <row r="51" spans="1:60" ht="17.25" thickTop="1" thickBot="1" x14ac:dyDescent="0.3">
      <c r="A51" s="77">
        <v>44</v>
      </c>
      <c r="B51" s="603">
        <f t="shared" ca="1" si="1"/>
        <v>43134</v>
      </c>
      <c r="C51" s="29" t="s">
        <v>2865</v>
      </c>
      <c r="D51" s="59" t="s">
        <v>2851</v>
      </c>
      <c r="E51" s="22" t="s">
        <v>1300</v>
      </c>
      <c r="F51" s="27" t="s">
        <v>1177</v>
      </c>
      <c r="G51" s="567">
        <v>42599</v>
      </c>
      <c r="H51" s="609">
        <f t="shared" si="14"/>
        <v>15.5</v>
      </c>
      <c r="I51" s="620">
        <v>5</v>
      </c>
      <c r="J51" s="620">
        <v>4</v>
      </c>
      <c r="K51" s="620">
        <v>4</v>
      </c>
      <c r="L51" s="611">
        <f t="shared" si="2"/>
        <v>13</v>
      </c>
      <c r="M51" s="621"/>
      <c r="N51" s="621"/>
      <c r="O51" s="621"/>
      <c r="P51" s="622">
        <f t="shared" si="3"/>
        <v>-2.5</v>
      </c>
      <c r="Q51" s="609">
        <f t="shared" si="15"/>
        <v>26.5</v>
      </c>
      <c r="R51" s="620">
        <v>6</v>
      </c>
      <c r="S51" s="620">
        <v>5.5</v>
      </c>
      <c r="T51" s="620">
        <v>4</v>
      </c>
      <c r="U51" s="611">
        <f t="shared" si="4"/>
        <v>15.5</v>
      </c>
      <c r="V51" s="621"/>
      <c r="W51" s="621"/>
      <c r="X51" s="621"/>
      <c r="Y51" s="622">
        <f t="shared" si="5"/>
        <v>-11</v>
      </c>
      <c r="Z51" s="609">
        <f t="shared" si="16"/>
        <v>26.5</v>
      </c>
      <c r="AA51" s="620">
        <v>14</v>
      </c>
      <c r="AB51" s="620"/>
      <c r="AC51" s="620">
        <v>10</v>
      </c>
      <c r="AD51" s="611">
        <f t="shared" si="6"/>
        <v>24</v>
      </c>
      <c r="AE51" s="621"/>
      <c r="AF51" s="621"/>
      <c r="AG51" s="621"/>
      <c r="AH51" s="622">
        <f t="shared" si="7"/>
        <v>-2.5</v>
      </c>
      <c r="AI51" s="609">
        <f t="shared" si="17"/>
        <v>26</v>
      </c>
      <c r="AJ51" s="620">
        <v>14.2</v>
      </c>
      <c r="AK51" s="620"/>
      <c r="AL51" s="620">
        <v>12.3</v>
      </c>
      <c r="AM51" s="623">
        <f t="shared" si="8"/>
        <v>26.5</v>
      </c>
      <c r="AN51" s="621"/>
      <c r="AO51" s="621"/>
      <c r="AP51" s="621"/>
      <c r="AQ51" s="622">
        <f t="shared" si="9"/>
        <v>0.5</v>
      </c>
      <c r="AR51" s="615">
        <f t="shared" si="18"/>
        <v>22.5</v>
      </c>
      <c r="AS51" s="620">
        <v>17</v>
      </c>
      <c r="AT51" s="620"/>
      <c r="AU51" s="620">
        <v>9</v>
      </c>
      <c r="AV51" s="623">
        <f t="shared" si="10"/>
        <v>26</v>
      </c>
      <c r="AW51" s="621">
        <v>3.36</v>
      </c>
      <c r="AX51" s="621">
        <v>3.35</v>
      </c>
      <c r="AY51" s="621">
        <v>90</v>
      </c>
      <c r="AZ51" s="624">
        <f t="shared" si="11"/>
        <v>3.5</v>
      </c>
      <c r="BA51" s="623">
        <v>22.5</v>
      </c>
      <c r="BB51" s="620">
        <v>10.199999999999999</v>
      </c>
      <c r="BC51" s="620">
        <v>10</v>
      </c>
      <c r="BD51" s="623">
        <f t="shared" si="12"/>
        <v>20.2</v>
      </c>
      <c r="BE51" s="621"/>
      <c r="BF51" s="621"/>
      <c r="BG51" s="621"/>
      <c r="BH51" s="621">
        <f t="shared" si="13"/>
        <v>2.3000000000000007</v>
      </c>
    </row>
    <row r="52" spans="1:60" ht="17.25" thickTop="1" thickBot="1" x14ac:dyDescent="0.3">
      <c r="A52" s="602">
        <v>45</v>
      </c>
      <c r="B52" s="603">
        <f t="shared" ca="1" si="1"/>
        <v>43134</v>
      </c>
      <c r="C52" s="29" t="s">
        <v>2865</v>
      </c>
      <c r="D52" s="59" t="s">
        <v>2851</v>
      </c>
      <c r="E52" s="22" t="s">
        <v>1060</v>
      </c>
      <c r="F52" s="27" t="s">
        <v>952</v>
      </c>
      <c r="G52" s="567">
        <v>42724</v>
      </c>
      <c r="H52" s="609">
        <f t="shared" si="14"/>
        <v>15.600000000000001</v>
      </c>
      <c r="I52" s="620">
        <v>7</v>
      </c>
      <c r="J52" s="620"/>
      <c r="K52" s="620">
        <v>7</v>
      </c>
      <c r="L52" s="611">
        <f t="shared" si="2"/>
        <v>14</v>
      </c>
      <c r="M52" s="621"/>
      <c r="N52" s="621"/>
      <c r="O52" s="621"/>
      <c r="P52" s="622">
        <f t="shared" si="3"/>
        <v>-1.6000000000000014</v>
      </c>
      <c r="Q52" s="609">
        <f t="shared" si="15"/>
        <v>9</v>
      </c>
      <c r="R52" s="620">
        <v>8.4</v>
      </c>
      <c r="S52" s="620"/>
      <c r="T52" s="620">
        <v>7.2</v>
      </c>
      <c r="U52" s="611">
        <f t="shared" si="4"/>
        <v>15.600000000000001</v>
      </c>
      <c r="V52" s="621"/>
      <c r="W52" s="621"/>
      <c r="X52" s="621"/>
      <c r="Y52" s="622">
        <f t="shared" si="5"/>
        <v>6.6000000000000014</v>
      </c>
      <c r="Z52" s="609">
        <f t="shared" si="16"/>
        <v>9</v>
      </c>
      <c r="AA52" s="620">
        <v>10.8</v>
      </c>
      <c r="AB52" s="620"/>
      <c r="AC52" s="620">
        <v>9</v>
      </c>
      <c r="AD52" s="611">
        <f t="shared" si="6"/>
        <v>19.8</v>
      </c>
      <c r="AE52" s="621"/>
      <c r="AF52" s="621"/>
      <c r="AG52" s="621"/>
      <c r="AH52" s="622">
        <f t="shared" si="7"/>
        <v>10.8</v>
      </c>
      <c r="AI52" s="609">
        <f t="shared" si="17"/>
        <v>18</v>
      </c>
      <c r="AJ52" s="620">
        <v>8</v>
      </c>
      <c r="AK52" s="620"/>
      <c r="AL52" s="620">
        <v>1</v>
      </c>
      <c r="AM52" s="623">
        <f t="shared" si="8"/>
        <v>9</v>
      </c>
      <c r="AN52" s="621"/>
      <c r="AO52" s="621"/>
      <c r="AP52" s="621"/>
      <c r="AQ52" s="622">
        <f t="shared" si="9"/>
        <v>-9</v>
      </c>
      <c r="AR52" s="615">
        <f t="shared" si="18"/>
        <v>17.5</v>
      </c>
      <c r="AS52" s="620">
        <v>10</v>
      </c>
      <c r="AT52" s="620"/>
      <c r="AU52" s="620">
        <v>8</v>
      </c>
      <c r="AV52" s="623">
        <f t="shared" si="10"/>
        <v>18</v>
      </c>
      <c r="AW52" s="621">
        <v>5.12</v>
      </c>
      <c r="AX52" s="621">
        <v>3.69</v>
      </c>
      <c r="AY52" s="621">
        <v>150</v>
      </c>
      <c r="AZ52" s="624">
        <f t="shared" si="11"/>
        <v>0.5</v>
      </c>
      <c r="BA52" s="623">
        <v>17.5</v>
      </c>
      <c r="BB52" s="620">
        <v>7</v>
      </c>
      <c r="BC52" s="620">
        <v>8</v>
      </c>
      <c r="BD52" s="623">
        <f t="shared" si="12"/>
        <v>15</v>
      </c>
      <c r="BE52" s="621"/>
      <c r="BF52" s="621"/>
      <c r="BG52" s="621"/>
      <c r="BH52" s="621">
        <f t="shared" si="13"/>
        <v>2.5</v>
      </c>
    </row>
    <row r="53" spans="1:60" ht="17.25" thickTop="1" thickBot="1" x14ac:dyDescent="0.3">
      <c r="A53" s="77">
        <v>46</v>
      </c>
      <c r="B53" s="603">
        <f t="shared" ca="1" si="1"/>
        <v>43134</v>
      </c>
      <c r="C53" s="29" t="s">
        <v>2865</v>
      </c>
      <c r="D53" s="59" t="s">
        <v>2851</v>
      </c>
      <c r="E53" s="22" t="s">
        <v>1344</v>
      </c>
      <c r="F53" s="27" t="s">
        <v>1183</v>
      </c>
      <c r="G53" s="567">
        <v>42566</v>
      </c>
      <c r="H53" s="609">
        <f t="shared" si="14"/>
        <v>23.6</v>
      </c>
      <c r="I53" s="620">
        <v>7.2</v>
      </c>
      <c r="J53" s="620">
        <v>7.4</v>
      </c>
      <c r="K53" s="620">
        <v>7.4</v>
      </c>
      <c r="L53" s="611">
        <f t="shared" si="2"/>
        <v>22</v>
      </c>
      <c r="M53" s="621"/>
      <c r="N53" s="621"/>
      <c r="O53" s="621"/>
      <c r="P53" s="622">
        <f t="shared" si="3"/>
        <v>-1.6000000000000014</v>
      </c>
      <c r="Q53" s="609">
        <f t="shared" si="15"/>
        <v>0</v>
      </c>
      <c r="R53" s="620">
        <v>8.6</v>
      </c>
      <c r="S53" s="620">
        <v>7</v>
      </c>
      <c r="T53" s="620">
        <v>8</v>
      </c>
      <c r="U53" s="611">
        <f t="shared" si="4"/>
        <v>23.6</v>
      </c>
      <c r="V53" s="621"/>
      <c r="W53" s="621"/>
      <c r="X53" s="621"/>
      <c r="Y53" s="622">
        <f t="shared" si="5"/>
        <v>23.6</v>
      </c>
      <c r="Z53" s="609">
        <f t="shared" si="16"/>
        <v>0</v>
      </c>
      <c r="AA53" s="620">
        <v>8.1999999999999993</v>
      </c>
      <c r="AB53" s="620">
        <v>8</v>
      </c>
      <c r="AC53" s="620">
        <v>7.6</v>
      </c>
      <c r="AD53" s="611">
        <f t="shared" si="6"/>
        <v>23.799999999999997</v>
      </c>
      <c r="AE53" s="621"/>
      <c r="AF53" s="621"/>
      <c r="AG53" s="621"/>
      <c r="AH53" s="622">
        <f t="shared" si="7"/>
        <v>23.799999999999997</v>
      </c>
      <c r="AI53" s="609">
        <f t="shared" si="17"/>
        <v>10.4</v>
      </c>
      <c r="AJ53" s="620"/>
      <c r="AK53" s="620"/>
      <c r="AL53" s="620"/>
      <c r="AM53" s="623">
        <f t="shared" si="8"/>
        <v>0</v>
      </c>
      <c r="AN53" s="621"/>
      <c r="AO53" s="621"/>
      <c r="AP53" s="621"/>
      <c r="AQ53" s="622">
        <f t="shared" si="9"/>
        <v>-10.4</v>
      </c>
      <c r="AR53" s="615">
        <f t="shared" si="18"/>
        <v>15</v>
      </c>
      <c r="AS53" s="620">
        <v>5</v>
      </c>
      <c r="AT53" s="620"/>
      <c r="AU53" s="620">
        <v>5.4</v>
      </c>
      <c r="AV53" s="623">
        <f t="shared" si="10"/>
        <v>10.4</v>
      </c>
      <c r="AW53" s="621"/>
      <c r="AX53" s="621"/>
      <c r="AY53" s="621"/>
      <c r="AZ53" s="624">
        <f t="shared" si="11"/>
        <v>-4.5999999999999996</v>
      </c>
      <c r="BA53" s="623">
        <v>15</v>
      </c>
      <c r="BB53" s="620">
        <v>7.5</v>
      </c>
      <c r="BC53" s="620">
        <v>8.5</v>
      </c>
      <c r="BD53" s="623">
        <f t="shared" si="12"/>
        <v>16</v>
      </c>
      <c r="BE53" s="621"/>
      <c r="BF53" s="621"/>
      <c r="BG53" s="621"/>
      <c r="BH53" s="621">
        <f t="shared" si="13"/>
        <v>-1</v>
      </c>
    </row>
    <row r="54" spans="1:60" ht="17.25" thickTop="1" thickBot="1" x14ac:dyDescent="0.3">
      <c r="A54" s="602">
        <v>47</v>
      </c>
      <c r="B54" s="603">
        <f t="shared" ca="1" si="1"/>
        <v>43134</v>
      </c>
      <c r="C54" s="29" t="s">
        <v>2865</v>
      </c>
      <c r="D54" s="59" t="s">
        <v>2851</v>
      </c>
      <c r="E54" s="22" t="s">
        <v>1305</v>
      </c>
      <c r="F54" s="27" t="s">
        <v>1186</v>
      </c>
      <c r="G54" s="567">
        <v>42564</v>
      </c>
      <c r="H54" s="609">
        <f t="shared" si="14"/>
        <v>19.600000000000001</v>
      </c>
      <c r="I54" s="620">
        <v>9</v>
      </c>
      <c r="J54" s="620"/>
      <c r="K54" s="620">
        <v>7</v>
      </c>
      <c r="L54" s="611">
        <f t="shared" si="2"/>
        <v>16</v>
      </c>
      <c r="M54" s="621"/>
      <c r="N54" s="621"/>
      <c r="O54" s="621"/>
      <c r="P54" s="622">
        <f t="shared" si="3"/>
        <v>-3.6000000000000014</v>
      </c>
      <c r="Q54" s="609">
        <f t="shared" si="15"/>
        <v>32</v>
      </c>
      <c r="R54" s="620">
        <v>7.6</v>
      </c>
      <c r="S54" s="620">
        <v>5</v>
      </c>
      <c r="T54" s="620">
        <v>7</v>
      </c>
      <c r="U54" s="611">
        <f t="shared" si="4"/>
        <v>19.600000000000001</v>
      </c>
      <c r="V54" s="621"/>
      <c r="W54" s="621"/>
      <c r="X54" s="621"/>
      <c r="Y54" s="622">
        <f t="shared" si="5"/>
        <v>-12.399999999999999</v>
      </c>
      <c r="Z54" s="609">
        <f t="shared" si="16"/>
        <v>32</v>
      </c>
      <c r="AA54" s="620">
        <v>17</v>
      </c>
      <c r="AB54" s="620"/>
      <c r="AC54" s="620">
        <v>12.2</v>
      </c>
      <c r="AD54" s="611">
        <f t="shared" si="6"/>
        <v>29.2</v>
      </c>
      <c r="AE54" s="621"/>
      <c r="AF54" s="621"/>
      <c r="AG54" s="621"/>
      <c r="AH54" s="622">
        <f t="shared" si="7"/>
        <v>-2.8000000000000007</v>
      </c>
      <c r="AI54" s="609">
        <f t="shared" si="17"/>
        <v>15</v>
      </c>
      <c r="AJ54" s="620">
        <v>19</v>
      </c>
      <c r="AK54" s="620"/>
      <c r="AL54" s="620">
        <v>13</v>
      </c>
      <c r="AM54" s="623">
        <f t="shared" si="8"/>
        <v>32</v>
      </c>
      <c r="AN54" s="621"/>
      <c r="AO54" s="621"/>
      <c r="AP54" s="621"/>
      <c r="AQ54" s="622">
        <f t="shared" si="9"/>
        <v>17</v>
      </c>
      <c r="AR54" s="615">
        <f t="shared" si="18"/>
        <v>25</v>
      </c>
      <c r="AS54" s="620">
        <v>3</v>
      </c>
      <c r="AT54" s="620"/>
      <c r="AU54" s="620">
        <v>12</v>
      </c>
      <c r="AV54" s="623">
        <f t="shared" si="10"/>
        <v>15</v>
      </c>
      <c r="AW54" s="621">
        <v>3.42</v>
      </c>
      <c r="AX54" s="621">
        <v>3.17</v>
      </c>
      <c r="AY54" s="621">
        <v>90</v>
      </c>
      <c r="AZ54" s="624">
        <f t="shared" si="11"/>
        <v>-10</v>
      </c>
      <c r="BA54" s="623">
        <v>25</v>
      </c>
      <c r="BB54" s="620">
        <v>12</v>
      </c>
      <c r="BC54" s="620">
        <v>10</v>
      </c>
      <c r="BD54" s="623">
        <f t="shared" si="12"/>
        <v>22</v>
      </c>
      <c r="BE54" s="621"/>
      <c r="BF54" s="621"/>
      <c r="BG54" s="621"/>
      <c r="BH54" s="621">
        <f t="shared" si="13"/>
        <v>3</v>
      </c>
    </row>
    <row r="55" spans="1:60" ht="17.25" thickTop="1" thickBot="1" x14ac:dyDescent="0.3">
      <c r="A55" s="77">
        <v>48</v>
      </c>
      <c r="B55" s="603">
        <f t="shared" ca="1" si="1"/>
        <v>43134</v>
      </c>
      <c r="C55" s="29" t="s">
        <v>2865</v>
      </c>
      <c r="D55" s="59" t="s">
        <v>2851</v>
      </c>
      <c r="E55" s="22" t="s">
        <v>1314</v>
      </c>
      <c r="F55" s="27" t="s">
        <v>1196</v>
      </c>
      <c r="G55" s="567">
        <v>42498</v>
      </c>
      <c r="H55" s="609">
        <f t="shared" si="14"/>
        <v>0</v>
      </c>
      <c r="I55" s="620"/>
      <c r="J55" s="620"/>
      <c r="K55" s="620"/>
      <c r="L55" s="611">
        <f t="shared" si="2"/>
        <v>0</v>
      </c>
      <c r="M55" s="621"/>
      <c r="N55" s="621"/>
      <c r="O55" s="621"/>
      <c r="P55" s="622">
        <f t="shared" si="3"/>
        <v>0</v>
      </c>
      <c r="Q55" s="609">
        <f t="shared" si="15"/>
        <v>25</v>
      </c>
      <c r="R55" s="620"/>
      <c r="S55" s="620"/>
      <c r="T55" s="620"/>
      <c r="U55" s="611">
        <f t="shared" si="4"/>
        <v>0</v>
      </c>
      <c r="V55" s="621"/>
      <c r="W55" s="621"/>
      <c r="X55" s="621"/>
      <c r="Y55" s="622">
        <f t="shared" si="5"/>
        <v>-25</v>
      </c>
      <c r="Z55" s="609">
        <f t="shared" si="16"/>
        <v>25</v>
      </c>
      <c r="AA55" s="620"/>
      <c r="AB55" s="620"/>
      <c r="AC55" s="620"/>
      <c r="AD55" s="611">
        <f t="shared" si="6"/>
        <v>0</v>
      </c>
      <c r="AE55" s="621"/>
      <c r="AF55" s="621"/>
      <c r="AG55" s="621"/>
      <c r="AH55" s="622">
        <f t="shared" si="7"/>
        <v>-25</v>
      </c>
      <c r="AI55" s="609">
        <f t="shared" si="17"/>
        <v>29.9</v>
      </c>
      <c r="AJ55" s="620">
        <v>12</v>
      </c>
      <c r="AK55" s="620"/>
      <c r="AL55" s="620">
        <v>13</v>
      </c>
      <c r="AM55" s="623">
        <f t="shared" si="8"/>
        <v>25</v>
      </c>
      <c r="AN55" s="621"/>
      <c r="AO55" s="621"/>
      <c r="AP55" s="621"/>
      <c r="AQ55" s="622">
        <f t="shared" si="9"/>
        <v>-4.8999999999999986</v>
      </c>
      <c r="AR55" s="615">
        <f t="shared" si="18"/>
        <v>31</v>
      </c>
      <c r="AS55" s="620">
        <v>20</v>
      </c>
      <c r="AT55" s="620"/>
      <c r="AU55" s="620">
        <v>9.9</v>
      </c>
      <c r="AV55" s="623">
        <f t="shared" si="10"/>
        <v>29.9</v>
      </c>
      <c r="AW55" s="621">
        <v>4.53</v>
      </c>
      <c r="AX55" s="621">
        <v>3.5</v>
      </c>
      <c r="AY55" s="621">
        <v>90</v>
      </c>
      <c r="AZ55" s="624">
        <f t="shared" si="11"/>
        <v>-1.1000000000000014</v>
      </c>
      <c r="BA55" s="623">
        <v>31</v>
      </c>
      <c r="BB55" s="620">
        <v>7</v>
      </c>
      <c r="BC55" s="620">
        <v>9</v>
      </c>
      <c r="BD55" s="623">
        <f t="shared" si="12"/>
        <v>16</v>
      </c>
      <c r="BE55" s="621"/>
      <c r="BF55" s="621"/>
      <c r="BG55" s="621"/>
      <c r="BH55" s="621">
        <f t="shared" si="13"/>
        <v>15</v>
      </c>
    </row>
    <row r="56" spans="1:60" ht="17.25" thickTop="1" thickBot="1" x14ac:dyDescent="0.3">
      <c r="A56" s="602">
        <v>49</v>
      </c>
      <c r="B56" s="603">
        <f t="shared" ca="1" si="1"/>
        <v>43134</v>
      </c>
      <c r="C56" s="29" t="s">
        <v>2865</v>
      </c>
      <c r="D56" s="59" t="s">
        <v>2851</v>
      </c>
      <c r="E56" s="625" t="s">
        <v>1096</v>
      </c>
      <c r="F56" s="626" t="s">
        <v>1202</v>
      </c>
      <c r="G56" s="567">
        <v>42785</v>
      </c>
      <c r="H56" s="609">
        <f t="shared" si="14"/>
        <v>16.3</v>
      </c>
      <c r="I56" s="620">
        <v>5.4</v>
      </c>
      <c r="J56" s="620"/>
      <c r="K56" s="620">
        <v>3</v>
      </c>
      <c r="L56" s="611">
        <f t="shared" si="2"/>
        <v>8.4</v>
      </c>
      <c r="M56" s="621"/>
      <c r="N56" s="621"/>
      <c r="O56" s="621"/>
      <c r="P56" s="622">
        <f t="shared" si="3"/>
        <v>-7.9</v>
      </c>
      <c r="Q56" s="609">
        <f t="shared" si="15"/>
        <v>9.8000000000000007</v>
      </c>
      <c r="R56" s="620">
        <v>11</v>
      </c>
      <c r="S56" s="620"/>
      <c r="T56" s="620">
        <v>5.3</v>
      </c>
      <c r="U56" s="611">
        <f t="shared" si="4"/>
        <v>16.3</v>
      </c>
      <c r="V56" s="621"/>
      <c r="W56" s="621"/>
      <c r="X56" s="621"/>
      <c r="Y56" s="622">
        <f t="shared" si="5"/>
        <v>6.5</v>
      </c>
      <c r="Z56" s="609">
        <f t="shared" si="16"/>
        <v>9.8000000000000007</v>
      </c>
      <c r="AA56" s="620">
        <v>9</v>
      </c>
      <c r="AB56" s="620"/>
      <c r="AC56" s="620">
        <v>2</v>
      </c>
      <c r="AD56" s="611">
        <f t="shared" si="6"/>
        <v>11</v>
      </c>
      <c r="AE56" s="621"/>
      <c r="AF56" s="621"/>
      <c r="AG56" s="621"/>
      <c r="AH56" s="622">
        <f t="shared" si="7"/>
        <v>1.1999999999999993</v>
      </c>
      <c r="AI56" s="609">
        <f t="shared" si="17"/>
        <v>13.5</v>
      </c>
      <c r="AJ56" s="620">
        <v>6</v>
      </c>
      <c r="AK56" s="620"/>
      <c r="AL56" s="620">
        <v>3.8</v>
      </c>
      <c r="AM56" s="623">
        <f t="shared" si="8"/>
        <v>9.8000000000000007</v>
      </c>
      <c r="AN56" s="621"/>
      <c r="AO56" s="621"/>
      <c r="AP56" s="621"/>
      <c r="AQ56" s="622">
        <f t="shared" si="9"/>
        <v>-3.6999999999999993</v>
      </c>
      <c r="AR56" s="615">
        <f t="shared" si="18"/>
        <v>15.3</v>
      </c>
      <c r="AS56" s="620">
        <v>8</v>
      </c>
      <c r="AT56" s="620"/>
      <c r="AU56" s="620">
        <v>5.5</v>
      </c>
      <c r="AV56" s="623">
        <f t="shared" si="10"/>
        <v>13.5</v>
      </c>
      <c r="AW56" s="621">
        <v>5.37</v>
      </c>
      <c r="AX56" s="621">
        <v>4.1100000000000003</v>
      </c>
      <c r="AY56" s="621">
        <v>109</v>
      </c>
      <c r="AZ56" s="624">
        <f t="shared" si="11"/>
        <v>-1.8000000000000007</v>
      </c>
      <c r="BA56" s="623">
        <v>15.3</v>
      </c>
      <c r="BB56" s="620">
        <v>7</v>
      </c>
      <c r="BC56" s="620">
        <v>7.4</v>
      </c>
      <c r="BD56" s="623">
        <f t="shared" si="12"/>
        <v>14.4</v>
      </c>
      <c r="BE56" s="621"/>
      <c r="BF56" s="621"/>
      <c r="BG56" s="621"/>
      <c r="BH56" s="621">
        <f t="shared" si="13"/>
        <v>0.90000000000000036</v>
      </c>
    </row>
    <row r="57" spans="1:60" ht="17.25" thickTop="1" thickBot="1" x14ac:dyDescent="0.3">
      <c r="A57" s="77">
        <v>50</v>
      </c>
      <c r="B57" s="603">
        <f t="shared" ca="1" si="1"/>
        <v>43134</v>
      </c>
      <c r="C57" s="29" t="s">
        <v>2865</v>
      </c>
      <c r="D57" s="59" t="s">
        <v>2851</v>
      </c>
      <c r="E57" s="22" t="s">
        <v>1384</v>
      </c>
      <c r="F57" s="27" t="s">
        <v>1375</v>
      </c>
      <c r="G57" s="567">
        <v>42695</v>
      </c>
      <c r="H57" s="609">
        <f t="shared" si="14"/>
        <v>20.799999999999997</v>
      </c>
      <c r="I57" s="620">
        <v>5</v>
      </c>
      <c r="J57" s="620"/>
      <c r="K57" s="620">
        <v>5</v>
      </c>
      <c r="L57" s="611">
        <f t="shared" si="2"/>
        <v>10</v>
      </c>
      <c r="M57" s="621"/>
      <c r="N57" s="621"/>
      <c r="O57" s="621"/>
      <c r="P57" s="622">
        <f t="shared" si="3"/>
        <v>-10.799999999999997</v>
      </c>
      <c r="Q57" s="609">
        <f t="shared" si="15"/>
        <v>16.600000000000001</v>
      </c>
      <c r="R57" s="620">
        <v>11.2</v>
      </c>
      <c r="S57" s="620"/>
      <c r="T57" s="620">
        <v>9.6</v>
      </c>
      <c r="U57" s="611">
        <f t="shared" si="4"/>
        <v>20.799999999999997</v>
      </c>
      <c r="V57" s="621"/>
      <c r="W57" s="621"/>
      <c r="X57" s="621"/>
      <c r="Y57" s="622">
        <f t="shared" si="5"/>
        <v>4.1999999999999957</v>
      </c>
      <c r="Z57" s="609">
        <f t="shared" si="16"/>
        <v>16.600000000000001</v>
      </c>
      <c r="AA57" s="620">
        <v>10</v>
      </c>
      <c r="AB57" s="620"/>
      <c r="AC57" s="620">
        <v>8.4</v>
      </c>
      <c r="AD57" s="611">
        <f t="shared" si="6"/>
        <v>18.399999999999999</v>
      </c>
      <c r="AE57" s="621"/>
      <c r="AF57" s="621"/>
      <c r="AG57" s="621"/>
      <c r="AH57" s="622">
        <f t="shared" si="7"/>
        <v>1.7999999999999972</v>
      </c>
      <c r="AI57" s="609">
        <f t="shared" si="17"/>
        <v>24</v>
      </c>
      <c r="AJ57" s="620">
        <v>4.2</v>
      </c>
      <c r="AK57" s="620"/>
      <c r="AL57" s="620">
        <v>12.4</v>
      </c>
      <c r="AM57" s="623">
        <f t="shared" si="8"/>
        <v>16.600000000000001</v>
      </c>
      <c r="AN57" s="621"/>
      <c r="AO57" s="621"/>
      <c r="AP57" s="621"/>
      <c r="AQ57" s="622">
        <f t="shared" si="9"/>
        <v>-7.3999999999999986</v>
      </c>
      <c r="AR57" s="615">
        <f t="shared" si="18"/>
        <v>31.1</v>
      </c>
      <c r="AS57" s="620">
        <v>13</v>
      </c>
      <c r="AT57" s="620"/>
      <c r="AU57" s="620">
        <v>11</v>
      </c>
      <c r="AV57" s="623">
        <f t="shared" si="10"/>
        <v>24</v>
      </c>
      <c r="AW57" s="621">
        <v>4.79</v>
      </c>
      <c r="AX57" s="621">
        <v>3.6</v>
      </c>
      <c r="AY57" s="621">
        <v>90</v>
      </c>
      <c r="AZ57" s="624">
        <f t="shared" si="11"/>
        <v>-7.1000000000000014</v>
      </c>
      <c r="BA57" s="623">
        <v>31.1</v>
      </c>
      <c r="BB57" s="620">
        <v>14</v>
      </c>
      <c r="BC57" s="620">
        <v>11.6</v>
      </c>
      <c r="BD57" s="623">
        <f t="shared" si="12"/>
        <v>25.6</v>
      </c>
      <c r="BE57" s="621"/>
      <c r="BF57" s="621"/>
      <c r="BG57" s="621"/>
      <c r="BH57" s="621">
        <f t="shared" si="13"/>
        <v>5.5</v>
      </c>
    </row>
    <row r="58" spans="1:60" ht="17.25" thickTop="1" thickBot="1" x14ac:dyDescent="0.3">
      <c r="A58" s="602">
        <v>51</v>
      </c>
      <c r="B58" s="603">
        <f t="shared" ca="1" si="1"/>
        <v>43134</v>
      </c>
      <c r="C58" s="29" t="s">
        <v>2865</v>
      </c>
      <c r="D58" s="59" t="s">
        <v>2851</v>
      </c>
      <c r="E58" s="22" t="s">
        <v>1050</v>
      </c>
      <c r="F58" s="27" t="s">
        <v>955</v>
      </c>
      <c r="G58" s="567">
        <v>42576</v>
      </c>
      <c r="H58" s="609">
        <f t="shared" si="14"/>
        <v>17.600000000000001</v>
      </c>
      <c r="I58" s="620">
        <v>7</v>
      </c>
      <c r="J58" s="620"/>
      <c r="K58" s="620">
        <v>6.2</v>
      </c>
      <c r="L58" s="611">
        <f t="shared" si="2"/>
        <v>13.2</v>
      </c>
      <c r="M58" s="621"/>
      <c r="N58" s="621"/>
      <c r="O58" s="621"/>
      <c r="P58" s="622">
        <f t="shared" si="3"/>
        <v>-4.4000000000000021</v>
      </c>
      <c r="Q58" s="609">
        <f t="shared" si="15"/>
        <v>16.399999999999999</v>
      </c>
      <c r="R58" s="620">
        <v>9</v>
      </c>
      <c r="S58" s="620"/>
      <c r="T58" s="620">
        <v>8.6</v>
      </c>
      <c r="U58" s="611">
        <f t="shared" si="4"/>
        <v>17.600000000000001</v>
      </c>
      <c r="V58" s="621"/>
      <c r="W58" s="621"/>
      <c r="X58" s="621"/>
      <c r="Y58" s="622">
        <f t="shared" si="5"/>
        <v>1.2000000000000028</v>
      </c>
      <c r="Z58" s="609">
        <f t="shared" si="16"/>
        <v>16.399999999999999</v>
      </c>
      <c r="AA58" s="620">
        <v>3</v>
      </c>
      <c r="AB58" s="620"/>
      <c r="AC58" s="620">
        <v>6</v>
      </c>
      <c r="AD58" s="611">
        <f t="shared" si="6"/>
        <v>9</v>
      </c>
      <c r="AE58" s="621"/>
      <c r="AF58" s="621"/>
      <c r="AG58" s="621"/>
      <c r="AH58" s="622">
        <f t="shared" si="7"/>
        <v>-7.3999999999999986</v>
      </c>
      <c r="AI58" s="609">
        <f t="shared" si="17"/>
        <v>15</v>
      </c>
      <c r="AJ58" s="620">
        <v>7.2</v>
      </c>
      <c r="AK58" s="620"/>
      <c r="AL58" s="620">
        <v>9.1999999999999993</v>
      </c>
      <c r="AM58" s="623">
        <f t="shared" si="8"/>
        <v>16.399999999999999</v>
      </c>
      <c r="AN58" s="621"/>
      <c r="AO58" s="621"/>
      <c r="AP58" s="621"/>
      <c r="AQ58" s="622">
        <f t="shared" si="9"/>
        <v>1.3999999999999986</v>
      </c>
      <c r="AR58" s="615">
        <f t="shared" si="18"/>
        <v>25.3</v>
      </c>
      <c r="AS58" s="620">
        <v>10</v>
      </c>
      <c r="AT58" s="620"/>
      <c r="AU58" s="620">
        <v>5</v>
      </c>
      <c r="AV58" s="623">
        <f t="shared" si="10"/>
        <v>15</v>
      </c>
      <c r="AW58" s="621">
        <v>2.98</v>
      </c>
      <c r="AX58" s="621">
        <v>4.03</v>
      </c>
      <c r="AY58" s="621">
        <v>90</v>
      </c>
      <c r="AZ58" s="624">
        <f t="shared" si="11"/>
        <v>-10.3</v>
      </c>
      <c r="BA58" s="623">
        <v>25.3</v>
      </c>
      <c r="BB58" s="620">
        <v>14.2</v>
      </c>
      <c r="BC58" s="620">
        <v>8</v>
      </c>
      <c r="BD58" s="623">
        <f t="shared" si="12"/>
        <v>22.2</v>
      </c>
      <c r="BE58" s="621"/>
      <c r="BF58" s="621"/>
      <c r="BG58" s="621"/>
      <c r="BH58" s="621">
        <f t="shared" si="13"/>
        <v>3.1000000000000014</v>
      </c>
    </row>
    <row r="59" spans="1:60" ht="17.25" thickTop="1" thickBot="1" x14ac:dyDescent="0.3">
      <c r="A59" s="77">
        <v>52</v>
      </c>
      <c r="B59" s="603">
        <f t="shared" ca="1" si="1"/>
        <v>43134</v>
      </c>
      <c r="C59" s="29" t="s">
        <v>2865</v>
      </c>
      <c r="D59" s="59" t="s">
        <v>2851</v>
      </c>
      <c r="E59" s="22" t="s">
        <v>1325</v>
      </c>
      <c r="F59" s="27" t="s">
        <v>1208</v>
      </c>
      <c r="G59" s="567">
        <v>42533</v>
      </c>
      <c r="H59" s="609">
        <f t="shared" si="14"/>
        <v>0</v>
      </c>
      <c r="I59" s="620">
        <v>5</v>
      </c>
      <c r="J59" s="620">
        <v>10</v>
      </c>
      <c r="K59" s="620">
        <v>11</v>
      </c>
      <c r="L59" s="611">
        <f t="shared" si="2"/>
        <v>26</v>
      </c>
      <c r="M59" s="621"/>
      <c r="N59" s="621"/>
      <c r="O59" s="621"/>
      <c r="P59" s="622">
        <f t="shared" si="3"/>
        <v>26</v>
      </c>
      <c r="Q59" s="609">
        <f t="shared" si="15"/>
        <v>12.8</v>
      </c>
      <c r="R59" s="620"/>
      <c r="S59" s="620"/>
      <c r="T59" s="620"/>
      <c r="U59" s="611">
        <f t="shared" si="4"/>
        <v>0</v>
      </c>
      <c r="V59" s="621"/>
      <c r="W59" s="621"/>
      <c r="X59" s="621"/>
      <c r="Y59" s="622">
        <f t="shared" si="5"/>
        <v>-12.8</v>
      </c>
      <c r="Z59" s="609">
        <f t="shared" si="16"/>
        <v>12.8</v>
      </c>
      <c r="AA59" s="620"/>
      <c r="AB59" s="620"/>
      <c r="AC59" s="620"/>
      <c r="AD59" s="611">
        <f t="shared" si="6"/>
        <v>0</v>
      </c>
      <c r="AE59" s="621"/>
      <c r="AF59" s="621"/>
      <c r="AG59" s="621"/>
      <c r="AH59" s="622">
        <f t="shared" si="7"/>
        <v>-12.8</v>
      </c>
      <c r="AI59" s="609">
        <f t="shared" si="17"/>
        <v>13</v>
      </c>
      <c r="AJ59" s="620">
        <v>8</v>
      </c>
      <c r="AK59" s="620"/>
      <c r="AL59" s="620">
        <v>4.8</v>
      </c>
      <c r="AM59" s="623">
        <f t="shared" si="8"/>
        <v>12.8</v>
      </c>
      <c r="AN59" s="621"/>
      <c r="AO59" s="621"/>
      <c r="AP59" s="621"/>
      <c r="AQ59" s="622">
        <f t="shared" si="9"/>
        <v>-0.19999999999999929</v>
      </c>
      <c r="AR59" s="615">
        <f t="shared" si="18"/>
        <v>16.5</v>
      </c>
      <c r="AS59" s="620">
        <v>9</v>
      </c>
      <c r="AT59" s="620"/>
      <c r="AU59" s="620">
        <v>4</v>
      </c>
      <c r="AV59" s="623">
        <f t="shared" si="10"/>
        <v>13</v>
      </c>
      <c r="AW59" s="621">
        <v>6.82</v>
      </c>
      <c r="AX59" s="621">
        <v>4.79</v>
      </c>
      <c r="AY59" s="621">
        <v>352</v>
      </c>
      <c r="AZ59" s="624">
        <f t="shared" si="11"/>
        <v>-3.5</v>
      </c>
      <c r="BA59" s="623">
        <v>16.5</v>
      </c>
      <c r="BB59" s="620">
        <v>9</v>
      </c>
      <c r="BC59" s="620">
        <v>7</v>
      </c>
      <c r="BD59" s="623">
        <f t="shared" si="12"/>
        <v>16</v>
      </c>
      <c r="BE59" s="621"/>
      <c r="BF59" s="621"/>
      <c r="BG59" s="621"/>
      <c r="BH59" s="621">
        <f t="shared" si="13"/>
        <v>0.5</v>
      </c>
    </row>
    <row r="60" spans="1:60" ht="17.25" thickTop="1" thickBot="1" x14ac:dyDescent="0.3">
      <c r="A60" s="602">
        <v>53</v>
      </c>
      <c r="B60" s="603">
        <f t="shared" ca="1" si="1"/>
        <v>43134</v>
      </c>
      <c r="C60" s="29" t="s">
        <v>2865</v>
      </c>
      <c r="D60" s="59" t="s">
        <v>2851</v>
      </c>
      <c r="E60" s="22" t="s">
        <v>1330</v>
      </c>
      <c r="F60" s="27" t="s">
        <v>1213</v>
      </c>
      <c r="G60" s="567">
        <v>42550</v>
      </c>
      <c r="H60" s="609">
        <f t="shared" si="14"/>
        <v>26.6</v>
      </c>
      <c r="I60" s="620">
        <v>8.6</v>
      </c>
      <c r="J60" s="620">
        <v>8</v>
      </c>
      <c r="K60" s="620">
        <v>8</v>
      </c>
      <c r="L60" s="611">
        <f t="shared" si="2"/>
        <v>24.6</v>
      </c>
      <c r="M60" s="621"/>
      <c r="N60" s="621"/>
      <c r="O60" s="621"/>
      <c r="P60" s="622">
        <f t="shared" si="3"/>
        <v>-2</v>
      </c>
      <c r="Q60" s="609">
        <f t="shared" si="15"/>
        <v>0</v>
      </c>
      <c r="R60" s="620">
        <v>8.6</v>
      </c>
      <c r="S60" s="620">
        <v>10</v>
      </c>
      <c r="T60" s="620">
        <v>8</v>
      </c>
      <c r="U60" s="611">
        <f t="shared" si="4"/>
        <v>26.6</v>
      </c>
      <c r="V60" s="621"/>
      <c r="W60" s="621"/>
      <c r="X60" s="621"/>
      <c r="Y60" s="622">
        <f t="shared" si="5"/>
        <v>26.6</v>
      </c>
      <c r="Z60" s="609">
        <f t="shared" si="16"/>
        <v>0</v>
      </c>
      <c r="AA60" s="620"/>
      <c r="AB60" s="620"/>
      <c r="AC60" s="620"/>
      <c r="AD60" s="611">
        <f t="shared" si="6"/>
        <v>0</v>
      </c>
      <c r="AE60" s="621"/>
      <c r="AF60" s="621"/>
      <c r="AG60" s="621"/>
      <c r="AH60" s="622">
        <f t="shared" si="7"/>
        <v>0</v>
      </c>
      <c r="AI60" s="609">
        <f t="shared" si="17"/>
        <v>18</v>
      </c>
      <c r="AJ60" s="620"/>
      <c r="AK60" s="620"/>
      <c r="AL60" s="620"/>
      <c r="AM60" s="623">
        <f t="shared" si="8"/>
        <v>0</v>
      </c>
      <c r="AN60" s="621"/>
      <c r="AO60" s="621"/>
      <c r="AP60" s="621"/>
      <c r="AQ60" s="622">
        <f t="shared" si="9"/>
        <v>-18</v>
      </c>
      <c r="AR60" s="615">
        <f t="shared" si="18"/>
        <v>15.5</v>
      </c>
      <c r="AS60" s="620">
        <v>10</v>
      </c>
      <c r="AT60" s="620"/>
      <c r="AU60" s="620">
        <v>8</v>
      </c>
      <c r="AV60" s="623">
        <f t="shared" si="10"/>
        <v>18</v>
      </c>
      <c r="AW60" s="621">
        <v>5.07</v>
      </c>
      <c r="AX60" s="621">
        <v>3.79</v>
      </c>
      <c r="AY60" s="621">
        <v>90</v>
      </c>
      <c r="AZ60" s="624">
        <f t="shared" si="11"/>
        <v>2.5</v>
      </c>
      <c r="BA60" s="623">
        <v>15.5</v>
      </c>
      <c r="BB60" s="620">
        <v>6.4</v>
      </c>
      <c r="BC60" s="620">
        <v>10</v>
      </c>
      <c r="BD60" s="623">
        <f t="shared" si="12"/>
        <v>16.399999999999999</v>
      </c>
      <c r="BE60" s="621"/>
      <c r="BF60" s="621"/>
      <c r="BG60" s="621"/>
      <c r="BH60" s="621">
        <f t="shared" si="13"/>
        <v>-0.89999999999999858</v>
      </c>
    </row>
    <row r="61" spans="1:60" ht="17.25" thickTop="1" thickBot="1" x14ac:dyDescent="0.3">
      <c r="A61" s="77">
        <v>54</v>
      </c>
      <c r="B61" s="603">
        <f t="shared" ca="1" si="1"/>
        <v>43134</v>
      </c>
      <c r="C61" s="29" t="s">
        <v>2865</v>
      </c>
      <c r="D61" s="59" t="s">
        <v>2851</v>
      </c>
      <c r="E61" s="22" t="s">
        <v>1049</v>
      </c>
      <c r="F61" s="27" t="s">
        <v>960</v>
      </c>
      <c r="G61" s="567">
        <v>42600</v>
      </c>
      <c r="H61" s="609">
        <f t="shared" si="14"/>
        <v>0</v>
      </c>
      <c r="I61" s="620">
        <v>13.4</v>
      </c>
      <c r="J61" s="620">
        <v>13.5</v>
      </c>
      <c r="K61" s="620">
        <v>13.7</v>
      </c>
      <c r="L61" s="611">
        <f t="shared" si="2"/>
        <v>40.599999999999994</v>
      </c>
      <c r="M61" s="621"/>
      <c r="N61" s="621"/>
      <c r="O61" s="621"/>
      <c r="P61" s="622">
        <f t="shared" si="3"/>
        <v>40.599999999999994</v>
      </c>
      <c r="Q61" s="609">
        <f t="shared" si="15"/>
        <v>21.6</v>
      </c>
      <c r="R61" s="620"/>
      <c r="S61" s="620"/>
      <c r="T61" s="620"/>
      <c r="U61" s="611">
        <f t="shared" si="4"/>
        <v>0</v>
      </c>
      <c r="V61" s="621"/>
      <c r="W61" s="621"/>
      <c r="X61" s="621"/>
      <c r="Y61" s="622">
        <f t="shared" si="5"/>
        <v>-21.6</v>
      </c>
      <c r="Z61" s="609">
        <f t="shared" si="16"/>
        <v>21.6</v>
      </c>
      <c r="AA61" s="620"/>
      <c r="AB61" s="620"/>
      <c r="AC61" s="620"/>
      <c r="AD61" s="611">
        <f t="shared" si="6"/>
        <v>0</v>
      </c>
      <c r="AE61" s="621"/>
      <c r="AF61" s="621"/>
      <c r="AG61" s="621"/>
      <c r="AH61" s="622">
        <f t="shared" si="7"/>
        <v>-21.6</v>
      </c>
      <c r="AI61" s="609">
        <f t="shared" si="17"/>
        <v>27.6</v>
      </c>
      <c r="AJ61" s="620">
        <v>11</v>
      </c>
      <c r="AK61" s="620"/>
      <c r="AL61" s="620">
        <v>10.6</v>
      </c>
      <c r="AM61" s="623">
        <f t="shared" si="8"/>
        <v>21.6</v>
      </c>
      <c r="AN61" s="621"/>
      <c r="AO61" s="621"/>
      <c r="AP61" s="621"/>
      <c r="AQ61" s="622">
        <f t="shared" si="9"/>
        <v>-6</v>
      </c>
      <c r="AR61" s="615">
        <f t="shared" si="18"/>
        <v>21</v>
      </c>
      <c r="AS61" s="620">
        <v>19</v>
      </c>
      <c r="AT61" s="620"/>
      <c r="AU61" s="620">
        <v>8.6</v>
      </c>
      <c r="AV61" s="623">
        <f t="shared" si="10"/>
        <v>27.6</v>
      </c>
      <c r="AW61" s="621">
        <v>4.76</v>
      </c>
      <c r="AX61" s="621">
        <v>3.58</v>
      </c>
      <c r="AY61" s="621">
        <v>205</v>
      </c>
      <c r="AZ61" s="624">
        <f t="shared" si="11"/>
        <v>6.6000000000000014</v>
      </c>
      <c r="BA61" s="623">
        <v>21</v>
      </c>
      <c r="BB61" s="620">
        <v>10</v>
      </c>
      <c r="BC61" s="620">
        <v>10</v>
      </c>
      <c r="BD61" s="623">
        <f t="shared" si="12"/>
        <v>20</v>
      </c>
      <c r="BE61" s="621"/>
      <c r="BF61" s="621"/>
      <c r="BG61" s="621"/>
      <c r="BH61" s="621">
        <f t="shared" si="13"/>
        <v>1</v>
      </c>
    </row>
    <row r="62" spans="1:60" ht="17.25" thickTop="1" thickBot="1" x14ac:dyDescent="0.3">
      <c r="A62" s="602">
        <v>55</v>
      </c>
      <c r="B62" s="603">
        <f t="shared" ca="1" si="1"/>
        <v>43134</v>
      </c>
      <c r="C62" s="29" t="s">
        <v>2865</v>
      </c>
      <c r="D62" s="59" t="s">
        <v>2851</v>
      </c>
      <c r="E62" s="22" t="s">
        <v>1336</v>
      </c>
      <c r="F62" s="27" t="s">
        <v>1220</v>
      </c>
      <c r="G62" s="567">
        <v>42602</v>
      </c>
      <c r="H62" s="609">
        <f t="shared" si="14"/>
        <v>13.4</v>
      </c>
      <c r="I62" s="620">
        <v>5</v>
      </c>
      <c r="J62" s="620"/>
      <c r="K62" s="620">
        <v>4</v>
      </c>
      <c r="L62" s="611">
        <f t="shared" si="2"/>
        <v>9</v>
      </c>
      <c r="M62" s="621"/>
      <c r="N62" s="621"/>
      <c r="O62" s="621"/>
      <c r="P62" s="622">
        <f t="shared" si="3"/>
        <v>-4.4000000000000004</v>
      </c>
      <c r="Q62" s="609">
        <f t="shared" si="15"/>
        <v>15.299999999999999</v>
      </c>
      <c r="R62" s="620">
        <v>9</v>
      </c>
      <c r="S62" s="620"/>
      <c r="T62" s="620">
        <v>4.4000000000000004</v>
      </c>
      <c r="U62" s="611">
        <f t="shared" si="4"/>
        <v>13.4</v>
      </c>
      <c r="V62" s="621"/>
      <c r="W62" s="621"/>
      <c r="X62" s="621"/>
      <c r="Y62" s="622">
        <f t="shared" si="5"/>
        <v>-1.8999999999999986</v>
      </c>
      <c r="Z62" s="609">
        <f t="shared" si="16"/>
        <v>15.299999999999999</v>
      </c>
      <c r="AA62" s="620">
        <v>7</v>
      </c>
      <c r="AB62" s="620"/>
      <c r="AC62" s="620">
        <v>6</v>
      </c>
      <c r="AD62" s="611">
        <f t="shared" si="6"/>
        <v>13</v>
      </c>
      <c r="AE62" s="621"/>
      <c r="AF62" s="621"/>
      <c r="AG62" s="621"/>
      <c r="AH62" s="622">
        <f t="shared" si="7"/>
        <v>-2.2999999999999989</v>
      </c>
      <c r="AI62" s="609">
        <f t="shared" si="17"/>
        <v>9.8000000000000007</v>
      </c>
      <c r="AJ62" s="620">
        <v>9.6999999999999993</v>
      </c>
      <c r="AK62" s="620"/>
      <c r="AL62" s="620">
        <v>5.6</v>
      </c>
      <c r="AM62" s="623">
        <f t="shared" si="8"/>
        <v>15.299999999999999</v>
      </c>
      <c r="AN62" s="621"/>
      <c r="AO62" s="621"/>
      <c r="AP62" s="621"/>
      <c r="AQ62" s="622">
        <f t="shared" si="9"/>
        <v>5.4999999999999982</v>
      </c>
      <c r="AR62" s="615">
        <f t="shared" si="18"/>
        <v>9</v>
      </c>
      <c r="AS62" s="620">
        <v>6.8</v>
      </c>
      <c r="AT62" s="620"/>
      <c r="AU62" s="620">
        <v>3</v>
      </c>
      <c r="AV62" s="623">
        <f t="shared" si="10"/>
        <v>9.8000000000000007</v>
      </c>
      <c r="AW62" s="621">
        <v>4.76</v>
      </c>
      <c r="AX62" s="621">
        <v>3.7</v>
      </c>
      <c r="AY62" s="621">
        <v>533</v>
      </c>
      <c r="AZ62" s="624">
        <f t="shared" si="11"/>
        <v>0.80000000000000071</v>
      </c>
      <c r="BA62" s="623">
        <v>9</v>
      </c>
      <c r="BB62" s="620">
        <v>4</v>
      </c>
      <c r="BC62" s="620">
        <v>7.5</v>
      </c>
      <c r="BD62" s="623">
        <f t="shared" si="12"/>
        <v>11.5</v>
      </c>
      <c r="BE62" s="621"/>
      <c r="BF62" s="621"/>
      <c r="BG62" s="621"/>
      <c r="BH62" s="621">
        <f t="shared" si="13"/>
        <v>-2.5</v>
      </c>
    </row>
    <row r="63" spans="1:60" ht="17.25" thickTop="1" thickBot="1" x14ac:dyDescent="0.3">
      <c r="A63" s="77">
        <v>56</v>
      </c>
      <c r="B63" s="603">
        <f t="shared" ca="1" si="1"/>
        <v>43134</v>
      </c>
      <c r="C63" s="29" t="s">
        <v>2865</v>
      </c>
      <c r="D63" s="59" t="s">
        <v>2851</v>
      </c>
      <c r="E63" s="22" t="s">
        <v>1337</v>
      </c>
      <c r="F63" s="27" t="s">
        <v>1221</v>
      </c>
      <c r="G63" s="567">
        <v>42565</v>
      </c>
      <c r="H63" s="609">
        <f t="shared" si="14"/>
        <v>0</v>
      </c>
      <c r="I63" s="620"/>
      <c r="J63" s="620"/>
      <c r="K63" s="620"/>
      <c r="L63" s="611">
        <f t="shared" si="2"/>
        <v>0</v>
      </c>
      <c r="M63" s="621"/>
      <c r="N63" s="621"/>
      <c r="O63" s="621"/>
      <c r="P63" s="622">
        <f t="shared" si="3"/>
        <v>0</v>
      </c>
      <c r="Q63" s="609">
        <f t="shared" si="15"/>
        <v>9.6</v>
      </c>
      <c r="R63" s="620"/>
      <c r="S63" s="620"/>
      <c r="T63" s="620"/>
      <c r="U63" s="611">
        <f t="shared" si="4"/>
        <v>0</v>
      </c>
      <c r="V63" s="621"/>
      <c r="W63" s="621"/>
      <c r="X63" s="621"/>
      <c r="Y63" s="622">
        <f t="shared" si="5"/>
        <v>-9.6</v>
      </c>
      <c r="Z63" s="609">
        <f t="shared" si="16"/>
        <v>9.6</v>
      </c>
      <c r="AA63" s="620">
        <v>9</v>
      </c>
      <c r="AB63" s="620"/>
      <c r="AC63" s="620">
        <v>5</v>
      </c>
      <c r="AD63" s="611">
        <f t="shared" si="6"/>
        <v>14</v>
      </c>
      <c r="AE63" s="621"/>
      <c r="AF63" s="621"/>
      <c r="AG63" s="621"/>
      <c r="AH63" s="622">
        <f t="shared" si="7"/>
        <v>4.4000000000000004</v>
      </c>
      <c r="AI63" s="609">
        <f t="shared" si="17"/>
        <v>16</v>
      </c>
      <c r="AJ63" s="620">
        <v>3.6</v>
      </c>
      <c r="AK63" s="620"/>
      <c r="AL63" s="620">
        <v>6</v>
      </c>
      <c r="AM63" s="623">
        <f t="shared" si="8"/>
        <v>9.6</v>
      </c>
      <c r="AN63" s="621"/>
      <c r="AO63" s="621"/>
      <c r="AP63" s="621"/>
      <c r="AQ63" s="622">
        <f t="shared" si="9"/>
        <v>-6.4</v>
      </c>
      <c r="AR63" s="615">
        <f t="shared" si="18"/>
        <v>19.2</v>
      </c>
      <c r="AS63" s="620">
        <v>10</v>
      </c>
      <c r="AT63" s="620"/>
      <c r="AU63" s="620">
        <v>6</v>
      </c>
      <c r="AV63" s="623">
        <f t="shared" si="10"/>
        <v>16</v>
      </c>
      <c r="AW63" s="621">
        <v>5.33</v>
      </c>
      <c r="AX63" s="621">
        <v>4.3099999999999996</v>
      </c>
      <c r="AY63" s="621">
        <v>162</v>
      </c>
      <c r="AZ63" s="624">
        <f t="shared" si="11"/>
        <v>-3.1999999999999993</v>
      </c>
      <c r="BA63" s="623">
        <v>19.2</v>
      </c>
      <c r="BB63" s="620">
        <v>8</v>
      </c>
      <c r="BC63" s="620">
        <v>5.6</v>
      </c>
      <c r="BD63" s="623">
        <f t="shared" si="12"/>
        <v>13.6</v>
      </c>
      <c r="BE63" s="621"/>
      <c r="BF63" s="621"/>
      <c r="BG63" s="621"/>
      <c r="BH63" s="621">
        <f t="shared" si="13"/>
        <v>5.6</v>
      </c>
    </row>
    <row r="64" spans="1:60" ht="17.25" thickTop="1" thickBot="1" x14ac:dyDescent="0.3">
      <c r="A64" s="602">
        <v>57</v>
      </c>
      <c r="B64" s="603">
        <f t="shared" ca="1" si="1"/>
        <v>43134</v>
      </c>
      <c r="C64" s="29" t="s">
        <v>2865</v>
      </c>
      <c r="D64" s="59" t="s">
        <v>2851</v>
      </c>
      <c r="E64" s="22" t="s">
        <v>1339</v>
      </c>
      <c r="F64" s="27" t="s">
        <v>1223</v>
      </c>
      <c r="G64" s="567">
        <v>42619</v>
      </c>
      <c r="H64" s="609">
        <f t="shared" si="14"/>
        <v>25.9</v>
      </c>
      <c r="I64" s="620"/>
      <c r="J64" s="620"/>
      <c r="K64" s="620"/>
      <c r="L64" s="611">
        <f t="shared" si="2"/>
        <v>0</v>
      </c>
      <c r="M64" s="621"/>
      <c r="N64" s="621"/>
      <c r="O64" s="621"/>
      <c r="P64" s="622">
        <f t="shared" si="3"/>
        <v>-25.9</v>
      </c>
      <c r="Q64" s="609">
        <f t="shared" si="15"/>
        <v>19.8</v>
      </c>
      <c r="R64" s="620">
        <v>10.6</v>
      </c>
      <c r="S64" s="620"/>
      <c r="T64" s="620">
        <v>15.3</v>
      </c>
      <c r="U64" s="611">
        <f t="shared" si="4"/>
        <v>25.9</v>
      </c>
      <c r="V64" s="621"/>
      <c r="W64" s="621"/>
      <c r="X64" s="621"/>
      <c r="Y64" s="622">
        <f t="shared" si="5"/>
        <v>6.0999999999999979</v>
      </c>
      <c r="Z64" s="609">
        <f t="shared" si="16"/>
        <v>19.8</v>
      </c>
      <c r="AA64" s="620">
        <v>11</v>
      </c>
      <c r="AB64" s="620"/>
      <c r="AC64" s="620">
        <v>7.2</v>
      </c>
      <c r="AD64" s="611">
        <f t="shared" si="6"/>
        <v>18.2</v>
      </c>
      <c r="AE64" s="621"/>
      <c r="AF64" s="621"/>
      <c r="AG64" s="621"/>
      <c r="AH64" s="622">
        <f t="shared" si="7"/>
        <v>-1.6000000000000014</v>
      </c>
      <c r="AI64" s="609">
        <f t="shared" si="17"/>
        <v>18</v>
      </c>
      <c r="AJ64" s="620">
        <v>11</v>
      </c>
      <c r="AK64" s="620"/>
      <c r="AL64" s="620">
        <v>8.8000000000000007</v>
      </c>
      <c r="AM64" s="623">
        <f t="shared" si="8"/>
        <v>19.8</v>
      </c>
      <c r="AN64" s="621"/>
      <c r="AO64" s="621"/>
      <c r="AP64" s="621"/>
      <c r="AQ64" s="622">
        <f t="shared" si="9"/>
        <v>1.8000000000000007</v>
      </c>
      <c r="AR64" s="615">
        <f t="shared" si="18"/>
        <v>26.3</v>
      </c>
      <c r="AS64" s="620">
        <v>10</v>
      </c>
      <c r="AT64" s="620"/>
      <c r="AU64" s="620">
        <v>8</v>
      </c>
      <c r="AV64" s="623">
        <f t="shared" si="10"/>
        <v>18</v>
      </c>
      <c r="AW64" s="621">
        <v>4.8899999999999997</v>
      </c>
      <c r="AX64" s="621">
        <v>3.79</v>
      </c>
      <c r="AY64" s="621">
        <v>90</v>
      </c>
      <c r="AZ64" s="624">
        <f t="shared" si="11"/>
        <v>-8.3000000000000007</v>
      </c>
      <c r="BA64" s="623">
        <v>26.3</v>
      </c>
      <c r="BB64" s="620">
        <v>9</v>
      </c>
      <c r="BC64" s="620">
        <v>9</v>
      </c>
      <c r="BD64" s="623">
        <f t="shared" si="12"/>
        <v>18</v>
      </c>
      <c r="BE64" s="621"/>
      <c r="BF64" s="621"/>
      <c r="BG64" s="621"/>
      <c r="BH64" s="621">
        <f t="shared" si="13"/>
        <v>8.3000000000000007</v>
      </c>
    </row>
    <row r="65" spans="1:60" ht="17.25" thickTop="1" thickBot="1" x14ac:dyDescent="0.3">
      <c r="A65" s="77">
        <v>58</v>
      </c>
      <c r="B65" s="603">
        <f t="shared" ca="1" si="1"/>
        <v>43134</v>
      </c>
      <c r="C65" s="29" t="s">
        <v>2865</v>
      </c>
      <c r="D65" s="59" t="s">
        <v>2851</v>
      </c>
      <c r="E65" s="22" t="s">
        <v>946</v>
      </c>
      <c r="F65" s="27" t="s">
        <v>966</v>
      </c>
      <c r="G65" s="567">
        <v>42655</v>
      </c>
      <c r="H65" s="609">
        <f t="shared" si="14"/>
        <v>0</v>
      </c>
      <c r="I65" s="620"/>
      <c r="J65" s="620"/>
      <c r="K65" s="620"/>
      <c r="L65" s="611">
        <f t="shared" si="2"/>
        <v>0</v>
      </c>
      <c r="M65" s="621"/>
      <c r="N65" s="621"/>
      <c r="O65" s="621"/>
      <c r="P65" s="622">
        <f t="shared" si="3"/>
        <v>0</v>
      </c>
      <c r="Q65" s="609">
        <f t="shared" si="15"/>
        <v>20</v>
      </c>
      <c r="R65" s="620"/>
      <c r="S65" s="620"/>
      <c r="T65" s="620"/>
      <c r="U65" s="611">
        <f t="shared" si="4"/>
        <v>0</v>
      </c>
      <c r="V65" s="621"/>
      <c r="W65" s="621"/>
      <c r="X65" s="621"/>
      <c r="Y65" s="622">
        <f t="shared" si="5"/>
        <v>-20</v>
      </c>
      <c r="Z65" s="609">
        <f t="shared" si="16"/>
        <v>20</v>
      </c>
      <c r="AA65" s="620">
        <v>8</v>
      </c>
      <c r="AB65" s="620"/>
      <c r="AC65" s="620">
        <v>6</v>
      </c>
      <c r="AD65" s="611">
        <f t="shared" si="6"/>
        <v>14</v>
      </c>
      <c r="AE65" s="621"/>
      <c r="AF65" s="621"/>
      <c r="AG65" s="621"/>
      <c r="AH65" s="622">
        <f t="shared" si="7"/>
        <v>-6</v>
      </c>
      <c r="AI65" s="609">
        <f t="shared" si="17"/>
        <v>20.9</v>
      </c>
      <c r="AJ65" s="620">
        <v>10</v>
      </c>
      <c r="AK65" s="620"/>
      <c r="AL65" s="620">
        <v>10</v>
      </c>
      <c r="AM65" s="623">
        <f t="shared" si="8"/>
        <v>20</v>
      </c>
      <c r="AN65" s="621"/>
      <c r="AO65" s="621"/>
      <c r="AP65" s="621"/>
      <c r="AQ65" s="622">
        <f t="shared" si="9"/>
        <v>-0.89999999999999858</v>
      </c>
      <c r="AR65" s="615">
        <f t="shared" si="18"/>
        <v>15</v>
      </c>
      <c r="AS65" s="620">
        <v>12</v>
      </c>
      <c r="AT65" s="620"/>
      <c r="AU65" s="620">
        <v>8.9</v>
      </c>
      <c r="AV65" s="623">
        <f t="shared" si="10"/>
        <v>20.9</v>
      </c>
      <c r="AW65" s="621">
        <v>4.42</v>
      </c>
      <c r="AX65" s="621">
        <v>3.61</v>
      </c>
      <c r="AY65" s="621">
        <v>90</v>
      </c>
      <c r="AZ65" s="624">
        <f t="shared" si="11"/>
        <v>5.8999999999999986</v>
      </c>
      <c r="BA65" s="623">
        <v>15</v>
      </c>
      <c r="BB65" s="620">
        <v>9.5</v>
      </c>
      <c r="BC65" s="620">
        <v>7</v>
      </c>
      <c r="BD65" s="623">
        <f t="shared" si="12"/>
        <v>16.5</v>
      </c>
      <c r="BE65" s="621"/>
      <c r="BF65" s="621"/>
      <c r="BG65" s="621"/>
      <c r="BH65" s="621">
        <f t="shared" si="13"/>
        <v>-1.5</v>
      </c>
    </row>
    <row r="66" spans="1:60" ht="17.25" thickTop="1" thickBot="1" x14ac:dyDescent="0.3">
      <c r="A66" s="602">
        <v>59</v>
      </c>
      <c r="B66" s="603">
        <f t="shared" ca="1" si="1"/>
        <v>43134</v>
      </c>
      <c r="C66" s="29" t="s">
        <v>2865</v>
      </c>
      <c r="D66" s="59" t="s">
        <v>2851</v>
      </c>
      <c r="E66" s="22" t="s">
        <v>1346</v>
      </c>
      <c r="F66" s="27" t="s">
        <v>1229</v>
      </c>
      <c r="G66" s="567">
        <v>42590</v>
      </c>
      <c r="H66" s="609">
        <f t="shared" si="14"/>
        <v>25</v>
      </c>
      <c r="I66" s="620">
        <v>10</v>
      </c>
      <c r="J66" s="620"/>
      <c r="K66" s="620">
        <v>9</v>
      </c>
      <c r="L66" s="611">
        <f t="shared" si="2"/>
        <v>19</v>
      </c>
      <c r="M66" s="621"/>
      <c r="N66" s="621"/>
      <c r="O66" s="621"/>
      <c r="P66" s="622">
        <f t="shared" si="3"/>
        <v>-6</v>
      </c>
      <c r="Q66" s="609">
        <f t="shared" si="15"/>
        <v>23</v>
      </c>
      <c r="R66" s="620">
        <v>11</v>
      </c>
      <c r="S66" s="620"/>
      <c r="T66" s="620">
        <v>14</v>
      </c>
      <c r="U66" s="611">
        <f t="shared" si="4"/>
        <v>25</v>
      </c>
      <c r="V66" s="621"/>
      <c r="W66" s="621"/>
      <c r="X66" s="621"/>
      <c r="Y66" s="622">
        <f t="shared" si="5"/>
        <v>2</v>
      </c>
      <c r="Z66" s="609">
        <f t="shared" si="16"/>
        <v>23</v>
      </c>
      <c r="AA66" s="620">
        <v>10.6</v>
      </c>
      <c r="AB66" s="620"/>
      <c r="AC66" s="620">
        <v>11</v>
      </c>
      <c r="AD66" s="611">
        <f t="shared" si="6"/>
        <v>21.6</v>
      </c>
      <c r="AE66" s="621"/>
      <c r="AF66" s="621"/>
      <c r="AG66" s="621"/>
      <c r="AH66" s="622">
        <f t="shared" si="7"/>
        <v>-1.3999999999999986</v>
      </c>
      <c r="AI66" s="609">
        <f t="shared" si="17"/>
        <v>24</v>
      </c>
      <c r="AJ66" s="620">
        <v>10</v>
      </c>
      <c r="AK66" s="620"/>
      <c r="AL66" s="620">
        <v>13</v>
      </c>
      <c r="AM66" s="623">
        <f t="shared" si="8"/>
        <v>23</v>
      </c>
      <c r="AN66" s="621"/>
      <c r="AO66" s="621"/>
      <c r="AP66" s="621"/>
      <c r="AQ66" s="622">
        <f t="shared" si="9"/>
        <v>-1</v>
      </c>
      <c r="AR66" s="615">
        <f t="shared" si="18"/>
        <v>19</v>
      </c>
      <c r="AS66" s="620">
        <v>13</v>
      </c>
      <c r="AT66" s="620"/>
      <c r="AU66" s="620">
        <v>11</v>
      </c>
      <c r="AV66" s="623">
        <f t="shared" si="10"/>
        <v>24</v>
      </c>
      <c r="AW66" s="621">
        <v>3.92</v>
      </c>
      <c r="AX66" s="621">
        <v>3.56</v>
      </c>
      <c r="AY66" s="621">
        <v>90</v>
      </c>
      <c r="AZ66" s="624">
        <f t="shared" si="11"/>
        <v>5</v>
      </c>
      <c r="BA66" s="623">
        <v>19</v>
      </c>
      <c r="BB66" s="620">
        <v>9</v>
      </c>
      <c r="BC66" s="620">
        <v>9</v>
      </c>
      <c r="BD66" s="623">
        <f t="shared" si="12"/>
        <v>18</v>
      </c>
      <c r="BE66" s="621"/>
      <c r="BF66" s="621"/>
      <c r="BG66" s="621"/>
      <c r="BH66" s="621">
        <f t="shared" si="13"/>
        <v>1</v>
      </c>
    </row>
    <row r="67" spans="1:60" ht="17.25" thickTop="1" thickBot="1" x14ac:dyDescent="0.3">
      <c r="A67" s="77">
        <v>60</v>
      </c>
      <c r="B67" s="603">
        <f t="shared" ca="1" si="1"/>
        <v>43134</v>
      </c>
      <c r="C67" s="29" t="s">
        <v>2865</v>
      </c>
      <c r="D67" s="59" t="s">
        <v>2851</v>
      </c>
      <c r="E67" s="22" t="s">
        <v>1347</v>
      </c>
      <c r="F67" s="27" t="s">
        <v>1230</v>
      </c>
      <c r="G67" s="567">
        <v>42614</v>
      </c>
      <c r="H67" s="609">
        <f t="shared" si="14"/>
        <v>25.799999999999997</v>
      </c>
      <c r="I67" s="620">
        <v>6.6</v>
      </c>
      <c r="J67" s="620">
        <v>5</v>
      </c>
      <c r="K67" s="620">
        <v>5</v>
      </c>
      <c r="L67" s="611">
        <f t="shared" si="2"/>
        <v>16.600000000000001</v>
      </c>
      <c r="M67" s="621"/>
      <c r="N67" s="621"/>
      <c r="O67" s="621"/>
      <c r="P67" s="622">
        <f t="shared" si="3"/>
        <v>-9.1999999999999957</v>
      </c>
      <c r="Q67" s="609">
        <f t="shared" si="15"/>
        <v>0</v>
      </c>
      <c r="R67" s="620">
        <v>7</v>
      </c>
      <c r="S67" s="620">
        <v>11.2</v>
      </c>
      <c r="T67" s="620">
        <v>7.6</v>
      </c>
      <c r="U67" s="611">
        <f t="shared" si="4"/>
        <v>25.799999999999997</v>
      </c>
      <c r="V67" s="621"/>
      <c r="W67" s="621"/>
      <c r="X67" s="621"/>
      <c r="Y67" s="622">
        <f t="shared" si="5"/>
        <v>25.799999999999997</v>
      </c>
      <c r="Z67" s="609">
        <f t="shared" si="16"/>
        <v>0</v>
      </c>
      <c r="AA67" s="620"/>
      <c r="AB67" s="620"/>
      <c r="AC67" s="620"/>
      <c r="AD67" s="611">
        <f t="shared" si="6"/>
        <v>0</v>
      </c>
      <c r="AE67" s="621"/>
      <c r="AF67" s="621"/>
      <c r="AG67" s="621"/>
      <c r="AH67" s="622">
        <f t="shared" si="7"/>
        <v>0</v>
      </c>
      <c r="AI67" s="609">
        <f t="shared" si="17"/>
        <v>14.9</v>
      </c>
      <c r="AJ67" s="620"/>
      <c r="AK67" s="620"/>
      <c r="AL67" s="620"/>
      <c r="AM67" s="623">
        <f t="shared" si="8"/>
        <v>0</v>
      </c>
      <c r="AN67" s="621"/>
      <c r="AO67" s="621"/>
      <c r="AP67" s="621"/>
      <c r="AQ67" s="622">
        <f t="shared" si="9"/>
        <v>-14.9</v>
      </c>
      <c r="AR67" s="615">
        <f t="shared" si="18"/>
        <v>13.1</v>
      </c>
      <c r="AS67" s="620">
        <v>9</v>
      </c>
      <c r="AT67" s="620"/>
      <c r="AU67" s="620">
        <v>5.9</v>
      </c>
      <c r="AV67" s="623">
        <f t="shared" si="10"/>
        <v>14.9</v>
      </c>
      <c r="AW67" s="621">
        <v>4.05</v>
      </c>
      <c r="AX67" s="621">
        <v>3.63</v>
      </c>
      <c r="AY67" s="621">
        <v>105</v>
      </c>
      <c r="AZ67" s="624">
        <f t="shared" si="11"/>
        <v>1.8000000000000007</v>
      </c>
      <c r="BA67" s="623">
        <v>13.1</v>
      </c>
      <c r="BB67" s="620">
        <v>7.4</v>
      </c>
      <c r="BC67" s="620">
        <v>5</v>
      </c>
      <c r="BD67" s="623">
        <f t="shared" si="12"/>
        <v>12.4</v>
      </c>
      <c r="BE67" s="621"/>
      <c r="BF67" s="621"/>
      <c r="BG67" s="621"/>
      <c r="BH67" s="621">
        <f t="shared" si="13"/>
        <v>0.69999999999999929</v>
      </c>
    </row>
    <row r="68" spans="1:60" ht="17.25" thickTop="1" thickBot="1" x14ac:dyDescent="0.3">
      <c r="A68" s="602">
        <v>61</v>
      </c>
      <c r="B68" s="603">
        <f t="shared" ca="1" si="1"/>
        <v>43134</v>
      </c>
      <c r="C68" s="29" t="s">
        <v>2865</v>
      </c>
      <c r="D68" s="59" t="s">
        <v>2851</v>
      </c>
      <c r="E68" s="22" t="s">
        <v>1099</v>
      </c>
      <c r="F68" s="27" t="s">
        <v>1231</v>
      </c>
      <c r="G68" s="567">
        <v>42625</v>
      </c>
      <c r="H68" s="609">
        <f t="shared" si="14"/>
        <v>0</v>
      </c>
      <c r="I68" s="620">
        <v>8.6</v>
      </c>
      <c r="J68" s="620">
        <v>8</v>
      </c>
      <c r="K68" s="620">
        <v>8</v>
      </c>
      <c r="L68" s="611">
        <f t="shared" si="2"/>
        <v>24.6</v>
      </c>
      <c r="M68" s="621"/>
      <c r="N68" s="621"/>
      <c r="O68" s="621"/>
      <c r="P68" s="622">
        <f t="shared" si="3"/>
        <v>24.6</v>
      </c>
      <c r="Q68" s="609">
        <f t="shared" si="15"/>
        <v>0</v>
      </c>
      <c r="R68" s="620"/>
      <c r="S68" s="620"/>
      <c r="T68" s="620"/>
      <c r="U68" s="611">
        <f t="shared" si="4"/>
        <v>0</v>
      </c>
      <c r="V68" s="621"/>
      <c r="W68" s="621"/>
      <c r="X68" s="621"/>
      <c r="Y68" s="622">
        <f t="shared" si="5"/>
        <v>0</v>
      </c>
      <c r="Z68" s="609">
        <f t="shared" si="16"/>
        <v>0</v>
      </c>
      <c r="AA68" s="620"/>
      <c r="AB68" s="620"/>
      <c r="AC68" s="620"/>
      <c r="AD68" s="611">
        <f t="shared" si="6"/>
        <v>0</v>
      </c>
      <c r="AE68" s="621"/>
      <c r="AF68" s="621"/>
      <c r="AG68" s="621"/>
      <c r="AH68" s="622">
        <f t="shared" si="7"/>
        <v>0</v>
      </c>
      <c r="AI68" s="609">
        <f t="shared" si="17"/>
        <v>14.2</v>
      </c>
      <c r="AJ68" s="620"/>
      <c r="AK68" s="620"/>
      <c r="AL68" s="620"/>
      <c r="AM68" s="623">
        <f t="shared" si="8"/>
        <v>0</v>
      </c>
      <c r="AN68" s="621"/>
      <c r="AO68" s="621"/>
      <c r="AP68" s="621"/>
      <c r="AQ68" s="622">
        <f t="shared" si="9"/>
        <v>-14.2</v>
      </c>
      <c r="AR68" s="615">
        <f t="shared" si="18"/>
        <v>16</v>
      </c>
      <c r="AS68" s="620">
        <v>8.6</v>
      </c>
      <c r="AT68" s="620"/>
      <c r="AU68" s="620">
        <v>5.6</v>
      </c>
      <c r="AV68" s="623">
        <f t="shared" si="10"/>
        <v>14.2</v>
      </c>
      <c r="AW68" s="621">
        <v>4.53</v>
      </c>
      <c r="AX68" s="621">
        <v>3.72</v>
      </c>
      <c r="AY68" s="621">
        <v>90</v>
      </c>
      <c r="AZ68" s="624">
        <f t="shared" si="11"/>
        <v>-1.8000000000000007</v>
      </c>
      <c r="BA68" s="623">
        <v>16</v>
      </c>
      <c r="BB68" s="620">
        <v>9</v>
      </c>
      <c r="BC68" s="620">
        <v>7</v>
      </c>
      <c r="BD68" s="623">
        <f t="shared" si="12"/>
        <v>16</v>
      </c>
      <c r="BE68" s="621"/>
      <c r="BF68" s="621"/>
      <c r="BG68" s="621"/>
      <c r="BH68" s="621">
        <f t="shared" si="13"/>
        <v>0</v>
      </c>
    </row>
    <row r="69" spans="1:60" ht="17.25" thickTop="1" thickBot="1" x14ac:dyDescent="0.3">
      <c r="A69" s="77">
        <v>62</v>
      </c>
      <c r="B69" s="603">
        <f t="shared" ca="1" si="1"/>
        <v>43134</v>
      </c>
      <c r="C69" s="29" t="s">
        <v>2865</v>
      </c>
      <c r="D69" s="59" t="s">
        <v>2851</v>
      </c>
      <c r="E69" s="22" t="s">
        <v>591</v>
      </c>
      <c r="F69" s="27" t="s">
        <v>962</v>
      </c>
      <c r="G69" s="567">
        <v>42653</v>
      </c>
      <c r="H69" s="609">
        <f t="shared" si="14"/>
        <v>26.1</v>
      </c>
      <c r="I69" s="620">
        <v>8.6</v>
      </c>
      <c r="J69" s="620">
        <v>9</v>
      </c>
      <c r="K69" s="620">
        <v>9.4</v>
      </c>
      <c r="L69" s="611">
        <f t="shared" si="2"/>
        <v>27</v>
      </c>
      <c r="M69" s="621"/>
      <c r="N69" s="621"/>
      <c r="O69" s="621"/>
      <c r="P69" s="622">
        <f t="shared" si="3"/>
        <v>0.89999999999999858</v>
      </c>
      <c r="Q69" s="609">
        <f t="shared" si="15"/>
        <v>0</v>
      </c>
      <c r="R69" s="620">
        <v>9.4</v>
      </c>
      <c r="S69" s="620">
        <v>9.6999999999999993</v>
      </c>
      <c r="T69" s="620">
        <v>7</v>
      </c>
      <c r="U69" s="611">
        <f t="shared" si="4"/>
        <v>26.1</v>
      </c>
      <c r="V69" s="621"/>
      <c r="W69" s="621"/>
      <c r="X69" s="621"/>
      <c r="Y69" s="622">
        <f t="shared" si="5"/>
        <v>26.1</v>
      </c>
      <c r="Z69" s="609">
        <f t="shared" si="16"/>
        <v>0</v>
      </c>
      <c r="AA69" s="620"/>
      <c r="AB69" s="620"/>
      <c r="AC69" s="620"/>
      <c r="AD69" s="611">
        <f t="shared" si="6"/>
        <v>0</v>
      </c>
      <c r="AE69" s="621"/>
      <c r="AF69" s="621"/>
      <c r="AG69" s="621"/>
      <c r="AH69" s="622">
        <f t="shared" si="7"/>
        <v>0</v>
      </c>
      <c r="AI69" s="609">
        <f t="shared" si="17"/>
        <v>17.3</v>
      </c>
      <c r="AJ69" s="620"/>
      <c r="AK69" s="620"/>
      <c r="AL69" s="620"/>
      <c r="AM69" s="623">
        <f t="shared" si="8"/>
        <v>0</v>
      </c>
      <c r="AN69" s="621"/>
      <c r="AO69" s="621"/>
      <c r="AP69" s="621"/>
      <c r="AQ69" s="622">
        <f t="shared" si="9"/>
        <v>-17.3</v>
      </c>
      <c r="AR69" s="615">
        <f t="shared" si="18"/>
        <v>18</v>
      </c>
      <c r="AS69" s="620">
        <v>10</v>
      </c>
      <c r="AT69" s="620"/>
      <c r="AU69" s="620">
        <v>7.3</v>
      </c>
      <c r="AV69" s="623">
        <f t="shared" si="10"/>
        <v>17.3</v>
      </c>
      <c r="AW69" s="621">
        <v>4.26</v>
      </c>
      <c r="AX69" s="621">
        <v>3.35</v>
      </c>
      <c r="AY69" s="621">
        <v>90</v>
      </c>
      <c r="AZ69" s="624">
        <f t="shared" si="11"/>
        <v>-0.69999999999999929</v>
      </c>
      <c r="BA69" s="623">
        <v>18</v>
      </c>
      <c r="BB69" s="620">
        <v>10</v>
      </c>
      <c r="BC69" s="620">
        <v>7</v>
      </c>
      <c r="BD69" s="623">
        <f t="shared" si="12"/>
        <v>17</v>
      </c>
      <c r="BE69" s="621"/>
      <c r="BF69" s="621"/>
      <c r="BG69" s="621"/>
      <c r="BH69" s="621">
        <f t="shared" si="13"/>
        <v>1</v>
      </c>
    </row>
    <row r="70" spans="1:60" ht="17.25" thickTop="1" thickBot="1" x14ac:dyDescent="0.3">
      <c r="A70" s="602">
        <v>63</v>
      </c>
      <c r="B70" s="603">
        <f t="shared" ca="1" si="1"/>
        <v>43134</v>
      </c>
      <c r="C70" s="29" t="s">
        <v>2865</v>
      </c>
      <c r="D70" s="59" t="s">
        <v>2851</v>
      </c>
      <c r="E70" s="22" t="s">
        <v>562</v>
      </c>
      <c r="F70" s="27" t="s">
        <v>958</v>
      </c>
      <c r="G70" s="567">
        <v>42637</v>
      </c>
      <c r="H70" s="609">
        <f t="shared" si="14"/>
        <v>0</v>
      </c>
      <c r="I70" s="620"/>
      <c r="J70" s="620"/>
      <c r="K70" s="620"/>
      <c r="L70" s="611">
        <f t="shared" si="2"/>
        <v>0</v>
      </c>
      <c r="M70" s="621"/>
      <c r="N70" s="621"/>
      <c r="O70" s="621"/>
      <c r="P70" s="622">
        <f t="shared" si="3"/>
        <v>0</v>
      </c>
      <c r="Q70" s="609">
        <f t="shared" si="15"/>
        <v>23.700000000000003</v>
      </c>
      <c r="R70" s="620"/>
      <c r="S70" s="620"/>
      <c r="T70" s="620"/>
      <c r="U70" s="611">
        <f t="shared" si="4"/>
        <v>0</v>
      </c>
      <c r="V70" s="621"/>
      <c r="W70" s="621"/>
      <c r="X70" s="621"/>
      <c r="Y70" s="622">
        <f t="shared" si="5"/>
        <v>-23.700000000000003</v>
      </c>
      <c r="Z70" s="609">
        <f t="shared" si="16"/>
        <v>23.700000000000003</v>
      </c>
      <c r="AA70" s="620">
        <v>9</v>
      </c>
      <c r="AB70" s="620"/>
      <c r="AC70" s="620">
        <v>10</v>
      </c>
      <c r="AD70" s="611">
        <f t="shared" si="6"/>
        <v>19</v>
      </c>
      <c r="AE70" s="621"/>
      <c r="AF70" s="621"/>
      <c r="AG70" s="621"/>
      <c r="AH70" s="622">
        <f t="shared" si="7"/>
        <v>-4.7000000000000028</v>
      </c>
      <c r="AI70" s="609">
        <f t="shared" si="17"/>
        <v>20</v>
      </c>
      <c r="AJ70" s="620">
        <v>12.9</v>
      </c>
      <c r="AK70" s="620"/>
      <c r="AL70" s="620">
        <v>10.8</v>
      </c>
      <c r="AM70" s="623">
        <f t="shared" si="8"/>
        <v>23.700000000000003</v>
      </c>
      <c r="AN70" s="621"/>
      <c r="AO70" s="621"/>
      <c r="AP70" s="621"/>
      <c r="AQ70" s="622">
        <f t="shared" si="9"/>
        <v>3.7000000000000028</v>
      </c>
      <c r="AR70" s="615">
        <f t="shared" si="18"/>
        <v>19</v>
      </c>
      <c r="AS70" s="620">
        <v>11</v>
      </c>
      <c r="AT70" s="620"/>
      <c r="AU70" s="620">
        <v>9</v>
      </c>
      <c r="AV70" s="623">
        <f t="shared" si="10"/>
        <v>20</v>
      </c>
      <c r="AW70" s="621">
        <v>4.3600000000000003</v>
      </c>
      <c r="AX70" s="621">
        <v>3.65</v>
      </c>
      <c r="AY70" s="621">
        <v>99</v>
      </c>
      <c r="AZ70" s="624">
        <f t="shared" si="11"/>
        <v>1</v>
      </c>
      <c r="BA70" s="623">
        <v>19</v>
      </c>
      <c r="BB70" s="620">
        <v>11</v>
      </c>
      <c r="BC70" s="620">
        <v>10</v>
      </c>
      <c r="BD70" s="623">
        <f t="shared" si="12"/>
        <v>21</v>
      </c>
      <c r="BE70" s="621"/>
      <c r="BF70" s="621"/>
      <c r="BG70" s="621"/>
      <c r="BH70" s="621">
        <f t="shared" si="13"/>
        <v>-2</v>
      </c>
    </row>
    <row r="71" spans="1:60" ht="17.25" thickTop="1" thickBot="1" x14ac:dyDescent="0.3">
      <c r="A71" s="77">
        <v>64</v>
      </c>
      <c r="B71" s="603">
        <f t="shared" ca="1" si="1"/>
        <v>43134</v>
      </c>
      <c r="C71" s="29" t="s">
        <v>2865</v>
      </c>
      <c r="D71" s="59" t="s">
        <v>2851</v>
      </c>
      <c r="E71" s="22" t="s">
        <v>1051</v>
      </c>
      <c r="F71" s="27" t="s">
        <v>957</v>
      </c>
      <c r="G71" s="567">
        <v>42653</v>
      </c>
      <c r="H71" s="609">
        <f t="shared" si="14"/>
        <v>18</v>
      </c>
      <c r="I71" s="620"/>
      <c r="J71" s="620"/>
      <c r="K71" s="620"/>
      <c r="L71" s="611">
        <f t="shared" si="2"/>
        <v>0</v>
      </c>
      <c r="M71" s="621"/>
      <c r="N71" s="621"/>
      <c r="O71" s="621"/>
      <c r="P71" s="622">
        <f t="shared" si="3"/>
        <v>-18</v>
      </c>
      <c r="Q71" s="609">
        <f t="shared" si="15"/>
        <v>22.2</v>
      </c>
      <c r="R71" s="620">
        <v>7</v>
      </c>
      <c r="S71" s="620">
        <v>5</v>
      </c>
      <c r="T71" s="620">
        <v>6</v>
      </c>
      <c r="U71" s="611">
        <f t="shared" si="4"/>
        <v>18</v>
      </c>
      <c r="V71" s="621"/>
      <c r="W71" s="621"/>
      <c r="X71" s="621"/>
      <c r="Y71" s="622">
        <f t="shared" si="5"/>
        <v>-4.1999999999999993</v>
      </c>
      <c r="Z71" s="609">
        <f t="shared" si="16"/>
        <v>22.2</v>
      </c>
      <c r="AA71" s="620">
        <v>13</v>
      </c>
      <c r="AB71" s="620"/>
      <c r="AC71" s="620">
        <v>10</v>
      </c>
      <c r="AD71" s="611">
        <f t="shared" si="6"/>
        <v>23</v>
      </c>
      <c r="AE71" s="621"/>
      <c r="AF71" s="621"/>
      <c r="AG71" s="621"/>
      <c r="AH71" s="622">
        <f t="shared" si="7"/>
        <v>0.80000000000000071</v>
      </c>
      <c r="AI71" s="609">
        <f t="shared" si="17"/>
        <v>16.2</v>
      </c>
      <c r="AJ71" s="620">
        <v>15.2</v>
      </c>
      <c r="AK71" s="620"/>
      <c r="AL71" s="620">
        <v>7</v>
      </c>
      <c r="AM71" s="623">
        <f t="shared" si="8"/>
        <v>22.2</v>
      </c>
      <c r="AN71" s="621"/>
      <c r="AO71" s="621"/>
      <c r="AP71" s="621"/>
      <c r="AQ71" s="622">
        <f t="shared" si="9"/>
        <v>6</v>
      </c>
      <c r="AR71" s="615">
        <f t="shared" si="18"/>
        <v>27.6</v>
      </c>
      <c r="AS71" s="620">
        <v>7</v>
      </c>
      <c r="AT71" s="620"/>
      <c r="AU71" s="620">
        <v>9.1999999999999993</v>
      </c>
      <c r="AV71" s="623">
        <f t="shared" si="10"/>
        <v>16.2</v>
      </c>
      <c r="AW71" s="621">
        <v>3.81</v>
      </c>
      <c r="AX71" s="621">
        <v>3.22</v>
      </c>
      <c r="AY71" s="621">
        <v>90</v>
      </c>
      <c r="AZ71" s="624">
        <f t="shared" si="11"/>
        <v>-11.400000000000002</v>
      </c>
      <c r="BA71" s="623">
        <v>27.6</v>
      </c>
      <c r="BB71" s="620">
        <v>10</v>
      </c>
      <c r="BC71" s="620">
        <v>10</v>
      </c>
      <c r="BD71" s="623">
        <f t="shared" si="12"/>
        <v>20</v>
      </c>
      <c r="BE71" s="621"/>
      <c r="BF71" s="621"/>
      <c r="BG71" s="621"/>
      <c r="BH71" s="621">
        <f t="shared" si="13"/>
        <v>7.6000000000000014</v>
      </c>
    </row>
    <row r="72" spans="1:60" ht="17.25" thickTop="1" thickBot="1" x14ac:dyDescent="0.3">
      <c r="A72" s="602">
        <v>65</v>
      </c>
      <c r="B72" s="603">
        <f t="shared" ref="B72:B135" ca="1" si="19">TODAY()</f>
        <v>43134</v>
      </c>
      <c r="C72" s="29" t="s">
        <v>2865</v>
      </c>
      <c r="D72" s="59" t="s">
        <v>2851</v>
      </c>
      <c r="E72" s="22" t="s">
        <v>1351</v>
      </c>
      <c r="F72" s="27" t="s">
        <v>1235</v>
      </c>
      <c r="G72" s="567">
        <v>42620</v>
      </c>
      <c r="H72" s="609">
        <f t="shared" si="14"/>
        <v>11.6</v>
      </c>
      <c r="I72" s="620"/>
      <c r="J72" s="620"/>
      <c r="K72" s="620"/>
      <c r="L72" s="611">
        <f t="shared" ref="L72:L135" si="20">SUM(I72:K72)</f>
        <v>0</v>
      </c>
      <c r="M72" s="621"/>
      <c r="N72" s="621"/>
      <c r="O72" s="621"/>
      <c r="P72" s="622">
        <f t="shared" ref="P72:P135" si="21">L72-H72</f>
        <v>-11.6</v>
      </c>
      <c r="Q72" s="609">
        <f t="shared" si="15"/>
        <v>17</v>
      </c>
      <c r="R72" s="620">
        <v>4.8</v>
      </c>
      <c r="S72" s="620"/>
      <c r="T72" s="620">
        <v>6.8</v>
      </c>
      <c r="U72" s="611">
        <f t="shared" ref="U72:U135" si="22">SUM(R72:T72)</f>
        <v>11.6</v>
      </c>
      <c r="V72" s="621"/>
      <c r="W72" s="621"/>
      <c r="X72" s="621"/>
      <c r="Y72" s="622">
        <f t="shared" ref="Y72:Y135" si="23">U72-Q72</f>
        <v>-5.4</v>
      </c>
      <c r="Z72" s="609">
        <f t="shared" si="16"/>
        <v>17</v>
      </c>
      <c r="AA72" s="620">
        <v>10</v>
      </c>
      <c r="AB72" s="620"/>
      <c r="AC72" s="620">
        <v>9</v>
      </c>
      <c r="AD72" s="611">
        <f t="shared" ref="AD72:AD135" si="24">SUM(AA72:AC72)</f>
        <v>19</v>
      </c>
      <c r="AE72" s="621"/>
      <c r="AF72" s="621"/>
      <c r="AG72" s="621"/>
      <c r="AH72" s="622">
        <f t="shared" ref="AH72:AH135" si="25">AD72-Z72</f>
        <v>2</v>
      </c>
      <c r="AI72" s="609">
        <f t="shared" si="17"/>
        <v>20.6</v>
      </c>
      <c r="AJ72" s="620">
        <v>9</v>
      </c>
      <c r="AK72" s="620"/>
      <c r="AL72" s="620">
        <v>8</v>
      </c>
      <c r="AM72" s="623">
        <f t="shared" ref="AM72:AM135" si="26">SUM(AJ72:AL72)</f>
        <v>17</v>
      </c>
      <c r="AN72" s="621"/>
      <c r="AO72" s="621"/>
      <c r="AP72" s="621"/>
      <c r="AQ72" s="622">
        <f t="shared" ref="AQ72:AQ135" si="27">AM72-AI72</f>
        <v>-3.6000000000000014</v>
      </c>
      <c r="AR72" s="615">
        <f t="shared" si="18"/>
        <v>19</v>
      </c>
      <c r="AS72" s="620">
        <v>11.6</v>
      </c>
      <c r="AT72" s="620"/>
      <c r="AU72" s="620">
        <v>9</v>
      </c>
      <c r="AV72" s="623">
        <f t="shared" ref="AV72:AV135" si="28">SUM(AS72:AU72)</f>
        <v>20.6</v>
      </c>
      <c r="AW72" s="621">
        <v>3.74</v>
      </c>
      <c r="AX72" s="621">
        <v>3.27</v>
      </c>
      <c r="AY72" s="621">
        <v>90</v>
      </c>
      <c r="AZ72" s="624">
        <f t="shared" ref="AZ72:AZ135" si="29">AV72-AR72</f>
        <v>1.6000000000000014</v>
      </c>
      <c r="BA72" s="623">
        <v>19</v>
      </c>
      <c r="BB72" s="620">
        <v>11</v>
      </c>
      <c r="BC72" s="620">
        <v>8</v>
      </c>
      <c r="BD72" s="623">
        <f t="shared" ref="BD72:BD135" si="30">SUM(BB72:BC72)</f>
        <v>19</v>
      </c>
      <c r="BE72" s="621"/>
      <c r="BF72" s="621"/>
      <c r="BG72" s="621"/>
      <c r="BH72" s="621">
        <f t="shared" ref="BH72:BH135" si="31">BA72-BD72</f>
        <v>0</v>
      </c>
    </row>
    <row r="73" spans="1:60" ht="17.25" thickTop="1" thickBot="1" x14ac:dyDescent="0.3">
      <c r="A73" s="77">
        <v>66</v>
      </c>
      <c r="B73" s="603">
        <f t="shared" ca="1" si="19"/>
        <v>43134</v>
      </c>
      <c r="C73" s="29" t="s">
        <v>2865</v>
      </c>
      <c r="D73" s="59" t="s">
        <v>2851</v>
      </c>
      <c r="E73" s="22" t="s">
        <v>138</v>
      </c>
      <c r="F73" s="27" t="s">
        <v>970</v>
      </c>
      <c r="G73" s="567">
        <v>42665</v>
      </c>
      <c r="H73" s="609">
        <f t="shared" ref="H73:H136" si="32">U73</f>
        <v>0</v>
      </c>
      <c r="I73" s="620"/>
      <c r="J73" s="620"/>
      <c r="K73" s="620"/>
      <c r="L73" s="611">
        <f t="shared" si="20"/>
        <v>0</v>
      </c>
      <c r="M73" s="621"/>
      <c r="N73" s="621"/>
      <c r="O73" s="621"/>
      <c r="P73" s="622">
        <f t="shared" si="21"/>
        <v>0</v>
      </c>
      <c r="Q73" s="609">
        <f t="shared" ref="Q73:Q136" si="33">AM73</f>
        <v>22</v>
      </c>
      <c r="R73" s="620"/>
      <c r="S73" s="620"/>
      <c r="T73" s="620"/>
      <c r="U73" s="611">
        <f t="shared" si="22"/>
        <v>0</v>
      </c>
      <c r="V73" s="621"/>
      <c r="W73" s="621"/>
      <c r="X73" s="621"/>
      <c r="Y73" s="622">
        <f t="shared" si="23"/>
        <v>-22</v>
      </c>
      <c r="Z73" s="609">
        <f t="shared" ref="Z73:Z136" si="34">AM73</f>
        <v>22</v>
      </c>
      <c r="AA73" s="620">
        <v>9.4</v>
      </c>
      <c r="AB73" s="620"/>
      <c r="AC73" s="620">
        <v>8</v>
      </c>
      <c r="AD73" s="611">
        <f t="shared" si="24"/>
        <v>17.399999999999999</v>
      </c>
      <c r="AE73" s="621"/>
      <c r="AF73" s="621"/>
      <c r="AG73" s="621"/>
      <c r="AH73" s="622">
        <f t="shared" si="25"/>
        <v>-4.6000000000000014</v>
      </c>
      <c r="AI73" s="609">
        <f t="shared" ref="AI73:AI136" si="35">AV73</f>
        <v>19</v>
      </c>
      <c r="AJ73" s="620">
        <v>12</v>
      </c>
      <c r="AK73" s="620"/>
      <c r="AL73" s="620">
        <v>10</v>
      </c>
      <c r="AM73" s="623">
        <f t="shared" si="26"/>
        <v>22</v>
      </c>
      <c r="AN73" s="621"/>
      <c r="AO73" s="621"/>
      <c r="AP73" s="621"/>
      <c r="AQ73" s="622">
        <f t="shared" si="27"/>
        <v>3</v>
      </c>
      <c r="AR73" s="615">
        <f t="shared" ref="AR73:AR136" si="36">BA73</f>
        <v>16.5</v>
      </c>
      <c r="AS73" s="620">
        <v>11</v>
      </c>
      <c r="AT73" s="620"/>
      <c r="AU73" s="620">
        <v>8</v>
      </c>
      <c r="AV73" s="623">
        <f t="shared" si="28"/>
        <v>19</v>
      </c>
      <c r="AW73" s="621">
        <v>3.82</v>
      </c>
      <c r="AX73" s="621">
        <v>3.64</v>
      </c>
      <c r="AY73" s="621">
        <v>90</v>
      </c>
      <c r="AZ73" s="624">
        <f t="shared" si="29"/>
        <v>2.5</v>
      </c>
      <c r="BA73" s="623">
        <v>16.5</v>
      </c>
      <c r="BB73" s="620">
        <v>7</v>
      </c>
      <c r="BC73" s="620">
        <v>8</v>
      </c>
      <c r="BD73" s="623">
        <f t="shared" si="30"/>
        <v>15</v>
      </c>
      <c r="BE73" s="621"/>
      <c r="BF73" s="621"/>
      <c r="BG73" s="621"/>
      <c r="BH73" s="621">
        <f t="shared" si="31"/>
        <v>1.5</v>
      </c>
    </row>
    <row r="74" spans="1:60" ht="17.25" thickTop="1" thickBot="1" x14ac:dyDescent="0.3">
      <c r="A74" s="602">
        <v>67</v>
      </c>
      <c r="B74" s="603">
        <f t="shared" ca="1" si="19"/>
        <v>43134</v>
      </c>
      <c r="C74" s="29" t="s">
        <v>2865</v>
      </c>
      <c r="D74" s="59" t="s">
        <v>2851</v>
      </c>
      <c r="E74" s="22" t="s">
        <v>1078</v>
      </c>
      <c r="F74" s="239" t="s">
        <v>995</v>
      </c>
      <c r="G74" s="567">
        <v>42716</v>
      </c>
      <c r="H74" s="609">
        <f t="shared" si="32"/>
        <v>0</v>
      </c>
      <c r="I74" s="620"/>
      <c r="J74" s="620"/>
      <c r="K74" s="620"/>
      <c r="L74" s="611">
        <f t="shared" si="20"/>
        <v>0</v>
      </c>
      <c r="M74" s="621"/>
      <c r="N74" s="621"/>
      <c r="O74" s="621"/>
      <c r="P74" s="622">
        <f t="shared" si="21"/>
        <v>0</v>
      </c>
      <c r="Q74" s="609">
        <f t="shared" si="33"/>
        <v>22</v>
      </c>
      <c r="R74" s="620"/>
      <c r="S74" s="620"/>
      <c r="T74" s="620"/>
      <c r="U74" s="611">
        <f t="shared" si="22"/>
        <v>0</v>
      </c>
      <c r="V74" s="621"/>
      <c r="W74" s="621"/>
      <c r="X74" s="621"/>
      <c r="Y74" s="622">
        <f t="shared" si="23"/>
        <v>-22</v>
      </c>
      <c r="Z74" s="609">
        <f t="shared" si="34"/>
        <v>22</v>
      </c>
      <c r="AA74" s="620">
        <v>15</v>
      </c>
      <c r="AB74" s="620"/>
      <c r="AC74" s="620">
        <v>8.6</v>
      </c>
      <c r="AD74" s="611">
        <f t="shared" si="24"/>
        <v>23.6</v>
      </c>
      <c r="AE74" s="621"/>
      <c r="AF74" s="621"/>
      <c r="AG74" s="621"/>
      <c r="AH74" s="622">
        <f t="shared" si="25"/>
        <v>1.6000000000000014</v>
      </c>
      <c r="AI74" s="609">
        <f t="shared" si="35"/>
        <v>22.6</v>
      </c>
      <c r="AJ74" s="620">
        <v>13</v>
      </c>
      <c r="AK74" s="620"/>
      <c r="AL74" s="620">
        <v>9</v>
      </c>
      <c r="AM74" s="623">
        <f t="shared" si="26"/>
        <v>22</v>
      </c>
      <c r="AN74" s="621"/>
      <c r="AO74" s="621"/>
      <c r="AP74" s="621"/>
      <c r="AQ74" s="622">
        <f t="shared" si="27"/>
        <v>-0.60000000000000142</v>
      </c>
      <c r="AR74" s="615">
        <f t="shared" si="36"/>
        <v>26</v>
      </c>
      <c r="AS74" s="620">
        <v>12.6</v>
      </c>
      <c r="AT74" s="620"/>
      <c r="AU74" s="620">
        <v>10</v>
      </c>
      <c r="AV74" s="623">
        <f t="shared" si="28"/>
        <v>22.6</v>
      </c>
      <c r="AW74" s="621">
        <v>3.41</v>
      </c>
      <c r="AX74" s="621">
        <v>3.31</v>
      </c>
      <c r="AY74" s="621">
        <v>90</v>
      </c>
      <c r="AZ74" s="624">
        <f t="shared" si="29"/>
        <v>-3.3999999999999986</v>
      </c>
      <c r="BA74" s="623">
        <v>26</v>
      </c>
      <c r="BB74" s="620">
        <v>11</v>
      </c>
      <c r="BC74" s="620">
        <v>9</v>
      </c>
      <c r="BD74" s="623">
        <f t="shared" si="30"/>
        <v>20</v>
      </c>
      <c r="BE74" s="621"/>
      <c r="BF74" s="621"/>
      <c r="BG74" s="621"/>
      <c r="BH74" s="621">
        <f t="shared" si="31"/>
        <v>6</v>
      </c>
    </row>
    <row r="75" spans="1:60" ht="17.25" thickTop="1" thickBot="1" x14ac:dyDescent="0.3">
      <c r="A75" s="77">
        <v>68</v>
      </c>
      <c r="B75" s="603">
        <f t="shared" ca="1" si="19"/>
        <v>43134</v>
      </c>
      <c r="C75" s="29" t="s">
        <v>2865</v>
      </c>
      <c r="D75" s="59" t="s">
        <v>2851</v>
      </c>
      <c r="E75" s="22" t="s">
        <v>1352</v>
      </c>
      <c r="F75" s="27" t="s">
        <v>1236</v>
      </c>
      <c r="G75" s="567">
        <v>42595</v>
      </c>
      <c r="H75" s="609">
        <f t="shared" si="32"/>
        <v>0</v>
      </c>
      <c r="I75" s="620">
        <v>11.9</v>
      </c>
      <c r="J75" s="620">
        <v>11.2</v>
      </c>
      <c r="K75" s="620">
        <v>12.3</v>
      </c>
      <c r="L75" s="611">
        <f t="shared" si="20"/>
        <v>35.400000000000006</v>
      </c>
      <c r="M75" s="621"/>
      <c r="N75" s="621"/>
      <c r="O75" s="621"/>
      <c r="P75" s="622">
        <f t="shared" si="21"/>
        <v>35.400000000000006</v>
      </c>
      <c r="Q75" s="609">
        <f t="shared" si="33"/>
        <v>16.8</v>
      </c>
      <c r="R75" s="620"/>
      <c r="S75" s="620"/>
      <c r="T75" s="620"/>
      <c r="U75" s="611">
        <f t="shared" si="22"/>
        <v>0</v>
      </c>
      <c r="V75" s="621"/>
      <c r="W75" s="621"/>
      <c r="X75" s="621"/>
      <c r="Y75" s="622">
        <f t="shared" si="23"/>
        <v>-16.8</v>
      </c>
      <c r="Z75" s="609">
        <f t="shared" si="34"/>
        <v>16.8</v>
      </c>
      <c r="AA75" s="620"/>
      <c r="AB75" s="620"/>
      <c r="AC75" s="620"/>
      <c r="AD75" s="611">
        <f t="shared" si="24"/>
        <v>0</v>
      </c>
      <c r="AE75" s="621"/>
      <c r="AF75" s="621"/>
      <c r="AG75" s="621"/>
      <c r="AH75" s="622">
        <f t="shared" si="25"/>
        <v>-16.8</v>
      </c>
      <c r="AI75" s="609">
        <f t="shared" si="35"/>
        <v>17.399999999999999</v>
      </c>
      <c r="AJ75" s="620">
        <v>14</v>
      </c>
      <c r="AK75" s="620"/>
      <c r="AL75" s="620">
        <v>2.8</v>
      </c>
      <c r="AM75" s="623">
        <f t="shared" si="26"/>
        <v>16.8</v>
      </c>
      <c r="AN75" s="621"/>
      <c r="AO75" s="621"/>
      <c r="AP75" s="621"/>
      <c r="AQ75" s="622">
        <f t="shared" si="27"/>
        <v>-0.59999999999999787</v>
      </c>
      <c r="AR75" s="615">
        <f t="shared" si="36"/>
        <v>19.5</v>
      </c>
      <c r="AS75" s="620">
        <v>9</v>
      </c>
      <c r="AT75" s="620"/>
      <c r="AU75" s="620">
        <v>8.4</v>
      </c>
      <c r="AV75" s="623">
        <f t="shared" si="28"/>
        <v>17.399999999999999</v>
      </c>
      <c r="AW75" s="621">
        <v>5.09</v>
      </c>
      <c r="AX75" s="621">
        <v>3.95</v>
      </c>
      <c r="AY75" s="621">
        <v>90</v>
      </c>
      <c r="AZ75" s="624">
        <f t="shared" si="29"/>
        <v>-2.1000000000000014</v>
      </c>
      <c r="BA75" s="623">
        <v>19.5</v>
      </c>
      <c r="BB75" s="620">
        <v>10.3</v>
      </c>
      <c r="BC75" s="620">
        <v>10</v>
      </c>
      <c r="BD75" s="623">
        <f t="shared" si="30"/>
        <v>20.3</v>
      </c>
      <c r="BE75" s="621"/>
      <c r="BF75" s="621"/>
      <c r="BG75" s="621"/>
      <c r="BH75" s="621">
        <f t="shared" si="31"/>
        <v>-0.80000000000000071</v>
      </c>
    </row>
    <row r="76" spans="1:60" ht="17.25" thickTop="1" thickBot="1" x14ac:dyDescent="0.3">
      <c r="A76" s="602">
        <v>69</v>
      </c>
      <c r="B76" s="603">
        <f t="shared" ca="1" si="19"/>
        <v>43134</v>
      </c>
      <c r="C76" s="29" t="s">
        <v>2865</v>
      </c>
      <c r="D76" s="59" t="s">
        <v>2851</v>
      </c>
      <c r="E76" s="22" t="s">
        <v>1353</v>
      </c>
      <c r="F76" s="239" t="s">
        <v>1237</v>
      </c>
      <c r="G76" s="567">
        <v>42624</v>
      </c>
      <c r="H76" s="609">
        <f t="shared" si="32"/>
        <v>34.700000000000003</v>
      </c>
      <c r="I76" s="620">
        <v>15.4</v>
      </c>
      <c r="J76" s="620">
        <v>12.8</v>
      </c>
      <c r="K76" s="620">
        <v>12</v>
      </c>
      <c r="L76" s="611">
        <f t="shared" si="20"/>
        <v>40.200000000000003</v>
      </c>
      <c r="M76" s="621"/>
      <c r="N76" s="621"/>
      <c r="O76" s="621"/>
      <c r="P76" s="622">
        <f t="shared" si="21"/>
        <v>5.5</v>
      </c>
      <c r="Q76" s="609">
        <f t="shared" si="33"/>
        <v>15.5</v>
      </c>
      <c r="R76" s="620">
        <v>10.6</v>
      </c>
      <c r="S76" s="620">
        <v>10.1</v>
      </c>
      <c r="T76" s="620">
        <v>14</v>
      </c>
      <c r="U76" s="611">
        <f t="shared" si="22"/>
        <v>34.700000000000003</v>
      </c>
      <c r="V76" s="621"/>
      <c r="W76" s="621"/>
      <c r="X76" s="621"/>
      <c r="Y76" s="622">
        <f t="shared" si="23"/>
        <v>19.200000000000003</v>
      </c>
      <c r="Z76" s="609">
        <f t="shared" si="34"/>
        <v>15.5</v>
      </c>
      <c r="AA76" s="620"/>
      <c r="AB76" s="620"/>
      <c r="AC76" s="620"/>
      <c r="AD76" s="611">
        <f t="shared" si="24"/>
        <v>0</v>
      </c>
      <c r="AE76" s="621"/>
      <c r="AF76" s="621"/>
      <c r="AG76" s="621"/>
      <c r="AH76" s="622">
        <f t="shared" si="25"/>
        <v>-15.5</v>
      </c>
      <c r="AI76" s="609">
        <f t="shared" si="35"/>
        <v>5</v>
      </c>
      <c r="AJ76" s="620">
        <v>7.3</v>
      </c>
      <c r="AK76" s="620"/>
      <c r="AL76" s="620">
        <v>8.1999999999999993</v>
      </c>
      <c r="AM76" s="623">
        <f t="shared" si="26"/>
        <v>15.5</v>
      </c>
      <c r="AN76" s="621"/>
      <c r="AO76" s="621"/>
      <c r="AP76" s="621"/>
      <c r="AQ76" s="622">
        <f t="shared" si="27"/>
        <v>10.5</v>
      </c>
      <c r="AR76" s="615">
        <f t="shared" si="36"/>
        <v>19</v>
      </c>
      <c r="AS76" s="620"/>
      <c r="AT76" s="620"/>
      <c r="AU76" s="620">
        <v>5</v>
      </c>
      <c r="AV76" s="623">
        <f t="shared" si="28"/>
        <v>5</v>
      </c>
      <c r="AW76" s="621">
        <v>3.54</v>
      </c>
      <c r="AX76" s="621">
        <v>3.56</v>
      </c>
      <c r="AY76" s="621">
        <v>90</v>
      </c>
      <c r="AZ76" s="624">
        <f t="shared" si="29"/>
        <v>-14</v>
      </c>
      <c r="BA76" s="623">
        <v>19</v>
      </c>
      <c r="BB76" s="620">
        <v>9</v>
      </c>
      <c r="BC76" s="620">
        <v>8</v>
      </c>
      <c r="BD76" s="623">
        <f t="shared" si="30"/>
        <v>17</v>
      </c>
      <c r="BE76" s="621"/>
      <c r="BF76" s="621"/>
      <c r="BG76" s="621"/>
      <c r="BH76" s="621">
        <f t="shared" si="31"/>
        <v>2</v>
      </c>
    </row>
    <row r="77" spans="1:60" ht="17.25" thickTop="1" thickBot="1" x14ac:dyDescent="0.3">
      <c r="A77" s="77">
        <v>70</v>
      </c>
      <c r="B77" s="603">
        <f t="shared" ca="1" si="19"/>
        <v>43134</v>
      </c>
      <c r="C77" s="29" t="s">
        <v>2865</v>
      </c>
      <c r="D77" s="59" t="s">
        <v>2851</v>
      </c>
      <c r="E77" s="22" t="s">
        <v>1355</v>
      </c>
      <c r="F77" s="27" t="s">
        <v>1239</v>
      </c>
      <c r="G77" s="567">
        <v>42627</v>
      </c>
      <c r="H77" s="609">
        <f t="shared" si="32"/>
        <v>0</v>
      </c>
      <c r="I77" s="620"/>
      <c r="J77" s="620"/>
      <c r="K77" s="620"/>
      <c r="L77" s="611">
        <f t="shared" si="20"/>
        <v>0</v>
      </c>
      <c r="M77" s="621"/>
      <c r="N77" s="621"/>
      <c r="O77" s="621"/>
      <c r="P77" s="622">
        <f t="shared" si="21"/>
        <v>0</v>
      </c>
      <c r="Q77" s="609">
        <f t="shared" si="33"/>
        <v>14.8</v>
      </c>
      <c r="R77" s="620"/>
      <c r="S77" s="620"/>
      <c r="T77" s="620"/>
      <c r="U77" s="611">
        <f t="shared" si="22"/>
        <v>0</v>
      </c>
      <c r="V77" s="621"/>
      <c r="W77" s="621"/>
      <c r="X77" s="621"/>
      <c r="Y77" s="622">
        <f t="shared" si="23"/>
        <v>-14.8</v>
      </c>
      <c r="Z77" s="609">
        <f t="shared" si="34"/>
        <v>14.8</v>
      </c>
      <c r="AA77" s="620">
        <v>10.9</v>
      </c>
      <c r="AB77" s="620"/>
      <c r="AC77" s="620">
        <v>9</v>
      </c>
      <c r="AD77" s="611">
        <f t="shared" si="24"/>
        <v>19.899999999999999</v>
      </c>
      <c r="AE77" s="621"/>
      <c r="AF77" s="621"/>
      <c r="AG77" s="621"/>
      <c r="AH77" s="622">
        <f t="shared" si="25"/>
        <v>5.0999999999999979</v>
      </c>
      <c r="AI77" s="609">
        <f t="shared" si="35"/>
        <v>18</v>
      </c>
      <c r="AJ77" s="620">
        <v>9.8000000000000007</v>
      </c>
      <c r="AK77" s="620"/>
      <c r="AL77" s="620">
        <v>5</v>
      </c>
      <c r="AM77" s="623">
        <f t="shared" si="26"/>
        <v>14.8</v>
      </c>
      <c r="AN77" s="621"/>
      <c r="AO77" s="621"/>
      <c r="AP77" s="621"/>
      <c r="AQ77" s="622">
        <f t="shared" si="27"/>
        <v>-3.1999999999999993</v>
      </c>
      <c r="AR77" s="615">
        <f t="shared" si="36"/>
        <v>18</v>
      </c>
      <c r="AS77" s="620">
        <v>11</v>
      </c>
      <c r="AT77" s="620"/>
      <c r="AU77" s="620">
        <v>7</v>
      </c>
      <c r="AV77" s="623">
        <f t="shared" si="28"/>
        <v>18</v>
      </c>
      <c r="AW77" s="621">
        <v>4.17</v>
      </c>
      <c r="AX77" s="621">
        <v>3.54</v>
      </c>
      <c r="AY77" s="621">
        <v>90</v>
      </c>
      <c r="AZ77" s="624">
        <f t="shared" si="29"/>
        <v>0</v>
      </c>
      <c r="BA77" s="623">
        <v>18</v>
      </c>
      <c r="BB77" s="620">
        <v>9</v>
      </c>
      <c r="BC77" s="620">
        <v>9</v>
      </c>
      <c r="BD77" s="623">
        <f t="shared" si="30"/>
        <v>18</v>
      </c>
      <c r="BE77" s="621"/>
      <c r="BF77" s="621"/>
      <c r="BG77" s="621"/>
      <c r="BH77" s="621">
        <f t="shared" si="31"/>
        <v>0</v>
      </c>
    </row>
    <row r="78" spans="1:60" ht="17.25" thickTop="1" thickBot="1" x14ac:dyDescent="0.3">
      <c r="A78" s="602">
        <v>71</v>
      </c>
      <c r="B78" s="603">
        <f t="shared" ca="1" si="19"/>
        <v>43134</v>
      </c>
      <c r="C78" s="29" t="s">
        <v>2865</v>
      </c>
      <c r="D78" s="59" t="s">
        <v>2851</v>
      </c>
      <c r="E78" s="22" t="s">
        <v>1067</v>
      </c>
      <c r="F78" s="27" t="s">
        <v>983</v>
      </c>
      <c r="G78" s="567">
        <v>42670</v>
      </c>
      <c r="H78" s="609">
        <f t="shared" si="32"/>
        <v>16.200000000000003</v>
      </c>
      <c r="I78" s="620"/>
      <c r="J78" s="620"/>
      <c r="K78" s="620"/>
      <c r="L78" s="611">
        <f t="shared" si="20"/>
        <v>0</v>
      </c>
      <c r="M78" s="621"/>
      <c r="N78" s="621"/>
      <c r="O78" s="621"/>
      <c r="P78" s="622">
        <f t="shared" si="21"/>
        <v>-16.200000000000003</v>
      </c>
      <c r="Q78" s="609">
        <f t="shared" si="33"/>
        <v>18.899999999999999</v>
      </c>
      <c r="R78" s="620">
        <v>10.8</v>
      </c>
      <c r="S78" s="620"/>
      <c r="T78" s="620">
        <v>5.4</v>
      </c>
      <c r="U78" s="611">
        <f t="shared" si="22"/>
        <v>16.200000000000003</v>
      </c>
      <c r="V78" s="621"/>
      <c r="W78" s="621"/>
      <c r="X78" s="621"/>
      <c r="Y78" s="622">
        <f t="shared" si="23"/>
        <v>-2.6999999999999957</v>
      </c>
      <c r="Z78" s="609">
        <f t="shared" si="34"/>
        <v>18.899999999999999</v>
      </c>
      <c r="AA78" s="620">
        <v>5.4</v>
      </c>
      <c r="AB78" s="620"/>
      <c r="AC78" s="620">
        <v>7</v>
      </c>
      <c r="AD78" s="611">
        <f t="shared" si="24"/>
        <v>12.4</v>
      </c>
      <c r="AE78" s="621"/>
      <c r="AF78" s="621"/>
      <c r="AG78" s="621"/>
      <c r="AH78" s="622">
        <f t="shared" si="25"/>
        <v>-6.4999999999999982</v>
      </c>
      <c r="AI78" s="609">
        <f t="shared" si="35"/>
        <v>13.6</v>
      </c>
      <c r="AJ78" s="620">
        <v>8.9</v>
      </c>
      <c r="AK78" s="620"/>
      <c r="AL78" s="620">
        <v>10</v>
      </c>
      <c r="AM78" s="623">
        <f t="shared" si="26"/>
        <v>18.899999999999999</v>
      </c>
      <c r="AN78" s="621"/>
      <c r="AO78" s="621"/>
      <c r="AP78" s="621"/>
      <c r="AQ78" s="622">
        <f t="shared" si="27"/>
        <v>5.2999999999999989</v>
      </c>
      <c r="AR78" s="615">
        <f t="shared" si="36"/>
        <v>16.5</v>
      </c>
      <c r="AS78" s="620">
        <v>8.6</v>
      </c>
      <c r="AT78" s="620"/>
      <c r="AU78" s="620">
        <v>5</v>
      </c>
      <c r="AV78" s="623">
        <f t="shared" si="28"/>
        <v>13.6</v>
      </c>
      <c r="AW78" s="621">
        <v>3.42</v>
      </c>
      <c r="AX78" s="621">
        <v>3.69</v>
      </c>
      <c r="AY78" s="621">
        <v>162</v>
      </c>
      <c r="AZ78" s="624">
        <f t="shared" si="29"/>
        <v>-2.9000000000000004</v>
      </c>
      <c r="BA78" s="623">
        <v>16.5</v>
      </c>
      <c r="BB78" s="620">
        <v>8</v>
      </c>
      <c r="BC78" s="620">
        <v>7</v>
      </c>
      <c r="BD78" s="623">
        <f t="shared" si="30"/>
        <v>15</v>
      </c>
      <c r="BE78" s="621"/>
      <c r="BF78" s="621"/>
      <c r="BG78" s="621"/>
      <c r="BH78" s="621">
        <f t="shared" si="31"/>
        <v>1.5</v>
      </c>
    </row>
    <row r="79" spans="1:60" ht="17.25" thickTop="1" thickBot="1" x14ac:dyDescent="0.3">
      <c r="A79" s="77">
        <v>72</v>
      </c>
      <c r="B79" s="603">
        <f t="shared" ca="1" si="19"/>
        <v>43134</v>
      </c>
      <c r="C79" s="29" t="s">
        <v>2865</v>
      </c>
      <c r="D79" s="59" t="s">
        <v>2851</v>
      </c>
      <c r="E79" s="22" t="s">
        <v>1076</v>
      </c>
      <c r="F79" s="27" t="s">
        <v>982</v>
      </c>
      <c r="G79" s="567">
        <v>42699</v>
      </c>
      <c r="H79" s="609">
        <f t="shared" si="32"/>
        <v>18.600000000000001</v>
      </c>
      <c r="I79" s="620">
        <v>6</v>
      </c>
      <c r="J79" s="620"/>
      <c r="K79" s="620"/>
      <c r="L79" s="611">
        <f t="shared" si="20"/>
        <v>6</v>
      </c>
      <c r="M79" s="621"/>
      <c r="N79" s="621"/>
      <c r="O79" s="621"/>
      <c r="P79" s="622">
        <f t="shared" si="21"/>
        <v>-12.600000000000001</v>
      </c>
      <c r="Q79" s="609">
        <f t="shared" si="33"/>
        <v>19</v>
      </c>
      <c r="R79" s="620">
        <v>8</v>
      </c>
      <c r="S79" s="620"/>
      <c r="T79" s="620">
        <v>10.6</v>
      </c>
      <c r="U79" s="611">
        <f t="shared" si="22"/>
        <v>18.600000000000001</v>
      </c>
      <c r="V79" s="621"/>
      <c r="W79" s="621"/>
      <c r="X79" s="621"/>
      <c r="Y79" s="622">
        <f t="shared" si="23"/>
        <v>-0.39999999999999858</v>
      </c>
      <c r="Z79" s="609">
        <f t="shared" si="34"/>
        <v>19</v>
      </c>
      <c r="AA79" s="620">
        <v>8.6</v>
      </c>
      <c r="AB79" s="620"/>
      <c r="AC79" s="620">
        <v>8</v>
      </c>
      <c r="AD79" s="611">
        <f t="shared" si="24"/>
        <v>16.600000000000001</v>
      </c>
      <c r="AE79" s="621"/>
      <c r="AF79" s="621"/>
      <c r="AG79" s="621"/>
      <c r="AH79" s="622">
        <f t="shared" si="25"/>
        <v>-2.3999999999999986</v>
      </c>
      <c r="AI79" s="609">
        <f t="shared" si="35"/>
        <v>20.9</v>
      </c>
      <c r="AJ79" s="620">
        <v>9</v>
      </c>
      <c r="AK79" s="620"/>
      <c r="AL79" s="620">
        <v>10</v>
      </c>
      <c r="AM79" s="623">
        <f t="shared" si="26"/>
        <v>19</v>
      </c>
      <c r="AN79" s="621"/>
      <c r="AO79" s="621"/>
      <c r="AP79" s="621"/>
      <c r="AQ79" s="622">
        <f t="shared" si="27"/>
        <v>-1.8999999999999986</v>
      </c>
      <c r="AR79" s="615">
        <f t="shared" si="36"/>
        <v>15.5</v>
      </c>
      <c r="AS79" s="620">
        <v>12</v>
      </c>
      <c r="AT79" s="620"/>
      <c r="AU79" s="620">
        <v>8.9</v>
      </c>
      <c r="AV79" s="623">
        <f t="shared" si="28"/>
        <v>20.9</v>
      </c>
      <c r="AW79" s="621">
        <v>3.72</v>
      </c>
      <c r="AX79" s="621">
        <v>3.29</v>
      </c>
      <c r="AY79" s="621">
        <v>90</v>
      </c>
      <c r="AZ79" s="624">
        <f t="shared" si="29"/>
        <v>5.3999999999999986</v>
      </c>
      <c r="BA79" s="623">
        <v>15.5</v>
      </c>
      <c r="BB79" s="620">
        <v>8</v>
      </c>
      <c r="BC79" s="620">
        <v>8</v>
      </c>
      <c r="BD79" s="623">
        <f t="shared" si="30"/>
        <v>16</v>
      </c>
      <c r="BE79" s="621"/>
      <c r="BF79" s="621"/>
      <c r="BG79" s="621"/>
      <c r="BH79" s="621">
        <f t="shared" si="31"/>
        <v>-0.5</v>
      </c>
    </row>
    <row r="80" spans="1:60" ht="17.25" thickTop="1" thickBot="1" x14ac:dyDescent="0.3">
      <c r="A80" s="602">
        <v>73</v>
      </c>
      <c r="B80" s="603">
        <f t="shared" ca="1" si="19"/>
        <v>43134</v>
      </c>
      <c r="C80" s="29" t="s">
        <v>2865</v>
      </c>
      <c r="D80" s="59" t="s">
        <v>2851</v>
      </c>
      <c r="E80" s="22" t="s">
        <v>1083</v>
      </c>
      <c r="F80" s="27" t="s">
        <v>980</v>
      </c>
      <c r="G80" s="567">
        <v>42731</v>
      </c>
      <c r="H80" s="609">
        <f t="shared" si="32"/>
        <v>11.6</v>
      </c>
      <c r="I80" s="620">
        <v>4</v>
      </c>
      <c r="J80" s="620"/>
      <c r="K80" s="620">
        <v>5</v>
      </c>
      <c r="L80" s="611">
        <f t="shared" si="20"/>
        <v>9</v>
      </c>
      <c r="M80" s="621"/>
      <c r="N80" s="621"/>
      <c r="O80" s="621"/>
      <c r="P80" s="622">
        <f t="shared" si="21"/>
        <v>-2.5999999999999996</v>
      </c>
      <c r="Q80" s="609">
        <f t="shared" si="33"/>
        <v>12</v>
      </c>
      <c r="R80" s="620">
        <v>4.8</v>
      </c>
      <c r="S80" s="620"/>
      <c r="T80" s="620">
        <v>6.8</v>
      </c>
      <c r="U80" s="611">
        <f t="shared" si="22"/>
        <v>11.6</v>
      </c>
      <c r="V80" s="621"/>
      <c r="W80" s="621"/>
      <c r="X80" s="621"/>
      <c r="Y80" s="622">
        <f t="shared" si="23"/>
        <v>-0.40000000000000036</v>
      </c>
      <c r="Z80" s="609">
        <f t="shared" si="34"/>
        <v>12</v>
      </c>
      <c r="AA80" s="620">
        <v>5</v>
      </c>
      <c r="AB80" s="620"/>
      <c r="AC80" s="620">
        <v>5</v>
      </c>
      <c r="AD80" s="611">
        <f t="shared" si="24"/>
        <v>10</v>
      </c>
      <c r="AE80" s="621"/>
      <c r="AF80" s="621"/>
      <c r="AG80" s="621"/>
      <c r="AH80" s="622">
        <f t="shared" si="25"/>
        <v>-2</v>
      </c>
      <c r="AI80" s="609">
        <f t="shared" si="35"/>
        <v>14.4</v>
      </c>
      <c r="AJ80" s="620">
        <v>5</v>
      </c>
      <c r="AK80" s="620"/>
      <c r="AL80" s="620">
        <v>7</v>
      </c>
      <c r="AM80" s="623">
        <f t="shared" si="26"/>
        <v>12</v>
      </c>
      <c r="AN80" s="621"/>
      <c r="AO80" s="621"/>
      <c r="AP80" s="621"/>
      <c r="AQ80" s="622">
        <f t="shared" si="27"/>
        <v>-2.4000000000000004</v>
      </c>
      <c r="AR80" s="615">
        <f t="shared" si="36"/>
        <v>25</v>
      </c>
      <c r="AS80" s="620">
        <v>8</v>
      </c>
      <c r="AT80" s="620"/>
      <c r="AU80" s="620">
        <v>6.4</v>
      </c>
      <c r="AV80" s="623">
        <f t="shared" si="28"/>
        <v>14.4</v>
      </c>
      <c r="AW80" s="621">
        <v>4.3499999999999996</v>
      </c>
      <c r="AX80" s="621">
        <v>3.1</v>
      </c>
      <c r="AY80" s="621">
        <v>90</v>
      </c>
      <c r="AZ80" s="624">
        <f t="shared" si="29"/>
        <v>-10.6</v>
      </c>
      <c r="BA80" s="623">
        <v>25</v>
      </c>
      <c r="BB80" s="620">
        <v>7</v>
      </c>
      <c r="BC80" s="620">
        <v>3</v>
      </c>
      <c r="BD80" s="623">
        <f t="shared" si="30"/>
        <v>10</v>
      </c>
      <c r="BE80" s="621"/>
      <c r="BF80" s="621"/>
      <c r="BG80" s="621"/>
      <c r="BH80" s="621">
        <f t="shared" si="31"/>
        <v>15</v>
      </c>
    </row>
    <row r="81" spans="1:60" ht="17.25" thickTop="1" thickBot="1" x14ac:dyDescent="0.3">
      <c r="A81" s="77">
        <v>74</v>
      </c>
      <c r="B81" s="603">
        <f t="shared" ca="1" si="19"/>
        <v>43134</v>
      </c>
      <c r="C81" s="29" t="s">
        <v>2865</v>
      </c>
      <c r="D81" s="59" t="s">
        <v>2851</v>
      </c>
      <c r="E81" s="22" t="s">
        <v>1066</v>
      </c>
      <c r="F81" s="27" t="s">
        <v>978</v>
      </c>
      <c r="G81" s="567">
        <v>42677</v>
      </c>
      <c r="H81" s="609">
        <f t="shared" si="32"/>
        <v>0</v>
      </c>
      <c r="I81" s="620">
        <v>11.5</v>
      </c>
      <c r="J81" s="620">
        <v>10.8</v>
      </c>
      <c r="K81" s="620">
        <v>10.5</v>
      </c>
      <c r="L81" s="611">
        <f t="shared" si="20"/>
        <v>32.799999999999997</v>
      </c>
      <c r="M81" s="621"/>
      <c r="N81" s="621"/>
      <c r="O81" s="621"/>
      <c r="P81" s="622">
        <f t="shared" si="21"/>
        <v>32.799999999999997</v>
      </c>
      <c r="Q81" s="609">
        <f t="shared" si="33"/>
        <v>27.1</v>
      </c>
      <c r="R81" s="620"/>
      <c r="S81" s="620"/>
      <c r="T81" s="620"/>
      <c r="U81" s="611">
        <f t="shared" si="22"/>
        <v>0</v>
      </c>
      <c r="V81" s="621"/>
      <c r="W81" s="621"/>
      <c r="X81" s="621"/>
      <c r="Y81" s="622">
        <f t="shared" si="23"/>
        <v>-27.1</v>
      </c>
      <c r="Z81" s="609">
        <f t="shared" si="34"/>
        <v>27.1</v>
      </c>
      <c r="AA81" s="620"/>
      <c r="AB81" s="620"/>
      <c r="AC81" s="620"/>
      <c r="AD81" s="611">
        <f t="shared" si="24"/>
        <v>0</v>
      </c>
      <c r="AE81" s="621"/>
      <c r="AF81" s="621"/>
      <c r="AG81" s="621"/>
      <c r="AH81" s="622">
        <f t="shared" si="25"/>
        <v>-27.1</v>
      </c>
      <c r="AI81" s="609">
        <f t="shared" si="35"/>
        <v>13.9</v>
      </c>
      <c r="AJ81" s="620">
        <v>17.100000000000001</v>
      </c>
      <c r="AK81" s="620"/>
      <c r="AL81" s="620">
        <v>10</v>
      </c>
      <c r="AM81" s="623">
        <f t="shared" si="26"/>
        <v>27.1</v>
      </c>
      <c r="AN81" s="621"/>
      <c r="AO81" s="621"/>
      <c r="AP81" s="621"/>
      <c r="AQ81" s="622">
        <f t="shared" si="27"/>
        <v>13.200000000000001</v>
      </c>
      <c r="AR81" s="615">
        <f t="shared" si="36"/>
        <v>22</v>
      </c>
      <c r="AS81" s="620">
        <v>4</v>
      </c>
      <c r="AT81" s="620"/>
      <c r="AU81" s="620">
        <v>9.9</v>
      </c>
      <c r="AV81" s="623">
        <f t="shared" si="28"/>
        <v>13.9</v>
      </c>
      <c r="AW81" s="621">
        <v>4.09</v>
      </c>
      <c r="AX81" s="621">
        <v>3.34</v>
      </c>
      <c r="AY81" s="621">
        <v>90</v>
      </c>
      <c r="AZ81" s="624">
        <f t="shared" si="29"/>
        <v>-8.1</v>
      </c>
      <c r="BA81" s="623">
        <v>22</v>
      </c>
      <c r="BB81" s="620">
        <v>10.5</v>
      </c>
      <c r="BC81" s="620">
        <v>10</v>
      </c>
      <c r="BD81" s="623">
        <f t="shared" si="30"/>
        <v>20.5</v>
      </c>
      <c r="BE81" s="621"/>
      <c r="BF81" s="621"/>
      <c r="BG81" s="621"/>
      <c r="BH81" s="621">
        <f t="shared" si="31"/>
        <v>1.5</v>
      </c>
    </row>
    <row r="82" spans="1:60" ht="17.25" thickTop="1" thickBot="1" x14ac:dyDescent="0.3">
      <c r="A82" s="602">
        <v>75</v>
      </c>
      <c r="B82" s="603">
        <f t="shared" ca="1" si="19"/>
        <v>43134</v>
      </c>
      <c r="C82" s="29" t="s">
        <v>2865</v>
      </c>
      <c r="D82" s="59" t="s">
        <v>2851</v>
      </c>
      <c r="E82" s="22" t="s">
        <v>1077</v>
      </c>
      <c r="F82" s="239" t="s">
        <v>977</v>
      </c>
      <c r="G82" s="567">
        <v>42712</v>
      </c>
      <c r="H82" s="609">
        <f t="shared" si="32"/>
        <v>13.600000000000001</v>
      </c>
      <c r="I82" s="620">
        <v>5</v>
      </c>
      <c r="J82" s="620"/>
      <c r="K82" s="620">
        <v>5</v>
      </c>
      <c r="L82" s="611">
        <f t="shared" si="20"/>
        <v>10</v>
      </c>
      <c r="M82" s="621"/>
      <c r="N82" s="621"/>
      <c r="O82" s="621"/>
      <c r="P82" s="622">
        <f t="shared" si="21"/>
        <v>-3.6000000000000014</v>
      </c>
      <c r="Q82" s="609">
        <f t="shared" si="33"/>
        <v>17.2</v>
      </c>
      <c r="R82" s="620">
        <v>6.2</v>
      </c>
      <c r="S82" s="620"/>
      <c r="T82" s="620">
        <v>7.4</v>
      </c>
      <c r="U82" s="611">
        <f t="shared" si="22"/>
        <v>13.600000000000001</v>
      </c>
      <c r="V82" s="621"/>
      <c r="W82" s="621"/>
      <c r="X82" s="621"/>
      <c r="Y82" s="622">
        <f t="shared" si="23"/>
        <v>-3.5999999999999979</v>
      </c>
      <c r="Z82" s="609">
        <f t="shared" si="34"/>
        <v>17.2</v>
      </c>
      <c r="AA82" s="620">
        <v>5</v>
      </c>
      <c r="AB82" s="620"/>
      <c r="AC82" s="620">
        <v>8.8000000000000007</v>
      </c>
      <c r="AD82" s="611">
        <f t="shared" si="24"/>
        <v>13.8</v>
      </c>
      <c r="AE82" s="621"/>
      <c r="AF82" s="621"/>
      <c r="AG82" s="621"/>
      <c r="AH82" s="622">
        <f t="shared" si="25"/>
        <v>-3.3999999999999986</v>
      </c>
      <c r="AI82" s="609">
        <f t="shared" si="35"/>
        <v>17.399999999999999</v>
      </c>
      <c r="AJ82" s="620">
        <v>8</v>
      </c>
      <c r="AK82" s="620"/>
      <c r="AL82" s="620">
        <v>9.1999999999999993</v>
      </c>
      <c r="AM82" s="623">
        <f t="shared" si="26"/>
        <v>17.2</v>
      </c>
      <c r="AN82" s="621"/>
      <c r="AO82" s="621"/>
      <c r="AP82" s="621"/>
      <c r="AQ82" s="622">
        <f t="shared" si="27"/>
        <v>-0.19999999999999929</v>
      </c>
      <c r="AR82" s="615">
        <f t="shared" si="36"/>
        <v>17</v>
      </c>
      <c r="AS82" s="620">
        <v>10</v>
      </c>
      <c r="AT82" s="620"/>
      <c r="AU82" s="620">
        <v>7.4</v>
      </c>
      <c r="AV82" s="623">
        <f t="shared" si="28"/>
        <v>17.399999999999999</v>
      </c>
      <c r="AW82" s="621">
        <v>4.25</v>
      </c>
      <c r="AX82" s="621">
        <v>3.63</v>
      </c>
      <c r="AY82" s="621">
        <v>90</v>
      </c>
      <c r="AZ82" s="624">
        <f t="shared" si="29"/>
        <v>0.39999999999999858</v>
      </c>
      <c r="BA82" s="623">
        <v>17</v>
      </c>
      <c r="BB82" s="620">
        <v>12</v>
      </c>
      <c r="BC82" s="620">
        <v>8</v>
      </c>
      <c r="BD82" s="623">
        <f t="shared" si="30"/>
        <v>20</v>
      </c>
      <c r="BE82" s="621"/>
      <c r="BF82" s="621"/>
      <c r="BG82" s="621"/>
      <c r="BH82" s="621">
        <f t="shared" si="31"/>
        <v>-3</v>
      </c>
    </row>
    <row r="83" spans="1:60" ht="17.25" thickTop="1" thickBot="1" x14ac:dyDescent="0.3">
      <c r="A83" s="77">
        <v>76</v>
      </c>
      <c r="B83" s="603">
        <f t="shared" ca="1" si="19"/>
        <v>43134</v>
      </c>
      <c r="C83" s="29" t="s">
        <v>2865</v>
      </c>
      <c r="D83" s="59" t="s">
        <v>2851</v>
      </c>
      <c r="E83" s="22" t="s">
        <v>1069</v>
      </c>
      <c r="F83" s="27" t="s">
        <v>991</v>
      </c>
      <c r="G83" s="567">
        <v>42679</v>
      </c>
      <c r="H83" s="609">
        <f t="shared" si="32"/>
        <v>0</v>
      </c>
      <c r="I83" s="620">
        <v>9.9</v>
      </c>
      <c r="J83" s="620">
        <v>3.5</v>
      </c>
      <c r="K83" s="620">
        <v>9.1999999999999993</v>
      </c>
      <c r="L83" s="611">
        <f t="shared" si="20"/>
        <v>22.6</v>
      </c>
      <c r="M83" s="621"/>
      <c r="N83" s="621"/>
      <c r="O83" s="621"/>
      <c r="P83" s="622">
        <f t="shared" si="21"/>
        <v>22.6</v>
      </c>
      <c r="Q83" s="609">
        <f t="shared" si="33"/>
        <v>23</v>
      </c>
      <c r="R83" s="620"/>
      <c r="S83" s="620"/>
      <c r="T83" s="620"/>
      <c r="U83" s="611">
        <f t="shared" si="22"/>
        <v>0</v>
      </c>
      <c r="V83" s="621"/>
      <c r="W83" s="621"/>
      <c r="X83" s="621"/>
      <c r="Y83" s="622">
        <f t="shared" si="23"/>
        <v>-23</v>
      </c>
      <c r="Z83" s="609">
        <f t="shared" si="34"/>
        <v>23</v>
      </c>
      <c r="AA83" s="620"/>
      <c r="AB83" s="620"/>
      <c r="AC83" s="620"/>
      <c r="AD83" s="611">
        <f t="shared" si="24"/>
        <v>0</v>
      </c>
      <c r="AE83" s="621"/>
      <c r="AF83" s="621"/>
      <c r="AG83" s="621"/>
      <c r="AH83" s="622">
        <f t="shared" si="25"/>
        <v>-23</v>
      </c>
      <c r="AI83" s="609">
        <f t="shared" si="35"/>
        <v>24</v>
      </c>
      <c r="AJ83" s="620">
        <v>13</v>
      </c>
      <c r="AK83" s="620"/>
      <c r="AL83" s="620">
        <v>10</v>
      </c>
      <c r="AM83" s="623">
        <f t="shared" si="26"/>
        <v>23</v>
      </c>
      <c r="AN83" s="621"/>
      <c r="AO83" s="621"/>
      <c r="AP83" s="621"/>
      <c r="AQ83" s="622">
        <f t="shared" si="27"/>
        <v>-1</v>
      </c>
      <c r="AR83" s="615">
        <f t="shared" si="36"/>
        <v>26</v>
      </c>
      <c r="AS83" s="620">
        <v>14</v>
      </c>
      <c r="AT83" s="620"/>
      <c r="AU83" s="620">
        <v>10</v>
      </c>
      <c r="AV83" s="623">
        <f t="shared" si="28"/>
        <v>24</v>
      </c>
      <c r="AW83" s="621">
        <v>3.41</v>
      </c>
      <c r="AX83" s="621">
        <v>3.28</v>
      </c>
      <c r="AY83" s="621">
        <v>90</v>
      </c>
      <c r="AZ83" s="624">
        <f t="shared" si="29"/>
        <v>-2</v>
      </c>
      <c r="BA83" s="623">
        <v>26</v>
      </c>
      <c r="BB83" s="620">
        <v>11</v>
      </c>
      <c r="BC83" s="620">
        <v>8</v>
      </c>
      <c r="BD83" s="623">
        <f t="shared" si="30"/>
        <v>19</v>
      </c>
      <c r="BE83" s="621"/>
      <c r="BF83" s="621"/>
      <c r="BG83" s="621"/>
      <c r="BH83" s="621">
        <f t="shared" si="31"/>
        <v>7</v>
      </c>
    </row>
    <row r="84" spans="1:60" ht="17.25" thickTop="1" thickBot="1" x14ac:dyDescent="0.3">
      <c r="A84" s="602">
        <v>77</v>
      </c>
      <c r="B84" s="603">
        <f t="shared" ca="1" si="19"/>
        <v>43134</v>
      </c>
      <c r="C84" s="29" t="s">
        <v>2865</v>
      </c>
      <c r="D84" s="59" t="s">
        <v>2851</v>
      </c>
      <c r="E84" s="22" t="s">
        <v>1090</v>
      </c>
      <c r="F84" s="239" t="s">
        <v>1001</v>
      </c>
      <c r="G84" s="567">
        <v>42755</v>
      </c>
      <c r="H84" s="609">
        <f t="shared" si="32"/>
        <v>10.6</v>
      </c>
      <c r="I84" s="620">
        <v>4</v>
      </c>
      <c r="J84" s="620"/>
      <c r="K84" s="620">
        <v>3.2</v>
      </c>
      <c r="L84" s="611">
        <f t="shared" si="20"/>
        <v>7.2</v>
      </c>
      <c r="M84" s="621"/>
      <c r="N84" s="621"/>
      <c r="O84" s="621"/>
      <c r="P84" s="622">
        <f t="shared" si="21"/>
        <v>-3.3999999999999995</v>
      </c>
      <c r="Q84" s="609">
        <f t="shared" si="33"/>
        <v>13.2</v>
      </c>
      <c r="R84" s="620">
        <v>6</v>
      </c>
      <c r="S84" s="620"/>
      <c r="T84" s="620">
        <v>4.5999999999999996</v>
      </c>
      <c r="U84" s="611">
        <f t="shared" si="22"/>
        <v>10.6</v>
      </c>
      <c r="V84" s="621"/>
      <c r="W84" s="621"/>
      <c r="X84" s="621"/>
      <c r="Y84" s="622">
        <f t="shared" si="23"/>
        <v>-2.5999999999999996</v>
      </c>
      <c r="Z84" s="609">
        <f t="shared" si="34"/>
        <v>13.2</v>
      </c>
      <c r="AA84" s="620">
        <v>13</v>
      </c>
      <c r="AB84" s="620"/>
      <c r="AC84" s="620">
        <v>6.4</v>
      </c>
      <c r="AD84" s="611">
        <f t="shared" si="24"/>
        <v>19.399999999999999</v>
      </c>
      <c r="AE84" s="621"/>
      <c r="AF84" s="621"/>
      <c r="AG84" s="621"/>
      <c r="AH84" s="622">
        <f t="shared" si="25"/>
        <v>6.1999999999999993</v>
      </c>
      <c r="AI84" s="609">
        <f t="shared" si="35"/>
        <v>19.2</v>
      </c>
      <c r="AJ84" s="620">
        <v>7.2</v>
      </c>
      <c r="AK84" s="620"/>
      <c r="AL84" s="620">
        <v>6</v>
      </c>
      <c r="AM84" s="623">
        <f t="shared" si="26"/>
        <v>13.2</v>
      </c>
      <c r="AN84" s="621"/>
      <c r="AO84" s="621"/>
      <c r="AP84" s="621"/>
      <c r="AQ84" s="622">
        <f t="shared" si="27"/>
        <v>-6</v>
      </c>
      <c r="AR84" s="615">
        <f t="shared" si="36"/>
        <v>21</v>
      </c>
      <c r="AS84" s="620">
        <v>10</v>
      </c>
      <c r="AT84" s="620"/>
      <c r="AU84" s="620">
        <v>9.1999999999999993</v>
      </c>
      <c r="AV84" s="623">
        <f t="shared" si="28"/>
        <v>19.2</v>
      </c>
      <c r="AW84" s="621">
        <v>5.14</v>
      </c>
      <c r="AX84" s="621">
        <v>3.5</v>
      </c>
      <c r="AY84" s="621">
        <v>90</v>
      </c>
      <c r="AZ84" s="624">
        <f t="shared" si="29"/>
        <v>-1.8000000000000007</v>
      </c>
      <c r="BA84" s="623">
        <v>21</v>
      </c>
      <c r="BB84" s="620">
        <v>10</v>
      </c>
      <c r="BC84" s="620">
        <v>9</v>
      </c>
      <c r="BD84" s="623">
        <f t="shared" si="30"/>
        <v>19</v>
      </c>
      <c r="BE84" s="621"/>
      <c r="BF84" s="621"/>
      <c r="BG84" s="621"/>
      <c r="BH84" s="621">
        <f t="shared" si="31"/>
        <v>2</v>
      </c>
    </row>
    <row r="85" spans="1:60" ht="17.25" thickTop="1" thickBot="1" x14ac:dyDescent="0.3">
      <c r="A85" s="77">
        <v>78</v>
      </c>
      <c r="B85" s="603">
        <f t="shared" ca="1" si="19"/>
        <v>43134</v>
      </c>
      <c r="C85" s="29" t="s">
        <v>2865</v>
      </c>
      <c r="D85" s="59" t="s">
        <v>2851</v>
      </c>
      <c r="E85" s="22" t="s">
        <v>1065</v>
      </c>
      <c r="F85" s="27" t="s">
        <v>974</v>
      </c>
      <c r="G85" s="567">
        <v>42666</v>
      </c>
      <c r="H85" s="609">
        <f t="shared" si="32"/>
        <v>15.6</v>
      </c>
      <c r="I85" s="620">
        <v>3</v>
      </c>
      <c r="J85" s="620"/>
      <c r="K85" s="620">
        <v>3.3</v>
      </c>
      <c r="L85" s="611">
        <f t="shared" si="20"/>
        <v>6.3</v>
      </c>
      <c r="M85" s="621"/>
      <c r="N85" s="621"/>
      <c r="O85" s="621"/>
      <c r="P85" s="622">
        <f t="shared" si="21"/>
        <v>-9.3000000000000007</v>
      </c>
      <c r="Q85" s="609">
        <f t="shared" si="33"/>
        <v>16</v>
      </c>
      <c r="R85" s="620">
        <v>6</v>
      </c>
      <c r="S85" s="620"/>
      <c r="T85" s="620">
        <v>9.6</v>
      </c>
      <c r="U85" s="611">
        <f t="shared" si="22"/>
        <v>15.6</v>
      </c>
      <c r="V85" s="621"/>
      <c r="W85" s="621"/>
      <c r="X85" s="621"/>
      <c r="Y85" s="622">
        <f t="shared" si="23"/>
        <v>-0.40000000000000036</v>
      </c>
      <c r="Z85" s="609">
        <f t="shared" si="34"/>
        <v>16</v>
      </c>
      <c r="AA85" s="620">
        <v>9</v>
      </c>
      <c r="AB85" s="620"/>
      <c r="AC85" s="620">
        <v>7.2</v>
      </c>
      <c r="AD85" s="611">
        <f t="shared" si="24"/>
        <v>16.2</v>
      </c>
      <c r="AE85" s="621"/>
      <c r="AF85" s="621"/>
      <c r="AG85" s="621"/>
      <c r="AH85" s="622">
        <f t="shared" si="25"/>
        <v>0.19999999999999929</v>
      </c>
      <c r="AI85" s="609">
        <f t="shared" si="35"/>
        <v>23</v>
      </c>
      <c r="AJ85" s="620">
        <v>8</v>
      </c>
      <c r="AK85" s="620"/>
      <c r="AL85" s="620">
        <v>8</v>
      </c>
      <c r="AM85" s="623">
        <f t="shared" si="26"/>
        <v>16</v>
      </c>
      <c r="AN85" s="621"/>
      <c r="AO85" s="621"/>
      <c r="AP85" s="621"/>
      <c r="AQ85" s="622">
        <f t="shared" si="27"/>
        <v>-7</v>
      </c>
      <c r="AR85" s="615">
        <f t="shared" si="36"/>
        <v>18.5</v>
      </c>
      <c r="AS85" s="620">
        <v>13</v>
      </c>
      <c r="AT85" s="620"/>
      <c r="AU85" s="620">
        <v>10</v>
      </c>
      <c r="AV85" s="623">
        <f t="shared" si="28"/>
        <v>23</v>
      </c>
      <c r="AW85" s="621">
        <v>4.83</v>
      </c>
      <c r="AX85" s="621">
        <v>3.74</v>
      </c>
      <c r="AY85" s="621">
        <v>103</v>
      </c>
      <c r="AZ85" s="624">
        <f t="shared" si="29"/>
        <v>4.5</v>
      </c>
      <c r="BA85" s="623">
        <v>18.5</v>
      </c>
      <c r="BB85" s="620">
        <v>9</v>
      </c>
      <c r="BC85" s="620">
        <v>8.1999999999999993</v>
      </c>
      <c r="BD85" s="623">
        <f t="shared" si="30"/>
        <v>17.2</v>
      </c>
      <c r="BE85" s="621"/>
      <c r="BF85" s="621"/>
      <c r="BG85" s="621"/>
      <c r="BH85" s="621">
        <f t="shared" si="31"/>
        <v>1.3000000000000007</v>
      </c>
    </row>
    <row r="86" spans="1:60" ht="17.25" thickTop="1" thickBot="1" x14ac:dyDescent="0.3">
      <c r="A86" s="602">
        <v>79</v>
      </c>
      <c r="B86" s="603">
        <f t="shared" ca="1" si="19"/>
        <v>43134</v>
      </c>
      <c r="C86" s="29" t="s">
        <v>2865</v>
      </c>
      <c r="D86" s="59" t="s">
        <v>2851</v>
      </c>
      <c r="E86" s="22" t="s">
        <v>1075</v>
      </c>
      <c r="F86" s="27" t="s">
        <v>993</v>
      </c>
      <c r="G86" s="567">
        <v>42741</v>
      </c>
      <c r="H86" s="609">
        <f t="shared" si="32"/>
        <v>12</v>
      </c>
      <c r="I86" s="620">
        <v>5</v>
      </c>
      <c r="J86" s="620"/>
      <c r="K86" s="620">
        <v>2</v>
      </c>
      <c r="L86" s="611">
        <f t="shared" si="20"/>
        <v>7</v>
      </c>
      <c r="M86" s="621"/>
      <c r="N86" s="621"/>
      <c r="O86" s="621"/>
      <c r="P86" s="622">
        <f t="shared" si="21"/>
        <v>-5</v>
      </c>
      <c r="Q86" s="609">
        <f t="shared" si="33"/>
        <v>18</v>
      </c>
      <c r="R86" s="620">
        <v>7.6</v>
      </c>
      <c r="S86" s="620"/>
      <c r="T86" s="620">
        <v>4.4000000000000004</v>
      </c>
      <c r="U86" s="611">
        <f t="shared" si="22"/>
        <v>12</v>
      </c>
      <c r="V86" s="621"/>
      <c r="W86" s="621"/>
      <c r="X86" s="621"/>
      <c r="Y86" s="622">
        <f t="shared" si="23"/>
        <v>-6</v>
      </c>
      <c r="Z86" s="609">
        <f t="shared" si="34"/>
        <v>18</v>
      </c>
      <c r="AA86" s="620">
        <v>6</v>
      </c>
      <c r="AB86" s="620"/>
      <c r="AC86" s="620">
        <v>7.4</v>
      </c>
      <c r="AD86" s="611">
        <f t="shared" si="24"/>
        <v>13.4</v>
      </c>
      <c r="AE86" s="621"/>
      <c r="AF86" s="621"/>
      <c r="AG86" s="621"/>
      <c r="AH86" s="622">
        <f t="shared" si="25"/>
        <v>-4.5999999999999996</v>
      </c>
      <c r="AI86" s="609">
        <f t="shared" si="35"/>
        <v>6</v>
      </c>
      <c r="AJ86" s="620">
        <v>11</v>
      </c>
      <c r="AK86" s="620"/>
      <c r="AL86" s="620">
        <v>7</v>
      </c>
      <c r="AM86" s="623">
        <f t="shared" si="26"/>
        <v>18</v>
      </c>
      <c r="AN86" s="621"/>
      <c r="AO86" s="621"/>
      <c r="AP86" s="621"/>
      <c r="AQ86" s="622">
        <f t="shared" si="27"/>
        <v>12</v>
      </c>
      <c r="AR86" s="615">
        <f t="shared" si="36"/>
        <v>23</v>
      </c>
      <c r="AS86" s="620">
        <v>2</v>
      </c>
      <c r="AT86" s="620"/>
      <c r="AU86" s="620">
        <v>4</v>
      </c>
      <c r="AV86" s="623">
        <f t="shared" si="28"/>
        <v>6</v>
      </c>
      <c r="AW86" s="621">
        <v>3.06</v>
      </c>
      <c r="AX86" s="621">
        <v>3.47</v>
      </c>
      <c r="AY86" s="621">
        <v>90</v>
      </c>
      <c r="AZ86" s="624">
        <f t="shared" si="29"/>
        <v>-17</v>
      </c>
      <c r="BA86" s="623">
        <v>23</v>
      </c>
      <c r="BB86" s="620">
        <v>8.3000000000000007</v>
      </c>
      <c r="BC86" s="620">
        <v>6</v>
      </c>
      <c r="BD86" s="623">
        <f t="shared" si="30"/>
        <v>14.3</v>
      </c>
      <c r="BE86" s="621"/>
      <c r="BF86" s="621"/>
      <c r="BG86" s="621"/>
      <c r="BH86" s="621">
        <f t="shared" si="31"/>
        <v>8.6999999999999993</v>
      </c>
    </row>
    <row r="87" spans="1:60" ht="17.25" thickTop="1" thickBot="1" x14ac:dyDescent="0.3">
      <c r="A87" s="77">
        <v>80</v>
      </c>
      <c r="B87" s="603">
        <f t="shared" ca="1" si="19"/>
        <v>43134</v>
      </c>
      <c r="C87" s="29" t="s">
        <v>2865</v>
      </c>
      <c r="D87" s="59" t="s">
        <v>2851</v>
      </c>
      <c r="E87" s="22" t="s">
        <v>1073</v>
      </c>
      <c r="F87" s="27" t="s">
        <v>994</v>
      </c>
      <c r="G87" s="567">
        <v>42690</v>
      </c>
      <c r="H87" s="609">
        <f t="shared" si="32"/>
        <v>19.600000000000001</v>
      </c>
      <c r="I87" s="620">
        <v>8</v>
      </c>
      <c r="J87" s="620"/>
      <c r="K87" s="620"/>
      <c r="L87" s="611">
        <f t="shared" si="20"/>
        <v>8</v>
      </c>
      <c r="M87" s="621"/>
      <c r="N87" s="621"/>
      <c r="O87" s="621"/>
      <c r="P87" s="622">
        <f t="shared" si="21"/>
        <v>-11.600000000000001</v>
      </c>
      <c r="Q87" s="609">
        <f t="shared" si="33"/>
        <v>17.799999999999997</v>
      </c>
      <c r="R87" s="620">
        <v>11.8</v>
      </c>
      <c r="S87" s="620"/>
      <c r="T87" s="620">
        <v>7.8</v>
      </c>
      <c r="U87" s="611">
        <f t="shared" si="22"/>
        <v>19.600000000000001</v>
      </c>
      <c r="V87" s="621"/>
      <c r="W87" s="621"/>
      <c r="X87" s="621"/>
      <c r="Y87" s="622">
        <f t="shared" si="23"/>
        <v>1.8000000000000043</v>
      </c>
      <c r="Z87" s="609">
        <f t="shared" si="34"/>
        <v>17.799999999999997</v>
      </c>
      <c r="AA87" s="620">
        <v>11</v>
      </c>
      <c r="AB87" s="620"/>
      <c r="AC87" s="620">
        <v>8.8000000000000007</v>
      </c>
      <c r="AD87" s="611">
        <f t="shared" si="24"/>
        <v>19.8</v>
      </c>
      <c r="AE87" s="621"/>
      <c r="AF87" s="621"/>
      <c r="AG87" s="621"/>
      <c r="AH87" s="622">
        <f t="shared" si="25"/>
        <v>2.0000000000000036</v>
      </c>
      <c r="AI87" s="609">
        <f t="shared" si="35"/>
        <v>22</v>
      </c>
      <c r="AJ87" s="620">
        <v>9.1999999999999993</v>
      </c>
      <c r="AK87" s="620"/>
      <c r="AL87" s="620">
        <v>8.6</v>
      </c>
      <c r="AM87" s="623">
        <f t="shared" si="26"/>
        <v>17.799999999999997</v>
      </c>
      <c r="AN87" s="621"/>
      <c r="AO87" s="621"/>
      <c r="AP87" s="621"/>
      <c r="AQ87" s="622">
        <f t="shared" si="27"/>
        <v>-4.2000000000000028</v>
      </c>
      <c r="AR87" s="615">
        <f t="shared" si="36"/>
        <v>18</v>
      </c>
      <c r="AS87" s="620">
        <v>14</v>
      </c>
      <c r="AT87" s="620"/>
      <c r="AU87" s="620">
        <v>8</v>
      </c>
      <c r="AV87" s="623">
        <f t="shared" si="28"/>
        <v>22</v>
      </c>
      <c r="AW87" s="621">
        <v>4.18</v>
      </c>
      <c r="AX87" s="621">
        <v>3.53</v>
      </c>
      <c r="AY87" s="621">
        <v>90</v>
      </c>
      <c r="AZ87" s="624">
        <f t="shared" si="29"/>
        <v>4</v>
      </c>
      <c r="BA87" s="623">
        <v>18</v>
      </c>
      <c r="BB87" s="620">
        <v>9.5</v>
      </c>
      <c r="BC87" s="620">
        <v>8</v>
      </c>
      <c r="BD87" s="623">
        <f t="shared" si="30"/>
        <v>17.5</v>
      </c>
      <c r="BE87" s="621"/>
      <c r="BF87" s="621"/>
      <c r="BG87" s="621"/>
      <c r="BH87" s="621">
        <f t="shared" si="31"/>
        <v>0.5</v>
      </c>
    </row>
    <row r="88" spans="1:60" ht="17.25" thickTop="1" thickBot="1" x14ac:dyDescent="0.3">
      <c r="A88" s="602">
        <v>81</v>
      </c>
      <c r="B88" s="603">
        <f t="shared" ca="1" si="19"/>
        <v>43134</v>
      </c>
      <c r="C88" s="29" t="s">
        <v>2865</v>
      </c>
      <c r="D88" s="59" t="s">
        <v>2851</v>
      </c>
      <c r="E88" s="22" t="s">
        <v>1089</v>
      </c>
      <c r="F88" s="27" t="s">
        <v>1000</v>
      </c>
      <c r="G88" s="567">
        <v>42734</v>
      </c>
      <c r="H88" s="609">
        <f t="shared" si="32"/>
        <v>0</v>
      </c>
      <c r="I88" s="620"/>
      <c r="J88" s="620"/>
      <c r="K88" s="620"/>
      <c r="L88" s="611">
        <f t="shared" si="20"/>
        <v>0</v>
      </c>
      <c r="M88" s="621"/>
      <c r="N88" s="621"/>
      <c r="O88" s="621"/>
      <c r="P88" s="622">
        <f t="shared" si="21"/>
        <v>0</v>
      </c>
      <c r="Q88" s="609">
        <f t="shared" si="33"/>
        <v>14.2</v>
      </c>
      <c r="R88" s="620"/>
      <c r="S88" s="620"/>
      <c r="T88" s="620"/>
      <c r="U88" s="611">
        <f t="shared" si="22"/>
        <v>0</v>
      </c>
      <c r="V88" s="621"/>
      <c r="W88" s="621"/>
      <c r="X88" s="621"/>
      <c r="Y88" s="622">
        <f t="shared" si="23"/>
        <v>-14.2</v>
      </c>
      <c r="Z88" s="609">
        <f t="shared" si="34"/>
        <v>14.2</v>
      </c>
      <c r="AA88" s="620">
        <v>11.2</v>
      </c>
      <c r="AB88" s="620"/>
      <c r="AC88" s="620">
        <v>10.4</v>
      </c>
      <c r="AD88" s="611">
        <f t="shared" si="24"/>
        <v>21.6</v>
      </c>
      <c r="AE88" s="621"/>
      <c r="AF88" s="621"/>
      <c r="AG88" s="621"/>
      <c r="AH88" s="622">
        <f t="shared" si="25"/>
        <v>7.4000000000000021</v>
      </c>
      <c r="AI88" s="609">
        <f t="shared" si="35"/>
        <v>19.2</v>
      </c>
      <c r="AJ88" s="620">
        <v>11.2</v>
      </c>
      <c r="AK88" s="620"/>
      <c r="AL88" s="620">
        <v>3</v>
      </c>
      <c r="AM88" s="623">
        <f t="shared" si="26"/>
        <v>14.2</v>
      </c>
      <c r="AN88" s="621"/>
      <c r="AO88" s="621"/>
      <c r="AP88" s="621"/>
      <c r="AQ88" s="622">
        <f t="shared" si="27"/>
        <v>-5</v>
      </c>
      <c r="AR88" s="615">
        <f t="shared" si="36"/>
        <v>26</v>
      </c>
      <c r="AS88" s="620">
        <v>12</v>
      </c>
      <c r="AT88" s="620"/>
      <c r="AU88" s="620">
        <v>7.2</v>
      </c>
      <c r="AV88" s="623">
        <f t="shared" si="28"/>
        <v>19.2</v>
      </c>
      <c r="AW88" s="621"/>
      <c r="AX88" s="621"/>
      <c r="AY88" s="621"/>
      <c r="AZ88" s="624">
        <f t="shared" si="29"/>
        <v>-6.8000000000000007</v>
      </c>
      <c r="BA88" s="623">
        <v>26</v>
      </c>
      <c r="BB88" s="620">
        <v>9</v>
      </c>
      <c r="BC88" s="620">
        <v>9</v>
      </c>
      <c r="BD88" s="623">
        <f t="shared" si="30"/>
        <v>18</v>
      </c>
      <c r="BE88" s="621"/>
      <c r="BF88" s="621"/>
      <c r="BG88" s="621"/>
      <c r="BH88" s="621">
        <f t="shared" si="31"/>
        <v>8</v>
      </c>
    </row>
    <row r="89" spans="1:60" ht="17.25" thickTop="1" thickBot="1" x14ac:dyDescent="0.3">
      <c r="A89" s="77">
        <v>82</v>
      </c>
      <c r="B89" s="603">
        <f t="shared" ca="1" si="19"/>
        <v>43134</v>
      </c>
      <c r="C89" s="29" t="s">
        <v>2865</v>
      </c>
      <c r="D89" s="59" t="s">
        <v>2851</v>
      </c>
      <c r="E89" s="22" t="s">
        <v>2365</v>
      </c>
      <c r="F89" s="27" t="s">
        <v>975</v>
      </c>
      <c r="G89" s="567">
        <v>42668</v>
      </c>
      <c r="H89" s="609">
        <f t="shared" si="32"/>
        <v>15.8</v>
      </c>
      <c r="I89" s="620">
        <v>6.8</v>
      </c>
      <c r="J89" s="620"/>
      <c r="K89" s="620"/>
      <c r="L89" s="611">
        <f t="shared" si="20"/>
        <v>6.8</v>
      </c>
      <c r="M89" s="621"/>
      <c r="N89" s="621"/>
      <c r="O89" s="621"/>
      <c r="P89" s="622">
        <f t="shared" si="21"/>
        <v>-9</v>
      </c>
      <c r="Q89" s="609">
        <f t="shared" si="33"/>
        <v>16.600000000000001</v>
      </c>
      <c r="R89" s="620">
        <v>7.4</v>
      </c>
      <c r="S89" s="620"/>
      <c r="T89" s="620">
        <v>8.4</v>
      </c>
      <c r="U89" s="611">
        <f t="shared" si="22"/>
        <v>15.8</v>
      </c>
      <c r="V89" s="621"/>
      <c r="W89" s="621"/>
      <c r="X89" s="621"/>
      <c r="Y89" s="622">
        <f t="shared" si="23"/>
        <v>-0.80000000000000071</v>
      </c>
      <c r="Z89" s="609">
        <f t="shared" si="34"/>
        <v>16.600000000000001</v>
      </c>
      <c r="AA89" s="620">
        <v>9</v>
      </c>
      <c r="AB89" s="620"/>
      <c r="AC89" s="620">
        <v>6.2</v>
      </c>
      <c r="AD89" s="611">
        <f t="shared" si="24"/>
        <v>15.2</v>
      </c>
      <c r="AE89" s="621"/>
      <c r="AF89" s="621"/>
      <c r="AG89" s="621"/>
      <c r="AH89" s="622">
        <f t="shared" si="25"/>
        <v>-1.4000000000000021</v>
      </c>
      <c r="AI89" s="609">
        <f t="shared" si="35"/>
        <v>16</v>
      </c>
      <c r="AJ89" s="620">
        <v>8.6</v>
      </c>
      <c r="AK89" s="620"/>
      <c r="AL89" s="620">
        <v>8</v>
      </c>
      <c r="AM89" s="623">
        <f t="shared" si="26"/>
        <v>16.600000000000001</v>
      </c>
      <c r="AN89" s="621"/>
      <c r="AO89" s="621"/>
      <c r="AP89" s="621"/>
      <c r="AQ89" s="622">
        <f t="shared" si="27"/>
        <v>0.60000000000000142</v>
      </c>
      <c r="AR89" s="615">
        <f t="shared" si="36"/>
        <v>18</v>
      </c>
      <c r="AS89" s="620">
        <v>12</v>
      </c>
      <c r="AT89" s="620"/>
      <c r="AU89" s="620">
        <v>4</v>
      </c>
      <c r="AV89" s="623">
        <f t="shared" si="28"/>
        <v>16</v>
      </c>
      <c r="AW89" s="621">
        <v>5.53</v>
      </c>
      <c r="AX89" s="621">
        <v>3.93</v>
      </c>
      <c r="AY89" s="621">
        <v>202</v>
      </c>
      <c r="AZ89" s="624">
        <f t="shared" si="29"/>
        <v>-2</v>
      </c>
      <c r="BA89" s="623">
        <v>18</v>
      </c>
      <c r="BB89" s="620">
        <v>10.199999999999999</v>
      </c>
      <c r="BC89" s="620">
        <v>8.1</v>
      </c>
      <c r="BD89" s="623">
        <f t="shared" si="30"/>
        <v>18.299999999999997</v>
      </c>
      <c r="BE89" s="621"/>
      <c r="BF89" s="621"/>
      <c r="BG89" s="621"/>
      <c r="BH89" s="621">
        <f t="shared" si="31"/>
        <v>-0.29999999999999716</v>
      </c>
    </row>
    <row r="90" spans="1:60" ht="17.25" thickTop="1" thickBot="1" x14ac:dyDescent="0.3">
      <c r="A90" s="602">
        <v>83</v>
      </c>
      <c r="B90" s="603">
        <f t="shared" ca="1" si="19"/>
        <v>43134</v>
      </c>
      <c r="C90" s="29" t="s">
        <v>2865</v>
      </c>
      <c r="D90" s="59" t="s">
        <v>2851</v>
      </c>
      <c r="E90" s="22" t="s">
        <v>1072</v>
      </c>
      <c r="F90" s="239" t="s">
        <v>973</v>
      </c>
      <c r="G90" s="567">
        <v>42661</v>
      </c>
      <c r="H90" s="609">
        <f t="shared" si="32"/>
        <v>0</v>
      </c>
      <c r="I90" s="620">
        <v>9.1999999999999993</v>
      </c>
      <c r="J90" s="620">
        <v>10.1</v>
      </c>
      <c r="K90" s="620">
        <v>10.8</v>
      </c>
      <c r="L90" s="611">
        <f t="shared" si="20"/>
        <v>30.099999999999998</v>
      </c>
      <c r="M90" s="621"/>
      <c r="N90" s="621"/>
      <c r="O90" s="621"/>
      <c r="P90" s="622">
        <f t="shared" si="21"/>
        <v>30.099999999999998</v>
      </c>
      <c r="Q90" s="609">
        <f t="shared" si="33"/>
        <v>23.8</v>
      </c>
      <c r="R90" s="620"/>
      <c r="S90" s="620"/>
      <c r="T90" s="620"/>
      <c r="U90" s="611">
        <f t="shared" si="22"/>
        <v>0</v>
      </c>
      <c r="V90" s="621"/>
      <c r="W90" s="621"/>
      <c r="X90" s="621"/>
      <c r="Y90" s="622">
        <f t="shared" si="23"/>
        <v>-23.8</v>
      </c>
      <c r="Z90" s="609">
        <f t="shared" si="34"/>
        <v>23.8</v>
      </c>
      <c r="AA90" s="620"/>
      <c r="AB90" s="620"/>
      <c r="AC90" s="620"/>
      <c r="AD90" s="611">
        <f t="shared" si="24"/>
        <v>0</v>
      </c>
      <c r="AE90" s="621"/>
      <c r="AF90" s="621"/>
      <c r="AG90" s="621"/>
      <c r="AH90" s="622">
        <f t="shared" si="25"/>
        <v>-23.8</v>
      </c>
      <c r="AI90" s="609">
        <f t="shared" si="35"/>
        <v>20</v>
      </c>
      <c r="AJ90" s="620">
        <v>13</v>
      </c>
      <c r="AK90" s="620"/>
      <c r="AL90" s="620">
        <v>10.8</v>
      </c>
      <c r="AM90" s="623">
        <f t="shared" si="26"/>
        <v>23.8</v>
      </c>
      <c r="AN90" s="621"/>
      <c r="AO90" s="621"/>
      <c r="AP90" s="621"/>
      <c r="AQ90" s="622">
        <f t="shared" si="27"/>
        <v>3.8000000000000007</v>
      </c>
      <c r="AR90" s="615">
        <f t="shared" si="36"/>
        <v>20</v>
      </c>
      <c r="AS90" s="620">
        <v>15</v>
      </c>
      <c r="AT90" s="620"/>
      <c r="AU90" s="620">
        <v>5</v>
      </c>
      <c r="AV90" s="623">
        <f t="shared" si="28"/>
        <v>20</v>
      </c>
      <c r="AW90" s="621">
        <v>4.51</v>
      </c>
      <c r="AX90" s="621">
        <v>3.09</v>
      </c>
      <c r="AY90" s="621">
        <v>90</v>
      </c>
      <c r="AZ90" s="624">
        <f t="shared" si="29"/>
        <v>0</v>
      </c>
      <c r="BA90" s="623">
        <v>20</v>
      </c>
      <c r="BB90" s="620">
        <v>11</v>
      </c>
      <c r="BC90" s="620">
        <v>7</v>
      </c>
      <c r="BD90" s="623">
        <f t="shared" si="30"/>
        <v>18</v>
      </c>
      <c r="BE90" s="621"/>
      <c r="BF90" s="621"/>
      <c r="BG90" s="621"/>
      <c r="BH90" s="621">
        <f t="shared" si="31"/>
        <v>2</v>
      </c>
    </row>
    <row r="91" spans="1:60" ht="17.25" thickTop="1" thickBot="1" x14ac:dyDescent="0.3">
      <c r="A91" s="77">
        <v>84</v>
      </c>
      <c r="B91" s="603">
        <f t="shared" ca="1" si="19"/>
        <v>43134</v>
      </c>
      <c r="C91" s="29" t="s">
        <v>2865</v>
      </c>
      <c r="D91" s="59" t="s">
        <v>2851</v>
      </c>
      <c r="E91" s="22" t="s">
        <v>1080</v>
      </c>
      <c r="F91" s="27" t="s">
        <v>997</v>
      </c>
      <c r="G91" s="567">
        <v>42722</v>
      </c>
      <c r="H91" s="609">
        <f t="shared" si="32"/>
        <v>12</v>
      </c>
      <c r="I91" s="620">
        <v>4.4000000000000004</v>
      </c>
      <c r="J91" s="620"/>
      <c r="K91" s="620">
        <v>3.3</v>
      </c>
      <c r="L91" s="611">
        <f t="shared" si="20"/>
        <v>7.7</v>
      </c>
      <c r="M91" s="621"/>
      <c r="N91" s="621"/>
      <c r="O91" s="621"/>
      <c r="P91" s="622">
        <f t="shared" si="21"/>
        <v>-4.3</v>
      </c>
      <c r="Q91" s="609">
        <f t="shared" si="33"/>
        <v>16.8</v>
      </c>
      <c r="R91" s="620">
        <v>7</v>
      </c>
      <c r="S91" s="620"/>
      <c r="T91" s="620">
        <v>5</v>
      </c>
      <c r="U91" s="611">
        <f t="shared" si="22"/>
        <v>12</v>
      </c>
      <c r="V91" s="621"/>
      <c r="W91" s="621"/>
      <c r="X91" s="621"/>
      <c r="Y91" s="622">
        <f t="shared" si="23"/>
        <v>-4.8000000000000007</v>
      </c>
      <c r="Z91" s="609">
        <f t="shared" si="34"/>
        <v>16.8</v>
      </c>
      <c r="AA91" s="620">
        <v>6</v>
      </c>
      <c r="AB91" s="620"/>
      <c r="AC91" s="620">
        <v>7</v>
      </c>
      <c r="AD91" s="611">
        <f t="shared" si="24"/>
        <v>13</v>
      </c>
      <c r="AE91" s="621"/>
      <c r="AF91" s="621"/>
      <c r="AG91" s="621"/>
      <c r="AH91" s="622">
        <f t="shared" si="25"/>
        <v>-3.8000000000000007</v>
      </c>
      <c r="AI91" s="609">
        <f t="shared" si="35"/>
        <v>17.399999999999999</v>
      </c>
      <c r="AJ91" s="620">
        <v>9</v>
      </c>
      <c r="AK91" s="620"/>
      <c r="AL91" s="620">
        <v>7.8</v>
      </c>
      <c r="AM91" s="623">
        <f t="shared" si="26"/>
        <v>16.8</v>
      </c>
      <c r="AN91" s="621"/>
      <c r="AO91" s="621"/>
      <c r="AP91" s="621"/>
      <c r="AQ91" s="622">
        <f t="shared" si="27"/>
        <v>-0.59999999999999787</v>
      </c>
      <c r="AR91" s="615">
        <f t="shared" si="36"/>
        <v>21</v>
      </c>
      <c r="AS91" s="620">
        <v>9.1999999999999993</v>
      </c>
      <c r="AT91" s="620"/>
      <c r="AU91" s="620">
        <v>8.1999999999999993</v>
      </c>
      <c r="AV91" s="623">
        <f t="shared" si="28"/>
        <v>17.399999999999999</v>
      </c>
      <c r="AW91" s="621">
        <v>4.28</v>
      </c>
      <c r="AX91" s="621">
        <v>3.5</v>
      </c>
      <c r="AY91" s="621">
        <v>90</v>
      </c>
      <c r="AZ91" s="624">
        <f t="shared" si="29"/>
        <v>-3.6000000000000014</v>
      </c>
      <c r="BA91" s="623">
        <v>21</v>
      </c>
      <c r="BB91" s="620">
        <v>6.5</v>
      </c>
      <c r="BC91" s="620">
        <v>7.5</v>
      </c>
      <c r="BD91" s="623">
        <f t="shared" si="30"/>
        <v>14</v>
      </c>
      <c r="BE91" s="621"/>
      <c r="BF91" s="621"/>
      <c r="BG91" s="621"/>
      <c r="BH91" s="621">
        <f t="shared" si="31"/>
        <v>7</v>
      </c>
    </row>
    <row r="92" spans="1:60" ht="17.25" thickTop="1" thickBot="1" x14ac:dyDescent="0.3">
      <c r="A92" s="602">
        <v>85</v>
      </c>
      <c r="B92" s="603">
        <f t="shared" ca="1" si="19"/>
        <v>43134</v>
      </c>
      <c r="C92" s="29" t="s">
        <v>2865</v>
      </c>
      <c r="D92" s="59" t="s">
        <v>2851</v>
      </c>
      <c r="E92" s="22" t="s">
        <v>1068</v>
      </c>
      <c r="F92" s="27" t="s">
        <v>985</v>
      </c>
      <c r="G92" s="567">
        <v>42685</v>
      </c>
      <c r="H92" s="609">
        <f t="shared" si="32"/>
        <v>15.5</v>
      </c>
      <c r="I92" s="620"/>
      <c r="J92" s="620"/>
      <c r="K92" s="620"/>
      <c r="L92" s="611">
        <f t="shared" si="20"/>
        <v>0</v>
      </c>
      <c r="M92" s="621"/>
      <c r="N92" s="621"/>
      <c r="O92" s="621"/>
      <c r="P92" s="622">
        <f t="shared" si="21"/>
        <v>-15.5</v>
      </c>
      <c r="Q92" s="609">
        <f t="shared" si="33"/>
        <v>26.2</v>
      </c>
      <c r="R92" s="620">
        <v>7.2</v>
      </c>
      <c r="S92" s="620"/>
      <c r="T92" s="620">
        <v>8.3000000000000007</v>
      </c>
      <c r="U92" s="611">
        <f t="shared" si="22"/>
        <v>15.5</v>
      </c>
      <c r="V92" s="621"/>
      <c r="W92" s="621"/>
      <c r="X92" s="621"/>
      <c r="Y92" s="622">
        <f t="shared" si="23"/>
        <v>-10.7</v>
      </c>
      <c r="Z92" s="609">
        <f t="shared" si="34"/>
        <v>26.2</v>
      </c>
      <c r="AA92" s="620">
        <v>13.2</v>
      </c>
      <c r="AB92" s="620"/>
      <c r="AC92" s="620">
        <v>9</v>
      </c>
      <c r="AD92" s="611">
        <f t="shared" si="24"/>
        <v>22.2</v>
      </c>
      <c r="AE92" s="621"/>
      <c r="AF92" s="621"/>
      <c r="AG92" s="621"/>
      <c r="AH92" s="622">
        <f t="shared" si="25"/>
        <v>-4</v>
      </c>
      <c r="AI92" s="609">
        <f t="shared" si="35"/>
        <v>25.5</v>
      </c>
      <c r="AJ92" s="620">
        <v>13.2</v>
      </c>
      <c r="AK92" s="620"/>
      <c r="AL92" s="620">
        <v>13</v>
      </c>
      <c r="AM92" s="623">
        <f t="shared" si="26"/>
        <v>26.2</v>
      </c>
      <c r="AN92" s="621"/>
      <c r="AO92" s="621"/>
      <c r="AP92" s="621"/>
      <c r="AQ92" s="622">
        <f t="shared" si="27"/>
        <v>0.69999999999999929</v>
      </c>
      <c r="AR92" s="615">
        <f t="shared" si="36"/>
        <v>29</v>
      </c>
      <c r="AS92" s="620">
        <v>13</v>
      </c>
      <c r="AT92" s="620"/>
      <c r="AU92" s="620">
        <v>12.5</v>
      </c>
      <c r="AV92" s="623">
        <f t="shared" si="28"/>
        <v>25.5</v>
      </c>
      <c r="AW92" s="621">
        <v>3.53</v>
      </c>
      <c r="AX92" s="621">
        <v>3.36</v>
      </c>
      <c r="AY92" s="621">
        <v>90</v>
      </c>
      <c r="AZ92" s="624">
        <f t="shared" si="29"/>
        <v>-3.5</v>
      </c>
      <c r="BA92" s="623">
        <v>29</v>
      </c>
      <c r="BB92" s="620">
        <v>11</v>
      </c>
      <c r="BC92" s="620">
        <v>10</v>
      </c>
      <c r="BD92" s="623">
        <f t="shared" si="30"/>
        <v>21</v>
      </c>
      <c r="BE92" s="621"/>
      <c r="BF92" s="621"/>
      <c r="BG92" s="621"/>
      <c r="BH92" s="621">
        <f t="shared" si="31"/>
        <v>8</v>
      </c>
    </row>
    <row r="93" spans="1:60" ht="17.25" thickTop="1" thickBot="1" x14ac:dyDescent="0.3">
      <c r="A93" s="77">
        <v>86</v>
      </c>
      <c r="B93" s="603">
        <f t="shared" ca="1" si="19"/>
        <v>43134</v>
      </c>
      <c r="C93" s="29" t="s">
        <v>2865</v>
      </c>
      <c r="D93" s="59" t="s">
        <v>2851</v>
      </c>
      <c r="E93" s="22" t="s">
        <v>1091</v>
      </c>
      <c r="F93" s="27" t="s">
        <v>998</v>
      </c>
      <c r="G93" s="567">
        <v>42738</v>
      </c>
      <c r="H93" s="609">
        <f t="shared" si="32"/>
        <v>15</v>
      </c>
      <c r="I93" s="620"/>
      <c r="J93" s="620"/>
      <c r="K93" s="620"/>
      <c r="L93" s="611">
        <f t="shared" si="20"/>
        <v>0</v>
      </c>
      <c r="M93" s="621"/>
      <c r="N93" s="621"/>
      <c r="O93" s="621"/>
      <c r="P93" s="622">
        <f t="shared" si="21"/>
        <v>-15</v>
      </c>
      <c r="Q93" s="609">
        <f t="shared" si="33"/>
        <v>13.3</v>
      </c>
      <c r="R93" s="620">
        <v>8</v>
      </c>
      <c r="S93" s="620"/>
      <c r="T93" s="620">
        <v>7</v>
      </c>
      <c r="U93" s="611">
        <f t="shared" si="22"/>
        <v>15</v>
      </c>
      <c r="V93" s="621"/>
      <c r="W93" s="621"/>
      <c r="X93" s="621"/>
      <c r="Y93" s="622">
        <f t="shared" si="23"/>
        <v>1.6999999999999993</v>
      </c>
      <c r="Z93" s="609">
        <f t="shared" si="34"/>
        <v>13.3</v>
      </c>
      <c r="AA93" s="620">
        <v>8</v>
      </c>
      <c r="AB93" s="620"/>
      <c r="AC93" s="620">
        <v>5.8</v>
      </c>
      <c r="AD93" s="611">
        <f t="shared" si="24"/>
        <v>13.8</v>
      </c>
      <c r="AE93" s="621"/>
      <c r="AF93" s="621"/>
      <c r="AG93" s="621"/>
      <c r="AH93" s="622">
        <f t="shared" si="25"/>
        <v>0.5</v>
      </c>
      <c r="AI93" s="609">
        <f t="shared" si="35"/>
        <v>21</v>
      </c>
      <c r="AJ93" s="620">
        <v>11.1</v>
      </c>
      <c r="AK93" s="620"/>
      <c r="AL93" s="620">
        <v>2.2000000000000002</v>
      </c>
      <c r="AM93" s="623">
        <f t="shared" si="26"/>
        <v>13.3</v>
      </c>
      <c r="AN93" s="621"/>
      <c r="AO93" s="621"/>
      <c r="AP93" s="621"/>
      <c r="AQ93" s="622">
        <f t="shared" si="27"/>
        <v>-7.6999999999999993</v>
      </c>
      <c r="AR93" s="615">
        <f t="shared" si="36"/>
        <v>26</v>
      </c>
      <c r="AS93" s="620">
        <v>12</v>
      </c>
      <c r="AT93" s="620"/>
      <c r="AU93" s="620">
        <v>9</v>
      </c>
      <c r="AV93" s="623">
        <f t="shared" si="28"/>
        <v>21</v>
      </c>
      <c r="AW93" s="621">
        <v>3.35</v>
      </c>
      <c r="AX93" s="621">
        <v>3.47</v>
      </c>
      <c r="AY93" s="621">
        <v>90</v>
      </c>
      <c r="AZ93" s="624">
        <f t="shared" si="29"/>
        <v>-5</v>
      </c>
      <c r="BA93" s="623">
        <v>26</v>
      </c>
      <c r="BB93" s="620">
        <v>11</v>
      </c>
      <c r="BC93" s="620">
        <v>11.2</v>
      </c>
      <c r="BD93" s="623">
        <f t="shared" si="30"/>
        <v>22.2</v>
      </c>
      <c r="BE93" s="621"/>
      <c r="BF93" s="621"/>
      <c r="BG93" s="621"/>
      <c r="BH93" s="621">
        <f t="shared" si="31"/>
        <v>3.8000000000000007</v>
      </c>
    </row>
    <row r="94" spans="1:60" ht="17.25" thickTop="1" thickBot="1" x14ac:dyDescent="0.3">
      <c r="A94" s="602">
        <v>87</v>
      </c>
      <c r="B94" s="603">
        <f t="shared" ca="1" si="19"/>
        <v>43134</v>
      </c>
      <c r="C94" s="29" t="s">
        <v>2865</v>
      </c>
      <c r="D94" s="59" t="s">
        <v>2851</v>
      </c>
      <c r="E94" s="22" t="s">
        <v>1081</v>
      </c>
      <c r="F94" s="27" t="s">
        <v>618</v>
      </c>
      <c r="G94" s="567">
        <v>42727</v>
      </c>
      <c r="H94" s="609">
        <f t="shared" si="32"/>
        <v>22.4</v>
      </c>
      <c r="I94" s="620">
        <v>8.6</v>
      </c>
      <c r="J94" s="620"/>
      <c r="K94" s="620">
        <v>6.3</v>
      </c>
      <c r="L94" s="611">
        <f t="shared" si="20"/>
        <v>14.899999999999999</v>
      </c>
      <c r="M94" s="621"/>
      <c r="N94" s="621"/>
      <c r="O94" s="621"/>
      <c r="P94" s="622">
        <f t="shared" si="21"/>
        <v>-7.5</v>
      </c>
      <c r="Q94" s="609">
        <f t="shared" si="33"/>
        <v>20.399999999999999</v>
      </c>
      <c r="R94" s="620">
        <v>6.4</v>
      </c>
      <c r="S94" s="620"/>
      <c r="T94" s="620">
        <v>16</v>
      </c>
      <c r="U94" s="611">
        <f t="shared" si="22"/>
        <v>22.4</v>
      </c>
      <c r="V94" s="621"/>
      <c r="W94" s="621"/>
      <c r="X94" s="621"/>
      <c r="Y94" s="622">
        <f t="shared" si="23"/>
        <v>2</v>
      </c>
      <c r="Z94" s="609">
        <f t="shared" si="34"/>
        <v>20.399999999999999</v>
      </c>
      <c r="AA94" s="620">
        <v>11</v>
      </c>
      <c r="AB94" s="620"/>
      <c r="AC94" s="620">
        <v>9.4</v>
      </c>
      <c r="AD94" s="611">
        <f t="shared" si="24"/>
        <v>20.399999999999999</v>
      </c>
      <c r="AE94" s="621"/>
      <c r="AF94" s="621"/>
      <c r="AG94" s="621"/>
      <c r="AH94" s="622">
        <f t="shared" si="25"/>
        <v>0</v>
      </c>
      <c r="AI94" s="609">
        <f t="shared" si="35"/>
        <v>16.600000000000001</v>
      </c>
      <c r="AJ94" s="620">
        <v>11.8</v>
      </c>
      <c r="AK94" s="620"/>
      <c r="AL94" s="620">
        <v>8.6</v>
      </c>
      <c r="AM94" s="623">
        <f t="shared" si="26"/>
        <v>20.399999999999999</v>
      </c>
      <c r="AN94" s="621"/>
      <c r="AO94" s="621"/>
      <c r="AP94" s="621"/>
      <c r="AQ94" s="622">
        <f t="shared" si="27"/>
        <v>3.7999999999999972</v>
      </c>
      <c r="AR94" s="615">
        <f t="shared" si="36"/>
        <v>16.5</v>
      </c>
      <c r="AS94" s="620">
        <v>8.1999999999999993</v>
      </c>
      <c r="AT94" s="620"/>
      <c r="AU94" s="620">
        <v>8.4</v>
      </c>
      <c r="AV94" s="623">
        <f t="shared" si="28"/>
        <v>16.600000000000001</v>
      </c>
      <c r="AW94" s="621">
        <v>3.96</v>
      </c>
      <c r="AX94" s="621">
        <v>3.45</v>
      </c>
      <c r="AY94" s="621">
        <v>90</v>
      </c>
      <c r="AZ94" s="624">
        <f t="shared" si="29"/>
        <v>0.10000000000000142</v>
      </c>
      <c r="BA94" s="623">
        <v>16.5</v>
      </c>
      <c r="BB94" s="620">
        <v>8</v>
      </c>
      <c r="BC94" s="620">
        <v>8.5</v>
      </c>
      <c r="BD94" s="623">
        <f t="shared" si="30"/>
        <v>16.5</v>
      </c>
      <c r="BE94" s="621"/>
      <c r="BF94" s="621"/>
      <c r="BG94" s="621"/>
      <c r="BH94" s="621">
        <f t="shared" si="31"/>
        <v>0</v>
      </c>
    </row>
    <row r="95" spans="1:60" ht="17.25" thickTop="1" thickBot="1" x14ac:dyDescent="0.3">
      <c r="A95" s="77">
        <v>88</v>
      </c>
      <c r="B95" s="603">
        <f t="shared" ca="1" si="19"/>
        <v>43134</v>
      </c>
      <c r="C95" s="29" t="s">
        <v>2865</v>
      </c>
      <c r="D95" s="59" t="s">
        <v>2851</v>
      </c>
      <c r="E95" s="22" t="s">
        <v>1094</v>
      </c>
      <c r="F95" s="27" t="s">
        <v>1009</v>
      </c>
      <c r="G95" s="567">
        <v>42753</v>
      </c>
      <c r="H95" s="609">
        <f t="shared" si="32"/>
        <v>24.8</v>
      </c>
      <c r="I95" s="620">
        <v>9</v>
      </c>
      <c r="J95" s="620"/>
      <c r="K95" s="620">
        <v>6.4</v>
      </c>
      <c r="L95" s="611">
        <f t="shared" si="20"/>
        <v>15.4</v>
      </c>
      <c r="M95" s="621"/>
      <c r="N95" s="621"/>
      <c r="O95" s="621"/>
      <c r="P95" s="622">
        <f t="shared" si="21"/>
        <v>-9.4</v>
      </c>
      <c r="Q95" s="609">
        <f t="shared" si="33"/>
        <v>24.2</v>
      </c>
      <c r="R95" s="620">
        <v>10.8</v>
      </c>
      <c r="S95" s="620"/>
      <c r="T95" s="620">
        <v>14</v>
      </c>
      <c r="U95" s="611">
        <f t="shared" si="22"/>
        <v>24.8</v>
      </c>
      <c r="V95" s="621"/>
      <c r="W95" s="621"/>
      <c r="X95" s="621"/>
      <c r="Y95" s="622">
        <f t="shared" si="23"/>
        <v>0.60000000000000142</v>
      </c>
      <c r="Z95" s="609">
        <f t="shared" si="34"/>
        <v>24.2</v>
      </c>
      <c r="AA95" s="620">
        <v>13.2</v>
      </c>
      <c r="AB95" s="620"/>
      <c r="AC95" s="620"/>
      <c r="AD95" s="611">
        <f t="shared" si="24"/>
        <v>13.2</v>
      </c>
      <c r="AE95" s="621"/>
      <c r="AF95" s="621"/>
      <c r="AG95" s="621"/>
      <c r="AH95" s="622">
        <f t="shared" si="25"/>
        <v>-11</v>
      </c>
      <c r="AI95" s="609">
        <f t="shared" si="35"/>
        <v>24.2</v>
      </c>
      <c r="AJ95" s="620">
        <v>12.2</v>
      </c>
      <c r="AK95" s="620"/>
      <c r="AL95" s="620">
        <v>12</v>
      </c>
      <c r="AM95" s="623">
        <f t="shared" si="26"/>
        <v>24.2</v>
      </c>
      <c r="AN95" s="621"/>
      <c r="AO95" s="621"/>
      <c r="AP95" s="621"/>
      <c r="AQ95" s="622">
        <f t="shared" si="27"/>
        <v>0</v>
      </c>
      <c r="AR95" s="615">
        <f t="shared" si="36"/>
        <v>20</v>
      </c>
      <c r="AS95" s="620">
        <v>14</v>
      </c>
      <c r="AT95" s="620"/>
      <c r="AU95" s="620">
        <v>10.199999999999999</v>
      </c>
      <c r="AV95" s="623">
        <f t="shared" si="28"/>
        <v>24.2</v>
      </c>
      <c r="AW95" s="621">
        <v>4.5199999999999996</v>
      </c>
      <c r="AX95" s="621">
        <v>3.44</v>
      </c>
      <c r="AY95" s="621">
        <v>90</v>
      </c>
      <c r="AZ95" s="624">
        <f t="shared" si="29"/>
        <v>4.1999999999999993</v>
      </c>
      <c r="BA95" s="623">
        <v>20</v>
      </c>
      <c r="BB95" s="620">
        <v>12</v>
      </c>
      <c r="BC95" s="620">
        <v>9</v>
      </c>
      <c r="BD95" s="623">
        <f t="shared" si="30"/>
        <v>21</v>
      </c>
      <c r="BE95" s="621"/>
      <c r="BF95" s="621"/>
      <c r="BG95" s="621"/>
      <c r="BH95" s="621">
        <f t="shared" si="31"/>
        <v>-1</v>
      </c>
    </row>
    <row r="96" spans="1:60" ht="17.25" thickTop="1" thickBot="1" x14ac:dyDescent="0.3">
      <c r="A96" s="602">
        <v>89</v>
      </c>
      <c r="B96" s="603">
        <f t="shared" ca="1" si="19"/>
        <v>43134</v>
      </c>
      <c r="C96" s="29" t="s">
        <v>2865</v>
      </c>
      <c r="D96" s="59" t="s">
        <v>2851</v>
      </c>
      <c r="E96" s="22" t="s">
        <v>1104</v>
      </c>
      <c r="F96" s="27" t="s">
        <v>1024</v>
      </c>
      <c r="G96" s="567">
        <v>42780</v>
      </c>
      <c r="H96" s="609">
        <f t="shared" si="32"/>
        <v>32.799999999999997</v>
      </c>
      <c r="I96" s="620">
        <v>8</v>
      </c>
      <c r="J96" s="620"/>
      <c r="K96" s="620">
        <v>5</v>
      </c>
      <c r="L96" s="611">
        <f t="shared" si="20"/>
        <v>13</v>
      </c>
      <c r="M96" s="621"/>
      <c r="N96" s="621"/>
      <c r="O96" s="621"/>
      <c r="P96" s="622">
        <f t="shared" si="21"/>
        <v>-19.799999999999997</v>
      </c>
      <c r="Q96" s="609">
        <f t="shared" si="33"/>
        <v>24.6</v>
      </c>
      <c r="R96" s="620">
        <v>14.8</v>
      </c>
      <c r="S96" s="620"/>
      <c r="T96" s="620">
        <v>18</v>
      </c>
      <c r="U96" s="611">
        <f t="shared" si="22"/>
        <v>32.799999999999997</v>
      </c>
      <c r="V96" s="621"/>
      <c r="W96" s="621"/>
      <c r="X96" s="621"/>
      <c r="Y96" s="622">
        <f t="shared" si="23"/>
        <v>8.1999999999999957</v>
      </c>
      <c r="Z96" s="609">
        <f t="shared" si="34"/>
        <v>24.6</v>
      </c>
      <c r="AA96" s="620">
        <v>10</v>
      </c>
      <c r="AB96" s="620"/>
      <c r="AC96" s="620">
        <v>10</v>
      </c>
      <c r="AD96" s="611">
        <f t="shared" si="24"/>
        <v>20</v>
      </c>
      <c r="AE96" s="621"/>
      <c r="AF96" s="621"/>
      <c r="AG96" s="621"/>
      <c r="AH96" s="622">
        <f t="shared" si="25"/>
        <v>-4.6000000000000014</v>
      </c>
      <c r="AI96" s="609">
        <f t="shared" si="35"/>
        <v>23.6</v>
      </c>
      <c r="AJ96" s="620">
        <v>16</v>
      </c>
      <c r="AK96" s="620"/>
      <c r="AL96" s="620">
        <v>8.6</v>
      </c>
      <c r="AM96" s="623">
        <f t="shared" si="26"/>
        <v>24.6</v>
      </c>
      <c r="AN96" s="621"/>
      <c r="AO96" s="621"/>
      <c r="AP96" s="621"/>
      <c r="AQ96" s="622">
        <f t="shared" si="27"/>
        <v>1</v>
      </c>
      <c r="AR96" s="615">
        <f t="shared" si="36"/>
        <v>32</v>
      </c>
      <c r="AS96" s="620">
        <v>12.6</v>
      </c>
      <c r="AT96" s="620"/>
      <c r="AU96" s="620">
        <v>11</v>
      </c>
      <c r="AV96" s="623">
        <f t="shared" si="28"/>
        <v>23.6</v>
      </c>
      <c r="AW96" s="621">
        <v>3.64</v>
      </c>
      <c r="AX96" s="621">
        <v>3.5</v>
      </c>
      <c r="AY96" s="621">
        <v>120</v>
      </c>
      <c r="AZ96" s="624">
        <f t="shared" si="29"/>
        <v>-8.3999999999999986</v>
      </c>
      <c r="BA96" s="623">
        <v>32</v>
      </c>
      <c r="BB96" s="620">
        <v>11.4</v>
      </c>
      <c r="BC96" s="620">
        <v>8</v>
      </c>
      <c r="BD96" s="623">
        <f t="shared" si="30"/>
        <v>19.399999999999999</v>
      </c>
      <c r="BE96" s="621"/>
      <c r="BF96" s="621"/>
      <c r="BG96" s="621"/>
      <c r="BH96" s="621">
        <f t="shared" si="31"/>
        <v>12.600000000000001</v>
      </c>
    </row>
    <row r="97" spans="1:60" ht="17.25" thickTop="1" thickBot="1" x14ac:dyDescent="0.3">
      <c r="A97" s="77">
        <v>90</v>
      </c>
      <c r="B97" s="603">
        <f t="shared" ca="1" si="19"/>
        <v>43134</v>
      </c>
      <c r="C97" s="29" t="s">
        <v>2865</v>
      </c>
      <c r="D97" s="59" t="s">
        <v>2851</v>
      </c>
      <c r="E97" s="22" t="s">
        <v>1100</v>
      </c>
      <c r="F97" s="27" t="s">
        <v>1012</v>
      </c>
      <c r="G97" s="567">
        <v>42686</v>
      </c>
      <c r="H97" s="609">
        <f t="shared" si="32"/>
        <v>0</v>
      </c>
      <c r="I97" s="620">
        <v>14.8</v>
      </c>
      <c r="J97" s="620">
        <v>8.1999999999999993</v>
      </c>
      <c r="K97" s="620">
        <v>9.8000000000000007</v>
      </c>
      <c r="L97" s="611">
        <f t="shared" si="20"/>
        <v>32.799999999999997</v>
      </c>
      <c r="M97" s="621"/>
      <c r="N97" s="621"/>
      <c r="O97" s="621"/>
      <c r="P97" s="622">
        <f t="shared" si="21"/>
        <v>32.799999999999997</v>
      </c>
      <c r="Q97" s="609">
        <f t="shared" si="33"/>
        <v>19.100000000000001</v>
      </c>
      <c r="R97" s="620"/>
      <c r="S97" s="620"/>
      <c r="T97" s="620"/>
      <c r="U97" s="611">
        <f t="shared" si="22"/>
        <v>0</v>
      </c>
      <c r="V97" s="621"/>
      <c r="W97" s="621"/>
      <c r="X97" s="621"/>
      <c r="Y97" s="622">
        <f t="shared" si="23"/>
        <v>-19.100000000000001</v>
      </c>
      <c r="Z97" s="609">
        <f t="shared" si="34"/>
        <v>19.100000000000001</v>
      </c>
      <c r="AA97" s="620"/>
      <c r="AB97" s="620"/>
      <c r="AC97" s="620"/>
      <c r="AD97" s="611">
        <f t="shared" si="24"/>
        <v>0</v>
      </c>
      <c r="AE97" s="621"/>
      <c r="AF97" s="621"/>
      <c r="AG97" s="621"/>
      <c r="AH97" s="622">
        <f t="shared" si="25"/>
        <v>-19.100000000000001</v>
      </c>
      <c r="AI97" s="609">
        <f t="shared" si="35"/>
        <v>18</v>
      </c>
      <c r="AJ97" s="620">
        <v>11.1</v>
      </c>
      <c r="AK97" s="620"/>
      <c r="AL97" s="620">
        <v>8</v>
      </c>
      <c r="AM97" s="623">
        <f t="shared" si="26"/>
        <v>19.100000000000001</v>
      </c>
      <c r="AN97" s="621"/>
      <c r="AO97" s="621"/>
      <c r="AP97" s="621"/>
      <c r="AQ97" s="622">
        <f t="shared" si="27"/>
        <v>1.1000000000000014</v>
      </c>
      <c r="AR97" s="615">
        <f t="shared" si="36"/>
        <v>20.100000000000001</v>
      </c>
      <c r="AS97" s="620">
        <v>11</v>
      </c>
      <c r="AT97" s="620"/>
      <c r="AU97" s="620">
        <v>7</v>
      </c>
      <c r="AV97" s="623">
        <f t="shared" si="28"/>
        <v>18</v>
      </c>
      <c r="AW97" s="621"/>
      <c r="AX97" s="621"/>
      <c r="AY97" s="621"/>
      <c r="AZ97" s="624">
        <f t="shared" si="29"/>
        <v>-2.1000000000000014</v>
      </c>
      <c r="BA97" s="623">
        <v>20.100000000000001</v>
      </c>
      <c r="BB97" s="620">
        <v>8.1999999999999993</v>
      </c>
      <c r="BC97" s="620">
        <v>8</v>
      </c>
      <c r="BD97" s="623">
        <f t="shared" si="30"/>
        <v>16.2</v>
      </c>
      <c r="BE97" s="621"/>
      <c r="BF97" s="621"/>
      <c r="BG97" s="621"/>
      <c r="BH97" s="621">
        <f t="shared" si="31"/>
        <v>3.9000000000000021</v>
      </c>
    </row>
    <row r="98" spans="1:60" ht="17.25" thickTop="1" thickBot="1" x14ac:dyDescent="0.3">
      <c r="A98" s="602">
        <v>91</v>
      </c>
      <c r="B98" s="603">
        <f t="shared" ca="1" si="19"/>
        <v>43134</v>
      </c>
      <c r="C98" s="29" t="s">
        <v>2865</v>
      </c>
      <c r="D98" s="59" t="s">
        <v>2851</v>
      </c>
      <c r="E98" s="22" t="s">
        <v>1106</v>
      </c>
      <c r="F98" s="27" t="s">
        <v>1016</v>
      </c>
      <c r="G98" s="567">
        <v>42725</v>
      </c>
      <c r="H98" s="609">
        <f t="shared" si="32"/>
        <v>13.8</v>
      </c>
      <c r="I98" s="620">
        <v>7.8</v>
      </c>
      <c r="J98" s="620"/>
      <c r="K98" s="620">
        <v>7</v>
      </c>
      <c r="L98" s="611">
        <f t="shared" si="20"/>
        <v>14.8</v>
      </c>
      <c r="M98" s="621"/>
      <c r="N98" s="621"/>
      <c r="O98" s="621"/>
      <c r="P98" s="622">
        <f t="shared" si="21"/>
        <v>1</v>
      </c>
      <c r="Q98" s="609">
        <f t="shared" si="33"/>
        <v>20.6</v>
      </c>
      <c r="R98" s="620">
        <v>4.2</v>
      </c>
      <c r="S98" s="620">
        <v>5.6</v>
      </c>
      <c r="T98" s="620">
        <v>4</v>
      </c>
      <c r="U98" s="611">
        <f t="shared" si="22"/>
        <v>13.8</v>
      </c>
      <c r="V98" s="621"/>
      <c r="W98" s="621"/>
      <c r="X98" s="621"/>
      <c r="Y98" s="622">
        <f t="shared" si="23"/>
        <v>-6.8000000000000007</v>
      </c>
      <c r="Z98" s="609">
        <f t="shared" si="34"/>
        <v>20.6</v>
      </c>
      <c r="AA98" s="620">
        <v>11</v>
      </c>
      <c r="AB98" s="620"/>
      <c r="AC98" s="620">
        <v>11</v>
      </c>
      <c r="AD98" s="611">
        <f t="shared" si="24"/>
        <v>22</v>
      </c>
      <c r="AE98" s="621"/>
      <c r="AF98" s="621"/>
      <c r="AG98" s="621"/>
      <c r="AH98" s="622">
        <f t="shared" si="25"/>
        <v>1.3999999999999986</v>
      </c>
      <c r="AI98" s="609">
        <f t="shared" si="35"/>
        <v>21</v>
      </c>
      <c r="AJ98" s="620">
        <v>10.6</v>
      </c>
      <c r="AK98" s="620"/>
      <c r="AL98" s="620">
        <v>10</v>
      </c>
      <c r="AM98" s="623">
        <f t="shared" si="26"/>
        <v>20.6</v>
      </c>
      <c r="AN98" s="621"/>
      <c r="AO98" s="621"/>
      <c r="AP98" s="621"/>
      <c r="AQ98" s="622">
        <f t="shared" si="27"/>
        <v>-0.39999999999999858</v>
      </c>
      <c r="AR98" s="615">
        <f t="shared" si="36"/>
        <v>17.5</v>
      </c>
      <c r="AS98" s="620">
        <v>11</v>
      </c>
      <c r="AT98" s="620"/>
      <c r="AU98" s="620">
        <v>10</v>
      </c>
      <c r="AV98" s="623">
        <f t="shared" si="28"/>
        <v>21</v>
      </c>
      <c r="AW98" s="621">
        <v>4.6399999999999997</v>
      </c>
      <c r="AX98" s="621">
        <v>3.22</v>
      </c>
      <c r="AY98" s="621">
        <v>90</v>
      </c>
      <c r="AZ98" s="624">
        <f t="shared" si="29"/>
        <v>3.5</v>
      </c>
      <c r="BA98" s="623">
        <v>17.5</v>
      </c>
      <c r="BB98" s="620">
        <v>9</v>
      </c>
      <c r="BC98" s="620">
        <v>4</v>
      </c>
      <c r="BD98" s="623">
        <f t="shared" si="30"/>
        <v>13</v>
      </c>
      <c r="BE98" s="621"/>
      <c r="BF98" s="621"/>
      <c r="BG98" s="621"/>
      <c r="BH98" s="621">
        <f t="shared" si="31"/>
        <v>4.5</v>
      </c>
    </row>
    <row r="99" spans="1:60" ht="17.25" thickTop="1" thickBot="1" x14ac:dyDescent="0.3">
      <c r="A99" s="77">
        <v>92</v>
      </c>
      <c r="B99" s="603">
        <f t="shared" ca="1" si="19"/>
        <v>43134</v>
      </c>
      <c r="C99" s="29" t="s">
        <v>2865</v>
      </c>
      <c r="D99" s="59" t="s">
        <v>2851</v>
      </c>
      <c r="E99" s="22" t="s">
        <v>1118</v>
      </c>
      <c r="F99" s="27" t="s">
        <v>1032</v>
      </c>
      <c r="G99" s="567">
        <v>42736</v>
      </c>
      <c r="H99" s="609">
        <f t="shared" si="32"/>
        <v>10</v>
      </c>
      <c r="I99" s="620"/>
      <c r="J99" s="620"/>
      <c r="K99" s="620"/>
      <c r="L99" s="611">
        <f t="shared" si="20"/>
        <v>0</v>
      </c>
      <c r="M99" s="621"/>
      <c r="N99" s="621"/>
      <c r="O99" s="621"/>
      <c r="P99" s="622">
        <f t="shared" si="21"/>
        <v>-10</v>
      </c>
      <c r="Q99" s="609">
        <f t="shared" si="33"/>
        <v>12.8</v>
      </c>
      <c r="R99" s="620">
        <v>5</v>
      </c>
      <c r="S99" s="620"/>
      <c r="T99" s="620">
        <v>5</v>
      </c>
      <c r="U99" s="611">
        <f t="shared" si="22"/>
        <v>10</v>
      </c>
      <c r="V99" s="621"/>
      <c r="W99" s="621"/>
      <c r="X99" s="621"/>
      <c r="Y99" s="622">
        <f t="shared" si="23"/>
        <v>-2.8000000000000007</v>
      </c>
      <c r="Z99" s="609">
        <f t="shared" si="34"/>
        <v>12.8</v>
      </c>
      <c r="AA99" s="620">
        <v>11</v>
      </c>
      <c r="AB99" s="620"/>
      <c r="AC99" s="620">
        <v>7</v>
      </c>
      <c r="AD99" s="611">
        <f t="shared" si="24"/>
        <v>18</v>
      </c>
      <c r="AE99" s="621"/>
      <c r="AF99" s="621"/>
      <c r="AG99" s="621"/>
      <c r="AH99" s="622">
        <f t="shared" si="25"/>
        <v>5.1999999999999993</v>
      </c>
      <c r="AI99" s="609">
        <f t="shared" si="35"/>
        <v>18.600000000000001</v>
      </c>
      <c r="AJ99" s="620">
        <v>3</v>
      </c>
      <c r="AK99" s="620"/>
      <c r="AL99" s="620">
        <v>9.8000000000000007</v>
      </c>
      <c r="AM99" s="623">
        <f t="shared" si="26"/>
        <v>12.8</v>
      </c>
      <c r="AN99" s="621"/>
      <c r="AO99" s="621"/>
      <c r="AP99" s="621"/>
      <c r="AQ99" s="622">
        <f t="shared" si="27"/>
        <v>-5.8000000000000007</v>
      </c>
      <c r="AR99" s="615">
        <f t="shared" si="36"/>
        <v>25.6</v>
      </c>
      <c r="AS99" s="620">
        <v>10.8</v>
      </c>
      <c r="AT99" s="620"/>
      <c r="AU99" s="620">
        <v>7.8</v>
      </c>
      <c r="AV99" s="623">
        <f t="shared" si="28"/>
        <v>18.600000000000001</v>
      </c>
      <c r="AW99" s="621">
        <v>4.43</v>
      </c>
      <c r="AX99" s="621">
        <v>3.76</v>
      </c>
      <c r="AY99" s="621">
        <v>97</v>
      </c>
      <c r="AZ99" s="624">
        <f t="shared" si="29"/>
        <v>-7</v>
      </c>
      <c r="BA99" s="623">
        <v>25.6</v>
      </c>
      <c r="BB99" s="620">
        <v>10.199999999999999</v>
      </c>
      <c r="BC99" s="620">
        <v>9</v>
      </c>
      <c r="BD99" s="623">
        <f t="shared" si="30"/>
        <v>19.2</v>
      </c>
      <c r="BE99" s="621"/>
      <c r="BF99" s="621"/>
      <c r="BG99" s="621"/>
      <c r="BH99" s="621">
        <f t="shared" si="31"/>
        <v>6.4000000000000021</v>
      </c>
    </row>
    <row r="100" spans="1:60" ht="17.25" thickTop="1" thickBot="1" x14ac:dyDescent="0.3">
      <c r="A100" s="602">
        <v>93</v>
      </c>
      <c r="B100" s="603">
        <f t="shared" ca="1" si="19"/>
        <v>43134</v>
      </c>
      <c r="C100" s="29" t="s">
        <v>2865</v>
      </c>
      <c r="D100" s="59" t="s">
        <v>2851</v>
      </c>
      <c r="E100" s="22" t="s">
        <v>1098</v>
      </c>
      <c r="F100" s="27" t="s">
        <v>1006</v>
      </c>
      <c r="G100" s="567">
        <v>42683</v>
      </c>
      <c r="H100" s="609">
        <f t="shared" si="32"/>
        <v>13</v>
      </c>
      <c r="I100" s="620"/>
      <c r="J100" s="620"/>
      <c r="K100" s="620"/>
      <c r="L100" s="611">
        <f t="shared" si="20"/>
        <v>0</v>
      </c>
      <c r="M100" s="621"/>
      <c r="N100" s="621"/>
      <c r="O100" s="621"/>
      <c r="P100" s="622">
        <f t="shared" si="21"/>
        <v>-13</v>
      </c>
      <c r="Q100" s="609">
        <f t="shared" si="33"/>
        <v>17.5</v>
      </c>
      <c r="R100" s="620">
        <v>8</v>
      </c>
      <c r="S100" s="620"/>
      <c r="T100" s="620">
        <v>5</v>
      </c>
      <c r="U100" s="611">
        <f t="shared" si="22"/>
        <v>13</v>
      </c>
      <c r="V100" s="621"/>
      <c r="W100" s="621"/>
      <c r="X100" s="621"/>
      <c r="Y100" s="622">
        <f t="shared" si="23"/>
        <v>-4.5</v>
      </c>
      <c r="Z100" s="609">
        <f t="shared" si="34"/>
        <v>17.5</v>
      </c>
      <c r="AA100" s="620">
        <v>9</v>
      </c>
      <c r="AB100" s="620"/>
      <c r="AC100" s="620">
        <v>9</v>
      </c>
      <c r="AD100" s="611">
        <f t="shared" si="24"/>
        <v>18</v>
      </c>
      <c r="AE100" s="621"/>
      <c r="AF100" s="621"/>
      <c r="AG100" s="621"/>
      <c r="AH100" s="622">
        <f t="shared" si="25"/>
        <v>0.5</v>
      </c>
      <c r="AI100" s="609">
        <f t="shared" si="35"/>
        <v>12.5</v>
      </c>
      <c r="AJ100" s="620">
        <v>6.5</v>
      </c>
      <c r="AK100" s="620"/>
      <c r="AL100" s="620">
        <v>11</v>
      </c>
      <c r="AM100" s="623">
        <f t="shared" si="26"/>
        <v>17.5</v>
      </c>
      <c r="AN100" s="621"/>
      <c r="AO100" s="621"/>
      <c r="AP100" s="621"/>
      <c r="AQ100" s="622">
        <f t="shared" si="27"/>
        <v>5</v>
      </c>
      <c r="AR100" s="615">
        <f t="shared" si="36"/>
        <v>17.7</v>
      </c>
      <c r="AS100" s="620">
        <v>8</v>
      </c>
      <c r="AT100" s="620"/>
      <c r="AU100" s="620">
        <v>4.5</v>
      </c>
      <c r="AV100" s="623">
        <f t="shared" si="28"/>
        <v>12.5</v>
      </c>
      <c r="AW100" s="621">
        <v>4.66</v>
      </c>
      <c r="AX100" s="621">
        <v>3.31</v>
      </c>
      <c r="AY100" s="621">
        <v>90</v>
      </c>
      <c r="AZ100" s="624">
        <f t="shared" si="29"/>
        <v>-5.1999999999999993</v>
      </c>
      <c r="BA100" s="623">
        <v>17.7</v>
      </c>
      <c r="BB100" s="620">
        <v>8</v>
      </c>
      <c r="BC100" s="620">
        <v>7.2</v>
      </c>
      <c r="BD100" s="623">
        <f t="shared" si="30"/>
        <v>15.2</v>
      </c>
      <c r="BE100" s="621"/>
      <c r="BF100" s="621"/>
      <c r="BG100" s="621"/>
      <c r="BH100" s="621">
        <f t="shared" si="31"/>
        <v>2.5</v>
      </c>
    </row>
    <row r="101" spans="1:60" ht="17.25" thickTop="1" thickBot="1" x14ac:dyDescent="0.3">
      <c r="A101" s="77">
        <v>94</v>
      </c>
      <c r="B101" s="603">
        <f t="shared" ca="1" si="19"/>
        <v>43134</v>
      </c>
      <c r="C101" s="29" t="s">
        <v>2865</v>
      </c>
      <c r="D101" s="59" t="s">
        <v>2851</v>
      </c>
      <c r="E101" s="22" t="s">
        <v>1124</v>
      </c>
      <c r="F101" s="27" t="s">
        <v>1040</v>
      </c>
      <c r="G101" s="567">
        <v>42760</v>
      </c>
      <c r="H101" s="609">
        <f t="shared" si="32"/>
        <v>14.399999999999999</v>
      </c>
      <c r="I101" s="620">
        <v>9</v>
      </c>
      <c r="J101" s="620"/>
      <c r="K101" s="620">
        <v>8</v>
      </c>
      <c r="L101" s="611">
        <f t="shared" si="20"/>
        <v>17</v>
      </c>
      <c r="M101" s="621"/>
      <c r="N101" s="621"/>
      <c r="O101" s="621"/>
      <c r="P101" s="622">
        <f t="shared" si="21"/>
        <v>2.6000000000000014</v>
      </c>
      <c r="Q101" s="609">
        <f t="shared" si="33"/>
        <v>19</v>
      </c>
      <c r="R101" s="620">
        <v>8.1999999999999993</v>
      </c>
      <c r="S101" s="620"/>
      <c r="T101" s="620">
        <v>6.2</v>
      </c>
      <c r="U101" s="611">
        <f t="shared" si="22"/>
        <v>14.399999999999999</v>
      </c>
      <c r="V101" s="621"/>
      <c r="W101" s="621"/>
      <c r="X101" s="621"/>
      <c r="Y101" s="622">
        <f t="shared" si="23"/>
        <v>-4.6000000000000014</v>
      </c>
      <c r="Z101" s="609">
        <f t="shared" si="34"/>
        <v>19</v>
      </c>
      <c r="AA101" s="620">
        <v>9</v>
      </c>
      <c r="AB101" s="620"/>
      <c r="AC101" s="620">
        <v>9</v>
      </c>
      <c r="AD101" s="611">
        <f t="shared" si="24"/>
        <v>18</v>
      </c>
      <c r="AE101" s="621"/>
      <c r="AF101" s="621"/>
      <c r="AG101" s="621"/>
      <c r="AH101" s="622">
        <f t="shared" si="25"/>
        <v>-1</v>
      </c>
      <c r="AI101" s="609">
        <f t="shared" si="35"/>
        <v>24.8</v>
      </c>
      <c r="AJ101" s="620">
        <v>8</v>
      </c>
      <c r="AK101" s="620"/>
      <c r="AL101" s="620">
        <v>11</v>
      </c>
      <c r="AM101" s="623">
        <f t="shared" si="26"/>
        <v>19</v>
      </c>
      <c r="AN101" s="621"/>
      <c r="AO101" s="621"/>
      <c r="AP101" s="621"/>
      <c r="AQ101" s="622">
        <f t="shared" si="27"/>
        <v>-5.8000000000000007</v>
      </c>
      <c r="AR101" s="615">
        <f t="shared" si="36"/>
        <v>27.4</v>
      </c>
      <c r="AS101" s="620">
        <v>12.8</v>
      </c>
      <c r="AT101" s="620"/>
      <c r="AU101" s="620">
        <v>12</v>
      </c>
      <c r="AV101" s="623">
        <f t="shared" si="28"/>
        <v>24.8</v>
      </c>
      <c r="AW101" s="621">
        <v>3.16</v>
      </c>
      <c r="AX101" s="621">
        <v>3.28</v>
      </c>
      <c r="AY101" s="621">
        <v>90</v>
      </c>
      <c r="AZ101" s="624">
        <f t="shared" si="29"/>
        <v>-2.5999999999999979</v>
      </c>
      <c r="BA101" s="623">
        <v>27.4</v>
      </c>
      <c r="BB101" s="620">
        <v>13.3</v>
      </c>
      <c r="BC101" s="620">
        <v>11.4</v>
      </c>
      <c r="BD101" s="623">
        <f t="shared" si="30"/>
        <v>24.700000000000003</v>
      </c>
      <c r="BE101" s="621"/>
      <c r="BF101" s="621"/>
      <c r="BG101" s="621"/>
      <c r="BH101" s="621">
        <f t="shared" si="31"/>
        <v>2.6999999999999957</v>
      </c>
    </row>
    <row r="102" spans="1:60" ht="17.25" thickTop="1" thickBot="1" x14ac:dyDescent="0.3">
      <c r="A102" s="602">
        <v>95</v>
      </c>
      <c r="B102" s="603">
        <f t="shared" ca="1" si="19"/>
        <v>43134</v>
      </c>
      <c r="C102" s="29" t="s">
        <v>2865</v>
      </c>
      <c r="D102" s="59" t="s">
        <v>2851</v>
      </c>
      <c r="E102" s="22" t="s">
        <v>1099</v>
      </c>
      <c r="F102" s="27" t="s">
        <v>1014</v>
      </c>
      <c r="G102" s="567">
        <v>42684</v>
      </c>
      <c r="H102" s="609">
        <f t="shared" si="32"/>
        <v>17.399999999999999</v>
      </c>
      <c r="I102" s="620">
        <v>7.4</v>
      </c>
      <c r="J102" s="620"/>
      <c r="K102" s="620">
        <v>6</v>
      </c>
      <c r="L102" s="611">
        <f t="shared" si="20"/>
        <v>13.4</v>
      </c>
      <c r="M102" s="621"/>
      <c r="N102" s="621"/>
      <c r="O102" s="621"/>
      <c r="P102" s="622">
        <f t="shared" si="21"/>
        <v>-3.9999999999999982</v>
      </c>
      <c r="Q102" s="609">
        <f t="shared" si="33"/>
        <v>14.899999999999999</v>
      </c>
      <c r="R102" s="620">
        <v>9.8000000000000007</v>
      </c>
      <c r="S102" s="620"/>
      <c r="T102" s="620">
        <v>7.6</v>
      </c>
      <c r="U102" s="611">
        <f t="shared" si="22"/>
        <v>17.399999999999999</v>
      </c>
      <c r="V102" s="621"/>
      <c r="W102" s="621"/>
      <c r="X102" s="621"/>
      <c r="Y102" s="622">
        <f t="shared" si="23"/>
        <v>2.5</v>
      </c>
      <c r="Z102" s="609">
        <f t="shared" si="34"/>
        <v>14.899999999999999</v>
      </c>
      <c r="AA102" s="620">
        <v>10</v>
      </c>
      <c r="AB102" s="620"/>
      <c r="AC102" s="620">
        <v>7.2</v>
      </c>
      <c r="AD102" s="611">
        <f t="shared" si="24"/>
        <v>17.2</v>
      </c>
      <c r="AE102" s="621"/>
      <c r="AF102" s="621"/>
      <c r="AG102" s="621"/>
      <c r="AH102" s="622">
        <f t="shared" si="25"/>
        <v>2.3000000000000007</v>
      </c>
      <c r="AI102" s="609">
        <f t="shared" si="35"/>
        <v>15.8</v>
      </c>
      <c r="AJ102" s="620">
        <v>7.3</v>
      </c>
      <c r="AK102" s="620"/>
      <c r="AL102" s="620">
        <v>7.6</v>
      </c>
      <c r="AM102" s="623">
        <f t="shared" si="26"/>
        <v>14.899999999999999</v>
      </c>
      <c r="AN102" s="621"/>
      <c r="AO102" s="621"/>
      <c r="AP102" s="621"/>
      <c r="AQ102" s="622">
        <f t="shared" si="27"/>
        <v>-0.90000000000000213</v>
      </c>
      <c r="AR102" s="615">
        <f t="shared" si="36"/>
        <v>14</v>
      </c>
      <c r="AS102" s="620">
        <v>7.8</v>
      </c>
      <c r="AT102" s="620"/>
      <c r="AU102" s="620">
        <v>8</v>
      </c>
      <c r="AV102" s="623">
        <f t="shared" si="28"/>
        <v>15.8</v>
      </c>
      <c r="AW102" s="621">
        <v>4.6900000000000004</v>
      </c>
      <c r="AX102" s="621">
        <v>3.55</v>
      </c>
      <c r="AY102" s="621">
        <v>90</v>
      </c>
      <c r="AZ102" s="624">
        <f t="shared" si="29"/>
        <v>1.8000000000000007</v>
      </c>
      <c r="BA102" s="623">
        <v>14</v>
      </c>
      <c r="BB102" s="620">
        <v>8.5</v>
      </c>
      <c r="BC102" s="620">
        <v>6</v>
      </c>
      <c r="BD102" s="623">
        <f t="shared" si="30"/>
        <v>14.5</v>
      </c>
      <c r="BE102" s="621"/>
      <c r="BF102" s="621"/>
      <c r="BG102" s="621"/>
      <c r="BH102" s="621">
        <f t="shared" si="31"/>
        <v>-0.5</v>
      </c>
    </row>
    <row r="103" spans="1:60" ht="17.25" thickTop="1" thickBot="1" x14ac:dyDescent="0.3">
      <c r="A103" s="77">
        <v>96</v>
      </c>
      <c r="B103" s="603">
        <f t="shared" ca="1" si="19"/>
        <v>43134</v>
      </c>
      <c r="C103" s="29" t="s">
        <v>2865</v>
      </c>
      <c r="D103" s="59" t="s">
        <v>2851</v>
      </c>
      <c r="E103" s="22" t="s">
        <v>1103</v>
      </c>
      <c r="F103" s="27" t="s">
        <v>1010</v>
      </c>
      <c r="G103" s="567">
        <v>42731</v>
      </c>
      <c r="H103" s="609">
        <f t="shared" si="32"/>
        <v>22.4</v>
      </c>
      <c r="I103" s="620">
        <v>8</v>
      </c>
      <c r="J103" s="620"/>
      <c r="K103" s="620">
        <v>6.3</v>
      </c>
      <c r="L103" s="611">
        <f t="shared" si="20"/>
        <v>14.3</v>
      </c>
      <c r="M103" s="621"/>
      <c r="N103" s="621"/>
      <c r="O103" s="621"/>
      <c r="P103" s="622">
        <f t="shared" si="21"/>
        <v>-8.0999999999999979</v>
      </c>
      <c r="Q103" s="609">
        <f t="shared" si="33"/>
        <v>20</v>
      </c>
      <c r="R103" s="620">
        <v>12.4</v>
      </c>
      <c r="S103" s="620"/>
      <c r="T103" s="620">
        <v>10</v>
      </c>
      <c r="U103" s="611">
        <f t="shared" si="22"/>
        <v>22.4</v>
      </c>
      <c r="V103" s="621"/>
      <c r="W103" s="621"/>
      <c r="X103" s="621"/>
      <c r="Y103" s="622">
        <f t="shared" si="23"/>
        <v>2.3999999999999986</v>
      </c>
      <c r="Z103" s="609">
        <f t="shared" si="34"/>
        <v>20</v>
      </c>
      <c r="AA103" s="620">
        <v>12</v>
      </c>
      <c r="AB103" s="620"/>
      <c r="AC103" s="620">
        <v>9.1999999999999993</v>
      </c>
      <c r="AD103" s="611">
        <f t="shared" si="24"/>
        <v>21.2</v>
      </c>
      <c r="AE103" s="621"/>
      <c r="AF103" s="621"/>
      <c r="AG103" s="621"/>
      <c r="AH103" s="622">
        <f t="shared" si="25"/>
        <v>1.1999999999999993</v>
      </c>
      <c r="AI103" s="609">
        <f t="shared" si="35"/>
        <v>16</v>
      </c>
      <c r="AJ103" s="620">
        <v>10</v>
      </c>
      <c r="AK103" s="620"/>
      <c r="AL103" s="620">
        <v>10</v>
      </c>
      <c r="AM103" s="623">
        <f t="shared" si="26"/>
        <v>20</v>
      </c>
      <c r="AN103" s="621"/>
      <c r="AO103" s="621"/>
      <c r="AP103" s="621"/>
      <c r="AQ103" s="622">
        <f t="shared" si="27"/>
        <v>4</v>
      </c>
      <c r="AR103" s="615">
        <f t="shared" si="36"/>
        <v>24</v>
      </c>
      <c r="AS103" s="620">
        <v>12</v>
      </c>
      <c r="AT103" s="620"/>
      <c r="AU103" s="620">
        <v>4</v>
      </c>
      <c r="AV103" s="623">
        <f t="shared" si="28"/>
        <v>16</v>
      </c>
      <c r="AW103" s="621">
        <v>5.26</v>
      </c>
      <c r="AX103" s="621">
        <v>3.7</v>
      </c>
      <c r="AY103" s="621">
        <v>97</v>
      </c>
      <c r="AZ103" s="624">
        <f t="shared" si="29"/>
        <v>-8</v>
      </c>
      <c r="BA103" s="623">
        <v>24</v>
      </c>
      <c r="BB103" s="620">
        <v>11.4</v>
      </c>
      <c r="BC103" s="620">
        <v>10</v>
      </c>
      <c r="BD103" s="623">
        <f t="shared" si="30"/>
        <v>21.4</v>
      </c>
      <c r="BE103" s="621"/>
      <c r="BF103" s="621"/>
      <c r="BG103" s="621"/>
      <c r="BH103" s="621">
        <f t="shared" si="31"/>
        <v>2.6000000000000014</v>
      </c>
    </row>
    <row r="104" spans="1:60" ht="17.25" thickTop="1" thickBot="1" x14ac:dyDescent="0.3">
      <c r="A104" s="602">
        <v>97</v>
      </c>
      <c r="B104" s="603">
        <f t="shared" ca="1" si="19"/>
        <v>43134</v>
      </c>
      <c r="C104" s="29" t="s">
        <v>2865</v>
      </c>
      <c r="D104" s="59" t="s">
        <v>2851</v>
      </c>
      <c r="E104" s="22" t="s">
        <v>1107</v>
      </c>
      <c r="F104" s="27" t="s">
        <v>1022</v>
      </c>
      <c r="G104" s="567">
        <v>42742</v>
      </c>
      <c r="H104" s="609">
        <f t="shared" si="32"/>
        <v>20.3</v>
      </c>
      <c r="I104" s="620"/>
      <c r="J104" s="620"/>
      <c r="K104" s="620"/>
      <c r="L104" s="611">
        <f t="shared" si="20"/>
        <v>0</v>
      </c>
      <c r="M104" s="621"/>
      <c r="N104" s="621"/>
      <c r="O104" s="621"/>
      <c r="P104" s="622">
        <f t="shared" si="21"/>
        <v>-20.3</v>
      </c>
      <c r="Q104" s="609">
        <f t="shared" si="33"/>
        <v>25</v>
      </c>
      <c r="R104" s="620">
        <v>11</v>
      </c>
      <c r="S104" s="620"/>
      <c r="T104" s="620">
        <v>9.3000000000000007</v>
      </c>
      <c r="U104" s="611">
        <f t="shared" si="22"/>
        <v>20.3</v>
      </c>
      <c r="V104" s="621"/>
      <c r="W104" s="621"/>
      <c r="X104" s="621"/>
      <c r="Y104" s="622">
        <f t="shared" si="23"/>
        <v>-4.6999999999999993</v>
      </c>
      <c r="Z104" s="609">
        <f t="shared" si="34"/>
        <v>25</v>
      </c>
      <c r="AA104" s="620">
        <v>9.8000000000000007</v>
      </c>
      <c r="AB104" s="620"/>
      <c r="AC104" s="620">
        <v>11</v>
      </c>
      <c r="AD104" s="611">
        <f t="shared" si="24"/>
        <v>20.8</v>
      </c>
      <c r="AE104" s="621"/>
      <c r="AF104" s="621"/>
      <c r="AG104" s="621"/>
      <c r="AH104" s="622">
        <f t="shared" si="25"/>
        <v>-4.1999999999999993</v>
      </c>
      <c r="AI104" s="609">
        <f t="shared" si="35"/>
        <v>24.2</v>
      </c>
      <c r="AJ104" s="620">
        <v>13.1</v>
      </c>
      <c r="AK104" s="620"/>
      <c r="AL104" s="620">
        <v>11.9</v>
      </c>
      <c r="AM104" s="623">
        <f t="shared" si="26"/>
        <v>25</v>
      </c>
      <c r="AN104" s="621"/>
      <c r="AO104" s="621"/>
      <c r="AP104" s="621"/>
      <c r="AQ104" s="622">
        <f t="shared" si="27"/>
        <v>0.80000000000000071</v>
      </c>
      <c r="AR104" s="615">
        <f t="shared" si="36"/>
        <v>23</v>
      </c>
      <c r="AS104" s="620">
        <v>13</v>
      </c>
      <c r="AT104" s="620"/>
      <c r="AU104" s="620">
        <v>11.2</v>
      </c>
      <c r="AV104" s="623">
        <f t="shared" si="28"/>
        <v>24.2</v>
      </c>
      <c r="AW104" s="621">
        <v>4.12</v>
      </c>
      <c r="AX104" s="621">
        <v>3.45</v>
      </c>
      <c r="AY104" s="621">
        <v>90</v>
      </c>
      <c r="AZ104" s="624">
        <f t="shared" si="29"/>
        <v>1.1999999999999993</v>
      </c>
      <c r="BA104" s="623">
        <v>23</v>
      </c>
      <c r="BB104" s="620">
        <v>12</v>
      </c>
      <c r="BC104" s="620">
        <v>11</v>
      </c>
      <c r="BD104" s="623">
        <f t="shared" si="30"/>
        <v>23</v>
      </c>
      <c r="BE104" s="621"/>
      <c r="BF104" s="621"/>
      <c r="BG104" s="621"/>
      <c r="BH104" s="621">
        <f t="shared" si="31"/>
        <v>0</v>
      </c>
    </row>
    <row r="105" spans="1:60" ht="17.25" thickTop="1" thickBot="1" x14ac:dyDescent="0.3">
      <c r="A105" s="77">
        <v>98</v>
      </c>
      <c r="B105" s="603">
        <f t="shared" ca="1" si="19"/>
        <v>43134</v>
      </c>
      <c r="C105" s="29" t="s">
        <v>2865</v>
      </c>
      <c r="D105" s="59" t="s">
        <v>2851</v>
      </c>
      <c r="E105" s="22" t="s">
        <v>1121</v>
      </c>
      <c r="F105" s="27" t="s">
        <v>1037</v>
      </c>
      <c r="G105" s="567">
        <v>42771</v>
      </c>
      <c r="H105" s="609">
        <f t="shared" si="32"/>
        <v>25.8</v>
      </c>
      <c r="I105" s="620">
        <v>14</v>
      </c>
      <c r="J105" s="620"/>
      <c r="K105" s="620">
        <v>6</v>
      </c>
      <c r="L105" s="611">
        <f t="shared" si="20"/>
        <v>20</v>
      </c>
      <c r="M105" s="621"/>
      <c r="N105" s="621"/>
      <c r="O105" s="621"/>
      <c r="P105" s="622">
        <f t="shared" si="21"/>
        <v>-5.8000000000000007</v>
      </c>
      <c r="Q105" s="609">
        <f t="shared" si="33"/>
        <v>19</v>
      </c>
      <c r="R105" s="620">
        <v>12</v>
      </c>
      <c r="S105" s="620"/>
      <c r="T105" s="620">
        <v>13.8</v>
      </c>
      <c r="U105" s="611">
        <f t="shared" si="22"/>
        <v>25.8</v>
      </c>
      <c r="V105" s="621"/>
      <c r="W105" s="621"/>
      <c r="X105" s="621"/>
      <c r="Y105" s="622">
        <f t="shared" si="23"/>
        <v>6.8000000000000007</v>
      </c>
      <c r="Z105" s="609">
        <f t="shared" si="34"/>
        <v>19</v>
      </c>
      <c r="AA105" s="620">
        <v>12</v>
      </c>
      <c r="AB105" s="620"/>
      <c r="AC105" s="620">
        <v>8</v>
      </c>
      <c r="AD105" s="611">
        <f t="shared" si="24"/>
        <v>20</v>
      </c>
      <c r="AE105" s="621"/>
      <c r="AF105" s="621"/>
      <c r="AG105" s="621"/>
      <c r="AH105" s="622">
        <f t="shared" si="25"/>
        <v>1</v>
      </c>
      <c r="AI105" s="609">
        <f t="shared" si="35"/>
        <v>21.4</v>
      </c>
      <c r="AJ105" s="620">
        <v>9</v>
      </c>
      <c r="AK105" s="620"/>
      <c r="AL105" s="620">
        <v>10</v>
      </c>
      <c r="AM105" s="623">
        <f t="shared" si="26"/>
        <v>19</v>
      </c>
      <c r="AN105" s="621"/>
      <c r="AO105" s="621"/>
      <c r="AP105" s="621"/>
      <c r="AQ105" s="622">
        <f t="shared" si="27"/>
        <v>-2.3999999999999986</v>
      </c>
      <c r="AR105" s="615">
        <f t="shared" si="36"/>
        <v>23.7</v>
      </c>
      <c r="AS105" s="620">
        <v>11</v>
      </c>
      <c r="AT105" s="620"/>
      <c r="AU105" s="620">
        <v>10.4</v>
      </c>
      <c r="AV105" s="623">
        <f t="shared" si="28"/>
        <v>21.4</v>
      </c>
      <c r="AW105" s="621">
        <v>6.2</v>
      </c>
      <c r="AX105" s="621">
        <v>3.63</v>
      </c>
      <c r="AY105" s="621">
        <v>90</v>
      </c>
      <c r="AZ105" s="624">
        <f t="shared" si="29"/>
        <v>-2.3000000000000007</v>
      </c>
      <c r="BA105" s="623">
        <v>23.7</v>
      </c>
      <c r="BB105" s="620">
        <v>12</v>
      </c>
      <c r="BC105" s="620">
        <v>10.7</v>
      </c>
      <c r="BD105" s="623">
        <f t="shared" si="30"/>
        <v>22.7</v>
      </c>
      <c r="BE105" s="621"/>
      <c r="BF105" s="621"/>
      <c r="BG105" s="621"/>
      <c r="BH105" s="621">
        <f t="shared" si="31"/>
        <v>1</v>
      </c>
    </row>
    <row r="106" spans="1:60" ht="17.25" thickTop="1" thickBot="1" x14ac:dyDescent="0.3">
      <c r="A106" s="602">
        <v>99</v>
      </c>
      <c r="B106" s="603">
        <f t="shared" ca="1" si="19"/>
        <v>43134</v>
      </c>
      <c r="C106" s="29" t="s">
        <v>2865</v>
      </c>
      <c r="D106" s="59" t="s">
        <v>2851</v>
      </c>
      <c r="E106" s="22" t="s">
        <v>1120</v>
      </c>
      <c r="F106" s="27" t="s">
        <v>1036</v>
      </c>
      <c r="G106" s="567">
        <v>42763</v>
      </c>
      <c r="H106" s="609">
        <f t="shared" si="32"/>
        <v>21</v>
      </c>
      <c r="I106" s="620">
        <v>6.2</v>
      </c>
      <c r="J106" s="620">
        <v>5</v>
      </c>
      <c r="K106" s="620">
        <v>6.8</v>
      </c>
      <c r="L106" s="611">
        <f t="shared" si="20"/>
        <v>18</v>
      </c>
      <c r="M106" s="621"/>
      <c r="N106" s="621"/>
      <c r="O106" s="621"/>
      <c r="P106" s="622">
        <f t="shared" si="21"/>
        <v>-3</v>
      </c>
      <c r="Q106" s="609">
        <f t="shared" si="33"/>
        <v>19</v>
      </c>
      <c r="R106" s="620">
        <v>7</v>
      </c>
      <c r="S106" s="620">
        <v>7</v>
      </c>
      <c r="T106" s="620">
        <v>7</v>
      </c>
      <c r="U106" s="611">
        <f t="shared" si="22"/>
        <v>21</v>
      </c>
      <c r="V106" s="621"/>
      <c r="W106" s="621"/>
      <c r="X106" s="621"/>
      <c r="Y106" s="622">
        <f t="shared" si="23"/>
        <v>2</v>
      </c>
      <c r="Z106" s="609">
        <f t="shared" si="34"/>
        <v>19</v>
      </c>
      <c r="AA106" s="620">
        <v>12</v>
      </c>
      <c r="AB106" s="620"/>
      <c r="AC106" s="620">
        <v>11.6</v>
      </c>
      <c r="AD106" s="611">
        <f t="shared" si="24"/>
        <v>23.6</v>
      </c>
      <c r="AE106" s="621"/>
      <c r="AF106" s="621"/>
      <c r="AG106" s="621"/>
      <c r="AH106" s="622">
        <f t="shared" si="25"/>
        <v>4.6000000000000014</v>
      </c>
      <c r="AI106" s="609">
        <f t="shared" si="35"/>
        <v>20.6</v>
      </c>
      <c r="AJ106" s="620">
        <v>11</v>
      </c>
      <c r="AK106" s="620"/>
      <c r="AL106" s="620">
        <v>8</v>
      </c>
      <c r="AM106" s="623">
        <f t="shared" si="26"/>
        <v>19</v>
      </c>
      <c r="AN106" s="621"/>
      <c r="AO106" s="621"/>
      <c r="AP106" s="621"/>
      <c r="AQ106" s="622">
        <f t="shared" si="27"/>
        <v>-1.6000000000000014</v>
      </c>
      <c r="AR106" s="615">
        <f t="shared" si="36"/>
        <v>22</v>
      </c>
      <c r="AS106" s="620">
        <v>11</v>
      </c>
      <c r="AT106" s="620"/>
      <c r="AU106" s="620">
        <v>9.6</v>
      </c>
      <c r="AV106" s="623">
        <f t="shared" si="28"/>
        <v>20.6</v>
      </c>
      <c r="AW106" s="621">
        <v>5.37</v>
      </c>
      <c r="AX106" s="621">
        <v>4.1100000000000003</v>
      </c>
      <c r="AY106" s="621">
        <v>109</v>
      </c>
      <c r="AZ106" s="624">
        <f t="shared" si="29"/>
        <v>-1.3999999999999986</v>
      </c>
      <c r="BA106" s="623">
        <v>22</v>
      </c>
      <c r="BB106" s="620">
        <v>14.2</v>
      </c>
      <c r="BC106" s="620">
        <v>16</v>
      </c>
      <c r="BD106" s="623">
        <f t="shared" si="30"/>
        <v>30.2</v>
      </c>
      <c r="BE106" s="621"/>
      <c r="BF106" s="621"/>
      <c r="BG106" s="621"/>
      <c r="BH106" s="621">
        <f t="shared" si="31"/>
        <v>-8.1999999999999993</v>
      </c>
    </row>
    <row r="107" spans="1:60" ht="17.25" thickTop="1" thickBot="1" x14ac:dyDescent="0.3">
      <c r="A107" s="77">
        <v>100</v>
      </c>
      <c r="B107" s="603">
        <f t="shared" ca="1" si="19"/>
        <v>43134</v>
      </c>
      <c r="C107" s="29" t="s">
        <v>2865</v>
      </c>
      <c r="D107" s="59" t="s">
        <v>2851</v>
      </c>
      <c r="E107" s="22" t="s">
        <v>633</v>
      </c>
      <c r="F107" s="27" t="s">
        <v>1028</v>
      </c>
      <c r="G107" s="567">
        <v>42752</v>
      </c>
      <c r="H107" s="609">
        <f t="shared" si="32"/>
        <v>21.6</v>
      </c>
      <c r="I107" s="620">
        <v>1</v>
      </c>
      <c r="J107" s="620"/>
      <c r="K107" s="620">
        <v>5</v>
      </c>
      <c r="L107" s="611">
        <f t="shared" si="20"/>
        <v>6</v>
      </c>
      <c r="M107" s="621"/>
      <c r="N107" s="621"/>
      <c r="O107" s="621"/>
      <c r="P107" s="622">
        <f t="shared" si="21"/>
        <v>-15.600000000000001</v>
      </c>
      <c r="Q107" s="609">
        <f t="shared" si="33"/>
        <v>24.6</v>
      </c>
      <c r="R107" s="620">
        <v>11.2</v>
      </c>
      <c r="S107" s="620"/>
      <c r="T107" s="620">
        <v>10.4</v>
      </c>
      <c r="U107" s="611">
        <f t="shared" si="22"/>
        <v>21.6</v>
      </c>
      <c r="V107" s="621"/>
      <c r="W107" s="621"/>
      <c r="X107" s="621"/>
      <c r="Y107" s="622">
        <f t="shared" si="23"/>
        <v>-3</v>
      </c>
      <c r="Z107" s="609">
        <f t="shared" si="34"/>
        <v>24.6</v>
      </c>
      <c r="AA107" s="620">
        <v>15</v>
      </c>
      <c r="AB107" s="620"/>
      <c r="AC107" s="620">
        <v>5.6</v>
      </c>
      <c r="AD107" s="611">
        <f t="shared" si="24"/>
        <v>20.6</v>
      </c>
      <c r="AE107" s="621"/>
      <c r="AF107" s="621"/>
      <c r="AG107" s="621"/>
      <c r="AH107" s="622">
        <f t="shared" si="25"/>
        <v>-4</v>
      </c>
      <c r="AI107" s="609">
        <f t="shared" si="35"/>
        <v>24</v>
      </c>
      <c r="AJ107" s="620">
        <v>16</v>
      </c>
      <c r="AK107" s="620"/>
      <c r="AL107" s="620">
        <v>8.6</v>
      </c>
      <c r="AM107" s="623">
        <f t="shared" si="26"/>
        <v>24.6</v>
      </c>
      <c r="AN107" s="621"/>
      <c r="AO107" s="621"/>
      <c r="AP107" s="621"/>
      <c r="AQ107" s="622">
        <f t="shared" si="27"/>
        <v>0.60000000000000142</v>
      </c>
      <c r="AR107" s="615">
        <f t="shared" si="36"/>
        <v>20.2</v>
      </c>
      <c r="AS107" s="620">
        <v>12</v>
      </c>
      <c r="AT107" s="620"/>
      <c r="AU107" s="620">
        <v>12</v>
      </c>
      <c r="AV107" s="623">
        <f t="shared" si="28"/>
        <v>24</v>
      </c>
      <c r="AW107" s="621">
        <v>3.69</v>
      </c>
      <c r="AX107" s="621">
        <v>3.3</v>
      </c>
      <c r="AY107" s="621">
        <v>90</v>
      </c>
      <c r="AZ107" s="624">
        <f t="shared" si="29"/>
        <v>3.8000000000000007</v>
      </c>
      <c r="BA107" s="623">
        <v>20.2</v>
      </c>
      <c r="BB107" s="620">
        <v>10.3</v>
      </c>
      <c r="BC107" s="620">
        <v>8.6</v>
      </c>
      <c r="BD107" s="623">
        <f t="shared" si="30"/>
        <v>18.899999999999999</v>
      </c>
      <c r="BE107" s="621"/>
      <c r="BF107" s="621"/>
      <c r="BG107" s="621"/>
      <c r="BH107" s="621">
        <f t="shared" si="31"/>
        <v>1.3000000000000007</v>
      </c>
    </row>
    <row r="108" spans="1:60" ht="17.25" thickTop="1" thickBot="1" x14ac:dyDescent="0.3">
      <c r="A108" s="602">
        <v>101</v>
      </c>
      <c r="B108" s="603">
        <f t="shared" ca="1" si="19"/>
        <v>43134</v>
      </c>
      <c r="C108" s="29" t="s">
        <v>2865</v>
      </c>
      <c r="D108" s="59" t="s">
        <v>2851</v>
      </c>
      <c r="E108" s="22" t="s">
        <v>1112</v>
      </c>
      <c r="F108" s="27" t="s">
        <v>1021</v>
      </c>
      <c r="G108" s="567">
        <v>42758</v>
      </c>
      <c r="H108" s="609">
        <f t="shared" si="32"/>
        <v>19</v>
      </c>
      <c r="I108" s="620">
        <v>13.4</v>
      </c>
      <c r="J108" s="620"/>
      <c r="K108" s="620">
        <v>8</v>
      </c>
      <c r="L108" s="611">
        <f t="shared" si="20"/>
        <v>21.4</v>
      </c>
      <c r="M108" s="621"/>
      <c r="N108" s="621"/>
      <c r="O108" s="621"/>
      <c r="P108" s="622">
        <f t="shared" si="21"/>
        <v>2.3999999999999986</v>
      </c>
      <c r="Q108" s="609">
        <f t="shared" si="33"/>
        <v>12.8</v>
      </c>
      <c r="R108" s="620">
        <v>10</v>
      </c>
      <c r="S108" s="620"/>
      <c r="T108" s="620">
        <v>9</v>
      </c>
      <c r="U108" s="611">
        <f t="shared" si="22"/>
        <v>19</v>
      </c>
      <c r="V108" s="621"/>
      <c r="W108" s="621"/>
      <c r="X108" s="621"/>
      <c r="Y108" s="622">
        <f t="shared" si="23"/>
        <v>6.1999999999999993</v>
      </c>
      <c r="Z108" s="609">
        <f t="shared" si="34"/>
        <v>12.8</v>
      </c>
      <c r="AA108" s="620">
        <v>12</v>
      </c>
      <c r="AB108" s="620"/>
      <c r="AC108" s="620">
        <v>8.4</v>
      </c>
      <c r="AD108" s="611">
        <f t="shared" si="24"/>
        <v>20.399999999999999</v>
      </c>
      <c r="AE108" s="621"/>
      <c r="AF108" s="621"/>
      <c r="AG108" s="621"/>
      <c r="AH108" s="622">
        <f t="shared" si="25"/>
        <v>7.5999999999999979</v>
      </c>
      <c r="AI108" s="609">
        <f t="shared" si="35"/>
        <v>19</v>
      </c>
      <c r="AJ108" s="620">
        <v>7</v>
      </c>
      <c r="AK108" s="620"/>
      <c r="AL108" s="620">
        <v>5.8</v>
      </c>
      <c r="AM108" s="623">
        <f t="shared" si="26"/>
        <v>12.8</v>
      </c>
      <c r="AN108" s="621"/>
      <c r="AO108" s="621"/>
      <c r="AP108" s="621"/>
      <c r="AQ108" s="622">
        <f t="shared" si="27"/>
        <v>-6.1999999999999993</v>
      </c>
      <c r="AR108" s="615">
        <f t="shared" si="36"/>
        <v>20</v>
      </c>
      <c r="AS108" s="620">
        <v>11.4</v>
      </c>
      <c r="AT108" s="620"/>
      <c r="AU108" s="620">
        <v>7.6</v>
      </c>
      <c r="AV108" s="623">
        <f t="shared" si="28"/>
        <v>19</v>
      </c>
      <c r="AW108" s="621">
        <v>4.3499999999999996</v>
      </c>
      <c r="AX108" s="621">
        <v>3.46</v>
      </c>
      <c r="AY108" s="621">
        <v>90</v>
      </c>
      <c r="AZ108" s="624">
        <f t="shared" si="29"/>
        <v>-1</v>
      </c>
      <c r="BA108" s="623">
        <v>20</v>
      </c>
      <c r="BB108" s="620">
        <v>6.3</v>
      </c>
      <c r="BC108" s="620">
        <v>4</v>
      </c>
      <c r="BD108" s="623">
        <f t="shared" si="30"/>
        <v>10.3</v>
      </c>
      <c r="BE108" s="621"/>
      <c r="BF108" s="621"/>
      <c r="BG108" s="621"/>
      <c r="BH108" s="621">
        <f t="shared" si="31"/>
        <v>9.6999999999999993</v>
      </c>
    </row>
    <row r="109" spans="1:60" ht="17.25" thickTop="1" thickBot="1" x14ac:dyDescent="0.3">
      <c r="A109" s="77">
        <v>102</v>
      </c>
      <c r="B109" s="603">
        <f t="shared" ca="1" si="19"/>
        <v>43134</v>
      </c>
      <c r="C109" s="29" t="s">
        <v>2865</v>
      </c>
      <c r="D109" s="59" t="s">
        <v>2851</v>
      </c>
      <c r="E109" s="22" t="s">
        <v>1111</v>
      </c>
      <c r="F109" s="27" t="s">
        <v>1018</v>
      </c>
      <c r="G109" s="567">
        <v>42721</v>
      </c>
      <c r="H109" s="609">
        <f t="shared" si="32"/>
        <v>14.8</v>
      </c>
      <c r="I109" s="620">
        <v>5</v>
      </c>
      <c r="J109" s="620"/>
      <c r="K109" s="620">
        <v>2</v>
      </c>
      <c r="L109" s="611">
        <f t="shared" si="20"/>
        <v>7</v>
      </c>
      <c r="M109" s="621"/>
      <c r="N109" s="621"/>
      <c r="O109" s="621"/>
      <c r="P109" s="622">
        <f t="shared" si="21"/>
        <v>-7.8000000000000007</v>
      </c>
      <c r="Q109" s="609">
        <f t="shared" si="33"/>
        <v>19.399999999999999</v>
      </c>
      <c r="R109" s="620">
        <v>7.8</v>
      </c>
      <c r="S109" s="620"/>
      <c r="T109" s="620">
        <v>7</v>
      </c>
      <c r="U109" s="611">
        <f t="shared" si="22"/>
        <v>14.8</v>
      </c>
      <c r="V109" s="621"/>
      <c r="W109" s="621"/>
      <c r="X109" s="621"/>
      <c r="Y109" s="622">
        <f t="shared" si="23"/>
        <v>-4.5999999999999979</v>
      </c>
      <c r="Z109" s="609">
        <f t="shared" si="34"/>
        <v>19.399999999999999</v>
      </c>
      <c r="AA109" s="620">
        <v>17</v>
      </c>
      <c r="AB109" s="620"/>
      <c r="AC109" s="620">
        <v>0</v>
      </c>
      <c r="AD109" s="611">
        <f t="shared" si="24"/>
        <v>17</v>
      </c>
      <c r="AE109" s="621"/>
      <c r="AF109" s="621"/>
      <c r="AG109" s="621"/>
      <c r="AH109" s="622">
        <f t="shared" si="25"/>
        <v>-2.3999999999999986</v>
      </c>
      <c r="AI109" s="609">
        <f t="shared" si="35"/>
        <v>18</v>
      </c>
      <c r="AJ109" s="620">
        <v>10.4</v>
      </c>
      <c r="AK109" s="620"/>
      <c r="AL109" s="620">
        <v>9</v>
      </c>
      <c r="AM109" s="623">
        <f t="shared" si="26"/>
        <v>19.399999999999999</v>
      </c>
      <c r="AN109" s="621"/>
      <c r="AO109" s="621"/>
      <c r="AP109" s="621"/>
      <c r="AQ109" s="622">
        <f t="shared" si="27"/>
        <v>1.3999999999999986</v>
      </c>
      <c r="AR109" s="615">
        <f t="shared" si="36"/>
        <v>18</v>
      </c>
      <c r="AS109" s="620">
        <v>11.6</v>
      </c>
      <c r="AT109" s="620"/>
      <c r="AU109" s="620">
        <v>6.4</v>
      </c>
      <c r="AV109" s="623">
        <f t="shared" si="28"/>
        <v>18</v>
      </c>
      <c r="AW109" s="621">
        <v>4.1500000000000004</v>
      </c>
      <c r="AX109" s="621">
        <v>3.76</v>
      </c>
      <c r="AY109" s="621">
        <v>90</v>
      </c>
      <c r="AZ109" s="624">
        <f t="shared" si="29"/>
        <v>0</v>
      </c>
      <c r="BA109" s="623">
        <v>18</v>
      </c>
      <c r="BB109" s="620">
        <v>7</v>
      </c>
      <c r="BC109" s="620">
        <v>6</v>
      </c>
      <c r="BD109" s="623">
        <f t="shared" si="30"/>
        <v>13</v>
      </c>
      <c r="BE109" s="621"/>
      <c r="BF109" s="621"/>
      <c r="BG109" s="621"/>
      <c r="BH109" s="621">
        <f t="shared" si="31"/>
        <v>5</v>
      </c>
    </row>
    <row r="110" spans="1:60" ht="17.25" thickTop="1" thickBot="1" x14ac:dyDescent="0.3">
      <c r="A110" s="602">
        <v>103</v>
      </c>
      <c r="B110" s="603">
        <f t="shared" ca="1" si="19"/>
        <v>43134</v>
      </c>
      <c r="C110" s="29" t="s">
        <v>2865</v>
      </c>
      <c r="D110" s="59" t="s">
        <v>2851</v>
      </c>
      <c r="E110" s="22" t="s">
        <v>1493</v>
      </c>
      <c r="F110" s="27" t="s">
        <v>1472</v>
      </c>
      <c r="G110" s="567">
        <v>42788</v>
      </c>
      <c r="H110" s="609">
        <f t="shared" si="32"/>
        <v>17.399999999999999</v>
      </c>
      <c r="I110" s="620">
        <v>7</v>
      </c>
      <c r="J110" s="620"/>
      <c r="K110" s="620">
        <v>6</v>
      </c>
      <c r="L110" s="611">
        <f t="shared" si="20"/>
        <v>13</v>
      </c>
      <c r="M110" s="621"/>
      <c r="N110" s="621"/>
      <c r="O110" s="621"/>
      <c r="P110" s="622">
        <f t="shared" si="21"/>
        <v>-4.3999999999999986</v>
      </c>
      <c r="Q110" s="609">
        <f t="shared" si="33"/>
        <v>21.4</v>
      </c>
      <c r="R110" s="620">
        <v>9.8000000000000007</v>
      </c>
      <c r="S110" s="620"/>
      <c r="T110" s="620">
        <v>7.6</v>
      </c>
      <c r="U110" s="611">
        <f t="shared" si="22"/>
        <v>17.399999999999999</v>
      </c>
      <c r="V110" s="621"/>
      <c r="W110" s="621"/>
      <c r="X110" s="621"/>
      <c r="Y110" s="622">
        <f t="shared" si="23"/>
        <v>-4</v>
      </c>
      <c r="Z110" s="609">
        <f t="shared" si="34"/>
        <v>21.4</v>
      </c>
      <c r="AA110" s="620">
        <v>9.9</v>
      </c>
      <c r="AB110" s="620"/>
      <c r="AC110" s="620">
        <v>3</v>
      </c>
      <c r="AD110" s="611">
        <f t="shared" si="24"/>
        <v>12.9</v>
      </c>
      <c r="AE110" s="621"/>
      <c r="AF110" s="621"/>
      <c r="AG110" s="621"/>
      <c r="AH110" s="622">
        <f t="shared" si="25"/>
        <v>-8.4999999999999982</v>
      </c>
      <c r="AI110" s="609">
        <f t="shared" si="35"/>
        <v>18</v>
      </c>
      <c r="AJ110" s="620">
        <v>11</v>
      </c>
      <c r="AK110" s="620"/>
      <c r="AL110" s="620">
        <v>10.4</v>
      </c>
      <c r="AM110" s="623">
        <f t="shared" si="26"/>
        <v>21.4</v>
      </c>
      <c r="AN110" s="621"/>
      <c r="AO110" s="621"/>
      <c r="AP110" s="621"/>
      <c r="AQ110" s="622">
        <f t="shared" si="27"/>
        <v>3.3999999999999986</v>
      </c>
      <c r="AR110" s="615">
        <f t="shared" si="36"/>
        <v>24</v>
      </c>
      <c r="AS110" s="620">
        <v>9</v>
      </c>
      <c r="AT110" s="620"/>
      <c r="AU110" s="620">
        <v>9</v>
      </c>
      <c r="AV110" s="623">
        <f t="shared" si="28"/>
        <v>18</v>
      </c>
      <c r="AW110" s="621">
        <v>3.43</v>
      </c>
      <c r="AX110" s="621">
        <v>3.34</v>
      </c>
      <c r="AY110" s="621">
        <v>90</v>
      </c>
      <c r="AZ110" s="624">
        <f t="shared" si="29"/>
        <v>-6</v>
      </c>
      <c r="BA110" s="623">
        <v>24</v>
      </c>
      <c r="BB110" s="620">
        <v>12</v>
      </c>
      <c r="BC110" s="620" t="s">
        <v>2823</v>
      </c>
      <c r="BD110" s="623">
        <f t="shared" si="30"/>
        <v>12</v>
      </c>
      <c r="BE110" s="621"/>
      <c r="BF110" s="621"/>
      <c r="BG110" s="621"/>
      <c r="BH110" s="621">
        <f t="shared" si="31"/>
        <v>12</v>
      </c>
    </row>
    <row r="111" spans="1:60" ht="17.25" thickTop="1" thickBot="1" x14ac:dyDescent="0.3">
      <c r="A111" s="77">
        <v>104</v>
      </c>
      <c r="B111" s="603">
        <f t="shared" ca="1" si="19"/>
        <v>43134</v>
      </c>
      <c r="C111" s="29" t="s">
        <v>2865</v>
      </c>
      <c r="D111" s="59" t="s">
        <v>2851</v>
      </c>
      <c r="E111" s="22" t="s">
        <v>185</v>
      </c>
      <c r="F111" s="27" t="s">
        <v>898</v>
      </c>
      <c r="G111" s="567">
        <v>42539</v>
      </c>
      <c r="H111" s="609">
        <f t="shared" si="32"/>
        <v>31.199999999999996</v>
      </c>
      <c r="I111" s="620">
        <v>9</v>
      </c>
      <c r="J111" s="620">
        <v>7</v>
      </c>
      <c r="K111" s="620">
        <v>8.5</v>
      </c>
      <c r="L111" s="611">
        <f t="shared" si="20"/>
        <v>24.5</v>
      </c>
      <c r="M111" s="621"/>
      <c r="N111" s="621"/>
      <c r="O111" s="621"/>
      <c r="P111" s="622">
        <f t="shared" si="21"/>
        <v>-6.6999999999999957</v>
      </c>
      <c r="Q111" s="609">
        <f t="shared" si="33"/>
        <v>0</v>
      </c>
      <c r="R111" s="620">
        <v>12.1</v>
      </c>
      <c r="S111" s="620">
        <v>9.1999999999999993</v>
      </c>
      <c r="T111" s="620">
        <v>9.9</v>
      </c>
      <c r="U111" s="611">
        <f t="shared" si="22"/>
        <v>31.199999999999996</v>
      </c>
      <c r="V111" s="621"/>
      <c r="W111" s="621"/>
      <c r="X111" s="621"/>
      <c r="Y111" s="622">
        <f t="shared" si="23"/>
        <v>31.199999999999996</v>
      </c>
      <c r="Z111" s="609">
        <f t="shared" si="34"/>
        <v>0</v>
      </c>
      <c r="AA111" s="620"/>
      <c r="AB111" s="620"/>
      <c r="AC111" s="620"/>
      <c r="AD111" s="611">
        <f t="shared" si="24"/>
        <v>0</v>
      </c>
      <c r="AE111" s="621"/>
      <c r="AF111" s="621"/>
      <c r="AG111" s="621"/>
      <c r="AH111" s="622">
        <f t="shared" si="25"/>
        <v>0</v>
      </c>
      <c r="AI111" s="609">
        <f t="shared" si="35"/>
        <v>13</v>
      </c>
      <c r="AJ111" s="620"/>
      <c r="AK111" s="620"/>
      <c r="AL111" s="620"/>
      <c r="AM111" s="623">
        <f t="shared" si="26"/>
        <v>0</v>
      </c>
      <c r="AN111" s="621"/>
      <c r="AO111" s="621"/>
      <c r="AP111" s="621"/>
      <c r="AQ111" s="622">
        <f t="shared" si="27"/>
        <v>-13</v>
      </c>
      <c r="AR111" s="615">
        <f t="shared" si="36"/>
        <v>11</v>
      </c>
      <c r="AS111" s="620">
        <v>8</v>
      </c>
      <c r="AT111" s="620"/>
      <c r="AU111" s="620">
        <v>5</v>
      </c>
      <c r="AV111" s="623">
        <f t="shared" si="28"/>
        <v>13</v>
      </c>
      <c r="AW111" s="621">
        <v>3.7</v>
      </c>
      <c r="AX111" s="621">
        <v>3.37</v>
      </c>
      <c r="AY111" s="621">
        <v>90</v>
      </c>
      <c r="AZ111" s="624">
        <f t="shared" si="29"/>
        <v>2</v>
      </c>
      <c r="BA111" s="623">
        <v>11</v>
      </c>
      <c r="BB111" s="620">
        <v>9.3000000000000007</v>
      </c>
      <c r="BC111" s="620">
        <v>11.2</v>
      </c>
      <c r="BD111" s="623">
        <f t="shared" si="30"/>
        <v>20.5</v>
      </c>
      <c r="BE111" s="621"/>
      <c r="BF111" s="621"/>
      <c r="BG111" s="621"/>
      <c r="BH111" s="621">
        <f t="shared" si="31"/>
        <v>-9.5</v>
      </c>
    </row>
    <row r="112" spans="1:60" ht="17.25" thickTop="1" thickBot="1" x14ac:dyDescent="0.3">
      <c r="A112" s="602">
        <v>105</v>
      </c>
      <c r="B112" s="603">
        <f t="shared" ca="1" si="19"/>
        <v>43134</v>
      </c>
      <c r="C112" s="29" t="s">
        <v>2865</v>
      </c>
      <c r="D112" s="59" t="s">
        <v>2851</v>
      </c>
      <c r="E112" s="22" t="s">
        <v>183</v>
      </c>
      <c r="F112" s="27" t="s">
        <v>184</v>
      </c>
      <c r="G112" s="567">
        <v>42669</v>
      </c>
      <c r="H112" s="609">
        <f t="shared" si="32"/>
        <v>0</v>
      </c>
      <c r="I112" s="620"/>
      <c r="J112" s="620"/>
      <c r="K112" s="620"/>
      <c r="L112" s="611">
        <f t="shared" si="20"/>
        <v>0</v>
      </c>
      <c r="M112" s="621"/>
      <c r="N112" s="621"/>
      <c r="O112" s="621"/>
      <c r="P112" s="622">
        <f t="shared" si="21"/>
        <v>0</v>
      </c>
      <c r="Q112" s="609">
        <f t="shared" si="33"/>
        <v>20.6</v>
      </c>
      <c r="R112" s="620"/>
      <c r="S112" s="620"/>
      <c r="T112" s="620"/>
      <c r="U112" s="611">
        <f t="shared" si="22"/>
        <v>0</v>
      </c>
      <c r="V112" s="621"/>
      <c r="W112" s="621"/>
      <c r="X112" s="621"/>
      <c r="Y112" s="622">
        <f t="shared" si="23"/>
        <v>-20.6</v>
      </c>
      <c r="Z112" s="609">
        <f t="shared" si="34"/>
        <v>20.6</v>
      </c>
      <c r="AA112" s="620">
        <v>10</v>
      </c>
      <c r="AB112" s="620"/>
      <c r="AC112" s="620">
        <v>6</v>
      </c>
      <c r="AD112" s="611">
        <f t="shared" si="24"/>
        <v>16</v>
      </c>
      <c r="AE112" s="621"/>
      <c r="AF112" s="621"/>
      <c r="AG112" s="621"/>
      <c r="AH112" s="622">
        <f t="shared" si="25"/>
        <v>-4.6000000000000014</v>
      </c>
      <c r="AI112" s="609">
        <f t="shared" si="35"/>
        <v>20</v>
      </c>
      <c r="AJ112" s="620">
        <v>12</v>
      </c>
      <c r="AK112" s="620"/>
      <c r="AL112" s="620">
        <v>8.6</v>
      </c>
      <c r="AM112" s="623">
        <f t="shared" si="26"/>
        <v>20.6</v>
      </c>
      <c r="AN112" s="621"/>
      <c r="AO112" s="621"/>
      <c r="AP112" s="621"/>
      <c r="AQ112" s="622">
        <f t="shared" si="27"/>
        <v>0.60000000000000142</v>
      </c>
      <c r="AR112" s="615">
        <f t="shared" si="36"/>
        <v>29</v>
      </c>
      <c r="AS112" s="620">
        <v>10</v>
      </c>
      <c r="AT112" s="620"/>
      <c r="AU112" s="620">
        <v>10</v>
      </c>
      <c r="AV112" s="623">
        <f t="shared" si="28"/>
        <v>20</v>
      </c>
      <c r="AW112" s="621">
        <v>4.04</v>
      </c>
      <c r="AX112" s="621">
        <v>3.3</v>
      </c>
      <c r="AY112" s="621">
        <v>90</v>
      </c>
      <c r="AZ112" s="624">
        <f t="shared" si="29"/>
        <v>-9</v>
      </c>
      <c r="BA112" s="623">
        <v>29</v>
      </c>
      <c r="BB112" s="620">
        <v>12</v>
      </c>
      <c r="BC112" s="620">
        <v>11.8</v>
      </c>
      <c r="BD112" s="623">
        <f t="shared" si="30"/>
        <v>23.8</v>
      </c>
      <c r="BE112" s="621"/>
      <c r="BF112" s="621"/>
      <c r="BG112" s="621"/>
      <c r="BH112" s="621">
        <f t="shared" si="31"/>
        <v>5.1999999999999993</v>
      </c>
    </row>
    <row r="113" spans="1:60" ht="17.25" thickTop="1" thickBot="1" x14ac:dyDescent="0.3">
      <c r="A113" s="77">
        <v>106</v>
      </c>
      <c r="B113" s="603">
        <f t="shared" ca="1" si="19"/>
        <v>43134</v>
      </c>
      <c r="C113" s="29" t="s">
        <v>2865</v>
      </c>
      <c r="D113" s="59" t="s">
        <v>2851</v>
      </c>
      <c r="E113" s="22" t="s">
        <v>154</v>
      </c>
      <c r="F113" s="27" t="s">
        <v>155</v>
      </c>
      <c r="G113" s="567">
        <v>42606</v>
      </c>
      <c r="H113" s="609">
        <f t="shared" si="32"/>
        <v>6</v>
      </c>
      <c r="I113" s="620"/>
      <c r="J113" s="620"/>
      <c r="K113" s="620"/>
      <c r="L113" s="611">
        <f t="shared" si="20"/>
        <v>0</v>
      </c>
      <c r="M113" s="621"/>
      <c r="N113" s="621"/>
      <c r="O113" s="621"/>
      <c r="P113" s="622">
        <f t="shared" si="21"/>
        <v>-6</v>
      </c>
      <c r="Q113" s="609">
        <f t="shared" si="33"/>
        <v>18.3</v>
      </c>
      <c r="R113" s="620">
        <v>2.8</v>
      </c>
      <c r="S113" s="620"/>
      <c r="T113" s="620">
        <v>3.2</v>
      </c>
      <c r="U113" s="611">
        <f t="shared" si="22"/>
        <v>6</v>
      </c>
      <c r="V113" s="621"/>
      <c r="W113" s="621"/>
      <c r="X113" s="621"/>
      <c r="Y113" s="622">
        <f t="shared" si="23"/>
        <v>-12.3</v>
      </c>
      <c r="Z113" s="609">
        <f t="shared" si="34"/>
        <v>18.3</v>
      </c>
      <c r="AA113" s="620">
        <v>4.4000000000000004</v>
      </c>
      <c r="AB113" s="620"/>
      <c r="AC113" s="620">
        <v>5</v>
      </c>
      <c r="AD113" s="611">
        <f t="shared" si="24"/>
        <v>9.4</v>
      </c>
      <c r="AE113" s="621"/>
      <c r="AF113" s="621"/>
      <c r="AG113" s="621"/>
      <c r="AH113" s="622">
        <f t="shared" si="25"/>
        <v>-8.9</v>
      </c>
      <c r="AI113" s="609">
        <f t="shared" si="35"/>
        <v>20.5</v>
      </c>
      <c r="AJ113" s="620">
        <v>12.1</v>
      </c>
      <c r="AK113" s="620"/>
      <c r="AL113" s="620">
        <v>6.2</v>
      </c>
      <c r="AM113" s="623">
        <f t="shared" si="26"/>
        <v>18.3</v>
      </c>
      <c r="AN113" s="621"/>
      <c r="AO113" s="621"/>
      <c r="AP113" s="621"/>
      <c r="AQ113" s="622">
        <f t="shared" si="27"/>
        <v>-2.1999999999999993</v>
      </c>
      <c r="AR113" s="615">
        <f t="shared" si="36"/>
        <v>19.5</v>
      </c>
      <c r="AS113" s="620">
        <v>15</v>
      </c>
      <c r="AT113" s="620"/>
      <c r="AU113" s="620">
        <v>5.5</v>
      </c>
      <c r="AV113" s="623">
        <f t="shared" si="28"/>
        <v>20.5</v>
      </c>
      <c r="AW113" s="621">
        <v>2.93</v>
      </c>
      <c r="AX113" s="621">
        <v>3.18</v>
      </c>
      <c r="AY113" s="621">
        <v>90</v>
      </c>
      <c r="AZ113" s="624">
        <f t="shared" si="29"/>
        <v>1</v>
      </c>
      <c r="BA113" s="623">
        <v>19.5</v>
      </c>
      <c r="BB113" s="620">
        <v>11</v>
      </c>
      <c r="BC113" s="620">
        <v>8.1</v>
      </c>
      <c r="BD113" s="623">
        <f t="shared" si="30"/>
        <v>19.100000000000001</v>
      </c>
      <c r="BE113" s="621"/>
      <c r="BF113" s="621"/>
      <c r="BG113" s="621"/>
      <c r="BH113" s="621">
        <f t="shared" si="31"/>
        <v>0.39999999999999858</v>
      </c>
    </row>
    <row r="114" spans="1:60" ht="17.25" thickTop="1" thickBot="1" x14ac:dyDescent="0.3">
      <c r="A114" s="602">
        <v>107</v>
      </c>
      <c r="B114" s="603">
        <f t="shared" ca="1" si="19"/>
        <v>43134</v>
      </c>
      <c r="C114" s="29" t="s">
        <v>2865</v>
      </c>
      <c r="D114" s="59" t="s">
        <v>2851</v>
      </c>
      <c r="E114" s="22" t="s">
        <v>171</v>
      </c>
      <c r="F114" s="27" t="s">
        <v>172</v>
      </c>
      <c r="G114" s="567">
        <v>42586</v>
      </c>
      <c r="H114" s="609">
        <f t="shared" si="32"/>
        <v>32.200000000000003</v>
      </c>
      <c r="I114" s="620">
        <v>9.6</v>
      </c>
      <c r="J114" s="620">
        <v>10</v>
      </c>
      <c r="K114" s="620">
        <v>8.4</v>
      </c>
      <c r="L114" s="611">
        <f t="shared" si="20"/>
        <v>28</v>
      </c>
      <c r="M114" s="621"/>
      <c r="N114" s="621"/>
      <c r="O114" s="621"/>
      <c r="P114" s="622">
        <f t="shared" si="21"/>
        <v>-4.2000000000000028</v>
      </c>
      <c r="Q114" s="609">
        <f t="shared" si="33"/>
        <v>0</v>
      </c>
      <c r="R114" s="620">
        <v>9.1999999999999993</v>
      </c>
      <c r="S114" s="620">
        <v>12</v>
      </c>
      <c r="T114" s="620">
        <v>11</v>
      </c>
      <c r="U114" s="611">
        <f t="shared" si="22"/>
        <v>32.200000000000003</v>
      </c>
      <c r="V114" s="621"/>
      <c r="W114" s="621"/>
      <c r="X114" s="621"/>
      <c r="Y114" s="622">
        <f t="shared" si="23"/>
        <v>32.200000000000003</v>
      </c>
      <c r="Z114" s="609">
        <f t="shared" si="34"/>
        <v>0</v>
      </c>
      <c r="AA114" s="620"/>
      <c r="AB114" s="620"/>
      <c r="AC114" s="620"/>
      <c r="AD114" s="611">
        <f t="shared" si="24"/>
        <v>0</v>
      </c>
      <c r="AE114" s="621"/>
      <c r="AF114" s="621"/>
      <c r="AG114" s="621"/>
      <c r="AH114" s="622">
        <f t="shared" si="25"/>
        <v>0</v>
      </c>
      <c r="AI114" s="609">
        <f t="shared" si="35"/>
        <v>7.5</v>
      </c>
      <c r="AJ114" s="620"/>
      <c r="AK114" s="620"/>
      <c r="AL114" s="620"/>
      <c r="AM114" s="623">
        <f t="shared" si="26"/>
        <v>0</v>
      </c>
      <c r="AN114" s="621"/>
      <c r="AO114" s="621"/>
      <c r="AP114" s="621"/>
      <c r="AQ114" s="622">
        <f t="shared" si="27"/>
        <v>-7.5</v>
      </c>
      <c r="AR114" s="615">
        <f t="shared" si="36"/>
        <v>8.5</v>
      </c>
      <c r="AS114" s="620">
        <v>5</v>
      </c>
      <c r="AT114" s="620"/>
      <c r="AU114" s="620">
        <v>2.5</v>
      </c>
      <c r="AV114" s="623">
        <f t="shared" si="28"/>
        <v>7.5</v>
      </c>
      <c r="AW114" s="621">
        <v>4.26</v>
      </c>
      <c r="AX114" s="621">
        <v>3.74</v>
      </c>
      <c r="AY114" s="621">
        <v>90</v>
      </c>
      <c r="AZ114" s="624">
        <f t="shared" si="29"/>
        <v>-1</v>
      </c>
      <c r="BA114" s="623">
        <v>8.5</v>
      </c>
      <c r="BB114" s="620">
        <v>6.5</v>
      </c>
      <c r="BC114" s="620">
        <v>4</v>
      </c>
      <c r="BD114" s="623">
        <f t="shared" si="30"/>
        <v>10.5</v>
      </c>
      <c r="BE114" s="621"/>
      <c r="BF114" s="621"/>
      <c r="BG114" s="621"/>
      <c r="BH114" s="621">
        <f t="shared" si="31"/>
        <v>-2</v>
      </c>
    </row>
    <row r="115" spans="1:60" ht="17.25" thickTop="1" thickBot="1" x14ac:dyDescent="0.3">
      <c r="A115" s="77">
        <v>108</v>
      </c>
      <c r="B115" s="603">
        <f t="shared" ca="1" si="19"/>
        <v>43134</v>
      </c>
      <c r="C115" s="29" t="s">
        <v>2865</v>
      </c>
      <c r="D115" s="59" t="s">
        <v>2851</v>
      </c>
      <c r="E115" s="22" t="s">
        <v>375</v>
      </c>
      <c r="F115" s="27" t="s">
        <v>1379</v>
      </c>
      <c r="G115" s="567">
        <v>42473</v>
      </c>
      <c r="H115" s="609">
        <f t="shared" si="32"/>
        <v>17.799999999999997</v>
      </c>
      <c r="I115" s="620">
        <v>6</v>
      </c>
      <c r="J115" s="620"/>
      <c r="K115" s="620">
        <v>5.0999999999999996</v>
      </c>
      <c r="L115" s="611">
        <f t="shared" si="20"/>
        <v>11.1</v>
      </c>
      <c r="M115" s="621"/>
      <c r="N115" s="621"/>
      <c r="O115" s="621"/>
      <c r="P115" s="622">
        <f t="shared" si="21"/>
        <v>-6.6999999999999975</v>
      </c>
      <c r="Q115" s="609">
        <f t="shared" si="33"/>
        <v>22</v>
      </c>
      <c r="R115" s="620">
        <v>11.2</v>
      </c>
      <c r="S115" s="620"/>
      <c r="T115" s="620">
        <v>6.6</v>
      </c>
      <c r="U115" s="611">
        <f t="shared" si="22"/>
        <v>17.799999999999997</v>
      </c>
      <c r="V115" s="621"/>
      <c r="W115" s="621"/>
      <c r="X115" s="621"/>
      <c r="Y115" s="622">
        <f t="shared" si="23"/>
        <v>-4.2000000000000028</v>
      </c>
      <c r="Z115" s="609">
        <f t="shared" si="34"/>
        <v>22</v>
      </c>
      <c r="AA115" s="620">
        <v>6</v>
      </c>
      <c r="AB115" s="620"/>
      <c r="AC115" s="620">
        <v>5</v>
      </c>
      <c r="AD115" s="611">
        <f t="shared" si="24"/>
        <v>11</v>
      </c>
      <c r="AE115" s="621"/>
      <c r="AF115" s="621"/>
      <c r="AG115" s="621"/>
      <c r="AH115" s="622">
        <f t="shared" si="25"/>
        <v>-11</v>
      </c>
      <c r="AI115" s="609">
        <f t="shared" si="35"/>
        <v>15.2</v>
      </c>
      <c r="AJ115" s="620">
        <v>13</v>
      </c>
      <c r="AK115" s="620"/>
      <c r="AL115" s="620">
        <v>9</v>
      </c>
      <c r="AM115" s="623">
        <f t="shared" si="26"/>
        <v>22</v>
      </c>
      <c r="AN115" s="621"/>
      <c r="AO115" s="621"/>
      <c r="AP115" s="621"/>
      <c r="AQ115" s="622">
        <f t="shared" si="27"/>
        <v>6.8000000000000007</v>
      </c>
      <c r="AR115" s="615">
        <f t="shared" si="36"/>
        <v>17</v>
      </c>
      <c r="AS115" s="620">
        <v>10</v>
      </c>
      <c r="AT115" s="620"/>
      <c r="AU115" s="620">
        <v>5.2</v>
      </c>
      <c r="AV115" s="623">
        <f t="shared" si="28"/>
        <v>15.2</v>
      </c>
      <c r="AW115" s="621">
        <v>6.26</v>
      </c>
      <c r="AX115" s="621">
        <v>4.13</v>
      </c>
      <c r="AY115" s="621">
        <v>90</v>
      </c>
      <c r="AZ115" s="624">
        <f t="shared" si="29"/>
        <v>-1.8000000000000007</v>
      </c>
      <c r="BA115" s="623">
        <v>17</v>
      </c>
      <c r="BB115" s="620">
        <v>8.6</v>
      </c>
      <c r="BC115" s="620">
        <v>8.1999999999999993</v>
      </c>
      <c r="BD115" s="623">
        <f t="shared" si="30"/>
        <v>16.799999999999997</v>
      </c>
      <c r="BE115" s="621"/>
      <c r="BF115" s="621"/>
      <c r="BG115" s="621"/>
      <c r="BH115" s="621">
        <f t="shared" si="31"/>
        <v>0.20000000000000284</v>
      </c>
    </row>
    <row r="116" spans="1:60" ht="17.25" thickTop="1" thickBot="1" x14ac:dyDescent="0.3">
      <c r="A116" s="602">
        <v>109</v>
      </c>
      <c r="B116" s="603">
        <f t="shared" ca="1" si="19"/>
        <v>43134</v>
      </c>
      <c r="C116" s="29" t="s">
        <v>2865</v>
      </c>
      <c r="D116" s="59" t="s">
        <v>2851</v>
      </c>
      <c r="E116" s="22" t="s">
        <v>574</v>
      </c>
      <c r="F116" s="27" t="s">
        <v>936</v>
      </c>
      <c r="G116" s="567">
        <v>42789</v>
      </c>
      <c r="H116" s="609">
        <f t="shared" si="32"/>
        <v>21.6</v>
      </c>
      <c r="I116" s="620">
        <v>4.4000000000000004</v>
      </c>
      <c r="J116" s="620"/>
      <c r="K116" s="620">
        <v>4.2</v>
      </c>
      <c r="L116" s="611">
        <f t="shared" si="20"/>
        <v>8.6000000000000014</v>
      </c>
      <c r="M116" s="621"/>
      <c r="N116" s="621"/>
      <c r="O116" s="621"/>
      <c r="P116" s="622">
        <f t="shared" si="21"/>
        <v>-13</v>
      </c>
      <c r="Q116" s="609">
        <f t="shared" si="33"/>
        <v>19</v>
      </c>
      <c r="R116" s="620">
        <v>9</v>
      </c>
      <c r="S116" s="620"/>
      <c r="T116" s="620">
        <v>12.6</v>
      </c>
      <c r="U116" s="611">
        <f t="shared" si="22"/>
        <v>21.6</v>
      </c>
      <c r="V116" s="621"/>
      <c r="W116" s="621"/>
      <c r="X116" s="621"/>
      <c r="Y116" s="622">
        <f t="shared" si="23"/>
        <v>2.6000000000000014</v>
      </c>
      <c r="Z116" s="609">
        <f t="shared" si="34"/>
        <v>19</v>
      </c>
      <c r="AA116" s="620">
        <v>12</v>
      </c>
      <c r="AB116" s="620"/>
      <c r="AC116" s="620">
        <v>1.6</v>
      </c>
      <c r="AD116" s="611">
        <f t="shared" si="24"/>
        <v>13.6</v>
      </c>
      <c r="AE116" s="621"/>
      <c r="AF116" s="621"/>
      <c r="AG116" s="621"/>
      <c r="AH116" s="622">
        <f t="shared" si="25"/>
        <v>-5.4</v>
      </c>
      <c r="AI116" s="609">
        <f t="shared" si="35"/>
        <v>23.4</v>
      </c>
      <c r="AJ116" s="620">
        <v>6</v>
      </c>
      <c r="AK116" s="620"/>
      <c r="AL116" s="620">
        <v>13</v>
      </c>
      <c r="AM116" s="623">
        <f t="shared" si="26"/>
        <v>19</v>
      </c>
      <c r="AN116" s="621"/>
      <c r="AO116" s="621"/>
      <c r="AP116" s="621"/>
      <c r="AQ116" s="622">
        <f t="shared" si="27"/>
        <v>-4.3999999999999986</v>
      </c>
      <c r="AR116" s="615">
        <f t="shared" si="36"/>
        <v>24</v>
      </c>
      <c r="AS116" s="620">
        <v>14</v>
      </c>
      <c r="AT116" s="620"/>
      <c r="AU116" s="620">
        <v>9.4</v>
      </c>
      <c r="AV116" s="623">
        <f t="shared" si="28"/>
        <v>23.4</v>
      </c>
      <c r="AW116" s="621">
        <v>4.96</v>
      </c>
      <c r="AX116" s="621">
        <v>3.52</v>
      </c>
      <c r="AY116" s="621">
        <v>90</v>
      </c>
      <c r="AZ116" s="624">
        <f t="shared" si="29"/>
        <v>-0.60000000000000142</v>
      </c>
      <c r="BA116" s="623">
        <v>24</v>
      </c>
      <c r="BB116" s="620">
        <v>8</v>
      </c>
      <c r="BC116" s="620">
        <v>11</v>
      </c>
      <c r="BD116" s="623">
        <f t="shared" si="30"/>
        <v>19</v>
      </c>
      <c r="BE116" s="621"/>
      <c r="BF116" s="621"/>
      <c r="BG116" s="621"/>
      <c r="BH116" s="621">
        <f t="shared" si="31"/>
        <v>5</v>
      </c>
    </row>
    <row r="117" spans="1:60" ht="17.25" thickTop="1" thickBot="1" x14ac:dyDescent="0.3">
      <c r="A117" s="77">
        <v>110</v>
      </c>
      <c r="B117" s="603">
        <f t="shared" ca="1" si="19"/>
        <v>43134</v>
      </c>
      <c r="C117" s="29" t="s">
        <v>2865</v>
      </c>
      <c r="D117" s="59" t="s">
        <v>2851</v>
      </c>
      <c r="E117" s="22" t="s">
        <v>668</v>
      </c>
      <c r="F117" s="27" t="s">
        <v>669</v>
      </c>
      <c r="G117" s="567">
        <v>42741</v>
      </c>
      <c r="H117" s="609">
        <f t="shared" si="32"/>
        <v>7</v>
      </c>
      <c r="I117" s="620"/>
      <c r="J117" s="620"/>
      <c r="K117" s="620"/>
      <c r="L117" s="611">
        <f t="shared" si="20"/>
        <v>0</v>
      </c>
      <c r="M117" s="621"/>
      <c r="N117" s="621"/>
      <c r="O117" s="621"/>
      <c r="P117" s="622">
        <f t="shared" si="21"/>
        <v>-7</v>
      </c>
      <c r="Q117" s="609">
        <f t="shared" si="33"/>
        <v>19.399999999999999</v>
      </c>
      <c r="R117" s="620">
        <v>3.4</v>
      </c>
      <c r="S117" s="620"/>
      <c r="T117" s="620">
        <v>3.6</v>
      </c>
      <c r="U117" s="611">
        <f t="shared" si="22"/>
        <v>7</v>
      </c>
      <c r="V117" s="621"/>
      <c r="W117" s="621"/>
      <c r="X117" s="621"/>
      <c r="Y117" s="622">
        <f t="shared" si="23"/>
        <v>-12.399999999999999</v>
      </c>
      <c r="Z117" s="609">
        <f t="shared" si="34"/>
        <v>19.399999999999999</v>
      </c>
      <c r="AA117" s="620">
        <v>6</v>
      </c>
      <c r="AB117" s="620"/>
      <c r="AC117" s="620">
        <v>6.4</v>
      </c>
      <c r="AD117" s="611">
        <f t="shared" si="24"/>
        <v>12.4</v>
      </c>
      <c r="AE117" s="621"/>
      <c r="AF117" s="621"/>
      <c r="AG117" s="621"/>
      <c r="AH117" s="622">
        <f t="shared" si="25"/>
        <v>-6.9999999999999982</v>
      </c>
      <c r="AI117" s="609">
        <f t="shared" si="35"/>
        <v>9</v>
      </c>
      <c r="AJ117" s="620">
        <v>12.2</v>
      </c>
      <c r="AK117" s="620"/>
      <c r="AL117" s="620">
        <v>7.2</v>
      </c>
      <c r="AM117" s="623">
        <f t="shared" si="26"/>
        <v>19.399999999999999</v>
      </c>
      <c r="AN117" s="621"/>
      <c r="AO117" s="621"/>
      <c r="AP117" s="621"/>
      <c r="AQ117" s="622">
        <f t="shared" si="27"/>
        <v>10.399999999999999</v>
      </c>
      <c r="AR117" s="615">
        <f t="shared" si="36"/>
        <v>27.5</v>
      </c>
      <c r="AS117" s="620">
        <v>5</v>
      </c>
      <c r="AT117" s="620"/>
      <c r="AU117" s="620">
        <v>4</v>
      </c>
      <c r="AV117" s="623">
        <f t="shared" si="28"/>
        <v>9</v>
      </c>
      <c r="AW117" s="621">
        <v>3.42</v>
      </c>
      <c r="AX117" s="621">
        <v>3.18</v>
      </c>
      <c r="AY117" s="621">
        <v>90</v>
      </c>
      <c r="AZ117" s="624">
        <f t="shared" si="29"/>
        <v>-18.5</v>
      </c>
      <c r="BA117" s="623">
        <v>27.5</v>
      </c>
      <c r="BB117" s="620">
        <v>10</v>
      </c>
      <c r="BC117" s="620">
        <v>11.2</v>
      </c>
      <c r="BD117" s="623">
        <f t="shared" si="30"/>
        <v>21.2</v>
      </c>
      <c r="BE117" s="621"/>
      <c r="BF117" s="621"/>
      <c r="BG117" s="621"/>
      <c r="BH117" s="621">
        <f t="shared" si="31"/>
        <v>6.3000000000000007</v>
      </c>
    </row>
    <row r="118" spans="1:60" ht="17.25" thickTop="1" thickBot="1" x14ac:dyDescent="0.3">
      <c r="A118" s="602">
        <v>111</v>
      </c>
      <c r="B118" s="603">
        <f t="shared" ca="1" si="19"/>
        <v>43134</v>
      </c>
      <c r="C118" s="29" t="s">
        <v>2865</v>
      </c>
      <c r="D118" s="59" t="s">
        <v>2851</v>
      </c>
      <c r="E118" s="22" t="s">
        <v>682</v>
      </c>
      <c r="F118" s="27" t="s">
        <v>683</v>
      </c>
      <c r="G118" s="567">
        <v>42800</v>
      </c>
      <c r="H118" s="609">
        <f t="shared" si="32"/>
        <v>14.2</v>
      </c>
      <c r="I118" s="620">
        <v>2.5</v>
      </c>
      <c r="J118" s="620">
        <v>2.4</v>
      </c>
      <c r="K118" s="620">
        <v>2.8</v>
      </c>
      <c r="L118" s="611">
        <f t="shared" si="20"/>
        <v>7.7</v>
      </c>
      <c r="M118" s="621"/>
      <c r="N118" s="621"/>
      <c r="O118" s="621"/>
      <c r="P118" s="622">
        <f t="shared" si="21"/>
        <v>-6.4999999999999991</v>
      </c>
      <c r="Q118" s="609">
        <f t="shared" si="33"/>
        <v>17.8</v>
      </c>
      <c r="R118" s="620">
        <v>4.2</v>
      </c>
      <c r="S118" s="620">
        <v>5</v>
      </c>
      <c r="T118" s="620">
        <v>5</v>
      </c>
      <c r="U118" s="611">
        <f t="shared" si="22"/>
        <v>14.2</v>
      </c>
      <c r="V118" s="621"/>
      <c r="W118" s="621"/>
      <c r="X118" s="621"/>
      <c r="Y118" s="622">
        <f t="shared" si="23"/>
        <v>-3.6000000000000014</v>
      </c>
      <c r="Z118" s="609">
        <f t="shared" si="34"/>
        <v>17.8</v>
      </c>
      <c r="AA118" s="620">
        <v>14</v>
      </c>
      <c r="AB118" s="620"/>
      <c r="AC118" s="620">
        <v>8</v>
      </c>
      <c r="AD118" s="611">
        <f t="shared" si="24"/>
        <v>22</v>
      </c>
      <c r="AE118" s="621"/>
      <c r="AF118" s="621"/>
      <c r="AG118" s="621"/>
      <c r="AH118" s="622">
        <f t="shared" si="25"/>
        <v>4.1999999999999993</v>
      </c>
      <c r="AI118" s="609">
        <f t="shared" si="35"/>
        <v>21.2</v>
      </c>
      <c r="AJ118" s="620">
        <v>9</v>
      </c>
      <c r="AK118" s="620"/>
      <c r="AL118" s="620">
        <v>8.8000000000000007</v>
      </c>
      <c r="AM118" s="623">
        <f t="shared" si="26"/>
        <v>17.8</v>
      </c>
      <c r="AN118" s="621"/>
      <c r="AO118" s="621"/>
      <c r="AP118" s="621"/>
      <c r="AQ118" s="622">
        <f t="shared" si="27"/>
        <v>-3.3999999999999986</v>
      </c>
      <c r="AR118" s="615">
        <f t="shared" si="36"/>
        <v>22.2</v>
      </c>
      <c r="AS118" s="620">
        <v>12</v>
      </c>
      <c r="AT118" s="620"/>
      <c r="AU118" s="620">
        <v>9.1999999999999993</v>
      </c>
      <c r="AV118" s="623">
        <f t="shared" si="28"/>
        <v>21.2</v>
      </c>
      <c r="AW118" s="621">
        <v>3.29</v>
      </c>
      <c r="AX118" s="621">
        <v>3.11</v>
      </c>
      <c r="AY118" s="621">
        <v>90</v>
      </c>
      <c r="AZ118" s="624">
        <f t="shared" si="29"/>
        <v>-1</v>
      </c>
      <c r="BA118" s="623">
        <v>22.2</v>
      </c>
      <c r="BB118" s="620">
        <v>11</v>
      </c>
      <c r="BC118" s="620">
        <v>11.4</v>
      </c>
      <c r="BD118" s="623">
        <f t="shared" si="30"/>
        <v>22.4</v>
      </c>
      <c r="BE118" s="621"/>
      <c r="BF118" s="621"/>
      <c r="BG118" s="621"/>
      <c r="BH118" s="621">
        <f t="shared" si="31"/>
        <v>-0.19999999999999929</v>
      </c>
    </row>
    <row r="119" spans="1:60" ht="17.25" thickTop="1" thickBot="1" x14ac:dyDescent="0.3">
      <c r="A119" s="77">
        <v>112</v>
      </c>
      <c r="B119" s="603">
        <f t="shared" ca="1" si="19"/>
        <v>43134</v>
      </c>
      <c r="C119" s="29" t="s">
        <v>2865</v>
      </c>
      <c r="D119" s="59" t="s">
        <v>2851</v>
      </c>
      <c r="E119" s="22" t="s">
        <v>549</v>
      </c>
      <c r="F119" s="27" t="s">
        <v>550</v>
      </c>
      <c r="G119" s="567">
        <v>42765</v>
      </c>
      <c r="H119" s="609">
        <f t="shared" si="32"/>
        <v>18</v>
      </c>
      <c r="I119" s="620">
        <v>9.1999999999999993</v>
      </c>
      <c r="J119" s="620"/>
      <c r="K119" s="620"/>
      <c r="L119" s="611">
        <f t="shared" si="20"/>
        <v>9.1999999999999993</v>
      </c>
      <c r="M119" s="621"/>
      <c r="N119" s="621"/>
      <c r="O119" s="621"/>
      <c r="P119" s="622">
        <f t="shared" si="21"/>
        <v>-8.8000000000000007</v>
      </c>
      <c r="Q119" s="609">
        <f t="shared" si="33"/>
        <v>18.8</v>
      </c>
      <c r="R119" s="620">
        <v>7.2</v>
      </c>
      <c r="S119" s="620">
        <v>5.8</v>
      </c>
      <c r="T119" s="620">
        <v>5</v>
      </c>
      <c r="U119" s="611">
        <f t="shared" si="22"/>
        <v>18</v>
      </c>
      <c r="V119" s="621"/>
      <c r="W119" s="621"/>
      <c r="X119" s="621"/>
      <c r="Y119" s="622">
        <f t="shared" si="23"/>
        <v>-0.80000000000000071</v>
      </c>
      <c r="Z119" s="609">
        <f t="shared" si="34"/>
        <v>18.8</v>
      </c>
      <c r="AA119" s="620">
        <v>11.8</v>
      </c>
      <c r="AB119" s="620"/>
      <c r="AC119" s="620">
        <v>10.6</v>
      </c>
      <c r="AD119" s="611">
        <f t="shared" si="24"/>
        <v>22.4</v>
      </c>
      <c r="AE119" s="621"/>
      <c r="AF119" s="621"/>
      <c r="AG119" s="621"/>
      <c r="AH119" s="622">
        <f t="shared" si="25"/>
        <v>3.5999999999999979</v>
      </c>
      <c r="AI119" s="609">
        <f t="shared" si="35"/>
        <v>27</v>
      </c>
      <c r="AJ119" s="620">
        <v>6.8</v>
      </c>
      <c r="AK119" s="620"/>
      <c r="AL119" s="620">
        <v>12</v>
      </c>
      <c r="AM119" s="623">
        <f t="shared" si="26"/>
        <v>18.8</v>
      </c>
      <c r="AN119" s="621"/>
      <c r="AO119" s="621"/>
      <c r="AP119" s="621"/>
      <c r="AQ119" s="622">
        <f t="shared" si="27"/>
        <v>-8.1999999999999993</v>
      </c>
      <c r="AR119" s="615">
        <f t="shared" si="36"/>
        <v>31</v>
      </c>
      <c r="AS119" s="620">
        <v>16</v>
      </c>
      <c r="AT119" s="620"/>
      <c r="AU119" s="620">
        <v>11</v>
      </c>
      <c r="AV119" s="623">
        <f t="shared" si="28"/>
        <v>27</v>
      </c>
      <c r="AW119" s="621">
        <v>3.53</v>
      </c>
      <c r="AX119" s="621">
        <v>3.15</v>
      </c>
      <c r="AY119" s="621">
        <v>90</v>
      </c>
      <c r="AZ119" s="624">
        <f t="shared" si="29"/>
        <v>-4</v>
      </c>
      <c r="BA119" s="623">
        <v>31</v>
      </c>
      <c r="BB119" s="620">
        <v>12</v>
      </c>
      <c r="BC119" s="620">
        <v>10.5</v>
      </c>
      <c r="BD119" s="623">
        <f t="shared" si="30"/>
        <v>22.5</v>
      </c>
      <c r="BE119" s="621"/>
      <c r="BF119" s="621"/>
      <c r="BG119" s="621"/>
      <c r="BH119" s="621">
        <f t="shared" si="31"/>
        <v>8.5</v>
      </c>
    </row>
    <row r="120" spans="1:60" ht="17.25" thickTop="1" thickBot="1" x14ac:dyDescent="0.3">
      <c r="A120" s="602">
        <v>113</v>
      </c>
      <c r="B120" s="603">
        <f t="shared" ca="1" si="19"/>
        <v>43134</v>
      </c>
      <c r="C120" s="29" t="s">
        <v>2865</v>
      </c>
      <c r="D120" s="59" t="s">
        <v>2851</v>
      </c>
      <c r="E120" s="22" t="s">
        <v>1397</v>
      </c>
      <c r="F120" s="27" t="s">
        <v>1398</v>
      </c>
      <c r="G120" s="567">
        <v>42476</v>
      </c>
      <c r="H120" s="609">
        <f t="shared" si="32"/>
        <v>14.8</v>
      </c>
      <c r="I120" s="620">
        <v>4.2</v>
      </c>
      <c r="J120" s="620"/>
      <c r="K120" s="620">
        <v>4.0999999999999996</v>
      </c>
      <c r="L120" s="611">
        <f t="shared" si="20"/>
        <v>8.3000000000000007</v>
      </c>
      <c r="M120" s="621"/>
      <c r="N120" s="621"/>
      <c r="O120" s="621"/>
      <c r="P120" s="622">
        <f t="shared" si="21"/>
        <v>-6.5</v>
      </c>
      <c r="Q120" s="609">
        <f t="shared" si="33"/>
        <v>18.100000000000001</v>
      </c>
      <c r="R120" s="620">
        <v>7.2</v>
      </c>
      <c r="S120" s="620"/>
      <c r="T120" s="620">
        <v>7.6</v>
      </c>
      <c r="U120" s="611">
        <f t="shared" si="22"/>
        <v>14.8</v>
      </c>
      <c r="V120" s="621"/>
      <c r="W120" s="621"/>
      <c r="X120" s="621"/>
      <c r="Y120" s="622">
        <f t="shared" si="23"/>
        <v>-3.3000000000000007</v>
      </c>
      <c r="Z120" s="609">
        <f t="shared" si="34"/>
        <v>18.100000000000001</v>
      </c>
      <c r="AA120" s="620">
        <v>11</v>
      </c>
      <c r="AB120" s="620"/>
      <c r="AC120" s="620">
        <v>6.2</v>
      </c>
      <c r="AD120" s="611">
        <f t="shared" si="24"/>
        <v>17.2</v>
      </c>
      <c r="AE120" s="621"/>
      <c r="AF120" s="621"/>
      <c r="AG120" s="621"/>
      <c r="AH120" s="622">
        <f t="shared" si="25"/>
        <v>-0.90000000000000213</v>
      </c>
      <c r="AI120" s="609">
        <f t="shared" si="35"/>
        <v>21</v>
      </c>
      <c r="AJ120" s="620">
        <v>8.3000000000000007</v>
      </c>
      <c r="AK120" s="620"/>
      <c r="AL120" s="620">
        <v>9.8000000000000007</v>
      </c>
      <c r="AM120" s="623">
        <f t="shared" si="26"/>
        <v>18.100000000000001</v>
      </c>
      <c r="AN120" s="621"/>
      <c r="AO120" s="621"/>
      <c r="AP120" s="621"/>
      <c r="AQ120" s="622">
        <f t="shared" si="27"/>
        <v>-2.8999999999999986</v>
      </c>
      <c r="AR120" s="615">
        <f t="shared" si="36"/>
        <v>17</v>
      </c>
      <c r="AS120" s="620">
        <v>12</v>
      </c>
      <c r="AT120" s="620"/>
      <c r="AU120" s="620">
        <v>9</v>
      </c>
      <c r="AV120" s="623">
        <f t="shared" si="28"/>
        <v>21</v>
      </c>
      <c r="AW120" s="621">
        <v>4.33</v>
      </c>
      <c r="AX120" s="621">
        <v>3.83</v>
      </c>
      <c r="AY120" s="621">
        <v>90</v>
      </c>
      <c r="AZ120" s="624">
        <f t="shared" si="29"/>
        <v>4</v>
      </c>
      <c r="BA120" s="623">
        <v>17</v>
      </c>
      <c r="BB120" s="620">
        <v>8</v>
      </c>
      <c r="BC120" s="620">
        <v>11</v>
      </c>
      <c r="BD120" s="623">
        <f t="shared" si="30"/>
        <v>19</v>
      </c>
      <c r="BE120" s="621"/>
      <c r="BF120" s="621"/>
      <c r="BG120" s="621"/>
      <c r="BH120" s="621">
        <f t="shared" si="31"/>
        <v>-2</v>
      </c>
    </row>
    <row r="121" spans="1:60" ht="17.25" thickTop="1" thickBot="1" x14ac:dyDescent="0.3">
      <c r="A121" s="77">
        <v>114</v>
      </c>
      <c r="B121" s="603">
        <f t="shared" ca="1" si="19"/>
        <v>43134</v>
      </c>
      <c r="C121" s="29" t="s">
        <v>2865</v>
      </c>
      <c r="D121" s="59" t="s">
        <v>2851</v>
      </c>
      <c r="E121" s="22" t="s">
        <v>31</v>
      </c>
      <c r="F121" s="27" t="s">
        <v>32</v>
      </c>
      <c r="G121" s="567">
        <v>42519</v>
      </c>
      <c r="H121" s="609">
        <f t="shared" si="32"/>
        <v>16.399999999999999</v>
      </c>
      <c r="I121" s="620">
        <v>4</v>
      </c>
      <c r="J121" s="620"/>
      <c r="K121" s="620">
        <v>1</v>
      </c>
      <c r="L121" s="611">
        <f t="shared" si="20"/>
        <v>5</v>
      </c>
      <c r="M121" s="621"/>
      <c r="N121" s="621"/>
      <c r="O121" s="621"/>
      <c r="P121" s="622">
        <f t="shared" si="21"/>
        <v>-11.399999999999999</v>
      </c>
      <c r="Q121" s="609">
        <f t="shared" si="33"/>
        <v>17.600000000000001</v>
      </c>
      <c r="R121" s="620">
        <v>7</v>
      </c>
      <c r="S121" s="620"/>
      <c r="T121" s="620">
        <v>9.4</v>
      </c>
      <c r="U121" s="611">
        <f t="shared" si="22"/>
        <v>16.399999999999999</v>
      </c>
      <c r="V121" s="621"/>
      <c r="W121" s="621"/>
      <c r="X121" s="621"/>
      <c r="Y121" s="622">
        <f t="shared" si="23"/>
        <v>-1.2000000000000028</v>
      </c>
      <c r="Z121" s="609">
        <f t="shared" si="34"/>
        <v>17.600000000000001</v>
      </c>
      <c r="AA121" s="620">
        <v>7</v>
      </c>
      <c r="AB121" s="620"/>
      <c r="AC121" s="620">
        <v>7.8</v>
      </c>
      <c r="AD121" s="611">
        <f t="shared" si="24"/>
        <v>14.8</v>
      </c>
      <c r="AE121" s="621"/>
      <c r="AF121" s="621"/>
      <c r="AG121" s="621"/>
      <c r="AH121" s="622">
        <f t="shared" si="25"/>
        <v>-2.8000000000000007</v>
      </c>
      <c r="AI121" s="609">
        <f t="shared" si="35"/>
        <v>16</v>
      </c>
      <c r="AJ121" s="620">
        <v>6.6</v>
      </c>
      <c r="AK121" s="620"/>
      <c r="AL121" s="620">
        <v>11</v>
      </c>
      <c r="AM121" s="623">
        <f t="shared" si="26"/>
        <v>17.600000000000001</v>
      </c>
      <c r="AN121" s="621"/>
      <c r="AO121" s="621"/>
      <c r="AP121" s="621"/>
      <c r="AQ121" s="622">
        <f t="shared" si="27"/>
        <v>1.6000000000000014</v>
      </c>
      <c r="AR121" s="615">
        <f t="shared" si="36"/>
        <v>20</v>
      </c>
      <c r="AS121" s="620">
        <v>8</v>
      </c>
      <c r="AT121" s="620"/>
      <c r="AU121" s="620">
        <v>8</v>
      </c>
      <c r="AV121" s="623">
        <f t="shared" si="28"/>
        <v>16</v>
      </c>
      <c r="AW121" s="621"/>
      <c r="AX121" s="621"/>
      <c r="AY121" s="621"/>
      <c r="AZ121" s="624">
        <f t="shared" si="29"/>
        <v>-4</v>
      </c>
      <c r="BA121" s="623">
        <v>20</v>
      </c>
      <c r="BB121" s="620">
        <v>8</v>
      </c>
      <c r="BC121" s="620">
        <v>7</v>
      </c>
      <c r="BD121" s="623">
        <f t="shared" si="30"/>
        <v>15</v>
      </c>
      <c r="BE121" s="621"/>
      <c r="BF121" s="621"/>
      <c r="BG121" s="621"/>
      <c r="BH121" s="621">
        <f t="shared" si="31"/>
        <v>5</v>
      </c>
    </row>
    <row r="122" spans="1:60" ht="17.25" thickTop="1" thickBot="1" x14ac:dyDescent="0.3">
      <c r="A122" s="602">
        <v>115</v>
      </c>
      <c r="B122" s="603">
        <f t="shared" ca="1" si="19"/>
        <v>43134</v>
      </c>
      <c r="C122" s="29" t="s">
        <v>2865</v>
      </c>
      <c r="D122" s="59" t="s">
        <v>2851</v>
      </c>
      <c r="E122" s="22" t="s">
        <v>473</v>
      </c>
      <c r="F122" s="27" t="s">
        <v>474</v>
      </c>
      <c r="G122" s="567">
        <v>42589</v>
      </c>
      <c r="H122" s="609">
        <f t="shared" si="32"/>
        <v>0</v>
      </c>
      <c r="I122" s="620"/>
      <c r="J122" s="620"/>
      <c r="K122" s="620"/>
      <c r="L122" s="611">
        <f t="shared" si="20"/>
        <v>0</v>
      </c>
      <c r="M122" s="621"/>
      <c r="N122" s="621"/>
      <c r="O122" s="621"/>
      <c r="P122" s="622">
        <f t="shared" si="21"/>
        <v>0</v>
      </c>
      <c r="Q122" s="609">
        <f t="shared" si="33"/>
        <v>18.399999999999999</v>
      </c>
      <c r="R122" s="620"/>
      <c r="S122" s="620"/>
      <c r="T122" s="620"/>
      <c r="U122" s="611">
        <f t="shared" si="22"/>
        <v>0</v>
      </c>
      <c r="V122" s="621"/>
      <c r="W122" s="621"/>
      <c r="X122" s="621"/>
      <c r="Y122" s="622">
        <f t="shared" si="23"/>
        <v>-18.399999999999999</v>
      </c>
      <c r="Z122" s="609">
        <f t="shared" si="34"/>
        <v>18.399999999999999</v>
      </c>
      <c r="AA122" s="620">
        <v>8</v>
      </c>
      <c r="AB122" s="620"/>
      <c r="AC122" s="620">
        <v>8</v>
      </c>
      <c r="AD122" s="611">
        <f t="shared" si="24"/>
        <v>16</v>
      </c>
      <c r="AE122" s="621"/>
      <c r="AF122" s="621"/>
      <c r="AG122" s="621"/>
      <c r="AH122" s="622">
        <f t="shared" si="25"/>
        <v>-2.3999999999999986</v>
      </c>
      <c r="AI122" s="609">
        <f t="shared" si="35"/>
        <v>15</v>
      </c>
      <c r="AJ122" s="620">
        <v>11.2</v>
      </c>
      <c r="AK122" s="620"/>
      <c r="AL122" s="620">
        <v>7.2</v>
      </c>
      <c r="AM122" s="623">
        <f t="shared" si="26"/>
        <v>18.399999999999999</v>
      </c>
      <c r="AN122" s="621"/>
      <c r="AO122" s="621"/>
      <c r="AP122" s="621"/>
      <c r="AQ122" s="622">
        <f t="shared" si="27"/>
        <v>3.3999999999999986</v>
      </c>
      <c r="AR122" s="615">
        <f t="shared" si="36"/>
        <v>16</v>
      </c>
      <c r="AS122" s="620">
        <v>7</v>
      </c>
      <c r="AT122" s="620"/>
      <c r="AU122" s="620">
        <v>8</v>
      </c>
      <c r="AV122" s="623">
        <f t="shared" si="28"/>
        <v>15</v>
      </c>
      <c r="AW122" s="621">
        <v>4.25</v>
      </c>
      <c r="AX122" s="621">
        <v>3.38</v>
      </c>
      <c r="AY122" s="621">
        <v>90</v>
      </c>
      <c r="AZ122" s="624">
        <f t="shared" si="29"/>
        <v>-1</v>
      </c>
      <c r="BA122" s="623">
        <v>16</v>
      </c>
      <c r="BB122" s="620">
        <v>8</v>
      </c>
      <c r="BC122" s="620">
        <v>9</v>
      </c>
      <c r="BD122" s="623">
        <f t="shared" si="30"/>
        <v>17</v>
      </c>
      <c r="BE122" s="621"/>
      <c r="BF122" s="621"/>
      <c r="BG122" s="621"/>
      <c r="BH122" s="621">
        <f t="shared" si="31"/>
        <v>-1</v>
      </c>
    </row>
    <row r="123" spans="1:60" ht="17.25" thickTop="1" thickBot="1" x14ac:dyDescent="0.3">
      <c r="A123" s="77">
        <v>116</v>
      </c>
      <c r="B123" s="603">
        <f t="shared" ca="1" si="19"/>
        <v>43134</v>
      </c>
      <c r="C123" s="29" t="s">
        <v>2865</v>
      </c>
      <c r="D123" s="59" t="s">
        <v>2851</v>
      </c>
      <c r="E123" s="22" t="s">
        <v>95</v>
      </c>
      <c r="F123" s="27" t="s">
        <v>464</v>
      </c>
      <c r="G123" s="567">
        <v>42600</v>
      </c>
      <c r="H123" s="609">
        <f t="shared" si="32"/>
        <v>18.600000000000001</v>
      </c>
      <c r="I123" s="620">
        <v>6.2</v>
      </c>
      <c r="J123" s="620"/>
      <c r="K123" s="620">
        <v>5</v>
      </c>
      <c r="L123" s="611">
        <f t="shared" si="20"/>
        <v>11.2</v>
      </c>
      <c r="M123" s="621"/>
      <c r="N123" s="621"/>
      <c r="O123" s="621"/>
      <c r="P123" s="622">
        <f t="shared" si="21"/>
        <v>-7.4000000000000021</v>
      </c>
      <c r="Q123" s="609">
        <f t="shared" si="33"/>
        <v>10</v>
      </c>
      <c r="R123" s="620">
        <v>11</v>
      </c>
      <c r="S123" s="620"/>
      <c r="T123" s="620">
        <v>7.6</v>
      </c>
      <c r="U123" s="611">
        <f t="shared" si="22"/>
        <v>18.600000000000001</v>
      </c>
      <c r="V123" s="621"/>
      <c r="W123" s="621"/>
      <c r="X123" s="621"/>
      <c r="Y123" s="622">
        <f t="shared" si="23"/>
        <v>8.6000000000000014</v>
      </c>
      <c r="Z123" s="609">
        <f t="shared" si="34"/>
        <v>10</v>
      </c>
      <c r="AA123" s="620">
        <v>8.9</v>
      </c>
      <c r="AB123" s="620"/>
      <c r="AC123" s="620">
        <v>2</v>
      </c>
      <c r="AD123" s="611">
        <f t="shared" si="24"/>
        <v>10.9</v>
      </c>
      <c r="AE123" s="621"/>
      <c r="AF123" s="621"/>
      <c r="AG123" s="621"/>
      <c r="AH123" s="622">
        <f t="shared" si="25"/>
        <v>0.90000000000000036</v>
      </c>
      <c r="AI123" s="609">
        <f t="shared" si="35"/>
        <v>9</v>
      </c>
      <c r="AJ123" s="620">
        <v>7</v>
      </c>
      <c r="AK123" s="620"/>
      <c r="AL123" s="620">
        <v>3</v>
      </c>
      <c r="AM123" s="623">
        <f t="shared" si="26"/>
        <v>10</v>
      </c>
      <c r="AN123" s="621"/>
      <c r="AO123" s="621"/>
      <c r="AP123" s="621"/>
      <c r="AQ123" s="622">
        <f t="shared" si="27"/>
        <v>1</v>
      </c>
      <c r="AR123" s="615">
        <f t="shared" si="36"/>
        <v>21.7</v>
      </c>
      <c r="AS123" s="620">
        <v>2</v>
      </c>
      <c r="AT123" s="620"/>
      <c r="AU123" s="620">
        <v>7</v>
      </c>
      <c r="AV123" s="623">
        <f t="shared" si="28"/>
        <v>9</v>
      </c>
      <c r="AW123" s="621">
        <v>4.1399999999999997</v>
      </c>
      <c r="AX123" s="621">
        <v>3.71</v>
      </c>
      <c r="AY123" s="621">
        <v>90</v>
      </c>
      <c r="AZ123" s="624">
        <f t="shared" si="29"/>
        <v>-12.7</v>
      </c>
      <c r="BA123" s="623">
        <v>21.7</v>
      </c>
      <c r="BB123" s="620">
        <v>8.1999999999999993</v>
      </c>
      <c r="BC123" s="620">
        <v>7.4</v>
      </c>
      <c r="BD123" s="623">
        <f t="shared" si="30"/>
        <v>15.6</v>
      </c>
      <c r="BE123" s="621"/>
      <c r="BF123" s="621"/>
      <c r="BG123" s="621"/>
      <c r="BH123" s="621">
        <f t="shared" si="31"/>
        <v>6.1</v>
      </c>
    </row>
    <row r="124" spans="1:60" ht="17.25" thickTop="1" thickBot="1" x14ac:dyDescent="0.3">
      <c r="A124" s="602">
        <v>117</v>
      </c>
      <c r="B124" s="603">
        <f t="shared" ca="1" si="19"/>
        <v>43134</v>
      </c>
      <c r="C124" s="29" t="s">
        <v>2865</v>
      </c>
      <c r="D124" s="59" t="s">
        <v>2851</v>
      </c>
      <c r="E124" s="22" t="s">
        <v>467</v>
      </c>
      <c r="F124" s="27" t="s">
        <v>468</v>
      </c>
      <c r="G124" s="567">
        <v>42679</v>
      </c>
      <c r="H124" s="609">
        <f t="shared" si="32"/>
        <v>25.6</v>
      </c>
      <c r="I124" s="620">
        <v>6.4</v>
      </c>
      <c r="J124" s="620">
        <v>6</v>
      </c>
      <c r="K124" s="620">
        <v>7.4</v>
      </c>
      <c r="L124" s="611">
        <f t="shared" si="20"/>
        <v>19.8</v>
      </c>
      <c r="M124" s="621"/>
      <c r="N124" s="621"/>
      <c r="O124" s="621"/>
      <c r="P124" s="622">
        <f t="shared" si="21"/>
        <v>-5.8000000000000007</v>
      </c>
      <c r="Q124" s="609">
        <f t="shared" si="33"/>
        <v>28.6</v>
      </c>
      <c r="R124" s="620">
        <v>10.6</v>
      </c>
      <c r="S124" s="620">
        <v>10</v>
      </c>
      <c r="T124" s="620">
        <v>5</v>
      </c>
      <c r="U124" s="611">
        <f t="shared" si="22"/>
        <v>25.6</v>
      </c>
      <c r="V124" s="621"/>
      <c r="W124" s="621"/>
      <c r="X124" s="621"/>
      <c r="Y124" s="622">
        <f t="shared" si="23"/>
        <v>-3</v>
      </c>
      <c r="Z124" s="609">
        <f t="shared" si="34"/>
        <v>28.6</v>
      </c>
      <c r="AA124" s="620">
        <v>20</v>
      </c>
      <c r="AB124" s="620"/>
      <c r="AC124" s="620">
        <v>13</v>
      </c>
      <c r="AD124" s="611">
        <f t="shared" si="24"/>
        <v>33</v>
      </c>
      <c r="AE124" s="621"/>
      <c r="AF124" s="621"/>
      <c r="AG124" s="621"/>
      <c r="AH124" s="622">
        <f t="shared" si="25"/>
        <v>4.3999999999999986</v>
      </c>
      <c r="AI124" s="609">
        <f t="shared" si="35"/>
        <v>24.2</v>
      </c>
      <c r="AJ124" s="620">
        <v>14.6</v>
      </c>
      <c r="AK124" s="620"/>
      <c r="AL124" s="620">
        <v>14</v>
      </c>
      <c r="AM124" s="623">
        <f t="shared" si="26"/>
        <v>28.6</v>
      </c>
      <c r="AN124" s="621"/>
      <c r="AO124" s="621"/>
      <c r="AP124" s="621"/>
      <c r="AQ124" s="622">
        <f t="shared" si="27"/>
        <v>4.4000000000000021</v>
      </c>
      <c r="AR124" s="615">
        <f t="shared" si="36"/>
        <v>24</v>
      </c>
      <c r="AS124" s="620">
        <v>15</v>
      </c>
      <c r="AT124" s="620"/>
      <c r="AU124" s="620">
        <v>9.1999999999999993</v>
      </c>
      <c r="AV124" s="623">
        <f t="shared" si="28"/>
        <v>24.2</v>
      </c>
      <c r="AW124" s="621">
        <v>3.63</v>
      </c>
      <c r="AX124" s="621">
        <v>3.48</v>
      </c>
      <c r="AY124" s="621">
        <v>90</v>
      </c>
      <c r="AZ124" s="624">
        <f t="shared" si="29"/>
        <v>0.19999999999999929</v>
      </c>
      <c r="BA124" s="623">
        <v>24</v>
      </c>
      <c r="BB124" s="620">
        <v>5.3</v>
      </c>
      <c r="BC124" s="620">
        <v>12.2</v>
      </c>
      <c r="BD124" s="623">
        <f t="shared" si="30"/>
        <v>17.5</v>
      </c>
      <c r="BE124" s="621"/>
      <c r="BF124" s="621"/>
      <c r="BG124" s="621"/>
      <c r="BH124" s="621">
        <f t="shared" si="31"/>
        <v>6.5</v>
      </c>
    </row>
    <row r="125" spans="1:60" ht="17.25" thickTop="1" thickBot="1" x14ac:dyDescent="0.3">
      <c r="A125" s="77">
        <v>118</v>
      </c>
      <c r="B125" s="603">
        <f t="shared" ca="1" si="19"/>
        <v>43134</v>
      </c>
      <c r="C125" s="29" t="s">
        <v>615</v>
      </c>
      <c r="D125" s="59" t="s">
        <v>1633</v>
      </c>
      <c r="E125" s="22" t="s">
        <v>1088</v>
      </c>
      <c r="F125" s="239" t="s">
        <v>1155</v>
      </c>
      <c r="G125" s="567">
        <v>42549</v>
      </c>
      <c r="H125" s="609">
        <f t="shared" si="32"/>
        <v>26</v>
      </c>
      <c r="I125" s="620">
        <v>7.4</v>
      </c>
      <c r="J125" s="620">
        <v>5.8</v>
      </c>
      <c r="K125" s="620">
        <v>5</v>
      </c>
      <c r="L125" s="611">
        <f t="shared" si="20"/>
        <v>18.2</v>
      </c>
      <c r="M125" s="621"/>
      <c r="N125" s="621"/>
      <c r="O125" s="621"/>
      <c r="P125" s="622">
        <f t="shared" si="21"/>
        <v>-7.8000000000000007</v>
      </c>
      <c r="Q125" s="609">
        <f t="shared" si="33"/>
        <v>0</v>
      </c>
      <c r="R125" s="620">
        <v>12</v>
      </c>
      <c r="S125" s="620">
        <v>7</v>
      </c>
      <c r="T125" s="620">
        <v>7</v>
      </c>
      <c r="U125" s="611">
        <f t="shared" si="22"/>
        <v>26</v>
      </c>
      <c r="V125" s="621"/>
      <c r="W125" s="621"/>
      <c r="X125" s="621"/>
      <c r="Y125" s="622">
        <f t="shared" si="23"/>
        <v>26</v>
      </c>
      <c r="Z125" s="609">
        <f t="shared" si="34"/>
        <v>0</v>
      </c>
      <c r="AA125" s="620">
        <v>9.3000000000000007</v>
      </c>
      <c r="AB125" s="620">
        <v>7.9</v>
      </c>
      <c r="AC125" s="620">
        <v>8.9</v>
      </c>
      <c r="AD125" s="611">
        <f t="shared" si="24"/>
        <v>26.1</v>
      </c>
      <c r="AE125" s="621"/>
      <c r="AF125" s="621"/>
      <c r="AG125" s="621"/>
      <c r="AH125" s="622">
        <f t="shared" si="25"/>
        <v>26.1</v>
      </c>
      <c r="AI125" s="609">
        <f t="shared" si="35"/>
        <v>0</v>
      </c>
      <c r="AJ125" s="620"/>
      <c r="AK125" s="620"/>
      <c r="AL125" s="620"/>
      <c r="AM125" s="623">
        <f t="shared" si="26"/>
        <v>0</v>
      </c>
      <c r="AN125" s="621"/>
      <c r="AO125" s="621"/>
      <c r="AP125" s="621"/>
      <c r="AQ125" s="622">
        <f t="shared" si="27"/>
        <v>0</v>
      </c>
      <c r="AR125" s="615">
        <f t="shared" si="36"/>
        <v>14</v>
      </c>
      <c r="AS125" s="620"/>
      <c r="AT125" s="620"/>
      <c r="AU125" s="620"/>
      <c r="AV125" s="623">
        <f t="shared" si="28"/>
        <v>0</v>
      </c>
      <c r="AW125" s="621"/>
      <c r="AX125" s="621"/>
      <c r="AY125" s="621"/>
      <c r="AZ125" s="624">
        <f t="shared" si="29"/>
        <v>-14</v>
      </c>
      <c r="BA125" s="623">
        <v>14</v>
      </c>
      <c r="BB125" s="620">
        <v>6</v>
      </c>
      <c r="BC125" s="620">
        <v>6.5</v>
      </c>
      <c r="BD125" s="623">
        <f t="shared" si="30"/>
        <v>12.5</v>
      </c>
      <c r="BE125" s="621"/>
      <c r="BF125" s="621"/>
      <c r="BG125" s="621"/>
      <c r="BH125" s="621">
        <f t="shared" si="31"/>
        <v>1.5</v>
      </c>
    </row>
    <row r="126" spans="1:60" ht="17.25" thickTop="1" thickBot="1" x14ac:dyDescent="0.3">
      <c r="A126" s="602">
        <v>119</v>
      </c>
      <c r="B126" s="603">
        <f t="shared" ca="1" si="19"/>
        <v>43134</v>
      </c>
      <c r="C126" s="29" t="s">
        <v>615</v>
      </c>
      <c r="D126" s="59" t="s">
        <v>1633</v>
      </c>
      <c r="E126" s="22" t="s">
        <v>1297</v>
      </c>
      <c r="F126" s="295" t="s">
        <v>1173</v>
      </c>
      <c r="G126" s="567">
        <v>42549</v>
      </c>
      <c r="H126" s="609">
        <f t="shared" si="32"/>
        <v>21.5</v>
      </c>
      <c r="I126" s="620">
        <v>11</v>
      </c>
      <c r="J126" s="620">
        <v>9</v>
      </c>
      <c r="K126" s="620">
        <v>9</v>
      </c>
      <c r="L126" s="611">
        <f t="shared" si="20"/>
        <v>29</v>
      </c>
      <c r="M126" s="621"/>
      <c r="N126" s="621"/>
      <c r="O126" s="621"/>
      <c r="P126" s="622">
        <f t="shared" si="21"/>
        <v>7.5</v>
      </c>
      <c r="Q126" s="609">
        <f t="shared" si="33"/>
        <v>0</v>
      </c>
      <c r="R126" s="620">
        <v>7.5</v>
      </c>
      <c r="S126" s="620">
        <v>6</v>
      </c>
      <c r="T126" s="620">
        <v>8</v>
      </c>
      <c r="U126" s="611">
        <f t="shared" si="22"/>
        <v>21.5</v>
      </c>
      <c r="V126" s="621"/>
      <c r="W126" s="621"/>
      <c r="X126" s="621"/>
      <c r="Y126" s="622">
        <f t="shared" si="23"/>
        <v>21.5</v>
      </c>
      <c r="Z126" s="609">
        <f t="shared" si="34"/>
        <v>0</v>
      </c>
      <c r="AA126" s="620">
        <v>9.6</v>
      </c>
      <c r="AB126" s="620">
        <v>8.1</v>
      </c>
      <c r="AC126" s="620">
        <v>8.5</v>
      </c>
      <c r="AD126" s="611">
        <f t="shared" si="24"/>
        <v>26.2</v>
      </c>
      <c r="AE126" s="621"/>
      <c r="AF126" s="621"/>
      <c r="AG126" s="621"/>
      <c r="AH126" s="622">
        <f t="shared" si="25"/>
        <v>26.2</v>
      </c>
      <c r="AI126" s="609">
        <f t="shared" si="35"/>
        <v>0</v>
      </c>
      <c r="AJ126" s="620"/>
      <c r="AK126" s="620"/>
      <c r="AL126" s="620"/>
      <c r="AM126" s="623">
        <f t="shared" si="26"/>
        <v>0</v>
      </c>
      <c r="AN126" s="621"/>
      <c r="AO126" s="621"/>
      <c r="AP126" s="621"/>
      <c r="AQ126" s="622">
        <f t="shared" si="27"/>
        <v>0</v>
      </c>
      <c r="AR126" s="615">
        <f t="shared" si="36"/>
        <v>19.399999999999999</v>
      </c>
      <c r="AS126" s="620"/>
      <c r="AT126" s="620"/>
      <c r="AU126" s="620"/>
      <c r="AV126" s="623">
        <f t="shared" si="28"/>
        <v>0</v>
      </c>
      <c r="AW126" s="621"/>
      <c r="AX126" s="621"/>
      <c r="AY126" s="621"/>
      <c r="AZ126" s="624">
        <f t="shared" si="29"/>
        <v>-19.399999999999999</v>
      </c>
      <c r="BA126" s="623">
        <v>19.399999999999999</v>
      </c>
      <c r="BB126" s="620">
        <v>9</v>
      </c>
      <c r="BC126" s="620">
        <v>7</v>
      </c>
      <c r="BD126" s="623">
        <f t="shared" si="30"/>
        <v>16</v>
      </c>
      <c r="BE126" s="621"/>
      <c r="BF126" s="621"/>
      <c r="BG126" s="621"/>
      <c r="BH126" s="621">
        <f t="shared" si="31"/>
        <v>3.3999999999999986</v>
      </c>
    </row>
    <row r="127" spans="1:60" ht="17.25" thickTop="1" thickBot="1" x14ac:dyDescent="0.3">
      <c r="A127" s="77">
        <v>120</v>
      </c>
      <c r="B127" s="603">
        <f t="shared" ca="1" si="19"/>
        <v>43134</v>
      </c>
      <c r="C127" s="29" t="s">
        <v>615</v>
      </c>
      <c r="D127" s="59" t="s">
        <v>1633</v>
      </c>
      <c r="E127" s="22" t="s">
        <v>1101</v>
      </c>
      <c r="F127" s="295" t="s">
        <v>1179</v>
      </c>
      <c r="G127" s="567">
        <v>42562</v>
      </c>
      <c r="H127" s="609">
        <f t="shared" si="32"/>
        <v>16.899999999999999</v>
      </c>
      <c r="I127" s="620">
        <v>6</v>
      </c>
      <c r="J127" s="620">
        <v>7</v>
      </c>
      <c r="K127" s="620">
        <v>8</v>
      </c>
      <c r="L127" s="611">
        <f t="shared" si="20"/>
        <v>21</v>
      </c>
      <c r="M127" s="621"/>
      <c r="N127" s="621"/>
      <c r="O127" s="621"/>
      <c r="P127" s="622">
        <f t="shared" si="21"/>
        <v>4.1000000000000014</v>
      </c>
      <c r="Q127" s="609">
        <f t="shared" si="33"/>
        <v>0</v>
      </c>
      <c r="R127" s="620">
        <v>6.6</v>
      </c>
      <c r="S127" s="620">
        <v>6.3</v>
      </c>
      <c r="T127" s="620">
        <v>4</v>
      </c>
      <c r="U127" s="611">
        <f t="shared" si="22"/>
        <v>16.899999999999999</v>
      </c>
      <c r="V127" s="621"/>
      <c r="W127" s="621"/>
      <c r="X127" s="621"/>
      <c r="Y127" s="622">
        <f t="shared" si="23"/>
        <v>16.899999999999999</v>
      </c>
      <c r="Z127" s="609">
        <f t="shared" si="34"/>
        <v>0</v>
      </c>
      <c r="AA127" s="620">
        <v>10.5</v>
      </c>
      <c r="AB127" s="620">
        <v>8.4</v>
      </c>
      <c r="AC127" s="620">
        <v>8.1999999999999993</v>
      </c>
      <c r="AD127" s="611">
        <f t="shared" si="24"/>
        <v>27.099999999999998</v>
      </c>
      <c r="AE127" s="621"/>
      <c r="AF127" s="621"/>
      <c r="AG127" s="621"/>
      <c r="AH127" s="622">
        <f t="shared" si="25"/>
        <v>27.099999999999998</v>
      </c>
      <c r="AI127" s="609">
        <f t="shared" si="35"/>
        <v>0</v>
      </c>
      <c r="AJ127" s="620"/>
      <c r="AK127" s="620"/>
      <c r="AL127" s="620"/>
      <c r="AM127" s="623">
        <f t="shared" si="26"/>
        <v>0</v>
      </c>
      <c r="AN127" s="621"/>
      <c r="AO127" s="621"/>
      <c r="AP127" s="621"/>
      <c r="AQ127" s="622">
        <f t="shared" si="27"/>
        <v>0</v>
      </c>
      <c r="AR127" s="615">
        <f t="shared" si="36"/>
        <v>22.3</v>
      </c>
      <c r="AS127" s="620"/>
      <c r="AT127" s="620"/>
      <c r="AU127" s="620"/>
      <c r="AV127" s="623">
        <f t="shared" si="28"/>
        <v>0</v>
      </c>
      <c r="AW127" s="621"/>
      <c r="AX127" s="621"/>
      <c r="AY127" s="621"/>
      <c r="AZ127" s="624">
        <f t="shared" si="29"/>
        <v>-22.3</v>
      </c>
      <c r="BA127" s="623">
        <v>22.3</v>
      </c>
      <c r="BB127" s="620">
        <v>6.5</v>
      </c>
      <c r="BC127" s="620">
        <v>6</v>
      </c>
      <c r="BD127" s="623">
        <f t="shared" si="30"/>
        <v>12.5</v>
      </c>
      <c r="BE127" s="621"/>
      <c r="BF127" s="621"/>
      <c r="BG127" s="621"/>
      <c r="BH127" s="621">
        <f t="shared" si="31"/>
        <v>9.8000000000000007</v>
      </c>
    </row>
    <row r="128" spans="1:60" ht="17.25" thickTop="1" thickBot="1" x14ac:dyDescent="0.3">
      <c r="A128" s="602">
        <v>121</v>
      </c>
      <c r="B128" s="603">
        <f t="shared" ca="1" si="19"/>
        <v>43134</v>
      </c>
      <c r="C128" s="29" t="s">
        <v>615</v>
      </c>
      <c r="D128" s="59" t="s">
        <v>1633</v>
      </c>
      <c r="E128" s="22" t="s">
        <v>1345</v>
      </c>
      <c r="F128" s="295" t="s">
        <v>1228</v>
      </c>
      <c r="G128" s="567">
        <v>42621</v>
      </c>
      <c r="H128" s="609">
        <f t="shared" si="32"/>
        <v>19.5</v>
      </c>
      <c r="I128" s="620">
        <v>5</v>
      </c>
      <c r="J128" s="620">
        <v>4</v>
      </c>
      <c r="K128" s="620">
        <v>6</v>
      </c>
      <c r="L128" s="611">
        <f t="shared" si="20"/>
        <v>15</v>
      </c>
      <c r="M128" s="621"/>
      <c r="N128" s="621"/>
      <c r="O128" s="621"/>
      <c r="P128" s="622">
        <f t="shared" si="21"/>
        <v>-4.5</v>
      </c>
      <c r="Q128" s="609">
        <f t="shared" si="33"/>
        <v>0</v>
      </c>
      <c r="R128" s="620">
        <v>8.5</v>
      </c>
      <c r="S128" s="620">
        <v>5.5</v>
      </c>
      <c r="T128" s="620">
        <v>5.5</v>
      </c>
      <c r="U128" s="611">
        <f t="shared" si="22"/>
        <v>19.5</v>
      </c>
      <c r="V128" s="621"/>
      <c r="W128" s="621"/>
      <c r="X128" s="621"/>
      <c r="Y128" s="622">
        <f t="shared" si="23"/>
        <v>19.5</v>
      </c>
      <c r="Z128" s="609">
        <f t="shared" si="34"/>
        <v>0</v>
      </c>
      <c r="AA128" s="620">
        <v>6.4</v>
      </c>
      <c r="AB128" s="620">
        <v>7.2</v>
      </c>
      <c r="AC128" s="620">
        <v>8</v>
      </c>
      <c r="AD128" s="611">
        <f t="shared" si="24"/>
        <v>21.6</v>
      </c>
      <c r="AE128" s="621"/>
      <c r="AF128" s="621"/>
      <c r="AG128" s="621"/>
      <c r="AH128" s="622">
        <f t="shared" si="25"/>
        <v>21.6</v>
      </c>
      <c r="AI128" s="609">
        <f t="shared" si="35"/>
        <v>0</v>
      </c>
      <c r="AJ128" s="620"/>
      <c r="AK128" s="620"/>
      <c r="AL128" s="620"/>
      <c r="AM128" s="623">
        <f t="shared" si="26"/>
        <v>0</v>
      </c>
      <c r="AN128" s="621"/>
      <c r="AO128" s="621"/>
      <c r="AP128" s="621"/>
      <c r="AQ128" s="622">
        <f t="shared" si="27"/>
        <v>0</v>
      </c>
      <c r="AR128" s="615">
        <f t="shared" si="36"/>
        <v>17.5</v>
      </c>
      <c r="AS128" s="620"/>
      <c r="AT128" s="620"/>
      <c r="AU128" s="620"/>
      <c r="AV128" s="623">
        <f t="shared" si="28"/>
        <v>0</v>
      </c>
      <c r="AW128" s="621"/>
      <c r="AX128" s="621"/>
      <c r="AY128" s="621"/>
      <c r="AZ128" s="624">
        <f t="shared" si="29"/>
        <v>-17.5</v>
      </c>
      <c r="BA128" s="623">
        <v>17.5</v>
      </c>
      <c r="BB128" s="620">
        <v>8</v>
      </c>
      <c r="BC128" s="620">
        <v>8</v>
      </c>
      <c r="BD128" s="623">
        <f t="shared" si="30"/>
        <v>16</v>
      </c>
      <c r="BE128" s="621"/>
      <c r="BF128" s="621"/>
      <c r="BG128" s="621"/>
      <c r="BH128" s="621">
        <f t="shared" si="31"/>
        <v>1.5</v>
      </c>
    </row>
    <row r="129" spans="1:60" ht="17.25" thickTop="1" thickBot="1" x14ac:dyDescent="0.3">
      <c r="A129" s="77">
        <v>122</v>
      </c>
      <c r="B129" s="603">
        <f t="shared" ca="1" si="19"/>
        <v>43134</v>
      </c>
      <c r="C129" s="29" t="s">
        <v>615</v>
      </c>
      <c r="D129" s="59" t="s">
        <v>1633</v>
      </c>
      <c r="E129" s="22" t="s">
        <v>1354</v>
      </c>
      <c r="F129" s="295" t="s">
        <v>1238</v>
      </c>
      <c r="G129" s="567">
        <v>42579</v>
      </c>
      <c r="H129" s="609">
        <f t="shared" si="32"/>
        <v>19.5</v>
      </c>
      <c r="I129" s="620">
        <v>10</v>
      </c>
      <c r="J129" s="620">
        <v>9</v>
      </c>
      <c r="K129" s="620">
        <v>10</v>
      </c>
      <c r="L129" s="611">
        <f t="shared" si="20"/>
        <v>29</v>
      </c>
      <c r="M129" s="621"/>
      <c r="N129" s="621"/>
      <c r="O129" s="621"/>
      <c r="P129" s="622">
        <f t="shared" si="21"/>
        <v>9.5</v>
      </c>
      <c r="Q129" s="609">
        <f t="shared" si="33"/>
        <v>0</v>
      </c>
      <c r="R129" s="620">
        <v>6</v>
      </c>
      <c r="S129" s="620">
        <v>7</v>
      </c>
      <c r="T129" s="620">
        <v>6.5</v>
      </c>
      <c r="U129" s="611">
        <f t="shared" si="22"/>
        <v>19.5</v>
      </c>
      <c r="V129" s="621"/>
      <c r="W129" s="621"/>
      <c r="X129" s="621"/>
      <c r="Y129" s="622">
        <f t="shared" si="23"/>
        <v>19.5</v>
      </c>
      <c r="Z129" s="609">
        <f t="shared" si="34"/>
        <v>0</v>
      </c>
      <c r="AA129" s="620">
        <v>11.2</v>
      </c>
      <c r="AB129" s="620">
        <v>9.9</v>
      </c>
      <c r="AC129" s="620">
        <v>9.8000000000000007</v>
      </c>
      <c r="AD129" s="611">
        <f t="shared" si="24"/>
        <v>30.900000000000002</v>
      </c>
      <c r="AE129" s="621"/>
      <c r="AF129" s="621"/>
      <c r="AG129" s="621"/>
      <c r="AH129" s="622">
        <f t="shared" si="25"/>
        <v>30.900000000000002</v>
      </c>
      <c r="AI129" s="609">
        <f t="shared" si="35"/>
        <v>0</v>
      </c>
      <c r="AJ129" s="620"/>
      <c r="AK129" s="620"/>
      <c r="AL129" s="620"/>
      <c r="AM129" s="623">
        <f t="shared" si="26"/>
        <v>0</v>
      </c>
      <c r="AN129" s="621"/>
      <c r="AO129" s="621"/>
      <c r="AP129" s="621"/>
      <c r="AQ129" s="622">
        <f t="shared" si="27"/>
        <v>0</v>
      </c>
      <c r="AR129" s="615">
        <f t="shared" si="36"/>
        <v>23.6</v>
      </c>
      <c r="AS129" s="620"/>
      <c r="AT129" s="620"/>
      <c r="AU129" s="620"/>
      <c r="AV129" s="623">
        <f t="shared" si="28"/>
        <v>0</v>
      </c>
      <c r="AW129" s="621"/>
      <c r="AX129" s="621"/>
      <c r="AY129" s="621"/>
      <c r="AZ129" s="624">
        <f t="shared" si="29"/>
        <v>-23.6</v>
      </c>
      <c r="BA129" s="623">
        <v>23.6</v>
      </c>
      <c r="BB129" s="620">
        <v>9</v>
      </c>
      <c r="BC129" s="620">
        <v>7.5</v>
      </c>
      <c r="BD129" s="623">
        <f t="shared" si="30"/>
        <v>16.5</v>
      </c>
      <c r="BE129" s="621"/>
      <c r="BF129" s="621"/>
      <c r="BG129" s="621"/>
      <c r="BH129" s="621">
        <f t="shared" si="31"/>
        <v>7.1000000000000014</v>
      </c>
    </row>
    <row r="130" spans="1:60" ht="17.25" thickTop="1" thickBot="1" x14ac:dyDescent="0.3">
      <c r="A130" s="602">
        <v>123</v>
      </c>
      <c r="B130" s="603">
        <f t="shared" ca="1" si="19"/>
        <v>43134</v>
      </c>
      <c r="C130" s="29" t="s">
        <v>615</v>
      </c>
      <c r="D130" s="59" t="s">
        <v>1633</v>
      </c>
      <c r="E130" s="22" t="s">
        <v>173</v>
      </c>
      <c r="F130" s="295" t="s">
        <v>174</v>
      </c>
      <c r="G130" s="567">
        <v>42502</v>
      </c>
      <c r="H130" s="609">
        <f t="shared" si="32"/>
        <v>16</v>
      </c>
      <c r="I130" s="620">
        <v>10</v>
      </c>
      <c r="J130" s="620">
        <v>8</v>
      </c>
      <c r="K130" s="620">
        <v>10</v>
      </c>
      <c r="L130" s="611">
        <f t="shared" si="20"/>
        <v>28</v>
      </c>
      <c r="M130" s="621"/>
      <c r="N130" s="621"/>
      <c r="O130" s="621"/>
      <c r="P130" s="622">
        <f t="shared" si="21"/>
        <v>12</v>
      </c>
      <c r="Q130" s="609">
        <f t="shared" si="33"/>
        <v>0</v>
      </c>
      <c r="R130" s="620">
        <v>6</v>
      </c>
      <c r="S130" s="620">
        <v>5</v>
      </c>
      <c r="T130" s="620">
        <v>5</v>
      </c>
      <c r="U130" s="611">
        <f t="shared" si="22"/>
        <v>16</v>
      </c>
      <c r="V130" s="621"/>
      <c r="W130" s="621"/>
      <c r="X130" s="621"/>
      <c r="Y130" s="622">
        <f t="shared" si="23"/>
        <v>16</v>
      </c>
      <c r="Z130" s="609">
        <f t="shared" si="34"/>
        <v>0</v>
      </c>
      <c r="AA130" s="620">
        <v>13.3</v>
      </c>
      <c r="AB130" s="620">
        <v>7.5</v>
      </c>
      <c r="AC130" s="620">
        <v>7.5</v>
      </c>
      <c r="AD130" s="611">
        <f t="shared" si="24"/>
        <v>28.3</v>
      </c>
      <c r="AE130" s="621"/>
      <c r="AF130" s="621"/>
      <c r="AG130" s="621"/>
      <c r="AH130" s="622">
        <f t="shared" si="25"/>
        <v>28.3</v>
      </c>
      <c r="AI130" s="609">
        <f t="shared" si="35"/>
        <v>0</v>
      </c>
      <c r="AJ130" s="620"/>
      <c r="AK130" s="620"/>
      <c r="AL130" s="620"/>
      <c r="AM130" s="623">
        <f t="shared" si="26"/>
        <v>0</v>
      </c>
      <c r="AN130" s="621"/>
      <c r="AO130" s="621"/>
      <c r="AP130" s="621"/>
      <c r="AQ130" s="622">
        <f t="shared" si="27"/>
        <v>0</v>
      </c>
      <c r="AR130" s="615">
        <f t="shared" si="36"/>
        <v>20.5</v>
      </c>
      <c r="AS130" s="620"/>
      <c r="AT130" s="620"/>
      <c r="AU130" s="620"/>
      <c r="AV130" s="623">
        <f t="shared" si="28"/>
        <v>0</v>
      </c>
      <c r="AW130" s="621"/>
      <c r="AX130" s="621"/>
      <c r="AY130" s="621"/>
      <c r="AZ130" s="624">
        <f t="shared" si="29"/>
        <v>-20.5</v>
      </c>
      <c r="BA130" s="623">
        <v>20.5</v>
      </c>
      <c r="BB130" s="620">
        <v>8</v>
      </c>
      <c r="BC130" s="620">
        <v>6</v>
      </c>
      <c r="BD130" s="623">
        <f t="shared" si="30"/>
        <v>14</v>
      </c>
      <c r="BE130" s="621"/>
      <c r="BF130" s="621"/>
      <c r="BG130" s="621"/>
      <c r="BH130" s="621">
        <f t="shared" si="31"/>
        <v>6.5</v>
      </c>
    </row>
    <row r="131" spans="1:60" ht="17.25" thickTop="1" thickBot="1" x14ac:dyDescent="0.3">
      <c r="A131" s="77">
        <v>124</v>
      </c>
      <c r="B131" s="603">
        <f t="shared" ca="1" si="19"/>
        <v>43134</v>
      </c>
      <c r="C131" s="29" t="s">
        <v>615</v>
      </c>
      <c r="D131" s="59" t="s">
        <v>908</v>
      </c>
      <c r="E131" s="22" t="s">
        <v>298</v>
      </c>
      <c r="F131" s="295" t="s">
        <v>815</v>
      </c>
      <c r="G131" s="567">
        <v>42545</v>
      </c>
      <c r="H131" s="609">
        <f t="shared" si="32"/>
        <v>17</v>
      </c>
      <c r="I131" s="620">
        <v>7</v>
      </c>
      <c r="J131" s="620">
        <v>6</v>
      </c>
      <c r="K131" s="620">
        <v>5</v>
      </c>
      <c r="L131" s="611">
        <f t="shared" si="20"/>
        <v>18</v>
      </c>
      <c r="M131" s="621"/>
      <c r="N131" s="621"/>
      <c r="O131" s="621"/>
      <c r="P131" s="622">
        <f t="shared" si="21"/>
        <v>1</v>
      </c>
      <c r="Q131" s="609">
        <f t="shared" si="33"/>
        <v>19.600000000000001</v>
      </c>
      <c r="R131" s="620">
        <v>6</v>
      </c>
      <c r="S131" s="620">
        <v>6</v>
      </c>
      <c r="T131" s="620">
        <v>5</v>
      </c>
      <c r="U131" s="611">
        <f t="shared" si="22"/>
        <v>17</v>
      </c>
      <c r="V131" s="621"/>
      <c r="W131" s="621"/>
      <c r="X131" s="621"/>
      <c r="Y131" s="622">
        <f t="shared" si="23"/>
        <v>-2.6000000000000014</v>
      </c>
      <c r="Z131" s="609">
        <f t="shared" si="34"/>
        <v>19.600000000000001</v>
      </c>
      <c r="AA131" s="620">
        <v>7.6</v>
      </c>
      <c r="AB131" s="620">
        <v>7</v>
      </c>
      <c r="AC131" s="620">
        <v>4.3</v>
      </c>
      <c r="AD131" s="611">
        <f t="shared" si="24"/>
        <v>18.899999999999999</v>
      </c>
      <c r="AE131" s="621"/>
      <c r="AF131" s="621"/>
      <c r="AG131" s="621"/>
      <c r="AH131" s="622">
        <f t="shared" si="25"/>
        <v>-0.70000000000000284</v>
      </c>
      <c r="AI131" s="609">
        <f t="shared" si="35"/>
        <v>0</v>
      </c>
      <c r="AJ131" s="620">
        <v>6.9</v>
      </c>
      <c r="AK131" s="620">
        <v>6.4</v>
      </c>
      <c r="AL131" s="620">
        <v>6.3</v>
      </c>
      <c r="AM131" s="623">
        <f t="shared" si="26"/>
        <v>19.600000000000001</v>
      </c>
      <c r="AN131" s="621"/>
      <c r="AO131" s="621"/>
      <c r="AP131" s="621"/>
      <c r="AQ131" s="622">
        <f t="shared" si="27"/>
        <v>19.600000000000001</v>
      </c>
      <c r="AR131" s="615">
        <f t="shared" si="36"/>
        <v>7.5</v>
      </c>
      <c r="AS131" s="620"/>
      <c r="AT131" s="620"/>
      <c r="AU131" s="620"/>
      <c r="AV131" s="623">
        <f t="shared" si="28"/>
        <v>0</v>
      </c>
      <c r="AW131" s="621"/>
      <c r="AX131" s="621"/>
      <c r="AY131" s="621"/>
      <c r="AZ131" s="624">
        <f t="shared" si="29"/>
        <v>-7.5</v>
      </c>
      <c r="BA131" s="623">
        <v>7.5</v>
      </c>
      <c r="BB131" s="620">
        <v>3</v>
      </c>
      <c r="BC131" s="620">
        <v>2</v>
      </c>
      <c r="BD131" s="623">
        <f t="shared" si="30"/>
        <v>5</v>
      </c>
      <c r="BE131" s="621"/>
      <c r="BF131" s="621"/>
      <c r="BG131" s="621"/>
      <c r="BH131" s="621">
        <f t="shared" si="31"/>
        <v>2.5</v>
      </c>
    </row>
    <row r="132" spans="1:60" ht="17.25" thickTop="1" thickBot="1" x14ac:dyDescent="0.3">
      <c r="A132" s="602">
        <v>125</v>
      </c>
      <c r="B132" s="603">
        <f t="shared" ca="1" si="19"/>
        <v>43134</v>
      </c>
      <c r="C132" s="29" t="s">
        <v>615</v>
      </c>
      <c r="D132" s="59" t="s">
        <v>908</v>
      </c>
      <c r="E132" s="22" t="s">
        <v>878</v>
      </c>
      <c r="F132" s="295" t="s">
        <v>879</v>
      </c>
      <c r="G132" s="567">
        <v>42492</v>
      </c>
      <c r="H132" s="609">
        <f t="shared" si="32"/>
        <v>22</v>
      </c>
      <c r="I132" s="620">
        <v>11</v>
      </c>
      <c r="J132" s="620">
        <v>9</v>
      </c>
      <c r="K132" s="620">
        <v>9</v>
      </c>
      <c r="L132" s="611">
        <f t="shared" si="20"/>
        <v>29</v>
      </c>
      <c r="M132" s="621"/>
      <c r="N132" s="621"/>
      <c r="O132" s="621"/>
      <c r="P132" s="622">
        <f t="shared" si="21"/>
        <v>7</v>
      </c>
      <c r="Q132" s="609">
        <f t="shared" si="33"/>
        <v>0</v>
      </c>
      <c r="R132" s="620">
        <v>10</v>
      </c>
      <c r="S132" s="620">
        <v>5</v>
      </c>
      <c r="T132" s="620">
        <v>7</v>
      </c>
      <c r="U132" s="611">
        <f t="shared" si="22"/>
        <v>22</v>
      </c>
      <c r="V132" s="621"/>
      <c r="W132" s="621"/>
      <c r="X132" s="621"/>
      <c r="Y132" s="622">
        <f t="shared" si="23"/>
        <v>22</v>
      </c>
      <c r="Z132" s="609">
        <f t="shared" si="34"/>
        <v>0</v>
      </c>
      <c r="AA132" s="620">
        <v>10.3</v>
      </c>
      <c r="AB132" s="620">
        <v>12.4</v>
      </c>
      <c r="AC132" s="620">
        <v>13</v>
      </c>
      <c r="AD132" s="611">
        <f t="shared" si="24"/>
        <v>35.700000000000003</v>
      </c>
      <c r="AE132" s="621"/>
      <c r="AF132" s="621"/>
      <c r="AG132" s="621"/>
      <c r="AH132" s="622">
        <f t="shared" si="25"/>
        <v>35.700000000000003</v>
      </c>
      <c r="AI132" s="609">
        <f t="shared" si="35"/>
        <v>0</v>
      </c>
      <c r="AJ132" s="620"/>
      <c r="AK132" s="620"/>
      <c r="AL132" s="620"/>
      <c r="AM132" s="623">
        <f t="shared" si="26"/>
        <v>0</v>
      </c>
      <c r="AN132" s="621"/>
      <c r="AO132" s="621"/>
      <c r="AP132" s="621"/>
      <c r="AQ132" s="622">
        <f t="shared" si="27"/>
        <v>0</v>
      </c>
      <c r="AR132" s="615">
        <f t="shared" si="36"/>
        <v>9.5</v>
      </c>
      <c r="AS132" s="620"/>
      <c r="AT132" s="620"/>
      <c r="AU132" s="620"/>
      <c r="AV132" s="623">
        <f t="shared" si="28"/>
        <v>0</v>
      </c>
      <c r="AW132" s="621"/>
      <c r="AX132" s="621"/>
      <c r="AY132" s="621"/>
      <c r="AZ132" s="624">
        <f t="shared" si="29"/>
        <v>-9.5</v>
      </c>
      <c r="BA132" s="623">
        <v>9.5</v>
      </c>
      <c r="BB132" s="620">
        <v>5</v>
      </c>
      <c r="BC132" s="620">
        <v>4</v>
      </c>
      <c r="BD132" s="623">
        <f t="shared" si="30"/>
        <v>9</v>
      </c>
      <c r="BE132" s="621"/>
      <c r="BF132" s="621"/>
      <c r="BG132" s="621"/>
      <c r="BH132" s="621">
        <f t="shared" si="31"/>
        <v>0.5</v>
      </c>
    </row>
    <row r="133" spans="1:60" ht="17.25" thickTop="1" thickBot="1" x14ac:dyDescent="0.3">
      <c r="A133" s="77">
        <v>126</v>
      </c>
      <c r="B133" s="603">
        <f t="shared" ca="1" si="19"/>
        <v>43134</v>
      </c>
      <c r="C133" s="29" t="s">
        <v>615</v>
      </c>
      <c r="D133" s="59" t="s">
        <v>908</v>
      </c>
      <c r="E133" s="22" t="s">
        <v>806</v>
      </c>
      <c r="F133" s="27" t="s">
        <v>880</v>
      </c>
      <c r="G133" s="567">
        <v>42534</v>
      </c>
      <c r="H133" s="609">
        <f t="shared" si="32"/>
        <v>23</v>
      </c>
      <c r="I133" s="620">
        <v>7</v>
      </c>
      <c r="J133" s="620">
        <v>8</v>
      </c>
      <c r="K133" s="620"/>
      <c r="L133" s="611">
        <f t="shared" si="20"/>
        <v>15</v>
      </c>
      <c r="M133" s="621"/>
      <c r="N133" s="621"/>
      <c r="O133" s="621"/>
      <c r="P133" s="622">
        <f t="shared" si="21"/>
        <v>-8</v>
      </c>
      <c r="Q133" s="609">
        <f t="shared" si="33"/>
        <v>0</v>
      </c>
      <c r="R133" s="620">
        <v>9</v>
      </c>
      <c r="S133" s="620">
        <v>5.8</v>
      </c>
      <c r="T133" s="620">
        <v>8.1999999999999993</v>
      </c>
      <c r="U133" s="611">
        <f t="shared" si="22"/>
        <v>23</v>
      </c>
      <c r="V133" s="621"/>
      <c r="W133" s="621"/>
      <c r="X133" s="621"/>
      <c r="Y133" s="622">
        <f t="shared" si="23"/>
        <v>23</v>
      </c>
      <c r="Z133" s="609">
        <f t="shared" si="34"/>
        <v>0</v>
      </c>
      <c r="AA133" s="620">
        <v>10</v>
      </c>
      <c r="AB133" s="620">
        <v>10</v>
      </c>
      <c r="AC133" s="620">
        <v>9</v>
      </c>
      <c r="AD133" s="611">
        <f t="shared" si="24"/>
        <v>29</v>
      </c>
      <c r="AE133" s="621"/>
      <c r="AF133" s="621"/>
      <c r="AG133" s="621"/>
      <c r="AH133" s="622">
        <f t="shared" si="25"/>
        <v>29</v>
      </c>
      <c r="AI133" s="609">
        <f t="shared" si="35"/>
        <v>0</v>
      </c>
      <c r="AJ133" s="620"/>
      <c r="AK133" s="620"/>
      <c r="AL133" s="620"/>
      <c r="AM133" s="623">
        <f t="shared" si="26"/>
        <v>0</v>
      </c>
      <c r="AN133" s="621"/>
      <c r="AO133" s="621"/>
      <c r="AP133" s="621"/>
      <c r="AQ133" s="622">
        <f t="shared" si="27"/>
        <v>0</v>
      </c>
      <c r="AR133" s="615">
        <f t="shared" si="36"/>
        <v>12</v>
      </c>
      <c r="AS133" s="620"/>
      <c r="AT133" s="620"/>
      <c r="AU133" s="620"/>
      <c r="AV133" s="623">
        <f t="shared" si="28"/>
        <v>0</v>
      </c>
      <c r="AW133" s="621"/>
      <c r="AX133" s="621"/>
      <c r="AY133" s="621"/>
      <c r="AZ133" s="624">
        <f t="shared" si="29"/>
        <v>-12</v>
      </c>
      <c r="BA133" s="623">
        <v>12</v>
      </c>
      <c r="BB133" s="620">
        <v>6.5</v>
      </c>
      <c r="BC133" s="620">
        <v>6</v>
      </c>
      <c r="BD133" s="623">
        <f t="shared" si="30"/>
        <v>12.5</v>
      </c>
      <c r="BE133" s="621"/>
      <c r="BF133" s="621"/>
      <c r="BG133" s="621"/>
      <c r="BH133" s="621">
        <f t="shared" si="31"/>
        <v>-0.5</v>
      </c>
    </row>
    <row r="134" spans="1:60" ht="17.25" thickTop="1" thickBot="1" x14ac:dyDescent="0.3">
      <c r="A134" s="602">
        <v>127</v>
      </c>
      <c r="B134" s="603">
        <f t="shared" ca="1" si="19"/>
        <v>43134</v>
      </c>
      <c r="C134" s="29" t="s">
        <v>615</v>
      </c>
      <c r="D134" s="59" t="s">
        <v>908</v>
      </c>
      <c r="E134" s="22" t="s">
        <v>1272</v>
      </c>
      <c r="F134" s="27" t="s">
        <v>1138</v>
      </c>
      <c r="G134" s="567">
        <v>42513</v>
      </c>
      <c r="H134" s="609">
        <f t="shared" si="32"/>
        <v>24.3</v>
      </c>
      <c r="I134" s="620">
        <v>11.5</v>
      </c>
      <c r="J134" s="620">
        <v>12</v>
      </c>
      <c r="K134" s="620">
        <v>8</v>
      </c>
      <c r="L134" s="611">
        <f t="shared" si="20"/>
        <v>31.5</v>
      </c>
      <c r="M134" s="621"/>
      <c r="N134" s="621"/>
      <c r="O134" s="621"/>
      <c r="P134" s="622">
        <f t="shared" si="21"/>
        <v>7.1999999999999993</v>
      </c>
      <c r="Q134" s="609">
        <f t="shared" si="33"/>
        <v>0</v>
      </c>
      <c r="R134" s="620">
        <v>8.3000000000000007</v>
      </c>
      <c r="S134" s="620">
        <v>8</v>
      </c>
      <c r="T134" s="620">
        <v>8</v>
      </c>
      <c r="U134" s="611">
        <f t="shared" si="22"/>
        <v>24.3</v>
      </c>
      <c r="V134" s="621"/>
      <c r="W134" s="621"/>
      <c r="X134" s="621"/>
      <c r="Y134" s="622">
        <f t="shared" si="23"/>
        <v>24.3</v>
      </c>
      <c r="Z134" s="609">
        <f t="shared" si="34"/>
        <v>0</v>
      </c>
      <c r="AA134" s="620">
        <v>14</v>
      </c>
      <c r="AB134" s="620">
        <v>10</v>
      </c>
      <c r="AC134" s="620">
        <v>10</v>
      </c>
      <c r="AD134" s="611">
        <f t="shared" si="24"/>
        <v>34</v>
      </c>
      <c r="AE134" s="621"/>
      <c r="AF134" s="621"/>
      <c r="AG134" s="621"/>
      <c r="AH134" s="622">
        <f t="shared" si="25"/>
        <v>34</v>
      </c>
      <c r="AI134" s="609">
        <f t="shared" si="35"/>
        <v>0</v>
      </c>
      <c r="AJ134" s="620"/>
      <c r="AK134" s="620"/>
      <c r="AL134" s="620"/>
      <c r="AM134" s="623">
        <f t="shared" si="26"/>
        <v>0</v>
      </c>
      <c r="AN134" s="621"/>
      <c r="AO134" s="621"/>
      <c r="AP134" s="621"/>
      <c r="AQ134" s="622">
        <f t="shared" si="27"/>
        <v>0</v>
      </c>
      <c r="AR134" s="615">
        <f t="shared" si="36"/>
        <v>12.5</v>
      </c>
      <c r="AS134" s="620"/>
      <c r="AT134" s="620"/>
      <c r="AU134" s="620"/>
      <c r="AV134" s="623">
        <f t="shared" si="28"/>
        <v>0</v>
      </c>
      <c r="AW134" s="621"/>
      <c r="AX134" s="621"/>
      <c r="AY134" s="621"/>
      <c r="AZ134" s="624">
        <f t="shared" si="29"/>
        <v>-12.5</v>
      </c>
      <c r="BA134" s="623">
        <v>12.5</v>
      </c>
      <c r="BB134" s="620">
        <v>6.5</v>
      </c>
      <c r="BC134" s="620">
        <v>6</v>
      </c>
      <c r="BD134" s="623">
        <f t="shared" si="30"/>
        <v>12.5</v>
      </c>
      <c r="BE134" s="621"/>
      <c r="BF134" s="621"/>
      <c r="BG134" s="621"/>
      <c r="BH134" s="621">
        <f t="shared" si="31"/>
        <v>0</v>
      </c>
    </row>
    <row r="135" spans="1:60" ht="17.25" thickTop="1" thickBot="1" x14ac:dyDescent="0.3">
      <c r="A135" s="77">
        <v>128</v>
      </c>
      <c r="B135" s="603">
        <f t="shared" ca="1" si="19"/>
        <v>43134</v>
      </c>
      <c r="C135" s="29" t="s">
        <v>615</v>
      </c>
      <c r="D135" s="59" t="s">
        <v>908</v>
      </c>
      <c r="E135" s="22" t="s">
        <v>1487</v>
      </c>
      <c r="F135" s="27" t="s">
        <v>1146</v>
      </c>
      <c r="G135" s="567">
        <v>42546</v>
      </c>
      <c r="H135" s="609">
        <f t="shared" si="32"/>
        <v>29.6</v>
      </c>
      <c r="I135" s="620">
        <v>10.6</v>
      </c>
      <c r="J135" s="620">
        <v>9.1999999999999993</v>
      </c>
      <c r="K135" s="620">
        <v>7.6</v>
      </c>
      <c r="L135" s="611">
        <f t="shared" si="20"/>
        <v>27.4</v>
      </c>
      <c r="M135" s="621"/>
      <c r="N135" s="621"/>
      <c r="O135" s="621"/>
      <c r="P135" s="622">
        <f t="shared" si="21"/>
        <v>-2.2000000000000028</v>
      </c>
      <c r="Q135" s="609">
        <f t="shared" si="33"/>
        <v>0</v>
      </c>
      <c r="R135" s="620">
        <v>11.2</v>
      </c>
      <c r="S135" s="620">
        <v>9.4</v>
      </c>
      <c r="T135" s="620">
        <v>9</v>
      </c>
      <c r="U135" s="611">
        <f t="shared" si="22"/>
        <v>29.6</v>
      </c>
      <c r="V135" s="621"/>
      <c r="W135" s="621"/>
      <c r="X135" s="621"/>
      <c r="Y135" s="622">
        <f t="shared" si="23"/>
        <v>29.6</v>
      </c>
      <c r="Z135" s="609">
        <f t="shared" si="34"/>
        <v>0</v>
      </c>
      <c r="AA135" s="620">
        <v>13.5</v>
      </c>
      <c r="AB135" s="620">
        <v>10.199999999999999</v>
      </c>
      <c r="AC135" s="620">
        <v>10</v>
      </c>
      <c r="AD135" s="611">
        <f t="shared" si="24"/>
        <v>33.700000000000003</v>
      </c>
      <c r="AE135" s="621"/>
      <c r="AF135" s="621"/>
      <c r="AG135" s="621"/>
      <c r="AH135" s="622">
        <f t="shared" si="25"/>
        <v>33.700000000000003</v>
      </c>
      <c r="AI135" s="609">
        <f t="shared" si="35"/>
        <v>0</v>
      </c>
      <c r="AJ135" s="620"/>
      <c r="AK135" s="620"/>
      <c r="AL135" s="620"/>
      <c r="AM135" s="623">
        <f t="shared" si="26"/>
        <v>0</v>
      </c>
      <c r="AN135" s="621"/>
      <c r="AO135" s="621"/>
      <c r="AP135" s="621"/>
      <c r="AQ135" s="622">
        <f t="shared" si="27"/>
        <v>0</v>
      </c>
      <c r="AR135" s="615">
        <f t="shared" si="36"/>
        <v>13</v>
      </c>
      <c r="AS135" s="620"/>
      <c r="AT135" s="620"/>
      <c r="AU135" s="620"/>
      <c r="AV135" s="623">
        <f t="shared" si="28"/>
        <v>0</v>
      </c>
      <c r="AW135" s="621"/>
      <c r="AX135" s="621"/>
      <c r="AY135" s="621"/>
      <c r="AZ135" s="624">
        <f t="shared" si="29"/>
        <v>-13</v>
      </c>
      <c r="BA135" s="623">
        <v>13</v>
      </c>
      <c r="BB135" s="620">
        <v>5</v>
      </c>
      <c r="BC135" s="620">
        <v>5.5</v>
      </c>
      <c r="BD135" s="623">
        <f t="shared" si="30"/>
        <v>10.5</v>
      </c>
      <c r="BE135" s="621"/>
      <c r="BF135" s="621"/>
      <c r="BG135" s="621"/>
      <c r="BH135" s="621">
        <f t="shared" si="31"/>
        <v>2.5</v>
      </c>
    </row>
    <row r="136" spans="1:60" ht="17.25" thickTop="1" thickBot="1" x14ac:dyDescent="0.3">
      <c r="A136" s="602">
        <v>129</v>
      </c>
      <c r="B136" s="603">
        <f t="shared" ref="B136:B199" ca="1" si="37">TODAY()</f>
        <v>43134</v>
      </c>
      <c r="C136" s="29" t="s">
        <v>615</v>
      </c>
      <c r="D136" s="59" t="s">
        <v>908</v>
      </c>
      <c r="E136" s="22" t="s">
        <v>1390</v>
      </c>
      <c r="F136" s="27" t="s">
        <v>1264</v>
      </c>
      <c r="G136" s="567">
        <v>42549</v>
      </c>
      <c r="H136" s="609">
        <f t="shared" si="32"/>
        <v>21</v>
      </c>
      <c r="I136" s="620">
        <v>8.4</v>
      </c>
      <c r="J136" s="620">
        <v>7.6</v>
      </c>
      <c r="K136" s="620">
        <v>6.2</v>
      </c>
      <c r="L136" s="611">
        <f t="shared" ref="L136:L199" si="38">SUM(I136:K136)</f>
        <v>22.2</v>
      </c>
      <c r="M136" s="621"/>
      <c r="N136" s="621"/>
      <c r="O136" s="621"/>
      <c r="P136" s="622">
        <f t="shared" ref="P136:P199" si="39">L136-H136</f>
        <v>1.1999999999999993</v>
      </c>
      <c r="Q136" s="609">
        <f t="shared" si="33"/>
        <v>0</v>
      </c>
      <c r="R136" s="620">
        <v>6</v>
      </c>
      <c r="S136" s="620">
        <v>9</v>
      </c>
      <c r="T136" s="620">
        <v>6</v>
      </c>
      <c r="U136" s="611">
        <f t="shared" ref="U136:U199" si="40">SUM(R136:T136)</f>
        <v>21</v>
      </c>
      <c r="V136" s="621"/>
      <c r="W136" s="621"/>
      <c r="X136" s="621"/>
      <c r="Y136" s="622">
        <f t="shared" ref="Y136:Y199" si="41">U136-Q136</f>
        <v>21</v>
      </c>
      <c r="Z136" s="609">
        <f t="shared" si="34"/>
        <v>0</v>
      </c>
      <c r="AA136" s="620">
        <v>8.3000000000000007</v>
      </c>
      <c r="AB136" s="620">
        <v>9.5</v>
      </c>
      <c r="AC136" s="620">
        <v>10.6</v>
      </c>
      <c r="AD136" s="611">
        <f t="shared" ref="AD136:AD199" si="42">SUM(AA136:AC136)</f>
        <v>28.4</v>
      </c>
      <c r="AE136" s="621"/>
      <c r="AF136" s="621"/>
      <c r="AG136" s="621"/>
      <c r="AH136" s="622">
        <f t="shared" ref="AH136:AH199" si="43">AD136-Z136</f>
        <v>28.4</v>
      </c>
      <c r="AI136" s="609">
        <f t="shared" si="35"/>
        <v>0</v>
      </c>
      <c r="AJ136" s="620"/>
      <c r="AK136" s="620"/>
      <c r="AL136" s="620"/>
      <c r="AM136" s="623">
        <f t="shared" ref="AM136:AM199" si="44">SUM(AJ136:AL136)</f>
        <v>0</v>
      </c>
      <c r="AN136" s="621"/>
      <c r="AO136" s="621"/>
      <c r="AP136" s="621"/>
      <c r="AQ136" s="622">
        <f t="shared" ref="AQ136:AQ199" si="45">AM136-AI136</f>
        <v>0</v>
      </c>
      <c r="AR136" s="615">
        <f t="shared" si="36"/>
        <v>11.5</v>
      </c>
      <c r="AS136" s="620"/>
      <c r="AT136" s="620"/>
      <c r="AU136" s="620"/>
      <c r="AV136" s="623">
        <f t="shared" ref="AV136:AV199" si="46">SUM(AS136:AU136)</f>
        <v>0</v>
      </c>
      <c r="AW136" s="621"/>
      <c r="AX136" s="621"/>
      <c r="AY136" s="621"/>
      <c r="AZ136" s="624">
        <f t="shared" ref="AZ136:AZ199" si="47">AV136-AR136</f>
        <v>-11.5</v>
      </c>
      <c r="BA136" s="623">
        <v>11.5</v>
      </c>
      <c r="BB136" s="620">
        <v>6</v>
      </c>
      <c r="BC136" s="620">
        <v>5.5</v>
      </c>
      <c r="BD136" s="623">
        <f t="shared" ref="BD136:BD199" si="48">SUM(BB136:BC136)</f>
        <v>11.5</v>
      </c>
      <c r="BE136" s="621"/>
      <c r="BF136" s="621"/>
      <c r="BG136" s="621"/>
      <c r="BH136" s="621">
        <f t="shared" ref="BH136:BH199" si="49">BA136-BD136</f>
        <v>0</v>
      </c>
    </row>
    <row r="137" spans="1:60" ht="17.25" thickTop="1" thickBot="1" x14ac:dyDescent="0.3">
      <c r="A137" s="77">
        <v>130</v>
      </c>
      <c r="B137" s="603">
        <f t="shared" ca="1" si="37"/>
        <v>43134</v>
      </c>
      <c r="C137" s="29" t="s">
        <v>615</v>
      </c>
      <c r="D137" s="59" t="s">
        <v>908</v>
      </c>
      <c r="E137" s="22" t="s">
        <v>1317</v>
      </c>
      <c r="F137" s="295" t="s">
        <v>1199</v>
      </c>
      <c r="G137" s="567">
        <v>42595</v>
      </c>
      <c r="H137" s="609">
        <f t="shared" ref="H137:H200" si="50">U137</f>
        <v>26.5</v>
      </c>
      <c r="I137" s="620">
        <v>12</v>
      </c>
      <c r="J137" s="620">
        <v>12</v>
      </c>
      <c r="K137" s="620">
        <v>10</v>
      </c>
      <c r="L137" s="611">
        <f t="shared" si="38"/>
        <v>34</v>
      </c>
      <c r="M137" s="621"/>
      <c r="N137" s="621"/>
      <c r="O137" s="621"/>
      <c r="P137" s="622">
        <f t="shared" si="39"/>
        <v>7.5</v>
      </c>
      <c r="Q137" s="609">
        <f t="shared" ref="Q137:Q200" si="51">AM137</f>
        <v>0</v>
      </c>
      <c r="R137" s="620">
        <v>10</v>
      </c>
      <c r="S137" s="620">
        <v>8.5</v>
      </c>
      <c r="T137" s="620">
        <v>8</v>
      </c>
      <c r="U137" s="611">
        <f t="shared" si="40"/>
        <v>26.5</v>
      </c>
      <c r="V137" s="621"/>
      <c r="W137" s="621"/>
      <c r="X137" s="621"/>
      <c r="Y137" s="622">
        <f t="shared" si="41"/>
        <v>26.5</v>
      </c>
      <c r="Z137" s="609">
        <f t="shared" ref="Z137:Z200" si="52">AM137</f>
        <v>0</v>
      </c>
      <c r="AA137" s="620">
        <v>9.8000000000000007</v>
      </c>
      <c r="AB137" s="620">
        <v>9.1</v>
      </c>
      <c r="AC137" s="620">
        <v>11.2</v>
      </c>
      <c r="AD137" s="611">
        <f t="shared" si="42"/>
        <v>30.099999999999998</v>
      </c>
      <c r="AE137" s="621"/>
      <c r="AF137" s="621"/>
      <c r="AG137" s="621"/>
      <c r="AH137" s="622">
        <f t="shared" si="43"/>
        <v>30.099999999999998</v>
      </c>
      <c r="AI137" s="609">
        <f t="shared" ref="AI137:AI200" si="53">AV137</f>
        <v>12</v>
      </c>
      <c r="AJ137" s="620"/>
      <c r="AK137" s="620"/>
      <c r="AL137" s="620"/>
      <c r="AM137" s="623">
        <f t="shared" si="44"/>
        <v>0</v>
      </c>
      <c r="AN137" s="621"/>
      <c r="AO137" s="621"/>
      <c r="AP137" s="621"/>
      <c r="AQ137" s="622">
        <f t="shared" si="45"/>
        <v>-12</v>
      </c>
      <c r="AR137" s="615">
        <f t="shared" ref="AR137:AR200" si="54">BA137</f>
        <v>28.5</v>
      </c>
      <c r="AS137" s="620">
        <v>7.5</v>
      </c>
      <c r="AT137" s="620"/>
      <c r="AU137" s="620">
        <v>4.5</v>
      </c>
      <c r="AV137" s="623">
        <f t="shared" si="46"/>
        <v>12</v>
      </c>
      <c r="AW137" s="621">
        <v>4.63</v>
      </c>
      <c r="AX137" s="621">
        <v>3.31</v>
      </c>
      <c r="AY137" s="621">
        <v>177</v>
      </c>
      <c r="AZ137" s="624">
        <f t="shared" si="47"/>
        <v>-16.5</v>
      </c>
      <c r="BA137" s="623">
        <v>28.5</v>
      </c>
      <c r="BB137" s="620">
        <v>11</v>
      </c>
      <c r="BC137" s="620">
        <v>9</v>
      </c>
      <c r="BD137" s="623">
        <f t="shared" si="48"/>
        <v>20</v>
      </c>
      <c r="BE137" s="621"/>
      <c r="BF137" s="621"/>
      <c r="BG137" s="621"/>
      <c r="BH137" s="621">
        <f t="shared" si="49"/>
        <v>8.5</v>
      </c>
    </row>
    <row r="138" spans="1:60" ht="17.25" thickTop="1" thickBot="1" x14ac:dyDescent="0.3">
      <c r="A138" s="602">
        <v>131</v>
      </c>
      <c r="B138" s="603">
        <f t="shared" ca="1" si="37"/>
        <v>43134</v>
      </c>
      <c r="C138" s="29" t="s">
        <v>615</v>
      </c>
      <c r="D138" s="59" t="s">
        <v>908</v>
      </c>
      <c r="E138" s="22" t="s">
        <v>1324</v>
      </c>
      <c r="F138" s="295" t="s">
        <v>1207</v>
      </c>
      <c r="G138" s="567">
        <v>42567</v>
      </c>
      <c r="H138" s="609">
        <f t="shared" si="50"/>
        <v>20</v>
      </c>
      <c r="I138" s="620">
        <v>7</v>
      </c>
      <c r="J138" s="620">
        <v>8</v>
      </c>
      <c r="K138" s="620">
        <v>10</v>
      </c>
      <c r="L138" s="611">
        <f t="shared" si="38"/>
        <v>25</v>
      </c>
      <c r="M138" s="621"/>
      <c r="N138" s="621"/>
      <c r="O138" s="621"/>
      <c r="P138" s="622">
        <f t="shared" si="39"/>
        <v>5</v>
      </c>
      <c r="Q138" s="609">
        <f t="shared" si="51"/>
        <v>0</v>
      </c>
      <c r="R138" s="620">
        <v>8</v>
      </c>
      <c r="S138" s="620">
        <v>7</v>
      </c>
      <c r="T138" s="620">
        <v>5</v>
      </c>
      <c r="U138" s="611">
        <f t="shared" si="40"/>
        <v>20</v>
      </c>
      <c r="V138" s="621"/>
      <c r="W138" s="621"/>
      <c r="X138" s="621"/>
      <c r="Y138" s="622">
        <f t="shared" si="41"/>
        <v>20</v>
      </c>
      <c r="Z138" s="609">
        <f t="shared" si="52"/>
        <v>0</v>
      </c>
      <c r="AA138" s="620">
        <v>7.6</v>
      </c>
      <c r="AB138" s="620">
        <v>5.9</v>
      </c>
      <c r="AC138" s="620">
        <v>6.5</v>
      </c>
      <c r="AD138" s="611">
        <f t="shared" si="42"/>
        <v>20</v>
      </c>
      <c r="AE138" s="621"/>
      <c r="AF138" s="621"/>
      <c r="AG138" s="621"/>
      <c r="AH138" s="622">
        <f t="shared" si="43"/>
        <v>20</v>
      </c>
      <c r="AI138" s="609">
        <f t="shared" si="53"/>
        <v>0</v>
      </c>
      <c r="AJ138" s="620"/>
      <c r="AK138" s="620"/>
      <c r="AL138" s="620"/>
      <c r="AM138" s="623">
        <f t="shared" si="44"/>
        <v>0</v>
      </c>
      <c r="AN138" s="621"/>
      <c r="AO138" s="621"/>
      <c r="AP138" s="621"/>
      <c r="AQ138" s="622">
        <f t="shared" si="45"/>
        <v>0</v>
      </c>
      <c r="AR138" s="615">
        <f t="shared" si="54"/>
        <v>12</v>
      </c>
      <c r="AS138" s="620"/>
      <c r="AT138" s="620"/>
      <c r="AU138" s="620"/>
      <c r="AV138" s="623">
        <f t="shared" si="46"/>
        <v>0</v>
      </c>
      <c r="AW138" s="621"/>
      <c r="AX138" s="621"/>
      <c r="AY138" s="621"/>
      <c r="AZ138" s="624">
        <f t="shared" si="47"/>
        <v>-12</v>
      </c>
      <c r="BA138" s="623">
        <v>12</v>
      </c>
      <c r="BB138" s="620">
        <v>6.5</v>
      </c>
      <c r="BC138" s="620">
        <v>6</v>
      </c>
      <c r="BD138" s="623">
        <f t="shared" si="48"/>
        <v>12.5</v>
      </c>
      <c r="BE138" s="621"/>
      <c r="BF138" s="621"/>
      <c r="BG138" s="621"/>
      <c r="BH138" s="621">
        <f t="shared" si="49"/>
        <v>-0.5</v>
      </c>
    </row>
    <row r="139" spans="1:60" ht="17.25" thickTop="1" thickBot="1" x14ac:dyDescent="0.3">
      <c r="A139" s="77">
        <v>132</v>
      </c>
      <c r="B139" s="603">
        <f t="shared" ca="1" si="37"/>
        <v>43134</v>
      </c>
      <c r="C139" s="29" t="s">
        <v>615</v>
      </c>
      <c r="D139" s="59" t="s">
        <v>908</v>
      </c>
      <c r="E139" s="22" t="s">
        <v>1331</v>
      </c>
      <c r="F139" s="27" t="s">
        <v>1214</v>
      </c>
      <c r="G139" s="567">
        <v>42565</v>
      </c>
      <c r="H139" s="609">
        <f t="shared" si="50"/>
        <v>26</v>
      </c>
      <c r="I139" s="620">
        <v>10</v>
      </c>
      <c r="J139" s="620">
        <v>9</v>
      </c>
      <c r="K139" s="620">
        <v>9</v>
      </c>
      <c r="L139" s="611">
        <f t="shared" si="38"/>
        <v>28</v>
      </c>
      <c r="M139" s="621"/>
      <c r="N139" s="621"/>
      <c r="O139" s="621"/>
      <c r="P139" s="622">
        <f t="shared" si="39"/>
        <v>2</v>
      </c>
      <c r="Q139" s="609">
        <f t="shared" si="51"/>
        <v>0</v>
      </c>
      <c r="R139" s="620">
        <v>10</v>
      </c>
      <c r="S139" s="620">
        <v>8</v>
      </c>
      <c r="T139" s="620">
        <v>8</v>
      </c>
      <c r="U139" s="611">
        <f t="shared" si="40"/>
        <v>26</v>
      </c>
      <c r="V139" s="621"/>
      <c r="W139" s="621"/>
      <c r="X139" s="621"/>
      <c r="Y139" s="622">
        <f t="shared" si="41"/>
        <v>26</v>
      </c>
      <c r="Z139" s="609">
        <f t="shared" si="52"/>
        <v>0</v>
      </c>
      <c r="AA139" s="620">
        <v>10.7</v>
      </c>
      <c r="AB139" s="620">
        <v>8.6</v>
      </c>
      <c r="AC139" s="620">
        <v>10.4</v>
      </c>
      <c r="AD139" s="611">
        <f t="shared" si="42"/>
        <v>29.699999999999996</v>
      </c>
      <c r="AE139" s="621"/>
      <c r="AF139" s="621"/>
      <c r="AG139" s="621"/>
      <c r="AH139" s="622">
        <f t="shared" si="43"/>
        <v>29.699999999999996</v>
      </c>
      <c r="AI139" s="609">
        <f t="shared" si="53"/>
        <v>0</v>
      </c>
      <c r="AJ139" s="620"/>
      <c r="AK139" s="620"/>
      <c r="AL139" s="620"/>
      <c r="AM139" s="623">
        <f t="shared" si="44"/>
        <v>0</v>
      </c>
      <c r="AN139" s="621"/>
      <c r="AO139" s="621"/>
      <c r="AP139" s="621"/>
      <c r="AQ139" s="622">
        <f t="shared" si="45"/>
        <v>0</v>
      </c>
      <c r="AR139" s="615">
        <f t="shared" si="54"/>
        <v>17.5</v>
      </c>
      <c r="AS139" s="620"/>
      <c r="AT139" s="620"/>
      <c r="AU139" s="620"/>
      <c r="AV139" s="623">
        <f t="shared" si="46"/>
        <v>0</v>
      </c>
      <c r="AW139" s="621">
        <v>5.48</v>
      </c>
      <c r="AX139" s="621">
        <v>4.0599999999999996</v>
      </c>
      <c r="AY139" s="621">
        <v>90</v>
      </c>
      <c r="AZ139" s="624">
        <f t="shared" si="47"/>
        <v>-17.5</v>
      </c>
      <c r="BA139" s="623">
        <v>17.5</v>
      </c>
      <c r="BB139" s="620">
        <v>9</v>
      </c>
      <c r="BC139" s="620">
        <v>8</v>
      </c>
      <c r="BD139" s="623">
        <f t="shared" si="48"/>
        <v>17</v>
      </c>
      <c r="BE139" s="621"/>
      <c r="BF139" s="621"/>
      <c r="BG139" s="621"/>
      <c r="BH139" s="621">
        <f t="shared" si="49"/>
        <v>0.5</v>
      </c>
    </row>
    <row r="140" spans="1:60" ht="17.25" thickTop="1" thickBot="1" x14ac:dyDescent="0.3">
      <c r="A140" s="602">
        <v>133</v>
      </c>
      <c r="B140" s="603">
        <f t="shared" ca="1" si="37"/>
        <v>43134</v>
      </c>
      <c r="C140" s="29" t="s">
        <v>615</v>
      </c>
      <c r="D140" s="59" t="s">
        <v>908</v>
      </c>
      <c r="E140" s="22" t="s">
        <v>348</v>
      </c>
      <c r="F140" s="27" t="s">
        <v>774</v>
      </c>
      <c r="G140" s="567">
        <v>42539</v>
      </c>
      <c r="H140" s="609">
        <f t="shared" si="50"/>
        <v>34</v>
      </c>
      <c r="I140" s="620">
        <v>12</v>
      </c>
      <c r="J140" s="620">
        <v>12.6</v>
      </c>
      <c r="K140" s="620">
        <v>10.6</v>
      </c>
      <c r="L140" s="611">
        <f t="shared" si="38"/>
        <v>35.200000000000003</v>
      </c>
      <c r="M140" s="621"/>
      <c r="N140" s="621"/>
      <c r="O140" s="621"/>
      <c r="P140" s="622">
        <f t="shared" si="39"/>
        <v>1.2000000000000028</v>
      </c>
      <c r="Q140" s="609">
        <f t="shared" si="51"/>
        <v>0</v>
      </c>
      <c r="R140" s="620">
        <v>12</v>
      </c>
      <c r="S140" s="620">
        <v>12</v>
      </c>
      <c r="T140" s="620">
        <v>10</v>
      </c>
      <c r="U140" s="611">
        <f t="shared" si="40"/>
        <v>34</v>
      </c>
      <c r="V140" s="621"/>
      <c r="W140" s="621"/>
      <c r="X140" s="621"/>
      <c r="Y140" s="622">
        <f t="shared" si="41"/>
        <v>34</v>
      </c>
      <c r="Z140" s="609">
        <f t="shared" si="52"/>
        <v>0</v>
      </c>
      <c r="AA140" s="620">
        <v>9.8000000000000007</v>
      </c>
      <c r="AB140" s="620">
        <v>11.2</v>
      </c>
      <c r="AC140" s="620">
        <v>9</v>
      </c>
      <c r="AD140" s="611">
        <f t="shared" si="42"/>
        <v>30</v>
      </c>
      <c r="AE140" s="621"/>
      <c r="AF140" s="621"/>
      <c r="AG140" s="621"/>
      <c r="AH140" s="622">
        <f t="shared" si="43"/>
        <v>30</v>
      </c>
      <c r="AI140" s="609">
        <f t="shared" si="53"/>
        <v>0</v>
      </c>
      <c r="AJ140" s="620"/>
      <c r="AK140" s="620"/>
      <c r="AL140" s="620"/>
      <c r="AM140" s="623">
        <f t="shared" si="44"/>
        <v>0</v>
      </c>
      <c r="AN140" s="621"/>
      <c r="AO140" s="621"/>
      <c r="AP140" s="621"/>
      <c r="AQ140" s="622">
        <f t="shared" si="45"/>
        <v>0</v>
      </c>
      <c r="AR140" s="615">
        <f t="shared" si="54"/>
        <v>17</v>
      </c>
      <c r="AS140" s="620"/>
      <c r="AT140" s="620"/>
      <c r="AU140" s="620"/>
      <c r="AV140" s="623">
        <f t="shared" si="46"/>
        <v>0</v>
      </c>
      <c r="AW140" s="621"/>
      <c r="AX140" s="621"/>
      <c r="AY140" s="621"/>
      <c r="AZ140" s="624">
        <f t="shared" si="47"/>
        <v>-17</v>
      </c>
      <c r="BA140" s="623">
        <v>17</v>
      </c>
      <c r="BB140" s="620">
        <v>5</v>
      </c>
      <c r="BC140" s="620">
        <v>6</v>
      </c>
      <c r="BD140" s="623">
        <f t="shared" si="48"/>
        <v>11</v>
      </c>
      <c r="BE140" s="621"/>
      <c r="BF140" s="621"/>
      <c r="BG140" s="621"/>
      <c r="BH140" s="621">
        <f t="shared" si="49"/>
        <v>6</v>
      </c>
    </row>
    <row r="141" spans="1:60" ht="17.25" thickTop="1" thickBot="1" x14ac:dyDescent="0.3">
      <c r="A141" s="77">
        <v>134</v>
      </c>
      <c r="B141" s="603">
        <f t="shared" ca="1" si="37"/>
        <v>43134</v>
      </c>
      <c r="C141" s="29" t="s">
        <v>2556</v>
      </c>
      <c r="D141" s="59" t="s">
        <v>2586</v>
      </c>
      <c r="E141" s="22" t="s">
        <v>856</v>
      </c>
      <c r="F141" s="295" t="s">
        <v>857</v>
      </c>
      <c r="G141" s="567">
        <v>42530</v>
      </c>
      <c r="H141" s="609">
        <f t="shared" si="50"/>
        <v>17</v>
      </c>
      <c r="I141" s="620">
        <v>7</v>
      </c>
      <c r="J141" s="620">
        <v>7</v>
      </c>
      <c r="K141" s="620">
        <v>7</v>
      </c>
      <c r="L141" s="611">
        <f t="shared" si="38"/>
        <v>21</v>
      </c>
      <c r="M141" s="621"/>
      <c r="N141" s="621"/>
      <c r="O141" s="621"/>
      <c r="P141" s="622">
        <f t="shared" si="39"/>
        <v>4</v>
      </c>
      <c r="Q141" s="609">
        <f t="shared" si="51"/>
        <v>25.1</v>
      </c>
      <c r="R141" s="620">
        <v>7.5</v>
      </c>
      <c r="S141" s="620">
        <v>6</v>
      </c>
      <c r="T141" s="620">
        <v>3.5</v>
      </c>
      <c r="U141" s="611">
        <f t="shared" si="40"/>
        <v>17</v>
      </c>
      <c r="V141" s="621"/>
      <c r="W141" s="621"/>
      <c r="X141" s="621"/>
      <c r="Y141" s="622">
        <f t="shared" si="41"/>
        <v>-8.1000000000000014</v>
      </c>
      <c r="Z141" s="609">
        <f t="shared" si="52"/>
        <v>25.1</v>
      </c>
      <c r="AA141" s="620">
        <v>10.6</v>
      </c>
      <c r="AB141" s="620">
        <v>9.4</v>
      </c>
      <c r="AC141" s="620">
        <v>7</v>
      </c>
      <c r="AD141" s="611">
        <f t="shared" si="42"/>
        <v>27</v>
      </c>
      <c r="AE141" s="621"/>
      <c r="AF141" s="621"/>
      <c r="AG141" s="621"/>
      <c r="AH141" s="622">
        <f t="shared" si="43"/>
        <v>1.8999999999999986</v>
      </c>
      <c r="AI141" s="609">
        <f t="shared" si="53"/>
        <v>0</v>
      </c>
      <c r="AJ141" s="620">
        <v>7.4</v>
      </c>
      <c r="AK141" s="620">
        <v>8.9</v>
      </c>
      <c r="AL141" s="620">
        <v>8.8000000000000007</v>
      </c>
      <c r="AM141" s="623">
        <f t="shared" si="44"/>
        <v>25.1</v>
      </c>
      <c r="AN141" s="621"/>
      <c r="AO141" s="621"/>
      <c r="AP141" s="621"/>
      <c r="AQ141" s="622">
        <f t="shared" si="45"/>
        <v>25.1</v>
      </c>
      <c r="AR141" s="615">
        <f t="shared" si="54"/>
        <v>0</v>
      </c>
      <c r="AS141" s="620"/>
      <c r="AT141" s="620"/>
      <c r="AU141" s="620"/>
      <c r="AV141" s="623">
        <f t="shared" si="46"/>
        <v>0</v>
      </c>
      <c r="AW141" s="621"/>
      <c r="AX141" s="621"/>
      <c r="AY141" s="621"/>
      <c r="AZ141" s="624">
        <f t="shared" si="47"/>
        <v>0</v>
      </c>
      <c r="BA141" s="623"/>
      <c r="BB141" s="620"/>
      <c r="BC141" s="620"/>
      <c r="BD141" s="623">
        <f t="shared" si="48"/>
        <v>0</v>
      </c>
      <c r="BE141" s="621"/>
      <c r="BF141" s="621"/>
      <c r="BG141" s="621"/>
      <c r="BH141" s="621">
        <f t="shared" si="49"/>
        <v>0</v>
      </c>
    </row>
    <row r="142" spans="1:60" ht="17.25" thickTop="1" thickBot="1" x14ac:dyDescent="0.3">
      <c r="A142" s="602">
        <v>135</v>
      </c>
      <c r="B142" s="603">
        <f t="shared" ca="1" si="37"/>
        <v>43134</v>
      </c>
      <c r="C142" s="29" t="s">
        <v>2404</v>
      </c>
      <c r="D142" s="59" t="s">
        <v>1456</v>
      </c>
      <c r="E142" s="22" t="s">
        <v>859</v>
      </c>
      <c r="F142" s="295" t="s">
        <v>860</v>
      </c>
      <c r="G142" s="567">
        <v>42563</v>
      </c>
      <c r="H142" s="609">
        <f t="shared" si="50"/>
        <v>16.5</v>
      </c>
      <c r="I142" s="620">
        <v>5</v>
      </c>
      <c r="J142" s="620">
        <v>5</v>
      </c>
      <c r="K142" s="620">
        <v>6</v>
      </c>
      <c r="L142" s="611">
        <f t="shared" si="38"/>
        <v>16</v>
      </c>
      <c r="M142" s="621"/>
      <c r="N142" s="621"/>
      <c r="O142" s="621"/>
      <c r="P142" s="622">
        <f t="shared" si="39"/>
        <v>-0.5</v>
      </c>
      <c r="Q142" s="609">
        <f t="shared" si="51"/>
        <v>17.5</v>
      </c>
      <c r="R142" s="620">
        <v>7</v>
      </c>
      <c r="S142" s="620">
        <v>5</v>
      </c>
      <c r="T142" s="620">
        <v>4.5</v>
      </c>
      <c r="U142" s="611">
        <f t="shared" si="40"/>
        <v>16.5</v>
      </c>
      <c r="V142" s="621"/>
      <c r="W142" s="621"/>
      <c r="X142" s="621"/>
      <c r="Y142" s="622">
        <f t="shared" si="41"/>
        <v>-1</v>
      </c>
      <c r="Z142" s="609">
        <f t="shared" si="52"/>
        <v>17.5</v>
      </c>
      <c r="AA142" s="620">
        <v>9</v>
      </c>
      <c r="AB142" s="620">
        <v>5.0999999999999996</v>
      </c>
      <c r="AC142" s="620">
        <v>4.5999999999999996</v>
      </c>
      <c r="AD142" s="611">
        <f t="shared" si="42"/>
        <v>18.7</v>
      </c>
      <c r="AE142" s="621"/>
      <c r="AF142" s="621"/>
      <c r="AG142" s="621"/>
      <c r="AH142" s="622">
        <f t="shared" si="43"/>
        <v>1.1999999999999993</v>
      </c>
      <c r="AI142" s="609">
        <f t="shared" si="53"/>
        <v>19.899999999999999</v>
      </c>
      <c r="AJ142" s="620">
        <v>5.5</v>
      </c>
      <c r="AK142" s="620">
        <v>6.5</v>
      </c>
      <c r="AL142" s="620">
        <v>5.5</v>
      </c>
      <c r="AM142" s="623">
        <f t="shared" si="44"/>
        <v>17.5</v>
      </c>
      <c r="AN142" s="621"/>
      <c r="AO142" s="621"/>
      <c r="AP142" s="621"/>
      <c r="AQ142" s="622">
        <f t="shared" si="45"/>
        <v>-2.3999999999999986</v>
      </c>
      <c r="AR142" s="615">
        <f t="shared" si="54"/>
        <v>0</v>
      </c>
      <c r="AS142" s="620">
        <v>4.9000000000000004</v>
      </c>
      <c r="AT142" s="620">
        <v>11</v>
      </c>
      <c r="AU142" s="620">
        <v>4</v>
      </c>
      <c r="AV142" s="623">
        <f t="shared" si="46"/>
        <v>19.899999999999999</v>
      </c>
      <c r="AW142" s="621"/>
      <c r="AX142" s="621"/>
      <c r="AY142" s="621"/>
      <c r="AZ142" s="624">
        <f t="shared" si="47"/>
        <v>19.899999999999999</v>
      </c>
      <c r="BA142" s="623"/>
      <c r="BB142" s="620"/>
      <c r="BC142" s="620"/>
      <c r="BD142" s="623">
        <f t="shared" si="48"/>
        <v>0</v>
      </c>
      <c r="BE142" s="621"/>
      <c r="BF142" s="621"/>
      <c r="BG142" s="621"/>
      <c r="BH142" s="621">
        <f t="shared" si="49"/>
        <v>0</v>
      </c>
    </row>
    <row r="143" spans="1:60" ht="17.25" thickTop="1" thickBot="1" x14ac:dyDescent="0.3">
      <c r="A143" s="77">
        <v>136</v>
      </c>
      <c r="B143" s="603">
        <f t="shared" ca="1" si="37"/>
        <v>43134</v>
      </c>
      <c r="C143" s="29" t="s">
        <v>2556</v>
      </c>
      <c r="D143" s="59" t="s">
        <v>2586</v>
      </c>
      <c r="E143" s="22" t="s">
        <v>686</v>
      </c>
      <c r="F143" s="27" t="s">
        <v>687</v>
      </c>
      <c r="G143" s="567">
        <v>42354</v>
      </c>
      <c r="H143" s="609">
        <f t="shared" si="50"/>
        <v>25.599999999999998</v>
      </c>
      <c r="I143" s="620">
        <v>8</v>
      </c>
      <c r="J143" s="620">
        <v>8.1999999999999993</v>
      </c>
      <c r="K143" s="620">
        <v>6</v>
      </c>
      <c r="L143" s="611">
        <f t="shared" si="38"/>
        <v>22.2</v>
      </c>
      <c r="M143" s="621"/>
      <c r="N143" s="621"/>
      <c r="O143" s="621"/>
      <c r="P143" s="622">
        <f t="shared" si="39"/>
        <v>-3.3999999999999986</v>
      </c>
      <c r="Q143" s="609">
        <f t="shared" si="51"/>
        <v>26.9</v>
      </c>
      <c r="R143" s="620">
        <v>10.199999999999999</v>
      </c>
      <c r="S143" s="620">
        <v>7.2</v>
      </c>
      <c r="T143" s="620">
        <v>8.1999999999999993</v>
      </c>
      <c r="U143" s="611">
        <f t="shared" si="40"/>
        <v>25.599999999999998</v>
      </c>
      <c r="V143" s="621"/>
      <c r="W143" s="621"/>
      <c r="X143" s="621"/>
      <c r="Y143" s="622">
        <f t="shared" si="41"/>
        <v>-1.3000000000000007</v>
      </c>
      <c r="Z143" s="609">
        <f t="shared" si="52"/>
        <v>26.9</v>
      </c>
      <c r="AA143" s="620">
        <v>10.199999999999999</v>
      </c>
      <c r="AB143" s="620">
        <v>11</v>
      </c>
      <c r="AC143" s="620">
        <v>13</v>
      </c>
      <c r="AD143" s="611">
        <f t="shared" si="42"/>
        <v>34.200000000000003</v>
      </c>
      <c r="AE143" s="621"/>
      <c r="AF143" s="621"/>
      <c r="AG143" s="621"/>
      <c r="AH143" s="622">
        <f t="shared" si="43"/>
        <v>7.3000000000000043</v>
      </c>
      <c r="AI143" s="609">
        <f t="shared" si="53"/>
        <v>0</v>
      </c>
      <c r="AJ143" s="620">
        <v>9.6999999999999993</v>
      </c>
      <c r="AK143" s="620">
        <v>12.5</v>
      </c>
      <c r="AL143" s="620">
        <v>4.7</v>
      </c>
      <c r="AM143" s="623">
        <f t="shared" si="44"/>
        <v>26.9</v>
      </c>
      <c r="AN143" s="621"/>
      <c r="AO143" s="621"/>
      <c r="AP143" s="621"/>
      <c r="AQ143" s="622">
        <f t="shared" si="45"/>
        <v>26.9</v>
      </c>
      <c r="AR143" s="615">
        <f t="shared" si="54"/>
        <v>15</v>
      </c>
      <c r="AS143" s="620"/>
      <c r="AT143" s="620"/>
      <c r="AU143" s="620"/>
      <c r="AV143" s="623">
        <f t="shared" si="46"/>
        <v>0</v>
      </c>
      <c r="AW143" s="621"/>
      <c r="AX143" s="621"/>
      <c r="AY143" s="621"/>
      <c r="AZ143" s="624">
        <f t="shared" si="47"/>
        <v>-15</v>
      </c>
      <c r="BA143" s="623">
        <v>15</v>
      </c>
      <c r="BB143" s="620"/>
      <c r="BC143" s="620"/>
      <c r="BD143" s="623">
        <f t="shared" si="48"/>
        <v>0</v>
      </c>
      <c r="BE143" s="621"/>
      <c r="BF143" s="621"/>
      <c r="BG143" s="621"/>
      <c r="BH143" s="621">
        <f t="shared" si="49"/>
        <v>15</v>
      </c>
    </row>
    <row r="144" spans="1:60" ht="17.25" thickTop="1" thickBot="1" x14ac:dyDescent="0.3">
      <c r="A144" s="602">
        <v>137</v>
      </c>
      <c r="B144" s="603">
        <f t="shared" ca="1" si="37"/>
        <v>43134</v>
      </c>
      <c r="C144" s="29" t="s">
        <v>2556</v>
      </c>
      <c r="D144" s="59" t="s">
        <v>2586</v>
      </c>
      <c r="E144" s="22" t="s">
        <v>204</v>
      </c>
      <c r="F144" s="295" t="s">
        <v>205</v>
      </c>
      <c r="G144" s="567">
        <v>42532</v>
      </c>
      <c r="H144" s="609">
        <f t="shared" si="50"/>
        <v>17</v>
      </c>
      <c r="I144" s="620">
        <v>2</v>
      </c>
      <c r="J144" s="620">
        <v>8</v>
      </c>
      <c r="K144" s="620">
        <v>9</v>
      </c>
      <c r="L144" s="611">
        <f t="shared" si="38"/>
        <v>19</v>
      </c>
      <c r="M144" s="621"/>
      <c r="N144" s="621"/>
      <c r="O144" s="621"/>
      <c r="P144" s="622">
        <f t="shared" si="39"/>
        <v>2</v>
      </c>
      <c r="Q144" s="609">
        <f t="shared" si="51"/>
        <v>19</v>
      </c>
      <c r="R144" s="620">
        <v>5</v>
      </c>
      <c r="S144" s="620">
        <v>8.5</v>
      </c>
      <c r="T144" s="620">
        <v>3.5</v>
      </c>
      <c r="U144" s="611">
        <f t="shared" si="40"/>
        <v>17</v>
      </c>
      <c r="V144" s="621"/>
      <c r="W144" s="621"/>
      <c r="X144" s="621"/>
      <c r="Y144" s="622">
        <f t="shared" si="41"/>
        <v>-2</v>
      </c>
      <c r="Z144" s="609">
        <f t="shared" si="52"/>
        <v>19</v>
      </c>
      <c r="AA144" s="620">
        <v>10.1</v>
      </c>
      <c r="AB144" s="620">
        <v>8.1999999999999993</v>
      </c>
      <c r="AC144" s="620">
        <v>6</v>
      </c>
      <c r="AD144" s="611">
        <f t="shared" si="42"/>
        <v>24.299999999999997</v>
      </c>
      <c r="AE144" s="621"/>
      <c r="AF144" s="621"/>
      <c r="AG144" s="621"/>
      <c r="AH144" s="622">
        <f t="shared" si="43"/>
        <v>5.2999999999999972</v>
      </c>
      <c r="AI144" s="609">
        <f t="shared" si="53"/>
        <v>0</v>
      </c>
      <c r="AJ144" s="620">
        <v>10.3</v>
      </c>
      <c r="AK144" s="620">
        <v>6.6</v>
      </c>
      <c r="AL144" s="620">
        <v>2.1</v>
      </c>
      <c r="AM144" s="623">
        <f t="shared" si="44"/>
        <v>19</v>
      </c>
      <c r="AN144" s="621"/>
      <c r="AO144" s="621"/>
      <c r="AP144" s="621"/>
      <c r="AQ144" s="622">
        <f t="shared" si="45"/>
        <v>19</v>
      </c>
      <c r="AR144" s="615">
        <f t="shared" si="54"/>
        <v>20.3</v>
      </c>
      <c r="AS144" s="620"/>
      <c r="AT144" s="620"/>
      <c r="AU144" s="620"/>
      <c r="AV144" s="623">
        <f t="shared" si="46"/>
        <v>0</v>
      </c>
      <c r="AW144" s="621"/>
      <c r="AX144" s="621"/>
      <c r="AY144" s="621"/>
      <c r="AZ144" s="624">
        <f t="shared" si="47"/>
        <v>-20.3</v>
      </c>
      <c r="BA144" s="623">
        <v>20.3</v>
      </c>
      <c r="BB144" s="620"/>
      <c r="BC144" s="620"/>
      <c r="BD144" s="623">
        <f t="shared" si="48"/>
        <v>0</v>
      </c>
      <c r="BE144" s="621"/>
      <c r="BF144" s="621"/>
      <c r="BG144" s="621"/>
      <c r="BH144" s="621">
        <f t="shared" si="49"/>
        <v>20.3</v>
      </c>
    </row>
    <row r="145" spans="1:60" ht="17.25" thickTop="1" thickBot="1" x14ac:dyDescent="0.3">
      <c r="A145" s="77">
        <v>138</v>
      </c>
      <c r="B145" s="603">
        <f t="shared" ca="1" si="37"/>
        <v>43134</v>
      </c>
      <c r="C145" s="29" t="s">
        <v>2404</v>
      </c>
      <c r="D145" s="59" t="s">
        <v>1456</v>
      </c>
      <c r="E145" s="22" t="s">
        <v>764</v>
      </c>
      <c r="F145" s="295" t="s">
        <v>765</v>
      </c>
      <c r="G145" s="567">
        <v>42537</v>
      </c>
      <c r="H145" s="609">
        <f t="shared" si="50"/>
        <v>19.5</v>
      </c>
      <c r="I145" s="620">
        <v>7</v>
      </c>
      <c r="J145" s="620">
        <v>7</v>
      </c>
      <c r="K145" s="620">
        <v>8</v>
      </c>
      <c r="L145" s="611">
        <f t="shared" si="38"/>
        <v>22</v>
      </c>
      <c r="M145" s="621"/>
      <c r="N145" s="621"/>
      <c r="O145" s="621"/>
      <c r="P145" s="622">
        <f t="shared" si="39"/>
        <v>2.5</v>
      </c>
      <c r="Q145" s="609">
        <f t="shared" si="51"/>
        <v>27.299999999999997</v>
      </c>
      <c r="R145" s="620">
        <v>8</v>
      </c>
      <c r="S145" s="620">
        <v>6</v>
      </c>
      <c r="T145" s="620">
        <v>5.5</v>
      </c>
      <c r="U145" s="611">
        <f t="shared" si="40"/>
        <v>19.5</v>
      </c>
      <c r="V145" s="621"/>
      <c r="W145" s="621"/>
      <c r="X145" s="621"/>
      <c r="Y145" s="622">
        <f t="shared" si="41"/>
        <v>-7.7999999999999972</v>
      </c>
      <c r="Z145" s="609">
        <f t="shared" si="52"/>
        <v>27.299999999999997</v>
      </c>
      <c r="AA145" s="620">
        <v>8.4</v>
      </c>
      <c r="AB145" s="620">
        <v>8.5</v>
      </c>
      <c r="AC145" s="620">
        <v>6.8</v>
      </c>
      <c r="AD145" s="611">
        <f t="shared" si="42"/>
        <v>23.7</v>
      </c>
      <c r="AE145" s="621"/>
      <c r="AF145" s="621"/>
      <c r="AG145" s="621"/>
      <c r="AH145" s="622">
        <f t="shared" si="43"/>
        <v>-3.5999999999999979</v>
      </c>
      <c r="AI145" s="609">
        <f t="shared" si="53"/>
        <v>29</v>
      </c>
      <c r="AJ145" s="620">
        <v>10.4</v>
      </c>
      <c r="AK145" s="620">
        <v>8</v>
      </c>
      <c r="AL145" s="620">
        <v>8.9</v>
      </c>
      <c r="AM145" s="623">
        <f t="shared" si="44"/>
        <v>27.299999999999997</v>
      </c>
      <c r="AN145" s="621"/>
      <c r="AO145" s="621"/>
      <c r="AP145" s="621"/>
      <c r="AQ145" s="622">
        <f t="shared" si="45"/>
        <v>-1.7000000000000028</v>
      </c>
      <c r="AR145" s="615">
        <f t="shared" si="54"/>
        <v>0</v>
      </c>
      <c r="AS145" s="620">
        <v>14.1</v>
      </c>
      <c r="AT145" s="620">
        <v>7.9</v>
      </c>
      <c r="AU145" s="620">
        <v>7</v>
      </c>
      <c r="AV145" s="623">
        <f t="shared" si="46"/>
        <v>29</v>
      </c>
      <c r="AW145" s="621"/>
      <c r="AX145" s="621"/>
      <c r="AY145" s="621"/>
      <c r="AZ145" s="624">
        <f t="shared" si="47"/>
        <v>29</v>
      </c>
      <c r="BA145" s="623"/>
      <c r="BB145" s="620"/>
      <c r="BC145" s="620"/>
      <c r="BD145" s="623">
        <f t="shared" si="48"/>
        <v>0</v>
      </c>
      <c r="BE145" s="621"/>
      <c r="BF145" s="621"/>
      <c r="BG145" s="621"/>
      <c r="BH145" s="621">
        <f t="shared" si="49"/>
        <v>0</v>
      </c>
    </row>
    <row r="146" spans="1:60" ht="17.25" thickTop="1" thickBot="1" x14ac:dyDescent="0.3">
      <c r="A146" s="602">
        <v>139</v>
      </c>
      <c r="B146" s="603">
        <f t="shared" ca="1" si="37"/>
        <v>43134</v>
      </c>
      <c r="C146" s="29" t="s">
        <v>2556</v>
      </c>
      <c r="D146" s="59" t="s">
        <v>2586</v>
      </c>
      <c r="E146" s="22" t="s">
        <v>79</v>
      </c>
      <c r="F146" s="295" t="s">
        <v>80</v>
      </c>
      <c r="G146" s="567">
        <v>42588</v>
      </c>
      <c r="H146" s="609">
        <f t="shared" si="50"/>
        <v>23</v>
      </c>
      <c r="I146" s="620">
        <v>11</v>
      </c>
      <c r="J146" s="620">
        <v>7</v>
      </c>
      <c r="K146" s="620">
        <v>9</v>
      </c>
      <c r="L146" s="611">
        <f t="shared" si="38"/>
        <v>27</v>
      </c>
      <c r="M146" s="621"/>
      <c r="N146" s="621"/>
      <c r="O146" s="621"/>
      <c r="P146" s="622">
        <f t="shared" si="39"/>
        <v>4</v>
      </c>
      <c r="Q146" s="609">
        <f t="shared" si="51"/>
        <v>30.5</v>
      </c>
      <c r="R146" s="620">
        <v>7</v>
      </c>
      <c r="S146" s="620">
        <v>8</v>
      </c>
      <c r="T146" s="620">
        <v>8</v>
      </c>
      <c r="U146" s="611">
        <f t="shared" si="40"/>
        <v>23</v>
      </c>
      <c r="V146" s="621"/>
      <c r="W146" s="621"/>
      <c r="X146" s="621"/>
      <c r="Y146" s="622">
        <f t="shared" si="41"/>
        <v>-7.5</v>
      </c>
      <c r="Z146" s="609">
        <f t="shared" si="52"/>
        <v>30.5</v>
      </c>
      <c r="AA146" s="620">
        <v>10.5</v>
      </c>
      <c r="AB146" s="620">
        <v>8.9</v>
      </c>
      <c r="AC146" s="620">
        <v>10.5</v>
      </c>
      <c r="AD146" s="611">
        <f t="shared" si="42"/>
        <v>29.9</v>
      </c>
      <c r="AE146" s="621"/>
      <c r="AF146" s="621"/>
      <c r="AG146" s="621"/>
      <c r="AH146" s="622">
        <f t="shared" si="43"/>
        <v>-0.60000000000000142</v>
      </c>
      <c r="AI146" s="609">
        <f t="shared" si="53"/>
        <v>0</v>
      </c>
      <c r="AJ146" s="620">
        <v>11</v>
      </c>
      <c r="AK146" s="620">
        <v>10</v>
      </c>
      <c r="AL146" s="620">
        <v>9.5</v>
      </c>
      <c r="AM146" s="623">
        <f t="shared" si="44"/>
        <v>30.5</v>
      </c>
      <c r="AN146" s="621"/>
      <c r="AO146" s="621"/>
      <c r="AP146" s="621"/>
      <c r="AQ146" s="622">
        <f t="shared" si="45"/>
        <v>30.5</v>
      </c>
      <c r="AR146" s="615">
        <f t="shared" si="54"/>
        <v>19</v>
      </c>
      <c r="AS146" s="620"/>
      <c r="AT146" s="620"/>
      <c r="AU146" s="620"/>
      <c r="AV146" s="623">
        <f t="shared" si="46"/>
        <v>0</v>
      </c>
      <c r="AW146" s="621"/>
      <c r="AX146" s="621"/>
      <c r="AY146" s="621"/>
      <c r="AZ146" s="624">
        <f t="shared" si="47"/>
        <v>-19</v>
      </c>
      <c r="BA146" s="623">
        <v>19</v>
      </c>
      <c r="BB146" s="620"/>
      <c r="BC146" s="620"/>
      <c r="BD146" s="623">
        <f t="shared" si="48"/>
        <v>0</v>
      </c>
      <c r="BE146" s="621"/>
      <c r="BF146" s="621"/>
      <c r="BG146" s="621"/>
      <c r="BH146" s="621">
        <f t="shared" si="49"/>
        <v>19</v>
      </c>
    </row>
    <row r="147" spans="1:60" ht="17.25" thickTop="1" thickBot="1" x14ac:dyDescent="0.3">
      <c r="A147" s="77">
        <v>140</v>
      </c>
      <c r="B147" s="603">
        <f t="shared" ca="1" si="37"/>
        <v>43134</v>
      </c>
      <c r="C147" s="29" t="s">
        <v>2556</v>
      </c>
      <c r="D147" s="59" t="s">
        <v>2586</v>
      </c>
      <c r="E147" s="22" t="s">
        <v>383</v>
      </c>
      <c r="F147" s="295" t="s">
        <v>384</v>
      </c>
      <c r="G147" s="567">
        <v>42559</v>
      </c>
      <c r="H147" s="609">
        <f t="shared" si="50"/>
        <v>24.4</v>
      </c>
      <c r="I147" s="620">
        <v>7</v>
      </c>
      <c r="J147" s="620">
        <v>8</v>
      </c>
      <c r="K147" s="620">
        <v>7</v>
      </c>
      <c r="L147" s="611">
        <f t="shared" si="38"/>
        <v>22</v>
      </c>
      <c r="M147" s="621"/>
      <c r="N147" s="621"/>
      <c r="O147" s="621"/>
      <c r="P147" s="622">
        <f t="shared" si="39"/>
        <v>-2.3999999999999986</v>
      </c>
      <c r="Q147" s="609">
        <f t="shared" si="51"/>
        <v>19.399999999999999</v>
      </c>
      <c r="R147" s="620">
        <v>8.4</v>
      </c>
      <c r="S147" s="620">
        <v>8</v>
      </c>
      <c r="T147" s="620">
        <v>8</v>
      </c>
      <c r="U147" s="611">
        <f t="shared" si="40"/>
        <v>24.4</v>
      </c>
      <c r="V147" s="621"/>
      <c r="W147" s="621"/>
      <c r="X147" s="621"/>
      <c r="Y147" s="622">
        <f t="shared" si="41"/>
        <v>5</v>
      </c>
      <c r="Z147" s="609">
        <f t="shared" si="52"/>
        <v>19.399999999999999</v>
      </c>
      <c r="AA147" s="620">
        <v>8.3000000000000007</v>
      </c>
      <c r="AB147" s="620">
        <v>8.1999999999999993</v>
      </c>
      <c r="AC147" s="620">
        <v>8</v>
      </c>
      <c r="AD147" s="611">
        <f t="shared" si="42"/>
        <v>24.5</v>
      </c>
      <c r="AE147" s="621"/>
      <c r="AF147" s="621"/>
      <c r="AG147" s="621"/>
      <c r="AH147" s="622">
        <f t="shared" si="43"/>
        <v>5.1000000000000014</v>
      </c>
      <c r="AI147" s="609">
        <f t="shared" si="53"/>
        <v>0</v>
      </c>
      <c r="AJ147" s="620">
        <v>7</v>
      </c>
      <c r="AK147" s="620">
        <v>5.5</v>
      </c>
      <c r="AL147" s="620">
        <v>6.9</v>
      </c>
      <c r="AM147" s="623">
        <f t="shared" si="44"/>
        <v>19.399999999999999</v>
      </c>
      <c r="AN147" s="621"/>
      <c r="AO147" s="621"/>
      <c r="AP147" s="621"/>
      <c r="AQ147" s="622">
        <f t="shared" si="45"/>
        <v>19.399999999999999</v>
      </c>
      <c r="AR147" s="615">
        <f t="shared" si="54"/>
        <v>9</v>
      </c>
      <c r="AS147" s="620"/>
      <c r="AT147" s="620"/>
      <c r="AU147" s="620"/>
      <c r="AV147" s="623">
        <f t="shared" si="46"/>
        <v>0</v>
      </c>
      <c r="AW147" s="621"/>
      <c r="AX147" s="621"/>
      <c r="AY147" s="621"/>
      <c r="AZ147" s="624">
        <f t="shared" si="47"/>
        <v>-9</v>
      </c>
      <c r="BA147" s="623">
        <v>9</v>
      </c>
      <c r="BB147" s="620"/>
      <c r="BC147" s="620"/>
      <c r="BD147" s="623">
        <f t="shared" si="48"/>
        <v>0</v>
      </c>
      <c r="BE147" s="621"/>
      <c r="BF147" s="621"/>
      <c r="BG147" s="621"/>
      <c r="BH147" s="621">
        <f t="shared" si="49"/>
        <v>9</v>
      </c>
    </row>
    <row r="148" spans="1:60" ht="17.25" thickTop="1" thickBot="1" x14ac:dyDescent="0.3">
      <c r="A148" s="602">
        <v>141</v>
      </c>
      <c r="B148" s="603">
        <f t="shared" ca="1" si="37"/>
        <v>43134</v>
      </c>
      <c r="C148" s="29" t="s">
        <v>2404</v>
      </c>
      <c r="D148" s="59" t="s">
        <v>1456</v>
      </c>
      <c r="E148" s="22" t="s">
        <v>610</v>
      </c>
      <c r="F148" s="295" t="s">
        <v>611</v>
      </c>
      <c r="G148" s="567">
        <v>42539</v>
      </c>
      <c r="H148" s="609">
        <f t="shared" si="50"/>
        <v>24</v>
      </c>
      <c r="I148" s="620">
        <v>8</v>
      </c>
      <c r="J148" s="620">
        <v>8</v>
      </c>
      <c r="K148" s="620">
        <v>7</v>
      </c>
      <c r="L148" s="611">
        <f t="shared" si="38"/>
        <v>23</v>
      </c>
      <c r="M148" s="621"/>
      <c r="N148" s="621"/>
      <c r="O148" s="621"/>
      <c r="P148" s="622">
        <f t="shared" si="39"/>
        <v>-1</v>
      </c>
      <c r="Q148" s="609">
        <f t="shared" si="51"/>
        <v>30.5</v>
      </c>
      <c r="R148" s="620">
        <v>8</v>
      </c>
      <c r="S148" s="620">
        <v>10</v>
      </c>
      <c r="T148" s="620">
        <v>6</v>
      </c>
      <c r="U148" s="611">
        <f t="shared" si="40"/>
        <v>24</v>
      </c>
      <c r="V148" s="621"/>
      <c r="W148" s="621"/>
      <c r="X148" s="621"/>
      <c r="Y148" s="622">
        <f t="shared" si="41"/>
        <v>-6.5</v>
      </c>
      <c r="Z148" s="609">
        <f t="shared" si="52"/>
        <v>30.5</v>
      </c>
      <c r="AA148" s="620">
        <v>10.1</v>
      </c>
      <c r="AB148" s="620">
        <v>10</v>
      </c>
      <c r="AC148" s="620">
        <v>9.8000000000000007</v>
      </c>
      <c r="AD148" s="611">
        <f t="shared" si="42"/>
        <v>29.900000000000002</v>
      </c>
      <c r="AE148" s="621"/>
      <c r="AF148" s="621"/>
      <c r="AG148" s="621"/>
      <c r="AH148" s="622">
        <f t="shared" si="43"/>
        <v>-0.59999999999999787</v>
      </c>
      <c r="AI148" s="609">
        <f t="shared" si="53"/>
        <v>33.9</v>
      </c>
      <c r="AJ148" s="620">
        <v>10</v>
      </c>
      <c r="AK148" s="620">
        <v>9.5</v>
      </c>
      <c r="AL148" s="620">
        <v>11</v>
      </c>
      <c r="AM148" s="623">
        <f t="shared" si="44"/>
        <v>30.5</v>
      </c>
      <c r="AN148" s="621"/>
      <c r="AO148" s="621"/>
      <c r="AP148" s="621"/>
      <c r="AQ148" s="622">
        <f t="shared" si="45"/>
        <v>-3.3999999999999986</v>
      </c>
      <c r="AR148" s="615">
        <f t="shared" si="54"/>
        <v>5</v>
      </c>
      <c r="AS148" s="620">
        <v>16.8</v>
      </c>
      <c r="AT148" s="620">
        <v>9.6999999999999993</v>
      </c>
      <c r="AU148" s="620">
        <v>7.4</v>
      </c>
      <c r="AV148" s="623">
        <f t="shared" si="46"/>
        <v>33.9</v>
      </c>
      <c r="AW148" s="621"/>
      <c r="AX148" s="621"/>
      <c r="AY148" s="621"/>
      <c r="AZ148" s="624">
        <f t="shared" si="47"/>
        <v>28.9</v>
      </c>
      <c r="BA148" s="623">
        <v>5</v>
      </c>
      <c r="BB148" s="620"/>
      <c r="BC148" s="620"/>
      <c r="BD148" s="623">
        <f t="shared" si="48"/>
        <v>0</v>
      </c>
      <c r="BE148" s="621"/>
      <c r="BF148" s="621"/>
      <c r="BG148" s="621"/>
      <c r="BH148" s="621">
        <f t="shared" si="49"/>
        <v>5</v>
      </c>
    </row>
    <row r="149" spans="1:60" ht="17.25" thickTop="1" thickBot="1" x14ac:dyDescent="0.3">
      <c r="A149" s="77">
        <v>142</v>
      </c>
      <c r="B149" s="603">
        <f t="shared" ca="1" si="37"/>
        <v>43134</v>
      </c>
      <c r="C149" s="29" t="s">
        <v>2556</v>
      </c>
      <c r="D149" s="59" t="s">
        <v>2586</v>
      </c>
      <c r="E149" s="22" t="s">
        <v>110</v>
      </c>
      <c r="F149" s="27" t="s">
        <v>111</v>
      </c>
      <c r="G149" s="567">
        <v>42576</v>
      </c>
      <c r="H149" s="609">
        <f t="shared" si="50"/>
        <v>29</v>
      </c>
      <c r="I149" s="620">
        <v>10</v>
      </c>
      <c r="J149" s="620">
        <v>9</v>
      </c>
      <c r="K149" s="620">
        <v>9.8000000000000007</v>
      </c>
      <c r="L149" s="611">
        <f t="shared" si="38"/>
        <v>28.8</v>
      </c>
      <c r="M149" s="621"/>
      <c r="N149" s="621"/>
      <c r="O149" s="621"/>
      <c r="P149" s="622">
        <f t="shared" si="39"/>
        <v>-0.19999999999999929</v>
      </c>
      <c r="Q149" s="609">
        <f t="shared" si="51"/>
        <v>31.8</v>
      </c>
      <c r="R149" s="620">
        <v>10</v>
      </c>
      <c r="S149" s="620">
        <v>8</v>
      </c>
      <c r="T149" s="620">
        <v>11</v>
      </c>
      <c r="U149" s="611">
        <f t="shared" si="40"/>
        <v>29</v>
      </c>
      <c r="V149" s="621"/>
      <c r="W149" s="621"/>
      <c r="X149" s="621"/>
      <c r="Y149" s="622">
        <f t="shared" si="41"/>
        <v>-2.8000000000000007</v>
      </c>
      <c r="Z149" s="609">
        <f t="shared" si="52"/>
        <v>31.8</v>
      </c>
      <c r="AA149" s="620">
        <v>14</v>
      </c>
      <c r="AB149" s="620">
        <v>10</v>
      </c>
      <c r="AC149" s="620">
        <v>9.5</v>
      </c>
      <c r="AD149" s="611">
        <f t="shared" si="42"/>
        <v>33.5</v>
      </c>
      <c r="AE149" s="621"/>
      <c r="AF149" s="621"/>
      <c r="AG149" s="621"/>
      <c r="AH149" s="622">
        <f t="shared" si="43"/>
        <v>1.6999999999999993</v>
      </c>
      <c r="AI149" s="609">
        <f t="shared" si="53"/>
        <v>0</v>
      </c>
      <c r="AJ149" s="620">
        <v>7.8</v>
      </c>
      <c r="AK149" s="620">
        <v>12</v>
      </c>
      <c r="AL149" s="620">
        <v>12</v>
      </c>
      <c r="AM149" s="623">
        <f t="shared" si="44"/>
        <v>31.8</v>
      </c>
      <c r="AN149" s="621"/>
      <c r="AO149" s="621"/>
      <c r="AP149" s="621"/>
      <c r="AQ149" s="622">
        <f t="shared" si="45"/>
        <v>31.8</v>
      </c>
      <c r="AR149" s="615">
        <f t="shared" si="54"/>
        <v>20</v>
      </c>
      <c r="AS149" s="620"/>
      <c r="AT149" s="620"/>
      <c r="AU149" s="620"/>
      <c r="AV149" s="623">
        <f t="shared" si="46"/>
        <v>0</v>
      </c>
      <c r="AW149" s="621"/>
      <c r="AX149" s="621"/>
      <c r="AY149" s="621"/>
      <c r="AZ149" s="624">
        <f t="shared" si="47"/>
        <v>-20</v>
      </c>
      <c r="BA149" s="623">
        <v>20</v>
      </c>
      <c r="BB149" s="620"/>
      <c r="BC149" s="620"/>
      <c r="BD149" s="623">
        <f t="shared" si="48"/>
        <v>0</v>
      </c>
      <c r="BE149" s="621"/>
      <c r="BF149" s="621"/>
      <c r="BG149" s="621"/>
      <c r="BH149" s="621">
        <f t="shared" si="49"/>
        <v>20</v>
      </c>
    </row>
    <row r="150" spans="1:60" ht="17.25" thickTop="1" thickBot="1" x14ac:dyDescent="0.3">
      <c r="A150" s="602">
        <v>143</v>
      </c>
      <c r="B150" s="603">
        <f t="shared" ca="1" si="37"/>
        <v>43134</v>
      </c>
      <c r="C150" s="29" t="s">
        <v>2556</v>
      </c>
      <c r="D150" s="59" t="s">
        <v>2586</v>
      </c>
      <c r="E150" s="22" t="s">
        <v>223</v>
      </c>
      <c r="F150" s="27" t="s">
        <v>224</v>
      </c>
      <c r="G150" s="567">
        <v>42538</v>
      </c>
      <c r="H150" s="609">
        <f t="shared" si="50"/>
        <v>24.9</v>
      </c>
      <c r="I150" s="620">
        <v>9</v>
      </c>
      <c r="J150" s="620">
        <v>7.3</v>
      </c>
      <c r="K150" s="620">
        <v>8</v>
      </c>
      <c r="L150" s="611">
        <f t="shared" si="38"/>
        <v>24.3</v>
      </c>
      <c r="M150" s="621"/>
      <c r="N150" s="621"/>
      <c r="O150" s="621"/>
      <c r="P150" s="622">
        <f t="shared" si="39"/>
        <v>-0.59999999999999787</v>
      </c>
      <c r="Q150" s="609">
        <f t="shared" si="51"/>
        <v>33</v>
      </c>
      <c r="R150" s="620">
        <v>9.1999999999999993</v>
      </c>
      <c r="S150" s="620">
        <v>7.5</v>
      </c>
      <c r="T150" s="620">
        <v>8.1999999999999993</v>
      </c>
      <c r="U150" s="611">
        <f t="shared" si="40"/>
        <v>24.9</v>
      </c>
      <c r="V150" s="621"/>
      <c r="W150" s="621"/>
      <c r="X150" s="621"/>
      <c r="Y150" s="622">
        <f t="shared" si="41"/>
        <v>-8.1000000000000014</v>
      </c>
      <c r="Z150" s="609">
        <f t="shared" si="52"/>
        <v>33</v>
      </c>
      <c r="AA150" s="620">
        <v>13.5</v>
      </c>
      <c r="AB150" s="620">
        <v>10</v>
      </c>
      <c r="AC150" s="620">
        <v>6</v>
      </c>
      <c r="AD150" s="611">
        <f t="shared" si="42"/>
        <v>29.5</v>
      </c>
      <c r="AE150" s="621"/>
      <c r="AF150" s="621"/>
      <c r="AG150" s="621"/>
      <c r="AH150" s="622">
        <f t="shared" si="43"/>
        <v>-3.5</v>
      </c>
      <c r="AI150" s="609">
        <f t="shared" si="53"/>
        <v>0</v>
      </c>
      <c r="AJ150" s="620">
        <v>12</v>
      </c>
      <c r="AK150" s="620">
        <v>11</v>
      </c>
      <c r="AL150" s="620">
        <v>10</v>
      </c>
      <c r="AM150" s="623">
        <f t="shared" si="44"/>
        <v>33</v>
      </c>
      <c r="AN150" s="621"/>
      <c r="AO150" s="621"/>
      <c r="AP150" s="621"/>
      <c r="AQ150" s="622">
        <f t="shared" si="45"/>
        <v>33</v>
      </c>
      <c r="AR150" s="615">
        <f t="shared" si="54"/>
        <v>12</v>
      </c>
      <c r="AS150" s="620"/>
      <c r="AT150" s="620"/>
      <c r="AU150" s="620"/>
      <c r="AV150" s="623">
        <f t="shared" si="46"/>
        <v>0</v>
      </c>
      <c r="AW150" s="621"/>
      <c r="AX150" s="621"/>
      <c r="AY150" s="621"/>
      <c r="AZ150" s="624">
        <f t="shared" si="47"/>
        <v>-12</v>
      </c>
      <c r="BA150" s="623">
        <v>12</v>
      </c>
      <c r="BB150" s="620"/>
      <c r="BC150" s="620"/>
      <c r="BD150" s="623">
        <f t="shared" si="48"/>
        <v>0</v>
      </c>
      <c r="BE150" s="621"/>
      <c r="BF150" s="621"/>
      <c r="BG150" s="621"/>
      <c r="BH150" s="621">
        <f t="shared" si="49"/>
        <v>12</v>
      </c>
    </row>
    <row r="151" spans="1:60" ht="17.25" thickTop="1" thickBot="1" x14ac:dyDescent="0.3">
      <c r="A151" s="77">
        <v>144</v>
      </c>
      <c r="B151" s="603">
        <f t="shared" ca="1" si="37"/>
        <v>43134</v>
      </c>
      <c r="C151" s="29" t="s">
        <v>2556</v>
      </c>
      <c r="D151" s="59" t="s">
        <v>2586</v>
      </c>
      <c r="E151" s="22" t="s">
        <v>621</v>
      </c>
      <c r="F151" s="27" t="s">
        <v>622</v>
      </c>
      <c r="G151" s="567">
        <v>42307</v>
      </c>
      <c r="H151" s="609">
        <f t="shared" si="50"/>
        <v>28.8</v>
      </c>
      <c r="I151" s="620">
        <v>8</v>
      </c>
      <c r="J151" s="620"/>
      <c r="K151" s="620">
        <v>13.2</v>
      </c>
      <c r="L151" s="611">
        <f t="shared" si="38"/>
        <v>21.2</v>
      </c>
      <c r="M151" s="621"/>
      <c r="N151" s="621"/>
      <c r="O151" s="621"/>
      <c r="P151" s="622">
        <f t="shared" si="39"/>
        <v>-7.6000000000000014</v>
      </c>
      <c r="Q151" s="609">
        <f t="shared" si="51"/>
        <v>0</v>
      </c>
      <c r="R151" s="620">
        <v>10</v>
      </c>
      <c r="S151" s="620">
        <v>10</v>
      </c>
      <c r="T151" s="620">
        <v>8.8000000000000007</v>
      </c>
      <c r="U151" s="611">
        <f t="shared" si="40"/>
        <v>28.8</v>
      </c>
      <c r="V151" s="621"/>
      <c r="W151" s="621"/>
      <c r="X151" s="621"/>
      <c r="Y151" s="622">
        <f t="shared" si="41"/>
        <v>28.8</v>
      </c>
      <c r="Z151" s="609">
        <f t="shared" si="52"/>
        <v>0</v>
      </c>
      <c r="AA151" s="620">
        <v>8.1999999999999993</v>
      </c>
      <c r="AB151" s="620">
        <v>10.8</v>
      </c>
      <c r="AC151" s="620">
        <v>9.5</v>
      </c>
      <c r="AD151" s="611">
        <f t="shared" si="42"/>
        <v>28.5</v>
      </c>
      <c r="AE151" s="621"/>
      <c r="AF151" s="621"/>
      <c r="AG151" s="621"/>
      <c r="AH151" s="622">
        <f t="shared" si="43"/>
        <v>28.5</v>
      </c>
      <c r="AI151" s="609">
        <f t="shared" si="53"/>
        <v>0</v>
      </c>
      <c r="AJ151" s="620"/>
      <c r="AK151" s="620"/>
      <c r="AL151" s="620"/>
      <c r="AM151" s="623">
        <f t="shared" si="44"/>
        <v>0</v>
      </c>
      <c r="AN151" s="621"/>
      <c r="AO151" s="621"/>
      <c r="AP151" s="621"/>
      <c r="AQ151" s="622">
        <f t="shared" si="45"/>
        <v>0</v>
      </c>
      <c r="AR151" s="615">
        <f t="shared" si="54"/>
        <v>11.7</v>
      </c>
      <c r="AS151" s="620"/>
      <c r="AT151" s="620"/>
      <c r="AU151" s="620"/>
      <c r="AV151" s="623">
        <f t="shared" si="46"/>
        <v>0</v>
      </c>
      <c r="AW151" s="621"/>
      <c r="AX151" s="621"/>
      <c r="AY151" s="621"/>
      <c r="AZ151" s="624">
        <f t="shared" si="47"/>
        <v>-11.7</v>
      </c>
      <c r="BA151" s="623">
        <v>11.7</v>
      </c>
      <c r="BB151" s="620"/>
      <c r="BC151" s="620"/>
      <c r="BD151" s="623">
        <f t="shared" si="48"/>
        <v>0</v>
      </c>
      <c r="BE151" s="621"/>
      <c r="BF151" s="621"/>
      <c r="BG151" s="621"/>
      <c r="BH151" s="621">
        <f t="shared" si="49"/>
        <v>11.7</v>
      </c>
    </row>
    <row r="152" spans="1:60" ht="17.25" thickTop="1" thickBot="1" x14ac:dyDescent="0.3">
      <c r="A152" s="602">
        <v>145</v>
      </c>
      <c r="B152" s="603">
        <f t="shared" ca="1" si="37"/>
        <v>43134</v>
      </c>
      <c r="C152" s="29" t="s">
        <v>2556</v>
      </c>
      <c r="D152" s="59" t="s">
        <v>2586</v>
      </c>
      <c r="E152" s="22" t="s">
        <v>777</v>
      </c>
      <c r="F152" s="295" t="s">
        <v>778</v>
      </c>
      <c r="G152" s="567">
        <v>42541</v>
      </c>
      <c r="H152" s="609">
        <f t="shared" si="50"/>
        <v>16</v>
      </c>
      <c r="I152" s="620">
        <v>12</v>
      </c>
      <c r="J152" s="620">
        <v>8</v>
      </c>
      <c r="K152" s="620">
        <v>10</v>
      </c>
      <c r="L152" s="611">
        <f t="shared" si="38"/>
        <v>30</v>
      </c>
      <c r="M152" s="621"/>
      <c r="N152" s="621"/>
      <c r="O152" s="621"/>
      <c r="P152" s="622">
        <f t="shared" si="39"/>
        <v>14</v>
      </c>
      <c r="Q152" s="609">
        <f t="shared" si="51"/>
        <v>32.4</v>
      </c>
      <c r="R152" s="620">
        <v>6</v>
      </c>
      <c r="S152" s="620">
        <v>5</v>
      </c>
      <c r="T152" s="620">
        <v>5</v>
      </c>
      <c r="U152" s="611">
        <f t="shared" si="40"/>
        <v>16</v>
      </c>
      <c r="V152" s="621"/>
      <c r="W152" s="621"/>
      <c r="X152" s="621"/>
      <c r="Y152" s="622">
        <f t="shared" si="41"/>
        <v>-16.399999999999999</v>
      </c>
      <c r="Z152" s="609">
        <f t="shared" si="52"/>
        <v>32.4</v>
      </c>
      <c r="AA152" s="620">
        <v>10.5</v>
      </c>
      <c r="AB152" s="620">
        <v>8.6</v>
      </c>
      <c r="AC152" s="620">
        <v>5.5</v>
      </c>
      <c r="AD152" s="611">
        <f t="shared" si="42"/>
        <v>24.6</v>
      </c>
      <c r="AE152" s="621"/>
      <c r="AF152" s="621"/>
      <c r="AG152" s="621"/>
      <c r="AH152" s="622">
        <f t="shared" si="43"/>
        <v>-7.7999999999999972</v>
      </c>
      <c r="AI152" s="609">
        <f t="shared" si="53"/>
        <v>0</v>
      </c>
      <c r="AJ152" s="620">
        <v>11.2</v>
      </c>
      <c r="AK152" s="620">
        <v>7.7</v>
      </c>
      <c r="AL152" s="620">
        <v>13.5</v>
      </c>
      <c r="AM152" s="623">
        <f t="shared" si="44"/>
        <v>32.4</v>
      </c>
      <c r="AN152" s="621"/>
      <c r="AO152" s="621"/>
      <c r="AP152" s="621"/>
      <c r="AQ152" s="622">
        <f t="shared" si="45"/>
        <v>32.4</v>
      </c>
      <c r="AR152" s="615">
        <f t="shared" si="54"/>
        <v>14</v>
      </c>
      <c r="AS152" s="620"/>
      <c r="AT152" s="620"/>
      <c r="AU152" s="620"/>
      <c r="AV152" s="623">
        <f t="shared" si="46"/>
        <v>0</v>
      </c>
      <c r="AW152" s="621"/>
      <c r="AX152" s="621"/>
      <c r="AY152" s="621"/>
      <c r="AZ152" s="624">
        <f t="shared" si="47"/>
        <v>-14</v>
      </c>
      <c r="BA152" s="623">
        <v>14</v>
      </c>
      <c r="BB152" s="620"/>
      <c r="BC152" s="620"/>
      <c r="BD152" s="623">
        <f t="shared" si="48"/>
        <v>0</v>
      </c>
      <c r="BE152" s="621"/>
      <c r="BF152" s="621"/>
      <c r="BG152" s="621"/>
      <c r="BH152" s="621">
        <f t="shared" si="49"/>
        <v>14</v>
      </c>
    </row>
    <row r="153" spans="1:60" ht="17.25" thickTop="1" thickBot="1" x14ac:dyDescent="0.3">
      <c r="A153" s="77">
        <v>146</v>
      </c>
      <c r="B153" s="603">
        <f t="shared" ca="1" si="37"/>
        <v>43134</v>
      </c>
      <c r="C153" s="29" t="s">
        <v>2556</v>
      </c>
      <c r="D153" s="59" t="s">
        <v>2586</v>
      </c>
      <c r="E153" s="22" t="s">
        <v>262</v>
      </c>
      <c r="F153" s="27" t="s">
        <v>263</v>
      </c>
      <c r="G153" s="567">
        <v>42512</v>
      </c>
      <c r="H153" s="609">
        <f t="shared" si="50"/>
        <v>0</v>
      </c>
      <c r="I153" s="620">
        <v>9.9</v>
      </c>
      <c r="J153" s="620">
        <v>11</v>
      </c>
      <c r="K153" s="620">
        <v>12.1</v>
      </c>
      <c r="L153" s="611">
        <f t="shared" si="38"/>
        <v>33</v>
      </c>
      <c r="M153" s="621"/>
      <c r="N153" s="621"/>
      <c r="O153" s="621"/>
      <c r="P153" s="622">
        <f t="shared" si="39"/>
        <v>33</v>
      </c>
      <c r="Q153" s="609">
        <f t="shared" si="51"/>
        <v>0</v>
      </c>
      <c r="R153" s="620"/>
      <c r="S153" s="620"/>
      <c r="T153" s="620"/>
      <c r="U153" s="611">
        <f t="shared" si="40"/>
        <v>0</v>
      </c>
      <c r="V153" s="621"/>
      <c r="W153" s="621"/>
      <c r="X153" s="621"/>
      <c r="Y153" s="622">
        <f t="shared" si="41"/>
        <v>0</v>
      </c>
      <c r="Z153" s="609">
        <f t="shared" si="52"/>
        <v>0</v>
      </c>
      <c r="AA153" s="620"/>
      <c r="AB153" s="620"/>
      <c r="AC153" s="620"/>
      <c r="AD153" s="611">
        <f t="shared" si="42"/>
        <v>0</v>
      </c>
      <c r="AE153" s="621"/>
      <c r="AF153" s="621"/>
      <c r="AG153" s="621"/>
      <c r="AH153" s="622">
        <f t="shared" si="43"/>
        <v>0</v>
      </c>
      <c r="AI153" s="609">
        <f t="shared" si="53"/>
        <v>0</v>
      </c>
      <c r="AJ153" s="620"/>
      <c r="AK153" s="620"/>
      <c r="AL153" s="620"/>
      <c r="AM153" s="623">
        <f t="shared" si="44"/>
        <v>0</v>
      </c>
      <c r="AN153" s="621"/>
      <c r="AO153" s="621"/>
      <c r="AP153" s="621"/>
      <c r="AQ153" s="622">
        <f t="shared" si="45"/>
        <v>0</v>
      </c>
      <c r="AR153" s="615">
        <f t="shared" si="54"/>
        <v>4</v>
      </c>
      <c r="AS153" s="620"/>
      <c r="AT153" s="620"/>
      <c r="AU153" s="620"/>
      <c r="AV153" s="623">
        <f t="shared" si="46"/>
        <v>0</v>
      </c>
      <c r="AW153" s="621"/>
      <c r="AX153" s="621"/>
      <c r="AY153" s="621"/>
      <c r="AZ153" s="624">
        <f t="shared" si="47"/>
        <v>-4</v>
      </c>
      <c r="BA153" s="623">
        <v>4</v>
      </c>
      <c r="BB153" s="620"/>
      <c r="BC153" s="620"/>
      <c r="BD153" s="623">
        <f t="shared" si="48"/>
        <v>0</v>
      </c>
      <c r="BE153" s="621"/>
      <c r="BF153" s="621"/>
      <c r="BG153" s="621"/>
      <c r="BH153" s="621">
        <f t="shared" si="49"/>
        <v>4</v>
      </c>
    </row>
    <row r="154" spans="1:60" ht="17.25" thickTop="1" thickBot="1" x14ac:dyDescent="0.3">
      <c r="A154" s="602">
        <v>147</v>
      </c>
      <c r="B154" s="603">
        <f t="shared" ca="1" si="37"/>
        <v>43134</v>
      </c>
      <c r="C154" s="29" t="s">
        <v>2556</v>
      </c>
      <c r="D154" s="59" t="s">
        <v>2586</v>
      </c>
      <c r="E154" s="22" t="s">
        <v>1417</v>
      </c>
      <c r="F154" s="239" t="s">
        <v>1418</v>
      </c>
      <c r="G154" s="567">
        <v>42447</v>
      </c>
      <c r="H154" s="609">
        <f t="shared" si="50"/>
        <v>32.6</v>
      </c>
      <c r="I154" s="620">
        <v>11.6</v>
      </c>
      <c r="J154" s="620">
        <v>12</v>
      </c>
      <c r="K154" s="620">
        <v>11.4</v>
      </c>
      <c r="L154" s="611">
        <f t="shared" si="38"/>
        <v>35</v>
      </c>
      <c r="M154" s="621"/>
      <c r="N154" s="621"/>
      <c r="O154" s="621"/>
      <c r="P154" s="622">
        <f t="shared" si="39"/>
        <v>2.3999999999999986</v>
      </c>
      <c r="Q154" s="609">
        <f t="shared" si="51"/>
        <v>27.4</v>
      </c>
      <c r="R154" s="620">
        <v>11</v>
      </c>
      <c r="S154" s="620">
        <v>10.199999999999999</v>
      </c>
      <c r="T154" s="620">
        <v>11.4</v>
      </c>
      <c r="U154" s="611">
        <f t="shared" si="40"/>
        <v>32.6</v>
      </c>
      <c r="V154" s="621"/>
      <c r="W154" s="621"/>
      <c r="X154" s="621"/>
      <c r="Y154" s="622">
        <f t="shared" si="41"/>
        <v>5.2000000000000028</v>
      </c>
      <c r="Z154" s="609">
        <f t="shared" si="52"/>
        <v>27.4</v>
      </c>
      <c r="AA154" s="620">
        <v>15.2</v>
      </c>
      <c r="AB154" s="620">
        <v>13.2</v>
      </c>
      <c r="AC154" s="620">
        <v>12</v>
      </c>
      <c r="AD154" s="611">
        <f t="shared" si="42"/>
        <v>40.4</v>
      </c>
      <c r="AE154" s="621"/>
      <c r="AF154" s="621"/>
      <c r="AG154" s="621"/>
      <c r="AH154" s="622">
        <f t="shared" si="43"/>
        <v>13</v>
      </c>
      <c r="AI154" s="609">
        <f t="shared" si="53"/>
        <v>0</v>
      </c>
      <c r="AJ154" s="620">
        <v>11</v>
      </c>
      <c r="AK154" s="620">
        <v>3.4</v>
      </c>
      <c r="AL154" s="620">
        <v>13</v>
      </c>
      <c r="AM154" s="623">
        <f t="shared" si="44"/>
        <v>27.4</v>
      </c>
      <c r="AN154" s="621"/>
      <c r="AO154" s="621"/>
      <c r="AP154" s="621"/>
      <c r="AQ154" s="622">
        <f t="shared" si="45"/>
        <v>27.4</v>
      </c>
      <c r="AR154" s="615">
        <f t="shared" si="54"/>
        <v>15</v>
      </c>
      <c r="AS154" s="620"/>
      <c r="AT154" s="620"/>
      <c r="AU154" s="620"/>
      <c r="AV154" s="623">
        <f t="shared" si="46"/>
        <v>0</v>
      </c>
      <c r="AW154" s="621"/>
      <c r="AX154" s="621"/>
      <c r="AY154" s="621"/>
      <c r="AZ154" s="624">
        <f t="shared" si="47"/>
        <v>-15</v>
      </c>
      <c r="BA154" s="623">
        <v>15</v>
      </c>
      <c r="BB154" s="620"/>
      <c r="BC154" s="620"/>
      <c r="BD154" s="623">
        <f t="shared" si="48"/>
        <v>0</v>
      </c>
      <c r="BE154" s="621"/>
      <c r="BF154" s="621"/>
      <c r="BG154" s="621"/>
      <c r="BH154" s="621">
        <f t="shared" si="49"/>
        <v>15</v>
      </c>
    </row>
    <row r="155" spans="1:60" ht="17.25" thickTop="1" thickBot="1" x14ac:dyDescent="0.3">
      <c r="A155" s="77">
        <v>148</v>
      </c>
      <c r="B155" s="603">
        <f t="shared" ca="1" si="37"/>
        <v>43134</v>
      </c>
      <c r="C155" s="29" t="s">
        <v>2404</v>
      </c>
      <c r="D155" s="59" t="s">
        <v>1456</v>
      </c>
      <c r="E155" s="22" t="s">
        <v>245</v>
      </c>
      <c r="F155" s="295" t="s">
        <v>246</v>
      </c>
      <c r="G155" s="567">
        <v>42527</v>
      </c>
      <c r="H155" s="609">
        <f t="shared" si="50"/>
        <v>21.5</v>
      </c>
      <c r="I155" s="620">
        <v>2</v>
      </c>
      <c r="J155" s="620">
        <v>8</v>
      </c>
      <c r="K155" s="620">
        <v>9</v>
      </c>
      <c r="L155" s="611">
        <f t="shared" si="38"/>
        <v>19</v>
      </c>
      <c r="M155" s="621"/>
      <c r="N155" s="621"/>
      <c r="O155" s="621"/>
      <c r="P155" s="622">
        <f t="shared" si="39"/>
        <v>-2.5</v>
      </c>
      <c r="Q155" s="609">
        <f t="shared" si="51"/>
        <v>30.5</v>
      </c>
      <c r="R155" s="620">
        <v>8</v>
      </c>
      <c r="S155" s="620">
        <v>8.5</v>
      </c>
      <c r="T155" s="620">
        <v>5</v>
      </c>
      <c r="U155" s="611">
        <f t="shared" si="40"/>
        <v>21.5</v>
      </c>
      <c r="V155" s="621"/>
      <c r="W155" s="621"/>
      <c r="X155" s="621"/>
      <c r="Y155" s="622">
        <f t="shared" si="41"/>
        <v>-9</v>
      </c>
      <c r="Z155" s="609">
        <f t="shared" si="52"/>
        <v>30.5</v>
      </c>
      <c r="AA155" s="620">
        <v>8.5</v>
      </c>
      <c r="AB155" s="620">
        <v>10</v>
      </c>
      <c r="AC155" s="620">
        <v>8.3000000000000007</v>
      </c>
      <c r="AD155" s="611">
        <f t="shared" si="42"/>
        <v>26.8</v>
      </c>
      <c r="AE155" s="621"/>
      <c r="AF155" s="621"/>
      <c r="AG155" s="621"/>
      <c r="AH155" s="622">
        <f t="shared" si="43"/>
        <v>-3.6999999999999993</v>
      </c>
      <c r="AI155" s="609">
        <f t="shared" si="53"/>
        <v>33</v>
      </c>
      <c r="AJ155" s="620">
        <v>12</v>
      </c>
      <c r="AK155" s="620">
        <v>9.5</v>
      </c>
      <c r="AL155" s="620">
        <v>9</v>
      </c>
      <c r="AM155" s="623">
        <f t="shared" si="44"/>
        <v>30.5</v>
      </c>
      <c r="AN155" s="621"/>
      <c r="AO155" s="621"/>
      <c r="AP155" s="621"/>
      <c r="AQ155" s="622">
        <f t="shared" si="45"/>
        <v>-2.5</v>
      </c>
      <c r="AR155" s="615">
        <f t="shared" si="54"/>
        <v>4</v>
      </c>
      <c r="AS155" s="620">
        <v>17</v>
      </c>
      <c r="AT155" s="620">
        <v>10</v>
      </c>
      <c r="AU155" s="620">
        <v>6</v>
      </c>
      <c r="AV155" s="623">
        <f t="shared" si="46"/>
        <v>33</v>
      </c>
      <c r="AW155" s="621"/>
      <c r="AX155" s="621"/>
      <c r="AY155" s="621"/>
      <c r="AZ155" s="624">
        <f t="shared" si="47"/>
        <v>29</v>
      </c>
      <c r="BA155" s="623">
        <v>4</v>
      </c>
      <c r="BB155" s="620"/>
      <c r="BC155" s="620"/>
      <c r="BD155" s="623">
        <f t="shared" si="48"/>
        <v>0</v>
      </c>
      <c r="BE155" s="621"/>
      <c r="BF155" s="621"/>
      <c r="BG155" s="621"/>
      <c r="BH155" s="621">
        <f t="shared" si="49"/>
        <v>4</v>
      </c>
    </row>
    <row r="156" spans="1:60" ht="17.25" thickTop="1" thickBot="1" x14ac:dyDescent="0.3">
      <c r="A156" s="602">
        <v>149</v>
      </c>
      <c r="B156" s="603">
        <f t="shared" ca="1" si="37"/>
        <v>43134</v>
      </c>
      <c r="C156" s="29" t="s">
        <v>2556</v>
      </c>
      <c r="D156" s="59" t="s">
        <v>2586</v>
      </c>
      <c r="E156" s="22" t="s">
        <v>211</v>
      </c>
      <c r="F156" s="295" t="s">
        <v>300</v>
      </c>
      <c r="G156" s="567">
        <v>42420</v>
      </c>
      <c r="H156" s="609">
        <f t="shared" si="50"/>
        <v>25</v>
      </c>
      <c r="I156" s="620">
        <v>12</v>
      </c>
      <c r="J156" s="620">
        <v>11</v>
      </c>
      <c r="K156" s="620">
        <v>10</v>
      </c>
      <c r="L156" s="611">
        <f t="shared" si="38"/>
        <v>33</v>
      </c>
      <c r="M156" s="621"/>
      <c r="N156" s="621"/>
      <c r="O156" s="621"/>
      <c r="P156" s="622">
        <f t="shared" si="39"/>
        <v>8</v>
      </c>
      <c r="Q156" s="609">
        <f t="shared" si="51"/>
        <v>35</v>
      </c>
      <c r="R156" s="620">
        <v>9</v>
      </c>
      <c r="S156" s="620">
        <v>8.5</v>
      </c>
      <c r="T156" s="620">
        <v>7.5</v>
      </c>
      <c r="U156" s="611">
        <f t="shared" si="40"/>
        <v>25</v>
      </c>
      <c r="V156" s="621"/>
      <c r="W156" s="621"/>
      <c r="X156" s="621"/>
      <c r="Y156" s="622">
        <f t="shared" si="41"/>
        <v>-10</v>
      </c>
      <c r="Z156" s="609">
        <f t="shared" si="52"/>
        <v>35</v>
      </c>
      <c r="AA156" s="620">
        <v>9.1999999999999993</v>
      </c>
      <c r="AB156" s="620">
        <v>8.6</v>
      </c>
      <c r="AC156" s="620">
        <v>9.1999999999999993</v>
      </c>
      <c r="AD156" s="611">
        <f t="shared" si="42"/>
        <v>26.999999999999996</v>
      </c>
      <c r="AE156" s="621"/>
      <c r="AF156" s="621"/>
      <c r="AG156" s="621"/>
      <c r="AH156" s="622">
        <f t="shared" si="43"/>
        <v>-8.0000000000000036</v>
      </c>
      <c r="AI156" s="609">
        <f t="shared" si="53"/>
        <v>0</v>
      </c>
      <c r="AJ156" s="620">
        <v>13</v>
      </c>
      <c r="AK156" s="620">
        <v>10</v>
      </c>
      <c r="AL156" s="620">
        <v>12</v>
      </c>
      <c r="AM156" s="623">
        <f t="shared" si="44"/>
        <v>35</v>
      </c>
      <c r="AN156" s="621"/>
      <c r="AO156" s="621"/>
      <c r="AP156" s="621"/>
      <c r="AQ156" s="622">
        <f t="shared" si="45"/>
        <v>35</v>
      </c>
      <c r="AR156" s="615">
        <f t="shared" si="54"/>
        <v>2.5</v>
      </c>
      <c r="AS156" s="620"/>
      <c r="AT156" s="620"/>
      <c r="AU156" s="620"/>
      <c r="AV156" s="623">
        <f t="shared" si="46"/>
        <v>0</v>
      </c>
      <c r="AW156" s="621"/>
      <c r="AX156" s="621"/>
      <c r="AY156" s="621"/>
      <c r="AZ156" s="624">
        <f t="shared" si="47"/>
        <v>-2.5</v>
      </c>
      <c r="BA156" s="623">
        <v>2.5</v>
      </c>
      <c r="BB156" s="620"/>
      <c r="BC156" s="620"/>
      <c r="BD156" s="623">
        <f t="shared" si="48"/>
        <v>0</v>
      </c>
      <c r="BE156" s="621"/>
      <c r="BF156" s="621"/>
      <c r="BG156" s="621"/>
      <c r="BH156" s="621">
        <f t="shared" si="49"/>
        <v>2.5</v>
      </c>
    </row>
    <row r="157" spans="1:60" ht="17.25" thickTop="1" thickBot="1" x14ac:dyDescent="0.3">
      <c r="A157" s="77">
        <v>150</v>
      </c>
      <c r="B157" s="603">
        <f t="shared" ca="1" si="37"/>
        <v>43134</v>
      </c>
      <c r="C157" s="29" t="s">
        <v>2556</v>
      </c>
      <c r="D157" s="59" t="s">
        <v>2586</v>
      </c>
      <c r="E157" s="22" t="s">
        <v>156</v>
      </c>
      <c r="F157" s="295" t="s">
        <v>486</v>
      </c>
      <c r="G157" s="567">
        <v>42550</v>
      </c>
      <c r="H157" s="609">
        <f t="shared" si="50"/>
        <v>20</v>
      </c>
      <c r="I157" s="620">
        <v>7</v>
      </c>
      <c r="J157" s="620">
        <v>6</v>
      </c>
      <c r="K157" s="620">
        <v>6</v>
      </c>
      <c r="L157" s="611">
        <f t="shared" si="38"/>
        <v>19</v>
      </c>
      <c r="M157" s="621"/>
      <c r="N157" s="621"/>
      <c r="O157" s="621"/>
      <c r="P157" s="622">
        <f t="shared" si="39"/>
        <v>-1</v>
      </c>
      <c r="Q157" s="609">
        <f t="shared" si="51"/>
        <v>26</v>
      </c>
      <c r="R157" s="620">
        <v>6</v>
      </c>
      <c r="S157" s="620">
        <v>6</v>
      </c>
      <c r="T157" s="620">
        <v>8</v>
      </c>
      <c r="U157" s="611">
        <f t="shared" si="40"/>
        <v>20</v>
      </c>
      <c r="V157" s="621"/>
      <c r="W157" s="621"/>
      <c r="X157" s="621"/>
      <c r="Y157" s="622">
        <f t="shared" si="41"/>
        <v>-6</v>
      </c>
      <c r="Z157" s="609">
        <f t="shared" si="52"/>
        <v>26</v>
      </c>
      <c r="AA157" s="620">
        <v>10.6</v>
      </c>
      <c r="AB157" s="620">
        <v>7</v>
      </c>
      <c r="AC157" s="620">
        <v>6.3</v>
      </c>
      <c r="AD157" s="611">
        <f t="shared" si="42"/>
        <v>23.900000000000002</v>
      </c>
      <c r="AE157" s="621"/>
      <c r="AF157" s="621"/>
      <c r="AG157" s="621"/>
      <c r="AH157" s="622">
        <f t="shared" si="43"/>
        <v>-2.0999999999999979</v>
      </c>
      <c r="AI157" s="609">
        <f t="shared" si="53"/>
        <v>0</v>
      </c>
      <c r="AJ157" s="620">
        <v>9</v>
      </c>
      <c r="AK157" s="620">
        <v>8</v>
      </c>
      <c r="AL157" s="620">
        <v>9</v>
      </c>
      <c r="AM157" s="623">
        <f t="shared" si="44"/>
        <v>26</v>
      </c>
      <c r="AN157" s="621"/>
      <c r="AO157" s="621"/>
      <c r="AP157" s="621"/>
      <c r="AQ157" s="622">
        <f t="shared" si="45"/>
        <v>26</v>
      </c>
      <c r="AR157" s="615">
        <f t="shared" si="54"/>
        <v>8</v>
      </c>
      <c r="AS157" s="620"/>
      <c r="AT157" s="620"/>
      <c r="AU157" s="620"/>
      <c r="AV157" s="623">
        <f t="shared" si="46"/>
        <v>0</v>
      </c>
      <c r="AW157" s="621"/>
      <c r="AX157" s="621"/>
      <c r="AY157" s="621"/>
      <c r="AZ157" s="624">
        <f t="shared" si="47"/>
        <v>-8</v>
      </c>
      <c r="BA157" s="623">
        <v>8</v>
      </c>
      <c r="BB157" s="620"/>
      <c r="BC157" s="620"/>
      <c r="BD157" s="623">
        <f t="shared" si="48"/>
        <v>0</v>
      </c>
      <c r="BE157" s="621"/>
      <c r="BF157" s="621"/>
      <c r="BG157" s="621"/>
      <c r="BH157" s="621">
        <f t="shared" si="49"/>
        <v>8</v>
      </c>
    </row>
    <row r="158" spans="1:60" ht="17.25" thickTop="1" thickBot="1" x14ac:dyDescent="0.3">
      <c r="A158" s="602">
        <v>151</v>
      </c>
      <c r="B158" s="603">
        <f t="shared" ca="1" si="37"/>
        <v>43134</v>
      </c>
      <c r="C158" s="29" t="s">
        <v>2556</v>
      </c>
      <c r="D158" s="59" t="s">
        <v>2586</v>
      </c>
      <c r="E158" s="22" t="s">
        <v>233</v>
      </c>
      <c r="F158" s="295" t="s">
        <v>487</v>
      </c>
      <c r="G158" s="567">
        <v>42611</v>
      </c>
      <c r="H158" s="609">
        <f t="shared" si="50"/>
        <v>21.9</v>
      </c>
      <c r="I158" s="620">
        <v>12.6</v>
      </c>
      <c r="J158" s="620">
        <v>9</v>
      </c>
      <c r="K158" s="620">
        <v>11</v>
      </c>
      <c r="L158" s="611">
        <f t="shared" si="38"/>
        <v>32.6</v>
      </c>
      <c r="M158" s="621"/>
      <c r="N158" s="621"/>
      <c r="O158" s="621"/>
      <c r="P158" s="622">
        <f t="shared" si="39"/>
        <v>10.700000000000003</v>
      </c>
      <c r="Q158" s="609">
        <f t="shared" si="51"/>
        <v>0</v>
      </c>
      <c r="R158" s="620">
        <v>8.4</v>
      </c>
      <c r="S158" s="620">
        <v>6</v>
      </c>
      <c r="T158" s="620">
        <v>7.5</v>
      </c>
      <c r="U158" s="611">
        <f t="shared" si="40"/>
        <v>21.9</v>
      </c>
      <c r="V158" s="621"/>
      <c r="W158" s="621"/>
      <c r="X158" s="621"/>
      <c r="Y158" s="622">
        <f t="shared" si="41"/>
        <v>21.9</v>
      </c>
      <c r="Z158" s="609">
        <f t="shared" si="52"/>
        <v>0</v>
      </c>
      <c r="AA158" s="620">
        <v>12.9</v>
      </c>
      <c r="AB158" s="620">
        <v>11.5</v>
      </c>
      <c r="AC158" s="620">
        <v>11.2</v>
      </c>
      <c r="AD158" s="611">
        <f t="shared" si="42"/>
        <v>35.599999999999994</v>
      </c>
      <c r="AE158" s="621"/>
      <c r="AF158" s="621"/>
      <c r="AG158" s="621"/>
      <c r="AH158" s="622">
        <f t="shared" si="43"/>
        <v>35.599999999999994</v>
      </c>
      <c r="AI158" s="609">
        <f t="shared" si="53"/>
        <v>0</v>
      </c>
      <c r="AJ158" s="620"/>
      <c r="AK158" s="620"/>
      <c r="AL158" s="620"/>
      <c r="AM158" s="623">
        <f t="shared" si="44"/>
        <v>0</v>
      </c>
      <c r="AN158" s="621"/>
      <c r="AO158" s="621"/>
      <c r="AP158" s="621"/>
      <c r="AQ158" s="622">
        <f t="shared" si="45"/>
        <v>0</v>
      </c>
      <c r="AR158" s="615">
        <f t="shared" si="54"/>
        <v>0</v>
      </c>
      <c r="AS158" s="620"/>
      <c r="AT158" s="620"/>
      <c r="AU158" s="620"/>
      <c r="AV158" s="623">
        <f t="shared" si="46"/>
        <v>0</v>
      </c>
      <c r="AW158" s="621"/>
      <c r="AX158" s="621"/>
      <c r="AY158" s="621"/>
      <c r="AZ158" s="624">
        <f t="shared" si="47"/>
        <v>0</v>
      </c>
      <c r="BA158" s="623"/>
      <c r="BB158" s="620"/>
      <c r="BC158" s="620"/>
      <c r="BD158" s="623">
        <f t="shared" si="48"/>
        <v>0</v>
      </c>
      <c r="BE158" s="621"/>
      <c r="BF158" s="621"/>
      <c r="BG158" s="621"/>
      <c r="BH158" s="621">
        <f t="shared" si="49"/>
        <v>0</v>
      </c>
    </row>
    <row r="159" spans="1:60" ht="17.25" thickTop="1" thickBot="1" x14ac:dyDescent="0.3">
      <c r="A159" s="77">
        <v>152</v>
      </c>
      <c r="B159" s="603">
        <f t="shared" ca="1" si="37"/>
        <v>43134</v>
      </c>
      <c r="C159" s="29" t="s">
        <v>2556</v>
      </c>
      <c r="D159" s="59" t="s">
        <v>2586</v>
      </c>
      <c r="E159" s="22" t="s">
        <v>213</v>
      </c>
      <c r="F159" s="27" t="s">
        <v>214</v>
      </c>
      <c r="G159" s="567">
        <v>42534</v>
      </c>
      <c r="H159" s="609">
        <f t="shared" si="50"/>
        <v>16.899999999999999</v>
      </c>
      <c r="I159" s="620">
        <v>9.8000000000000007</v>
      </c>
      <c r="J159" s="620">
        <v>7</v>
      </c>
      <c r="K159" s="620">
        <v>8.8000000000000007</v>
      </c>
      <c r="L159" s="611">
        <f t="shared" si="38"/>
        <v>25.6</v>
      </c>
      <c r="M159" s="621"/>
      <c r="N159" s="621"/>
      <c r="O159" s="621"/>
      <c r="P159" s="622">
        <f t="shared" si="39"/>
        <v>8.7000000000000028</v>
      </c>
      <c r="Q159" s="609">
        <f t="shared" si="51"/>
        <v>0</v>
      </c>
      <c r="R159" s="620">
        <v>6</v>
      </c>
      <c r="S159" s="620">
        <v>5.4</v>
      </c>
      <c r="T159" s="620">
        <v>5.5</v>
      </c>
      <c r="U159" s="611">
        <f t="shared" si="40"/>
        <v>16.899999999999999</v>
      </c>
      <c r="V159" s="621"/>
      <c r="W159" s="621"/>
      <c r="X159" s="621"/>
      <c r="Y159" s="622">
        <f t="shared" si="41"/>
        <v>16.899999999999999</v>
      </c>
      <c r="Z159" s="609">
        <f t="shared" si="52"/>
        <v>0</v>
      </c>
      <c r="AA159" s="620"/>
      <c r="AB159" s="620"/>
      <c r="AC159" s="620"/>
      <c r="AD159" s="611">
        <f t="shared" si="42"/>
        <v>0</v>
      </c>
      <c r="AE159" s="621"/>
      <c r="AF159" s="621"/>
      <c r="AG159" s="621"/>
      <c r="AH159" s="622">
        <f t="shared" si="43"/>
        <v>0</v>
      </c>
      <c r="AI159" s="609">
        <f t="shared" si="53"/>
        <v>0</v>
      </c>
      <c r="AJ159" s="620"/>
      <c r="AK159" s="620"/>
      <c r="AL159" s="620"/>
      <c r="AM159" s="623">
        <f t="shared" si="44"/>
        <v>0</v>
      </c>
      <c r="AN159" s="621"/>
      <c r="AO159" s="621"/>
      <c r="AP159" s="621"/>
      <c r="AQ159" s="622">
        <f t="shared" si="45"/>
        <v>0</v>
      </c>
      <c r="AR159" s="615">
        <f t="shared" si="54"/>
        <v>7</v>
      </c>
      <c r="AS159" s="620"/>
      <c r="AT159" s="620"/>
      <c r="AU159" s="620"/>
      <c r="AV159" s="623">
        <f t="shared" si="46"/>
        <v>0</v>
      </c>
      <c r="AW159" s="621"/>
      <c r="AX159" s="621"/>
      <c r="AY159" s="621"/>
      <c r="AZ159" s="624">
        <f t="shared" si="47"/>
        <v>-7</v>
      </c>
      <c r="BA159" s="623">
        <v>7</v>
      </c>
      <c r="BB159" s="620"/>
      <c r="BC159" s="620"/>
      <c r="BD159" s="623">
        <f t="shared" si="48"/>
        <v>0</v>
      </c>
      <c r="BE159" s="621"/>
      <c r="BF159" s="621"/>
      <c r="BG159" s="621"/>
      <c r="BH159" s="621">
        <f t="shared" si="49"/>
        <v>7</v>
      </c>
    </row>
    <row r="160" spans="1:60" ht="17.25" thickTop="1" thickBot="1" x14ac:dyDescent="0.3">
      <c r="A160" s="602">
        <v>153</v>
      </c>
      <c r="B160" s="603">
        <f t="shared" ca="1" si="37"/>
        <v>43134</v>
      </c>
      <c r="C160" s="29" t="s">
        <v>2556</v>
      </c>
      <c r="D160" s="59" t="s">
        <v>2586</v>
      </c>
      <c r="E160" s="22" t="s">
        <v>1504</v>
      </c>
      <c r="F160" s="295" t="s">
        <v>703</v>
      </c>
      <c r="G160" s="567">
        <v>42366</v>
      </c>
      <c r="H160" s="609">
        <f t="shared" si="50"/>
        <v>20.5</v>
      </c>
      <c r="I160" s="620">
        <v>5</v>
      </c>
      <c r="J160" s="620">
        <v>2</v>
      </c>
      <c r="K160" s="620">
        <v>2</v>
      </c>
      <c r="L160" s="611">
        <f t="shared" si="38"/>
        <v>9</v>
      </c>
      <c r="M160" s="621"/>
      <c r="N160" s="621"/>
      <c r="O160" s="621"/>
      <c r="P160" s="622">
        <f t="shared" si="39"/>
        <v>-11.5</v>
      </c>
      <c r="Q160" s="609">
        <f t="shared" si="51"/>
        <v>30.5</v>
      </c>
      <c r="R160" s="620">
        <v>8.5</v>
      </c>
      <c r="S160" s="620">
        <v>5.5</v>
      </c>
      <c r="T160" s="620">
        <v>6.5</v>
      </c>
      <c r="U160" s="611">
        <f t="shared" si="40"/>
        <v>20.5</v>
      </c>
      <c r="V160" s="621"/>
      <c r="W160" s="621"/>
      <c r="X160" s="621"/>
      <c r="Y160" s="622">
        <f t="shared" si="41"/>
        <v>-10</v>
      </c>
      <c r="Z160" s="609">
        <f t="shared" si="52"/>
        <v>30.5</v>
      </c>
      <c r="AA160" s="620">
        <v>11.7</v>
      </c>
      <c r="AB160" s="620">
        <v>7</v>
      </c>
      <c r="AC160" s="620">
        <v>8.5</v>
      </c>
      <c r="AD160" s="611">
        <f t="shared" si="42"/>
        <v>27.2</v>
      </c>
      <c r="AE160" s="621"/>
      <c r="AF160" s="621"/>
      <c r="AG160" s="621"/>
      <c r="AH160" s="622">
        <f t="shared" si="43"/>
        <v>-3.3000000000000007</v>
      </c>
      <c r="AI160" s="609">
        <f t="shared" si="53"/>
        <v>0</v>
      </c>
      <c r="AJ160" s="620">
        <v>10.5</v>
      </c>
      <c r="AK160" s="620">
        <v>10</v>
      </c>
      <c r="AL160" s="620">
        <v>10</v>
      </c>
      <c r="AM160" s="623">
        <f t="shared" si="44"/>
        <v>30.5</v>
      </c>
      <c r="AN160" s="621"/>
      <c r="AO160" s="621"/>
      <c r="AP160" s="621"/>
      <c r="AQ160" s="622">
        <f t="shared" si="45"/>
        <v>30.5</v>
      </c>
      <c r="AR160" s="615">
        <f t="shared" si="54"/>
        <v>6</v>
      </c>
      <c r="AS160" s="620"/>
      <c r="AT160" s="620"/>
      <c r="AU160" s="620"/>
      <c r="AV160" s="623">
        <f t="shared" si="46"/>
        <v>0</v>
      </c>
      <c r="AW160" s="621"/>
      <c r="AX160" s="621"/>
      <c r="AY160" s="621"/>
      <c r="AZ160" s="624">
        <f t="shared" si="47"/>
        <v>-6</v>
      </c>
      <c r="BA160" s="623">
        <v>6</v>
      </c>
      <c r="BB160" s="620"/>
      <c r="BC160" s="620"/>
      <c r="BD160" s="623">
        <f t="shared" si="48"/>
        <v>0</v>
      </c>
      <c r="BE160" s="621"/>
      <c r="BF160" s="621"/>
      <c r="BG160" s="621"/>
      <c r="BH160" s="621">
        <f t="shared" si="49"/>
        <v>6</v>
      </c>
    </row>
    <row r="161" spans="1:60" ht="17.25" thickTop="1" thickBot="1" x14ac:dyDescent="0.3">
      <c r="A161" s="77">
        <v>154</v>
      </c>
      <c r="B161" s="603">
        <f t="shared" ca="1" si="37"/>
        <v>43134</v>
      </c>
      <c r="C161" s="29" t="s">
        <v>2556</v>
      </c>
      <c r="D161" s="59" t="s">
        <v>2586</v>
      </c>
      <c r="E161" s="22" t="s">
        <v>183</v>
      </c>
      <c r="F161" s="27" t="s">
        <v>1130</v>
      </c>
      <c r="G161" s="567">
        <v>42484</v>
      </c>
      <c r="H161" s="609">
        <f t="shared" si="50"/>
        <v>24</v>
      </c>
      <c r="I161" s="620">
        <v>10</v>
      </c>
      <c r="J161" s="620">
        <v>6.2</v>
      </c>
      <c r="K161" s="620">
        <v>6.4</v>
      </c>
      <c r="L161" s="611">
        <f t="shared" si="38"/>
        <v>22.6</v>
      </c>
      <c r="M161" s="621"/>
      <c r="N161" s="621"/>
      <c r="O161" s="621"/>
      <c r="P161" s="622">
        <f t="shared" si="39"/>
        <v>-1.3999999999999986</v>
      </c>
      <c r="Q161" s="609">
        <f t="shared" si="51"/>
        <v>27.5</v>
      </c>
      <c r="R161" s="620">
        <v>7</v>
      </c>
      <c r="S161" s="620">
        <v>10</v>
      </c>
      <c r="T161" s="620">
        <v>7</v>
      </c>
      <c r="U161" s="611">
        <f t="shared" si="40"/>
        <v>24</v>
      </c>
      <c r="V161" s="621"/>
      <c r="W161" s="621"/>
      <c r="X161" s="621"/>
      <c r="Y161" s="622">
        <f t="shared" si="41"/>
        <v>-3.5</v>
      </c>
      <c r="Z161" s="609">
        <f t="shared" si="52"/>
        <v>27.5</v>
      </c>
      <c r="AA161" s="620">
        <v>10</v>
      </c>
      <c r="AB161" s="620">
        <v>10.5</v>
      </c>
      <c r="AC161" s="620">
        <v>8</v>
      </c>
      <c r="AD161" s="611">
        <f t="shared" si="42"/>
        <v>28.5</v>
      </c>
      <c r="AE161" s="621"/>
      <c r="AF161" s="621"/>
      <c r="AG161" s="621"/>
      <c r="AH161" s="622">
        <f t="shared" si="43"/>
        <v>1</v>
      </c>
      <c r="AI161" s="609">
        <f t="shared" si="53"/>
        <v>0</v>
      </c>
      <c r="AJ161" s="620">
        <v>7.3</v>
      </c>
      <c r="AK161" s="620">
        <v>12.4</v>
      </c>
      <c r="AL161" s="620">
        <v>7.8</v>
      </c>
      <c r="AM161" s="623">
        <f t="shared" si="44"/>
        <v>27.5</v>
      </c>
      <c r="AN161" s="621"/>
      <c r="AO161" s="621"/>
      <c r="AP161" s="621"/>
      <c r="AQ161" s="622">
        <f t="shared" si="45"/>
        <v>27.5</v>
      </c>
      <c r="AR161" s="615">
        <f t="shared" si="54"/>
        <v>9</v>
      </c>
      <c r="AS161" s="620"/>
      <c r="AT161" s="620"/>
      <c r="AU161" s="620"/>
      <c r="AV161" s="623">
        <f t="shared" si="46"/>
        <v>0</v>
      </c>
      <c r="AW161" s="621"/>
      <c r="AX161" s="621"/>
      <c r="AY161" s="621"/>
      <c r="AZ161" s="624">
        <f t="shared" si="47"/>
        <v>-9</v>
      </c>
      <c r="BA161" s="623">
        <v>9</v>
      </c>
      <c r="BB161" s="620"/>
      <c r="BC161" s="620"/>
      <c r="BD161" s="623">
        <f t="shared" si="48"/>
        <v>0</v>
      </c>
      <c r="BE161" s="621"/>
      <c r="BF161" s="621"/>
      <c r="BG161" s="621"/>
      <c r="BH161" s="621">
        <f t="shared" si="49"/>
        <v>9</v>
      </c>
    </row>
    <row r="162" spans="1:60" ht="17.25" thickTop="1" thickBot="1" x14ac:dyDescent="0.3">
      <c r="A162" s="602">
        <v>155</v>
      </c>
      <c r="B162" s="603">
        <f t="shared" ca="1" si="37"/>
        <v>43134</v>
      </c>
      <c r="C162" s="29" t="s">
        <v>2556</v>
      </c>
      <c r="D162" s="59" t="s">
        <v>2586</v>
      </c>
      <c r="E162" s="22" t="s">
        <v>491</v>
      </c>
      <c r="F162" s="27" t="s">
        <v>1131</v>
      </c>
      <c r="G162" s="567">
        <v>42573</v>
      </c>
      <c r="H162" s="609">
        <f t="shared" si="50"/>
        <v>27</v>
      </c>
      <c r="I162" s="620">
        <v>8</v>
      </c>
      <c r="J162" s="620">
        <v>5</v>
      </c>
      <c r="K162" s="620">
        <v>5</v>
      </c>
      <c r="L162" s="611">
        <f t="shared" si="38"/>
        <v>18</v>
      </c>
      <c r="M162" s="621"/>
      <c r="N162" s="621"/>
      <c r="O162" s="621"/>
      <c r="P162" s="622">
        <f t="shared" si="39"/>
        <v>-9</v>
      </c>
      <c r="Q162" s="609">
        <f t="shared" si="51"/>
        <v>34.4</v>
      </c>
      <c r="R162" s="620">
        <v>11.5</v>
      </c>
      <c r="S162" s="620">
        <v>7.5</v>
      </c>
      <c r="T162" s="620">
        <v>8</v>
      </c>
      <c r="U162" s="611">
        <f t="shared" si="40"/>
        <v>27</v>
      </c>
      <c r="V162" s="621"/>
      <c r="W162" s="621"/>
      <c r="X162" s="621"/>
      <c r="Y162" s="622">
        <f t="shared" si="41"/>
        <v>-7.3999999999999986</v>
      </c>
      <c r="Z162" s="609">
        <f t="shared" si="52"/>
        <v>34.4</v>
      </c>
      <c r="AA162" s="620">
        <v>11</v>
      </c>
      <c r="AB162" s="620">
        <v>9</v>
      </c>
      <c r="AC162" s="620">
        <v>9</v>
      </c>
      <c r="AD162" s="611">
        <f t="shared" si="42"/>
        <v>29</v>
      </c>
      <c r="AE162" s="621"/>
      <c r="AF162" s="621"/>
      <c r="AG162" s="621"/>
      <c r="AH162" s="622">
        <f t="shared" si="43"/>
        <v>-5.3999999999999986</v>
      </c>
      <c r="AI162" s="609">
        <f t="shared" si="53"/>
        <v>0</v>
      </c>
      <c r="AJ162" s="620">
        <v>10.4</v>
      </c>
      <c r="AK162" s="620">
        <v>11</v>
      </c>
      <c r="AL162" s="620">
        <v>13</v>
      </c>
      <c r="AM162" s="623">
        <f t="shared" si="44"/>
        <v>34.4</v>
      </c>
      <c r="AN162" s="621"/>
      <c r="AO162" s="621"/>
      <c r="AP162" s="621"/>
      <c r="AQ162" s="622">
        <f t="shared" si="45"/>
        <v>34.4</v>
      </c>
      <c r="AR162" s="615">
        <f t="shared" si="54"/>
        <v>11.5</v>
      </c>
      <c r="AS162" s="620"/>
      <c r="AT162" s="620"/>
      <c r="AU162" s="620"/>
      <c r="AV162" s="623">
        <f t="shared" si="46"/>
        <v>0</v>
      </c>
      <c r="AW162" s="621"/>
      <c r="AX162" s="621"/>
      <c r="AY162" s="621"/>
      <c r="AZ162" s="624">
        <f t="shared" si="47"/>
        <v>-11.5</v>
      </c>
      <c r="BA162" s="623">
        <v>11.5</v>
      </c>
      <c r="BB162" s="620"/>
      <c r="BC162" s="620"/>
      <c r="BD162" s="623">
        <f t="shared" si="48"/>
        <v>0</v>
      </c>
      <c r="BE162" s="621"/>
      <c r="BF162" s="621"/>
      <c r="BG162" s="621"/>
      <c r="BH162" s="621">
        <f t="shared" si="49"/>
        <v>11.5</v>
      </c>
    </row>
    <row r="163" spans="1:60" ht="17.25" thickTop="1" thickBot="1" x14ac:dyDescent="0.3">
      <c r="A163" s="77">
        <v>156</v>
      </c>
      <c r="B163" s="603">
        <f t="shared" ca="1" si="37"/>
        <v>43134</v>
      </c>
      <c r="C163" s="29" t="s">
        <v>2404</v>
      </c>
      <c r="D163" s="59" t="s">
        <v>1456</v>
      </c>
      <c r="E163" s="22" t="s">
        <v>644</v>
      </c>
      <c r="F163" s="27" t="s">
        <v>645</v>
      </c>
      <c r="G163" s="567">
        <v>42389</v>
      </c>
      <c r="H163" s="609">
        <f t="shared" si="50"/>
        <v>26</v>
      </c>
      <c r="I163" s="620">
        <v>3</v>
      </c>
      <c r="J163" s="620">
        <v>7.4</v>
      </c>
      <c r="K163" s="620">
        <v>6.8</v>
      </c>
      <c r="L163" s="611">
        <f t="shared" si="38"/>
        <v>17.2</v>
      </c>
      <c r="M163" s="621"/>
      <c r="N163" s="621"/>
      <c r="O163" s="621"/>
      <c r="P163" s="622">
        <f t="shared" si="39"/>
        <v>-8.8000000000000007</v>
      </c>
      <c r="Q163" s="609">
        <f t="shared" si="51"/>
        <v>31.8</v>
      </c>
      <c r="R163" s="620">
        <v>7</v>
      </c>
      <c r="S163" s="620">
        <v>11.8</v>
      </c>
      <c r="T163" s="620">
        <v>7.2</v>
      </c>
      <c r="U163" s="611">
        <f t="shared" si="40"/>
        <v>26</v>
      </c>
      <c r="V163" s="621"/>
      <c r="W163" s="621"/>
      <c r="X163" s="621"/>
      <c r="Y163" s="622">
        <f t="shared" si="41"/>
        <v>-5.8000000000000007</v>
      </c>
      <c r="Z163" s="609">
        <f t="shared" si="52"/>
        <v>31.8</v>
      </c>
      <c r="AA163" s="620">
        <v>8.4</v>
      </c>
      <c r="AB163" s="620">
        <v>9.6</v>
      </c>
      <c r="AC163" s="620">
        <v>7.2</v>
      </c>
      <c r="AD163" s="611">
        <f t="shared" si="42"/>
        <v>25.2</v>
      </c>
      <c r="AE163" s="621"/>
      <c r="AF163" s="621"/>
      <c r="AG163" s="621"/>
      <c r="AH163" s="622">
        <f t="shared" si="43"/>
        <v>-6.6000000000000014</v>
      </c>
      <c r="AI163" s="609">
        <f t="shared" si="53"/>
        <v>32.6</v>
      </c>
      <c r="AJ163" s="620">
        <v>9.8000000000000007</v>
      </c>
      <c r="AK163" s="620">
        <v>13</v>
      </c>
      <c r="AL163" s="620">
        <v>9</v>
      </c>
      <c r="AM163" s="623">
        <f t="shared" si="44"/>
        <v>31.8</v>
      </c>
      <c r="AN163" s="621"/>
      <c r="AO163" s="621"/>
      <c r="AP163" s="621"/>
      <c r="AQ163" s="622">
        <f t="shared" si="45"/>
        <v>-0.80000000000000071</v>
      </c>
      <c r="AR163" s="615">
        <f t="shared" si="54"/>
        <v>8.1</v>
      </c>
      <c r="AS163" s="620">
        <v>15.5</v>
      </c>
      <c r="AT163" s="620">
        <v>10.9</v>
      </c>
      <c r="AU163" s="620">
        <v>6.2</v>
      </c>
      <c r="AV163" s="623">
        <f t="shared" si="46"/>
        <v>32.6</v>
      </c>
      <c r="AW163" s="621"/>
      <c r="AX163" s="621"/>
      <c r="AY163" s="621"/>
      <c r="AZ163" s="624">
        <f t="shared" si="47"/>
        <v>24.5</v>
      </c>
      <c r="BA163" s="623">
        <v>8.1</v>
      </c>
      <c r="BB163" s="620"/>
      <c r="BC163" s="620"/>
      <c r="BD163" s="623">
        <f t="shared" si="48"/>
        <v>0</v>
      </c>
      <c r="BE163" s="621"/>
      <c r="BF163" s="621"/>
      <c r="BG163" s="621"/>
      <c r="BH163" s="621">
        <f t="shared" si="49"/>
        <v>8.1</v>
      </c>
    </row>
    <row r="164" spans="1:60" ht="17.25" thickTop="1" thickBot="1" x14ac:dyDescent="0.3">
      <c r="A164" s="602">
        <v>157</v>
      </c>
      <c r="B164" s="603">
        <f t="shared" ca="1" si="37"/>
        <v>43134</v>
      </c>
      <c r="C164" s="29" t="s">
        <v>2556</v>
      </c>
      <c r="D164" s="59" t="s">
        <v>2586</v>
      </c>
      <c r="E164" s="22" t="s">
        <v>1271</v>
      </c>
      <c r="F164" s="27" t="s">
        <v>1137</v>
      </c>
      <c r="G164" s="567">
        <v>42507</v>
      </c>
      <c r="H164" s="609">
        <f t="shared" si="50"/>
        <v>22.2</v>
      </c>
      <c r="I164" s="620">
        <v>8</v>
      </c>
      <c r="J164" s="620">
        <v>6.2</v>
      </c>
      <c r="K164" s="620">
        <v>7.4</v>
      </c>
      <c r="L164" s="611">
        <f t="shared" si="38"/>
        <v>21.6</v>
      </c>
      <c r="M164" s="621"/>
      <c r="N164" s="621"/>
      <c r="O164" s="621"/>
      <c r="P164" s="622">
        <f t="shared" si="39"/>
        <v>-0.59999999999999787</v>
      </c>
      <c r="Q164" s="609">
        <f t="shared" si="51"/>
        <v>32.4</v>
      </c>
      <c r="R164" s="620">
        <v>8</v>
      </c>
      <c r="S164" s="620">
        <v>8.1999999999999993</v>
      </c>
      <c r="T164" s="620">
        <v>6</v>
      </c>
      <c r="U164" s="611">
        <f t="shared" si="40"/>
        <v>22.2</v>
      </c>
      <c r="V164" s="621"/>
      <c r="W164" s="621"/>
      <c r="X164" s="621"/>
      <c r="Y164" s="622">
        <f t="shared" si="41"/>
        <v>-10.199999999999999</v>
      </c>
      <c r="Z164" s="609">
        <f t="shared" si="52"/>
        <v>32.4</v>
      </c>
      <c r="AA164" s="620">
        <v>13</v>
      </c>
      <c r="AB164" s="620">
        <v>8.5</v>
      </c>
      <c r="AC164" s="620">
        <v>8</v>
      </c>
      <c r="AD164" s="611">
        <f t="shared" si="42"/>
        <v>29.5</v>
      </c>
      <c r="AE164" s="621"/>
      <c r="AF164" s="621"/>
      <c r="AG164" s="621"/>
      <c r="AH164" s="622">
        <f t="shared" si="43"/>
        <v>-2.8999999999999986</v>
      </c>
      <c r="AI164" s="609">
        <f t="shared" si="53"/>
        <v>0</v>
      </c>
      <c r="AJ164" s="620">
        <v>11.2</v>
      </c>
      <c r="AK164" s="620">
        <v>12</v>
      </c>
      <c r="AL164" s="620">
        <v>9.1999999999999993</v>
      </c>
      <c r="AM164" s="623">
        <f t="shared" si="44"/>
        <v>32.4</v>
      </c>
      <c r="AN164" s="621"/>
      <c r="AO164" s="621"/>
      <c r="AP164" s="621"/>
      <c r="AQ164" s="622">
        <f t="shared" si="45"/>
        <v>32.4</v>
      </c>
      <c r="AR164" s="615">
        <f t="shared" si="54"/>
        <v>10.5</v>
      </c>
      <c r="AS164" s="620"/>
      <c r="AT164" s="620"/>
      <c r="AU164" s="620"/>
      <c r="AV164" s="623">
        <f t="shared" si="46"/>
        <v>0</v>
      </c>
      <c r="AW164" s="621"/>
      <c r="AX164" s="621"/>
      <c r="AY164" s="621"/>
      <c r="AZ164" s="624">
        <f t="shared" si="47"/>
        <v>-10.5</v>
      </c>
      <c r="BA164" s="623">
        <v>10.5</v>
      </c>
      <c r="BB164" s="620"/>
      <c r="BC164" s="620"/>
      <c r="BD164" s="623">
        <f t="shared" si="48"/>
        <v>0</v>
      </c>
      <c r="BE164" s="621"/>
      <c r="BF164" s="621"/>
      <c r="BG164" s="621"/>
      <c r="BH164" s="621">
        <f t="shared" si="49"/>
        <v>10.5</v>
      </c>
    </row>
    <row r="165" spans="1:60" ht="17.25" thickTop="1" thickBot="1" x14ac:dyDescent="0.3">
      <c r="A165" s="77">
        <v>158</v>
      </c>
      <c r="B165" s="603">
        <f t="shared" ca="1" si="37"/>
        <v>43134</v>
      </c>
      <c r="C165" s="29" t="s">
        <v>2556</v>
      </c>
      <c r="D165" s="59" t="s">
        <v>2586</v>
      </c>
      <c r="E165" s="22" t="s">
        <v>1370</v>
      </c>
      <c r="F165" s="27" t="s">
        <v>1256</v>
      </c>
      <c r="G165" s="567">
        <v>42462</v>
      </c>
      <c r="H165" s="609">
        <f t="shared" si="50"/>
        <v>0</v>
      </c>
      <c r="I165" s="620"/>
      <c r="J165" s="620"/>
      <c r="K165" s="620"/>
      <c r="L165" s="611">
        <f t="shared" si="38"/>
        <v>0</v>
      </c>
      <c r="M165" s="621"/>
      <c r="N165" s="621"/>
      <c r="O165" s="621"/>
      <c r="P165" s="622">
        <f t="shared" si="39"/>
        <v>0</v>
      </c>
      <c r="Q165" s="609">
        <f t="shared" si="51"/>
        <v>0</v>
      </c>
      <c r="R165" s="620"/>
      <c r="S165" s="620"/>
      <c r="T165" s="620"/>
      <c r="U165" s="611">
        <f t="shared" si="40"/>
        <v>0</v>
      </c>
      <c r="V165" s="621"/>
      <c r="W165" s="621"/>
      <c r="X165" s="621"/>
      <c r="Y165" s="622">
        <f t="shared" si="41"/>
        <v>0</v>
      </c>
      <c r="Z165" s="609">
        <f t="shared" si="52"/>
        <v>0</v>
      </c>
      <c r="AA165" s="620"/>
      <c r="AB165" s="620"/>
      <c r="AC165" s="620"/>
      <c r="AD165" s="611">
        <f t="shared" si="42"/>
        <v>0</v>
      </c>
      <c r="AE165" s="621"/>
      <c r="AF165" s="621"/>
      <c r="AG165" s="621"/>
      <c r="AH165" s="622">
        <f t="shared" si="43"/>
        <v>0</v>
      </c>
      <c r="AI165" s="609">
        <f t="shared" si="53"/>
        <v>0</v>
      </c>
      <c r="AJ165" s="620"/>
      <c r="AK165" s="620"/>
      <c r="AL165" s="620"/>
      <c r="AM165" s="623">
        <f t="shared" si="44"/>
        <v>0</v>
      </c>
      <c r="AN165" s="621"/>
      <c r="AO165" s="621"/>
      <c r="AP165" s="621"/>
      <c r="AQ165" s="622">
        <f t="shared" si="45"/>
        <v>0</v>
      </c>
      <c r="AR165" s="615">
        <f t="shared" si="54"/>
        <v>3.5</v>
      </c>
      <c r="AS165" s="620"/>
      <c r="AT165" s="620"/>
      <c r="AU165" s="620"/>
      <c r="AV165" s="623">
        <f t="shared" si="46"/>
        <v>0</v>
      </c>
      <c r="AW165" s="621"/>
      <c r="AX165" s="621"/>
      <c r="AY165" s="621"/>
      <c r="AZ165" s="624">
        <f t="shared" si="47"/>
        <v>-3.5</v>
      </c>
      <c r="BA165" s="623">
        <v>3.5</v>
      </c>
      <c r="BB165" s="620"/>
      <c r="BC165" s="620"/>
      <c r="BD165" s="623">
        <f t="shared" si="48"/>
        <v>0</v>
      </c>
      <c r="BE165" s="621"/>
      <c r="BF165" s="621"/>
      <c r="BG165" s="621"/>
      <c r="BH165" s="621">
        <f t="shared" si="49"/>
        <v>3.5</v>
      </c>
    </row>
    <row r="166" spans="1:60" ht="17.25" thickTop="1" thickBot="1" x14ac:dyDescent="0.3">
      <c r="A166" s="602">
        <v>159</v>
      </c>
      <c r="B166" s="603">
        <f t="shared" ca="1" si="37"/>
        <v>43134</v>
      </c>
      <c r="C166" s="29" t="s">
        <v>2404</v>
      </c>
      <c r="D166" s="59" t="s">
        <v>1456</v>
      </c>
      <c r="E166" s="22" t="s">
        <v>650</v>
      </c>
      <c r="F166" s="27" t="s">
        <v>651</v>
      </c>
      <c r="G166" s="567">
        <v>42417</v>
      </c>
      <c r="H166" s="609">
        <f t="shared" si="50"/>
        <v>17.399999999999999</v>
      </c>
      <c r="I166" s="620">
        <v>5</v>
      </c>
      <c r="J166" s="620"/>
      <c r="K166" s="620">
        <v>8.8000000000000007</v>
      </c>
      <c r="L166" s="611">
        <f t="shared" si="38"/>
        <v>13.8</v>
      </c>
      <c r="M166" s="621"/>
      <c r="N166" s="621"/>
      <c r="O166" s="621"/>
      <c r="P166" s="622">
        <f t="shared" si="39"/>
        <v>-3.5999999999999979</v>
      </c>
      <c r="Q166" s="609">
        <f t="shared" si="51"/>
        <v>23.4</v>
      </c>
      <c r="R166" s="620">
        <v>7.2</v>
      </c>
      <c r="S166" s="620">
        <v>5.2</v>
      </c>
      <c r="T166" s="620">
        <v>5</v>
      </c>
      <c r="U166" s="611">
        <f t="shared" si="40"/>
        <v>17.399999999999999</v>
      </c>
      <c r="V166" s="621"/>
      <c r="W166" s="621"/>
      <c r="X166" s="621"/>
      <c r="Y166" s="622">
        <f t="shared" si="41"/>
        <v>-6</v>
      </c>
      <c r="Z166" s="609">
        <f t="shared" si="52"/>
        <v>23.4</v>
      </c>
      <c r="AA166" s="620">
        <v>11</v>
      </c>
      <c r="AB166" s="620">
        <v>7</v>
      </c>
      <c r="AC166" s="620">
        <v>7</v>
      </c>
      <c r="AD166" s="611">
        <f t="shared" si="42"/>
        <v>25</v>
      </c>
      <c r="AE166" s="621"/>
      <c r="AF166" s="621"/>
      <c r="AG166" s="621"/>
      <c r="AH166" s="622">
        <f t="shared" si="43"/>
        <v>1.6000000000000014</v>
      </c>
      <c r="AI166" s="609">
        <f t="shared" si="53"/>
        <v>26.5</v>
      </c>
      <c r="AJ166" s="620">
        <v>7.2</v>
      </c>
      <c r="AK166" s="620">
        <v>7.2</v>
      </c>
      <c r="AL166" s="620">
        <v>9</v>
      </c>
      <c r="AM166" s="623">
        <f t="shared" si="44"/>
        <v>23.4</v>
      </c>
      <c r="AN166" s="621"/>
      <c r="AO166" s="621"/>
      <c r="AP166" s="621"/>
      <c r="AQ166" s="622">
        <f t="shared" si="45"/>
        <v>-3.1000000000000014</v>
      </c>
      <c r="AR166" s="615">
        <f t="shared" si="54"/>
        <v>14.5</v>
      </c>
      <c r="AS166" s="620">
        <v>13.7</v>
      </c>
      <c r="AT166" s="620">
        <v>6.8</v>
      </c>
      <c r="AU166" s="620">
        <v>6</v>
      </c>
      <c r="AV166" s="623">
        <f t="shared" si="46"/>
        <v>26.5</v>
      </c>
      <c r="AW166" s="621">
        <v>3.29</v>
      </c>
      <c r="AX166" s="621">
        <v>3.24</v>
      </c>
      <c r="AY166" s="621">
        <v>90</v>
      </c>
      <c r="AZ166" s="624">
        <f t="shared" si="47"/>
        <v>12</v>
      </c>
      <c r="BA166" s="623">
        <v>14.5</v>
      </c>
      <c r="BB166" s="620"/>
      <c r="BC166" s="620"/>
      <c r="BD166" s="623">
        <f t="shared" si="48"/>
        <v>0</v>
      </c>
      <c r="BE166" s="621"/>
      <c r="BF166" s="621"/>
      <c r="BG166" s="621"/>
      <c r="BH166" s="621">
        <f t="shared" si="49"/>
        <v>14.5</v>
      </c>
    </row>
    <row r="167" spans="1:60" ht="17.25" thickTop="1" thickBot="1" x14ac:dyDescent="0.3">
      <c r="A167" s="77">
        <v>160</v>
      </c>
      <c r="B167" s="603">
        <f t="shared" ca="1" si="37"/>
        <v>43134</v>
      </c>
      <c r="C167" s="29" t="s">
        <v>2556</v>
      </c>
      <c r="D167" s="59" t="s">
        <v>2586</v>
      </c>
      <c r="E167" s="22" t="s">
        <v>1082</v>
      </c>
      <c r="F167" s="27" t="s">
        <v>1175</v>
      </c>
      <c r="G167" s="567">
        <v>42576</v>
      </c>
      <c r="H167" s="609">
        <f t="shared" si="50"/>
        <v>29</v>
      </c>
      <c r="I167" s="620">
        <v>9.1999999999999993</v>
      </c>
      <c r="J167" s="620">
        <v>9.1999999999999993</v>
      </c>
      <c r="K167" s="620">
        <v>7</v>
      </c>
      <c r="L167" s="611">
        <f t="shared" si="38"/>
        <v>25.4</v>
      </c>
      <c r="M167" s="621"/>
      <c r="N167" s="621"/>
      <c r="O167" s="621"/>
      <c r="P167" s="622">
        <f t="shared" si="39"/>
        <v>-3.6000000000000014</v>
      </c>
      <c r="Q167" s="609">
        <f t="shared" si="51"/>
        <v>38.4</v>
      </c>
      <c r="R167" s="620">
        <v>11</v>
      </c>
      <c r="S167" s="620">
        <v>9</v>
      </c>
      <c r="T167" s="620">
        <v>9</v>
      </c>
      <c r="U167" s="611">
        <f t="shared" si="40"/>
        <v>29</v>
      </c>
      <c r="V167" s="621"/>
      <c r="W167" s="621"/>
      <c r="X167" s="621"/>
      <c r="Y167" s="622">
        <f t="shared" si="41"/>
        <v>-9.3999999999999986</v>
      </c>
      <c r="Z167" s="609">
        <f t="shared" si="52"/>
        <v>38.4</v>
      </c>
      <c r="AA167" s="620">
        <v>13</v>
      </c>
      <c r="AB167" s="620">
        <v>15</v>
      </c>
      <c r="AC167" s="620">
        <v>13</v>
      </c>
      <c r="AD167" s="611">
        <f t="shared" si="42"/>
        <v>41</v>
      </c>
      <c r="AE167" s="621"/>
      <c r="AF167" s="621"/>
      <c r="AG167" s="621"/>
      <c r="AH167" s="622">
        <f t="shared" si="43"/>
        <v>2.6000000000000014</v>
      </c>
      <c r="AI167" s="609">
        <f t="shared" si="53"/>
        <v>0</v>
      </c>
      <c r="AJ167" s="620">
        <v>12.8</v>
      </c>
      <c r="AK167" s="620">
        <v>14</v>
      </c>
      <c r="AL167" s="620">
        <v>11.6</v>
      </c>
      <c r="AM167" s="623">
        <f t="shared" si="44"/>
        <v>38.4</v>
      </c>
      <c r="AN167" s="621"/>
      <c r="AO167" s="621"/>
      <c r="AP167" s="621"/>
      <c r="AQ167" s="622">
        <f t="shared" si="45"/>
        <v>38.4</v>
      </c>
      <c r="AR167" s="615">
        <f t="shared" si="54"/>
        <v>17</v>
      </c>
      <c r="AS167" s="620"/>
      <c r="AT167" s="620"/>
      <c r="AU167" s="620"/>
      <c r="AV167" s="623">
        <f t="shared" si="46"/>
        <v>0</v>
      </c>
      <c r="AW167" s="621"/>
      <c r="AX167" s="621"/>
      <c r="AY167" s="621"/>
      <c r="AZ167" s="624">
        <f t="shared" si="47"/>
        <v>-17</v>
      </c>
      <c r="BA167" s="623">
        <v>17</v>
      </c>
      <c r="BB167" s="620"/>
      <c r="BC167" s="620"/>
      <c r="BD167" s="623">
        <f t="shared" si="48"/>
        <v>0</v>
      </c>
      <c r="BE167" s="621"/>
      <c r="BF167" s="621"/>
      <c r="BG167" s="621"/>
      <c r="BH167" s="621">
        <f t="shared" si="49"/>
        <v>17</v>
      </c>
    </row>
    <row r="168" spans="1:60" ht="17.25" thickTop="1" thickBot="1" x14ac:dyDescent="0.3">
      <c r="A168" s="602">
        <v>161</v>
      </c>
      <c r="B168" s="603">
        <f t="shared" ca="1" si="37"/>
        <v>43134</v>
      </c>
      <c r="C168" s="29" t="s">
        <v>2556</v>
      </c>
      <c r="D168" s="59" t="s">
        <v>2586</v>
      </c>
      <c r="E168" s="22" t="s">
        <v>1306</v>
      </c>
      <c r="F168" s="295" t="s">
        <v>1187</v>
      </c>
      <c r="G168" s="567">
        <v>42517</v>
      </c>
      <c r="H168" s="609">
        <f t="shared" si="50"/>
        <v>16.5</v>
      </c>
      <c r="I168" s="620">
        <v>7.2</v>
      </c>
      <c r="J168" s="620">
        <v>7</v>
      </c>
      <c r="K168" s="620">
        <v>7</v>
      </c>
      <c r="L168" s="611">
        <f t="shared" si="38"/>
        <v>21.2</v>
      </c>
      <c r="M168" s="621"/>
      <c r="N168" s="621"/>
      <c r="O168" s="621"/>
      <c r="P168" s="622">
        <f t="shared" si="39"/>
        <v>4.6999999999999993</v>
      </c>
      <c r="Q168" s="609">
        <f t="shared" si="51"/>
        <v>24</v>
      </c>
      <c r="R168" s="620">
        <v>5.8</v>
      </c>
      <c r="S168" s="620">
        <v>5.7</v>
      </c>
      <c r="T168" s="620">
        <v>5</v>
      </c>
      <c r="U168" s="611">
        <f t="shared" si="40"/>
        <v>16.5</v>
      </c>
      <c r="V168" s="621"/>
      <c r="W168" s="621"/>
      <c r="X168" s="621"/>
      <c r="Y168" s="622">
        <f t="shared" si="41"/>
        <v>-7.5</v>
      </c>
      <c r="Z168" s="609">
        <f t="shared" si="52"/>
        <v>24</v>
      </c>
      <c r="AA168" s="620">
        <v>9.1999999999999993</v>
      </c>
      <c r="AB168" s="620">
        <v>6.9</v>
      </c>
      <c r="AC168" s="620">
        <v>7.2</v>
      </c>
      <c r="AD168" s="611">
        <f t="shared" si="42"/>
        <v>23.3</v>
      </c>
      <c r="AE168" s="621"/>
      <c r="AF168" s="621"/>
      <c r="AG168" s="621"/>
      <c r="AH168" s="622">
        <f t="shared" si="43"/>
        <v>-0.69999999999999929</v>
      </c>
      <c r="AI168" s="609">
        <f t="shared" si="53"/>
        <v>0</v>
      </c>
      <c r="AJ168" s="620">
        <v>8.6999999999999993</v>
      </c>
      <c r="AK168" s="620">
        <v>8.8000000000000007</v>
      </c>
      <c r="AL168" s="620">
        <v>6.5</v>
      </c>
      <c r="AM168" s="623">
        <f t="shared" si="44"/>
        <v>24</v>
      </c>
      <c r="AN168" s="621"/>
      <c r="AO168" s="621"/>
      <c r="AP168" s="621"/>
      <c r="AQ168" s="622">
        <f t="shared" si="45"/>
        <v>24</v>
      </c>
      <c r="AR168" s="615">
        <f t="shared" si="54"/>
        <v>13.9</v>
      </c>
      <c r="AS168" s="620"/>
      <c r="AT168" s="620"/>
      <c r="AU168" s="620"/>
      <c r="AV168" s="623">
        <f t="shared" si="46"/>
        <v>0</v>
      </c>
      <c r="AW168" s="621"/>
      <c r="AX168" s="621"/>
      <c r="AY168" s="621"/>
      <c r="AZ168" s="624">
        <f t="shared" si="47"/>
        <v>-13.9</v>
      </c>
      <c r="BA168" s="623">
        <v>13.9</v>
      </c>
      <c r="BB168" s="620"/>
      <c r="BC168" s="620"/>
      <c r="BD168" s="623">
        <f t="shared" si="48"/>
        <v>0</v>
      </c>
      <c r="BE168" s="621"/>
      <c r="BF168" s="621"/>
      <c r="BG168" s="621"/>
      <c r="BH168" s="621">
        <f t="shared" si="49"/>
        <v>13.9</v>
      </c>
    </row>
    <row r="169" spans="1:60" ht="17.25" thickTop="1" thickBot="1" x14ac:dyDescent="0.3">
      <c r="A169" s="77">
        <v>162</v>
      </c>
      <c r="B169" s="603">
        <f t="shared" ca="1" si="37"/>
        <v>43134</v>
      </c>
      <c r="C169" s="29" t="s">
        <v>2556</v>
      </c>
      <c r="D169" s="59" t="s">
        <v>2586</v>
      </c>
      <c r="E169" s="22" t="s">
        <v>1318</v>
      </c>
      <c r="F169" s="27" t="s">
        <v>1200</v>
      </c>
      <c r="G169" s="567">
        <v>42505</v>
      </c>
      <c r="H169" s="609">
        <f t="shared" si="50"/>
        <v>33.200000000000003</v>
      </c>
      <c r="I169" s="620">
        <v>10.4</v>
      </c>
      <c r="J169" s="620">
        <v>10.5</v>
      </c>
      <c r="K169" s="620">
        <v>9.5</v>
      </c>
      <c r="L169" s="611">
        <f t="shared" si="38"/>
        <v>30.4</v>
      </c>
      <c r="M169" s="621"/>
      <c r="N169" s="621"/>
      <c r="O169" s="621"/>
      <c r="P169" s="622">
        <f t="shared" si="39"/>
        <v>-2.8000000000000043</v>
      </c>
      <c r="Q169" s="609">
        <f t="shared" si="51"/>
        <v>34.4</v>
      </c>
      <c r="R169" s="620">
        <v>12</v>
      </c>
      <c r="S169" s="620">
        <v>10</v>
      </c>
      <c r="T169" s="620">
        <v>11.2</v>
      </c>
      <c r="U169" s="611">
        <f t="shared" si="40"/>
        <v>33.200000000000003</v>
      </c>
      <c r="V169" s="621"/>
      <c r="W169" s="621"/>
      <c r="X169" s="621"/>
      <c r="Y169" s="622">
        <f t="shared" si="41"/>
        <v>-1.1999999999999957</v>
      </c>
      <c r="Z169" s="609">
        <f t="shared" si="52"/>
        <v>34.4</v>
      </c>
      <c r="AA169" s="620">
        <v>11</v>
      </c>
      <c r="AB169" s="620">
        <v>10</v>
      </c>
      <c r="AC169" s="620">
        <v>11</v>
      </c>
      <c r="AD169" s="611">
        <f t="shared" si="42"/>
        <v>32</v>
      </c>
      <c r="AE169" s="621"/>
      <c r="AF169" s="621"/>
      <c r="AG169" s="621"/>
      <c r="AH169" s="622">
        <f t="shared" si="43"/>
        <v>-2.3999999999999986</v>
      </c>
      <c r="AI169" s="609">
        <f t="shared" si="53"/>
        <v>0</v>
      </c>
      <c r="AJ169" s="620">
        <v>11.4</v>
      </c>
      <c r="AK169" s="620">
        <v>12</v>
      </c>
      <c r="AL169" s="620">
        <v>11</v>
      </c>
      <c r="AM169" s="623">
        <f t="shared" si="44"/>
        <v>34.4</v>
      </c>
      <c r="AN169" s="621"/>
      <c r="AO169" s="621"/>
      <c r="AP169" s="621"/>
      <c r="AQ169" s="622">
        <f t="shared" si="45"/>
        <v>34.4</v>
      </c>
      <c r="AR169" s="615">
        <f t="shared" si="54"/>
        <v>28</v>
      </c>
      <c r="AS169" s="620"/>
      <c r="AT169" s="620"/>
      <c r="AU169" s="620"/>
      <c r="AV169" s="623">
        <f t="shared" si="46"/>
        <v>0</v>
      </c>
      <c r="AW169" s="621"/>
      <c r="AX169" s="621"/>
      <c r="AY169" s="621"/>
      <c r="AZ169" s="624">
        <f t="shared" si="47"/>
        <v>-28</v>
      </c>
      <c r="BA169" s="623">
        <v>28</v>
      </c>
      <c r="BB169" s="620"/>
      <c r="BC169" s="620"/>
      <c r="BD169" s="623">
        <f t="shared" si="48"/>
        <v>0</v>
      </c>
      <c r="BE169" s="621"/>
      <c r="BF169" s="621"/>
      <c r="BG169" s="621"/>
      <c r="BH169" s="621">
        <f t="shared" si="49"/>
        <v>28</v>
      </c>
    </row>
    <row r="170" spans="1:60" ht="17.25" thickTop="1" thickBot="1" x14ac:dyDescent="0.3">
      <c r="A170" s="602">
        <v>163</v>
      </c>
      <c r="B170" s="603">
        <f t="shared" ca="1" si="37"/>
        <v>43134</v>
      </c>
      <c r="C170" s="29" t="s">
        <v>2556</v>
      </c>
      <c r="D170" s="59" t="s">
        <v>2586</v>
      </c>
      <c r="E170" s="22" t="s">
        <v>1321</v>
      </c>
      <c r="F170" s="27" t="s">
        <v>1204</v>
      </c>
      <c r="G170" s="567">
        <v>42559</v>
      </c>
      <c r="H170" s="609">
        <f t="shared" si="50"/>
        <v>31</v>
      </c>
      <c r="I170" s="620">
        <v>9</v>
      </c>
      <c r="J170" s="620">
        <v>8.5</v>
      </c>
      <c r="K170" s="620">
        <v>7.5</v>
      </c>
      <c r="L170" s="611">
        <f t="shared" si="38"/>
        <v>25</v>
      </c>
      <c r="M170" s="621"/>
      <c r="N170" s="621"/>
      <c r="O170" s="621"/>
      <c r="P170" s="622">
        <f t="shared" si="39"/>
        <v>-6</v>
      </c>
      <c r="Q170" s="609">
        <f t="shared" si="51"/>
        <v>29.4</v>
      </c>
      <c r="R170" s="620">
        <v>12</v>
      </c>
      <c r="S170" s="620">
        <v>10</v>
      </c>
      <c r="T170" s="620">
        <v>9</v>
      </c>
      <c r="U170" s="611">
        <f t="shared" si="40"/>
        <v>31</v>
      </c>
      <c r="V170" s="621"/>
      <c r="W170" s="621"/>
      <c r="X170" s="621"/>
      <c r="Y170" s="622">
        <f t="shared" si="41"/>
        <v>1.6000000000000014</v>
      </c>
      <c r="Z170" s="609">
        <f t="shared" si="52"/>
        <v>29.4</v>
      </c>
      <c r="AA170" s="620">
        <v>15</v>
      </c>
      <c r="AB170" s="620">
        <v>14.5</v>
      </c>
      <c r="AC170" s="620">
        <v>13.5</v>
      </c>
      <c r="AD170" s="611">
        <f t="shared" si="42"/>
        <v>43</v>
      </c>
      <c r="AE170" s="621"/>
      <c r="AF170" s="621"/>
      <c r="AG170" s="621"/>
      <c r="AH170" s="622">
        <f t="shared" si="43"/>
        <v>13.600000000000001</v>
      </c>
      <c r="AI170" s="609">
        <f t="shared" si="53"/>
        <v>0</v>
      </c>
      <c r="AJ170" s="620">
        <v>9.1999999999999993</v>
      </c>
      <c r="AK170" s="620">
        <v>10</v>
      </c>
      <c r="AL170" s="620">
        <v>10.199999999999999</v>
      </c>
      <c r="AM170" s="623">
        <f t="shared" si="44"/>
        <v>29.4</v>
      </c>
      <c r="AN170" s="621"/>
      <c r="AO170" s="621"/>
      <c r="AP170" s="621"/>
      <c r="AQ170" s="622">
        <f t="shared" si="45"/>
        <v>29.4</v>
      </c>
      <c r="AR170" s="615">
        <f t="shared" si="54"/>
        <v>15</v>
      </c>
      <c r="AS170" s="620"/>
      <c r="AT170" s="620"/>
      <c r="AU170" s="620"/>
      <c r="AV170" s="623">
        <f t="shared" si="46"/>
        <v>0</v>
      </c>
      <c r="AW170" s="621"/>
      <c r="AX170" s="621"/>
      <c r="AY170" s="621"/>
      <c r="AZ170" s="624">
        <f t="shared" si="47"/>
        <v>-15</v>
      </c>
      <c r="BA170" s="623">
        <v>15</v>
      </c>
      <c r="BB170" s="620"/>
      <c r="BC170" s="620"/>
      <c r="BD170" s="623">
        <f t="shared" si="48"/>
        <v>0</v>
      </c>
      <c r="BE170" s="621"/>
      <c r="BF170" s="621"/>
      <c r="BG170" s="621"/>
      <c r="BH170" s="621">
        <f t="shared" si="49"/>
        <v>15</v>
      </c>
    </row>
    <row r="171" spans="1:60" ht="17.25" thickTop="1" thickBot="1" x14ac:dyDescent="0.3">
      <c r="A171" s="77">
        <v>164</v>
      </c>
      <c r="B171" s="603">
        <f t="shared" ca="1" si="37"/>
        <v>43134</v>
      </c>
      <c r="C171" s="29" t="s">
        <v>2404</v>
      </c>
      <c r="D171" s="59" t="s">
        <v>1456</v>
      </c>
      <c r="E171" s="22" t="s">
        <v>1433</v>
      </c>
      <c r="F171" s="27" t="s">
        <v>1432</v>
      </c>
      <c r="G171" s="567">
        <v>42493</v>
      </c>
      <c r="H171" s="609">
        <f t="shared" si="50"/>
        <v>18</v>
      </c>
      <c r="I171" s="620">
        <v>8.5</v>
      </c>
      <c r="J171" s="620">
        <v>2.8</v>
      </c>
      <c r="K171" s="620">
        <v>1</v>
      </c>
      <c r="L171" s="611">
        <f t="shared" si="38"/>
        <v>12.3</v>
      </c>
      <c r="M171" s="621"/>
      <c r="N171" s="621"/>
      <c r="O171" s="621"/>
      <c r="P171" s="622">
        <f t="shared" si="39"/>
        <v>-5.6999999999999993</v>
      </c>
      <c r="Q171" s="609">
        <f t="shared" si="51"/>
        <v>19.399999999999999</v>
      </c>
      <c r="R171" s="620">
        <v>7</v>
      </c>
      <c r="S171" s="620">
        <v>4</v>
      </c>
      <c r="T171" s="620">
        <v>7</v>
      </c>
      <c r="U171" s="611">
        <f t="shared" si="40"/>
        <v>18</v>
      </c>
      <c r="V171" s="621"/>
      <c r="W171" s="621"/>
      <c r="X171" s="621"/>
      <c r="Y171" s="622">
        <f t="shared" si="41"/>
        <v>-1.3999999999999986</v>
      </c>
      <c r="Z171" s="609">
        <f t="shared" si="52"/>
        <v>19.399999999999999</v>
      </c>
      <c r="AA171" s="620">
        <v>18.5</v>
      </c>
      <c r="AB171" s="620">
        <v>9.6</v>
      </c>
      <c r="AC171" s="620">
        <v>9</v>
      </c>
      <c r="AD171" s="611">
        <f t="shared" si="42"/>
        <v>37.1</v>
      </c>
      <c r="AE171" s="621"/>
      <c r="AF171" s="621"/>
      <c r="AG171" s="621"/>
      <c r="AH171" s="622">
        <f t="shared" si="43"/>
        <v>17.700000000000003</v>
      </c>
      <c r="AI171" s="609">
        <f t="shared" si="53"/>
        <v>17.399999999999999</v>
      </c>
      <c r="AJ171" s="620">
        <v>6</v>
      </c>
      <c r="AK171" s="620">
        <v>5.4</v>
      </c>
      <c r="AL171" s="620">
        <v>8</v>
      </c>
      <c r="AM171" s="623">
        <f t="shared" si="44"/>
        <v>19.399999999999999</v>
      </c>
      <c r="AN171" s="621"/>
      <c r="AO171" s="621"/>
      <c r="AP171" s="621"/>
      <c r="AQ171" s="622">
        <f t="shared" si="45"/>
        <v>2</v>
      </c>
      <c r="AR171" s="615">
        <f t="shared" si="54"/>
        <v>7.5</v>
      </c>
      <c r="AS171" s="620">
        <v>7.5</v>
      </c>
      <c r="AT171" s="620">
        <v>3</v>
      </c>
      <c r="AU171" s="620">
        <v>6.9</v>
      </c>
      <c r="AV171" s="623">
        <f t="shared" si="46"/>
        <v>17.399999999999999</v>
      </c>
      <c r="AW171" s="621"/>
      <c r="AX171" s="621"/>
      <c r="AY171" s="621"/>
      <c r="AZ171" s="624">
        <f t="shared" si="47"/>
        <v>9.8999999999999986</v>
      </c>
      <c r="BA171" s="623">
        <v>7.5</v>
      </c>
      <c r="BB171" s="620"/>
      <c r="BC171" s="620"/>
      <c r="BD171" s="623">
        <f t="shared" si="48"/>
        <v>0</v>
      </c>
      <c r="BE171" s="621"/>
      <c r="BF171" s="621"/>
      <c r="BG171" s="621"/>
      <c r="BH171" s="621">
        <f t="shared" si="49"/>
        <v>7.5</v>
      </c>
    </row>
    <row r="172" spans="1:60" ht="17.25" thickTop="1" thickBot="1" x14ac:dyDescent="0.3">
      <c r="A172" s="602">
        <v>165</v>
      </c>
      <c r="B172" s="603">
        <f t="shared" ca="1" si="37"/>
        <v>43134</v>
      </c>
      <c r="C172" s="29" t="s">
        <v>2556</v>
      </c>
      <c r="D172" s="59" t="s">
        <v>2586</v>
      </c>
      <c r="E172" s="22" t="s">
        <v>1326</v>
      </c>
      <c r="F172" s="295" t="s">
        <v>1209</v>
      </c>
      <c r="G172" s="567">
        <v>42513</v>
      </c>
      <c r="H172" s="609">
        <f t="shared" si="50"/>
        <v>15</v>
      </c>
      <c r="I172" s="620">
        <v>10</v>
      </c>
      <c r="J172" s="620">
        <v>9</v>
      </c>
      <c r="K172" s="620">
        <v>8</v>
      </c>
      <c r="L172" s="611">
        <f t="shared" si="38"/>
        <v>27</v>
      </c>
      <c r="M172" s="621"/>
      <c r="N172" s="621"/>
      <c r="O172" s="621"/>
      <c r="P172" s="622">
        <f t="shared" si="39"/>
        <v>12</v>
      </c>
      <c r="Q172" s="609">
        <f t="shared" si="51"/>
        <v>20</v>
      </c>
      <c r="R172" s="620">
        <v>5</v>
      </c>
      <c r="S172" s="620">
        <v>4</v>
      </c>
      <c r="T172" s="620">
        <v>6</v>
      </c>
      <c r="U172" s="611">
        <f t="shared" si="40"/>
        <v>15</v>
      </c>
      <c r="V172" s="621"/>
      <c r="W172" s="621"/>
      <c r="X172" s="621"/>
      <c r="Y172" s="622">
        <f t="shared" si="41"/>
        <v>-5</v>
      </c>
      <c r="Z172" s="609">
        <f t="shared" si="52"/>
        <v>20</v>
      </c>
      <c r="AA172" s="620">
        <v>7.8</v>
      </c>
      <c r="AB172" s="620">
        <v>6.4</v>
      </c>
      <c r="AC172" s="620">
        <v>9.1999999999999993</v>
      </c>
      <c r="AD172" s="611">
        <f t="shared" si="42"/>
        <v>23.4</v>
      </c>
      <c r="AE172" s="621"/>
      <c r="AF172" s="621"/>
      <c r="AG172" s="621"/>
      <c r="AH172" s="622">
        <f t="shared" si="43"/>
        <v>3.3999999999999986</v>
      </c>
      <c r="AI172" s="609">
        <f t="shared" si="53"/>
        <v>11</v>
      </c>
      <c r="AJ172" s="620">
        <v>5.5</v>
      </c>
      <c r="AK172" s="620">
        <v>6.5</v>
      </c>
      <c r="AL172" s="620">
        <v>8</v>
      </c>
      <c r="AM172" s="623">
        <f t="shared" si="44"/>
        <v>20</v>
      </c>
      <c r="AN172" s="621"/>
      <c r="AO172" s="621"/>
      <c r="AP172" s="621"/>
      <c r="AQ172" s="622">
        <f t="shared" si="45"/>
        <v>9</v>
      </c>
      <c r="AR172" s="615">
        <f t="shared" si="54"/>
        <v>16.5</v>
      </c>
      <c r="AS172" s="620">
        <v>4</v>
      </c>
      <c r="AT172" s="620">
        <v>4</v>
      </c>
      <c r="AU172" s="620">
        <v>3</v>
      </c>
      <c r="AV172" s="623">
        <f t="shared" si="46"/>
        <v>11</v>
      </c>
      <c r="AW172" s="621"/>
      <c r="AX172" s="621"/>
      <c r="AY172" s="621"/>
      <c r="AZ172" s="624">
        <f t="shared" si="47"/>
        <v>-5.5</v>
      </c>
      <c r="BA172" s="623">
        <v>16.5</v>
      </c>
      <c r="BB172" s="620"/>
      <c r="BC172" s="620"/>
      <c r="BD172" s="623">
        <f t="shared" si="48"/>
        <v>0</v>
      </c>
      <c r="BE172" s="621"/>
      <c r="BF172" s="621"/>
      <c r="BG172" s="621"/>
      <c r="BH172" s="621">
        <f t="shared" si="49"/>
        <v>16.5</v>
      </c>
    </row>
    <row r="173" spans="1:60" ht="17.25" thickTop="1" thickBot="1" x14ac:dyDescent="0.3">
      <c r="A173" s="77">
        <v>166</v>
      </c>
      <c r="B173" s="603">
        <f t="shared" ca="1" si="37"/>
        <v>43134</v>
      </c>
      <c r="C173" s="29" t="s">
        <v>2556</v>
      </c>
      <c r="D173" s="59" t="s">
        <v>2586</v>
      </c>
      <c r="E173" s="22" t="s">
        <v>1334</v>
      </c>
      <c r="F173" s="27" t="s">
        <v>1218</v>
      </c>
      <c r="G173" s="567">
        <v>42529</v>
      </c>
      <c r="H173" s="609">
        <f t="shared" si="50"/>
        <v>28.799999999999997</v>
      </c>
      <c r="I173" s="620">
        <v>4</v>
      </c>
      <c r="J173" s="620">
        <v>5</v>
      </c>
      <c r="K173" s="620">
        <v>4</v>
      </c>
      <c r="L173" s="611">
        <f t="shared" si="38"/>
        <v>13</v>
      </c>
      <c r="M173" s="621"/>
      <c r="N173" s="621"/>
      <c r="O173" s="621"/>
      <c r="P173" s="622">
        <f t="shared" si="39"/>
        <v>-15.799999999999997</v>
      </c>
      <c r="Q173" s="609">
        <f t="shared" si="51"/>
        <v>37.4</v>
      </c>
      <c r="R173" s="620">
        <v>8.1999999999999993</v>
      </c>
      <c r="S173" s="620">
        <v>10.199999999999999</v>
      </c>
      <c r="T173" s="620">
        <v>10.4</v>
      </c>
      <c r="U173" s="611">
        <f t="shared" si="40"/>
        <v>28.799999999999997</v>
      </c>
      <c r="V173" s="621"/>
      <c r="W173" s="621"/>
      <c r="X173" s="621"/>
      <c r="Y173" s="622">
        <f t="shared" si="41"/>
        <v>-8.6000000000000014</v>
      </c>
      <c r="Z173" s="609">
        <f t="shared" si="52"/>
        <v>37.4</v>
      </c>
      <c r="AA173" s="620">
        <v>11</v>
      </c>
      <c r="AB173" s="620">
        <v>10.4</v>
      </c>
      <c r="AC173" s="620">
        <v>11.8</v>
      </c>
      <c r="AD173" s="611">
        <f t="shared" si="42"/>
        <v>33.200000000000003</v>
      </c>
      <c r="AE173" s="621"/>
      <c r="AF173" s="621"/>
      <c r="AG173" s="621"/>
      <c r="AH173" s="622">
        <f t="shared" si="43"/>
        <v>-4.1999999999999957</v>
      </c>
      <c r="AI173" s="609">
        <f t="shared" si="53"/>
        <v>0</v>
      </c>
      <c r="AJ173" s="620">
        <v>10.4</v>
      </c>
      <c r="AK173" s="620">
        <v>15</v>
      </c>
      <c r="AL173" s="620">
        <v>12</v>
      </c>
      <c r="AM173" s="623">
        <f t="shared" si="44"/>
        <v>37.4</v>
      </c>
      <c r="AN173" s="621"/>
      <c r="AO173" s="621"/>
      <c r="AP173" s="621"/>
      <c r="AQ173" s="622">
        <f t="shared" si="45"/>
        <v>37.4</v>
      </c>
      <c r="AR173" s="615">
        <f t="shared" si="54"/>
        <v>18</v>
      </c>
      <c r="AS173" s="620"/>
      <c r="AT173" s="620"/>
      <c r="AU173" s="620"/>
      <c r="AV173" s="623">
        <f t="shared" si="46"/>
        <v>0</v>
      </c>
      <c r="AW173" s="621"/>
      <c r="AX173" s="621"/>
      <c r="AY173" s="621"/>
      <c r="AZ173" s="624">
        <f t="shared" si="47"/>
        <v>-18</v>
      </c>
      <c r="BA173" s="623">
        <v>18</v>
      </c>
      <c r="BB173" s="620"/>
      <c r="BC173" s="620"/>
      <c r="BD173" s="623">
        <f t="shared" si="48"/>
        <v>0</v>
      </c>
      <c r="BE173" s="621"/>
      <c r="BF173" s="621"/>
      <c r="BG173" s="621"/>
      <c r="BH173" s="621">
        <f t="shared" si="49"/>
        <v>18</v>
      </c>
    </row>
    <row r="174" spans="1:60" ht="17.25" thickTop="1" thickBot="1" x14ac:dyDescent="0.3">
      <c r="A174" s="602">
        <v>167</v>
      </c>
      <c r="B174" s="603">
        <f t="shared" ca="1" si="37"/>
        <v>43134</v>
      </c>
      <c r="C174" s="29" t="s">
        <v>2404</v>
      </c>
      <c r="D174" s="59" t="s">
        <v>1456</v>
      </c>
      <c r="E174" s="22" t="s">
        <v>1342</v>
      </c>
      <c r="F174" s="27" t="s">
        <v>1226</v>
      </c>
      <c r="G174" s="567">
        <v>42581</v>
      </c>
      <c r="H174" s="609">
        <f t="shared" si="50"/>
        <v>18</v>
      </c>
      <c r="I174" s="620">
        <v>8</v>
      </c>
      <c r="J174" s="620">
        <v>6</v>
      </c>
      <c r="K174" s="620">
        <v>5</v>
      </c>
      <c r="L174" s="611">
        <f t="shared" si="38"/>
        <v>19</v>
      </c>
      <c r="M174" s="621"/>
      <c r="N174" s="621"/>
      <c r="O174" s="621"/>
      <c r="P174" s="622">
        <f t="shared" si="39"/>
        <v>1</v>
      </c>
      <c r="Q174" s="609">
        <f t="shared" si="51"/>
        <v>25.4</v>
      </c>
      <c r="R174" s="620">
        <v>6</v>
      </c>
      <c r="S174" s="620">
        <v>6</v>
      </c>
      <c r="T174" s="620">
        <v>6</v>
      </c>
      <c r="U174" s="611">
        <f t="shared" si="40"/>
        <v>18</v>
      </c>
      <c r="V174" s="621"/>
      <c r="W174" s="621"/>
      <c r="X174" s="621"/>
      <c r="Y174" s="622">
        <f t="shared" si="41"/>
        <v>-7.3999999999999986</v>
      </c>
      <c r="Z174" s="609">
        <f t="shared" si="52"/>
        <v>25.4</v>
      </c>
      <c r="AA174" s="620">
        <v>2.5</v>
      </c>
      <c r="AB174" s="620">
        <v>7</v>
      </c>
      <c r="AC174" s="620">
        <v>7</v>
      </c>
      <c r="AD174" s="611">
        <f t="shared" si="42"/>
        <v>16.5</v>
      </c>
      <c r="AE174" s="621"/>
      <c r="AF174" s="621"/>
      <c r="AG174" s="621"/>
      <c r="AH174" s="622">
        <f t="shared" si="43"/>
        <v>-8.8999999999999986</v>
      </c>
      <c r="AI174" s="609">
        <f t="shared" si="53"/>
        <v>20</v>
      </c>
      <c r="AJ174" s="620">
        <v>8</v>
      </c>
      <c r="AK174" s="620">
        <v>10.4</v>
      </c>
      <c r="AL174" s="620">
        <v>7</v>
      </c>
      <c r="AM174" s="623">
        <f t="shared" si="44"/>
        <v>25.4</v>
      </c>
      <c r="AN174" s="621"/>
      <c r="AO174" s="621"/>
      <c r="AP174" s="621"/>
      <c r="AQ174" s="622">
        <f t="shared" si="45"/>
        <v>5.3999999999999986</v>
      </c>
      <c r="AR174" s="615">
        <f t="shared" si="54"/>
        <v>11</v>
      </c>
      <c r="AS174" s="620">
        <v>10</v>
      </c>
      <c r="AT174" s="620">
        <v>6</v>
      </c>
      <c r="AU174" s="620">
        <v>4</v>
      </c>
      <c r="AV174" s="623">
        <f t="shared" si="46"/>
        <v>20</v>
      </c>
      <c r="AW174" s="621"/>
      <c r="AX174" s="621"/>
      <c r="AY174" s="621"/>
      <c r="AZ174" s="624">
        <f t="shared" si="47"/>
        <v>9</v>
      </c>
      <c r="BA174" s="623">
        <v>11</v>
      </c>
      <c r="BB174" s="620"/>
      <c r="BC174" s="620"/>
      <c r="BD174" s="623">
        <f t="shared" si="48"/>
        <v>0</v>
      </c>
      <c r="BE174" s="621"/>
      <c r="BF174" s="621"/>
      <c r="BG174" s="621"/>
      <c r="BH174" s="621">
        <f t="shared" si="49"/>
        <v>11</v>
      </c>
    </row>
    <row r="175" spans="1:60" ht="17.25" thickTop="1" thickBot="1" x14ac:dyDescent="0.3">
      <c r="A175" s="77">
        <v>168</v>
      </c>
      <c r="B175" s="603">
        <f t="shared" ca="1" si="37"/>
        <v>43134</v>
      </c>
      <c r="C175" s="29" t="s">
        <v>2556</v>
      </c>
      <c r="D175" s="59" t="s">
        <v>2586</v>
      </c>
      <c r="E175" s="22" t="s">
        <v>756</v>
      </c>
      <c r="F175" s="295" t="s">
        <v>757</v>
      </c>
      <c r="G175" s="567">
        <v>42505</v>
      </c>
      <c r="H175" s="609">
        <f t="shared" si="50"/>
        <v>20.5</v>
      </c>
      <c r="I175" s="620">
        <v>8</v>
      </c>
      <c r="J175" s="620">
        <v>7</v>
      </c>
      <c r="K175" s="620">
        <v>7</v>
      </c>
      <c r="L175" s="611">
        <f t="shared" si="38"/>
        <v>22</v>
      </c>
      <c r="M175" s="621"/>
      <c r="N175" s="621"/>
      <c r="O175" s="621"/>
      <c r="P175" s="622">
        <f t="shared" si="39"/>
        <v>1.5</v>
      </c>
      <c r="Q175" s="609">
        <f t="shared" si="51"/>
        <v>0</v>
      </c>
      <c r="R175" s="620">
        <v>9</v>
      </c>
      <c r="S175" s="620">
        <v>6.5</v>
      </c>
      <c r="T175" s="620">
        <v>5</v>
      </c>
      <c r="U175" s="611">
        <f t="shared" si="40"/>
        <v>20.5</v>
      </c>
      <c r="V175" s="621"/>
      <c r="W175" s="621"/>
      <c r="X175" s="621"/>
      <c r="Y175" s="622">
        <f t="shared" si="41"/>
        <v>20.5</v>
      </c>
      <c r="Z175" s="609">
        <f t="shared" si="52"/>
        <v>0</v>
      </c>
      <c r="AA175" s="620">
        <v>10.6</v>
      </c>
      <c r="AB175" s="620">
        <v>10</v>
      </c>
      <c r="AC175" s="620">
        <v>9.4</v>
      </c>
      <c r="AD175" s="611">
        <f t="shared" si="42"/>
        <v>30</v>
      </c>
      <c r="AE175" s="621"/>
      <c r="AF175" s="621"/>
      <c r="AG175" s="621"/>
      <c r="AH175" s="622">
        <f t="shared" si="43"/>
        <v>30</v>
      </c>
      <c r="AI175" s="609">
        <f t="shared" si="53"/>
        <v>0</v>
      </c>
      <c r="AJ175" s="620"/>
      <c r="AK175" s="620"/>
      <c r="AL175" s="620"/>
      <c r="AM175" s="623">
        <f t="shared" si="44"/>
        <v>0</v>
      </c>
      <c r="AN175" s="621"/>
      <c r="AO175" s="621"/>
      <c r="AP175" s="621"/>
      <c r="AQ175" s="622">
        <f t="shared" si="45"/>
        <v>0</v>
      </c>
      <c r="AR175" s="615">
        <f t="shared" si="54"/>
        <v>5</v>
      </c>
      <c r="AS175" s="620"/>
      <c r="AT175" s="620"/>
      <c r="AU175" s="620"/>
      <c r="AV175" s="623">
        <f t="shared" si="46"/>
        <v>0</v>
      </c>
      <c r="AW175" s="621"/>
      <c r="AX175" s="621"/>
      <c r="AY175" s="621"/>
      <c r="AZ175" s="624">
        <f t="shared" si="47"/>
        <v>-5</v>
      </c>
      <c r="BA175" s="623">
        <v>5</v>
      </c>
      <c r="BB175" s="620"/>
      <c r="BC175" s="620"/>
      <c r="BD175" s="623">
        <f t="shared" si="48"/>
        <v>0</v>
      </c>
      <c r="BE175" s="621"/>
      <c r="BF175" s="621"/>
      <c r="BG175" s="621"/>
      <c r="BH175" s="621">
        <f t="shared" si="49"/>
        <v>5</v>
      </c>
    </row>
    <row r="176" spans="1:60" ht="17.25" thickTop="1" thickBot="1" x14ac:dyDescent="0.3">
      <c r="A176" s="602">
        <v>169</v>
      </c>
      <c r="B176" s="603">
        <f t="shared" ca="1" si="37"/>
        <v>43134</v>
      </c>
      <c r="C176" s="29" t="s">
        <v>2404</v>
      </c>
      <c r="D176" s="59" t="s">
        <v>1456</v>
      </c>
      <c r="E176" s="22" t="s">
        <v>847</v>
      </c>
      <c r="F176" s="295" t="s">
        <v>848</v>
      </c>
      <c r="G176" s="567">
        <v>42531</v>
      </c>
      <c r="H176" s="609">
        <f t="shared" si="50"/>
        <v>22</v>
      </c>
      <c r="I176" s="620">
        <v>10</v>
      </c>
      <c r="J176" s="620">
        <v>9</v>
      </c>
      <c r="K176" s="620">
        <v>9</v>
      </c>
      <c r="L176" s="611">
        <f t="shared" si="38"/>
        <v>28</v>
      </c>
      <c r="M176" s="621"/>
      <c r="N176" s="621"/>
      <c r="O176" s="621"/>
      <c r="P176" s="622">
        <f t="shared" si="39"/>
        <v>6</v>
      </c>
      <c r="Q176" s="609">
        <f t="shared" si="51"/>
        <v>27.8</v>
      </c>
      <c r="R176" s="620">
        <v>7.5</v>
      </c>
      <c r="S176" s="620">
        <v>8.5</v>
      </c>
      <c r="T176" s="620">
        <v>6</v>
      </c>
      <c r="U176" s="611">
        <f t="shared" si="40"/>
        <v>22</v>
      </c>
      <c r="V176" s="621"/>
      <c r="W176" s="621"/>
      <c r="X176" s="621"/>
      <c r="Y176" s="622">
        <f t="shared" si="41"/>
        <v>-5.8000000000000007</v>
      </c>
      <c r="Z176" s="609">
        <f t="shared" si="52"/>
        <v>27.8</v>
      </c>
      <c r="AA176" s="620">
        <v>12.3</v>
      </c>
      <c r="AB176" s="620">
        <v>9.6999999999999993</v>
      </c>
      <c r="AC176" s="620">
        <v>9</v>
      </c>
      <c r="AD176" s="611">
        <f t="shared" si="42"/>
        <v>31</v>
      </c>
      <c r="AE176" s="621"/>
      <c r="AF176" s="621"/>
      <c r="AG176" s="621"/>
      <c r="AH176" s="622">
        <f t="shared" si="43"/>
        <v>3.1999999999999993</v>
      </c>
      <c r="AI176" s="609">
        <f t="shared" si="53"/>
        <v>24.9</v>
      </c>
      <c r="AJ176" s="620">
        <v>10</v>
      </c>
      <c r="AK176" s="620">
        <v>8.5</v>
      </c>
      <c r="AL176" s="620">
        <v>9.3000000000000007</v>
      </c>
      <c r="AM176" s="623">
        <f t="shared" si="44"/>
        <v>27.8</v>
      </c>
      <c r="AN176" s="621"/>
      <c r="AO176" s="621"/>
      <c r="AP176" s="621"/>
      <c r="AQ176" s="622">
        <f t="shared" si="45"/>
        <v>2.9000000000000021</v>
      </c>
      <c r="AR176" s="615">
        <f t="shared" si="54"/>
        <v>16.399999999999999</v>
      </c>
      <c r="AS176" s="620">
        <v>12</v>
      </c>
      <c r="AT176" s="620">
        <v>6.5</v>
      </c>
      <c r="AU176" s="620">
        <v>6.4</v>
      </c>
      <c r="AV176" s="623">
        <f t="shared" si="46"/>
        <v>24.9</v>
      </c>
      <c r="AW176" s="621"/>
      <c r="AX176" s="621"/>
      <c r="AY176" s="621"/>
      <c r="AZ176" s="624">
        <f t="shared" si="47"/>
        <v>8.5</v>
      </c>
      <c r="BA176" s="623">
        <v>16.399999999999999</v>
      </c>
      <c r="BB176" s="620"/>
      <c r="BC176" s="620"/>
      <c r="BD176" s="623">
        <f t="shared" si="48"/>
        <v>0</v>
      </c>
      <c r="BE176" s="621"/>
      <c r="BF176" s="621"/>
      <c r="BG176" s="621"/>
      <c r="BH176" s="621">
        <f t="shared" si="49"/>
        <v>16.399999999999999</v>
      </c>
    </row>
    <row r="177" spans="1:60" ht="17.25" thickTop="1" thickBot="1" x14ac:dyDescent="0.3">
      <c r="A177" s="77">
        <v>170</v>
      </c>
      <c r="B177" s="603">
        <f t="shared" ca="1" si="37"/>
        <v>43134</v>
      </c>
      <c r="C177" s="29" t="s">
        <v>2556</v>
      </c>
      <c r="D177" s="59" t="s">
        <v>2586</v>
      </c>
      <c r="E177" s="22" t="s">
        <v>849</v>
      </c>
      <c r="F177" s="27" t="s">
        <v>850</v>
      </c>
      <c r="G177" s="567">
        <v>42547</v>
      </c>
      <c r="H177" s="609">
        <f t="shared" si="50"/>
        <v>21.8</v>
      </c>
      <c r="I177" s="620">
        <v>9</v>
      </c>
      <c r="J177" s="620">
        <v>12.8</v>
      </c>
      <c r="K177" s="620">
        <v>9</v>
      </c>
      <c r="L177" s="611">
        <f t="shared" si="38"/>
        <v>30.8</v>
      </c>
      <c r="M177" s="621"/>
      <c r="N177" s="621"/>
      <c r="O177" s="621"/>
      <c r="P177" s="622">
        <f t="shared" si="39"/>
        <v>9</v>
      </c>
      <c r="Q177" s="609">
        <f t="shared" si="51"/>
        <v>30.8</v>
      </c>
      <c r="R177" s="620">
        <v>9.1999999999999993</v>
      </c>
      <c r="S177" s="620">
        <v>6.4</v>
      </c>
      <c r="T177" s="620">
        <v>6.2</v>
      </c>
      <c r="U177" s="611">
        <f t="shared" si="40"/>
        <v>21.8</v>
      </c>
      <c r="V177" s="621"/>
      <c r="W177" s="621"/>
      <c r="X177" s="621"/>
      <c r="Y177" s="622">
        <f t="shared" si="41"/>
        <v>-9</v>
      </c>
      <c r="Z177" s="609">
        <f t="shared" si="52"/>
        <v>30.8</v>
      </c>
      <c r="AA177" s="620">
        <v>10.5</v>
      </c>
      <c r="AB177" s="620">
        <v>11</v>
      </c>
      <c r="AC177" s="620">
        <v>10</v>
      </c>
      <c r="AD177" s="611">
        <f t="shared" si="42"/>
        <v>31.5</v>
      </c>
      <c r="AE177" s="621"/>
      <c r="AF177" s="621"/>
      <c r="AG177" s="621"/>
      <c r="AH177" s="622">
        <f t="shared" si="43"/>
        <v>0.69999999999999929</v>
      </c>
      <c r="AI177" s="609">
        <f t="shared" si="53"/>
        <v>0</v>
      </c>
      <c r="AJ177" s="620">
        <v>10.5</v>
      </c>
      <c r="AK177" s="620">
        <v>11.5</v>
      </c>
      <c r="AL177" s="620">
        <v>8.8000000000000007</v>
      </c>
      <c r="AM177" s="623">
        <f t="shared" si="44"/>
        <v>30.8</v>
      </c>
      <c r="AN177" s="621"/>
      <c r="AO177" s="621"/>
      <c r="AP177" s="621"/>
      <c r="AQ177" s="622">
        <f t="shared" si="45"/>
        <v>30.8</v>
      </c>
      <c r="AR177" s="615">
        <f t="shared" si="54"/>
        <v>5</v>
      </c>
      <c r="AS177" s="620"/>
      <c r="AT177" s="620"/>
      <c r="AU177" s="620"/>
      <c r="AV177" s="623">
        <f t="shared" si="46"/>
        <v>0</v>
      </c>
      <c r="AW177" s="621"/>
      <c r="AX177" s="621"/>
      <c r="AY177" s="621"/>
      <c r="AZ177" s="624">
        <f t="shared" si="47"/>
        <v>-5</v>
      </c>
      <c r="BA177" s="623">
        <v>5</v>
      </c>
      <c r="BB177" s="620"/>
      <c r="BC177" s="620"/>
      <c r="BD177" s="623">
        <f t="shared" si="48"/>
        <v>0</v>
      </c>
      <c r="BE177" s="621"/>
      <c r="BF177" s="621"/>
      <c r="BG177" s="621"/>
      <c r="BH177" s="621">
        <f t="shared" si="49"/>
        <v>5</v>
      </c>
    </row>
    <row r="178" spans="1:60" ht="17.25" thickTop="1" thickBot="1" x14ac:dyDescent="0.3">
      <c r="A178" s="602">
        <v>171</v>
      </c>
      <c r="B178" s="603">
        <f t="shared" ca="1" si="37"/>
        <v>43134</v>
      </c>
      <c r="C178" s="29" t="s">
        <v>2556</v>
      </c>
      <c r="D178" s="59" t="s">
        <v>2586</v>
      </c>
      <c r="E178" s="22" t="s">
        <v>206</v>
      </c>
      <c r="F178" s="295" t="s">
        <v>921</v>
      </c>
      <c r="G178" s="567">
        <v>42552</v>
      </c>
      <c r="H178" s="609">
        <f t="shared" si="50"/>
        <v>24</v>
      </c>
      <c r="I178" s="620">
        <v>14</v>
      </c>
      <c r="J178" s="620">
        <v>9</v>
      </c>
      <c r="K178" s="620">
        <v>11</v>
      </c>
      <c r="L178" s="611">
        <f t="shared" si="38"/>
        <v>34</v>
      </c>
      <c r="M178" s="621"/>
      <c r="N178" s="621"/>
      <c r="O178" s="621"/>
      <c r="P178" s="622">
        <f t="shared" si="39"/>
        <v>10</v>
      </c>
      <c r="Q178" s="609">
        <f t="shared" si="51"/>
        <v>35.6</v>
      </c>
      <c r="R178" s="620">
        <v>7.5</v>
      </c>
      <c r="S178" s="620">
        <v>10</v>
      </c>
      <c r="T178" s="620">
        <v>6.5</v>
      </c>
      <c r="U178" s="611">
        <f t="shared" si="40"/>
        <v>24</v>
      </c>
      <c r="V178" s="621"/>
      <c r="W178" s="621"/>
      <c r="X178" s="621"/>
      <c r="Y178" s="622">
        <f t="shared" si="41"/>
        <v>-11.600000000000001</v>
      </c>
      <c r="Z178" s="609">
        <f t="shared" si="52"/>
        <v>35.6</v>
      </c>
      <c r="AA178" s="620">
        <v>10.4</v>
      </c>
      <c r="AB178" s="620">
        <v>12.8</v>
      </c>
      <c r="AC178" s="620">
        <v>9.5</v>
      </c>
      <c r="AD178" s="611">
        <f t="shared" si="42"/>
        <v>32.700000000000003</v>
      </c>
      <c r="AE178" s="621"/>
      <c r="AF178" s="621"/>
      <c r="AG178" s="621"/>
      <c r="AH178" s="622">
        <f t="shared" si="43"/>
        <v>-2.8999999999999986</v>
      </c>
      <c r="AI178" s="609">
        <f t="shared" si="53"/>
        <v>0</v>
      </c>
      <c r="AJ178" s="620">
        <v>14.6</v>
      </c>
      <c r="AK178" s="620">
        <v>10.6</v>
      </c>
      <c r="AL178" s="620">
        <v>10.4</v>
      </c>
      <c r="AM178" s="623">
        <f t="shared" si="44"/>
        <v>35.6</v>
      </c>
      <c r="AN178" s="621"/>
      <c r="AO178" s="621"/>
      <c r="AP178" s="621"/>
      <c r="AQ178" s="622">
        <f t="shared" si="45"/>
        <v>35.6</v>
      </c>
      <c r="AR178" s="615">
        <f t="shared" si="54"/>
        <v>26</v>
      </c>
      <c r="AS178" s="620"/>
      <c r="AT178" s="620"/>
      <c r="AU178" s="620"/>
      <c r="AV178" s="623">
        <f t="shared" si="46"/>
        <v>0</v>
      </c>
      <c r="AW178" s="621"/>
      <c r="AX178" s="621"/>
      <c r="AY178" s="621"/>
      <c r="AZ178" s="624">
        <f t="shared" si="47"/>
        <v>-26</v>
      </c>
      <c r="BA178" s="623">
        <v>26</v>
      </c>
      <c r="BB178" s="620"/>
      <c r="BC178" s="620"/>
      <c r="BD178" s="623">
        <f t="shared" si="48"/>
        <v>0</v>
      </c>
      <c r="BE178" s="621"/>
      <c r="BF178" s="621"/>
      <c r="BG178" s="621"/>
      <c r="BH178" s="621">
        <f t="shared" si="49"/>
        <v>26</v>
      </c>
    </row>
    <row r="179" spans="1:60" ht="17.25" thickTop="1" thickBot="1" x14ac:dyDescent="0.3">
      <c r="A179" s="77">
        <v>172</v>
      </c>
      <c r="B179" s="603">
        <f t="shared" ca="1" si="37"/>
        <v>43134</v>
      </c>
      <c r="C179" s="29" t="s">
        <v>2556</v>
      </c>
      <c r="D179" s="59" t="s">
        <v>2586</v>
      </c>
      <c r="E179" s="22" t="s">
        <v>731</v>
      </c>
      <c r="F179" s="27" t="s">
        <v>732</v>
      </c>
      <c r="G179" s="567">
        <v>42505</v>
      </c>
      <c r="H179" s="609">
        <f t="shared" si="50"/>
        <v>29</v>
      </c>
      <c r="I179" s="620">
        <v>9</v>
      </c>
      <c r="J179" s="620">
        <v>8</v>
      </c>
      <c r="K179" s="620">
        <v>8.1999999999999993</v>
      </c>
      <c r="L179" s="611">
        <f t="shared" si="38"/>
        <v>25.2</v>
      </c>
      <c r="M179" s="621"/>
      <c r="N179" s="621"/>
      <c r="O179" s="621"/>
      <c r="P179" s="622">
        <f t="shared" si="39"/>
        <v>-3.8000000000000007</v>
      </c>
      <c r="Q179" s="609">
        <f t="shared" si="51"/>
        <v>33</v>
      </c>
      <c r="R179" s="620">
        <v>10</v>
      </c>
      <c r="S179" s="620">
        <v>8</v>
      </c>
      <c r="T179" s="620">
        <v>11</v>
      </c>
      <c r="U179" s="611">
        <f t="shared" si="40"/>
        <v>29</v>
      </c>
      <c r="V179" s="621"/>
      <c r="W179" s="621"/>
      <c r="X179" s="621"/>
      <c r="Y179" s="622">
        <f t="shared" si="41"/>
        <v>-4</v>
      </c>
      <c r="Z179" s="609">
        <f t="shared" si="52"/>
        <v>33</v>
      </c>
      <c r="AA179" s="620">
        <v>11</v>
      </c>
      <c r="AB179" s="620">
        <v>13</v>
      </c>
      <c r="AC179" s="620">
        <v>10</v>
      </c>
      <c r="AD179" s="611">
        <f t="shared" si="42"/>
        <v>34</v>
      </c>
      <c r="AE179" s="621"/>
      <c r="AF179" s="621"/>
      <c r="AG179" s="621"/>
      <c r="AH179" s="622">
        <f t="shared" si="43"/>
        <v>1</v>
      </c>
      <c r="AI179" s="609">
        <f t="shared" si="53"/>
        <v>0</v>
      </c>
      <c r="AJ179" s="620">
        <v>15</v>
      </c>
      <c r="AK179" s="620">
        <v>8</v>
      </c>
      <c r="AL179" s="620">
        <v>10</v>
      </c>
      <c r="AM179" s="623">
        <f t="shared" si="44"/>
        <v>33</v>
      </c>
      <c r="AN179" s="621"/>
      <c r="AO179" s="621"/>
      <c r="AP179" s="621"/>
      <c r="AQ179" s="622">
        <f t="shared" si="45"/>
        <v>33</v>
      </c>
      <c r="AR179" s="615">
        <f t="shared" si="54"/>
        <v>18</v>
      </c>
      <c r="AS179" s="620"/>
      <c r="AT179" s="620"/>
      <c r="AU179" s="620"/>
      <c r="AV179" s="623">
        <f t="shared" si="46"/>
        <v>0</v>
      </c>
      <c r="AW179" s="621"/>
      <c r="AX179" s="621"/>
      <c r="AY179" s="621"/>
      <c r="AZ179" s="624">
        <f t="shared" si="47"/>
        <v>-18</v>
      </c>
      <c r="BA179" s="623">
        <v>18</v>
      </c>
      <c r="BB179" s="620"/>
      <c r="BC179" s="620"/>
      <c r="BD179" s="623">
        <f t="shared" si="48"/>
        <v>0</v>
      </c>
      <c r="BE179" s="621"/>
      <c r="BF179" s="621"/>
      <c r="BG179" s="621"/>
      <c r="BH179" s="621">
        <f t="shared" si="49"/>
        <v>18</v>
      </c>
    </row>
    <row r="180" spans="1:60" ht="17.25" thickTop="1" thickBot="1" x14ac:dyDescent="0.3">
      <c r="A180" s="602">
        <v>173</v>
      </c>
      <c r="B180" s="603">
        <f t="shared" ca="1" si="37"/>
        <v>43134</v>
      </c>
      <c r="C180" s="29" t="s">
        <v>2556</v>
      </c>
      <c r="D180" s="59" t="s">
        <v>2586</v>
      </c>
      <c r="E180" s="22" t="s">
        <v>37</v>
      </c>
      <c r="F180" s="27" t="s">
        <v>779</v>
      </c>
      <c r="G180" s="567">
        <v>42475</v>
      </c>
      <c r="H180" s="609">
        <f t="shared" si="50"/>
        <v>23.8</v>
      </c>
      <c r="I180" s="620">
        <v>7.5</v>
      </c>
      <c r="J180" s="620">
        <v>7.4</v>
      </c>
      <c r="K180" s="620">
        <v>7.2</v>
      </c>
      <c r="L180" s="611">
        <f t="shared" si="38"/>
        <v>22.1</v>
      </c>
      <c r="M180" s="621"/>
      <c r="N180" s="621"/>
      <c r="O180" s="621"/>
      <c r="P180" s="622">
        <f t="shared" si="39"/>
        <v>-1.6999999999999993</v>
      </c>
      <c r="Q180" s="609">
        <f t="shared" si="51"/>
        <v>28.4</v>
      </c>
      <c r="R180" s="620">
        <v>8.4</v>
      </c>
      <c r="S180" s="620">
        <v>7.2</v>
      </c>
      <c r="T180" s="620">
        <v>8.1999999999999993</v>
      </c>
      <c r="U180" s="611">
        <f t="shared" si="40"/>
        <v>23.8</v>
      </c>
      <c r="V180" s="621"/>
      <c r="W180" s="621"/>
      <c r="X180" s="621"/>
      <c r="Y180" s="622">
        <f t="shared" si="41"/>
        <v>-4.5999999999999979</v>
      </c>
      <c r="Z180" s="609">
        <f t="shared" si="52"/>
        <v>28.4</v>
      </c>
      <c r="AA180" s="620">
        <v>11</v>
      </c>
      <c r="AB180" s="620">
        <v>15</v>
      </c>
      <c r="AC180" s="620">
        <v>10.1</v>
      </c>
      <c r="AD180" s="611">
        <f t="shared" si="42"/>
        <v>36.1</v>
      </c>
      <c r="AE180" s="621"/>
      <c r="AF180" s="621"/>
      <c r="AG180" s="621"/>
      <c r="AH180" s="622">
        <f t="shared" si="43"/>
        <v>7.7000000000000028</v>
      </c>
      <c r="AI180" s="609">
        <f t="shared" si="53"/>
        <v>0</v>
      </c>
      <c r="AJ180" s="620">
        <v>8</v>
      </c>
      <c r="AK180" s="620">
        <v>9.8000000000000007</v>
      </c>
      <c r="AL180" s="620">
        <v>10.6</v>
      </c>
      <c r="AM180" s="623">
        <f t="shared" si="44"/>
        <v>28.4</v>
      </c>
      <c r="AN180" s="621"/>
      <c r="AO180" s="621"/>
      <c r="AP180" s="621"/>
      <c r="AQ180" s="622">
        <f t="shared" si="45"/>
        <v>28.4</v>
      </c>
      <c r="AR180" s="615">
        <f t="shared" si="54"/>
        <v>9</v>
      </c>
      <c r="AS180" s="620"/>
      <c r="AT180" s="620"/>
      <c r="AU180" s="620"/>
      <c r="AV180" s="623">
        <f t="shared" si="46"/>
        <v>0</v>
      </c>
      <c r="AW180" s="621"/>
      <c r="AX180" s="621"/>
      <c r="AY180" s="621"/>
      <c r="AZ180" s="624">
        <f t="shared" si="47"/>
        <v>-9</v>
      </c>
      <c r="BA180" s="623">
        <v>9</v>
      </c>
      <c r="BB180" s="620"/>
      <c r="BC180" s="620"/>
      <c r="BD180" s="623">
        <f t="shared" si="48"/>
        <v>0</v>
      </c>
      <c r="BE180" s="621"/>
      <c r="BF180" s="621"/>
      <c r="BG180" s="621"/>
      <c r="BH180" s="621">
        <f t="shared" si="49"/>
        <v>9</v>
      </c>
    </row>
    <row r="181" spans="1:60" ht="17.25" thickTop="1" thickBot="1" x14ac:dyDescent="0.3">
      <c r="A181" s="77">
        <v>174</v>
      </c>
      <c r="B181" s="603">
        <f t="shared" ca="1" si="37"/>
        <v>43134</v>
      </c>
      <c r="C181" s="29" t="s">
        <v>2556</v>
      </c>
      <c r="D181" s="59" t="s">
        <v>2586</v>
      </c>
      <c r="E181" s="22" t="s">
        <v>163</v>
      </c>
      <c r="F181" s="295" t="s">
        <v>164</v>
      </c>
      <c r="G181" s="567">
        <v>42414</v>
      </c>
      <c r="H181" s="609">
        <f t="shared" si="50"/>
        <v>27</v>
      </c>
      <c r="I181" s="620">
        <v>11</v>
      </c>
      <c r="J181" s="620">
        <v>10</v>
      </c>
      <c r="K181" s="620">
        <v>8</v>
      </c>
      <c r="L181" s="611">
        <f t="shared" si="38"/>
        <v>29</v>
      </c>
      <c r="M181" s="621"/>
      <c r="N181" s="621"/>
      <c r="O181" s="621"/>
      <c r="P181" s="622">
        <f t="shared" si="39"/>
        <v>2</v>
      </c>
      <c r="Q181" s="609">
        <f t="shared" si="51"/>
        <v>0</v>
      </c>
      <c r="R181" s="620">
        <v>12</v>
      </c>
      <c r="S181" s="620">
        <v>8</v>
      </c>
      <c r="T181" s="620">
        <v>7</v>
      </c>
      <c r="U181" s="611">
        <f t="shared" si="40"/>
        <v>27</v>
      </c>
      <c r="V181" s="621"/>
      <c r="W181" s="621"/>
      <c r="X181" s="621"/>
      <c r="Y181" s="622">
        <f t="shared" si="41"/>
        <v>27</v>
      </c>
      <c r="Z181" s="609">
        <f t="shared" si="52"/>
        <v>0</v>
      </c>
      <c r="AA181" s="620">
        <v>9.1999999999999993</v>
      </c>
      <c r="AB181" s="620">
        <v>8.8000000000000007</v>
      </c>
      <c r="AC181" s="620">
        <v>9.1</v>
      </c>
      <c r="AD181" s="611">
        <f t="shared" si="42"/>
        <v>27.1</v>
      </c>
      <c r="AE181" s="621"/>
      <c r="AF181" s="621"/>
      <c r="AG181" s="621"/>
      <c r="AH181" s="622">
        <f t="shared" si="43"/>
        <v>27.1</v>
      </c>
      <c r="AI181" s="609">
        <f t="shared" si="53"/>
        <v>0</v>
      </c>
      <c r="AJ181" s="620"/>
      <c r="AK181" s="620"/>
      <c r="AL181" s="620"/>
      <c r="AM181" s="623">
        <f t="shared" si="44"/>
        <v>0</v>
      </c>
      <c r="AN181" s="621"/>
      <c r="AO181" s="621"/>
      <c r="AP181" s="621"/>
      <c r="AQ181" s="622">
        <f t="shared" si="45"/>
        <v>0</v>
      </c>
      <c r="AR181" s="615">
        <f t="shared" si="54"/>
        <v>13</v>
      </c>
      <c r="AS181" s="620"/>
      <c r="AT181" s="620"/>
      <c r="AU181" s="620"/>
      <c r="AV181" s="623">
        <f t="shared" si="46"/>
        <v>0</v>
      </c>
      <c r="AW181" s="621"/>
      <c r="AX181" s="621"/>
      <c r="AY181" s="621"/>
      <c r="AZ181" s="624">
        <f t="shared" si="47"/>
        <v>-13</v>
      </c>
      <c r="BA181" s="623">
        <v>13</v>
      </c>
      <c r="BB181" s="620"/>
      <c r="BC181" s="620"/>
      <c r="BD181" s="623">
        <f t="shared" si="48"/>
        <v>0</v>
      </c>
      <c r="BE181" s="621"/>
      <c r="BF181" s="621"/>
      <c r="BG181" s="621"/>
      <c r="BH181" s="621">
        <f t="shared" si="49"/>
        <v>13</v>
      </c>
    </row>
    <row r="182" spans="1:60" ht="17.25" thickTop="1" thickBot="1" x14ac:dyDescent="0.3">
      <c r="A182" s="602">
        <v>175</v>
      </c>
      <c r="B182" s="603">
        <f t="shared" ca="1" si="37"/>
        <v>43134</v>
      </c>
      <c r="C182" s="29" t="s">
        <v>2556</v>
      </c>
      <c r="D182" s="59" t="s">
        <v>2586</v>
      </c>
      <c r="E182" s="22" t="s">
        <v>1400</v>
      </c>
      <c r="F182" s="27" t="s">
        <v>1401</v>
      </c>
      <c r="G182" s="567">
        <v>42476</v>
      </c>
      <c r="H182" s="609">
        <f t="shared" si="50"/>
        <v>34.200000000000003</v>
      </c>
      <c r="I182" s="620">
        <v>7.6</v>
      </c>
      <c r="J182" s="620">
        <v>8</v>
      </c>
      <c r="K182" s="620">
        <v>6</v>
      </c>
      <c r="L182" s="611">
        <f t="shared" si="38"/>
        <v>21.6</v>
      </c>
      <c r="M182" s="621"/>
      <c r="N182" s="621"/>
      <c r="O182" s="621"/>
      <c r="P182" s="622">
        <f t="shared" si="39"/>
        <v>-12.600000000000001</v>
      </c>
      <c r="Q182" s="609">
        <f t="shared" si="51"/>
        <v>39.799999999999997</v>
      </c>
      <c r="R182" s="620">
        <v>9</v>
      </c>
      <c r="S182" s="620">
        <v>16.2</v>
      </c>
      <c r="T182" s="620">
        <v>9</v>
      </c>
      <c r="U182" s="611">
        <f t="shared" si="40"/>
        <v>34.200000000000003</v>
      </c>
      <c r="V182" s="621"/>
      <c r="W182" s="621"/>
      <c r="X182" s="621"/>
      <c r="Y182" s="622">
        <f t="shared" si="41"/>
        <v>-5.5999999999999943</v>
      </c>
      <c r="Z182" s="609">
        <f t="shared" si="52"/>
        <v>39.799999999999997</v>
      </c>
      <c r="AA182" s="620">
        <v>5.5</v>
      </c>
      <c r="AB182" s="620">
        <v>9.5</v>
      </c>
      <c r="AC182" s="620">
        <v>12</v>
      </c>
      <c r="AD182" s="611">
        <f t="shared" si="42"/>
        <v>27</v>
      </c>
      <c r="AE182" s="621"/>
      <c r="AF182" s="621"/>
      <c r="AG182" s="621"/>
      <c r="AH182" s="622">
        <f t="shared" si="43"/>
        <v>-12.799999999999997</v>
      </c>
      <c r="AI182" s="609">
        <f t="shared" si="53"/>
        <v>0</v>
      </c>
      <c r="AJ182" s="620">
        <v>19.8</v>
      </c>
      <c r="AK182" s="620">
        <v>10</v>
      </c>
      <c r="AL182" s="620">
        <v>10</v>
      </c>
      <c r="AM182" s="623">
        <f t="shared" si="44"/>
        <v>39.799999999999997</v>
      </c>
      <c r="AN182" s="621"/>
      <c r="AO182" s="621"/>
      <c r="AP182" s="621"/>
      <c r="AQ182" s="622">
        <f t="shared" si="45"/>
        <v>39.799999999999997</v>
      </c>
      <c r="AR182" s="615">
        <f t="shared" si="54"/>
        <v>14</v>
      </c>
      <c r="AS182" s="620"/>
      <c r="AT182" s="620"/>
      <c r="AU182" s="620"/>
      <c r="AV182" s="623">
        <f t="shared" si="46"/>
        <v>0</v>
      </c>
      <c r="AW182" s="621"/>
      <c r="AX182" s="621"/>
      <c r="AY182" s="621"/>
      <c r="AZ182" s="624">
        <f t="shared" si="47"/>
        <v>-14</v>
      </c>
      <c r="BA182" s="623">
        <v>14</v>
      </c>
      <c r="BB182" s="620"/>
      <c r="BC182" s="620"/>
      <c r="BD182" s="623">
        <f t="shared" si="48"/>
        <v>0</v>
      </c>
      <c r="BE182" s="621"/>
      <c r="BF182" s="621"/>
      <c r="BG182" s="621"/>
      <c r="BH182" s="621">
        <f t="shared" si="49"/>
        <v>14</v>
      </c>
    </row>
    <row r="183" spans="1:60" ht="17.25" thickTop="1" thickBot="1" x14ac:dyDescent="0.3">
      <c r="A183" s="77">
        <v>176</v>
      </c>
      <c r="B183" s="603">
        <f t="shared" ca="1" si="37"/>
        <v>43134</v>
      </c>
      <c r="C183" s="29" t="s">
        <v>2556</v>
      </c>
      <c r="D183" s="59" t="s">
        <v>2586</v>
      </c>
      <c r="E183" s="22" t="s">
        <v>1634</v>
      </c>
      <c r="F183" s="27" t="s">
        <v>672</v>
      </c>
      <c r="G183" s="567">
        <v>42422</v>
      </c>
      <c r="H183" s="609">
        <f t="shared" si="50"/>
        <v>28.1</v>
      </c>
      <c r="I183" s="620">
        <v>12</v>
      </c>
      <c r="J183" s="620">
        <v>9</v>
      </c>
      <c r="K183" s="620">
        <v>7.2</v>
      </c>
      <c r="L183" s="611">
        <f t="shared" si="38"/>
        <v>28.2</v>
      </c>
      <c r="M183" s="621"/>
      <c r="N183" s="621"/>
      <c r="O183" s="621"/>
      <c r="P183" s="622">
        <f t="shared" si="39"/>
        <v>9.9999999999997868E-2</v>
      </c>
      <c r="Q183" s="609">
        <f t="shared" si="51"/>
        <v>0</v>
      </c>
      <c r="R183" s="620">
        <v>9.5</v>
      </c>
      <c r="S183" s="620">
        <v>8</v>
      </c>
      <c r="T183" s="620">
        <v>10.6</v>
      </c>
      <c r="U183" s="611">
        <f t="shared" si="40"/>
        <v>28.1</v>
      </c>
      <c r="V183" s="621"/>
      <c r="W183" s="621"/>
      <c r="X183" s="621"/>
      <c r="Y183" s="622">
        <f t="shared" si="41"/>
        <v>28.1</v>
      </c>
      <c r="Z183" s="609">
        <f t="shared" si="52"/>
        <v>0</v>
      </c>
      <c r="AA183" s="620">
        <v>9.1999999999999993</v>
      </c>
      <c r="AB183" s="620">
        <v>10.6</v>
      </c>
      <c r="AC183" s="620">
        <v>14.2</v>
      </c>
      <c r="AD183" s="611">
        <f t="shared" si="42"/>
        <v>34</v>
      </c>
      <c r="AE183" s="621"/>
      <c r="AF183" s="621"/>
      <c r="AG183" s="621"/>
      <c r="AH183" s="622">
        <f t="shared" si="43"/>
        <v>34</v>
      </c>
      <c r="AI183" s="609">
        <f t="shared" si="53"/>
        <v>0</v>
      </c>
      <c r="AJ183" s="620"/>
      <c r="AK183" s="620"/>
      <c r="AL183" s="620"/>
      <c r="AM183" s="623">
        <f t="shared" si="44"/>
        <v>0</v>
      </c>
      <c r="AN183" s="621"/>
      <c r="AO183" s="621"/>
      <c r="AP183" s="621"/>
      <c r="AQ183" s="622">
        <f t="shared" si="45"/>
        <v>0</v>
      </c>
      <c r="AR183" s="615">
        <f t="shared" si="54"/>
        <v>0</v>
      </c>
      <c r="AS183" s="620"/>
      <c r="AT183" s="620"/>
      <c r="AU183" s="620"/>
      <c r="AV183" s="623">
        <f t="shared" si="46"/>
        <v>0</v>
      </c>
      <c r="AW183" s="621"/>
      <c r="AX183" s="621"/>
      <c r="AY183" s="621"/>
      <c r="AZ183" s="624">
        <f t="shared" si="47"/>
        <v>0</v>
      </c>
      <c r="BA183" s="623"/>
      <c r="BB183" s="620"/>
      <c r="BC183" s="620"/>
      <c r="BD183" s="623">
        <f t="shared" si="48"/>
        <v>0</v>
      </c>
      <c r="BE183" s="621"/>
      <c r="BF183" s="621"/>
      <c r="BG183" s="621"/>
      <c r="BH183" s="621">
        <f t="shared" si="49"/>
        <v>0</v>
      </c>
    </row>
    <row r="184" spans="1:60" ht="17.25" thickTop="1" thickBot="1" x14ac:dyDescent="0.3">
      <c r="A184" s="602">
        <v>177</v>
      </c>
      <c r="B184" s="603">
        <f t="shared" ca="1" si="37"/>
        <v>43134</v>
      </c>
      <c r="C184" s="29" t="s">
        <v>2556</v>
      </c>
      <c r="D184" s="59" t="s">
        <v>2586</v>
      </c>
      <c r="E184" s="22" t="s">
        <v>541</v>
      </c>
      <c r="F184" s="295" t="s">
        <v>540</v>
      </c>
      <c r="G184" s="567">
        <v>42433</v>
      </c>
      <c r="H184" s="609">
        <f t="shared" si="50"/>
        <v>29</v>
      </c>
      <c r="I184" s="620">
        <v>11</v>
      </c>
      <c r="J184" s="620">
        <v>15</v>
      </c>
      <c r="K184" s="620">
        <v>13</v>
      </c>
      <c r="L184" s="611">
        <f t="shared" si="38"/>
        <v>39</v>
      </c>
      <c r="M184" s="621"/>
      <c r="N184" s="621"/>
      <c r="O184" s="621"/>
      <c r="P184" s="622">
        <f t="shared" si="39"/>
        <v>10</v>
      </c>
      <c r="Q184" s="609">
        <f t="shared" si="51"/>
        <v>0</v>
      </c>
      <c r="R184" s="620">
        <v>9.5</v>
      </c>
      <c r="S184" s="620">
        <v>9.5</v>
      </c>
      <c r="T184" s="620">
        <v>10</v>
      </c>
      <c r="U184" s="611">
        <f t="shared" si="40"/>
        <v>29</v>
      </c>
      <c r="V184" s="621"/>
      <c r="W184" s="621"/>
      <c r="X184" s="621"/>
      <c r="Y184" s="622">
        <f t="shared" si="41"/>
        <v>29</v>
      </c>
      <c r="Z184" s="609">
        <f t="shared" si="52"/>
        <v>0</v>
      </c>
      <c r="AA184" s="620">
        <v>12</v>
      </c>
      <c r="AB184" s="620">
        <v>8.6999999999999993</v>
      </c>
      <c r="AC184" s="620">
        <v>8</v>
      </c>
      <c r="AD184" s="611">
        <f t="shared" si="42"/>
        <v>28.7</v>
      </c>
      <c r="AE184" s="621"/>
      <c r="AF184" s="621"/>
      <c r="AG184" s="621"/>
      <c r="AH184" s="622">
        <f t="shared" si="43"/>
        <v>28.7</v>
      </c>
      <c r="AI184" s="609">
        <f t="shared" si="53"/>
        <v>0</v>
      </c>
      <c r="AJ184" s="620"/>
      <c r="AK184" s="620"/>
      <c r="AL184" s="620"/>
      <c r="AM184" s="623">
        <f t="shared" si="44"/>
        <v>0</v>
      </c>
      <c r="AN184" s="621"/>
      <c r="AO184" s="621"/>
      <c r="AP184" s="621"/>
      <c r="AQ184" s="622">
        <f t="shared" si="45"/>
        <v>0</v>
      </c>
      <c r="AR184" s="615">
        <f t="shared" si="54"/>
        <v>18.5</v>
      </c>
      <c r="AS184" s="620"/>
      <c r="AT184" s="620"/>
      <c r="AU184" s="620"/>
      <c r="AV184" s="623">
        <f t="shared" si="46"/>
        <v>0</v>
      </c>
      <c r="AW184" s="621"/>
      <c r="AX184" s="621"/>
      <c r="AY184" s="621"/>
      <c r="AZ184" s="624">
        <f t="shared" si="47"/>
        <v>-18.5</v>
      </c>
      <c r="BA184" s="623">
        <v>18.5</v>
      </c>
      <c r="BB184" s="620"/>
      <c r="BC184" s="620"/>
      <c r="BD184" s="623">
        <f t="shared" si="48"/>
        <v>0</v>
      </c>
      <c r="BE184" s="621"/>
      <c r="BF184" s="621"/>
      <c r="BG184" s="621"/>
      <c r="BH184" s="621">
        <f t="shared" si="49"/>
        <v>18.5</v>
      </c>
    </row>
    <row r="185" spans="1:60" ht="17.25" thickTop="1" thickBot="1" x14ac:dyDescent="0.3">
      <c r="A185" s="77">
        <v>178</v>
      </c>
      <c r="B185" s="603">
        <f t="shared" ca="1" si="37"/>
        <v>43134</v>
      </c>
      <c r="C185" s="29" t="s">
        <v>2404</v>
      </c>
      <c r="D185" s="59" t="s">
        <v>1456</v>
      </c>
      <c r="E185" s="22" t="s">
        <v>63</v>
      </c>
      <c r="F185" s="295" t="s">
        <v>64</v>
      </c>
      <c r="G185" s="567">
        <v>42305</v>
      </c>
      <c r="H185" s="609">
        <f t="shared" si="50"/>
        <v>17</v>
      </c>
      <c r="I185" s="620">
        <v>10</v>
      </c>
      <c r="J185" s="620">
        <v>8</v>
      </c>
      <c r="K185" s="620">
        <v>8</v>
      </c>
      <c r="L185" s="611">
        <f t="shared" si="38"/>
        <v>26</v>
      </c>
      <c r="M185" s="621"/>
      <c r="N185" s="621"/>
      <c r="O185" s="621"/>
      <c r="P185" s="622">
        <f t="shared" si="39"/>
        <v>9</v>
      </c>
      <c r="Q185" s="609">
        <f t="shared" si="51"/>
        <v>22.3</v>
      </c>
      <c r="R185" s="620">
        <v>7</v>
      </c>
      <c r="S185" s="620">
        <v>6</v>
      </c>
      <c r="T185" s="620">
        <v>4</v>
      </c>
      <c r="U185" s="611">
        <f t="shared" si="40"/>
        <v>17</v>
      </c>
      <c r="V185" s="621"/>
      <c r="W185" s="621"/>
      <c r="X185" s="621"/>
      <c r="Y185" s="622">
        <f t="shared" si="41"/>
        <v>-5.3000000000000007</v>
      </c>
      <c r="Z185" s="609">
        <f t="shared" si="52"/>
        <v>22.3</v>
      </c>
      <c r="AA185" s="620">
        <v>14.1</v>
      </c>
      <c r="AB185" s="620">
        <v>10</v>
      </c>
      <c r="AC185" s="620">
        <v>10.4</v>
      </c>
      <c r="AD185" s="611">
        <f t="shared" si="42"/>
        <v>34.5</v>
      </c>
      <c r="AE185" s="621"/>
      <c r="AF185" s="621"/>
      <c r="AG185" s="621"/>
      <c r="AH185" s="622">
        <f t="shared" si="43"/>
        <v>12.2</v>
      </c>
      <c r="AI185" s="609">
        <f t="shared" si="53"/>
        <v>20</v>
      </c>
      <c r="AJ185" s="620">
        <v>8</v>
      </c>
      <c r="AK185" s="620">
        <v>7.5</v>
      </c>
      <c r="AL185" s="620">
        <v>6.8</v>
      </c>
      <c r="AM185" s="623">
        <f t="shared" si="44"/>
        <v>22.3</v>
      </c>
      <c r="AN185" s="621"/>
      <c r="AO185" s="621"/>
      <c r="AP185" s="621"/>
      <c r="AQ185" s="622">
        <f t="shared" si="45"/>
        <v>2.3000000000000007</v>
      </c>
      <c r="AR185" s="615">
        <f t="shared" si="54"/>
        <v>0</v>
      </c>
      <c r="AS185" s="620">
        <v>8</v>
      </c>
      <c r="AT185" s="620">
        <v>7</v>
      </c>
      <c r="AU185" s="620">
        <v>5</v>
      </c>
      <c r="AV185" s="623">
        <f t="shared" si="46"/>
        <v>20</v>
      </c>
      <c r="AW185" s="621"/>
      <c r="AX185" s="621"/>
      <c r="AY185" s="621"/>
      <c r="AZ185" s="624">
        <f t="shared" si="47"/>
        <v>20</v>
      </c>
      <c r="BA185" s="623"/>
      <c r="BB185" s="620"/>
      <c r="BC185" s="620"/>
      <c r="BD185" s="623">
        <f t="shared" si="48"/>
        <v>0</v>
      </c>
      <c r="BE185" s="621"/>
      <c r="BF185" s="621"/>
      <c r="BG185" s="621"/>
      <c r="BH185" s="621">
        <f t="shared" si="49"/>
        <v>0</v>
      </c>
    </row>
    <row r="186" spans="1:60" ht="17.25" thickTop="1" thickBot="1" x14ac:dyDescent="0.3">
      <c r="A186" s="602">
        <v>179</v>
      </c>
      <c r="B186" s="603">
        <f t="shared" ca="1" si="37"/>
        <v>43134</v>
      </c>
      <c r="C186" s="29" t="s">
        <v>2404</v>
      </c>
      <c r="D186" s="59" t="s">
        <v>1456</v>
      </c>
      <c r="E186" s="22" t="s">
        <v>572</v>
      </c>
      <c r="F186" s="295" t="s">
        <v>573</v>
      </c>
      <c r="G186" s="567">
        <v>42577</v>
      </c>
      <c r="H186" s="609">
        <f t="shared" si="50"/>
        <v>20.5</v>
      </c>
      <c r="I186" s="620">
        <v>10</v>
      </c>
      <c r="J186" s="620">
        <v>8</v>
      </c>
      <c r="K186" s="620">
        <v>9</v>
      </c>
      <c r="L186" s="611">
        <f t="shared" si="38"/>
        <v>27</v>
      </c>
      <c r="M186" s="621"/>
      <c r="N186" s="621"/>
      <c r="O186" s="621"/>
      <c r="P186" s="622">
        <f t="shared" si="39"/>
        <v>6.5</v>
      </c>
      <c r="Q186" s="609">
        <f t="shared" si="51"/>
        <v>23.5</v>
      </c>
      <c r="R186" s="620">
        <v>8.5</v>
      </c>
      <c r="S186" s="620">
        <v>5</v>
      </c>
      <c r="T186" s="620">
        <v>7</v>
      </c>
      <c r="U186" s="611">
        <f t="shared" si="40"/>
        <v>20.5</v>
      </c>
      <c r="V186" s="621"/>
      <c r="W186" s="621"/>
      <c r="X186" s="621"/>
      <c r="Y186" s="622">
        <f t="shared" si="41"/>
        <v>-3</v>
      </c>
      <c r="Z186" s="609">
        <f t="shared" si="52"/>
        <v>23.5</v>
      </c>
      <c r="AA186" s="620">
        <v>9</v>
      </c>
      <c r="AB186" s="620">
        <v>10.4</v>
      </c>
      <c r="AC186" s="620">
        <v>5.5</v>
      </c>
      <c r="AD186" s="611">
        <f t="shared" si="42"/>
        <v>24.9</v>
      </c>
      <c r="AE186" s="621"/>
      <c r="AF186" s="621"/>
      <c r="AG186" s="621"/>
      <c r="AH186" s="622">
        <f t="shared" si="43"/>
        <v>1.3999999999999986</v>
      </c>
      <c r="AI186" s="609">
        <f t="shared" si="53"/>
        <v>44.400000000000006</v>
      </c>
      <c r="AJ186" s="620">
        <v>8</v>
      </c>
      <c r="AK186" s="620">
        <v>7</v>
      </c>
      <c r="AL186" s="620">
        <v>8.5</v>
      </c>
      <c r="AM186" s="623">
        <f t="shared" si="44"/>
        <v>23.5</v>
      </c>
      <c r="AN186" s="621"/>
      <c r="AO186" s="621"/>
      <c r="AP186" s="621"/>
      <c r="AQ186" s="622">
        <f t="shared" si="45"/>
        <v>-20.900000000000006</v>
      </c>
      <c r="AR186" s="615">
        <f t="shared" si="54"/>
        <v>0</v>
      </c>
      <c r="AS186" s="620">
        <v>21</v>
      </c>
      <c r="AT186" s="620">
        <v>14.2</v>
      </c>
      <c r="AU186" s="620">
        <v>9.1999999999999993</v>
      </c>
      <c r="AV186" s="623">
        <f t="shared" si="46"/>
        <v>44.400000000000006</v>
      </c>
      <c r="AW186" s="621"/>
      <c r="AX186" s="621"/>
      <c r="AY186" s="621"/>
      <c r="AZ186" s="624">
        <f t="shared" si="47"/>
        <v>44.400000000000006</v>
      </c>
      <c r="BA186" s="623"/>
      <c r="BB186" s="620"/>
      <c r="BC186" s="620"/>
      <c r="BD186" s="623">
        <f t="shared" si="48"/>
        <v>0</v>
      </c>
      <c r="BE186" s="621"/>
      <c r="BF186" s="621"/>
      <c r="BG186" s="621"/>
      <c r="BH186" s="621">
        <f t="shared" si="49"/>
        <v>0</v>
      </c>
    </row>
    <row r="187" spans="1:60" ht="17.25" thickTop="1" thickBot="1" x14ac:dyDescent="0.3">
      <c r="A187" s="77">
        <v>180</v>
      </c>
      <c r="B187" s="603">
        <f t="shared" ca="1" si="37"/>
        <v>43134</v>
      </c>
      <c r="C187" s="29" t="s">
        <v>2404</v>
      </c>
      <c r="D187" s="59" t="s">
        <v>1456</v>
      </c>
      <c r="E187" s="22" t="s">
        <v>718</v>
      </c>
      <c r="F187" s="295" t="s">
        <v>719</v>
      </c>
      <c r="G187" s="567">
        <v>42584</v>
      </c>
      <c r="H187" s="609">
        <f t="shared" si="50"/>
        <v>30.5</v>
      </c>
      <c r="I187" s="620">
        <v>16</v>
      </c>
      <c r="J187" s="620">
        <v>12</v>
      </c>
      <c r="K187" s="620">
        <v>13</v>
      </c>
      <c r="L187" s="611">
        <f t="shared" si="38"/>
        <v>41</v>
      </c>
      <c r="M187" s="621"/>
      <c r="N187" s="621"/>
      <c r="O187" s="621"/>
      <c r="P187" s="622">
        <f t="shared" si="39"/>
        <v>10.5</v>
      </c>
      <c r="Q187" s="609">
        <f t="shared" si="51"/>
        <v>32.9</v>
      </c>
      <c r="R187" s="620">
        <v>12</v>
      </c>
      <c r="S187" s="620">
        <v>10.5</v>
      </c>
      <c r="T187" s="620">
        <v>8</v>
      </c>
      <c r="U187" s="611">
        <f t="shared" si="40"/>
        <v>30.5</v>
      </c>
      <c r="V187" s="621"/>
      <c r="W187" s="621"/>
      <c r="X187" s="621"/>
      <c r="Y187" s="622">
        <f t="shared" si="41"/>
        <v>-2.3999999999999986</v>
      </c>
      <c r="Z187" s="609">
        <f t="shared" si="52"/>
        <v>32.9</v>
      </c>
      <c r="AA187" s="620">
        <v>14.3</v>
      </c>
      <c r="AB187" s="620">
        <v>13</v>
      </c>
      <c r="AC187" s="620">
        <v>11.8</v>
      </c>
      <c r="AD187" s="611">
        <f t="shared" si="42"/>
        <v>39.1</v>
      </c>
      <c r="AE187" s="621"/>
      <c r="AF187" s="621"/>
      <c r="AG187" s="621"/>
      <c r="AH187" s="622">
        <f t="shared" si="43"/>
        <v>6.2000000000000028</v>
      </c>
      <c r="AI187" s="609">
        <f t="shared" si="53"/>
        <v>33</v>
      </c>
      <c r="AJ187" s="620">
        <v>9.1999999999999993</v>
      </c>
      <c r="AK187" s="620">
        <v>11.5</v>
      </c>
      <c r="AL187" s="620">
        <v>12.2</v>
      </c>
      <c r="AM187" s="623">
        <f t="shared" si="44"/>
        <v>32.9</v>
      </c>
      <c r="AN187" s="621"/>
      <c r="AO187" s="621"/>
      <c r="AP187" s="621"/>
      <c r="AQ187" s="622">
        <f t="shared" si="45"/>
        <v>-0.10000000000000142</v>
      </c>
      <c r="AR187" s="615">
        <f t="shared" si="54"/>
        <v>20</v>
      </c>
      <c r="AS187" s="620">
        <v>17</v>
      </c>
      <c r="AT187" s="620">
        <v>10</v>
      </c>
      <c r="AU187" s="620">
        <v>6</v>
      </c>
      <c r="AV187" s="623">
        <f t="shared" si="46"/>
        <v>33</v>
      </c>
      <c r="AW187" s="621"/>
      <c r="AX187" s="621"/>
      <c r="AY187" s="621"/>
      <c r="AZ187" s="624">
        <f t="shared" si="47"/>
        <v>13</v>
      </c>
      <c r="BA187" s="623">
        <v>20</v>
      </c>
      <c r="BB187" s="620"/>
      <c r="BC187" s="620"/>
      <c r="BD187" s="623">
        <f t="shared" si="48"/>
        <v>0</v>
      </c>
      <c r="BE187" s="621"/>
      <c r="BF187" s="621"/>
      <c r="BG187" s="621"/>
      <c r="BH187" s="621">
        <f t="shared" si="49"/>
        <v>20</v>
      </c>
    </row>
    <row r="188" spans="1:60" ht="17.25" thickTop="1" thickBot="1" x14ac:dyDescent="0.3">
      <c r="A188" s="602">
        <v>181</v>
      </c>
      <c r="B188" s="603">
        <f t="shared" ca="1" si="37"/>
        <v>43134</v>
      </c>
      <c r="C188" s="29" t="s">
        <v>613</v>
      </c>
      <c r="D188" s="59" t="s">
        <v>2181</v>
      </c>
      <c r="E188" s="22" t="s">
        <v>354</v>
      </c>
      <c r="F188" s="295" t="s">
        <v>389</v>
      </c>
      <c r="G188" s="567">
        <v>42599</v>
      </c>
      <c r="H188" s="609">
        <f t="shared" si="50"/>
        <v>19.100000000000001</v>
      </c>
      <c r="I188" s="620">
        <v>9</v>
      </c>
      <c r="J188" s="620">
        <v>6</v>
      </c>
      <c r="K188" s="620">
        <v>7</v>
      </c>
      <c r="L188" s="611">
        <f t="shared" si="38"/>
        <v>22</v>
      </c>
      <c r="M188" s="621"/>
      <c r="N188" s="621"/>
      <c r="O188" s="621"/>
      <c r="P188" s="622">
        <f t="shared" si="39"/>
        <v>2.8999999999999986</v>
      </c>
      <c r="Q188" s="609">
        <f t="shared" si="51"/>
        <v>30.5</v>
      </c>
      <c r="R188" s="620">
        <v>8.6</v>
      </c>
      <c r="S188" s="620">
        <v>4.5</v>
      </c>
      <c r="T188" s="620">
        <v>6</v>
      </c>
      <c r="U188" s="611">
        <f t="shared" si="40"/>
        <v>19.100000000000001</v>
      </c>
      <c r="V188" s="621"/>
      <c r="W188" s="621"/>
      <c r="X188" s="621"/>
      <c r="Y188" s="622">
        <f t="shared" si="41"/>
        <v>-11.399999999999999</v>
      </c>
      <c r="Z188" s="609">
        <f t="shared" si="52"/>
        <v>30.5</v>
      </c>
      <c r="AA188" s="620">
        <v>7.5</v>
      </c>
      <c r="AB188" s="620">
        <v>7.9</v>
      </c>
      <c r="AC188" s="620">
        <v>10.5</v>
      </c>
      <c r="AD188" s="611">
        <f t="shared" si="42"/>
        <v>25.9</v>
      </c>
      <c r="AE188" s="621"/>
      <c r="AF188" s="621"/>
      <c r="AG188" s="621"/>
      <c r="AH188" s="622">
        <f t="shared" si="43"/>
        <v>-4.6000000000000014</v>
      </c>
      <c r="AI188" s="609">
        <f t="shared" si="53"/>
        <v>0</v>
      </c>
      <c r="AJ188" s="620">
        <v>10.5</v>
      </c>
      <c r="AK188" s="620">
        <v>10</v>
      </c>
      <c r="AL188" s="620">
        <v>10</v>
      </c>
      <c r="AM188" s="623">
        <f t="shared" si="44"/>
        <v>30.5</v>
      </c>
      <c r="AN188" s="621"/>
      <c r="AO188" s="621"/>
      <c r="AP188" s="621"/>
      <c r="AQ188" s="622">
        <f t="shared" si="45"/>
        <v>30.5</v>
      </c>
      <c r="AR188" s="615">
        <f t="shared" si="54"/>
        <v>17</v>
      </c>
      <c r="AS188" s="620"/>
      <c r="AT188" s="620"/>
      <c r="AU188" s="620"/>
      <c r="AV188" s="623">
        <f t="shared" si="46"/>
        <v>0</v>
      </c>
      <c r="AW188" s="621"/>
      <c r="AX188" s="621"/>
      <c r="AY188" s="621"/>
      <c r="AZ188" s="624">
        <f t="shared" si="47"/>
        <v>-17</v>
      </c>
      <c r="BA188" s="623">
        <v>17</v>
      </c>
      <c r="BB188" s="620">
        <v>7</v>
      </c>
      <c r="BC188" s="620">
        <v>7.1</v>
      </c>
      <c r="BD188" s="623">
        <f t="shared" si="48"/>
        <v>14.1</v>
      </c>
      <c r="BE188" s="621"/>
      <c r="BF188" s="621"/>
      <c r="BG188" s="621"/>
      <c r="BH188" s="621">
        <f t="shared" si="49"/>
        <v>2.9000000000000004</v>
      </c>
    </row>
    <row r="189" spans="1:60" ht="17.25" thickTop="1" thickBot="1" x14ac:dyDescent="0.3">
      <c r="A189" s="77">
        <v>182</v>
      </c>
      <c r="B189" s="603">
        <f t="shared" ca="1" si="37"/>
        <v>43134</v>
      </c>
      <c r="C189" s="29" t="s">
        <v>613</v>
      </c>
      <c r="D189" s="59" t="s">
        <v>2181</v>
      </c>
      <c r="E189" s="22" t="s">
        <v>738</v>
      </c>
      <c r="F189" s="295" t="s">
        <v>739</v>
      </c>
      <c r="G189" s="567">
        <v>42547</v>
      </c>
      <c r="H189" s="609">
        <f t="shared" si="50"/>
        <v>27</v>
      </c>
      <c r="I189" s="620">
        <v>10.4</v>
      </c>
      <c r="J189" s="620">
        <v>12</v>
      </c>
      <c r="K189" s="620">
        <v>11</v>
      </c>
      <c r="L189" s="611">
        <f t="shared" si="38"/>
        <v>33.4</v>
      </c>
      <c r="M189" s="621"/>
      <c r="N189" s="621"/>
      <c r="O189" s="621"/>
      <c r="P189" s="622">
        <f t="shared" si="39"/>
        <v>6.3999999999999986</v>
      </c>
      <c r="Q189" s="609">
        <f t="shared" si="51"/>
        <v>32.799999999999997</v>
      </c>
      <c r="R189" s="620">
        <v>8</v>
      </c>
      <c r="S189" s="620">
        <v>9</v>
      </c>
      <c r="T189" s="620">
        <v>10</v>
      </c>
      <c r="U189" s="611">
        <f t="shared" si="40"/>
        <v>27</v>
      </c>
      <c r="V189" s="621"/>
      <c r="W189" s="621"/>
      <c r="X189" s="621"/>
      <c r="Y189" s="622">
        <f t="shared" si="41"/>
        <v>-5.7999999999999972</v>
      </c>
      <c r="Z189" s="609">
        <f t="shared" si="52"/>
        <v>32.799999999999997</v>
      </c>
      <c r="AA189" s="620">
        <v>10.199999999999999</v>
      </c>
      <c r="AB189" s="620">
        <v>9.5</v>
      </c>
      <c r="AC189" s="620">
        <v>7</v>
      </c>
      <c r="AD189" s="611">
        <f t="shared" si="42"/>
        <v>26.7</v>
      </c>
      <c r="AE189" s="621"/>
      <c r="AF189" s="621"/>
      <c r="AG189" s="621"/>
      <c r="AH189" s="622">
        <f t="shared" si="43"/>
        <v>-6.0999999999999979</v>
      </c>
      <c r="AI189" s="609">
        <f t="shared" si="53"/>
        <v>0</v>
      </c>
      <c r="AJ189" s="620">
        <v>15.3</v>
      </c>
      <c r="AK189" s="620">
        <v>9.1</v>
      </c>
      <c r="AL189" s="620">
        <v>8.4</v>
      </c>
      <c r="AM189" s="623">
        <f t="shared" si="44"/>
        <v>32.799999999999997</v>
      </c>
      <c r="AN189" s="621"/>
      <c r="AO189" s="621"/>
      <c r="AP189" s="621"/>
      <c r="AQ189" s="622">
        <f t="shared" si="45"/>
        <v>32.799999999999997</v>
      </c>
      <c r="AR189" s="615">
        <f t="shared" si="54"/>
        <v>9</v>
      </c>
      <c r="AS189" s="620"/>
      <c r="AT189" s="620"/>
      <c r="AU189" s="620"/>
      <c r="AV189" s="623">
        <f t="shared" si="46"/>
        <v>0</v>
      </c>
      <c r="AW189" s="621"/>
      <c r="AX189" s="621"/>
      <c r="AY189" s="621"/>
      <c r="AZ189" s="624">
        <f t="shared" si="47"/>
        <v>-9</v>
      </c>
      <c r="BA189" s="623">
        <v>9</v>
      </c>
      <c r="BB189" s="620">
        <v>3</v>
      </c>
      <c r="BC189" s="620">
        <v>2</v>
      </c>
      <c r="BD189" s="623">
        <f t="shared" si="48"/>
        <v>5</v>
      </c>
      <c r="BE189" s="621"/>
      <c r="BF189" s="621"/>
      <c r="BG189" s="621"/>
      <c r="BH189" s="621">
        <f t="shared" si="49"/>
        <v>4</v>
      </c>
    </row>
    <row r="190" spans="1:60" ht="17.25" thickTop="1" thickBot="1" x14ac:dyDescent="0.3">
      <c r="A190" s="602">
        <v>183</v>
      </c>
      <c r="B190" s="603">
        <f t="shared" ca="1" si="37"/>
        <v>43134</v>
      </c>
      <c r="C190" s="29" t="s">
        <v>613</v>
      </c>
      <c r="D190" s="59" t="s">
        <v>2181</v>
      </c>
      <c r="E190" s="22" t="s">
        <v>876</v>
      </c>
      <c r="F190" s="27" t="s">
        <v>877</v>
      </c>
      <c r="G190" s="567">
        <v>42622</v>
      </c>
      <c r="H190" s="609">
        <f t="shared" si="50"/>
        <v>27.8</v>
      </c>
      <c r="I190" s="620">
        <v>9</v>
      </c>
      <c r="J190" s="620">
        <v>8.1999999999999993</v>
      </c>
      <c r="K190" s="620">
        <v>10</v>
      </c>
      <c r="L190" s="611">
        <f t="shared" si="38"/>
        <v>27.2</v>
      </c>
      <c r="M190" s="621"/>
      <c r="N190" s="621"/>
      <c r="O190" s="621"/>
      <c r="P190" s="622">
        <f t="shared" si="39"/>
        <v>-0.60000000000000142</v>
      </c>
      <c r="Q190" s="609">
        <f t="shared" si="51"/>
        <v>0</v>
      </c>
      <c r="R190" s="620">
        <v>10</v>
      </c>
      <c r="S190" s="620">
        <v>8.8000000000000007</v>
      </c>
      <c r="T190" s="620">
        <v>9</v>
      </c>
      <c r="U190" s="611">
        <f t="shared" si="40"/>
        <v>27.8</v>
      </c>
      <c r="V190" s="621"/>
      <c r="W190" s="621"/>
      <c r="X190" s="621"/>
      <c r="Y190" s="622">
        <f t="shared" si="41"/>
        <v>27.8</v>
      </c>
      <c r="Z190" s="609">
        <f t="shared" si="52"/>
        <v>0</v>
      </c>
      <c r="AA190" s="620">
        <v>11</v>
      </c>
      <c r="AB190" s="620">
        <v>10.4</v>
      </c>
      <c r="AC190" s="620">
        <v>10</v>
      </c>
      <c r="AD190" s="611">
        <f t="shared" si="42"/>
        <v>31.4</v>
      </c>
      <c r="AE190" s="621"/>
      <c r="AF190" s="621"/>
      <c r="AG190" s="621"/>
      <c r="AH190" s="622">
        <f t="shared" si="43"/>
        <v>31.4</v>
      </c>
      <c r="AI190" s="609">
        <f t="shared" si="53"/>
        <v>0</v>
      </c>
      <c r="AJ190" s="620"/>
      <c r="AK190" s="620"/>
      <c r="AL190" s="620"/>
      <c r="AM190" s="623">
        <f t="shared" si="44"/>
        <v>0</v>
      </c>
      <c r="AN190" s="621"/>
      <c r="AO190" s="621"/>
      <c r="AP190" s="621"/>
      <c r="AQ190" s="622">
        <f t="shared" si="45"/>
        <v>0</v>
      </c>
      <c r="AR190" s="615">
        <f t="shared" si="54"/>
        <v>18.5</v>
      </c>
      <c r="AS190" s="620"/>
      <c r="AT190" s="620"/>
      <c r="AU190" s="620"/>
      <c r="AV190" s="623">
        <f t="shared" si="46"/>
        <v>0</v>
      </c>
      <c r="AW190" s="621"/>
      <c r="AX190" s="621"/>
      <c r="AY190" s="621"/>
      <c r="AZ190" s="624">
        <f t="shared" si="47"/>
        <v>-18.5</v>
      </c>
      <c r="BA190" s="623">
        <v>18.5</v>
      </c>
      <c r="BB190" s="620">
        <v>9</v>
      </c>
      <c r="BC190" s="620">
        <v>9.1</v>
      </c>
      <c r="BD190" s="623">
        <f t="shared" si="48"/>
        <v>18.100000000000001</v>
      </c>
      <c r="BE190" s="621"/>
      <c r="BF190" s="621"/>
      <c r="BG190" s="621"/>
      <c r="BH190" s="621">
        <f t="shared" si="49"/>
        <v>0.39999999999999858</v>
      </c>
    </row>
    <row r="191" spans="1:60" ht="17.25" thickTop="1" thickBot="1" x14ac:dyDescent="0.3">
      <c r="A191" s="77">
        <v>184</v>
      </c>
      <c r="B191" s="603">
        <f t="shared" ca="1" si="37"/>
        <v>43134</v>
      </c>
      <c r="C191" s="29" t="s">
        <v>613</v>
      </c>
      <c r="D191" s="59" t="s">
        <v>2181</v>
      </c>
      <c r="E191" s="22" t="s">
        <v>885</v>
      </c>
      <c r="F191" s="295" t="s">
        <v>886</v>
      </c>
      <c r="G191" s="567">
        <v>42541</v>
      </c>
      <c r="H191" s="609">
        <f t="shared" si="50"/>
        <v>25</v>
      </c>
      <c r="I191" s="620">
        <v>12</v>
      </c>
      <c r="J191" s="620">
        <v>10</v>
      </c>
      <c r="K191" s="620">
        <v>12</v>
      </c>
      <c r="L191" s="611">
        <f t="shared" si="38"/>
        <v>34</v>
      </c>
      <c r="M191" s="621"/>
      <c r="N191" s="621"/>
      <c r="O191" s="621"/>
      <c r="P191" s="622">
        <f t="shared" si="39"/>
        <v>9</v>
      </c>
      <c r="Q191" s="609">
        <f t="shared" si="51"/>
        <v>0</v>
      </c>
      <c r="R191" s="620">
        <v>8</v>
      </c>
      <c r="S191" s="620">
        <v>8</v>
      </c>
      <c r="T191" s="620">
        <v>9</v>
      </c>
      <c r="U191" s="611">
        <f t="shared" si="40"/>
        <v>25</v>
      </c>
      <c r="V191" s="621"/>
      <c r="W191" s="621"/>
      <c r="X191" s="621"/>
      <c r="Y191" s="622">
        <f t="shared" si="41"/>
        <v>25</v>
      </c>
      <c r="Z191" s="609">
        <f t="shared" si="52"/>
        <v>0</v>
      </c>
      <c r="AA191" s="620">
        <v>7.9</v>
      </c>
      <c r="AB191" s="620">
        <v>10.6</v>
      </c>
      <c r="AC191" s="620">
        <v>8</v>
      </c>
      <c r="AD191" s="611">
        <f t="shared" si="42"/>
        <v>26.5</v>
      </c>
      <c r="AE191" s="621"/>
      <c r="AF191" s="621"/>
      <c r="AG191" s="621"/>
      <c r="AH191" s="622">
        <f t="shared" si="43"/>
        <v>26.5</v>
      </c>
      <c r="AI191" s="609">
        <f t="shared" si="53"/>
        <v>0</v>
      </c>
      <c r="AJ191" s="620"/>
      <c r="AK191" s="620"/>
      <c r="AL191" s="620"/>
      <c r="AM191" s="623">
        <f t="shared" si="44"/>
        <v>0</v>
      </c>
      <c r="AN191" s="621"/>
      <c r="AO191" s="621"/>
      <c r="AP191" s="621"/>
      <c r="AQ191" s="622">
        <f t="shared" si="45"/>
        <v>0</v>
      </c>
      <c r="AR191" s="615">
        <f t="shared" si="54"/>
        <v>12.5</v>
      </c>
      <c r="AS191" s="620"/>
      <c r="AT191" s="620"/>
      <c r="AU191" s="620"/>
      <c r="AV191" s="623">
        <f t="shared" si="46"/>
        <v>0</v>
      </c>
      <c r="AW191" s="621"/>
      <c r="AX191" s="621"/>
      <c r="AY191" s="621"/>
      <c r="AZ191" s="624">
        <f t="shared" si="47"/>
        <v>-12.5</v>
      </c>
      <c r="BA191" s="623">
        <v>12.5</v>
      </c>
      <c r="BB191" s="620">
        <v>5.8</v>
      </c>
      <c r="BC191" s="620">
        <v>4</v>
      </c>
      <c r="BD191" s="623">
        <f t="shared" si="48"/>
        <v>9.8000000000000007</v>
      </c>
      <c r="BE191" s="621"/>
      <c r="BF191" s="621"/>
      <c r="BG191" s="621"/>
      <c r="BH191" s="621">
        <f t="shared" si="49"/>
        <v>2.6999999999999993</v>
      </c>
    </row>
    <row r="192" spans="1:60" ht="17.25" thickTop="1" thickBot="1" x14ac:dyDescent="0.3">
      <c r="A192" s="602">
        <v>185</v>
      </c>
      <c r="B192" s="603">
        <f t="shared" ca="1" si="37"/>
        <v>43134</v>
      </c>
      <c r="C192" s="29" t="s">
        <v>613</v>
      </c>
      <c r="D192" s="59" t="s">
        <v>2181</v>
      </c>
      <c r="E192" s="22" t="s">
        <v>894</v>
      </c>
      <c r="F192" s="295" t="s">
        <v>895</v>
      </c>
      <c r="G192" s="567">
        <v>42606</v>
      </c>
      <c r="H192" s="609">
        <f t="shared" si="50"/>
        <v>26</v>
      </c>
      <c r="I192" s="620">
        <v>14</v>
      </c>
      <c r="J192" s="620">
        <v>11</v>
      </c>
      <c r="K192" s="620">
        <v>12</v>
      </c>
      <c r="L192" s="611">
        <f t="shared" si="38"/>
        <v>37</v>
      </c>
      <c r="M192" s="621"/>
      <c r="N192" s="621"/>
      <c r="O192" s="621"/>
      <c r="P192" s="622">
        <f t="shared" si="39"/>
        <v>11</v>
      </c>
      <c r="Q192" s="609">
        <f t="shared" si="51"/>
        <v>16.600000000000001</v>
      </c>
      <c r="R192" s="620">
        <v>10</v>
      </c>
      <c r="S192" s="620">
        <v>9</v>
      </c>
      <c r="T192" s="620">
        <v>7</v>
      </c>
      <c r="U192" s="611">
        <f t="shared" si="40"/>
        <v>26</v>
      </c>
      <c r="V192" s="621"/>
      <c r="W192" s="621"/>
      <c r="X192" s="621"/>
      <c r="Y192" s="622">
        <f t="shared" si="41"/>
        <v>9.3999999999999986</v>
      </c>
      <c r="Z192" s="609">
        <f t="shared" si="52"/>
        <v>16.600000000000001</v>
      </c>
      <c r="AA192" s="620">
        <v>11.2</v>
      </c>
      <c r="AB192" s="620">
        <v>7</v>
      </c>
      <c r="AC192" s="620">
        <v>5.2</v>
      </c>
      <c r="AD192" s="611">
        <f t="shared" si="42"/>
        <v>23.4</v>
      </c>
      <c r="AE192" s="621"/>
      <c r="AF192" s="621"/>
      <c r="AG192" s="621"/>
      <c r="AH192" s="622">
        <f t="shared" si="43"/>
        <v>6.7999999999999972</v>
      </c>
      <c r="AI192" s="609">
        <f t="shared" si="53"/>
        <v>0</v>
      </c>
      <c r="AJ192" s="620">
        <v>5.5</v>
      </c>
      <c r="AK192" s="620">
        <v>5</v>
      </c>
      <c r="AL192" s="620">
        <v>6.1</v>
      </c>
      <c r="AM192" s="623">
        <f t="shared" si="44"/>
        <v>16.600000000000001</v>
      </c>
      <c r="AN192" s="621"/>
      <c r="AO192" s="621"/>
      <c r="AP192" s="621"/>
      <c r="AQ192" s="622">
        <f t="shared" si="45"/>
        <v>16.600000000000001</v>
      </c>
      <c r="AR192" s="615">
        <f t="shared" si="54"/>
        <v>13.5</v>
      </c>
      <c r="AS192" s="620"/>
      <c r="AT192" s="620"/>
      <c r="AU192" s="620"/>
      <c r="AV192" s="623">
        <f t="shared" si="46"/>
        <v>0</v>
      </c>
      <c r="AW192" s="621"/>
      <c r="AX192" s="621"/>
      <c r="AY192" s="621"/>
      <c r="AZ192" s="624">
        <f t="shared" si="47"/>
        <v>-13.5</v>
      </c>
      <c r="BA192" s="623">
        <v>13.5</v>
      </c>
      <c r="BB192" s="620">
        <v>7.2</v>
      </c>
      <c r="BC192" s="620">
        <v>9</v>
      </c>
      <c r="BD192" s="623">
        <f t="shared" si="48"/>
        <v>16.2</v>
      </c>
      <c r="BE192" s="621"/>
      <c r="BF192" s="621"/>
      <c r="BG192" s="621"/>
      <c r="BH192" s="621">
        <f t="shared" si="49"/>
        <v>-2.6999999999999993</v>
      </c>
    </row>
    <row r="193" spans="1:60" ht="17.25" thickTop="1" thickBot="1" x14ac:dyDescent="0.3">
      <c r="A193" s="77">
        <v>186</v>
      </c>
      <c r="B193" s="603">
        <f t="shared" ca="1" si="37"/>
        <v>43134</v>
      </c>
      <c r="C193" s="29" t="s">
        <v>613</v>
      </c>
      <c r="D193" s="59" t="s">
        <v>2181</v>
      </c>
      <c r="E193" s="22" t="s">
        <v>423</v>
      </c>
      <c r="F193" s="295" t="s">
        <v>424</v>
      </c>
      <c r="G193" s="567">
        <v>42627</v>
      </c>
      <c r="H193" s="609">
        <f t="shared" si="50"/>
        <v>15</v>
      </c>
      <c r="I193" s="620">
        <v>8</v>
      </c>
      <c r="J193" s="620">
        <v>8</v>
      </c>
      <c r="K193" s="620">
        <v>9</v>
      </c>
      <c r="L193" s="611">
        <f t="shared" si="38"/>
        <v>25</v>
      </c>
      <c r="M193" s="621"/>
      <c r="N193" s="621"/>
      <c r="O193" s="621"/>
      <c r="P193" s="622">
        <f t="shared" si="39"/>
        <v>10</v>
      </c>
      <c r="Q193" s="609">
        <f t="shared" si="51"/>
        <v>0</v>
      </c>
      <c r="R193" s="620">
        <v>5.5</v>
      </c>
      <c r="S193" s="620">
        <v>4.5</v>
      </c>
      <c r="T193" s="620">
        <v>5</v>
      </c>
      <c r="U193" s="611">
        <f t="shared" si="40"/>
        <v>15</v>
      </c>
      <c r="V193" s="621"/>
      <c r="W193" s="621"/>
      <c r="X193" s="621"/>
      <c r="Y193" s="622">
        <f t="shared" si="41"/>
        <v>15</v>
      </c>
      <c r="Z193" s="609">
        <f t="shared" si="52"/>
        <v>0</v>
      </c>
      <c r="AA193" s="620">
        <v>8.3000000000000007</v>
      </c>
      <c r="AB193" s="620">
        <v>10.4</v>
      </c>
      <c r="AC193" s="620">
        <v>5</v>
      </c>
      <c r="AD193" s="611">
        <f t="shared" si="42"/>
        <v>23.700000000000003</v>
      </c>
      <c r="AE193" s="621"/>
      <c r="AF193" s="621"/>
      <c r="AG193" s="621"/>
      <c r="AH193" s="622">
        <f t="shared" si="43"/>
        <v>23.700000000000003</v>
      </c>
      <c r="AI193" s="609">
        <f t="shared" si="53"/>
        <v>0</v>
      </c>
      <c r="AJ193" s="620"/>
      <c r="AK193" s="620"/>
      <c r="AL193" s="620"/>
      <c r="AM193" s="623">
        <f t="shared" si="44"/>
        <v>0</v>
      </c>
      <c r="AN193" s="621"/>
      <c r="AO193" s="621"/>
      <c r="AP193" s="621"/>
      <c r="AQ193" s="622">
        <f t="shared" si="45"/>
        <v>0</v>
      </c>
      <c r="AR193" s="615">
        <f t="shared" si="54"/>
        <v>17</v>
      </c>
      <c r="AS193" s="620"/>
      <c r="AT193" s="620"/>
      <c r="AU193" s="620"/>
      <c r="AV193" s="623">
        <f t="shared" si="46"/>
        <v>0</v>
      </c>
      <c r="AW193" s="621"/>
      <c r="AX193" s="621"/>
      <c r="AY193" s="621"/>
      <c r="AZ193" s="624">
        <f t="shared" si="47"/>
        <v>-17</v>
      </c>
      <c r="BA193" s="623">
        <v>17</v>
      </c>
      <c r="BB193" s="620">
        <v>9</v>
      </c>
      <c r="BC193" s="620">
        <v>10.9</v>
      </c>
      <c r="BD193" s="623">
        <f t="shared" si="48"/>
        <v>19.899999999999999</v>
      </c>
      <c r="BE193" s="621"/>
      <c r="BF193" s="621"/>
      <c r="BG193" s="621"/>
      <c r="BH193" s="621">
        <f t="shared" si="49"/>
        <v>-2.8999999999999986</v>
      </c>
    </row>
    <row r="194" spans="1:60" ht="17.25" thickTop="1" thickBot="1" x14ac:dyDescent="0.3">
      <c r="A194" s="602">
        <v>187</v>
      </c>
      <c r="B194" s="603">
        <f t="shared" ca="1" si="37"/>
        <v>43134</v>
      </c>
      <c r="C194" s="29" t="s">
        <v>613</v>
      </c>
      <c r="D194" s="59" t="s">
        <v>2181</v>
      </c>
      <c r="E194" s="22" t="s">
        <v>1282</v>
      </c>
      <c r="F194" s="295" t="s">
        <v>1157</v>
      </c>
      <c r="G194" s="567">
        <v>42592</v>
      </c>
      <c r="H194" s="609">
        <f t="shared" si="50"/>
        <v>16.5</v>
      </c>
      <c r="I194" s="620">
        <v>6</v>
      </c>
      <c r="J194" s="620">
        <v>6</v>
      </c>
      <c r="K194" s="620">
        <v>7</v>
      </c>
      <c r="L194" s="611">
        <f t="shared" si="38"/>
        <v>19</v>
      </c>
      <c r="M194" s="621"/>
      <c r="N194" s="621"/>
      <c r="O194" s="621"/>
      <c r="P194" s="622">
        <f t="shared" si="39"/>
        <v>2.5</v>
      </c>
      <c r="Q194" s="609">
        <f t="shared" si="51"/>
        <v>34.4</v>
      </c>
      <c r="R194" s="620">
        <v>7</v>
      </c>
      <c r="S194" s="620">
        <v>4.5</v>
      </c>
      <c r="T194" s="620">
        <v>5</v>
      </c>
      <c r="U194" s="611">
        <f t="shared" si="40"/>
        <v>16.5</v>
      </c>
      <c r="V194" s="621"/>
      <c r="W194" s="621"/>
      <c r="X194" s="621"/>
      <c r="Y194" s="622">
        <f t="shared" si="41"/>
        <v>-17.899999999999999</v>
      </c>
      <c r="Z194" s="609">
        <f t="shared" si="52"/>
        <v>34.4</v>
      </c>
      <c r="AA194" s="620">
        <v>9</v>
      </c>
      <c r="AB194" s="620">
        <v>8.1</v>
      </c>
      <c r="AC194" s="620">
        <v>7</v>
      </c>
      <c r="AD194" s="611">
        <f t="shared" si="42"/>
        <v>24.1</v>
      </c>
      <c r="AE194" s="621"/>
      <c r="AF194" s="621"/>
      <c r="AG194" s="621"/>
      <c r="AH194" s="622">
        <f t="shared" si="43"/>
        <v>-10.299999999999997</v>
      </c>
      <c r="AI194" s="609">
        <f t="shared" si="53"/>
        <v>0</v>
      </c>
      <c r="AJ194" s="620">
        <v>11.7</v>
      </c>
      <c r="AK194" s="620">
        <v>10.8</v>
      </c>
      <c r="AL194" s="620">
        <v>11.9</v>
      </c>
      <c r="AM194" s="623">
        <f t="shared" si="44"/>
        <v>34.4</v>
      </c>
      <c r="AN194" s="621"/>
      <c r="AO194" s="621"/>
      <c r="AP194" s="621"/>
      <c r="AQ194" s="622">
        <f t="shared" si="45"/>
        <v>34.4</v>
      </c>
      <c r="AR194" s="615">
        <f t="shared" si="54"/>
        <v>18</v>
      </c>
      <c r="AS194" s="620"/>
      <c r="AT194" s="620"/>
      <c r="AU194" s="620"/>
      <c r="AV194" s="623">
        <f t="shared" si="46"/>
        <v>0</v>
      </c>
      <c r="AW194" s="621"/>
      <c r="AX194" s="621"/>
      <c r="AY194" s="621"/>
      <c r="AZ194" s="624">
        <f t="shared" si="47"/>
        <v>-18</v>
      </c>
      <c r="BA194" s="623">
        <v>18</v>
      </c>
      <c r="BB194" s="620">
        <v>13.2</v>
      </c>
      <c r="BC194" s="620">
        <v>6.5</v>
      </c>
      <c r="BD194" s="623">
        <f t="shared" si="48"/>
        <v>19.7</v>
      </c>
      <c r="BE194" s="621"/>
      <c r="BF194" s="621"/>
      <c r="BG194" s="621"/>
      <c r="BH194" s="621">
        <f t="shared" si="49"/>
        <v>-1.6999999999999993</v>
      </c>
    </row>
    <row r="195" spans="1:60" ht="17.25" thickTop="1" thickBot="1" x14ac:dyDescent="0.3">
      <c r="A195" s="77">
        <v>188</v>
      </c>
      <c r="B195" s="603">
        <f t="shared" ca="1" si="37"/>
        <v>43134</v>
      </c>
      <c r="C195" s="29" t="s">
        <v>613</v>
      </c>
      <c r="D195" s="59" t="s">
        <v>2181</v>
      </c>
      <c r="E195" s="22" t="s">
        <v>165</v>
      </c>
      <c r="F195" s="295" t="s">
        <v>166</v>
      </c>
      <c r="G195" s="567">
        <v>42585</v>
      </c>
      <c r="H195" s="609">
        <f t="shared" si="50"/>
        <v>25.5</v>
      </c>
      <c r="I195" s="620">
        <v>21</v>
      </c>
      <c r="J195" s="620">
        <v>16</v>
      </c>
      <c r="K195" s="620">
        <v>12</v>
      </c>
      <c r="L195" s="611">
        <f t="shared" si="38"/>
        <v>49</v>
      </c>
      <c r="M195" s="621"/>
      <c r="N195" s="621"/>
      <c r="O195" s="621"/>
      <c r="P195" s="622">
        <f t="shared" si="39"/>
        <v>23.5</v>
      </c>
      <c r="Q195" s="609">
        <f t="shared" si="51"/>
        <v>0</v>
      </c>
      <c r="R195" s="620">
        <v>10</v>
      </c>
      <c r="S195" s="620">
        <v>8.5</v>
      </c>
      <c r="T195" s="620">
        <v>7</v>
      </c>
      <c r="U195" s="611">
        <f t="shared" si="40"/>
        <v>25.5</v>
      </c>
      <c r="V195" s="621"/>
      <c r="W195" s="621"/>
      <c r="X195" s="621"/>
      <c r="Y195" s="622">
        <f t="shared" si="41"/>
        <v>25.5</v>
      </c>
      <c r="Z195" s="609">
        <f t="shared" si="52"/>
        <v>0</v>
      </c>
      <c r="AA195" s="620">
        <v>14.9</v>
      </c>
      <c r="AB195" s="620">
        <v>16.600000000000001</v>
      </c>
      <c r="AC195" s="620">
        <v>17.2</v>
      </c>
      <c r="AD195" s="611">
        <f t="shared" si="42"/>
        <v>48.7</v>
      </c>
      <c r="AE195" s="621"/>
      <c r="AF195" s="621"/>
      <c r="AG195" s="621"/>
      <c r="AH195" s="622">
        <f t="shared" si="43"/>
        <v>48.7</v>
      </c>
      <c r="AI195" s="609">
        <f t="shared" si="53"/>
        <v>0</v>
      </c>
      <c r="AJ195" s="620"/>
      <c r="AK195" s="620"/>
      <c r="AL195" s="620"/>
      <c r="AM195" s="623">
        <f t="shared" si="44"/>
        <v>0</v>
      </c>
      <c r="AN195" s="621"/>
      <c r="AO195" s="621"/>
      <c r="AP195" s="621"/>
      <c r="AQ195" s="622">
        <f t="shared" si="45"/>
        <v>0</v>
      </c>
      <c r="AR195" s="615">
        <f t="shared" si="54"/>
        <v>16.5</v>
      </c>
      <c r="AS195" s="620"/>
      <c r="AT195" s="620"/>
      <c r="AU195" s="620"/>
      <c r="AV195" s="623">
        <f t="shared" si="46"/>
        <v>0</v>
      </c>
      <c r="AW195" s="621"/>
      <c r="AX195" s="621"/>
      <c r="AY195" s="621"/>
      <c r="AZ195" s="624">
        <f t="shared" si="47"/>
        <v>-16.5</v>
      </c>
      <c r="BA195" s="623">
        <v>16.5</v>
      </c>
      <c r="BB195" s="620">
        <v>7</v>
      </c>
      <c r="BC195" s="620">
        <v>7</v>
      </c>
      <c r="BD195" s="623">
        <f t="shared" si="48"/>
        <v>14</v>
      </c>
      <c r="BE195" s="621"/>
      <c r="BF195" s="621"/>
      <c r="BG195" s="621"/>
      <c r="BH195" s="621">
        <f t="shared" si="49"/>
        <v>2.5</v>
      </c>
    </row>
    <row r="196" spans="1:60" ht="17.25" thickTop="1" thickBot="1" x14ac:dyDescent="0.3">
      <c r="A196" s="602">
        <v>189</v>
      </c>
      <c r="B196" s="603">
        <f t="shared" ca="1" si="37"/>
        <v>43134</v>
      </c>
      <c r="C196" s="29" t="s">
        <v>613</v>
      </c>
      <c r="D196" s="59" t="s">
        <v>2181</v>
      </c>
      <c r="E196" s="22" t="s">
        <v>1408</v>
      </c>
      <c r="F196" s="295" t="s">
        <v>1409</v>
      </c>
      <c r="G196" s="567">
        <v>42495</v>
      </c>
      <c r="H196" s="609">
        <f t="shared" si="50"/>
        <v>26.1</v>
      </c>
      <c r="I196" s="620">
        <v>9</v>
      </c>
      <c r="J196" s="620">
        <v>8</v>
      </c>
      <c r="K196" s="620">
        <v>8</v>
      </c>
      <c r="L196" s="611">
        <f t="shared" si="38"/>
        <v>25</v>
      </c>
      <c r="M196" s="621"/>
      <c r="N196" s="621"/>
      <c r="O196" s="621"/>
      <c r="P196" s="622">
        <f t="shared" si="39"/>
        <v>-1.1000000000000014</v>
      </c>
      <c r="Q196" s="609">
        <f t="shared" si="51"/>
        <v>0</v>
      </c>
      <c r="R196" s="620">
        <v>11.6</v>
      </c>
      <c r="S196" s="620">
        <v>8</v>
      </c>
      <c r="T196" s="620">
        <v>6.5</v>
      </c>
      <c r="U196" s="611">
        <f t="shared" si="40"/>
        <v>26.1</v>
      </c>
      <c r="V196" s="621"/>
      <c r="W196" s="621"/>
      <c r="X196" s="621"/>
      <c r="Y196" s="622">
        <f t="shared" si="41"/>
        <v>26.1</v>
      </c>
      <c r="Z196" s="609">
        <f t="shared" si="52"/>
        <v>0</v>
      </c>
      <c r="AA196" s="620">
        <v>10.1</v>
      </c>
      <c r="AB196" s="620">
        <v>6.6</v>
      </c>
      <c r="AC196" s="620">
        <v>7.8</v>
      </c>
      <c r="AD196" s="611">
        <f t="shared" si="42"/>
        <v>24.5</v>
      </c>
      <c r="AE196" s="621"/>
      <c r="AF196" s="621"/>
      <c r="AG196" s="621"/>
      <c r="AH196" s="622">
        <f t="shared" si="43"/>
        <v>24.5</v>
      </c>
      <c r="AI196" s="609">
        <f t="shared" si="53"/>
        <v>0</v>
      </c>
      <c r="AJ196" s="620"/>
      <c r="AK196" s="620"/>
      <c r="AL196" s="620"/>
      <c r="AM196" s="623">
        <f t="shared" si="44"/>
        <v>0</v>
      </c>
      <c r="AN196" s="621"/>
      <c r="AO196" s="621"/>
      <c r="AP196" s="621"/>
      <c r="AQ196" s="622">
        <f t="shared" si="45"/>
        <v>0</v>
      </c>
      <c r="AR196" s="615">
        <f t="shared" si="54"/>
        <v>17</v>
      </c>
      <c r="AS196" s="620"/>
      <c r="AT196" s="620"/>
      <c r="AU196" s="620"/>
      <c r="AV196" s="623">
        <f t="shared" si="46"/>
        <v>0</v>
      </c>
      <c r="AW196" s="621"/>
      <c r="AX196" s="621"/>
      <c r="AY196" s="621"/>
      <c r="AZ196" s="624">
        <f t="shared" si="47"/>
        <v>-17</v>
      </c>
      <c r="BA196" s="623">
        <v>17</v>
      </c>
      <c r="BB196" s="620">
        <v>5.4</v>
      </c>
      <c r="BC196" s="620">
        <v>5</v>
      </c>
      <c r="BD196" s="623">
        <f t="shared" si="48"/>
        <v>10.4</v>
      </c>
      <c r="BE196" s="621"/>
      <c r="BF196" s="621"/>
      <c r="BG196" s="621"/>
      <c r="BH196" s="621">
        <f t="shared" si="49"/>
        <v>6.6</v>
      </c>
    </row>
    <row r="197" spans="1:60" ht="17.25" thickTop="1" thickBot="1" x14ac:dyDescent="0.3">
      <c r="A197" s="77">
        <v>190</v>
      </c>
      <c r="B197" s="603">
        <f t="shared" ca="1" si="37"/>
        <v>43134</v>
      </c>
      <c r="C197" s="29" t="s">
        <v>2865</v>
      </c>
      <c r="D197" s="59" t="s">
        <v>2850</v>
      </c>
      <c r="E197" s="22" t="s">
        <v>150</v>
      </c>
      <c r="F197" s="295" t="s">
        <v>151</v>
      </c>
      <c r="G197" s="567">
        <v>42730</v>
      </c>
      <c r="H197" s="609">
        <f t="shared" si="50"/>
        <v>11.5</v>
      </c>
      <c r="I197" s="620">
        <v>9.4</v>
      </c>
      <c r="J197" s="620"/>
      <c r="K197" s="620">
        <v>7</v>
      </c>
      <c r="L197" s="611">
        <f t="shared" si="38"/>
        <v>16.399999999999999</v>
      </c>
      <c r="M197" s="621"/>
      <c r="N197" s="621"/>
      <c r="O197" s="621"/>
      <c r="P197" s="622">
        <f t="shared" si="39"/>
        <v>4.8999999999999986</v>
      </c>
      <c r="Q197" s="609">
        <f t="shared" si="51"/>
        <v>20.2</v>
      </c>
      <c r="R197" s="620">
        <v>4</v>
      </c>
      <c r="S197" s="620">
        <v>4</v>
      </c>
      <c r="T197" s="620">
        <v>3.5</v>
      </c>
      <c r="U197" s="611">
        <f t="shared" si="40"/>
        <v>11.5</v>
      </c>
      <c r="V197" s="621"/>
      <c r="W197" s="621"/>
      <c r="X197" s="621"/>
      <c r="Y197" s="622">
        <f t="shared" si="41"/>
        <v>-8.6999999999999993</v>
      </c>
      <c r="Z197" s="609">
        <f t="shared" si="52"/>
        <v>20.2</v>
      </c>
      <c r="AA197" s="620">
        <v>15.4</v>
      </c>
      <c r="AB197" s="620"/>
      <c r="AC197" s="620">
        <v>12</v>
      </c>
      <c r="AD197" s="611">
        <f t="shared" si="42"/>
        <v>27.4</v>
      </c>
      <c r="AE197" s="621"/>
      <c r="AF197" s="621"/>
      <c r="AG197" s="621"/>
      <c r="AH197" s="622">
        <f t="shared" si="43"/>
        <v>7.1999999999999993</v>
      </c>
      <c r="AI197" s="609">
        <f t="shared" si="53"/>
        <v>32</v>
      </c>
      <c r="AJ197" s="620">
        <v>10</v>
      </c>
      <c r="AK197" s="620"/>
      <c r="AL197" s="620">
        <v>10.199999999999999</v>
      </c>
      <c r="AM197" s="623">
        <f t="shared" si="44"/>
        <v>20.2</v>
      </c>
      <c r="AN197" s="621"/>
      <c r="AO197" s="621"/>
      <c r="AP197" s="621"/>
      <c r="AQ197" s="622">
        <f t="shared" si="45"/>
        <v>-11.8</v>
      </c>
      <c r="AR197" s="615">
        <f t="shared" si="54"/>
        <v>27</v>
      </c>
      <c r="AS197" s="620">
        <v>16</v>
      </c>
      <c r="AT197" s="620"/>
      <c r="AU197" s="620">
        <v>16</v>
      </c>
      <c r="AV197" s="623">
        <f t="shared" si="46"/>
        <v>32</v>
      </c>
      <c r="AW197" s="621">
        <v>4.3</v>
      </c>
      <c r="AX197" s="621">
        <v>3.44</v>
      </c>
      <c r="AY197" s="621">
        <v>90</v>
      </c>
      <c r="AZ197" s="624">
        <f t="shared" si="47"/>
        <v>5</v>
      </c>
      <c r="BA197" s="623">
        <v>27</v>
      </c>
      <c r="BB197" s="620">
        <v>13.8</v>
      </c>
      <c r="BC197" s="620">
        <v>11.4</v>
      </c>
      <c r="BD197" s="623">
        <f t="shared" si="48"/>
        <v>25.200000000000003</v>
      </c>
      <c r="BE197" s="621"/>
      <c r="BF197" s="621"/>
      <c r="BG197" s="621"/>
      <c r="BH197" s="621">
        <f t="shared" si="49"/>
        <v>1.7999999999999972</v>
      </c>
    </row>
    <row r="198" spans="1:60" ht="17.25" thickTop="1" thickBot="1" x14ac:dyDescent="0.3">
      <c r="A198" s="602">
        <v>191</v>
      </c>
      <c r="B198" s="603">
        <f t="shared" ca="1" si="37"/>
        <v>43134</v>
      </c>
      <c r="C198" s="29" t="s">
        <v>2865</v>
      </c>
      <c r="D198" s="59" t="s">
        <v>2850</v>
      </c>
      <c r="E198" s="22" t="s">
        <v>104</v>
      </c>
      <c r="F198" s="295" t="s">
        <v>286</v>
      </c>
      <c r="G198" s="567">
        <v>42607</v>
      </c>
      <c r="H198" s="609">
        <f t="shared" si="50"/>
        <v>7</v>
      </c>
      <c r="I198" s="620"/>
      <c r="J198" s="620"/>
      <c r="K198" s="620"/>
      <c r="L198" s="611">
        <f t="shared" si="38"/>
        <v>0</v>
      </c>
      <c r="M198" s="621"/>
      <c r="N198" s="621"/>
      <c r="O198" s="621"/>
      <c r="P198" s="622">
        <f t="shared" si="39"/>
        <v>-7</v>
      </c>
      <c r="Q198" s="609">
        <f t="shared" si="51"/>
        <v>22</v>
      </c>
      <c r="R198" s="620">
        <v>4</v>
      </c>
      <c r="S198" s="620"/>
      <c r="T198" s="620">
        <v>3</v>
      </c>
      <c r="U198" s="611">
        <f t="shared" si="40"/>
        <v>7</v>
      </c>
      <c r="V198" s="621"/>
      <c r="W198" s="621"/>
      <c r="X198" s="621"/>
      <c r="Y198" s="622">
        <f t="shared" si="41"/>
        <v>-15</v>
      </c>
      <c r="Z198" s="609">
        <f t="shared" si="52"/>
        <v>22</v>
      </c>
      <c r="AA198" s="620">
        <v>6</v>
      </c>
      <c r="AB198" s="620"/>
      <c r="AC198" s="620">
        <v>4</v>
      </c>
      <c r="AD198" s="611">
        <f t="shared" si="42"/>
        <v>10</v>
      </c>
      <c r="AE198" s="621"/>
      <c r="AF198" s="621"/>
      <c r="AG198" s="621"/>
      <c r="AH198" s="622">
        <f t="shared" si="43"/>
        <v>-12</v>
      </c>
      <c r="AI198" s="609">
        <f t="shared" si="53"/>
        <v>21</v>
      </c>
      <c r="AJ198" s="620">
        <v>15</v>
      </c>
      <c r="AK198" s="620"/>
      <c r="AL198" s="620">
        <v>7</v>
      </c>
      <c r="AM198" s="623">
        <f t="shared" si="44"/>
        <v>22</v>
      </c>
      <c r="AN198" s="621"/>
      <c r="AO198" s="621"/>
      <c r="AP198" s="621"/>
      <c r="AQ198" s="622">
        <f t="shared" si="45"/>
        <v>1</v>
      </c>
      <c r="AR198" s="615">
        <f t="shared" si="54"/>
        <v>21.2</v>
      </c>
      <c r="AS198" s="620">
        <v>10</v>
      </c>
      <c r="AT198" s="620"/>
      <c r="AU198" s="620">
        <v>11</v>
      </c>
      <c r="AV198" s="623">
        <f t="shared" si="46"/>
        <v>21</v>
      </c>
      <c r="AW198" s="621">
        <v>3.26</v>
      </c>
      <c r="AX198" s="621">
        <v>3.02</v>
      </c>
      <c r="AY198" s="621">
        <v>90</v>
      </c>
      <c r="AZ198" s="624">
        <f t="shared" si="47"/>
        <v>-0.19999999999999929</v>
      </c>
      <c r="BA198" s="623">
        <v>21.2</v>
      </c>
      <c r="BB198" s="620">
        <v>9</v>
      </c>
      <c r="BC198" s="620">
        <v>7.5</v>
      </c>
      <c r="BD198" s="623">
        <f t="shared" si="48"/>
        <v>16.5</v>
      </c>
      <c r="BE198" s="621"/>
      <c r="BF198" s="621"/>
      <c r="BG198" s="621"/>
      <c r="BH198" s="621">
        <f t="shared" si="49"/>
        <v>4.6999999999999993</v>
      </c>
    </row>
    <row r="199" spans="1:60" ht="17.25" thickTop="1" thickBot="1" x14ac:dyDescent="0.3">
      <c r="A199" s="77">
        <v>192</v>
      </c>
      <c r="B199" s="603">
        <f t="shared" ca="1" si="37"/>
        <v>43134</v>
      </c>
      <c r="C199" s="29" t="s">
        <v>2865</v>
      </c>
      <c r="D199" s="59" t="s">
        <v>2850</v>
      </c>
      <c r="E199" s="22" t="s">
        <v>802</v>
      </c>
      <c r="F199" s="295" t="s">
        <v>803</v>
      </c>
      <c r="G199" s="567">
        <v>42561</v>
      </c>
      <c r="H199" s="609">
        <f t="shared" si="50"/>
        <v>19.5</v>
      </c>
      <c r="I199" s="620">
        <v>9</v>
      </c>
      <c r="J199" s="620">
        <v>7</v>
      </c>
      <c r="K199" s="620">
        <v>7</v>
      </c>
      <c r="L199" s="611">
        <f t="shared" si="38"/>
        <v>23</v>
      </c>
      <c r="M199" s="621"/>
      <c r="N199" s="621"/>
      <c r="O199" s="621"/>
      <c r="P199" s="622">
        <f t="shared" si="39"/>
        <v>3.5</v>
      </c>
      <c r="Q199" s="609">
        <f t="shared" si="51"/>
        <v>0</v>
      </c>
      <c r="R199" s="620">
        <v>7</v>
      </c>
      <c r="S199" s="620">
        <v>7</v>
      </c>
      <c r="T199" s="620">
        <v>5.5</v>
      </c>
      <c r="U199" s="611">
        <f t="shared" si="40"/>
        <v>19.5</v>
      </c>
      <c r="V199" s="621"/>
      <c r="W199" s="621"/>
      <c r="X199" s="621"/>
      <c r="Y199" s="622">
        <f t="shared" si="41"/>
        <v>19.5</v>
      </c>
      <c r="Z199" s="609">
        <f t="shared" si="52"/>
        <v>0</v>
      </c>
      <c r="AA199" s="620">
        <v>8</v>
      </c>
      <c r="AB199" s="620">
        <v>7</v>
      </c>
      <c r="AC199" s="620">
        <v>9</v>
      </c>
      <c r="AD199" s="611">
        <f t="shared" si="42"/>
        <v>24</v>
      </c>
      <c r="AE199" s="621"/>
      <c r="AF199" s="621"/>
      <c r="AG199" s="621"/>
      <c r="AH199" s="622">
        <f t="shared" si="43"/>
        <v>24</v>
      </c>
      <c r="AI199" s="609">
        <f t="shared" si="53"/>
        <v>4</v>
      </c>
      <c r="AJ199" s="620"/>
      <c r="AK199" s="620"/>
      <c r="AL199" s="620"/>
      <c r="AM199" s="623">
        <f t="shared" si="44"/>
        <v>0</v>
      </c>
      <c r="AN199" s="621"/>
      <c r="AO199" s="621"/>
      <c r="AP199" s="621"/>
      <c r="AQ199" s="622">
        <f t="shared" si="45"/>
        <v>-4</v>
      </c>
      <c r="AR199" s="615">
        <f t="shared" si="54"/>
        <v>9</v>
      </c>
      <c r="AS199" s="620">
        <v>2</v>
      </c>
      <c r="AT199" s="620"/>
      <c r="AU199" s="620">
        <v>2</v>
      </c>
      <c r="AV199" s="623">
        <f t="shared" si="46"/>
        <v>4</v>
      </c>
      <c r="AW199" s="621">
        <v>5.38</v>
      </c>
      <c r="AX199" s="621">
        <v>4.2300000000000004</v>
      </c>
      <c r="AY199" s="621">
        <v>114</v>
      </c>
      <c r="AZ199" s="624">
        <f t="shared" si="47"/>
        <v>-5</v>
      </c>
      <c r="BA199" s="623">
        <v>9</v>
      </c>
      <c r="BB199" s="620">
        <v>2</v>
      </c>
      <c r="BC199" s="620">
        <v>2</v>
      </c>
      <c r="BD199" s="623">
        <f t="shared" si="48"/>
        <v>4</v>
      </c>
      <c r="BE199" s="621"/>
      <c r="BF199" s="621"/>
      <c r="BG199" s="621"/>
      <c r="BH199" s="621">
        <f t="shared" si="49"/>
        <v>5</v>
      </c>
    </row>
    <row r="200" spans="1:60" ht="17.25" thickTop="1" thickBot="1" x14ac:dyDescent="0.3">
      <c r="A200" s="602">
        <v>193</v>
      </c>
      <c r="B200" s="603">
        <f t="shared" ref="B200:B263" ca="1" si="55">TODAY()</f>
        <v>43134</v>
      </c>
      <c r="C200" s="29" t="s">
        <v>2865</v>
      </c>
      <c r="D200" s="59" t="s">
        <v>2850</v>
      </c>
      <c r="E200" s="22" t="s">
        <v>792</v>
      </c>
      <c r="F200" s="295" t="s">
        <v>793</v>
      </c>
      <c r="G200" s="567">
        <v>42565</v>
      </c>
      <c r="H200" s="609">
        <f t="shared" si="50"/>
        <v>14.2</v>
      </c>
      <c r="I200" s="620">
        <v>10</v>
      </c>
      <c r="J200" s="620">
        <v>8</v>
      </c>
      <c r="K200" s="620">
        <v>8</v>
      </c>
      <c r="L200" s="611">
        <f t="shared" ref="L200:L263" si="56">SUM(I200:K200)</f>
        <v>26</v>
      </c>
      <c r="M200" s="621"/>
      <c r="N200" s="621"/>
      <c r="O200" s="621"/>
      <c r="P200" s="622">
        <f t="shared" ref="P200:P263" si="57">L200-H200</f>
        <v>11.8</v>
      </c>
      <c r="Q200" s="609">
        <f t="shared" si="51"/>
        <v>0</v>
      </c>
      <c r="R200" s="620">
        <v>5.3</v>
      </c>
      <c r="S200" s="620">
        <v>4.0999999999999996</v>
      </c>
      <c r="T200" s="620">
        <v>4.8</v>
      </c>
      <c r="U200" s="611">
        <f t="shared" ref="U200:U263" si="58">SUM(R200:T200)</f>
        <v>14.2</v>
      </c>
      <c r="V200" s="621"/>
      <c r="W200" s="621"/>
      <c r="X200" s="621"/>
      <c r="Y200" s="622">
        <f t="shared" ref="Y200:Y263" si="59">U200-Q200</f>
        <v>14.2</v>
      </c>
      <c r="Z200" s="609">
        <f t="shared" si="52"/>
        <v>0</v>
      </c>
      <c r="AA200" s="620"/>
      <c r="AB200" s="620"/>
      <c r="AC200" s="620"/>
      <c r="AD200" s="611">
        <f t="shared" ref="AD200:AD263" si="60">SUM(AA200:AC200)</f>
        <v>0</v>
      </c>
      <c r="AE200" s="621"/>
      <c r="AF200" s="621"/>
      <c r="AG200" s="621"/>
      <c r="AH200" s="622">
        <f t="shared" ref="AH200:AH263" si="61">AD200-Z200</f>
        <v>0</v>
      </c>
      <c r="AI200" s="609">
        <f t="shared" si="53"/>
        <v>14.8</v>
      </c>
      <c r="AJ200" s="620"/>
      <c r="AK200" s="620"/>
      <c r="AL200" s="620"/>
      <c r="AM200" s="623">
        <f t="shared" ref="AM200:AM263" si="62">SUM(AJ200:AL200)</f>
        <v>0</v>
      </c>
      <c r="AN200" s="621"/>
      <c r="AO200" s="621"/>
      <c r="AP200" s="621"/>
      <c r="AQ200" s="622">
        <f t="shared" ref="AQ200:AQ263" si="63">AM200-AI200</f>
        <v>-14.8</v>
      </c>
      <c r="AR200" s="615">
        <f t="shared" si="54"/>
        <v>20</v>
      </c>
      <c r="AS200" s="620">
        <v>7</v>
      </c>
      <c r="AT200" s="620"/>
      <c r="AU200" s="620">
        <v>7.8</v>
      </c>
      <c r="AV200" s="623">
        <f t="shared" ref="AV200:AV263" si="64">SUM(AS200:AU200)</f>
        <v>14.8</v>
      </c>
      <c r="AW200" s="621">
        <v>3.79</v>
      </c>
      <c r="AX200" s="621">
        <v>3.63</v>
      </c>
      <c r="AY200" s="621">
        <v>136</v>
      </c>
      <c r="AZ200" s="624">
        <f t="shared" ref="AZ200:AZ263" si="65">AV200-AR200</f>
        <v>-5.1999999999999993</v>
      </c>
      <c r="BA200" s="623">
        <v>20</v>
      </c>
      <c r="BB200" s="620">
        <v>9.4</v>
      </c>
      <c r="BC200" s="620">
        <v>8</v>
      </c>
      <c r="BD200" s="623">
        <f t="shared" ref="BD200:BD263" si="66">SUM(BB200:BC200)</f>
        <v>17.399999999999999</v>
      </c>
      <c r="BE200" s="621"/>
      <c r="BF200" s="621"/>
      <c r="BG200" s="621"/>
      <c r="BH200" s="621">
        <f t="shared" ref="BH200:BH263" si="67">BA200-BD200</f>
        <v>2.6000000000000014</v>
      </c>
    </row>
    <row r="201" spans="1:60" ht="17.25" thickTop="1" thickBot="1" x14ac:dyDescent="0.3">
      <c r="A201" s="77">
        <v>194</v>
      </c>
      <c r="B201" s="603">
        <f t="shared" ca="1" si="55"/>
        <v>43134</v>
      </c>
      <c r="C201" s="29" t="s">
        <v>2865</v>
      </c>
      <c r="D201" s="59" t="s">
        <v>2850</v>
      </c>
      <c r="E201" s="22" t="s">
        <v>804</v>
      </c>
      <c r="F201" s="295" t="s">
        <v>805</v>
      </c>
      <c r="G201" s="567">
        <v>42677</v>
      </c>
      <c r="H201" s="609">
        <f t="shared" ref="H201:H264" si="68">U201</f>
        <v>18.399999999999999</v>
      </c>
      <c r="I201" s="620">
        <v>7</v>
      </c>
      <c r="J201" s="620"/>
      <c r="K201" s="620">
        <v>3</v>
      </c>
      <c r="L201" s="611">
        <f t="shared" si="56"/>
        <v>10</v>
      </c>
      <c r="M201" s="621"/>
      <c r="N201" s="621"/>
      <c r="O201" s="621"/>
      <c r="P201" s="622">
        <f t="shared" si="57"/>
        <v>-8.3999999999999986</v>
      </c>
      <c r="Q201" s="609">
        <f t="shared" ref="Q201:Q264" si="69">AM201</f>
        <v>7.8</v>
      </c>
      <c r="R201" s="620">
        <v>9</v>
      </c>
      <c r="S201" s="620"/>
      <c r="T201" s="620">
        <v>9.4</v>
      </c>
      <c r="U201" s="611">
        <f t="shared" si="58"/>
        <v>18.399999999999999</v>
      </c>
      <c r="V201" s="621"/>
      <c r="W201" s="621"/>
      <c r="X201" s="621"/>
      <c r="Y201" s="622">
        <f t="shared" si="59"/>
        <v>10.599999999999998</v>
      </c>
      <c r="Z201" s="609">
        <f t="shared" ref="Z201:Z264" si="70">AM201</f>
        <v>7.8</v>
      </c>
      <c r="AA201" s="620">
        <v>6</v>
      </c>
      <c r="AB201" s="620"/>
      <c r="AC201" s="620">
        <v>4.4000000000000004</v>
      </c>
      <c r="AD201" s="611">
        <f t="shared" si="60"/>
        <v>10.4</v>
      </c>
      <c r="AE201" s="621"/>
      <c r="AF201" s="621"/>
      <c r="AG201" s="621"/>
      <c r="AH201" s="622">
        <f t="shared" si="61"/>
        <v>2.6000000000000005</v>
      </c>
      <c r="AI201" s="609">
        <f t="shared" ref="AI201:AI264" si="71">AV201</f>
        <v>23</v>
      </c>
      <c r="AJ201" s="620">
        <v>3.8</v>
      </c>
      <c r="AK201" s="620"/>
      <c r="AL201" s="620">
        <v>4</v>
      </c>
      <c r="AM201" s="623">
        <f t="shared" si="62"/>
        <v>7.8</v>
      </c>
      <c r="AN201" s="621"/>
      <c r="AO201" s="621"/>
      <c r="AP201" s="621"/>
      <c r="AQ201" s="622">
        <f t="shared" si="63"/>
        <v>-15.2</v>
      </c>
      <c r="AR201" s="615">
        <f t="shared" ref="AR201:AR264" si="72">BA201</f>
        <v>12.4</v>
      </c>
      <c r="AS201" s="620">
        <v>13.2</v>
      </c>
      <c r="AT201" s="620"/>
      <c r="AU201" s="620">
        <v>9.8000000000000007</v>
      </c>
      <c r="AV201" s="623">
        <f t="shared" si="64"/>
        <v>23</v>
      </c>
      <c r="AW201" s="621">
        <v>3.79</v>
      </c>
      <c r="AX201" s="621">
        <v>3.44</v>
      </c>
      <c r="AY201" s="621">
        <v>253</v>
      </c>
      <c r="AZ201" s="624">
        <f t="shared" si="65"/>
        <v>10.6</v>
      </c>
      <c r="BA201" s="623">
        <v>12.4</v>
      </c>
      <c r="BB201" s="620">
        <v>5</v>
      </c>
      <c r="BC201" s="620">
        <v>6.2</v>
      </c>
      <c r="BD201" s="623">
        <f t="shared" si="66"/>
        <v>11.2</v>
      </c>
      <c r="BE201" s="621"/>
      <c r="BF201" s="621"/>
      <c r="BG201" s="621"/>
      <c r="BH201" s="621">
        <f t="shared" si="67"/>
        <v>1.2000000000000011</v>
      </c>
    </row>
    <row r="202" spans="1:60" ht="17.25" thickTop="1" thickBot="1" x14ac:dyDescent="0.3">
      <c r="A202" s="602">
        <v>195</v>
      </c>
      <c r="B202" s="603">
        <f t="shared" ca="1" si="55"/>
        <v>43134</v>
      </c>
      <c r="C202" s="29" t="s">
        <v>2865</v>
      </c>
      <c r="D202" s="59" t="s">
        <v>2850</v>
      </c>
      <c r="E202" s="22" t="s">
        <v>735</v>
      </c>
      <c r="F202" s="295" t="s">
        <v>736</v>
      </c>
      <c r="G202" s="567">
        <v>42517</v>
      </c>
      <c r="H202" s="609">
        <f t="shared" si="68"/>
        <v>22.4</v>
      </c>
      <c r="I202" s="620">
        <v>6.8</v>
      </c>
      <c r="J202" s="620"/>
      <c r="K202" s="620">
        <v>6</v>
      </c>
      <c r="L202" s="611">
        <f t="shared" si="56"/>
        <v>12.8</v>
      </c>
      <c r="M202" s="621"/>
      <c r="N202" s="621"/>
      <c r="O202" s="621"/>
      <c r="P202" s="622">
        <f t="shared" si="57"/>
        <v>-9.5999999999999979</v>
      </c>
      <c r="Q202" s="609">
        <f t="shared" si="69"/>
        <v>24.2</v>
      </c>
      <c r="R202" s="620">
        <v>13</v>
      </c>
      <c r="S202" s="620"/>
      <c r="T202" s="620">
        <v>9.4</v>
      </c>
      <c r="U202" s="611">
        <f t="shared" si="58"/>
        <v>22.4</v>
      </c>
      <c r="V202" s="621"/>
      <c r="W202" s="621"/>
      <c r="X202" s="621"/>
      <c r="Y202" s="622">
        <f t="shared" si="59"/>
        <v>-1.8000000000000007</v>
      </c>
      <c r="Z202" s="609">
        <f t="shared" si="70"/>
        <v>24.2</v>
      </c>
      <c r="AA202" s="620">
        <v>7</v>
      </c>
      <c r="AB202" s="620"/>
      <c r="AC202" s="620">
        <v>11</v>
      </c>
      <c r="AD202" s="611">
        <f t="shared" si="60"/>
        <v>18</v>
      </c>
      <c r="AE202" s="621"/>
      <c r="AF202" s="621"/>
      <c r="AG202" s="621"/>
      <c r="AH202" s="622">
        <f t="shared" si="61"/>
        <v>-6.1999999999999993</v>
      </c>
      <c r="AI202" s="609">
        <f t="shared" si="71"/>
        <v>26.4</v>
      </c>
      <c r="AJ202" s="620">
        <v>11.2</v>
      </c>
      <c r="AK202" s="620"/>
      <c r="AL202" s="620">
        <v>13</v>
      </c>
      <c r="AM202" s="623">
        <f t="shared" si="62"/>
        <v>24.2</v>
      </c>
      <c r="AN202" s="621"/>
      <c r="AO202" s="621"/>
      <c r="AP202" s="621"/>
      <c r="AQ202" s="622">
        <f t="shared" si="63"/>
        <v>-2.1999999999999993</v>
      </c>
      <c r="AR202" s="615">
        <f t="shared" si="72"/>
        <v>15.5</v>
      </c>
      <c r="AS202" s="620">
        <v>11.4</v>
      </c>
      <c r="AT202" s="620"/>
      <c r="AU202" s="620">
        <v>15</v>
      </c>
      <c r="AV202" s="623">
        <f t="shared" si="64"/>
        <v>26.4</v>
      </c>
      <c r="AW202" s="621">
        <v>2.66</v>
      </c>
      <c r="AX202" s="621">
        <v>3</v>
      </c>
      <c r="AY202" s="621">
        <v>90</v>
      </c>
      <c r="AZ202" s="624">
        <f t="shared" si="65"/>
        <v>10.899999999999999</v>
      </c>
      <c r="BA202" s="623">
        <v>15.5</v>
      </c>
      <c r="BB202" s="620">
        <v>10.199999999999999</v>
      </c>
      <c r="BC202" s="620">
        <v>10</v>
      </c>
      <c r="BD202" s="623">
        <f t="shared" si="66"/>
        <v>20.2</v>
      </c>
      <c r="BE202" s="621"/>
      <c r="BF202" s="621"/>
      <c r="BG202" s="621"/>
      <c r="BH202" s="621">
        <f t="shared" si="67"/>
        <v>-4.6999999999999993</v>
      </c>
    </row>
    <row r="203" spans="1:60" ht="17.25" thickTop="1" thickBot="1" x14ac:dyDescent="0.3">
      <c r="A203" s="77">
        <v>196</v>
      </c>
      <c r="B203" s="603">
        <f t="shared" ca="1" si="55"/>
        <v>43134</v>
      </c>
      <c r="C203" s="29" t="s">
        <v>2865</v>
      </c>
      <c r="D203" s="59" t="s">
        <v>2850</v>
      </c>
      <c r="E203" s="22" t="s">
        <v>156</v>
      </c>
      <c r="F203" s="295" t="s">
        <v>157</v>
      </c>
      <c r="G203" s="567">
        <v>42631</v>
      </c>
      <c r="H203" s="609">
        <f t="shared" si="68"/>
        <v>19.8</v>
      </c>
      <c r="I203" s="620">
        <v>6</v>
      </c>
      <c r="J203" s="620"/>
      <c r="K203" s="620">
        <v>7</v>
      </c>
      <c r="L203" s="611">
        <f t="shared" si="56"/>
        <v>13</v>
      </c>
      <c r="M203" s="621"/>
      <c r="N203" s="621"/>
      <c r="O203" s="621"/>
      <c r="P203" s="622">
        <f t="shared" si="57"/>
        <v>-6.8000000000000007</v>
      </c>
      <c r="Q203" s="609">
        <f t="shared" si="69"/>
        <v>18.399999999999999</v>
      </c>
      <c r="R203" s="620">
        <v>10</v>
      </c>
      <c r="S203" s="620"/>
      <c r="T203" s="620">
        <v>9.8000000000000007</v>
      </c>
      <c r="U203" s="611">
        <f t="shared" si="58"/>
        <v>19.8</v>
      </c>
      <c r="V203" s="621"/>
      <c r="W203" s="621"/>
      <c r="X203" s="621"/>
      <c r="Y203" s="622">
        <f t="shared" si="59"/>
        <v>1.4000000000000021</v>
      </c>
      <c r="Z203" s="609">
        <f t="shared" si="70"/>
        <v>18.399999999999999</v>
      </c>
      <c r="AA203" s="620">
        <v>10</v>
      </c>
      <c r="AB203" s="620"/>
      <c r="AC203" s="620">
        <v>6</v>
      </c>
      <c r="AD203" s="611">
        <f t="shared" si="60"/>
        <v>16</v>
      </c>
      <c r="AE203" s="621"/>
      <c r="AF203" s="621"/>
      <c r="AG203" s="621"/>
      <c r="AH203" s="622">
        <f t="shared" si="61"/>
        <v>-2.3999999999999986</v>
      </c>
      <c r="AI203" s="609">
        <f t="shared" si="71"/>
        <v>19</v>
      </c>
      <c r="AJ203" s="620">
        <v>10.199999999999999</v>
      </c>
      <c r="AK203" s="620"/>
      <c r="AL203" s="620">
        <v>8.1999999999999993</v>
      </c>
      <c r="AM203" s="623">
        <f t="shared" si="62"/>
        <v>18.399999999999999</v>
      </c>
      <c r="AN203" s="621"/>
      <c r="AO203" s="621"/>
      <c r="AP203" s="621"/>
      <c r="AQ203" s="622">
        <f t="shared" si="63"/>
        <v>-0.60000000000000142</v>
      </c>
      <c r="AR203" s="615">
        <f t="shared" si="72"/>
        <v>20</v>
      </c>
      <c r="AS203" s="620">
        <v>8.8000000000000007</v>
      </c>
      <c r="AT203" s="620"/>
      <c r="AU203" s="620">
        <v>10.199999999999999</v>
      </c>
      <c r="AV203" s="623">
        <f t="shared" si="64"/>
        <v>19</v>
      </c>
      <c r="AW203" s="621">
        <v>4.0599999999999996</v>
      </c>
      <c r="AX203" s="621">
        <v>3.69</v>
      </c>
      <c r="AY203" s="621">
        <v>90</v>
      </c>
      <c r="AZ203" s="624">
        <f t="shared" si="65"/>
        <v>-1</v>
      </c>
      <c r="BA203" s="623">
        <v>20</v>
      </c>
      <c r="BB203" s="620">
        <v>12</v>
      </c>
      <c r="BC203" s="620">
        <v>9</v>
      </c>
      <c r="BD203" s="623">
        <f t="shared" si="66"/>
        <v>21</v>
      </c>
      <c r="BE203" s="621"/>
      <c r="BF203" s="621"/>
      <c r="BG203" s="621"/>
      <c r="BH203" s="621">
        <f t="shared" si="67"/>
        <v>-1</v>
      </c>
    </row>
    <row r="204" spans="1:60" ht="17.25" thickTop="1" thickBot="1" x14ac:dyDescent="0.3">
      <c r="A204" s="602">
        <v>197</v>
      </c>
      <c r="B204" s="603">
        <f t="shared" ca="1" si="55"/>
        <v>43134</v>
      </c>
      <c r="C204" s="29" t="s">
        <v>2865</v>
      </c>
      <c r="D204" s="59" t="s">
        <v>2850</v>
      </c>
      <c r="E204" s="22" t="s">
        <v>69</v>
      </c>
      <c r="F204" s="295" t="s">
        <v>70</v>
      </c>
      <c r="G204" s="567">
        <v>42663</v>
      </c>
      <c r="H204" s="609">
        <f t="shared" si="68"/>
        <v>29.800000000000004</v>
      </c>
      <c r="I204" s="620">
        <v>11.2</v>
      </c>
      <c r="J204" s="620">
        <v>11</v>
      </c>
      <c r="K204" s="620">
        <v>15</v>
      </c>
      <c r="L204" s="611">
        <f t="shared" si="56"/>
        <v>37.200000000000003</v>
      </c>
      <c r="M204" s="621"/>
      <c r="N204" s="621"/>
      <c r="O204" s="621"/>
      <c r="P204" s="622">
        <f t="shared" si="57"/>
        <v>7.3999999999999986</v>
      </c>
      <c r="Q204" s="609">
        <f t="shared" si="69"/>
        <v>14.4</v>
      </c>
      <c r="R204" s="620">
        <v>9.9</v>
      </c>
      <c r="S204" s="620">
        <v>10.3</v>
      </c>
      <c r="T204" s="620">
        <v>9.6</v>
      </c>
      <c r="U204" s="611">
        <f t="shared" si="58"/>
        <v>29.800000000000004</v>
      </c>
      <c r="V204" s="621"/>
      <c r="W204" s="621"/>
      <c r="X204" s="621"/>
      <c r="Y204" s="622">
        <f t="shared" si="59"/>
        <v>15.400000000000004</v>
      </c>
      <c r="Z204" s="609">
        <f t="shared" si="70"/>
        <v>14.4</v>
      </c>
      <c r="AA204" s="620"/>
      <c r="AB204" s="620"/>
      <c r="AC204" s="620"/>
      <c r="AD204" s="611">
        <f t="shared" si="60"/>
        <v>0</v>
      </c>
      <c r="AE204" s="621"/>
      <c r="AF204" s="621"/>
      <c r="AG204" s="621"/>
      <c r="AH204" s="622">
        <f t="shared" si="61"/>
        <v>-14.4</v>
      </c>
      <c r="AI204" s="609">
        <f t="shared" si="71"/>
        <v>22.8</v>
      </c>
      <c r="AJ204" s="620">
        <v>4.4000000000000004</v>
      </c>
      <c r="AK204" s="620"/>
      <c r="AL204" s="620">
        <v>10</v>
      </c>
      <c r="AM204" s="623">
        <f t="shared" si="62"/>
        <v>14.4</v>
      </c>
      <c r="AN204" s="621"/>
      <c r="AO204" s="621"/>
      <c r="AP204" s="621"/>
      <c r="AQ204" s="622">
        <f t="shared" si="63"/>
        <v>-8.4</v>
      </c>
      <c r="AR204" s="615">
        <f t="shared" si="72"/>
        <v>20.5</v>
      </c>
      <c r="AS204" s="620">
        <v>11.8</v>
      </c>
      <c r="AT204" s="620"/>
      <c r="AU204" s="620">
        <v>11</v>
      </c>
      <c r="AV204" s="623">
        <f t="shared" si="64"/>
        <v>22.8</v>
      </c>
      <c r="AW204" s="621">
        <v>2.79</v>
      </c>
      <c r="AX204" s="621">
        <v>3.34</v>
      </c>
      <c r="AY204" s="621">
        <v>90</v>
      </c>
      <c r="AZ204" s="624">
        <f t="shared" si="65"/>
        <v>2.3000000000000007</v>
      </c>
      <c r="BA204" s="623">
        <v>20.5</v>
      </c>
      <c r="BB204" s="620">
        <v>14</v>
      </c>
      <c r="BC204" s="620">
        <v>12</v>
      </c>
      <c r="BD204" s="623">
        <f t="shared" si="66"/>
        <v>26</v>
      </c>
      <c r="BE204" s="621"/>
      <c r="BF204" s="621"/>
      <c r="BG204" s="621"/>
      <c r="BH204" s="621">
        <f t="shared" si="67"/>
        <v>-5.5</v>
      </c>
    </row>
    <row r="205" spans="1:60" ht="17.25" thickTop="1" thickBot="1" x14ac:dyDescent="0.3">
      <c r="A205" s="77">
        <v>198</v>
      </c>
      <c r="B205" s="603">
        <f t="shared" ca="1" si="55"/>
        <v>43134</v>
      </c>
      <c r="C205" s="29" t="s">
        <v>2865</v>
      </c>
      <c r="D205" s="59" t="s">
        <v>2850</v>
      </c>
      <c r="E205" s="22" t="s">
        <v>321</v>
      </c>
      <c r="F205" s="295" t="s">
        <v>322</v>
      </c>
      <c r="G205" s="567">
        <v>42526</v>
      </c>
      <c r="H205" s="609">
        <f t="shared" si="68"/>
        <v>13</v>
      </c>
      <c r="I205" s="620">
        <v>2</v>
      </c>
      <c r="J205" s="620"/>
      <c r="K205" s="620">
        <v>4.3</v>
      </c>
      <c r="L205" s="611">
        <f t="shared" si="56"/>
        <v>6.3</v>
      </c>
      <c r="M205" s="621"/>
      <c r="N205" s="621"/>
      <c r="O205" s="621"/>
      <c r="P205" s="622">
        <f t="shared" si="57"/>
        <v>-6.7</v>
      </c>
      <c r="Q205" s="609">
        <f t="shared" si="69"/>
        <v>14.8</v>
      </c>
      <c r="R205" s="620">
        <v>7.2</v>
      </c>
      <c r="S205" s="620"/>
      <c r="T205" s="620">
        <v>5.8</v>
      </c>
      <c r="U205" s="611">
        <f t="shared" si="58"/>
        <v>13</v>
      </c>
      <c r="V205" s="621"/>
      <c r="W205" s="621"/>
      <c r="X205" s="621"/>
      <c r="Y205" s="622">
        <f t="shared" si="59"/>
        <v>-1.8000000000000007</v>
      </c>
      <c r="Z205" s="609">
        <f t="shared" si="70"/>
        <v>14.8</v>
      </c>
      <c r="AA205" s="620">
        <v>7.5</v>
      </c>
      <c r="AB205" s="620"/>
      <c r="AC205" s="620">
        <v>7</v>
      </c>
      <c r="AD205" s="611">
        <f t="shared" si="60"/>
        <v>14.5</v>
      </c>
      <c r="AE205" s="621"/>
      <c r="AF205" s="621"/>
      <c r="AG205" s="621"/>
      <c r="AH205" s="622">
        <f t="shared" si="61"/>
        <v>-0.30000000000000071</v>
      </c>
      <c r="AI205" s="609">
        <f t="shared" si="71"/>
        <v>15.4</v>
      </c>
      <c r="AJ205" s="620">
        <v>8.8000000000000007</v>
      </c>
      <c r="AK205" s="620"/>
      <c r="AL205" s="620">
        <v>6</v>
      </c>
      <c r="AM205" s="623">
        <f t="shared" si="62"/>
        <v>14.8</v>
      </c>
      <c r="AN205" s="621"/>
      <c r="AO205" s="621"/>
      <c r="AP205" s="621"/>
      <c r="AQ205" s="622">
        <f t="shared" si="63"/>
        <v>-0.59999999999999964</v>
      </c>
      <c r="AR205" s="615">
        <f t="shared" si="72"/>
        <v>20.2</v>
      </c>
      <c r="AS205" s="620">
        <v>9</v>
      </c>
      <c r="AT205" s="620"/>
      <c r="AU205" s="620">
        <v>6.4</v>
      </c>
      <c r="AV205" s="623">
        <f t="shared" si="64"/>
        <v>15.4</v>
      </c>
      <c r="AW205" s="621">
        <v>4.7</v>
      </c>
      <c r="AX205" s="621">
        <v>3.84</v>
      </c>
      <c r="AY205" s="621">
        <v>90</v>
      </c>
      <c r="AZ205" s="624">
        <f t="shared" si="65"/>
        <v>-4.7999999999999989</v>
      </c>
      <c r="BA205" s="623">
        <v>20.2</v>
      </c>
      <c r="BB205" s="620">
        <v>8</v>
      </c>
      <c r="BC205" s="620">
        <v>9</v>
      </c>
      <c r="BD205" s="623">
        <f t="shared" si="66"/>
        <v>17</v>
      </c>
      <c r="BE205" s="621"/>
      <c r="BF205" s="621"/>
      <c r="BG205" s="621"/>
      <c r="BH205" s="621">
        <f t="shared" si="67"/>
        <v>3.1999999999999993</v>
      </c>
    </row>
    <row r="206" spans="1:60" ht="17.25" thickTop="1" thickBot="1" x14ac:dyDescent="0.3">
      <c r="A206" s="602">
        <v>199</v>
      </c>
      <c r="B206" s="603">
        <f t="shared" ca="1" si="55"/>
        <v>43134</v>
      </c>
      <c r="C206" s="29" t="s">
        <v>2865</v>
      </c>
      <c r="D206" s="59" t="s">
        <v>2850</v>
      </c>
      <c r="E206" s="22" t="s">
        <v>508</v>
      </c>
      <c r="F206" s="295" t="s">
        <v>509</v>
      </c>
      <c r="G206" s="567">
        <v>42727</v>
      </c>
      <c r="H206" s="609">
        <f t="shared" si="68"/>
        <v>10</v>
      </c>
      <c r="I206" s="620">
        <v>8.6</v>
      </c>
      <c r="J206" s="620"/>
      <c r="K206" s="620">
        <v>7.3</v>
      </c>
      <c r="L206" s="611">
        <f t="shared" si="56"/>
        <v>15.899999999999999</v>
      </c>
      <c r="M206" s="621"/>
      <c r="N206" s="621"/>
      <c r="O206" s="621"/>
      <c r="P206" s="622">
        <f t="shared" si="57"/>
        <v>5.8999999999999986</v>
      </c>
      <c r="Q206" s="609">
        <f t="shared" si="69"/>
        <v>28</v>
      </c>
      <c r="R206" s="620">
        <v>4.5</v>
      </c>
      <c r="S206" s="620">
        <v>3</v>
      </c>
      <c r="T206" s="620">
        <v>2.5</v>
      </c>
      <c r="U206" s="611">
        <f t="shared" si="58"/>
        <v>10</v>
      </c>
      <c r="V206" s="621"/>
      <c r="W206" s="621"/>
      <c r="X206" s="621"/>
      <c r="Y206" s="622">
        <f t="shared" si="59"/>
        <v>-18</v>
      </c>
      <c r="Z206" s="609">
        <f t="shared" si="70"/>
        <v>28</v>
      </c>
      <c r="AA206" s="620">
        <v>16</v>
      </c>
      <c r="AB206" s="620"/>
      <c r="AC206" s="620">
        <v>14</v>
      </c>
      <c r="AD206" s="611">
        <f t="shared" si="60"/>
        <v>30</v>
      </c>
      <c r="AE206" s="621"/>
      <c r="AF206" s="621"/>
      <c r="AG206" s="621"/>
      <c r="AH206" s="622">
        <f t="shared" si="61"/>
        <v>2</v>
      </c>
      <c r="AI206" s="609">
        <f t="shared" si="71"/>
        <v>29</v>
      </c>
      <c r="AJ206" s="620">
        <v>15</v>
      </c>
      <c r="AK206" s="620"/>
      <c r="AL206" s="620">
        <v>13</v>
      </c>
      <c r="AM206" s="623">
        <f t="shared" si="62"/>
        <v>28</v>
      </c>
      <c r="AN206" s="621"/>
      <c r="AO206" s="621"/>
      <c r="AP206" s="621"/>
      <c r="AQ206" s="622">
        <f t="shared" si="63"/>
        <v>-1</v>
      </c>
      <c r="AR206" s="615">
        <f t="shared" si="72"/>
        <v>18</v>
      </c>
      <c r="AS206" s="620">
        <v>14</v>
      </c>
      <c r="AT206" s="620"/>
      <c r="AU206" s="620">
        <v>15</v>
      </c>
      <c r="AV206" s="623">
        <f t="shared" si="64"/>
        <v>29</v>
      </c>
      <c r="AW206" s="621">
        <v>3.41</v>
      </c>
      <c r="AX206" s="621">
        <v>3.35</v>
      </c>
      <c r="AY206" s="621">
        <v>90</v>
      </c>
      <c r="AZ206" s="624">
        <f t="shared" si="65"/>
        <v>11</v>
      </c>
      <c r="BA206" s="623">
        <v>18</v>
      </c>
      <c r="BB206" s="620">
        <v>12.5</v>
      </c>
      <c r="BC206" s="620">
        <v>11</v>
      </c>
      <c r="BD206" s="623">
        <f t="shared" si="66"/>
        <v>23.5</v>
      </c>
      <c r="BE206" s="621"/>
      <c r="BF206" s="621"/>
      <c r="BG206" s="621"/>
      <c r="BH206" s="621">
        <f t="shared" si="67"/>
        <v>-5.5</v>
      </c>
    </row>
    <row r="207" spans="1:60" ht="17.25" thickTop="1" thickBot="1" x14ac:dyDescent="0.3">
      <c r="A207" s="77">
        <v>200</v>
      </c>
      <c r="B207" s="603">
        <f t="shared" ca="1" si="55"/>
        <v>43134</v>
      </c>
      <c r="C207" s="29" t="s">
        <v>2865</v>
      </c>
      <c r="D207" s="59" t="s">
        <v>2850</v>
      </c>
      <c r="E207" s="22" t="s">
        <v>340</v>
      </c>
      <c r="F207" s="295" t="s">
        <v>341</v>
      </c>
      <c r="G207" s="567">
        <v>42685</v>
      </c>
      <c r="H207" s="609">
        <f t="shared" si="68"/>
        <v>0</v>
      </c>
      <c r="I207" s="620"/>
      <c r="J207" s="620"/>
      <c r="K207" s="620"/>
      <c r="L207" s="611">
        <f t="shared" si="56"/>
        <v>0</v>
      </c>
      <c r="M207" s="621"/>
      <c r="N207" s="621"/>
      <c r="O207" s="621"/>
      <c r="P207" s="622">
        <f t="shared" si="57"/>
        <v>0</v>
      </c>
      <c r="Q207" s="609">
        <f t="shared" si="69"/>
        <v>23</v>
      </c>
      <c r="R207" s="620"/>
      <c r="S207" s="620"/>
      <c r="T207" s="620"/>
      <c r="U207" s="611">
        <f t="shared" si="58"/>
        <v>0</v>
      </c>
      <c r="V207" s="621"/>
      <c r="W207" s="621"/>
      <c r="X207" s="621"/>
      <c r="Y207" s="622">
        <f t="shared" si="59"/>
        <v>-23</v>
      </c>
      <c r="Z207" s="609">
        <f t="shared" si="70"/>
        <v>23</v>
      </c>
      <c r="AA207" s="620"/>
      <c r="AB207" s="620"/>
      <c r="AC207" s="620"/>
      <c r="AD207" s="611">
        <f t="shared" si="60"/>
        <v>0</v>
      </c>
      <c r="AE207" s="621"/>
      <c r="AF207" s="621"/>
      <c r="AG207" s="621"/>
      <c r="AH207" s="622">
        <f t="shared" si="61"/>
        <v>-23</v>
      </c>
      <c r="AI207" s="609">
        <f t="shared" si="71"/>
        <v>26.9</v>
      </c>
      <c r="AJ207" s="620">
        <v>13</v>
      </c>
      <c r="AK207" s="620"/>
      <c r="AL207" s="620">
        <v>10</v>
      </c>
      <c r="AM207" s="623">
        <f t="shared" si="62"/>
        <v>23</v>
      </c>
      <c r="AN207" s="621"/>
      <c r="AO207" s="621"/>
      <c r="AP207" s="621"/>
      <c r="AQ207" s="622">
        <f t="shared" si="63"/>
        <v>-3.8999999999999986</v>
      </c>
      <c r="AR207" s="615">
        <f t="shared" si="72"/>
        <v>23</v>
      </c>
      <c r="AS207" s="620">
        <v>13.9</v>
      </c>
      <c r="AT207" s="620"/>
      <c r="AU207" s="620">
        <v>13</v>
      </c>
      <c r="AV207" s="623">
        <f t="shared" si="64"/>
        <v>26.9</v>
      </c>
      <c r="AW207" s="621">
        <v>5.09</v>
      </c>
      <c r="AX207" s="621">
        <v>3.58</v>
      </c>
      <c r="AY207" s="621">
        <v>101</v>
      </c>
      <c r="AZ207" s="624">
        <f t="shared" si="65"/>
        <v>3.8999999999999986</v>
      </c>
      <c r="BA207" s="623">
        <v>23</v>
      </c>
      <c r="BB207" s="620">
        <v>10.5</v>
      </c>
      <c r="BC207" s="620">
        <v>9</v>
      </c>
      <c r="BD207" s="623">
        <f t="shared" si="66"/>
        <v>19.5</v>
      </c>
      <c r="BE207" s="621"/>
      <c r="BF207" s="621"/>
      <c r="BG207" s="621"/>
      <c r="BH207" s="621">
        <f t="shared" si="67"/>
        <v>3.5</v>
      </c>
    </row>
    <row r="208" spans="1:60" ht="17.25" thickTop="1" thickBot="1" x14ac:dyDescent="0.3">
      <c r="A208" s="602">
        <v>201</v>
      </c>
      <c r="B208" s="603">
        <f t="shared" ca="1" si="55"/>
        <v>43134</v>
      </c>
      <c r="C208" s="29" t="s">
        <v>2865</v>
      </c>
      <c r="D208" s="59" t="s">
        <v>2850</v>
      </c>
      <c r="E208" s="22" t="s">
        <v>365</v>
      </c>
      <c r="F208" s="295" t="s">
        <v>366</v>
      </c>
      <c r="G208" s="567">
        <v>42577</v>
      </c>
      <c r="H208" s="609">
        <f t="shared" si="68"/>
        <v>21.4</v>
      </c>
      <c r="I208" s="620">
        <v>9.4</v>
      </c>
      <c r="J208" s="620">
        <v>9</v>
      </c>
      <c r="K208" s="620">
        <v>11</v>
      </c>
      <c r="L208" s="611">
        <f t="shared" si="56"/>
        <v>29.4</v>
      </c>
      <c r="M208" s="621"/>
      <c r="N208" s="621"/>
      <c r="O208" s="621"/>
      <c r="P208" s="622">
        <f t="shared" si="57"/>
        <v>8</v>
      </c>
      <c r="Q208" s="609">
        <f t="shared" si="69"/>
        <v>16.600000000000001</v>
      </c>
      <c r="R208" s="620">
        <v>7.8</v>
      </c>
      <c r="S208" s="620">
        <v>6</v>
      </c>
      <c r="T208" s="620">
        <v>7.6</v>
      </c>
      <c r="U208" s="611">
        <f t="shared" si="58"/>
        <v>21.4</v>
      </c>
      <c r="V208" s="621"/>
      <c r="W208" s="621"/>
      <c r="X208" s="621"/>
      <c r="Y208" s="622">
        <f t="shared" si="59"/>
        <v>4.7999999999999972</v>
      </c>
      <c r="Z208" s="609">
        <f t="shared" si="70"/>
        <v>16.600000000000001</v>
      </c>
      <c r="AA208" s="620"/>
      <c r="AB208" s="620"/>
      <c r="AC208" s="620"/>
      <c r="AD208" s="611">
        <f t="shared" si="60"/>
        <v>0</v>
      </c>
      <c r="AE208" s="621"/>
      <c r="AF208" s="621"/>
      <c r="AG208" s="621"/>
      <c r="AH208" s="622">
        <f t="shared" si="61"/>
        <v>-16.600000000000001</v>
      </c>
      <c r="AI208" s="609">
        <f t="shared" si="71"/>
        <v>16.2</v>
      </c>
      <c r="AJ208" s="620">
        <v>8.4</v>
      </c>
      <c r="AK208" s="620"/>
      <c r="AL208" s="620">
        <v>8.1999999999999993</v>
      </c>
      <c r="AM208" s="623">
        <f t="shared" si="62"/>
        <v>16.600000000000001</v>
      </c>
      <c r="AN208" s="621"/>
      <c r="AO208" s="621"/>
      <c r="AP208" s="621"/>
      <c r="AQ208" s="622">
        <f t="shared" si="63"/>
        <v>0.40000000000000213</v>
      </c>
      <c r="AR208" s="615">
        <f t="shared" si="72"/>
        <v>17.600000000000001</v>
      </c>
      <c r="AS208" s="620">
        <v>7.6</v>
      </c>
      <c r="AT208" s="620"/>
      <c r="AU208" s="620">
        <v>8.6</v>
      </c>
      <c r="AV208" s="623">
        <f t="shared" si="64"/>
        <v>16.2</v>
      </c>
      <c r="AW208" s="621">
        <v>3.94</v>
      </c>
      <c r="AX208" s="621">
        <v>3.7</v>
      </c>
      <c r="AY208" s="621">
        <v>90</v>
      </c>
      <c r="AZ208" s="624">
        <f t="shared" si="65"/>
        <v>-1.4000000000000021</v>
      </c>
      <c r="BA208" s="623">
        <v>17.600000000000001</v>
      </c>
      <c r="BB208" s="620">
        <v>7.6</v>
      </c>
      <c r="BC208" s="620">
        <v>6</v>
      </c>
      <c r="BD208" s="623">
        <f t="shared" si="66"/>
        <v>13.6</v>
      </c>
      <c r="BE208" s="621"/>
      <c r="BF208" s="621"/>
      <c r="BG208" s="621"/>
      <c r="BH208" s="621">
        <f t="shared" si="67"/>
        <v>4.0000000000000018</v>
      </c>
    </row>
    <row r="209" spans="1:60" ht="17.25" thickTop="1" thickBot="1" x14ac:dyDescent="0.3">
      <c r="A209" s="77">
        <v>202</v>
      </c>
      <c r="B209" s="603">
        <f t="shared" ca="1" si="55"/>
        <v>43134</v>
      </c>
      <c r="C209" s="29" t="s">
        <v>2865</v>
      </c>
      <c r="D209" s="59" t="s">
        <v>2850</v>
      </c>
      <c r="E209" s="22" t="s">
        <v>90</v>
      </c>
      <c r="F209" s="295" t="s">
        <v>1453</v>
      </c>
      <c r="G209" s="567">
        <v>42598</v>
      </c>
      <c r="H209" s="609">
        <f t="shared" si="68"/>
        <v>0</v>
      </c>
      <c r="I209" s="620"/>
      <c r="J209" s="620"/>
      <c r="K209" s="620"/>
      <c r="L209" s="611">
        <f t="shared" si="56"/>
        <v>0</v>
      </c>
      <c r="M209" s="621"/>
      <c r="N209" s="621"/>
      <c r="O209" s="621"/>
      <c r="P209" s="622">
        <f t="shared" si="57"/>
        <v>0</v>
      </c>
      <c r="Q209" s="609">
        <f t="shared" si="69"/>
        <v>20</v>
      </c>
      <c r="R209" s="620"/>
      <c r="S209" s="620"/>
      <c r="T209" s="620"/>
      <c r="U209" s="611">
        <f t="shared" si="58"/>
        <v>0</v>
      </c>
      <c r="V209" s="621"/>
      <c r="W209" s="621"/>
      <c r="X209" s="621"/>
      <c r="Y209" s="622">
        <f t="shared" si="59"/>
        <v>-20</v>
      </c>
      <c r="Z209" s="609">
        <f t="shared" si="70"/>
        <v>20</v>
      </c>
      <c r="AA209" s="620"/>
      <c r="AB209" s="620"/>
      <c r="AC209" s="620"/>
      <c r="AD209" s="611">
        <f t="shared" si="60"/>
        <v>0</v>
      </c>
      <c r="AE209" s="621"/>
      <c r="AF209" s="621"/>
      <c r="AG209" s="621"/>
      <c r="AH209" s="622">
        <f t="shared" si="61"/>
        <v>-20</v>
      </c>
      <c r="AI209" s="609">
        <f t="shared" si="71"/>
        <v>19.8</v>
      </c>
      <c r="AJ209" s="620">
        <v>10</v>
      </c>
      <c r="AK209" s="620"/>
      <c r="AL209" s="620">
        <v>10</v>
      </c>
      <c r="AM209" s="623">
        <f t="shared" si="62"/>
        <v>20</v>
      </c>
      <c r="AN209" s="621"/>
      <c r="AO209" s="621"/>
      <c r="AP209" s="621"/>
      <c r="AQ209" s="622">
        <f t="shared" si="63"/>
        <v>0.19999999999999929</v>
      </c>
      <c r="AR209" s="615">
        <f t="shared" si="72"/>
        <v>24</v>
      </c>
      <c r="AS209" s="620">
        <v>14</v>
      </c>
      <c r="AT209" s="620"/>
      <c r="AU209" s="620">
        <v>5.8</v>
      </c>
      <c r="AV209" s="623">
        <f t="shared" si="64"/>
        <v>19.8</v>
      </c>
      <c r="AW209" s="621">
        <v>3.98</v>
      </c>
      <c r="AX209" s="621">
        <v>3.61</v>
      </c>
      <c r="AY209" s="621">
        <v>495</v>
      </c>
      <c r="AZ209" s="624">
        <f t="shared" si="65"/>
        <v>-4.1999999999999993</v>
      </c>
      <c r="BA209" s="623">
        <v>24</v>
      </c>
      <c r="BB209" s="620">
        <v>11</v>
      </c>
      <c r="BC209" s="620">
        <v>10</v>
      </c>
      <c r="BD209" s="623">
        <f t="shared" si="66"/>
        <v>21</v>
      </c>
      <c r="BE209" s="621"/>
      <c r="BF209" s="621"/>
      <c r="BG209" s="621"/>
      <c r="BH209" s="621">
        <f t="shared" si="67"/>
        <v>3</v>
      </c>
    </row>
    <row r="210" spans="1:60" ht="17.25" thickTop="1" thickBot="1" x14ac:dyDescent="0.3">
      <c r="A210" s="602">
        <v>203</v>
      </c>
      <c r="B210" s="603">
        <f t="shared" ca="1" si="55"/>
        <v>43134</v>
      </c>
      <c r="C210" s="29" t="s">
        <v>2865</v>
      </c>
      <c r="D210" s="59" t="s">
        <v>2850</v>
      </c>
      <c r="E210" s="22" t="s">
        <v>693</v>
      </c>
      <c r="F210" s="295" t="s">
        <v>694</v>
      </c>
      <c r="G210" s="567">
        <v>42757</v>
      </c>
      <c r="H210" s="609">
        <f t="shared" si="68"/>
        <v>17</v>
      </c>
      <c r="I210" s="620">
        <v>5</v>
      </c>
      <c r="J210" s="620"/>
      <c r="K210" s="620">
        <v>8</v>
      </c>
      <c r="L210" s="611">
        <f t="shared" si="56"/>
        <v>13</v>
      </c>
      <c r="M210" s="621"/>
      <c r="N210" s="621"/>
      <c r="O210" s="621"/>
      <c r="P210" s="622">
        <f t="shared" si="57"/>
        <v>-4</v>
      </c>
      <c r="Q210" s="609">
        <f t="shared" si="69"/>
        <v>25.4</v>
      </c>
      <c r="R210" s="620">
        <v>10</v>
      </c>
      <c r="S210" s="620"/>
      <c r="T210" s="620">
        <v>7</v>
      </c>
      <c r="U210" s="611">
        <f t="shared" si="58"/>
        <v>17</v>
      </c>
      <c r="V210" s="621"/>
      <c r="W210" s="621"/>
      <c r="X210" s="621"/>
      <c r="Y210" s="622">
        <f t="shared" si="59"/>
        <v>-8.3999999999999986</v>
      </c>
      <c r="Z210" s="609">
        <f t="shared" si="70"/>
        <v>25.4</v>
      </c>
      <c r="AA210" s="620">
        <v>13.2</v>
      </c>
      <c r="AB210" s="620"/>
      <c r="AC210" s="620">
        <v>6.2</v>
      </c>
      <c r="AD210" s="611">
        <f t="shared" si="60"/>
        <v>19.399999999999999</v>
      </c>
      <c r="AE210" s="621"/>
      <c r="AF210" s="621"/>
      <c r="AG210" s="621"/>
      <c r="AH210" s="622">
        <f t="shared" si="61"/>
        <v>-6</v>
      </c>
      <c r="AI210" s="609">
        <f t="shared" si="71"/>
        <v>22.4</v>
      </c>
      <c r="AJ210" s="620">
        <v>15</v>
      </c>
      <c r="AK210" s="620"/>
      <c r="AL210" s="620">
        <v>10.4</v>
      </c>
      <c r="AM210" s="623">
        <f t="shared" si="62"/>
        <v>25.4</v>
      </c>
      <c r="AN210" s="621"/>
      <c r="AO210" s="621"/>
      <c r="AP210" s="621"/>
      <c r="AQ210" s="622">
        <f t="shared" si="63"/>
        <v>3</v>
      </c>
      <c r="AR210" s="615">
        <f t="shared" si="72"/>
        <v>24</v>
      </c>
      <c r="AS210" s="620">
        <v>11.4</v>
      </c>
      <c r="AT210" s="620"/>
      <c r="AU210" s="620">
        <v>11</v>
      </c>
      <c r="AV210" s="623">
        <f t="shared" si="64"/>
        <v>22.4</v>
      </c>
      <c r="AW210" s="621">
        <v>4.41</v>
      </c>
      <c r="AX210" s="621">
        <v>3.79</v>
      </c>
      <c r="AY210" s="621">
        <v>90</v>
      </c>
      <c r="AZ210" s="624">
        <f t="shared" si="65"/>
        <v>-1.6000000000000014</v>
      </c>
      <c r="BA210" s="623">
        <v>24</v>
      </c>
      <c r="BB210" s="620">
        <v>9</v>
      </c>
      <c r="BC210" s="620">
        <v>11</v>
      </c>
      <c r="BD210" s="623">
        <f t="shared" si="66"/>
        <v>20</v>
      </c>
      <c r="BE210" s="621"/>
      <c r="BF210" s="621"/>
      <c r="BG210" s="621"/>
      <c r="BH210" s="621">
        <f t="shared" si="67"/>
        <v>4</v>
      </c>
    </row>
    <row r="211" spans="1:60" ht="17.25" thickTop="1" thickBot="1" x14ac:dyDescent="0.3">
      <c r="A211" s="77">
        <v>204</v>
      </c>
      <c r="B211" s="603">
        <f t="shared" ca="1" si="55"/>
        <v>43134</v>
      </c>
      <c r="C211" s="29" t="s">
        <v>2865</v>
      </c>
      <c r="D211" s="59" t="s">
        <v>2850</v>
      </c>
      <c r="E211" s="22" t="s">
        <v>101</v>
      </c>
      <c r="F211" s="295" t="s">
        <v>868</v>
      </c>
      <c r="G211" s="567">
        <v>42731</v>
      </c>
      <c r="H211" s="609">
        <f t="shared" si="68"/>
        <v>0</v>
      </c>
      <c r="I211" s="620"/>
      <c r="J211" s="620"/>
      <c r="K211" s="620"/>
      <c r="L211" s="611">
        <f t="shared" si="56"/>
        <v>0</v>
      </c>
      <c r="M211" s="621"/>
      <c r="N211" s="621"/>
      <c r="O211" s="621"/>
      <c r="P211" s="622">
        <f t="shared" si="57"/>
        <v>0</v>
      </c>
      <c r="Q211" s="609">
        <f t="shared" si="69"/>
        <v>22.2</v>
      </c>
      <c r="R211" s="620"/>
      <c r="S211" s="620"/>
      <c r="T211" s="620"/>
      <c r="U211" s="611">
        <f t="shared" si="58"/>
        <v>0</v>
      </c>
      <c r="V211" s="621"/>
      <c r="W211" s="621"/>
      <c r="X211" s="621"/>
      <c r="Y211" s="622">
        <f t="shared" si="59"/>
        <v>-22.2</v>
      </c>
      <c r="Z211" s="609">
        <f t="shared" si="70"/>
        <v>22.2</v>
      </c>
      <c r="AA211" s="620">
        <v>9.5</v>
      </c>
      <c r="AB211" s="620"/>
      <c r="AC211" s="620">
        <v>10</v>
      </c>
      <c r="AD211" s="611">
        <f t="shared" si="60"/>
        <v>19.5</v>
      </c>
      <c r="AE211" s="621"/>
      <c r="AF211" s="621"/>
      <c r="AG211" s="621"/>
      <c r="AH211" s="622">
        <f t="shared" si="61"/>
        <v>-2.6999999999999993</v>
      </c>
      <c r="AI211" s="609">
        <f t="shared" si="71"/>
        <v>13.5</v>
      </c>
      <c r="AJ211" s="620">
        <v>12.2</v>
      </c>
      <c r="AK211" s="620"/>
      <c r="AL211" s="620">
        <v>10</v>
      </c>
      <c r="AM211" s="623">
        <f t="shared" si="62"/>
        <v>22.2</v>
      </c>
      <c r="AN211" s="621"/>
      <c r="AO211" s="621"/>
      <c r="AP211" s="621"/>
      <c r="AQ211" s="622">
        <f t="shared" si="63"/>
        <v>8.6999999999999993</v>
      </c>
      <c r="AR211" s="615">
        <f t="shared" si="72"/>
        <v>21</v>
      </c>
      <c r="AS211" s="620">
        <v>7.5</v>
      </c>
      <c r="AT211" s="620"/>
      <c r="AU211" s="620">
        <v>6</v>
      </c>
      <c r="AV211" s="623">
        <f t="shared" si="64"/>
        <v>13.5</v>
      </c>
      <c r="AW211" s="621"/>
      <c r="AX211" s="621"/>
      <c r="AY211" s="621"/>
      <c r="AZ211" s="624">
        <f t="shared" si="65"/>
        <v>-7.5</v>
      </c>
      <c r="BA211" s="623">
        <v>21</v>
      </c>
      <c r="BB211" s="620">
        <v>11</v>
      </c>
      <c r="BC211" s="620">
        <v>10</v>
      </c>
      <c r="BD211" s="623">
        <f t="shared" si="66"/>
        <v>21</v>
      </c>
      <c r="BE211" s="621"/>
      <c r="BF211" s="621"/>
      <c r="BG211" s="621"/>
      <c r="BH211" s="621">
        <f t="shared" si="67"/>
        <v>0</v>
      </c>
    </row>
    <row r="212" spans="1:60" ht="17.25" thickTop="1" thickBot="1" x14ac:dyDescent="0.3">
      <c r="A212" s="602">
        <v>205</v>
      </c>
      <c r="B212" s="603">
        <f t="shared" ca="1" si="55"/>
        <v>43134</v>
      </c>
      <c r="C212" s="29" t="s">
        <v>2865</v>
      </c>
      <c r="D212" s="59" t="s">
        <v>2850</v>
      </c>
      <c r="E212" s="22" t="s">
        <v>766</v>
      </c>
      <c r="F212" s="295" t="s">
        <v>767</v>
      </c>
      <c r="G212" s="567">
        <v>42530</v>
      </c>
      <c r="H212" s="609">
        <f t="shared" si="68"/>
        <v>20</v>
      </c>
      <c r="I212" s="620">
        <v>8</v>
      </c>
      <c r="J212" s="620">
        <v>9</v>
      </c>
      <c r="K212" s="620">
        <v>9</v>
      </c>
      <c r="L212" s="611">
        <f t="shared" si="56"/>
        <v>26</v>
      </c>
      <c r="M212" s="621"/>
      <c r="N212" s="621"/>
      <c r="O212" s="621"/>
      <c r="P212" s="622">
        <f t="shared" si="57"/>
        <v>6</v>
      </c>
      <c r="Q212" s="609">
        <f t="shared" si="69"/>
        <v>0</v>
      </c>
      <c r="R212" s="620">
        <v>11</v>
      </c>
      <c r="S212" s="620">
        <v>4</v>
      </c>
      <c r="T212" s="620">
        <v>5</v>
      </c>
      <c r="U212" s="611">
        <f t="shared" si="58"/>
        <v>20</v>
      </c>
      <c r="V212" s="621"/>
      <c r="W212" s="621"/>
      <c r="X212" s="621"/>
      <c r="Y212" s="622">
        <f t="shared" si="59"/>
        <v>20</v>
      </c>
      <c r="Z212" s="609">
        <f t="shared" si="70"/>
        <v>0</v>
      </c>
      <c r="AA212" s="620"/>
      <c r="AB212" s="620"/>
      <c r="AC212" s="620"/>
      <c r="AD212" s="611">
        <f t="shared" si="60"/>
        <v>0</v>
      </c>
      <c r="AE212" s="621"/>
      <c r="AF212" s="621"/>
      <c r="AG212" s="621"/>
      <c r="AH212" s="622">
        <f t="shared" si="61"/>
        <v>0</v>
      </c>
      <c r="AI212" s="609">
        <f t="shared" si="71"/>
        <v>6.4</v>
      </c>
      <c r="AJ212" s="620"/>
      <c r="AK212" s="620"/>
      <c r="AL212" s="620"/>
      <c r="AM212" s="623">
        <f t="shared" si="62"/>
        <v>0</v>
      </c>
      <c r="AN212" s="621"/>
      <c r="AO212" s="621"/>
      <c r="AP212" s="621"/>
      <c r="AQ212" s="622">
        <f t="shared" si="63"/>
        <v>-6.4</v>
      </c>
      <c r="AR212" s="615">
        <f t="shared" si="72"/>
        <v>13.7</v>
      </c>
      <c r="AS212" s="620">
        <v>2.4</v>
      </c>
      <c r="AT212" s="620"/>
      <c r="AU212" s="620">
        <v>4</v>
      </c>
      <c r="AV212" s="623">
        <f t="shared" si="64"/>
        <v>6.4</v>
      </c>
      <c r="AW212" s="621">
        <v>4.8499999999999996</v>
      </c>
      <c r="AX212" s="621">
        <v>4.49</v>
      </c>
      <c r="AY212" s="621">
        <v>117</v>
      </c>
      <c r="AZ212" s="624">
        <f t="shared" si="65"/>
        <v>-7.2999999999999989</v>
      </c>
      <c r="BA212" s="623">
        <v>13.7</v>
      </c>
      <c r="BB212" s="620">
        <v>3</v>
      </c>
      <c r="BC212" s="620">
        <v>3.5</v>
      </c>
      <c r="BD212" s="623">
        <f t="shared" si="66"/>
        <v>6.5</v>
      </c>
      <c r="BE212" s="621"/>
      <c r="BF212" s="621"/>
      <c r="BG212" s="621"/>
      <c r="BH212" s="621">
        <f t="shared" si="67"/>
        <v>7.1999999999999993</v>
      </c>
    </row>
    <row r="213" spans="1:60" ht="17.25" thickTop="1" thickBot="1" x14ac:dyDescent="0.3">
      <c r="A213" s="77">
        <v>206</v>
      </c>
      <c r="B213" s="603">
        <f t="shared" ca="1" si="55"/>
        <v>43134</v>
      </c>
      <c r="C213" s="29" t="s">
        <v>2865</v>
      </c>
      <c r="D213" s="59" t="s">
        <v>2850</v>
      </c>
      <c r="E213" s="22" t="s">
        <v>872</v>
      </c>
      <c r="F213" s="295" t="s">
        <v>873</v>
      </c>
      <c r="G213" s="567">
        <v>42634</v>
      </c>
      <c r="H213" s="609">
        <f t="shared" si="68"/>
        <v>14</v>
      </c>
      <c r="I213" s="620">
        <v>7</v>
      </c>
      <c r="J213" s="620">
        <v>6</v>
      </c>
      <c r="K213" s="620">
        <v>8</v>
      </c>
      <c r="L213" s="611">
        <f t="shared" si="56"/>
        <v>21</v>
      </c>
      <c r="M213" s="621"/>
      <c r="N213" s="621"/>
      <c r="O213" s="621"/>
      <c r="P213" s="622">
        <f t="shared" si="57"/>
        <v>7</v>
      </c>
      <c r="Q213" s="609">
        <f t="shared" si="69"/>
        <v>0</v>
      </c>
      <c r="R213" s="620">
        <v>5</v>
      </c>
      <c r="S213" s="620">
        <v>5</v>
      </c>
      <c r="T213" s="620">
        <v>4</v>
      </c>
      <c r="U213" s="611">
        <f t="shared" si="58"/>
        <v>14</v>
      </c>
      <c r="V213" s="621"/>
      <c r="W213" s="621"/>
      <c r="X213" s="621"/>
      <c r="Y213" s="622">
        <f t="shared" si="59"/>
        <v>14</v>
      </c>
      <c r="Z213" s="609">
        <f t="shared" si="70"/>
        <v>0</v>
      </c>
      <c r="AA213" s="620">
        <v>3</v>
      </c>
      <c r="AB213" s="620">
        <v>5</v>
      </c>
      <c r="AC213" s="620">
        <v>4</v>
      </c>
      <c r="AD213" s="611">
        <f t="shared" si="60"/>
        <v>12</v>
      </c>
      <c r="AE213" s="621"/>
      <c r="AF213" s="621"/>
      <c r="AG213" s="621"/>
      <c r="AH213" s="622">
        <f t="shared" si="61"/>
        <v>12</v>
      </c>
      <c r="AI213" s="609">
        <f t="shared" si="71"/>
        <v>17</v>
      </c>
      <c r="AJ213" s="620"/>
      <c r="AK213" s="620"/>
      <c r="AL213" s="620"/>
      <c r="AM213" s="623">
        <f t="shared" si="62"/>
        <v>0</v>
      </c>
      <c r="AN213" s="621"/>
      <c r="AO213" s="621"/>
      <c r="AP213" s="621"/>
      <c r="AQ213" s="622">
        <f t="shared" si="63"/>
        <v>-17</v>
      </c>
      <c r="AR213" s="615">
        <f t="shared" si="72"/>
        <v>14</v>
      </c>
      <c r="AS213" s="620">
        <v>9</v>
      </c>
      <c r="AT213" s="620"/>
      <c r="AU213" s="620">
        <v>8</v>
      </c>
      <c r="AV213" s="623">
        <f t="shared" si="64"/>
        <v>17</v>
      </c>
      <c r="AW213" s="621">
        <v>6</v>
      </c>
      <c r="AX213" s="621">
        <v>3.93</v>
      </c>
      <c r="AY213" s="621">
        <v>156</v>
      </c>
      <c r="AZ213" s="624">
        <f t="shared" si="65"/>
        <v>3</v>
      </c>
      <c r="BA213" s="623">
        <v>14</v>
      </c>
      <c r="BB213" s="620">
        <v>7</v>
      </c>
      <c r="BC213" s="620">
        <v>9</v>
      </c>
      <c r="BD213" s="623">
        <f t="shared" si="66"/>
        <v>16</v>
      </c>
      <c r="BE213" s="621"/>
      <c r="BF213" s="621"/>
      <c r="BG213" s="621"/>
      <c r="BH213" s="621">
        <f t="shared" si="67"/>
        <v>-2</v>
      </c>
    </row>
    <row r="214" spans="1:60" ht="17.25" thickTop="1" thickBot="1" x14ac:dyDescent="0.3">
      <c r="A214" s="602">
        <v>207</v>
      </c>
      <c r="B214" s="603">
        <f t="shared" ca="1" si="55"/>
        <v>43134</v>
      </c>
      <c r="C214" s="29" t="s">
        <v>2865</v>
      </c>
      <c r="D214" s="59" t="s">
        <v>2850</v>
      </c>
      <c r="E214" s="22" t="s">
        <v>818</v>
      </c>
      <c r="F214" s="295" t="s">
        <v>819</v>
      </c>
      <c r="G214" s="567">
        <v>42548</v>
      </c>
      <c r="H214" s="609">
        <f t="shared" si="68"/>
        <v>17</v>
      </c>
      <c r="I214" s="620">
        <v>1.2</v>
      </c>
      <c r="J214" s="620"/>
      <c r="K214" s="620">
        <v>1</v>
      </c>
      <c r="L214" s="611">
        <f t="shared" si="56"/>
        <v>2.2000000000000002</v>
      </c>
      <c r="M214" s="621"/>
      <c r="N214" s="621"/>
      <c r="O214" s="621"/>
      <c r="P214" s="622">
        <f t="shared" si="57"/>
        <v>-14.8</v>
      </c>
      <c r="Q214" s="609">
        <f t="shared" si="69"/>
        <v>19.399999999999999</v>
      </c>
      <c r="R214" s="620">
        <v>8</v>
      </c>
      <c r="S214" s="620"/>
      <c r="T214" s="620">
        <v>9</v>
      </c>
      <c r="U214" s="611">
        <f t="shared" si="58"/>
        <v>17</v>
      </c>
      <c r="V214" s="621"/>
      <c r="W214" s="621"/>
      <c r="X214" s="621"/>
      <c r="Y214" s="622">
        <f t="shared" si="59"/>
        <v>-2.3999999999999986</v>
      </c>
      <c r="Z214" s="609">
        <f t="shared" si="70"/>
        <v>19.399999999999999</v>
      </c>
      <c r="AA214" s="620">
        <v>7.5</v>
      </c>
      <c r="AB214" s="620"/>
      <c r="AC214" s="620">
        <v>9</v>
      </c>
      <c r="AD214" s="611">
        <f t="shared" si="60"/>
        <v>16.5</v>
      </c>
      <c r="AE214" s="621"/>
      <c r="AF214" s="621"/>
      <c r="AG214" s="621"/>
      <c r="AH214" s="622">
        <f t="shared" si="61"/>
        <v>-2.8999999999999986</v>
      </c>
      <c r="AI214" s="609">
        <f t="shared" si="71"/>
        <v>17.8</v>
      </c>
      <c r="AJ214" s="620">
        <v>10</v>
      </c>
      <c r="AK214" s="620"/>
      <c r="AL214" s="620">
        <v>9.4</v>
      </c>
      <c r="AM214" s="623">
        <f t="shared" si="62"/>
        <v>19.399999999999999</v>
      </c>
      <c r="AN214" s="621"/>
      <c r="AO214" s="621"/>
      <c r="AP214" s="621"/>
      <c r="AQ214" s="622">
        <f t="shared" si="63"/>
        <v>1.5999999999999979</v>
      </c>
      <c r="AR214" s="615">
        <f t="shared" si="72"/>
        <v>20.6</v>
      </c>
      <c r="AS214" s="620">
        <v>9.8000000000000007</v>
      </c>
      <c r="AT214" s="620"/>
      <c r="AU214" s="620">
        <v>8</v>
      </c>
      <c r="AV214" s="623">
        <f t="shared" si="64"/>
        <v>17.8</v>
      </c>
      <c r="AW214" s="621">
        <v>3.43</v>
      </c>
      <c r="AX214" s="621">
        <v>3.57</v>
      </c>
      <c r="AY214" s="621">
        <v>101</v>
      </c>
      <c r="AZ214" s="624">
        <f t="shared" si="65"/>
        <v>-2.8000000000000007</v>
      </c>
      <c r="BA214" s="623">
        <v>20.6</v>
      </c>
      <c r="BB214" s="620">
        <v>8.5</v>
      </c>
      <c r="BC214" s="620">
        <v>7</v>
      </c>
      <c r="BD214" s="623">
        <f t="shared" si="66"/>
        <v>15.5</v>
      </c>
      <c r="BE214" s="621"/>
      <c r="BF214" s="621"/>
      <c r="BG214" s="621"/>
      <c r="BH214" s="621">
        <f t="shared" si="67"/>
        <v>5.1000000000000014</v>
      </c>
    </row>
    <row r="215" spans="1:60" ht="17.25" thickTop="1" thickBot="1" x14ac:dyDescent="0.3">
      <c r="A215" s="77">
        <v>208</v>
      </c>
      <c r="B215" s="603">
        <f t="shared" ca="1" si="55"/>
        <v>43134</v>
      </c>
      <c r="C215" s="29" t="s">
        <v>2865</v>
      </c>
      <c r="D215" s="59" t="s">
        <v>2850</v>
      </c>
      <c r="E215" s="22" t="s">
        <v>264</v>
      </c>
      <c r="F215" s="295" t="s">
        <v>265</v>
      </c>
      <c r="G215" s="567">
        <v>42663</v>
      </c>
      <c r="H215" s="609">
        <f t="shared" si="68"/>
        <v>0</v>
      </c>
      <c r="I215" s="620">
        <v>5</v>
      </c>
      <c r="J215" s="620">
        <v>4</v>
      </c>
      <c r="K215" s="620">
        <v>4</v>
      </c>
      <c r="L215" s="611">
        <f t="shared" si="56"/>
        <v>13</v>
      </c>
      <c r="M215" s="621"/>
      <c r="N215" s="621"/>
      <c r="O215" s="621"/>
      <c r="P215" s="622">
        <f t="shared" si="57"/>
        <v>13</v>
      </c>
      <c r="Q215" s="609">
        <f t="shared" si="69"/>
        <v>7.6</v>
      </c>
      <c r="R215" s="620"/>
      <c r="S215" s="620"/>
      <c r="T215" s="620"/>
      <c r="U215" s="611">
        <f t="shared" si="58"/>
        <v>0</v>
      </c>
      <c r="V215" s="621"/>
      <c r="W215" s="621"/>
      <c r="X215" s="621"/>
      <c r="Y215" s="622">
        <f t="shared" si="59"/>
        <v>-7.6</v>
      </c>
      <c r="Z215" s="609">
        <f t="shared" si="70"/>
        <v>7.6</v>
      </c>
      <c r="AA215" s="620"/>
      <c r="AB215" s="620"/>
      <c r="AC215" s="620"/>
      <c r="AD215" s="611">
        <f t="shared" si="60"/>
        <v>0</v>
      </c>
      <c r="AE215" s="621"/>
      <c r="AF215" s="621"/>
      <c r="AG215" s="621"/>
      <c r="AH215" s="622">
        <f t="shared" si="61"/>
        <v>-7.6</v>
      </c>
      <c r="AI215" s="609">
        <f t="shared" si="71"/>
        <v>13</v>
      </c>
      <c r="AJ215" s="620">
        <v>4.5999999999999996</v>
      </c>
      <c r="AK215" s="620"/>
      <c r="AL215" s="620">
        <v>3</v>
      </c>
      <c r="AM215" s="623">
        <f t="shared" si="62"/>
        <v>7.6</v>
      </c>
      <c r="AN215" s="621"/>
      <c r="AO215" s="621"/>
      <c r="AP215" s="621"/>
      <c r="AQ215" s="622">
        <f t="shared" si="63"/>
        <v>-5.4</v>
      </c>
      <c r="AR215" s="615">
        <f t="shared" si="72"/>
        <v>16</v>
      </c>
      <c r="AS215" s="620">
        <v>5</v>
      </c>
      <c r="AT215" s="620"/>
      <c r="AU215" s="620">
        <v>8</v>
      </c>
      <c r="AV215" s="623">
        <f t="shared" si="64"/>
        <v>13</v>
      </c>
      <c r="AW215" s="621">
        <v>4.7</v>
      </c>
      <c r="AX215" s="621">
        <v>3.81</v>
      </c>
      <c r="AY215" s="621">
        <v>97</v>
      </c>
      <c r="AZ215" s="624">
        <f t="shared" si="65"/>
        <v>-3</v>
      </c>
      <c r="BA215" s="623">
        <v>16</v>
      </c>
      <c r="BB215" s="620">
        <v>6.2</v>
      </c>
      <c r="BC215" s="620">
        <v>9.1999999999999993</v>
      </c>
      <c r="BD215" s="623">
        <f t="shared" si="66"/>
        <v>15.399999999999999</v>
      </c>
      <c r="BE215" s="621"/>
      <c r="BF215" s="621"/>
      <c r="BG215" s="621"/>
      <c r="BH215" s="621">
        <f t="shared" si="67"/>
        <v>0.60000000000000142</v>
      </c>
    </row>
    <row r="216" spans="1:60" ht="17.25" thickTop="1" thickBot="1" x14ac:dyDescent="0.3">
      <c r="A216" s="602">
        <v>209</v>
      </c>
      <c r="B216" s="603">
        <f t="shared" ca="1" si="55"/>
        <v>43134</v>
      </c>
      <c r="C216" s="29" t="s">
        <v>2865</v>
      </c>
      <c r="D216" s="59" t="s">
        <v>2850</v>
      </c>
      <c r="E216" s="22" t="s">
        <v>820</v>
      </c>
      <c r="F216" s="295" t="s">
        <v>821</v>
      </c>
      <c r="G216" s="567">
        <v>42513</v>
      </c>
      <c r="H216" s="609">
        <f t="shared" si="68"/>
        <v>11.5</v>
      </c>
      <c r="I216" s="620">
        <v>1</v>
      </c>
      <c r="J216" s="620">
        <v>2</v>
      </c>
      <c r="K216" s="620">
        <v>1</v>
      </c>
      <c r="L216" s="611">
        <f t="shared" si="56"/>
        <v>4</v>
      </c>
      <c r="M216" s="621"/>
      <c r="N216" s="621"/>
      <c r="O216" s="621"/>
      <c r="P216" s="622">
        <f t="shared" si="57"/>
        <v>-7.5</v>
      </c>
      <c r="Q216" s="609">
        <f t="shared" si="69"/>
        <v>0</v>
      </c>
      <c r="R216" s="620">
        <v>4</v>
      </c>
      <c r="S216" s="620">
        <v>3.5</v>
      </c>
      <c r="T216" s="620">
        <v>4</v>
      </c>
      <c r="U216" s="611">
        <f t="shared" si="58"/>
        <v>11.5</v>
      </c>
      <c r="V216" s="621"/>
      <c r="W216" s="621"/>
      <c r="X216" s="621"/>
      <c r="Y216" s="622">
        <f t="shared" si="59"/>
        <v>11.5</v>
      </c>
      <c r="Z216" s="609">
        <f t="shared" si="70"/>
        <v>0</v>
      </c>
      <c r="AA216" s="620"/>
      <c r="AB216" s="620"/>
      <c r="AC216" s="620">
        <v>3</v>
      </c>
      <c r="AD216" s="611">
        <f t="shared" si="60"/>
        <v>3</v>
      </c>
      <c r="AE216" s="621"/>
      <c r="AF216" s="621"/>
      <c r="AG216" s="621"/>
      <c r="AH216" s="622">
        <f t="shared" si="61"/>
        <v>3</v>
      </c>
      <c r="AI216" s="609">
        <f t="shared" si="71"/>
        <v>19</v>
      </c>
      <c r="AJ216" s="620"/>
      <c r="AK216" s="620"/>
      <c r="AL216" s="620"/>
      <c r="AM216" s="623">
        <f t="shared" si="62"/>
        <v>0</v>
      </c>
      <c r="AN216" s="621"/>
      <c r="AO216" s="621"/>
      <c r="AP216" s="621"/>
      <c r="AQ216" s="622">
        <f t="shared" si="63"/>
        <v>-19</v>
      </c>
      <c r="AR216" s="615">
        <f t="shared" si="72"/>
        <v>19.3</v>
      </c>
      <c r="AS216" s="620">
        <v>11</v>
      </c>
      <c r="AT216" s="620"/>
      <c r="AU216" s="620">
        <v>8</v>
      </c>
      <c r="AV216" s="623">
        <f t="shared" si="64"/>
        <v>19</v>
      </c>
      <c r="AW216" s="621">
        <v>4.83</v>
      </c>
      <c r="AX216" s="621">
        <v>3.84</v>
      </c>
      <c r="AY216" s="621">
        <v>112</v>
      </c>
      <c r="AZ216" s="624">
        <f t="shared" si="65"/>
        <v>-0.30000000000000071</v>
      </c>
      <c r="BA216" s="623">
        <v>19.3</v>
      </c>
      <c r="BB216" s="620">
        <v>8</v>
      </c>
      <c r="BC216" s="620">
        <v>8.5</v>
      </c>
      <c r="BD216" s="623">
        <f t="shared" si="66"/>
        <v>16.5</v>
      </c>
      <c r="BE216" s="621"/>
      <c r="BF216" s="621"/>
      <c r="BG216" s="621"/>
      <c r="BH216" s="621">
        <f t="shared" si="67"/>
        <v>2.8000000000000007</v>
      </c>
    </row>
    <row r="217" spans="1:60" ht="17.25" thickTop="1" thickBot="1" x14ac:dyDescent="0.3">
      <c r="A217" s="77">
        <v>210</v>
      </c>
      <c r="B217" s="603">
        <f t="shared" ca="1" si="55"/>
        <v>43134</v>
      </c>
      <c r="C217" s="29" t="s">
        <v>2865</v>
      </c>
      <c r="D217" s="59" t="s">
        <v>2850</v>
      </c>
      <c r="E217" s="22" t="s">
        <v>104</v>
      </c>
      <c r="F217" s="295" t="s">
        <v>825</v>
      </c>
      <c r="G217" s="567">
        <v>42640</v>
      </c>
      <c r="H217" s="609">
        <f t="shared" si="68"/>
        <v>16.2</v>
      </c>
      <c r="I217" s="620">
        <v>6</v>
      </c>
      <c r="J217" s="620"/>
      <c r="K217" s="620">
        <v>6</v>
      </c>
      <c r="L217" s="611">
        <f t="shared" si="56"/>
        <v>12</v>
      </c>
      <c r="M217" s="621"/>
      <c r="N217" s="621"/>
      <c r="O217" s="621"/>
      <c r="P217" s="622">
        <f t="shared" si="57"/>
        <v>-4.1999999999999993</v>
      </c>
      <c r="Q217" s="609">
        <f t="shared" si="69"/>
        <v>19</v>
      </c>
      <c r="R217" s="620">
        <v>7.2</v>
      </c>
      <c r="S217" s="620"/>
      <c r="T217" s="620">
        <v>9</v>
      </c>
      <c r="U217" s="611">
        <f t="shared" si="58"/>
        <v>16.2</v>
      </c>
      <c r="V217" s="621"/>
      <c r="W217" s="621"/>
      <c r="X217" s="621"/>
      <c r="Y217" s="622">
        <f t="shared" si="59"/>
        <v>-2.8000000000000007</v>
      </c>
      <c r="Z217" s="609">
        <f t="shared" si="70"/>
        <v>19</v>
      </c>
      <c r="AA217" s="620">
        <v>10</v>
      </c>
      <c r="AB217" s="620"/>
      <c r="AC217" s="620">
        <v>7</v>
      </c>
      <c r="AD217" s="611">
        <f t="shared" si="60"/>
        <v>17</v>
      </c>
      <c r="AE217" s="621"/>
      <c r="AF217" s="621"/>
      <c r="AG217" s="621"/>
      <c r="AH217" s="622">
        <f t="shared" si="61"/>
        <v>-2</v>
      </c>
      <c r="AI217" s="609">
        <f t="shared" si="71"/>
        <v>22</v>
      </c>
      <c r="AJ217" s="620">
        <v>11</v>
      </c>
      <c r="AK217" s="620"/>
      <c r="AL217" s="620">
        <v>8</v>
      </c>
      <c r="AM217" s="623">
        <f t="shared" si="62"/>
        <v>19</v>
      </c>
      <c r="AN217" s="621"/>
      <c r="AO217" s="621"/>
      <c r="AP217" s="621"/>
      <c r="AQ217" s="622">
        <f t="shared" si="63"/>
        <v>-3</v>
      </c>
      <c r="AR217" s="615">
        <f t="shared" si="72"/>
        <v>18</v>
      </c>
      <c r="AS217" s="620">
        <v>11</v>
      </c>
      <c r="AT217" s="620"/>
      <c r="AU217" s="620">
        <v>11</v>
      </c>
      <c r="AV217" s="623">
        <f t="shared" si="64"/>
        <v>22</v>
      </c>
      <c r="AW217" s="621">
        <v>5.29</v>
      </c>
      <c r="AX217" s="621">
        <v>3.86</v>
      </c>
      <c r="AY217" s="621">
        <v>90</v>
      </c>
      <c r="AZ217" s="624">
        <f t="shared" si="65"/>
        <v>4</v>
      </c>
      <c r="BA217" s="623">
        <v>18</v>
      </c>
      <c r="BB217" s="620">
        <v>8</v>
      </c>
      <c r="BC217" s="620">
        <v>8</v>
      </c>
      <c r="BD217" s="623">
        <f t="shared" si="66"/>
        <v>16</v>
      </c>
      <c r="BE217" s="621"/>
      <c r="BF217" s="621"/>
      <c r="BG217" s="621"/>
      <c r="BH217" s="621">
        <f t="shared" si="67"/>
        <v>2</v>
      </c>
    </row>
    <row r="218" spans="1:60" ht="17.25" thickTop="1" thickBot="1" x14ac:dyDescent="0.3">
      <c r="A218" s="602">
        <v>211</v>
      </c>
      <c r="B218" s="603">
        <f t="shared" ca="1" si="55"/>
        <v>43134</v>
      </c>
      <c r="C218" s="29" t="s">
        <v>2865</v>
      </c>
      <c r="D218" s="59" t="s">
        <v>2850</v>
      </c>
      <c r="E218" s="22" t="s">
        <v>701</v>
      </c>
      <c r="F218" s="295" t="s">
        <v>826</v>
      </c>
      <c r="G218" s="567">
        <v>42559</v>
      </c>
      <c r="H218" s="609">
        <f t="shared" si="68"/>
        <v>26</v>
      </c>
      <c r="I218" s="620">
        <v>8.1999999999999993</v>
      </c>
      <c r="J218" s="620"/>
      <c r="K218" s="620">
        <v>8.1999999999999993</v>
      </c>
      <c r="L218" s="611">
        <f t="shared" si="56"/>
        <v>16.399999999999999</v>
      </c>
      <c r="M218" s="621"/>
      <c r="N218" s="621"/>
      <c r="O218" s="621"/>
      <c r="P218" s="622">
        <f t="shared" si="57"/>
        <v>-9.6000000000000014</v>
      </c>
      <c r="Q218" s="609">
        <f t="shared" si="69"/>
        <v>25</v>
      </c>
      <c r="R218" s="620">
        <v>11</v>
      </c>
      <c r="S218" s="620"/>
      <c r="T218" s="620">
        <v>15</v>
      </c>
      <c r="U218" s="611">
        <f t="shared" si="58"/>
        <v>26</v>
      </c>
      <c r="V218" s="621"/>
      <c r="W218" s="621"/>
      <c r="X218" s="621"/>
      <c r="Y218" s="622">
        <f t="shared" si="59"/>
        <v>1</v>
      </c>
      <c r="Z218" s="609">
        <f t="shared" si="70"/>
        <v>25</v>
      </c>
      <c r="AA218" s="620">
        <v>14</v>
      </c>
      <c r="AB218" s="620"/>
      <c r="AC218" s="620">
        <v>11</v>
      </c>
      <c r="AD218" s="611">
        <f t="shared" si="60"/>
        <v>25</v>
      </c>
      <c r="AE218" s="621"/>
      <c r="AF218" s="621"/>
      <c r="AG218" s="621"/>
      <c r="AH218" s="622">
        <f t="shared" si="61"/>
        <v>0</v>
      </c>
      <c r="AI218" s="609">
        <f t="shared" si="71"/>
        <v>28.799999999999997</v>
      </c>
      <c r="AJ218" s="620">
        <v>15</v>
      </c>
      <c r="AK218" s="620"/>
      <c r="AL218" s="620">
        <v>10</v>
      </c>
      <c r="AM218" s="623">
        <f t="shared" si="62"/>
        <v>25</v>
      </c>
      <c r="AN218" s="621"/>
      <c r="AO218" s="621"/>
      <c r="AP218" s="621"/>
      <c r="AQ218" s="622">
        <f t="shared" si="63"/>
        <v>-3.7999999999999972</v>
      </c>
      <c r="AR218" s="615">
        <f t="shared" si="72"/>
        <v>26.8</v>
      </c>
      <c r="AS218" s="620">
        <v>15.2</v>
      </c>
      <c r="AT218" s="620"/>
      <c r="AU218" s="620">
        <v>13.6</v>
      </c>
      <c r="AV218" s="623">
        <f t="shared" si="64"/>
        <v>28.799999999999997</v>
      </c>
      <c r="AW218" s="621">
        <v>3.73</v>
      </c>
      <c r="AX218" s="621">
        <v>3.87</v>
      </c>
      <c r="AY218" s="621">
        <v>90</v>
      </c>
      <c r="AZ218" s="624">
        <f t="shared" si="65"/>
        <v>1.9999999999999964</v>
      </c>
      <c r="BA218" s="623">
        <v>26.8</v>
      </c>
      <c r="BB218" s="620">
        <v>11</v>
      </c>
      <c r="BC218" s="620">
        <v>10</v>
      </c>
      <c r="BD218" s="623">
        <f t="shared" si="66"/>
        <v>21</v>
      </c>
      <c r="BE218" s="621"/>
      <c r="BF218" s="621"/>
      <c r="BG218" s="621"/>
      <c r="BH218" s="621">
        <f t="shared" si="67"/>
        <v>5.8000000000000007</v>
      </c>
    </row>
    <row r="219" spans="1:60" ht="17.25" thickTop="1" thickBot="1" x14ac:dyDescent="0.3">
      <c r="A219" s="77">
        <v>212</v>
      </c>
      <c r="B219" s="603">
        <f t="shared" ca="1" si="55"/>
        <v>43134</v>
      </c>
      <c r="C219" s="29" t="s">
        <v>2865</v>
      </c>
      <c r="D219" s="59" t="s">
        <v>2850</v>
      </c>
      <c r="E219" s="22" t="s">
        <v>105</v>
      </c>
      <c r="F219" s="295" t="s">
        <v>883</v>
      </c>
      <c r="G219" s="567">
        <v>42543</v>
      </c>
      <c r="H219" s="609">
        <f t="shared" si="68"/>
        <v>0</v>
      </c>
      <c r="I219" s="620">
        <v>8</v>
      </c>
      <c r="J219" s="620">
        <v>7.5</v>
      </c>
      <c r="K219" s="620">
        <v>7.8</v>
      </c>
      <c r="L219" s="611">
        <f t="shared" si="56"/>
        <v>23.3</v>
      </c>
      <c r="M219" s="621"/>
      <c r="N219" s="621"/>
      <c r="O219" s="621"/>
      <c r="P219" s="622">
        <f t="shared" si="57"/>
        <v>23.3</v>
      </c>
      <c r="Q219" s="609">
        <f t="shared" si="69"/>
        <v>21.6</v>
      </c>
      <c r="R219" s="620"/>
      <c r="S219" s="620"/>
      <c r="T219" s="620"/>
      <c r="U219" s="611">
        <f t="shared" si="58"/>
        <v>0</v>
      </c>
      <c r="V219" s="621"/>
      <c r="W219" s="621"/>
      <c r="X219" s="621"/>
      <c r="Y219" s="622">
        <f t="shared" si="59"/>
        <v>-21.6</v>
      </c>
      <c r="Z219" s="609">
        <f t="shared" si="70"/>
        <v>21.6</v>
      </c>
      <c r="AA219" s="620"/>
      <c r="AB219" s="620"/>
      <c r="AC219" s="620"/>
      <c r="AD219" s="611">
        <f t="shared" si="60"/>
        <v>0</v>
      </c>
      <c r="AE219" s="621"/>
      <c r="AF219" s="621"/>
      <c r="AG219" s="621"/>
      <c r="AH219" s="622">
        <f t="shared" si="61"/>
        <v>-21.6</v>
      </c>
      <c r="AI219" s="609">
        <f t="shared" si="71"/>
        <v>19.399999999999999</v>
      </c>
      <c r="AJ219" s="620">
        <v>10.6</v>
      </c>
      <c r="AK219" s="620"/>
      <c r="AL219" s="620">
        <v>11</v>
      </c>
      <c r="AM219" s="623">
        <f t="shared" si="62"/>
        <v>21.6</v>
      </c>
      <c r="AN219" s="621"/>
      <c r="AO219" s="621"/>
      <c r="AP219" s="621"/>
      <c r="AQ219" s="622">
        <f t="shared" si="63"/>
        <v>2.2000000000000028</v>
      </c>
      <c r="AR219" s="615">
        <f t="shared" si="72"/>
        <v>19</v>
      </c>
      <c r="AS219" s="620">
        <v>9.4</v>
      </c>
      <c r="AT219" s="620"/>
      <c r="AU219" s="620">
        <v>10</v>
      </c>
      <c r="AV219" s="623">
        <f t="shared" si="64"/>
        <v>19.399999999999999</v>
      </c>
      <c r="AW219" s="621">
        <v>5</v>
      </c>
      <c r="AX219" s="621">
        <v>4.04</v>
      </c>
      <c r="AY219" s="621">
        <v>146</v>
      </c>
      <c r="AZ219" s="624">
        <f t="shared" si="65"/>
        <v>0.39999999999999858</v>
      </c>
      <c r="BA219" s="623">
        <v>19</v>
      </c>
      <c r="BB219" s="620">
        <v>9</v>
      </c>
      <c r="BC219" s="620">
        <v>9</v>
      </c>
      <c r="BD219" s="623">
        <f t="shared" si="66"/>
        <v>18</v>
      </c>
      <c r="BE219" s="621"/>
      <c r="BF219" s="621"/>
      <c r="BG219" s="621"/>
      <c r="BH219" s="621">
        <f t="shared" si="67"/>
        <v>1</v>
      </c>
    </row>
    <row r="220" spans="1:60" ht="17.25" thickTop="1" thickBot="1" x14ac:dyDescent="0.3">
      <c r="A220" s="602">
        <v>213</v>
      </c>
      <c r="B220" s="603">
        <f t="shared" ca="1" si="55"/>
        <v>43134</v>
      </c>
      <c r="C220" s="29" t="s">
        <v>2865</v>
      </c>
      <c r="D220" s="59" t="s">
        <v>2850</v>
      </c>
      <c r="E220" s="22" t="s">
        <v>735</v>
      </c>
      <c r="F220" s="295" t="s">
        <v>835</v>
      </c>
      <c r="G220" s="567">
        <v>42564</v>
      </c>
      <c r="H220" s="609">
        <f t="shared" si="68"/>
        <v>10.5</v>
      </c>
      <c r="I220" s="620"/>
      <c r="J220" s="620"/>
      <c r="K220" s="620"/>
      <c r="L220" s="611">
        <f t="shared" si="56"/>
        <v>0</v>
      </c>
      <c r="M220" s="621"/>
      <c r="N220" s="621"/>
      <c r="O220" s="621"/>
      <c r="P220" s="622">
        <f t="shared" si="57"/>
        <v>-10.5</v>
      </c>
      <c r="Q220" s="609">
        <f t="shared" si="69"/>
        <v>21</v>
      </c>
      <c r="R220" s="620">
        <v>0.5</v>
      </c>
      <c r="S220" s="620"/>
      <c r="T220" s="620">
        <v>10</v>
      </c>
      <c r="U220" s="611">
        <f t="shared" si="58"/>
        <v>10.5</v>
      </c>
      <c r="V220" s="621"/>
      <c r="W220" s="621"/>
      <c r="X220" s="621"/>
      <c r="Y220" s="622">
        <f t="shared" si="59"/>
        <v>-10.5</v>
      </c>
      <c r="Z220" s="609">
        <f t="shared" si="70"/>
        <v>21</v>
      </c>
      <c r="AA220" s="620">
        <v>4</v>
      </c>
      <c r="AB220" s="620"/>
      <c r="AC220" s="620">
        <v>4.4000000000000004</v>
      </c>
      <c r="AD220" s="611">
        <f t="shared" si="60"/>
        <v>8.4</v>
      </c>
      <c r="AE220" s="621"/>
      <c r="AF220" s="621"/>
      <c r="AG220" s="621"/>
      <c r="AH220" s="622">
        <f t="shared" si="61"/>
        <v>-12.6</v>
      </c>
      <c r="AI220" s="609">
        <f t="shared" si="71"/>
        <v>12.2</v>
      </c>
      <c r="AJ220" s="620">
        <v>9</v>
      </c>
      <c r="AK220" s="620"/>
      <c r="AL220" s="620">
        <v>12</v>
      </c>
      <c r="AM220" s="623">
        <f t="shared" si="62"/>
        <v>21</v>
      </c>
      <c r="AN220" s="621"/>
      <c r="AO220" s="621"/>
      <c r="AP220" s="621"/>
      <c r="AQ220" s="622">
        <f t="shared" si="63"/>
        <v>8.8000000000000007</v>
      </c>
      <c r="AR220" s="615">
        <f t="shared" si="72"/>
        <v>15.3</v>
      </c>
      <c r="AS220" s="620">
        <v>6</v>
      </c>
      <c r="AT220" s="620"/>
      <c r="AU220" s="620">
        <v>6.2</v>
      </c>
      <c r="AV220" s="623">
        <f t="shared" si="64"/>
        <v>12.2</v>
      </c>
      <c r="AW220" s="621">
        <v>3.96</v>
      </c>
      <c r="AX220" s="621">
        <v>3.28</v>
      </c>
      <c r="AY220" s="621">
        <v>90</v>
      </c>
      <c r="AZ220" s="624">
        <f t="shared" si="65"/>
        <v>-3.1000000000000014</v>
      </c>
      <c r="BA220" s="623">
        <v>15.3</v>
      </c>
      <c r="BB220" s="620">
        <v>5</v>
      </c>
      <c r="BC220" s="620">
        <v>7</v>
      </c>
      <c r="BD220" s="623">
        <f t="shared" si="66"/>
        <v>12</v>
      </c>
      <c r="BE220" s="621"/>
      <c r="BF220" s="621"/>
      <c r="BG220" s="621"/>
      <c r="BH220" s="621">
        <f t="shared" si="67"/>
        <v>3.3000000000000007</v>
      </c>
    </row>
    <row r="221" spans="1:60" ht="17.25" thickTop="1" thickBot="1" x14ac:dyDescent="0.3">
      <c r="A221" s="77">
        <v>214</v>
      </c>
      <c r="B221" s="603">
        <f t="shared" ca="1" si="55"/>
        <v>43134</v>
      </c>
      <c r="C221" s="29" t="s">
        <v>2865</v>
      </c>
      <c r="D221" s="59" t="s">
        <v>2850</v>
      </c>
      <c r="E221" s="22" t="s">
        <v>627</v>
      </c>
      <c r="F221" s="295" t="s">
        <v>628</v>
      </c>
      <c r="G221" s="567">
        <v>42580</v>
      </c>
      <c r="H221" s="609">
        <f t="shared" si="68"/>
        <v>22</v>
      </c>
      <c r="I221" s="620">
        <v>12</v>
      </c>
      <c r="J221" s="620">
        <v>10</v>
      </c>
      <c r="K221" s="620">
        <v>13</v>
      </c>
      <c r="L221" s="611">
        <f t="shared" si="56"/>
        <v>35</v>
      </c>
      <c r="M221" s="621"/>
      <c r="N221" s="621"/>
      <c r="O221" s="621"/>
      <c r="P221" s="622">
        <f t="shared" si="57"/>
        <v>13</v>
      </c>
      <c r="Q221" s="609">
        <f t="shared" si="69"/>
        <v>0</v>
      </c>
      <c r="R221" s="620">
        <v>7</v>
      </c>
      <c r="S221" s="620">
        <v>8.5</v>
      </c>
      <c r="T221" s="620">
        <v>6.5</v>
      </c>
      <c r="U221" s="611">
        <f t="shared" si="58"/>
        <v>22</v>
      </c>
      <c r="V221" s="621"/>
      <c r="W221" s="621"/>
      <c r="X221" s="621"/>
      <c r="Y221" s="622">
        <f t="shared" si="59"/>
        <v>22</v>
      </c>
      <c r="Z221" s="609">
        <f t="shared" si="70"/>
        <v>0</v>
      </c>
      <c r="AA221" s="620"/>
      <c r="AB221" s="620"/>
      <c r="AC221" s="620"/>
      <c r="AD221" s="611">
        <f t="shared" si="60"/>
        <v>0</v>
      </c>
      <c r="AE221" s="621"/>
      <c r="AF221" s="621"/>
      <c r="AG221" s="621"/>
      <c r="AH221" s="622">
        <f t="shared" si="61"/>
        <v>0</v>
      </c>
      <c r="AI221" s="609">
        <f t="shared" si="71"/>
        <v>20.399999999999999</v>
      </c>
      <c r="AJ221" s="620"/>
      <c r="AK221" s="620"/>
      <c r="AL221" s="620"/>
      <c r="AM221" s="623">
        <f t="shared" si="62"/>
        <v>0</v>
      </c>
      <c r="AN221" s="621"/>
      <c r="AO221" s="621"/>
      <c r="AP221" s="621"/>
      <c r="AQ221" s="622">
        <f t="shared" si="63"/>
        <v>-20.399999999999999</v>
      </c>
      <c r="AR221" s="615">
        <f t="shared" si="72"/>
        <v>28</v>
      </c>
      <c r="AS221" s="620">
        <v>9.1999999999999993</v>
      </c>
      <c r="AT221" s="620"/>
      <c r="AU221" s="620">
        <v>11.2</v>
      </c>
      <c r="AV221" s="623">
        <f t="shared" si="64"/>
        <v>20.399999999999999</v>
      </c>
      <c r="AW221" s="621">
        <v>5.32</v>
      </c>
      <c r="AX221" s="621">
        <v>4.09</v>
      </c>
      <c r="AY221" s="621">
        <v>130</v>
      </c>
      <c r="AZ221" s="624">
        <f t="shared" si="65"/>
        <v>-7.6000000000000014</v>
      </c>
      <c r="BA221" s="623">
        <v>28</v>
      </c>
      <c r="BB221" s="620">
        <v>11</v>
      </c>
      <c r="BC221" s="620">
        <v>9.5</v>
      </c>
      <c r="BD221" s="623">
        <f t="shared" si="66"/>
        <v>20.5</v>
      </c>
      <c r="BE221" s="621"/>
      <c r="BF221" s="621"/>
      <c r="BG221" s="621"/>
      <c r="BH221" s="621">
        <f t="shared" si="67"/>
        <v>7.5</v>
      </c>
    </row>
    <row r="222" spans="1:60" ht="17.25" thickTop="1" thickBot="1" x14ac:dyDescent="0.3">
      <c r="A222" s="602">
        <v>215</v>
      </c>
      <c r="B222" s="603">
        <f t="shared" ca="1" si="55"/>
        <v>43134</v>
      </c>
      <c r="C222" s="29" t="s">
        <v>2865</v>
      </c>
      <c r="D222" s="59" t="s">
        <v>2850</v>
      </c>
      <c r="E222" s="22" t="s">
        <v>239</v>
      </c>
      <c r="F222" s="295" t="s">
        <v>240</v>
      </c>
      <c r="G222" s="567">
        <v>42545</v>
      </c>
      <c r="H222" s="609">
        <f t="shared" si="68"/>
        <v>0</v>
      </c>
      <c r="I222" s="620">
        <v>13.9</v>
      </c>
      <c r="J222" s="620">
        <v>14</v>
      </c>
      <c r="K222" s="620">
        <v>15.9</v>
      </c>
      <c r="L222" s="611">
        <f t="shared" si="56"/>
        <v>43.8</v>
      </c>
      <c r="M222" s="621"/>
      <c r="N222" s="621"/>
      <c r="O222" s="621"/>
      <c r="P222" s="622">
        <f t="shared" si="57"/>
        <v>43.8</v>
      </c>
      <c r="Q222" s="609">
        <f t="shared" si="69"/>
        <v>25.8</v>
      </c>
      <c r="R222" s="620"/>
      <c r="S222" s="620"/>
      <c r="T222" s="620"/>
      <c r="U222" s="611">
        <f t="shared" si="58"/>
        <v>0</v>
      </c>
      <c r="V222" s="621"/>
      <c r="W222" s="621"/>
      <c r="X222" s="621"/>
      <c r="Y222" s="622">
        <f t="shared" si="59"/>
        <v>-25.8</v>
      </c>
      <c r="Z222" s="609">
        <f t="shared" si="70"/>
        <v>25.8</v>
      </c>
      <c r="AA222" s="620"/>
      <c r="AB222" s="620"/>
      <c r="AC222" s="620"/>
      <c r="AD222" s="611">
        <f t="shared" si="60"/>
        <v>0</v>
      </c>
      <c r="AE222" s="621"/>
      <c r="AF222" s="621"/>
      <c r="AG222" s="621"/>
      <c r="AH222" s="622">
        <f t="shared" si="61"/>
        <v>-25.8</v>
      </c>
      <c r="AI222" s="609">
        <f t="shared" si="71"/>
        <v>20.5</v>
      </c>
      <c r="AJ222" s="620">
        <v>13.8</v>
      </c>
      <c r="AK222" s="620"/>
      <c r="AL222" s="620">
        <v>12</v>
      </c>
      <c r="AM222" s="623">
        <f t="shared" si="62"/>
        <v>25.8</v>
      </c>
      <c r="AN222" s="621"/>
      <c r="AO222" s="621"/>
      <c r="AP222" s="621"/>
      <c r="AQ222" s="622">
        <f t="shared" si="63"/>
        <v>5.3000000000000007</v>
      </c>
      <c r="AR222" s="615">
        <f t="shared" si="72"/>
        <v>25</v>
      </c>
      <c r="AS222" s="620">
        <v>11</v>
      </c>
      <c r="AT222" s="620"/>
      <c r="AU222" s="620">
        <v>9.5</v>
      </c>
      <c r="AV222" s="623">
        <f t="shared" si="64"/>
        <v>20.5</v>
      </c>
      <c r="AW222" s="621">
        <v>4.9800000000000004</v>
      </c>
      <c r="AX222" s="621">
        <v>3.58</v>
      </c>
      <c r="AY222" s="621">
        <v>200</v>
      </c>
      <c r="AZ222" s="624">
        <f t="shared" si="65"/>
        <v>-4.5</v>
      </c>
      <c r="BA222" s="623">
        <v>25</v>
      </c>
      <c r="BB222" s="620">
        <v>8.5</v>
      </c>
      <c r="BC222" s="620">
        <v>8.5</v>
      </c>
      <c r="BD222" s="623">
        <f t="shared" si="66"/>
        <v>17</v>
      </c>
      <c r="BE222" s="621"/>
      <c r="BF222" s="621"/>
      <c r="BG222" s="621"/>
      <c r="BH222" s="621">
        <f t="shared" si="67"/>
        <v>8</v>
      </c>
    </row>
    <row r="223" spans="1:60" ht="17.25" thickTop="1" thickBot="1" x14ac:dyDescent="0.3">
      <c r="A223" s="77">
        <v>216</v>
      </c>
      <c r="B223" s="603">
        <f t="shared" ca="1" si="55"/>
        <v>43134</v>
      </c>
      <c r="C223" s="29" t="s">
        <v>2865</v>
      </c>
      <c r="D223" s="59" t="s">
        <v>2850</v>
      </c>
      <c r="E223" s="22" t="s">
        <v>229</v>
      </c>
      <c r="F223" s="295" t="s">
        <v>230</v>
      </c>
      <c r="G223" s="567">
        <v>42548</v>
      </c>
      <c r="H223" s="609">
        <f t="shared" si="68"/>
        <v>0</v>
      </c>
      <c r="I223" s="620"/>
      <c r="J223" s="620"/>
      <c r="K223" s="620"/>
      <c r="L223" s="611">
        <f t="shared" si="56"/>
        <v>0</v>
      </c>
      <c r="M223" s="621"/>
      <c r="N223" s="621"/>
      <c r="O223" s="621"/>
      <c r="P223" s="622">
        <f t="shared" si="57"/>
        <v>0</v>
      </c>
      <c r="Q223" s="609">
        <f t="shared" si="69"/>
        <v>11</v>
      </c>
      <c r="R223" s="620"/>
      <c r="S223" s="620"/>
      <c r="T223" s="620"/>
      <c r="U223" s="611">
        <f t="shared" si="58"/>
        <v>0</v>
      </c>
      <c r="V223" s="621"/>
      <c r="W223" s="621"/>
      <c r="X223" s="621"/>
      <c r="Y223" s="622">
        <f t="shared" si="59"/>
        <v>-11</v>
      </c>
      <c r="Z223" s="609">
        <f t="shared" si="70"/>
        <v>11</v>
      </c>
      <c r="AA223" s="620">
        <v>3</v>
      </c>
      <c r="AB223" s="620"/>
      <c r="AC223" s="620">
        <v>3.2</v>
      </c>
      <c r="AD223" s="611">
        <f t="shared" si="60"/>
        <v>6.2</v>
      </c>
      <c r="AE223" s="621"/>
      <c r="AF223" s="621"/>
      <c r="AG223" s="621"/>
      <c r="AH223" s="622">
        <f t="shared" si="61"/>
        <v>-4.8</v>
      </c>
      <c r="AI223" s="609">
        <f t="shared" si="71"/>
        <v>13.2</v>
      </c>
      <c r="AJ223" s="620">
        <v>7</v>
      </c>
      <c r="AK223" s="620"/>
      <c r="AL223" s="620">
        <v>4</v>
      </c>
      <c r="AM223" s="623">
        <f t="shared" si="62"/>
        <v>11</v>
      </c>
      <c r="AN223" s="621"/>
      <c r="AO223" s="621"/>
      <c r="AP223" s="621"/>
      <c r="AQ223" s="622">
        <f t="shared" si="63"/>
        <v>-2.1999999999999993</v>
      </c>
      <c r="AR223" s="615">
        <f t="shared" si="72"/>
        <v>14.5</v>
      </c>
      <c r="AS223" s="620">
        <v>7</v>
      </c>
      <c r="AT223" s="620"/>
      <c r="AU223" s="620">
        <v>6.2</v>
      </c>
      <c r="AV223" s="623">
        <f t="shared" si="64"/>
        <v>13.2</v>
      </c>
      <c r="AW223" s="621">
        <v>5.71</v>
      </c>
      <c r="AX223" s="621">
        <v>4.32</v>
      </c>
      <c r="AY223" s="621">
        <v>142</v>
      </c>
      <c r="AZ223" s="624">
        <f t="shared" si="65"/>
        <v>-1.3000000000000007</v>
      </c>
      <c r="BA223" s="623">
        <v>14.5</v>
      </c>
      <c r="BB223" s="620">
        <v>6</v>
      </c>
      <c r="BC223" s="620">
        <v>6.5</v>
      </c>
      <c r="BD223" s="623">
        <f t="shared" si="66"/>
        <v>12.5</v>
      </c>
      <c r="BE223" s="621"/>
      <c r="BF223" s="621"/>
      <c r="BG223" s="621"/>
      <c r="BH223" s="621">
        <f t="shared" si="67"/>
        <v>2</v>
      </c>
    </row>
    <row r="224" spans="1:60" ht="17.25" thickTop="1" thickBot="1" x14ac:dyDescent="0.3">
      <c r="A224" s="602">
        <v>217</v>
      </c>
      <c r="B224" s="603">
        <f t="shared" ca="1" si="55"/>
        <v>43134</v>
      </c>
      <c r="C224" s="29" t="s">
        <v>2865</v>
      </c>
      <c r="D224" s="59" t="s">
        <v>2850</v>
      </c>
      <c r="E224" s="22" t="s">
        <v>287</v>
      </c>
      <c r="F224" s="295" t="s">
        <v>288</v>
      </c>
      <c r="G224" s="567">
        <v>42555</v>
      </c>
      <c r="H224" s="609">
        <f t="shared" si="68"/>
        <v>23</v>
      </c>
      <c r="I224" s="620">
        <v>11.8</v>
      </c>
      <c r="J224" s="620">
        <v>12</v>
      </c>
      <c r="K224" s="620">
        <v>11</v>
      </c>
      <c r="L224" s="611">
        <f t="shared" si="56"/>
        <v>34.799999999999997</v>
      </c>
      <c r="M224" s="621"/>
      <c r="N224" s="621"/>
      <c r="O224" s="621"/>
      <c r="P224" s="622">
        <f t="shared" si="57"/>
        <v>11.799999999999997</v>
      </c>
      <c r="Q224" s="609">
        <f t="shared" si="69"/>
        <v>0</v>
      </c>
      <c r="R224" s="620">
        <v>5.3</v>
      </c>
      <c r="S224" s="620">
        <v>8.6999999999999993</v>
      </c>
      <c r="T224" s="620">
        <v>9</v>
      </c>
      <c r="U224" s="611">
        <f t="shared" si="58"/>
        <v>23</v>
      </c>
      <c r="V224" s="621"/>
      <c r="W224" s="621"/>
      <c r="X224" s="621"/>
      <c r="Y224" s="622">
        <f t="shared" si="59"/>
        <v>23</v>
      </c>
      <c r="Z224" s="609">
        <f t="shared" si="70"/>
        <v>0</v>
      </c>
      <c r="AA224" s="620"/>
      <c r="AB224" s="620"/>
      <c r="AC224" s="620"/>
      <c r="AD224" s="611">
        <f t="shared" si="60"/>
        <v>0</v>
      </c>
      <c r="AE224" s="621"/>
      <c r="AF224" s="621"/>
      <c r="AG224" s="621"/>
      <c r="AH224" s="622">
        <f t="shared" si="61"/>
        <v>0</v>
      </c>
      <c r="AI224" s="609">
        <f t="shared" si="71"/>
        <v>25.6</v>
      </c>
      <c r="AJ224" s="620"/>
      <c r="AK224" s="620"/>
      <c r="AL224" s="620"/>
      <c r="AM224" s="623">
        <f t="shared" si="62"/>
        <v>0</v>
      </c>
      <c r="AN224" s="621"/>
      <c r="AO224" s="621"/>
      <c r="AP224" s="621"/>
      <c r="AQ224" s="622">
        <f t="shared" si="63"/>
        <v>-25.6</v>
      </c>
      <c r="AR224" s="615">
        <f t="shared" si="72"/>
        <v>17</v>
      </c>
      <c r="AS224" s="620">
        <v>14.6</v>
      </c>
      <c r="AT224" s="620"/>
      <c r="AU224" s="620">
        <v>11</v>
      </c>
      <c r="AV224" s="623">
        <f t="shared" si="64"/>
        <v>25.6</v>
      </c>
      <c r="AW224" s="621">
        <v>4.8499999999999996</v>
      </c>
      <c r="AX224" s="621">
        <v>3.76</v>
      </c>
      <c r="AY224" s="621">
        <v>90</v>
      </c>
      <c r="AZ224" s="624">
        <f t="shared" si="65"/>
        <v>8.6000000000000014</v>
      </c>
      <c r="BA224" s="623">
        <v>17</v>
      </c>
      <c r="BB224" s="620">
        <v>10</v>
      </c>
      <c r="BC224" s="620">
        <v>9</v>
      </c>
      <c r="BD224" s="623">
        <f t="shared" si="66"/>
        <v>19</v>
      </c>
      <c r="BE224" s="621"/>
      <c r="BF224" s="621"/>
      <c r="BG224" s="621"/>
      <c r="BH224" s="621">
        <f t="shared" si="67"/>
        <v>-2</v>
      </c>
    </row>
    <row r="225" spans="1:60" ht="17.25" thickTop="1" thickBot="1" x14ac:dyDescent="0.3">
      <c r="A225" s="77">
        <v>218</v>
      </c>
      <c r="B225" s="603">
        <f t="shared" ca="1" si="55"/>
        <v>43134</v>
      </c>
      <c r="C225" s="29" t="s">
        <v>2865</v>
      </c>
      <c r="D225" s="59" t="s">
        <v>2850</v>
      </c>
      <c r="E225" s="22" t="s">
        <v>478</v>
      </c>
      <c r="F225" s="295" t="s">
        <v>479</v>
      </c>
      <c r="G225" s="567">
        <v>42722</v>
      </c>
      <c r="H225" s="609">
        <f t="shared" si="68"/>
        <v>14.8</v>
      </c>
      <c r="I225" s="620">
        <v>4</v>
      </c>
      <c r="J225" s="620"/>
      <c r="K225" s="620">
        <v>3</v>
      </c>
      <c r="L225" s="611">
        <f t="shared" si="56"/>
        <v>7</v>
      </c>
      <c r="M225" s="621"/>
      <c r="N225" s="621"/>
      <c r="O225" s="621"/>
      <c r="P225" s="622">
        <f t="shared" si="57"/>
        <v>-7.8000000000000007</v>
      </c>
      <c r="Q225" s="609">
        <f t="shared" si="69"/>
        <v>25.2</v>
      </c>
      <c r="R225" s="620">
        <v>8</v>
      </c>
      <c r="S225" s="620"/>
      <c r="T225" s="620">
        <v>6.8</v>
      </c>
      <c r="U225" s="611">
        <f t="shared" si="58"/>
        <v>14.8</v>
      </c>
      <c r="V225" s="621"/>
      <c r="W225" s="621"/>
      <c r="X225" s="621"/>
      <c r="Y225" s="622">
        <f t="shared" si="59"/>
        <v>-10.399999999999999</v>
      </c>
      <c r="Z225" s="609">
        <f t="shared" si="70"/>
        <v>25.2</v>
      </c>
      <c r="AA225" s="620">
        <v>9.8000000000000007</v>
      </c>
      <c r="AB225" s="620"/>
      <c r="AC225" s="620">
        <v>11</v>
      </c>
      <c r="AD225" s="611">
        <f t="shared" si="60"/>
        <v>20.8</v>
      </c>
      <c r="AE225" s="621"/>
      <c r="AF225" s="621"/>
      <c r="AG225" s="621"/>
      <c r="AH225" s="622">
        <f t="shared" si="61"/>
        <v>-4.3999999999999986</v>
      </c>
      <c r="AI225" s="609">
        <f t="shared" si="71"/>
        <v>23.1</v>
      </c>
      <c r="AJ225" s="620">
        <v>12</v>
      </c>
      <c r="AK225" s="620"/>
      <c r="AL225" s="620">
        <v>13.2</v>
      </c>
      <c r="AM225" s="623">
        <f t="shared" si="62"/>
        <v>25.2</v>
      </c>
      <c r="AN225" s="621"/>
      <c r="AO225" s="621"/>
      <c r="AP225" s="621"/>
      <c r="AQ225" s="622">
        <f t="shared" si="63"/>
        <v>2.0999999999999979</v>
      </c>
      <c r="AR225" s="615">
        <f t="shared" si="72"/>
        <v>27</v>
      </c>
      <c r="AS225" s="620">
        <v>12.1</v>
      </c>
      <c r="AT225" s="620"/>
      <c r="AU225" s="620">
        <v>11</v>
      </c>
      <c r="AV225" s="623">
        <f t="shared" si="64"/>
        <v>23.1</v>
      </c>
      <c r="AW225" s="621">
        <v>3.67</v>
      </c>
      <c r="AX225" s="621">
        <v>3.73</v>
      </c>
      <c r="AY225" s="621">
        <v>161</v>
      </c>
      <c r="AZ225" s="624">
        <f t="shared" si="65"/>
        <v>-3.8999999999999986</v>
      </c>
      <c r="BA225" s="623">
        <v>27</v>
      </c>
      <c r="BB225" s="620">
        <v>9.5</v>
      </c>
      <c r="BC225" s="620">
        <v>10</v>
      </c>
      <c r="BD225" s="623">
        <f t="shared" si="66"/>
        <v>19.5</v>
      </c>
      <c r="BE225" s="621"/>
      <c r="BF225" s="621"/>
      <c r="BG225" s="621"/>
      <c r="BH225" s="621">
        <f t="shared" si="67"/>
        <v>7.5</v>
      </c>
    </row>
    <row r="226" spans="1:60" ht="17.25" thickTop="1" thickBot="1" x14ac:dyDescent="0.3">
      <c r="A226" s="602">
        <v>219</v>
      </c>
      <c r="B226" s="603">
        <f t="shared" ca="1" si="55"/>
        <v>43134</v>
      </c>
      <c r="C226" s="29" t="s">
        <v>2865</v>
      </c>
      <c r="D226" s="59" t="s">
        <v>2850</v>
      </c>
      <c r="E226" s="22" t="s">
        <v>292</v>
      </c>
      <c r="F226" s="295" t="s">
        <v>293</v>
      </c>
      <c r="G226" s="567">
        <v>42666</v>
      </c>
      <c r="H226" s="609">
        <f t="shared" si="68"/>
        <v>0</v>
      </c>
      <c r="I226" s="620">
        <v>3.7</v>
      </c>
      <c r="J226" s="620"/>
      <c r="K226" s="620">
        <v>10.1</v>
      </c>
      <c r="L226" s="611">
        <f t="shared" si="56"/>
        <v>13.8</v>
      </c>
      <c r="M226" s="621"/>
      <c r="N226" s="621"/>
      <c r="O226" s="621"/>
      <c r="P226" s="622">
        <f t="shared" si="57"/>
        <v>13.8</v>
      </c>
      <c r="Q226" s="609">
        <f t="shared" si="69"/>
        <v>26.2</v>
      </c>
      <c r="R226" s="620"/>
      <c r="S226" s="620"/>
      <c r="T226" s="620"/>
      <c r="U226" s="611">
        <f t="shared" si="58"/>
        <v>0</v>
      </c>
      <c r="V226" s="621"/>
      <c r="W226" s="621"/>
      <c r="X226" s="621"/>
      <c r="Y226" s="622">
        <f t="shared" si="59"/>
        <v>-26.2</v>
      </c>
      <c r="Z226" s="609">
        <f t="shared" si="70"/>
        <v>26.2</v>
      </c>
      <c r="AA226" s="620">
        <v>12</v>
      </c>
      <c r="AB226" s="620"/>
      <c r="AC226" s="620">
        <v>10</v>
      </c>
      <c r="AD226" s="611">
        <f t="shared" si="60"/>
        <v>22</v>
      </c>
      <c r="AE226" s="621"/>
      <c r="AF226" s="621"/>
      <c r="AG226" s="621"/>
      <c r="AH226" s="622">
        <f t="shared" si="61"/>
        <v>-4.1999999999999993</v>
      </c>
      <c r="AI226" s="609">
        <f t="shared" si="71"/>
        <v>24.4</v>
      </c>
      <c r="AJ226" s="620">
        <v>14.2</v>
      </c>
      <c r="AK226" s="620"/>
      <c r="AL226" s="620">
        <v>12</v>
      </c>
      <c r="AM226" s="623">
        <f t="shared" si="62"/>
        <v>26.2</v>
      </c>
      <c r="AN226" s="621"/>
      <c r="AO226" s="621"/>
      <c r="AP226" s="621"/>
      <c r="AQ226" s="622">
        <f t="shared" si="63"/>
        <v>1.8000000000000007</v>
      </c>
      <c r="AR226" s="615">
        <f t="shared" si="72"/>
        <v>30.2</v>
      </c>
      <c r="AS226" s="620">
        <v>14.2</v>
      </c>
      <c r="AT226" s="620"/>
      <c r="AU226" s="620">
        <v>10.199999999999999</v>
      </c>
      <c r="AV226" s="623">
        <f t="shared" si="64"/>
        <v>24.4</v>
      </c>
      <c r="AW226" s="621">
        <v>4.9800000000000004</v>
      </c>
      <c r="AX226" s="621">
        <v>3.45</v>
      </c>
      <c r="AY226" s="621">
        <v>90</v>
      </c>
      <c r="AZ226" s="624">
        <f t="shared" si="65"/>
        <v>-5.8000000000000007</v>
      </c>
      <c r="BA226" s="623">
        <v>30.2</v>
      </c>
      <c r="BB226" s="620">
        <v>14</v>
      </c>
      <c r="BC226" s="620">
        <v>12.8</v>
      </c>
      <c r="BD226" s="623">
        <f t="shared" si="66"/>
        <v>26.8</v>
      </c>
      <c r="BE226" s="621"/>
      <c r="BF226" s="621"/>
      <c r="BG226" s="621"/>
      <c r="BH226" s="621">
        <f t="shared" si="67"/>
        <v>3.3999999999999986</v>
      </c>
    </row>
    <row r="227" spans="1:60" ht="17.25" thickTop="1" thickBot="1" x14ac:dyDescent="0.3">
      <c r="A227" s="77">
        <v>220</v>
      </c>
      <c r="B227" s="603">
        <f t="shared" ca="1" si="55"/>
        <v>43134</v>
      </c>
      <c r="C227" s="29" t="s">
        <v>2865</v>
      </c>
      <c r="D227" s="59" t="s">
        <v>2850</v>
      </c>
      <c r="E227" s="22" t="s">
        <v>217</v>
      </c>
      <c r="F227" s="295" t="s">
        <v>218</v>
      </c>
      <c r="G227" s="567">
        <v>42572</v>
      </c>
      <c r="H227" s="609">
        <f t="shared" si="68"/>
        <v>28</v>
      </c>
      <c r="I227" s="620">
        <v>10</v>
      </c>
      <c r="J227" s="620">
        <v>10</v>
      </c>
      <c r="K227" s="620">
        <v>11</v>
      </c>
      <c r="L227" s="611">
        <f t="shared" si="56"/>
        <v>31</v>
      </c>
      <c r="M227" s="621"/>
      <c r="N227" s="621"/>
      <c r="O227" s="621"/>
      <c r="P227" s="622">
        <f t="shared" si="57"/>
        <v>3</v>
      </c>
      <c r="Q227" s="609">
        <f t="shared" si="69"/>
        <v>0</v>
      </c>
      <c r="R227" s="620">
        <v>10</v>
      </c>
      <c r="S227" s="620">
        <v>8</v>
      </c>
      <c r="T227" s="620">
        <v>10</v>
      </c>
      <c r="U227" s="611">
        <f t="shared" si="58"/>
        <v>28</v>
      </c>
      <c r="V227" s="621"/>
      <c r="W227" s="621"/>
      <c r="X227" s="621"/>
      <c r="Y227" s="622">
        <f t="shared" si="59"/>
        <v>28</v>
      </c>
      <c r="Z227" s="609">
        <f t="shared" si="70"/>
        <v>0</v>
      </c>
      <c r="AA227" s="620"/>
      <c r="AB227" s="620"/>
      <c r="AC227" s="620"/>
      <c r="AD227" s="611">
        <f t="shared" si="60"/>
        <v>0</v>
      </c>
      <c r="AE227" s="621"/>
      <c r="AF227" s="621"/>
      <c r="AG227" s="621"/>
      <c r="AH227" s="622">
        <f t="shared" si="61"/>
        <v>0</v>
      </c>
      <c r="AI227" s="609">
        <f t="shared" si="71"/>
        <v>14.6</v>
      </c>
      <c r="AJ227" s="620"/>
      <c r="AK227" s="620"/>
      <c r="AL227" s="620"/>
      <c r="AM227" s="623">
        <f t="shared" si="62"/>
        <v>0</v>
      </c>
      <c r="AN227" s="621"/>
      <c r="AO227" s="621"/>
      <c r="AP227" s="621"/>
      <c r="AQ227" s="622">
        <f t="shared" si="63"/>
        <v>-14.6</v>
      </c>
      <c r="AR227" s="615">
        <f t="shared" si="72"/>
        <v>11.4</v>
      </c>
      <c r="AS227" s="620">
        <v>5.6</v>
      </c>
      <c r="AT227" s="620"/>
      <c r="AU227" s="620">
        <v>9</v>
      </c>
      <c r="AV227" s="623">
        <f t="shared" si="64"/>
        <v>14.6</v>
      </c>
      <c r="AW227" s="621">
        <v>5.56</v>
      </c>
      <c r="AX227" s="621">
        <v>4.3600000000000003</v>
      </c>
      <c r="AY227" s="621">
        <v>90</v>
      </c>
      <c r="AZ227" s="624">
        <f t="shared" si="65"/>
        <v>3.1999999999999993</v>
      </c>
      <c r="BA227" s="623">
        <v>11.4</v>
      </c>
      <c r="BB227" s="620">
        <v>6</v>
      </c>
      <c r="BC227" s="620">
        <v>6</v>
      </c>
      <c r="BD227" s="623">
        <f t="shared" si="66"/>
        <v>12</v>
      </c>
      <c r="BE227" s="621"/>
      <c r="BF227" s="621"/>
      <c r="BG227" s="621"/>
      <c r="BH227" s="621">
        <f t="shared" si="67"/>
        <v>-0.59999999999999964</v>
      </c>
    </row>
    <row r="228" spans="1:60" ht="17.25" thickTop="1" thickBot="1" x14ac:dyDescent="0.3">
      <c r="A228" s="602">
        <v>221</v>
      </c>
      <c r="B228" s="603">
        <f t="shared" ca="1" si="55"/>
        <v>43134</v>
      </c>
      <c r="C228" s="29" t="s">
        <v>2865</v>
      </c>
      <c r="D228" s="59" t="s">
        <v>2850</v>
      </c>
      <c r="E228" s="22" t="s">
        <v>252</v>
      </c>
      <c r="F228" s="295" t="s">
        <v>253</v>
      </c>
      <c r="G228" s="567">
        <v>42685</v>
      </c>
      <c r="H228" s="609">
        <f t="shared" si="68"/>
        <v>6</v>
      </c>
      <c r="I228" s="620">
        <v>1</v>
      </c>
      <c r="J228" s="620"/>
      <c r="K228" s="620">
        <v>0</v>
      </c>
      <c r="L228" s="611">
        <f t="shared" si="56"/>
        <v>1</v>
      </c>
      <c r="M228" s="621"/>
      <c r="N228" s="621"/>
      <c r="O228" s="621"/>
      <c r="P228" s="622">
        <f t="shared" si="57"/>
        <v>-5</v>
      </c>
      <c r="Q228" s="609">
        <f t="shared" si="69"/>
        <v>20</v>
      </c>
      <c r="R228" s="620">
        <v>4</v>
      </c>
      <c r="S228" s="620"/>
      <c r="T228" s="620">
        <v>2</v>
      </c>
      <c r="U228" s="611">
        <f t="shared" si="58"/>
        <v>6</v>
      </c>
      <c r="V228" s="621"/>
      <c r="W228" s="621"/>
      <c r="X228" s="621"/>
      <c r="Y228" s="622">
        <f t="shared" si="59"/>
        <v>-14</v>
      </c>
      <c r="Z228" s="609">
        <f t="shared" si="70"/>
        <v>20</v>
      </c>
      <c r="AA228" s="620">
        <v>6</v>
      </c>
      <c r="AB228" s="620"/>
      <c r="AC228" s="620">
        <v>4.4000000000000004</v>
      </c>
      <c r="AD228" s="611">
        <f t="shared" si="60"/>
        <v>10.4</v>
      </c>
      <c r="AE228" s="621"/>
      <c r="AF228" s="621"/>
      <c r="AG228" s="621"/>
      <c r="AH228" s="622">
        <f t="shared" si="61"/>
        <v>-9.6</v>
      </c>
      <c r="AI228" s="609">
        <f t="shared" si="71"/>
        <v>18.600000000000001</v>
      </c>
      <c r="AJ228" s="620">
        <v>10</v>
      </c>
      <c r="AK228" s="620"/>
      <c r="AL228" s="620">
        <v>10</v>
      </c>
      <c r="AM228" s="623">
        <f t="shared" si="62"/>
        <v>20</v>
      </c>
      <c r="AN228" s="621"/>
      <c r="AO228" s="621"/>
      <c r="AP228" s="621"/>
      <c r="AQ228" s="622">
        <f t="shared" si="63"/>
        <v>1.3999999999999986</v>
      </c>
      <c r="AR228" s="615">
        <f t="shared" si="72"/>
        <v>17.100000000000001</v>
      </c>
      <c r="AS228" s="620">
        <v>10</v>
      </c>
      <c r="AT228" s="620"/>
      <c r="AU228" s="620">
        <v>8.6</v>
      </c>
      <c r="AV228" s="623">
        <f t="shared" si="64"/>
        <v>18.600000000000001</v>
      </c>
      <c r="AW228" s="621">
        <v>3.55</v>
      </c>
      <c r="AX228" s="621">
        <v>3.16</v>
      </c>
      <c r="AY228" s="621">
        <v>90</v>
      </c>
      <c r="AZ228" s="624">
        <f t="shared" si="65"/>
        <v>1.5</v>
      </c>
      <c r="BA228" s="623">
        <v>17.100000000000001</v>
      </c>
      <c r="BB228" s="620">
        <v>9</v>
      </c>
      <c r="BC228" s="620">
        <v>8</v>
      </c>
      <c r="BD228" s="623">
        <f t="shared" si="66"/>
        <v>17</v>
      </c>
      <c r="BE228" s="621"/>
      <c r="BF228" s="621"/>
      <c r="BG228" s="621"/>
      <c r="BH228" s="621">
        <f t="shared" si="67"/>
        <v>0.10000000000000142</v>
      </c>
    </row>
    <row r="229" spans="1:60" ht="17.25" thickTop="1" thickBot="1" x14ac:dyDescent="0.3">
      <c r="A229" s="77">
        <v>222</v>
      </c>
      <c r="B229" s="603">
        <f t="shared" ca="1" si="55"/>
        <v>43134</v>
      </c>
      <c r="C229" s="29" t="s">
        <v>2865</v>
      </c>
      <c r="D229" s="59" t="s">
        <v>2850</v>
      </c>
      <c r="E229" s="22" t="s">
        <v>247</v>
      </c>
      <c r="F229" s="295" t="s">
        <v>248</v>
      </c>
      <c r="G229" s="567">
        <v>42582</v>
      </c>
      <c r="H229" s="609">
        <f t="shared" si="68"/>
        <v>0</v>
      </c>
      <c r="I229" s="620"/>
      <c r="J229" s="620"/>
      <c r="K229" s="620"/>
      <c r="L229" s="611">
        <f t="shared" si="56"/>
        <v>0</v>
      </c>
      <c r="M229" s="621"/>
      <c r="N229" s="621"/>
      <c r="O229" s="621"/>
      <c r="P229" s="622">
        <f t="shared" si="57"/>
        <v>0</v>
      </c>
      <c r="Q229" s="609">
        <f t="shared" si="69"/>
        <v>18.2</v>
      </c>
      <c r="R229" s="620"/>
      <c r="S229" s="620"/>
      <c r="T229" s="620"/>
      <c r="U229" s="611">
        <f t="shared" si="58"/>
        <v>0</v>
      </c>
      <c r="V229" s="621"/>
      <c r="W229" s="621"/>
      <c r="X229" s="621"/>
      <c r="Y229" s="622">
        <f t="shared" si="59"/>
        <v>-18.2</v>
      </c>
      <c r="Z229" s="609">
        <f t="shared" si="70"/>
        <v>18.2</v>
      </c>
      <c r="AA229" s="620">
        <v>7</v>
      </c>
      <c r="AB229" s="620"/>
      <c r="AC229" s="620">
        <v>4</v>
      </c>
      <c r="AD229" s="611">
        <f t="shared" si="60"/>
        <v>11</v>
      </c>
      <c r="AE229" s="621"/>
      <c r="AF229" s="621"/>
      <c r="AG229" s="621"/>
      <c r="AH229" s="622">
        <f t="shared" si="61"/>
        <v>-7.1999999999999993</v>
      </c>
      <c r="AI229" s="609">
        <f t="shared" si="71"/>
        <v>20.2</v>
      </c>
      <c r="AJ229" s="620">
        <v>8.1999999999999993</v>
      </c>
      <c r="AK229" s="620"/>
      <c r="AL229" s="620">
        <v>10</v>
      </c>
      <c r="AM229" s="623">
        <f t="shared" si="62"/>
        <v>18.2</v>
      </c>
      <c r="AN229" s="621"/>
      <c r="AO229" s="621"/>
      <c r="AP229" s="621"/>
      <c r="AQ229" s="622">
        <f t="shared" si="63"/>
        <v>-2</v>
      </c>
      <c r="AR229" s="615">
        <f t="shared" si="72"/>
        <v>18.5</v>
      </c>
      <c r="AS229" s="620">
        <v>11.2</v>
      </c>
      <c r="AT229" s="620"/>
      <c r="AU229" s="620">
        <v>9</v>
      </c>
      <c r="AV229" s="623">
        <f t="shared" si="64"/>
        <v>20.2</v>
      </c>
      <c r="AW229" s="621">
        <v>4.59</v>
      </c>
      <c r="AX229" s="621">
        <v>3.46</v>
      </c>
      <c r="AY229" s="621">
        <v>90</v>
      </c>
      <c r="AZ229" s="624">
        <f t="shared" si="65"/>
        <v>1.6999999999999993</v>
      </c>
      <c r="BA229" s="623">
        <v>18.5</v>
      </c>
      <c r="BB229" s="620">
        <v>8.5</v>
      </c>
      <c r="BC229" s="620">
        <v>9.1999999999999993</v>
      </c>
      <c r="BD229" s="623">
        <f t="shared" si="66"/>
        <v>17.7</v>
      </c>
      <c r="BE229" s="621"/>
      <c r="BF229" s="621"/>
      <c r="BG229" s="621"/>
      <c r="BH229" s="621">
        <f t="shared" si="67"/>
        <v>0.80000000000000071</v>
      </c>
    </row>
    <row r="230" spans="1:60" ht="17.25" thickTop="1" thickBot="1" x14ac:dyDescent="0.3">
      <c r="A230" s="602">
        <v>223</v>
      </c>
      <c r="B230" s="603">
        <f t="shared" ca="1" si="55"/>
        <v>43134</v>
      </c>
      <c r="C230" s="29" t="s">
        <v>2865</v>
      </c>
      <c r="D230" s="59" t="s">
        <v>2850</v>
      </c>
      <c r="E230" s="22" t="s">
        <v>250</v>
      </c>
      <c r="F230" s="295" t="s">
        <v>251</v>
      </c>
      <c r="G230" s="567">
        <v>42718</v>
      </c>
      <c r="H230" s="609">
        <f t="shared" si="68"/>
        <v>0</v>
      </c>
      <c r="I230" s="620"/>
      <c r="J230" s="620"/>
      <c r="K230" s="620"/>
      <c r="L230" s="611">
        <f t="shared" si="56"/>
        <v>0</v>
      </c>
      <c r="M230" s="621"/>
      <c r="N230" s="621"/>
      <c r="O230" s="621"/>
      <c r="P230" s="622">
        <f t="shared" si="57"/>
        <v>0</v>
      </c>
      <c r="Q230" s="609">
        <f t="shared" si="69"/>
        <v>35</v>
      </c>
      <c r="R230" s="620"/>
      <c r="S230" s="620"/>
      <c r="T230" s="620"/>
      <c r="U230" s="611">
        <f t="shared" si="58"/>
        <v>0</v>
      </c>
      <c r="V230" s="621"/>
      <c r="W230" s="621"/>
      <c r="X230" s="621"/>
      <c r="Y230" s="622">
        <f t="shared" si="59"/>
        <v>-35</v>
      </c>
      <c r="Z230" s="609">
        <f t="shared" si="70"/>
        <v>35</v>
      </c>
      <c r="AA230" s="620">
        <v>9.5</v>
      </c>
      <c r="AB230" s="620"/>
      <c r="AC230" s="620">
        <v>7</v>
      </c>
      <c r="AD230" s="611">
        <f t="shared" si="60"/>
        <v>16.5</v>
      </c>
      <c r="AE230" s="621"/>
      <c r="AF230" s="621"/>
      <c r="AG230" s="621"/>
      <c r="AH230" s="622">
        <f t="shared" si="61"/>
        <v>-18.5</v>
      </c>
      <c r="AI230" s="609">
        <f t="shared" si="71"/>
        <v>22.4</v>
      </c>
      <c r="AJ230" s="620">
        <v>17</v>
      </c>
      <c r="AK230" s="620"/>
      <c r="AL230" s="620">
        <v>18</v>
      </c>
      <c r="AM230" s="623">
        <f t="shared" si="62"/>
        <v>35</v>
      </c>
      <c r="AN230" s="621"/>
      <c r="AO230" s="621"/>
      <c r="AP230" s="621"/>
      <c r="AQ230" s="622">
        <f t="shared" si="63"/>
        <v>12.600000000000001</v>
      </c>
      <c r="AR230" s="615">
        <f t="shared" si="72"/>
        <v>32</v>
      </c>
      <c r="AS230" s="620">
        <v>10.199999999999999</v>
      </c>
      <c r="AT230" s="620"/>
      <c r="AU230" s="620">
        <v>12.2</v>
      </c>
      <c r="AV230" s="623">
        <f t="shared" si="64"/>
        <v>22.4</v>
      </c>
      <c r="AW230" s="621">
        <v>3.62</v>
      </c>
      <c r="AX230" s="621">
        <v>3.65</v>
      </c>
      <c r="AY230" s="621">
        <v>90</v>
      </c>
      <c r="AZ230" s="624">
        <f t="shared" si="65"/>
        <v>-9.6000000000000014</v>
      </c>
      <c r="BA230" s="623">
        <v>32</v>
      </c>
      <c r="BB230" s="620">
        <v>10.5</v>
      </c>
      <c r="BC230" s="620">
        <v>12</v>
      </c>
      <c r="BD230" s="623">
        <f t="shared" si="66"/>
        <v>22.5</v>
      </c>
      <c r="BE230" s="621"/>
      <c r="BF230" s="621"/>
      <c r="BG230" s="621"/>
      <c r="BH230" s="621">
        <f t="shared" si="67"/>
        <v>9.5</v>
      </c>
    </row>
    <row r="231" spans="1:60" ht="17.25" thickTop="1" thickBot="1" x14ac:dyDescent="0.3">
      <c r="A231" s="77">
        <v>224</v>
      </c>
      <c r="B231" s="603">
        <f t="shared" ca="1" si="55"/>
        <v>43134</v>
      </c>
      <c r="C231" s="29" t="s">
        <v>2865</v>
      </c>
      <c r="D231" s="59" t="s">
        <v>2850</v>
      </c>
      <c r="E231" s="22" t="s">
        <v>838</v>
      </c>
      <c r="F231" s="295" t="s">
        <v>839</v>
      </c>
      <c r="G231" s="567">
        <v>42489</v>
      </c>
      <c r="H231" s="609">
        <f t="shared" si="68"/>
        <v>12</v>
      </c>
      <c r="I231" s="620">
        <v>3</v>
      </c>
      <c r="J231" s="620"/>
      <c r="K231" s="620">
        <v>1</v>
      </c>
      <c r="L231" s="611">
        <f t="shared" si="56"/>
        <v>4</v>
      </c>
      <c r="M231" s="621"/>
      <c r="N231" s="621"/>
      <c r="O231" s="621"/>
      <c r="P231" s="622">
        <f t="shared" si="57"/>
        <v>-8</v>
      </c>
      <c r="Q231" s="609">
        <f t="shared" si="69"/>
        <v>30.6</v>
      </c>
      <c r="R231" s="620">
        <v>5</v>
      </c>
      <c r="S231" s="620"/>
      <c r="T231" s="620">
        <v>7</v>
      </c>
      <c r="U231" s="611">
        <f t="shared" si="58"/>
        <v>12</v>
      </c>
      <c r="V231" s="621"/>
      <c r="W231" s="621"/>
      <c r="X231" s="621"/>
      <c r="Y231" s="622">
        <f t="shared" si="59"/>
        <v>-18.600000000000001</v>
      </c>
      <c r="Z231" s="609">
        <f t="shared" si="70"/>
        <v>30.6</v>
      </c>
      <c r="AA231" s="620">
        <v>7.2</v>
      </c>
      <c r="AB231" s="620"/>
      <c r="AC231" s="620">
        <v>7.6</v>
      </c>
      <c r="AD231" s="611">
        <f t="shared" si="60"/>
        <v>14.8</v>
      </c>
      <c r="AE231" s="621"/>
      <c r="AF231" s="621"/>
      <c r="AG231" s="621"/>
      <c r="AH231" s="622">
        <f t="shared" si="61"/>
        <v>-15.8</v>
      </c>
      <c r="AI231" s="609">
        <f t="shared" si="71"/>
        <v>16.600000000000001</v>
      </c>
      <c r="AJ231" s="620">
        <v>18</v>
      </c>
      <c r="AK231" s="620"/>
      <c r="AL231" s="620">
        <v>12.6</v>
      </c>
      <c r="AM231" s="623">
        <f t="shared" si="62"/>
        <v>30.6</v>
      </c>
      <c r="AN231" s="621"/>
      <c r="AO231" s="621"/>
      <c r="AP231" s="621"/>
      <c r="AQ231" s="622">
        <f t="shared" si="63"/>
        <v>14</v>
      </c>
      <c r="AR231" s="615">
        <f t="shared" si="72"/>
        <v>12</v>
      </c>
      <c r="AS231" s="620">
        <v>6.6</v>
      </c>
      <c r="AT231" s="620"/>
      <c r="AU231" s="620">
        <v>10</v>
      </c>
      <c r="AV231" s="623">
        <f t="shared" si="64"/>
        <v>16.600000000000001</v>
      </c>
      <c r="AW231" s="621">
        <v>5.08</v>
      </c>
      <c r="AX231" s="621">
        <v>3.86</v>
      </c>
      <c r="AY231" s="621">
        <v>90</v>
      </c>
      <c r="AZ231" s="624">
        <f t="shared" si="65"/>
        <v>4.6000000000000014</v>
      </c>
      <c r="BA231" s="623">
        <v>12</v>
      </c>
      <c r="BB231" s="620">
        <v>8</v>
      </c>
      <c r="BC231" s="620">
        <v>8</v>
      </c>
      <c r="BD231" s="623">
        <f t="shared" si="66"/>
        <v>16</v>
      </c>
      <c r="BE231" s="621"/>
      <c r="BF231" s="621"/>
      <c r="BG231" s="621"/>
      <c r="BH231" s="621">
        <f t="shared" si="67"/>
        <v>-4</v>
      </c>
    </row>
    <row r="232" spans="1:60" ht="17.25" thickTop="1" thickBot="1" x14ac:dyDescent="0.3">
      <c r="A232" s="602">
        <v>225</v>
      </c>
      <c r="B232" s="603">
        <f t="shared" ca="1" si="55"/>
        <v>43134</v>
      </c>
      <c r="C232" s="29" t="s">
        <v>2865</v>
      </c>
      <c r="D232" s="59" t="s">
        <v>2850</v>
      </c>
      <c r="E232" s="22" t="s">
        <v>294</v>
      </c>
      <c r="F232" s="295" t="s">
        <v>295</v>
      </c>
      <c r="G232" s="567">
        <v>42689</v>
      </c>
      <c r="H232" s="609">
        <f t="shared" si="68"/>
        <v>0</v>
      </c>
      <c r="I232" s="620">
        <v>9.8000000000000007</v>
      </c>
      <c r="J232" s="620">
        <v>8.6999999999999993</v>
      </c>
      <c r="K232" s="620">
        <v>11.4</v>
      </c>
      <c r="L232" s="611">
        <f t="shared" si="56"/>
        <v>29.9</v>
      </c>
      <c r="M232" s="621"/>
      <c r="N232" s="621"/>
      <c r="O232" s="621"/>
      <c r="P232" s="622">
        <f t="shared" si="57"/>
        <v>29.9</v>
      </c>
      <c r="Q232" s="609">
        <f t="shared" si="69"/>
        <v>28</v>
      </c>
      <c r="R232" s="620"/>
      <c r="S232" s="620"/>
      <c r="T232" s="620"/>
      <c r="U232" s="611">
        <f t="shared" si="58"/>
        <v>0</v>
      </c>
      <c r="V232" s="621"/>
      <c r="W232" s="621"/>
      <c r="X232" s="621"/>
      <c r="Y232" s="622">
        <f t="shared" si="59"/>
        <v>-28</v>
      </c>
      <c r="Z232" s="609">
        <f t="shared" si="70"/>
        <v>28</v>
      </c>
      <c r="AA232" s="620"/>
      <c r="AB232" s="620"/>
      <c r="AC232" s="620"/>
      <c r="AD232" s="611">
        <f t="shared" si="60"/>
        <v>0</v>
      </c>
      <c r="AE232" s="621"/>
      <c r="AF232" s="621"/>
      <c r="AG232" s="621"/>
      <c r="AH232" s="622">
        <f t="shared" si="61"/>
        <v>-28</v>
      </c>
      <c r="AI232" s="609">
        <f t="shared" si="71"/>
        <v>20.2</v>
      </c>
      <c r="AJ232" s="620">
        <v>17.8</v>
      </c>
      <c r="AK232" s="620"/>
      <c r="AL232" s="620">
        <v>10.199999999999999</v>
      </c>
      <c r="AM232" s="623">
        <f t="shared" si="62"/>
        <v>28</v>
      </c>
      <c r="AN232" s="621"/>
      <c r="AO232" s="621"/>
      <c r="AP232" s="621"/>
      <c r="AQ232" s="622">
        <f t="shared" si="63"/>
        <v>7.8000000000000007</v>
      </c>
      <c r="AR232" s="615">
        <f t="shared" si="72"/>
        <v>23.5</v>
      </c>
      <c r="AS232" s="620">
        <v>10</v>
      </c>
      <c r="AT232" s="620"/>
      <c r="AU232" s="620">
        <v>10.199999999999999</v>
      </c>
      <c r="AV232" s="623">
        <f t="shared" si="64"/>
        <v>20.2</v>
      </c>
      <c r="AW232" s="621">
        <v>4.22</v>
      </c>
      <c r="AX232" s="621">
        <v>3.32</v>
      </c>
      <c r="AY232" s="621">
        <v>118</v>
      </c>
      <c r="AZ232" s="624">
        <f t="shared" si="65"/>
        <v>-3.3000000000000007</v>
      </c>
      <c r="BA232" s="623">
        <v>23.5</v>
      </c>
      <c r="BB232" s="620">
        <v>8</v>
      </c>
      <c r="BC232" s="620">
        <v>6</v>
      </c>
      <c r="BD232" s="623">
        <f t="shared" si="66"/>
        <v>14</v>
      </c>
      <c r="BE232" s="621"/>
      <c r="BF232" s="621"/>
      <c r="BG232" s="621"/>
      <c r="BH232" s="621">
        <f t="shared" si="67"/>
        <v>9.5</v>
      </c>
    </row>
    <row r="233" spans="1:60" ht="17.25" thickTop="1" thickBot="1" x14ac:dyDescent="0.3">
      <c r="A233" s="77">
        <v>226</v>
      </c>
      <c r="B233" s="603">
        <f t="shared" ca="1" si="55"/>
        <v>43134</v>
      </c>
      <c r="C233" s="29" t="s">
        <v>2865</v>
      </c>
      <c r="D233" s="59" t="s">
        <v>2850</v>
      </c>
      <c r="E233" s="22" t="s">
        <v>928</v>
      </c>
      <c r="F233" s="295" t="s">
        <v>929</v>
      </c>
      <c r="G233" s="567">
        <v>42434</v>
      </c>
      <c r="H233" s="609">
        <f t="shared" si="68"/>
        <v>17.399999999999999</v>
      </c>
      <c r="I233" s="620">
        <v>4.4000000000000004</v>
      </c>
      <c r="J233" s="620"/>
      <c r="K233" s="620">
        <v>3.4</v>
      </c>
      <c r="L233" s="611">
        <f t="shared" si="56"/>
        <v>7.8000000000000007</v>
      </c>
      <c r="M233" s="621"/>
      <c r="N233" s="621"/>
      <c r="O233" s="621"/>
      <c r="P233" s="622">
        <f t="shared" si="57"/>
        <v>-9.5999999999999979</v>
      </c>
      <c r="Q233" s="609">
        <f t="shared" si="69"/>
        <v>18</v>
      </c>
      <c r="R233" s="620">
        <v>8</v>
      </c>
      <c r="S233" s="620"/>
      <c r="T233" s="620">
        <v>9.4</v>
      </c>
      <c r="U233" s="611">
        <f t="shared" si="58"/>
        <v>17.399999999999999</v>
      </c>
      <c r="V233" s="621"/>
      <c r="W233" s="621"/>
      <c r="X233" s="621"/>
      <c r="Y233" s="622">
        <f t="shared" si="59"/>
        <v>-0.60000000000000142</v>
      </c>
      <c r="Z233" s="609">
        <f t="shared" si="70"/>
        <v>18</v>
      </c>
      <c r="AA233" s="620">
        <v>11.5</v>
      </c>
      <c r="AB233" s="620"/>
      <c r="AC233" s="620">
        <v>1.2</v>
      </c>
      <c r="AD233" s="611">
        <f t="shared" si="60"/>
        <v>12.7</v>
      </c>
      <c r="AE233" s="621"/>
      <c r="AF233" s="621"/>
      <c r="AG233" s="621"/>
      <c r="AH233" s="622">
        <f t="shared" si="61"/>
        <v>-5.3000000000000007</v>
      </c>
      <c r="AI233" s="609">
        <f t="shared" si="71"/>
        <v>9.6</v>
      </c>
      <c r="AJ233" s="620">
        <v>9</v>
      </c>
      <c r="AK233" s="620"/>
      <c r="AL233" s="620">
        <v>9</v>
      </c>
      <c r="AM233" s="623">
        <f t="shared" si="62"/>
        <v>18</v>
      </c>
      <c r="AN233" s="621"/>
      <c r="AO233" s="621"/>
      <c r="AP233" s="621"/>
      <c r="AQ233" s="622">
        <f t="shared" si="63"/>
        <v>8.4</v>
      </c>
      <c r="AR233" s="615">
        <f t="shared" si="72"/>
        <v>14</v>
      </c>
      <c r="AS233" s="620">
        <v>8.6</v>
      </c>
      <c r="AT233" s="620"/>
      <c r="AU233" s="620">
        <v>1</v>
      </c>
      <c r="AV233" s="623">
        <f t="shared" si="64"/>
        <v>9.6</v>
      </c>
      <c r="AW233" s="621"/>
      <c r="AX233" s="621"/>
      <c r="AY233" s="621">
        <v>90</v>
      </c>
      <c r="AZ233" s="624">
        <f t="shared" si="65"/>
        <v>-4.4000000000000004</v>
      </c>
      <c r="BA233" s="623">
        <v>14</v>
      </c>
      <c r="BB233" s="620">
        <v>9</v>
      </c>
      <c r="BC233" s="620">
        <v>9.3000000000000007</v>
      </c>
      <c r="BD233" s="623">
        <f t="shared" si="66"/>
        <v>18.3</v>
      </c>
      <c r="BE233" s="621"/>
      <c r="BF233" s="621"/>
      <c r="BG233" s="621"/>
      <c r="BH233" s="621">
        <f t="shared" si="67"/>
        <v>-4.3000000000000007</v>
      </c>
    </row>
    <row r="234" spans="1:60" ht="17.25" thickTop="1" thickBot="1" x14ac:dyDescent="0.3">
      <c r="A234" s="602">
        <v>227</v>
      </c>
      <c r="B234" s="603">
        <f t="shared" ca="1" si="55"/>
        <v>43134</v>
      </c>
      <c r="C234" s="29" t="s">
        <v>2865</v>
      </c>
      <c r="D234" s="59" t="s">
        <v>2850</v>
      </c>
      <c r="E234" s="22" t="s">
        <v>478</v>
      </c>
      <c r="F234" s="295" t="s">
        <v>1427</v>
      </c>
      <c r="G234" s="567">
        <v>42503</v>
      </c>
      <c r="H234" s="609">
        <f t="shared" si="68"/>
        <v>21.4</v>
      </c>
      <c r="I234" s="620">
        <v>8</v>
      </c>
      <c r="J234" s="620">
        <v>9</v>
      </c>
      <c r="K234" s="620">
        <v>11</v>
      </c>
      <c r="L234" s="611">
        <f t="shared" si="56"/>
        <v>28</v>
      </c>
      <c r="M234" s="621"/>
      <c r="N234" s="621"/>
      <c r="O234" s="621"/>
      <c r="P234" s="622">
        <f t="shared" si="57"/>
        <v>6.6000000000000014</v>
      </c>
      <c r="Q234" s="609">
        <f t="shared" si="69"/>
        <v>0</v>
      </c>
      <c r="R234" s="620">
        <v>6.7</v>
      </c>
      <c r="S234" s="620">
        <v>7.6</v>
      </c>
      <c r="T234" s="620">
        <v>7.1</v>
      </c>
      <c r="U234" s="611">
        <f t="shared" si="58"/>
        <v>21.4</v>
      </c>
      <c r="V234" s="621"/>
      <c r="W234" s="621"/>
      <c r="X234" s="621"/>
      <c r="Y234" s="622">
        <f t="shared" si="59"/>
        <v>21.4</v>
      </c>
      <c r="Z234" s="609">
        <f t="shared" si="70"/>
        <v>0</v>
      </c>
      <c r="AA234" s="620"/>
      <c r="AB234" s="620"/>
      <c r="AC234" s="620"/>
      <c r="AD234" s="611">
        <f t="shared" si="60"/>
        <v>0</v>
      </c>
      <c r="AE234" s="621"/>
      <c r="AF234" s="621"/>
      <c r="AG234" s="621"/>
      <c r="AH234" s="622">
        <f t="shared" si="61"/>
        <v>0</v>
      </c>
      <c r="AI234" s="609">
        <f t="shared" si="71"/>
        <v>14</v>
      </c>
      <c r="AJ234" s="620"/>
      <c r="AK234" s="620"/>
      <c r="AL234" s="620"/>
      <c r="AM234" s="623">
        <f t="shared" si="62"/>
        <v>0</v>
      </c>
      <c r="AN234" s="621"/>
      <c r="AO234" s="621"/>
      <c r="AP234" s="621"/>
      <c r="AQ234" s="622">
        <f t="shared" si="63"/>
        <v>-14</v>
      </c>
      <c r="AR234" s="615">
        <f t="shared" si="72"/>
        <v>17</v>
      </c>
      <c r="AS234" s="620">
        <v>5</v>
      </c>
      <c r="AT234" s="620"/>
      <c r="AU234" s="620">
        <v>9</v>
      </c>
      <c r="AV234" s="623">
        <f t="shared" si="64"/>
        <v>14</v>
      </c>
      <c r="AW234" s="621">
        <v>4.37</v>
      </c>
      <c r="AX234" s="621">
        <v>3.85</v>
      </c>
      <c r="AY234" s="621">
        <v>96</v>
      </c>
      <c r="AZ234" s="624">
        <f t="shared" si="65"/>
        <v>-3</v>
      </c>
      <c r="BA234" s="623">
        <v>17</v>
      </c>
      <c r="BB234" s="620">
        <v>5.5</v>
      </c>
      <c r="BC234" s="620">
        <v>6</v>
      </c>
      <c r="BD234" s="623">
        <f t="shared" si="66"/>
        <v>11.5</v>
      </c>
      <c r="BE234" s="621"/>
      <c r="BF234" s="621"/>
      <c r="BG234" s="621"/>
      <c r="BH234" s="621">
        <f t="shared" si="67"/>
        <v>5.5</v>
      </c>
    </row>
    <row r="235" spans="1:60" ht="17.25" thickTop="1" thickBot="1" x14ac:dyDescent="0.3">
      <c r="A235" s="77">
        <v>228</v>
      </c>
      <c r="B235" s="603">
        <f t="shared" ca="1" si="55"/>
        <v>43134</v>
      </c>
      <c r="C235" s="29" t="s">
        <v>2865</v>
      </c>
      <c r="D235" s="59" t="s">
        <v>2850</v>
      </c>
      <c r="E235" s="22" t="s">
        <v>706</v>
      </c>
      <c r="F235" s="295" t="s">
        <v>707</v>
      </c>
      <c r="G235" s="567">
        <v>42675</v>
      </c>
      <c r="H235" s="609">
        <f t="shared" si="68"/>
        <v>13</v>
      </c>
      <c r="I235" s="620">
        <v>2</v>
      </c>
      <c r="J235" s="620"/>
      <c r="K235" s="620">
        <v>1</v>
      </c>
      <c r="L235" s="611">
        <f t="shared" si="56"/>
        <v>3</v>
      </c>
      <c r="M235" s="621"/>
      <c r="N235" s="621"/>
      <c r="O235" s="621"/>
      <c r="P235" s="622">
        <f t="shared" si="57"/>
        <v>-10</v>
      </c>
      <c r="Q235" s="609">
        <f t="shared" si="69"/>
        <v>21.4</v>
      </c>
      <c r="R235" s="620">
        <v>7</v>
      </c>
      <c r="S235" s="620"/>
      <c r="T235" s="620">
        <v>6</v>
      </c>
      <c r="U235" s="611">
        <f t="shared" si="58"/>
        <v>13</v>
      </c>
      <c r="V235" s="621"/>
      <c r="W235" s="621"/>
      <c r="X235" s="621"/>
      <c r="Y235" s="622">
        <f t="shared" si="59"/>
        <v>-8.3999999999999986</v>
      </c>
      <c r="Z235" s="609">
        <f t="shared" si="70"/>
        <v>21.4</v>
      </c>
      <c r="AA235" s="620">
        <v>5</v>
      </c>
      <c r="AB235" s="620"/>
      <c r="AC235" s="620">
        <v>4</v>
      </c>
      <c r="AD235" s="611">
        <f t="shared" si="60"/>
        <v>9</v>
      </c>
      <c r="AE235" s="621"/>
      <c r="AF235" s="621"/>
      <c r="AG235" s="621"/>
      <c r="AH235" s="622">
        <f t="shared" si="61"/>
        <v>-12.399999999999999</v>
      </c>
      <c r="AI235" s="609">
        <f t="shared" si="71"/>
        <v>21.4</v>
      </c>
      <c r="AJ235" s="620">
        <v>11.4</v>
      </c>
      <c r="AK235" s="620"/>
      <c r="AL235" s="620">
        <v>10</v>
      </c>
      <c r="AM235" s="623">
        <f t="shared" si="62"/>
        <v>21.4</v>
      </c>
      <c r="AN235" s="621"/>
      <c r="AO235" s="621"/>
      <c r="AP235" s="621"/>
      <c r="AQ235" s="622">
        <f t="shared" si="63"/>
        <v>0</v>
      </c>
      <c r="AR235" s="615">
        <f t="shared" si="72"/>
        <v>23</v>
      </c>
      <c r="AS235" s="620">
        <v>13.8</v>
      </c>
      <c r="AT235" s="620"/>
      <c r="AU235" s="620">
        <v>7.6</v>
      </c>
      <c r="AV235" s="623">
        <f t="shared" si="64"/>
        <v>21.4</v>
      </c>
      <c r="AW235" s="621">
        <v>3.66</v>
      </c>
      <c r="AX235" s="621">
        <v>3.47</v>
      </c>
      <c r="AY235" s="621">
        <v>90</v>
      </c>
      <c r="AZ235" s="624">
        <f t="shared" si="65"/>
        <v>-1.6000000000000014</v>
      </c>
      <c r="BA235" s="623">
        <v>23</v>
      </c>
      <c r="BB235" s="620">
        <v>9.5</v>
      </c>
      <c r="BC235" s="620">
        <v>9</v>
      </c>
      <c r="BD235" s="623">
        <f t="shared" si="66"/>
        <v>18.5</v>
      </c>
      <c r="BE235" s="621"/>
      <c r="BF235" s="621"/>
      <c r="BG235" s="621"/>
      <c r="BH235" s="621">
        <f t="shared" si="67"/>
        <v>4.5</v>
      </c>
    </row>
    <row r="236" spans="1:60" ht="17.25" thickTop="1" thickBot="1" x14ac:dyDescent="0.3">
      <c r="A236" s="602">
        <v>229</v>
      </c>
      <c r="B236" s="603">
        <f t="shared" ca="1" si="55"/>
        <v>43134</v>
      </c>
      <c r="C236" s="29" t="s">
        <v>2865</v>
      </c>
      <c r="D236" s="59" t="s">
        <v>2850</v>
      </c>
      <c r="E236" s="22" t="s">
        <v>503</v>
      </c>
      <c r="F236" s="295" t="s">
        <v>551</v>
      </c>
      <c r="G236" s="567">
        <v>42641</v>
      </c>
      <c r="H236" s="609">
        <f t="shared" si="68"/>
        <v>24.5</v>
      </c>
      <c r="I236" s="620">
        <v>12</v>
      </c>
      <c r="J236" s="620">
        <v>11</v>
      </c>
      <c r="K236" s="620">
        <v>11</v>
      </c>
      <c r="L236" s="611">
        <f t="shared" si="56"/>
        <v>34</v>
      </c>
      <c r="M236" s="621"/>
      <c r="N236" s="621"/>
      <c r="O236" s="621"/>
      <c r="P236" s="622">
        <f t="shared" si="57"/>
        <v>9.5</v>
      </c>
      <c r="Q236" s="609">
        <f t="shared" si="69"/>
        <v>0</v>
      </c>
      <c r="R236" s="620">
        <v>9</v>
      </c>
      <c r="S236" s="620">
        <v>7.5</v>
      </c>
      <c r="T236" s="620">
        <v>8</v>
      </c>
      <c r="U236" s="611">
        <f t="shared" si="58"/>
        <v>24.5</v>
      </c>
      <c r="V236" s="621"/>
      <c r="W236" s="621"/>
      <c r="X236" s="621"/>
      <c r="Y236" s="622">
        <f t="shared" si="59"/>
        <v>24.5</v>
      </c>
      <c r="Z236" s="609">
        <f t="shared" si="70"/>
        <v>0</v>
      </c>
      <c r="AA236" s="620"/>
      <c r="AB236" s="620"/>
      <c r="AC236" s="620"/>
      <c r="AD236" s="611">
        <f t="shared" si="60"/>
        <v>0</v>
      </c>
      <c r="AE236" s="621"/>
      <c r="AF236" s="621"/>
      <c r="AG236" s="621"/>
      <c r="AH236" s="622">
        <f t="shared" si="61"/>
        <v>0</v>
      </c>
      <c r="AI236" s="609">
        <f t="shared" si="71"/>
        <v>18.2</v>
      </c>
      <c r="AJ236" s="620"/>
      <c r="AK236" s="620"/>
      <c r="AL236" s="620"/>
      <c r="AM236" s="623">
        <f t="shared" si="62"/>
        <v>0</v>
      </c>
      <c r="AN236" s="621"/>
      <c r="AO236" s="621"/>
      <c r="AP236" s="621"/>
      <c r="AQ236" s="622">
        <f t="shared" si="63"/>
        <v>-18.2</v>
      </c>
      <c r="AR236" s="615">
        <f t="shared" si="72"/>
        <v>23</v>
      </c>
      <c r="AS236" s="620">
        <v>11.2</v>
      </c>
      <c r="AT236" s="620"/>
      <c r="AU236" s="620">
        <v>7</v>
      </c>
      <c r="AV236" s="623">
        <f t="shared" si="64"/>
        <v>18.2</v>
      </c>
      <c r="AW236" s="621">
        <v>6.86</v>
      </c>
      <c r="AX236" s="621">
        <v>3.46</v>
      </c>
      <c r="AY236" s="621">
        <v>90</v>
      </c>
      <c r="AZ236" s="624">
        <f t="shared" si="65"/>
        <v>-4.8000000000000007</v>
      </c>
      <c r="BA236" s="623">
        <v>23</v>
      </c>
      <c r="BB236" s="620">
        <v>10</v>
      </c>
      <c r="BC236" s="620">
        <v>10.5</v>
      </c>
      <c r="BD236" s="623">
        <f t="shared" si="66"/>
        <v>20.5</v>
      </c>
      <c r="BE236" s="621"/>
      <c r="BF236" s="621"/>
      <c r="BG236" s="621"/>
      <c r="BH236" s="621">
        <f t="shared" si="67"/>
        <v>2.5</v>
      </c>
    </row>
    <row r="237" spans="1:60" ht="17.25" thickTop="1" thickBot="1" x14ac:dyDescent="0.3">
      <c r="A237" s="77">
        <v>230</v>
      </c>
      <c r="B237" s="603">
        <f t="shared" ca="1" si="55"/>
        <v>43134</v>
      </c>
      <c r="C237" s="29" t="s">
        <v>2865</v>
      </c>
      <c r="D237" s="59" t="s">
        <v>2850</v>
      </c>
      <c r="E237" s="22" t="s">
        <v>712</v>
      </c>
      <c r="F237" s="295" t="s">
        <v>713</v>
      </c>
      <c r="G237" s="567">
        <v>42751</v>
      </c>
      <c r="H237" s="609">
        <f t="shared" si="68"/>
        <v>26</v>
      </c>
      <c r="I237" s="620"/>
      <c r="J237" s="620"/>
      <c r="K237" s="620"/>
      <c r="L237" s="611">
        <f t="shared" si="56"/>
        <v>0</v>
      </c>
      <c r="M237" s="621"/>
      <c r="N237" s="621"/>
      <c r="O237" s="621"/>
      <c r="P237" s="622">
        <f t="shared" si="57"/>
        <v>-26</v>
      </c>
      <c r="Q237" s="609">
        <f t="shared" si="69"/>
        <v>23.8</v>
      </c>
      <c r="R237" s="620">
        <v>14</v>
      </c>
      <c r="S237" s="620"/>
      <c r="T237" s="620">
        <v>12</v>
      </c>
      <c r="U237" s="611">
        <f t="shared" si="58"/>
        <v>26</v>
      </c>
      <c r="V237" s="621"/>
      <c r="W237" s="621"/>
      <c r="X237" s="621"/>
      <c r="Y237" s="622">
        <f t="shared" si="59"/>
        <v>2.1999999999999993</v>
      </c>
      <c r="Z237" s="609">
        <f t="shared" si="70"/>
        <v>23.8</v>
      </c>
      <c r="AA237" s="620">
        <v>10</v>
      </c>
      <c r="AB237" s="620"/>
      <c r="AC237" s="620">
        <v>12</v>
      </c>
      <c r="AD237" s="611">
        <f t="shared" si="60"/>
        <v>22</v>
      </c>
      <c r="AE237" s="621"/>
      <c r="AF237" s="621"/>
      <c r="AG237" s="621"/>
      <c r="AH237" s="622">
        <f t="shared" si="61"/>
        <v>-1.8000000000000007</v>
      </c>
      <c r="AI237" s="609">
        <f t="shared" si="71"/>
        <v>20.100000000000001</v>
      </c>
      <c r="AJ237" s="620">
        <v>11.8</v>
      </c>
      <c r="AK237" s="620"/>
      <c r="AL237" s="620">
        <v>12</v>
      </c>
      <c r="AM237" s="623">
        <f t="shared" si="62"/>
        <v>23.8</v>
      </c>
      <c r="AN237" s="621"/>
      <c r="AO237" s="621"/>
      <c r="AP237" s="621"/>
      <c r="AQ237" s="622">
        <f t="shared" si="63"/>
        <v>3.6999999999999993</v>
      </c>
      <c r="AR237" s="615">
        <f t="shared" si="72"/>
        <v>24</v>
      </c>
      <c r="AS237" s="620">
        <v>9.1</v>
      </c>
      <c r="AT237" s="620"/>
      <c r="AU237" s="620">
        <v>11</v>
      </c>
      <c r="AV237" s="623">
        <f t="shared" si="64"/>
        <v>20.100000000000001</v>
      </c>
      <c r="AW237" s="621">
        <v>3.65</v>
      </c>
      <c r="AX237" s="621">
        <v>3.12</v>
      </c>
      <c r="AY237" s="621">
        <v>90</v>
      </c>
      <c r="AZ237" s="624">
        <f t="shared" si="65"/>
        <v>-3.8999999999999986</v>
      </c>
      <c r="BA237" s="623">
        <v>24</v>
      </c>
      <c r="BB237" s="620">
        <v>13</v>
      </c>
      <c r="BC237" s="620">
        <v>10</v>
      </c>
      <c r="BD237" s="623">
        <f t="shared" si="66"/>
        <v>23</v>
      </c>
      <c r="BE237" s="621"/>
      <c r="BF237" s="621"/>
      <c r="BG237" s="621"/>
      <c r="BH237" s="621">
        <f t="shared" si="67"/>
        <v>1</v>
      </c>
    </row>
    <row r="238" spans="1:60" ht="17.25" thickTop="1" thickBot="1" x14ac:dyDescent="0.3">
      <c r="A238" s="602">
        <v>231</v>
      </c>
      <c r="B238" s="603">
        <f t="shared" ca="1" si="55"/>
        <v>43134</v>
      </c>
      <c r="C238" s="29" t="s">
        <v>2865</v>
      </c>
      <c r="D238" s="59" t="s">
        <v>2850</v>
      </c>
      <c r="E238" s="22" t="s">
        <v>146</v>
      </c>
      <c r="F238" s="295" t="s">
        <v>436</v>
      </c>
      <c r="G238" s="567">
        <v>42606</v>
      </c>
      <c r="H238" s="609">
        <f t="shared" si="68"/>
        <v>9.1999999999999993</v>
      </c>
      <c r="I238" s="620">
        <v>13</v>
      </c>
      <c r="J238" s="620">
        <v>10</v>
      </c>
      <c r="K238" s="620">
        <v>9</v>
      </c>
      <c r="L238" s="611">
        <f t="shared" si="56"/>
        <v>32</v>
      </c>
      <c r="M238" s="621"/>
      <c r="N238" s="621"/>
      <c r="O238" s="621"/>
      <c r="P238" s="622">
        <f t="shared" si="57"/>
        <v>22.8</v>
      </c>
      <c r="Q238" s="609">
        <f t="shared" si="69"/>
        <v>15.8</v>
      </c>
      <c r="R238" s="620">
        <v>3.7</v>
      </c>
      <c r="S238" s="620">
        <v>1</v>
      </c>
      <c r="T238" s="620">
        <v>4.5</v>
      </c>
      <c r="U238" s="611">
        <f t="shared" si="58"/>
        <v>9.1999999999999993</v>
      </c>
      <c r="V238" s="621"/>
      <c r="W238" s="621"/>
      <c r="X238" s="621"/>
      <c r="Y238" s="622">
        <f t="shared" si="59"/>
        <v>-6.6000000000000014</v>
      </c>
      <c r="Z238" s="609">
        <f t="shared" si="70"/>
        <v>15.8</v>
      </c>
      <c r="AA238" s="620"/>
      <c r="AB238" s="620"/>
      <c r="AC238" s="620"/>
      <c r="AD238" s="611">
        <f t="shared" si="60"/>
        <v>0</v>
      </c>
      <c r="AE238" s="621"/>
      <c r="AF238" s="621"/>
      <c r="AG238" s="621"/>
      <c r="AH238" s="622">
        <f t="shared" si="61"/>
        <v>-15.8</v>
      </c>
      <c r="AI238" s="609">
        <f t="shared" si="71"/>
        <v>18</v>
      </c>
      <c r="AJ238" s="620">
        <v>9.4</v>
      </c>
      <c r="AK238" s="620"/>
      <c r="AL238" s="620">
        <v>6.4</v>
      </c>
      <c r="AM238" s="623">
        <f t="shared" si="62"/>
        <v>15.8</v>
      </c>
      <c r="AN238" s="621"/>
      <c r="AO238" s="621"/>
      <c r="AP238" s="621"/>
      <c r="AQ238" s="622">
        <f t="shared" si="63"/>
        <v>-2.1999999999999993</v>
      </c>
      <c r="AR238" s="615">
        <f t="shared" si="72"/>
        <v>15</v>
      </c>
      <c r="AS238" s="620">
        <v>10</v>
      </c>
      <c r="AT238" s="620"/>
      <c r="AU238" s="620">
        <v>8</v>
      </c>
      <c r="AV238" s="623">
        <f t="shared" si="64"/>
        <v>18</v>
      </c>
      <c r="AW238" s="621">
        <v>4.5599999999999996</v>
      </c>
      <c r="AX238" s="621">
        <v>3.78</v>
      </c>
      <c r="AY238" s="621">
        <v>314</v>
      </c>
      <c r="AZ238" s="624">
        <f t="shared" si="65"/>
        <v>3</v>
      </c>
      <c r="BA238" s="623">
        <v>15</v>
      </c>
      <c r="BB238" s="620">
        <v>6.8</v>
      </c>
      <c r="BC238" s="620">
        <v>5.2</v>
      </c>
      <c r="BD238" s="623">
        <f t="shared" si="66"/>
        <v>12</v>
      </c>
      <c r="BE238" s="621"/>
      <c r="BF238" s="621"/>
      <c r="BG238" s="621"/>
      <c r="BH238" s="621">
        <f t="shared" si="67"/>
        <v>3</v>
      </c>
    </row>
    <row r="239" spans="1:60" ht="17.25" thickTop="1" thickBot="1" x14ac:dyDescent="0.3">
      <c r="A239" s="77">
        <v>232</v>
      </c>
      <c r="B239" s="603">
        <f t="shared" ca="1" si="55"/>
        <v>43134</v>
      </c>
      <c r="C239" s="29" t="s">
        <v>2865</v>
      </c>
      <c r="D239" s="59" t="s">
        <v>2850</v>
      </c>
      <c r="E239" s="22" t="s">
        <v>697</v>
      </c>
      <c r="F239" s="295" t="s">
        <v>1142</v>
      </c>
      <c r="G239" s="567">
        <v>42576</v>
      </c>
      <c r="H239" s="609">
        <f t="shared" si="68"/>
        <v>26.2</v>
      </c>
      <c r="I239" s="620">
        <v>10</v>
      </c>
      <c r="J239" s="620"/>
      <c r="K239" s="620">
        <v>7</v>
      </c>
      <c r="L239" s="611">
        <f t="shared" si="56"/>
        <v>17</v>
      </c>
      <c r="M239" s="621"/>
      <c r="N239" s="621"/>
      <c r="O239" s="621"/>
      <c r="P239" s="622">
        <f t="shared" si="57"/>
        <v>-9.1999999999999993</v>
      </c>
      <c r="Q239" s="609">
        <f t="shared" si="69"/>
        <v>22.2</v>
      </c>
      <c r="R239" s="620">
        <v>14.2</v>
      </c>
      <c r="S239" s="620"/>
      <c r="T239" s="620">
        <v>12</v>
      </c>
      <c r="U239" s="611">
        <f t="shared" si="58"/>
        <v>26.2</v>
      </c>
      <c r="V239" s="621"/>
      <c r="W239" s="621"/>
      <c r="X239" s="621"/>
      <c r="Y239" s="622">
        <f t="shared" si="59"/>
        <v>4</v>
      </c>
      <c r="Z239" s="609">
        <f t="shared" si="70"/>
        <v>22.2</v>
      </c>
      <c r="AA239" s="620">
        <v>10</v>
      </c>
      <c r="AB239" s="620"/>
      <c r="AC239" s="620">
        <v>14</v>
      </c>
      <c r="AD239" s="611">
        <f t="shared" si="60"/>
        <v>24</v>
      </c>
      <c r="AE239" s="621"/>
      <c r="AF239" s="621"/>
      <c r="AG239" s="621"/>
      <c r="AH239" s="622">
        <f t="shared" si="61"/>
        <v>1.8000000000000007</v>
      </c>
      <c r="AI239" s="609">
        <f t="shared" si="71"/>
        <v>21.6</v>
      </c>
      <c r="AJ239" s="620">
        <v>10.199999999999999</v>
      </c>
      <c r="AK239" s="620"/>
      <c r="AL239" s="620">
        <v>12</v>
      </c>
      <c r="AM239" s="623">
        <f t="shared" si="62"/>
        <v>22.2</v>
      </c>
      <c r="AN239" s="621"/>
      <c r="AO239" s="621"/>
      <c r="AP239" s="621"/>
      <c r="AQ239" s="622">
        <f t="shared" si="63"/>
        <v>0.59999999999999787</v>
      </c>
      <c r="AR239" s="615">
        <f t="shared" si="72"/>
        <v>21</v>
      </c>
      <c r="AS239" s="620">
        <v>10.199999999999999</v>
      </c>
      <c r="AT239" s="620"/>
      <c r="AU239" s="620">
        <v>11.4</v>
      </c>
      <c r="AV239" s="623">
        <f t="shared" si="64"/>
        <v>21.6</v>
      </c>
      <c r="AW239" s="621">
        <v>4.83</v>
      </c>
      <c r="AX239" s="621">
        <v>3.9</v>
      </c>
      <c r="AY239" s="621">
        <v>113</v>
      </c>
      <c r="AZ239" s="624">
        <f t="shared" si="65"/>
        <v>0.60000000000000142</v>
      </c>
      <c r="BA239" s="623">
        <v>21</v>
      </c>
      <c r="BB239" s="620">
        <v>8</v>
      </c>
      <c r="BC239" s="620">
        <v>7.5</v>
      </c>
      <c r="BD239" s="623">
        <f t="shared" si="66"/>
        <v>15.5</v>
      </c>
      <c r="BE239" s="621"/>
      <c r="BF239" s="621"/>
      <c r="BG239" s="621"/>
      <c r="BH239" s="621">
        <f t="shared" si="67"/>
        <v>5.5</v>
      </c>
    </row>
    <row r="240" spans="1:60" ht="17.25" thickTop="1" thickBot="1" x14ac:dyDescent="0.3">
      <c r="A240" s="602">
        <v>233</v>
      </c>
      <c r="B240" s="603">
        <f t="shared" ca="1" si="55"/>
        <v>43134</v>
      </c>
      <c r="C240" s="29" t="s">
        <v>2865</v>
      </c>
      <c r="D240" s="59" t="s">
        <v>2850</v>
      </c>
      <c r="E240" s="22" t="s">
        <v>1372</v>
      </c>
      <c r="F240" s="295" t="s">
        <v>1259</v>
      </c>
      <c r="G240" s="567">
        <v>42493</v>
      </c>
      <c r="H240" s="609">
        <f t="shared" si="68"/>
        <v>0</v>
      </c>
      <c r="I240" s="620"/>
      <c r="J240" s="620"/>
      <c r="K240" s="620"/>
      <c r="L240" s="611">
        <f t="shared" si="56"/>
        <v>0</v>
      </c>
      <c r="M240" s="621"/>
      <c r="N240" s="621"/>
      <c r="O240" s="621"/>
      <c r="P240" s="622">
        <f t="shared" si="57"/>
        <v>0</v>
      </c>
      <c r="Q240" s="609">
        <f t="shared" si="69"/>
        <v>18.799999999999997</v>
      </c>
      <c r="R240" s="620"/>
      <c r="S240" s="620"/>
      <c r="T240" s="620"/>
      <c r="U240" s="611">
        <f t="shared" si="58"/>
        <v>0</v>
      </c>
      <c r="V240" s="621"/>
      <c r="W240" s="621"/>
      <c r="X240" s="621"/>
      <c r="Y240" s="622">
        <f t="shared" si="59"/>
        <v>-18.799999999999997</v>
      </c>
      <c r="Z240" s="609">
        <f t="shared" si="70"/>
        <v>18.799999999999997</v>
      </c>
      <c r="AA240" s="620">
        <v>8</v>
      </c>
      <c r="AB240" s="620"/>
      <c r="AC240" s="620">
        <v>8.4</v>
      </c>
      <c r="AD240" s="611">
        <f t="shared" si="60"/>
        <v>16.399999999999999</v>
      </c>
      <c r="AE240" s="621"/>
      <c r="AF240" s="621"/>
      <c r="AG240" s="621"/>
      <c r="AH240" s="622">
        <f t="shared" si="61"/>
        <v>-2.3999999999999986</v>
      </c>
      <c r="AI240" s="609">
        <f t="shared" si="71"/>
        <v>18</v>
      </c>
      <c r="AJ240" s="620">
        <v>10.199999999999999</v>
      </c>
      <c r="AK240" s="620"/>
      <c r="AL240" s="620">
        <v>8.6</v>
      </c>
      <c r="AM240" s="623">
        <f t="shared" si="62"/>
        <v>18.799999999999997</v>
      </c>
      <c r="AN240" s="621"/>
      <c r="AO240" s="621"/>
      <c r="AP240" s="621"/>
      <c r="AQ240" s="622">
        <f t="shared" si="63"/>
        <v>0.79999999999999716</v>
      </c>
      <c r="AR240" s="615">
        <f t="shared" si="72"/>
        <v>20.100000000000001</v>
      </c>
      <c r="AS240" s="620">
        <v>8</v>
      </c>
      <c r="AT240" s="620"/>
      <c r="AU240" s="620">
        <v>10</v>
      </c>
      <c r="AV240" s="623">
        <f t="shared" si="64"/>
        <v>18</v>
      </c>
      <c r="AW240" s="621">
        <v>3.99</v>
      </c>
      <c r="AX240" s="621">
        <v>3.52</v>
      </c>
      <c r="AY240" s="621">
        <v>90</v>
      </c>
      <c r="AZ240" s="624">
        <f t="shared" si="65"/>
        <v>-2.1000000000000014</v>
      </c>
      <c r="BA240" s="623">
        <v>20.100000000000001</v>
      </c>
      <c r="BB240" s="620">
        <v>11.2</v>
      </c>
      <c r="BC240" s="620">
        <v>10</v>
      </c>
      <c r="BD240" s="623">
        <f t="shared" si="66"/>
        <v>21.2</v>
      </c>
      <c r="BE240" s="621"/>
      <c r="BF240" s="621"/>
      <c r="BG240" s="621"/>
      <c r="BH240" s="621">
        <f t="shared" si="67"/>
        <v>-1.0999999999999979</v>
      </c>
    </row>
    <row r="241" spans="1:60" ht="17.25" thickTop="1" thickBot="1" x14ac:dyDescent="0.3">
      <c r="A241" s="77">
        <v>234</v>
      </c>
      <c r="B241" s="603">
        <f t="shared" ca="1" si="55"/>
        <v>43134</v>
      </c>
      <c r="C241" s="29" t="s">
        <v>2865</v>
      </c>
      <c r="D241" s="59" t="s">
        <v>2850</v>
      </c>
      <c r="E241" s="22" t="s">
        <v>1275</v>
      </c>
      <c r="F241" s="295" t="s">
        <v>1145</v>
      </c>
      <c r="G241" s="567">
        <v>42620</v>
      </c>
      <c r="H241" s="609">
        <f t="shared" si="68"/>
        <v>26</v>
      </c>
      <c r="I241" s="620">
        <v>9.5</v>
      </c>
      <c r="J241" s="620">
        <v>7</v>
      </c>
      <c r="K241" s="620">
        <v>6</v>
      </c>
      <c r="L241" s="611">
        <f t="shared" si="56"/>
        <v>22.5</v>
      </c>
      <c r="M241" s="621"/>
      <c r="N241" s="621"/>
      <c r="O241" s="621"/>
      <c r="P241" s="622">
        <f t="shared" si="57"/>
        <v>-3.5</v>
      </c>
      <c r="Q241" s="609">
        <f t="shared" si="69"/>
        <v>24.2</v>
      </c>
      <c r="R241" s="620">
        <v>9.5</v>
      </c>
      <c r="S241" s="620">
        <v>8.6999999999999993</v>
      </c>
      <c r="T241" s="620">
        <v>7.8</v>
      </c>
      <c r="U241" s="611">
        <f t="shared" si="58"/>
        <v>26</v>
      </c>
      <c r="V241" s="621"/>
      <c r="W241" s="621"/>
      <c r="X241" s="621"/>
      <c r="Y241" s="622">
        <f t="shared" si="59"/>
        <v>1.8000000000000007</v>
      </c>
      <c r="Z241" s="609">
        <f t="shared" si="70"/>
        <v>24.2</v>
      </c>
      <c r="AA241" s="620"/>
      <c r="AB241" s="620"/>
      <c r="AC241" s="620"/>
      <c r="AD241" s="611">
        <f t="shared" si="60"/>
        <v>0</v>
      </c>
      <c r="AE241" s="621"/>
      <c r="AF241" s="621"/>
      <c r="AG241" s="621"/>
      <c r="AH241" s="622">
        <f t="shared" si="61"/>
        <v>-24.2</v>
      </c>
      <c r="AI241" s="609">
        <f t="shared" si="71"/>
        <v>26.4</v>
      </c>
      <c r="AJ241" s="620">
        <v>12.2</v>
      </c>
      <c r="AK241" s="620"/>
      <c r="AL241" s="620">
        <v>12</v>
      </c>
      <c r="AM241" s="623">
        <f t="shared" si="62"/>
        <v>24.2</v>
      </c>
      <c r="AN241" s="621"/>
      <c r="AO241" s="621"/>
      <c r="AP241" s="621"/>
      <c r="AQ241" s="622">
        <f t="shared" si="63"/>
        <v>-2.1999999999999993</v>
      </c>
      <c r="AR241" s="615">
        <f t="shared" si="72"/>
        <v>28</v>
      </c>
      <c r="AS241" s="620">
        <v>12.6</v>
      </c>
      <c r="AT241" s="620"/>
      <c r="AU241" s="620">
        <v>13.8</v>
      </c>
      <c r="AV241" s="623">
        <f t="shared" si="64"/>
        <v>26.4</v>
      </c>
      <c r="AW241" s="621">
        <v>3.92</v>
      </c>
      <c r="AX241" s="621">
        <v>3.57</v>
      </c>
      <c r="AY241" s="621">
        <v>90</v>
      </c>
      <c r="AZ241" s="624">
        <f t="shared" si="65"/>
        <v>-1.6000000000000014</v>
      </c>
      <c r="BA241" s="623">
        <v>28</v>
      </c>
      <c r="BB241" s="620">
        <v>11</v>
      </c>
      <c r="BC241" s="620">
        <v>9</v>
      </c>
      <c r="BD241" s="623">
        <f t="shared" si="66"/>
        <v>20</v>
      </c>
      <c r="BE241" s="621"/>
      <c r="BF241" s="621"/>
      <c r="BG241" s="621"/>
      <c r="BH241" s="621">
        <f t="shared" si="67"/>
        <v>8</v>
      </c>
    </row>
    <row r="242" spans="1:60" ht="17.25" thickTop="1" thickBot="1" x14ac:dyDescent="0.3">
      <c r="A242" s="602">
        <v>235</v>
      </c>
      <c r="B242" s="603">
        <f t="shared" ca="1" si="55"/>
        <v>43134</v>
      </c>
      <c r="C242" s="29" t="s">
        <v>2865</v>
      </c>
      <c r="D242" s="59" t="s">
        <v>2850</v>
      </c>
      <c r="E242" s="22" t="s">
        <v>1871</v>
      </c>
      <c r="F242" s="295" t="s">
        <v>1159</v>
      </c>
      <c r="G242" s="567">
        <v>42621</v>
      </c>
      <c r="H242" s="609">
        <f t="shared" si="68"/>
        <v>21</v>
      </c>
      <c r="I242" s="620">
        <v>9</v>
      </c>
      <c r="J242" s="620"/>
      <c r="K242" s="620">
        <v>8</v>
      </c>
      <c r="L242" s="611">
        <f t="shared" si="56"/>
        <v>17</v>
      </c>
      <c r="M242" s="621"/>
      <c r="N242" s="621"/>
      <c r="O242" s="621"/>
      <c r="P242" s="622">
        <f t="shared" si="57"/>
        <v>-4</v>
      </c>
      <c r="Q242" s="609">
        <f t="shared" si="69"/>
        <v>25</v>
      </c>
      <c r="R242" s="620">
        <v>13</v>
      </c>
      <c r="S242" s="620"/>
      <c r="T242" s="620">
        <v>8</v>
      </c>
      <c r="U242" s="611">
        <f t="shared" si="58"/>
        <v>21</v>
      </c>
      <c r="V242" s="621"/>
      <c r="W242" s="621"/>
      <c r="X242" s="621"/>
      <c r="Y242" s="622">
        <f t="shared" si="59"/>
        <v>-4</v>
      </c>
      <c r="Z242" s="609">
        <f t="shared" si="70"/>
        <v>25</v>
      </c>
      <c r="AA242" s="620">
        <v>13.5</v>
      </c>
      <c r="AB242" s="620"/>
      <c r="AC242" s="620">
        <v>11</v>
      </c>
      <c r="AD242" s="611">
        <f t="shared" si="60"/>
        <v>24.5</v>
      </c>
      <c r="AE242" s="621"/>
      <c r="AF242" s="621"/>
      <c r="AG242" s="621"/>
      <c r="AH242" s="622">
        <f t="shared" si="61"/>
        <v>-0.5</v>
      </c>
      <c r="AI242" s="609">
        <f t="shared" si="71"/>
        <v>23</v>
      </c>
      <c r="AJ242" s="620">
        <v>14</v>
      </c>
      <c r="AK242" s="620"/>
      <c r="AL242" s="620">
        <v>11</v>
      </c>
      <c r="AM242" s="623">
        <f t="shared" si="62"/>
        <v>25</v>
      </c>
      <c r="AN242" s="621"/>
      <c r="AO242" s="621"/>
      <c r="AP242" s="621"/>
      <c r="AQ242" s="622">
        <f t="shared" si="63"/>
        <v>2</v>
      </c>
      <c r="AR242" s="615">
        <f t="shared" si="72"/>
        <v>19</v>
      </c>
      <c r="AS242" s="620">
        <v>12</v>
      </c>
      <c r="AT242" s="620"/>
      <c r="AU242" s="620">
        <v>11</v>
      </c>
      <c r="AV242" s="623">
        <f t="shared" si="64"/>
        <v>23</v>
      </c>
      <c r="AW242" s="621">
        <v>4.55</v>
      </c>
      <c r="AX242" s="621">
        <v>3.8</v>
      </c>
      <c r="AY242" s="621">
        <v>102</v>
      </c>
      <c r="AZ242" s="624">
        <f t="shared" si="65"/>
        <v>4</v>
      </c>
      <c r="BA242" s="623">
        <v>19</v>
      </c>
      <c r="BB242" s="620">
        <v>10</v>
      </c>
      <c r="BC242" s="620">
        <v>9.3000000000000007</v>
      </c>
      <c r="BD242" s="623">
        <f t="shared" si="66"/>
        <v>19.3</v>
      </c>
      <c r="BE242" s="621"/>
      <c r="BF242" s="621"/>
      <c r="BG242" s="621"/>
      <c r="BH242" s="621">
        <f t="shared" si="67"/>
        <v>-0.30000000000000071</v>
      </c>
    </row>
    <row r="243" spans="1:60" ht="17.25" thickTop="1" thickBot="1" x14ac:dyDescent="0.3">
      <c r="A243" s="77">
        <v>236</v>
      </c>
      <c r="B243" s="603">
        <f t="shared" ca="1" si="55"/>
        <v>43134</v>
      </c>
      <c r="C243" s="29" t="s">
        <v>2865</v>
      </c>
      <c r="D243" s="59" t="s">
        <v>2850</v>
      </c>
      <c r="E243" s="22" t="s">
        <v>1288</v>
      </c>
      <c r="F243" s="295" t="s">
        <v>1164</v>
      </c>
      <c r="G243" s="567">
        <v>42518</v>
      </c>
      <c r="H243" s="609">
        <f t="shared" si="68"/>
        <v>24.4</v>
      </c>
      <c r="I243" s="620">
        <v>8</v>
      </c>
      <c r="J243" s="620"/>
      <c r="K243" s="620">
        <v>9</v>
      </c>
      <c r="L243" s="611">
        <f t="shared" si="56"/>
        <v>17</v>
      </c>
      <c r="M243" s="621"/>
      <c r="N243" s="621"/>
      <c r="O243" s="621"/>
      <c r="P243" s="622">
        <f t="shared" si="57"/>
        <v>-7.3999999999999986</v>
      </c>
      <c r="Q243" s="609">
        <f t="shared" si="69"/>
        <v>25.2</v>
      </c>
      <c r="R243" s="620">
        <v>13</v>
      </c>
      <c r="S243" s="620"/>
      <c r="T243" s="620">
        <v>11.4</v>
      </c>
      <c r="U243" s="611">
        <f t="shared" si="58"/>
        <v>24.4</v>
      </c>
      <c r="V243" s="621"/>
      <c r="W243" s="621"/>
      <c r="X243" s="621"/>
      <c r="Y243" s="622">
        <f t="shared" si="59"/>
        <v>-0.80000000000000071</v>
      </c>
      <c r="Z243" s="609">
        <f t="shared" si="70"/>
        <v>25.2</v>
      </c>
      <c r="AA243" s="620">
        <v>10.5</v>
      </c>
      <c r="AB243" s="620"/>
      <c r="AC243" s="620">
        <v>12</v>
      </c>
      <c r="AD243" s="611">
        <f t="shared" si="60"/>
        <v>22.5</v>
      </c>
      <c r="AE243" s="621"/>
      <c r="AF243" s="621"/>
      <c r="AG243" s="621"/>
      <c r="AH243" s="622">
        <f t="shared" si="61"/>
        <v>-2.6999999999999993</v>
      </c>
      <c r="AI243" s="609">
        <f t="shared" si="71"/>
        <v>19.200000000000003</v>
      </c>
      <c r="AJ243" s="620">
        <v>14</v>
      </c>
      <c r="AK243" s="620"/>
      <c r="AL243" s="620">
        <v>11.2</v>
      </c>
      <c r="AM243" s="623">
        <f t="shared" si="62"/>
        <v>25.2</v>
      </c>
      <c r="AN243" s="621"/>
      <c r="AO243" s="621"/>
      <c r="AP243" s="621"/>
      <c r="AQ243" s="622">
        <f t="shared" si="63"/>
        <v>5.9999999999999964</v>
      </c>
      <c r="AR243" s="615">
        <f t="shared" si="72"/>
        <v>22</v>
      </c>
      <c r="AS243" s="620">
        <v>8.4</v>
      </c>
      <c r="AT243" s="620"/>
      <c r="AU243" s="620">
        <v>10.8</v>
      </c>
      <c r="AV243" s="623">
        <f t="shared" si="64"/>
        <v>19.200000000000003</v>
      </c>
      <c r="AW243" s="621">
        <v>4.24</v>
      </c>
      <c r="AX243" s="621">
        <v>3.44</v>
      </c>
      <c r="AY243" s="621">
        <v>90</v>
      </c>
      <c r="AZ243" s="624">
        <f t="shared" si="65"/>
        <v>-2.7999999999999972</v>
      </c>
      <c r="BA243" s="623">
        <v>22</v>
      </c>
      <c r="BB243" s="620">
        <v>9.5</v>
      </c>
      <c r="BC243" s="620">
        <v>7</v>
      </c>
      <c r="BD243" s="623">
        <f t="shared" si="66"/>
        <v>16.5</v>
      </c>
      <c r="BE243" s="621"/>
      <c r="BF243" s="621"/>
      <c r="BG243" s="621"/>
      <c r="BH243" s="621">
        <f t="shared" si="67"/>
        <v>5.5</v>
      </c>
    </row>
    <row r="244" spans="1:60" ht="17.25" thickTop="1" thickBot="1" x14ac:dyDescent="0.3">
      <c r="A244" s="602">
        <v>237</v>
      </c>
      <c r="B244" s="603">
        <f t="shared" ca="1" si="55"/>
        <v>43134</v>
      </c>
      <c r="C244" s="29" t="s">
        <v>2865</v>
      </c>
      <c r="D244" s="59" t="s">
        <v>2850</v>
      </c>
      <c r="E244" s="22" t="s">
        <v>1294</v>
      </c>
      <c r="F244" s="295" t="s">
        <v>1170</v>
      </c>
      <c r="G244" s="567">
        <v>42524</v>
      </c>
      <c r="H244" s="609">
        <f t="shared" si="68"/>
        <v>17</v>
      </c>
      <c r="I244" s="620">
        <v>16</v>
      </c>
      <c r="J244" s="620">
        <v>10</v>
      </c>
      <c r="K244" s="620">
        <v>10</v>
      </c>
      <c r="L244" s="611">
        <f t="shared" si="56"/>
        <v>36</v>
      </c>
      <c r="M244" s="621"/>
      <c r="N244" s="621"/>
      <c r="O244" s="621"/>
      <c r="P244" s="622">
        <f t="shared" si="57"/>
        <v>19</v>
      </c>
      <c r="Q244" s="609">
        <f t="shared" si="69"/>
        <v>0</v>
      </c>
      <c r="R244" s="620">
        <v>6</v>
      </c>
      <c r="S244" s="620">
        <v>6</v>
      </c>
      <c r="T244" s="620">
        <v>5</v>
      </c>
      <c r="U244" s="611">
        <f t="shared" si="58"/>
        <v>17</v>
      </c>
      <c r="V244" s="621"/>
      <c r="W244" s="621"/>
      <c r="X244" s="621"/>
      <c r="Y244" s="622">
        <f t="shared" si="59"/>
        <v>17</v>
      </c>
      <c r="Z244" s="609">
        <f t="shared" si="70"/>
        <v>0</v>
      </c>
      <c r="AA244" s="620">
        <v>7.3</v>
      </c>
      <c r="AB244" s="620">
        <v>7.1</v>
      </c>
      <c r="AC244" s="620">
        <v>2.6</v>
      </c>
      <c r="AD244" s="611">
        <f t="shared" si="60"/>
        <v>17</v>
      </c>
      <c r="AE244" s="621"/>
      <c r="AF244" s="621"/>
      <c r="AG244" s="621"/>
      <c r="AH244" s="622">
        <f t="shared" si="61"/>
        <v>17</v>
      </c>
      <c r="AI244" s="609">
        <f t="shared" si="71"/>
        <v>17.8</v>
      </c>
      <c r="AJ244" s="620"/>
      <c r="AK244" s="620"/>
      <c r="AL244" s="620"/>
      <c r="AM244" s="623">
        <f t="shared" si="62"/>
        <v>0</v>
      </c>
      <c r="AN244" s="621"/>
      <c r="AO244" s="621"/>
      <c r="AP244" s="621"/>
      <c r="AQ244" s="622">
        <f t="shared" si="63"/>
        <v>-17.8</v>
      </c>
      <c r="AR244" s="615">
        <f t="shared" si="72"/>
        <v>18.7</v>
      </c>
      <c r="AS244" s="620">
        <v>7.2</v>
      </c>
      <c r="AT244" s="620"/>
      <c r="AU244" s="620">
        <v>10.6</v>
      </c>
      <c r="AV244" s="623">
        <f t="shared" si="64"/>
        <v>17.8</v>
      </c>
      <c r="AW244" s="621">
        <v>4.7699999999999996</v>
      </c>
      <c r="AX244" s="621">
        <v>3.7</v>
      </c>
      <c r="AY244" s="621">
        <v>90</v>
      </c>
      <c r="AZ244" s="624">
        <f t="shared" si="65"/>
        <v>-0.89999999999999858</v>
      </c>
      <c r="BA244" s="623">
        <v>18.7</v>
      </c>
      <c r="BB244" s="620">
        <v>7</v>
      </c>
      <c r="BC244" s="620">
        <v>6</v>
      </c>
      <c r="BD244" s="623">
        <f t="shared" si="66"/>
        <v>13</v>
      </c>
      <c r="BE244" s="621"/>
      <c r="BF244" s="621"/>
      <c r="BG244" s="621"/>
      <c r="BH244" s="621">
        <f t="shared" si="67"/>
        <v>5.6999999999999993</v>
      </c>
    </row>
    <row r="245" spans="1:60" ht="17.25" thickTop="1" thickBot="1" x14ac:dyDescent="0.3">
      <c r="A245" s="77">
        <v>238</v>
      </c>
      <c r="B245" s="603">
        <f t="shared" ca="1" si="55"/>
        <v>43134</v>
      </c>
      <c r="C245" s="29" t="s">
        <v>2865</v>
      </c>
      <c r="D245" s="59" t="s">
        <v>2850</v>
      </c>
      <c r="E245" s="22" t="s">
        <v>1296</v>
      </c>
      <c r="F245" s="295" t="s">
        <v>1172</v>
      </c>
      <c r="G245" s="567">
        <v>42517</v>
      </c>
      <c r="H245" s="609">
        <f t="shared" si="68"/>
        <v>27.6</v>
      </c>
      <c r="I245" s="620">
        <v>8</v>
      </c>
      <c r="J245" s="620">
        <v>9</v>
      </c>
      <c r="K245" s="620">
        <v>10</v>
      </c>
      <c r="L245" s="611">
        <f t="shared" si="56"/>
        <v>27</v>
      </c>
      <c r="M245" s="621"/>
      <c r="N245" s="621"/>
      <c r="O245" s="621"/>
      <c r="P245" s="622">
        <f t="shared" si="57"/>
        <v>-0.60000000000000142</v>
      </c>
      <c r="Q245" s="609">
        <f t="shared" si="69"/>
        <v>0</v>
      </c>
      <c r="R245" s="620">
        <v>10.199999999999999</v>
      </c>
      <c r="S245" s="620">
        <v>8.3000000000000007</v>
      </c>
      <c r="T245" s="620">
        <v>9.1</v>
      </c>
      <c r="U245" s="611">
        <f t="shared" si="58"/>
        <v>27.6</v>
      </c>
      <c r="V245" s="621"/>
      <c r="W245" s="621"/>
      <c r="X245" s="621"/>
      <c r="Y245" s="622">
        <f t="shared" si="59"/>
        <v>27.6</v>
      </c>
      <c r="Z245" s="609">
        <f t="shared" si="70"/>
        <v>0</v>
      </c>
      <c r="AA245" s="620"/>
      <c r="AB245" s="620"/>
      <c r="AC245" s="620"/>
      <c r="AD245" s="611">
        <f t="shared" si="60"/>
        <v>0</v>
      </c>
      <c r="AE245" s="621"/>
      <c r="AF245" s="621"/>
      <c r="AG245" s="621"/>
      <c r="AH245" s="622">
        <f t="shared" si="61"/>
        <v>0</v>
      </c>
      <c r="AI245" s="609">
        <f t="shared" si="71"/>
        <v>16.399999999999999</v>
      </c>
      <c r="AJ245" s="620"/>
      <c r="AK245" s="620"/>
      <c r="AL245" s="620"/>
      <c r="AM245" s="623">
        <f t="shared" si="62"/>
        <v>0</v>
      </c>
      <c r="AN245" s="621"/>
      <c r="AO245" s="621"/>
      <c r="AP245" s="621"/>
      <c r="AQ245" s="622">
        <f t="shared" si="63"/>
        <v>-16.399999999999999</v>
      </c>
      <c r="AR245" s="615">
        <f t="shared" si="72"/>
        <v>16.5</v>
      </c>
      <c r="AS245" s="620">
        <v>8.4</v>
      </c>
      <c r="AT245" s="620"/>
      <c r="AU245" s="620">
        <v>8</v>
      </c>
      <c r="AV245" s="623">
        <f t="shared" si="64"/>
        <v>16.399999999999999</v>
      </c>
      <c r="AW245" s="621">
        <v>4.5999999999999996</v>
      </c>
      <c r="AX245" s="621">
        <v>3.71</v>
      </c>
      <c r="AY245" s="621">
        <v>90</v>
      </c>
      <c r="AZ245" s="624">
        <f t="shared" si="65"/>
        <v>-0.10000000000000142</v>
      </c>
      <c r="BA245" s="623">
        <v>16.5</v>
      </c>
      <c r="BB245" s="620">
        <v>7</v>
      </c>
      <c r="BC245" s="620">
        <v>7.5</v>
      </c>
      <c r="BD245" s="623">
        <f t="shared" si="66"/>
        <v>14.5</v>
      </c>
      <c r="BE245" s="621"/>
      <c r="BF245" s="621"/>
      <c r="BG245" s="621"/>
      <c r="BH245" s="621">
        <f t="shared" si="67"/>
        <v>2</v>
      </c>
    </row>
    <row r="246" spans="1:60" ht="17.25" thickTop="1" thickBot="1" x14ac:dyDescent="0.3">
      <c r="A246" s="602">
        <v>239</v>
      </c>
      <c r="B246" s="603">
        <f t="shared" ca="1" si="55"/>
        <v>43134</v>
      </c>
      <c r="C246" s="29" t="s">
        <v>2865</v>
      </c>
      <c r="D246" s="59" t="s">
        <v>2850</v>
      </c>
      <c r="E246" s="22" t="s">
        <v>1059</v>
      </c>
      <c r="F246" s="295" t="s">
        <v>950</v>
      </c>
      <c r="G246" s="567">
        <v>42683</v>
      </c>
      <c r="H246" s="609">
        <f t="shared" si="68"/>
        <v>0</v>
      </c>
      <c r="I246" s="620">
        <v>8.9</v>
      </c>
      <c r="J246" s="620">
        <v>8</v>
      </c>
      <c r="K246" s="620">
        <v>9.6999999999999993</v>
      </c>
      <c r="L246" s="611">
        <f t="shared" si="56"/>
        <v>26.599999999999998</v>
      </c>
      <c r="M246" s="621"/>
      <c r="N246" s="621"/>
      <c r="O246" s="621"/>
      <c r="P246" s="622">
        <f t="shared" si="57"/>
        <v>26.599999999999998</v>
      </c>
      <c r="Q246" s="609">
        <f t="shared" si="69"/>
        <v>28.4</v>
      </c>
      <c r="R246" s="620"/>
      <c r="S246" s="620"/>
      <c r="T246" s="620"/>
      <c r="U246" s="611">
        <f t="shared" si="58"/>
        <v>0</v>
      </c>
      <c r="V246" s="621"/>
      <c r="W246" s="621"/>
      <c r="X246" s="621"/>
      <c r="Y246" s="622">
        <f t="shared" si="59"/>
        <v>-28.4</v>
      </c>
      <c r="Z246" s="609">
        <f t="shared" si="70"/>
        <v>28.4</v>
      </c>
      <c r="AA246" s="620"/>
      <c r="AB246" s="620"/>
      <c r="AC246" s="620"/>
      <c r="AD246" s="611">
        <f t="shared" si="60"/>
        <v>0</v>
      </c>
      <c r="AE246" s="621"/>
      <c r="AF246" s="621"/>
      <c r="AG246" s="621"/>
      <c r="AH246" s="622">
        <f t="shared" si="61"/>
        <v>-28.4</v>
      </c>
      <c r="AI246" s="609">
        <f t="shared" si="71"/>
        <v>22.200000000000003</v>
      </c>
      <c r="AJ246" s="620">
        <v>15.4</v>
      </c>
      <c r="AK246" s="620"/>
      <c r="AL246" s="620">
        <v>13</v>
      </c>
      <c r="AM246" s="623">
        <f t="shared" si="62"/>
        <v>28.4</v>
      </c>
      <c r="AN246" s="621"/>
      <c r="AO246" s="621"/>
      <c r="AP246" s="621"/>
      <c r="AQ246" s="622">
        <f t="shared" si="63"/>
        <v>6.1999999999999957</v>
      </c>
      <c r="AR246" s="615">
        <f t="shared" si="72"/>
        <v>27</v>
      </c>
      <c r="AS246" s="620">
        <v>12.4</v>
      </c>
      <c r="AT246" s="620"/>
      <c r="AU246" s="620">
        <v>9.8000000000000007</v>
      </c>
      <c r="AV246" s="623">
        <f t="shared" si="64"/>
        <v>22.200000000000003</v>
      </c>
      <c r="AW246" s="621">
        <v>4.34</v>
      </c>
      <c r="AX246" s="621">
        <v>3.4</v>
      </c>
      <c r="AY246" s="621">
        <v>103</v>
      </c>
      <c r="AZ246" s="624">
        <f t="shared" si="65"/>
        <v>-4.7999999999999972</v>
      </c>
      <c r="BA246" s="623">
        <v>27</v>
      </c>
      <c r="BB246" s="620">
        <v>14</v>
      </c>
      <c r="BC246" s="620">
        <v>11</v>
      </c>
      <c r="BD246" s="623">
        <f t="shared" si="66"/>
        <v>25</v>
      </c>
      <c r="BE246" s="621"/>
      <c r="BF246" s="621"/>
      <c r="BG246" s="621"/>
      <c r="BH246" s="621">
        <f t="shared" si="67"/>
        <v>2</v>
      </c>
    </row>
    <row r="247" spans="1:60" ht="17.25" thickTop="1" thickBot="1" x14ac:dyDescent="0.3">
      <c r="A247" s="77">
        <v>240</v>
      </c>
      <c r="B247" s="603">
        <f t="shared" ca="1" si="55"/>
        <v>43134</v>
      </c>
      <c r="C247" s="29" t="s">
        <v>2865</v>
      </c>
      <c r="D247" s="59" t="s">
        <v>2850</v>
      </c>
      <c r="E247" s="22" t="s">
        <v>1302</v>
      </c>
      <c r="F247" s="295" t="s">
        <v>1180</v>
      </c>
      <c r="G247" s="567">
        <v>42550</v>
      </c>
      <c r="H247" s="609">
        <f t="shared" si="68"/>
        <v>24</v>
      </c>
      <c r="I247" s="620">
        <v>13.2</v>
      </c>
      <c r="J247" s="620">
        <v>9</v>
      </c>
      <c r="K247" s="620">
        <v>8</v>
      </c>
      <c r="L247" s="611">
        <f t="shared" si="56"/>
        <v>30.2</v>
      </c>
      <c r="M247" s="621"/>
      <c r="N247" s="621"/>
      <c r="O247" s="621"/>
      <c r="P247" s="622">
        <f t="shared" si="57"/>
        <v>6.1999999999999993</v>
      </c>
      <c r="Q247" s="609">
        <f t="shared" si="69"/>
        <v>0</v>
      </c>
      <c r="R247" s="620">
        <v>9</v>
      </c>
      <c r="S247" s="620">
        <v>8</v>
      </c>
      <c r="T247" s="620">
        <v>7</v>
      </c>
      <c r="U247" s="611">
        <f t="shared" si="58"/>
        <v>24</v>
      </c>
      <c r="V247" s="621"/>
      <c r="W247" s="621"/>
      <c r="X247" s="621"/>
      <c r="Y247" s="622">
        <f t="shared" si="59"/>
        <v>24</v>
      </c>
      <c r="Z247" s="609">
        <f t="shared" si="70"/>
        <v>0</v>
      </c>
      <c r="AA247" s="620"/>
      <c r="AB247" s="620"/>
      <c r="AC247" s="620"/>
      <c r="AD247" s="611">
        <f t="shared" si="60"/>
        <v>0</v>
      </c>
      <c r="AE247" s="621"/>
      <c r="AF247" s="621"/>
      <c r="AG247" s="621"/>
      <c r="AH247" s="622">
        <f t="shared" si="61"/>
        <v>0</v>
      </c>
      <c r="AI247" s="609">
        <f t="shared" si="71"/>
        <v>11.6</v>
      </c>
      <c r="AJ247" s="620"/>
      <c r="AK247" s="620"/>
      <c r="AL247" s="620"/>
      <c r="AM247" s="623">
        <f t="shared" si="62"/>
        <v>0</v>
      </c>
      <c r="AN247" s="621"/>
      <c r="AO247" s="621"/>
      <c r="AP247" s="621"/>
      <c r="AQ247" s="622">
        <f t="shared" si="63"/>
        <v>-11.6</v>
      </c>
      <c r="AR247" s="615">
        <f t="shared" si="72"/>
        <v>16.5</v>
      </c>
      <c r="AS247" s="620">
        <v>7</v>
      </c>
      <c r="AT247" s="620"/>
      <c r="AU247" s="620">
        <v>4.5999999999999996</v>
      </c>
      <c r="AV247" s="623">
        <f t="shared" si="64"/>
        <v>11.6</v>
      </c>
      <c r="AW247" s="621">
        <v>4.84</v>
      </c>
      <c r="AX247" s="621">
        <v>3.76</v>
      </c>
      <c r="AY247" s="621">
        <v>90</v>
      </c>
      <c r="AZ247" s="624">
        <f t="shared" si="65"/>
        <v>-4.9000000000000004</v>
      </c>
      <c r="BA247" s="623">
        <v>16.5</v>
      </c>
      <c r="BB247" s="620">
        <v>6</v>
      </c>
      <c r="BC247" s="620">
        <v>5.5</v>
      </c>
      <c r="BD247" s="623">
        <f t="shared" si="66"/>
        <v>11.5</v>
      </c>
      <c r="BE247" s="621"/>
      <c r="BF247" s="621"/>
      <c r="BG247" s="621"/>
      <c r="BH247" s="621">
        <f t="shared" si="67"/>
        <v>5</v>
      </c>
    </row>
    <row r="248" spans="1:60" ht="17.25" thickTop="1" thickBot="1" x14ac:dyDescent="0.3">
      <c r="A248" s="602">
        <v>241</v>
      </c>
      <c r="B248" s="603">
        <f t="shared" ca="1" si="55"/>
        <v>43134</v>
      </c>
      <c r="C248" s="29" t="s">
        <v>2865</v>
      </c>
      <c r="D248" s="59" t="s">
        <v>2850</v>
      </c>
      <c r="E248" s="22" t="s">
        <v>1303</v>
      </c>
      <c r="F248" s="295" t="s">
        <v>1184</v>
      </c>
      <c r="G248" s="567">
        <v>42583</v>
      </c>
      <c r="H248" s="609">
        <f t="shared" si="68"/>
        <v>0</v>
      </c>
      <c r="I248" s="620">
        <v>7.4</v>
      </c>
      <c r="J248" s="620">
        <v>7.3</v>
      </c>
      <c r="K248" s="620">
        <v>8.1999999999999993</v>
      </c>
      <c r="L248" s="611">
        <f t="shared" si="56"/>
        <v>22.9</v>
      </c>
      <c r="M248" s="621"/>
      <c r="N248" s="621"/>
      <c r="O248" s="621"/>
      <c r="P248" s="622">
        <f t="shared" si="57"/>
        <v>22.9</v>
      </c>
      <c r="Q248" s="609">
        <f t="shared" si="69"/>
        <v>19.2</v>
      </c>
      <c r="R248" s="620"/>
      <c r="S248" s="620"/>
      <c r="T248" s="620"/>
      <c r="U248" s="611">
        <f t="shared" si="58"/>
        <v>0</v>
      </c>
      <c r="V248" s="621"/>
      <c r="W248" s="621"/>
      <c r="X248" s="621"/>
      <c r="Y248" s="622">
        <f t="shared" si="59"/>
        <v>-19.2</v>
      </c>
      <c r="Z248" s="609">
        <f t="shared" si="70"/>
        <v>19.2</v>
      </c>
      <c r="AA248" s="620">
        <v>8</v>
      </c>
      <c r="AB248" s="620"/>
      <c r="AC248" s="620">
        <v>7.2</v>
      </c>
      <c r="AD248" s="611">
        <f t="shared" si="60"/>
        <v>15.2</v>
      </c>
      <c r="AE248" s="621"/>
      <c r="AF248" s="621"/>
      <c r="AG248" s="621"/>
      <c r="AH248" s="622">
        <f t="shared" si="61"/>
        <v>-4</v>
      </c>
      <c r="AI248" s="609">
        <f t="shared" si="71"/>
        <v>18.399999999999999</v>
      </c>
      <c r="AJ248" s="620">
        <v>9.1999999999999993</v>
      </c>
      <c r="AK248" s="620"/>
      <c r="AL248" s="620">
        <v>10</v>
      </c>
      <c r="AM248" s="623">
        <f t="shared" si="62"/>
        <v>19.2</v>
      </c>
      <c r="AN248" s="621"/>
      <c r="AO248" s="621"/>
      <c r="AP248" s="621"/>
      <c r="AQ248" s="622">
        <f t="shared" si="63"/>
        <v>0.80000000000000071</v>
      </c>
      <c r="AR248" s="615">
        <f t="shared" si="72"/>
        <v>19.600000000000001</v>
      </c>
      <c r="AS248" s="620">
        <v>9</v>
      </c>
      <c r="AT248" s="620"/>
      <c r="AU248" s="620">
        <v>9.4</v>
      </c>
      <c r="AV248" s="623">
        <f t="shared" si="64"/>
        <v>18.399999999999999</v>
      </c>
      <c r="AW248" s="621">
        <v>4.2</v>
      </c>
      <c r="AX248" s="621">
        <v>3.87</v>
      </c>
      <c r="AY248" s="621">
        <v>122</v>
      </c>
      <c r="AZ248" s="624">
        <f t="shared" si="65"/>
        <v>-1.2000000000000028</v>
      </c>
      <c r="BA248" s="623">
        <v>19.600000000000001</v>
      </c>
      <c r="BB248" s="620">
        <v>7.5</v>
      </c>
      <c r="BC248" s="620">
        <v>5</v>
      </c>
      <c r="BD248" s="623">
        <f t="shared" si="66"/>
        <v>12.5</v>
      </c>
      <c r="BE248" s="621"/>
      <c r="BF248" s="621"/>
      <c r="BG248" s="621"/>
      <c r="BH248" s="621">
        <f t="shared" si="67"/>
        <v>7.1000000000000014</v>
      </c>
    </row>
    <row r="249" spans="1:60" ht="17.25" thickTop="1" thickBot="1" x14ac:dyDescent="0.3">
      <c r="A249" s="77">
        <v>242</v>
      </c>
      <c r="B249" s="603">
        <f t="shared" ca="1" si="55"/>
        <v>43134</v>
      </c>
      <c r="C249" s="29" t="s">
        <v>2865</v>
      </c>
      <c r="D249" s="59" t="s">
        <v>2850</v>
      </c>
      <c r="E249" s="22" t="s">
        <v>1308</v>
      </c>
      <c r="F249" s="295" t="s">
        <v>1189</v>
      </c>
      <c r="G249" s="567">
        <v>42560</v>
      </c>
      <c r="H249" s="609">
        <f t="shared" si="68"/>
        <v>24.6</v>
      </c>
      <c r="I249" s="620">
        <v>11</v>
      </c>
      <c r="J249" s="620">
        <v>9</v>
      </c>
      <c r="K249" s="620">
        <v>6</v>
      </c>
      <c r="L249" s="611">
        <f t="shared" si="56"/>
        <v>26</v>
      </c>
      <c r="M249" s="621"/>
      <c r="N249" s="621"/>
      <c r="O249" s="621"/>
      <c r="P249" s="622">
        <f t="shared" si="57"/>
        <v>1.3999999999999986</v>
      </c>
      <c r="Q249" s="609">
        <f t="shared" si="69"/>
        <v>0</v>
      </c>
      <c r="R249" s="620">
        <v>7.3</v>
      </c>
      <c r="S249" s="620">
        <v>8.3000000000000007</v>
      </c>
      <c r="T249" s="620">
        <v>9</v>
      </c>
      <c r="U249" s="611">
        <f t="shared" si="58"/>
        <v>24.6</v>
      </c>
      <c r="V249" s="621"/>
      <c r="W249" s="621"/>
      <c r="X249" s="621"/>
      <c r="Y249" s="622">
        <f t="shared" si="59"/>
        <v>24.6</v>
      </c>
      <c r="Z249" s="609">
        <f t="shared" si="70"/>
        <v>0</v>
      </c>
      <c r="AA249" s="620"/>
      <c r="AB249" s="620"/>
      <c r="AC249" s="620"/>
      <c r="AD249" s="611">
        <f t="shared" si="60"/>
        <v>0</v>
      </c>
      <c r="AE249" s="621"/>
      <c r="AF249" s="621"/>
      <c r="AG249" s="621"/>
      <c r="AH249" s="622">
        <f t="shared" si="61"/>
        <v>0</v>
      </c>
      <c r="AI249" s="609">
        <f t="shared" si="71"/>
        <v>18.8</v>
      </c>
      <c r="AJ249" s="620"/>
      <c r="AK249" s="620"/>
      <c r="AL249" s="620"/>
      <c r="AM249" s="623">
        <f t="shared" si="62"/>
        <v>0</v>
      </c>
      <c r="AN249" s="621"/>
      <c r="AO249" s="621"/>
      <c r="AP249" s="621"/>
      <c r="AQ249" s="622">
        <f t="shared" si="63"/>
        <v>-18.8</v>
      </c>
      <c r="AR249" s="615">
        <f t="shared" si="72"/>
        <v>20</v>
      </c>
      <c r="AS249" s="620">
        <v>11</v>
      </c>
      <c r="AT249" s="620"/>
      <c r="AU249" s="620">
        <v>7.8</v>
      </c>
      <c r="AV249" s="623">
        <f t="shared" si="64"/>
        <v>18.8</v>
      </c>
      <c r="AW249" s="621">
        <v>4.32</v>
      </c>
      <c r="AX249" s="621">
        <v>3.37</v>
      </c>
      <c r="AY249" s="621">
        <v>90</v>
      </c>
      <c r="AZ249" s="624">
        <f t="shared" si="65"/>
        <v>-1.1999999999999993</v>
      </c>
      <c r="BA249" s="623">
        <v>20</v>
      </c>
      <c r="BB249" s="620">
        <v>8</v>
      </c>
      <c r="BC249" s="620">
        <v>8</v>
      </c>
      <c r="BD249" s="623">
        <f t="shared" si="66"/>
        <v>16</v>
      </c>
      <c r="BE249" s="621"/>
      <c r="BF249" s="621"/>
      <c r="BG249" s="621"/>
      <c r="BH249" s="621">
        <f t="shared" si="67"/>
        <v>4</v>
      </c>
    </row>
    <row r="250" spans="1:60" ht="17.25" thickTop="1" thickBot="1" x14ac:dyDescent="0.3">
      <c r="A250" s="602">
        <v>243</v>
      </c>
      <c r="B250" s="603">
        <f t="shared" ca="1" si="55"/>
        <v>43134</v>
      </c>
      <c r="C250" s="29" t="s">
        <v>2865</v>
      </c>
      <c r="D250" s="59" t="s">
        <v>2850</v>
      </c>
      <c r="E250" s="22" t="s">
        <v>1311</v>
      </c>
      <c r="F250" s="295" t="s">
        <v>1193</v>
      </c>
      <c r="G250" s="567">
        <v>42566</v>
      </c>
      <c r="H250" s="609">
        <f t="shared" si="68"/>
        <v>0</v>
      </c>
      <c r="I250" s="620">
        <v>10</v>
      </c>
      <c r="J250" s="620">
        <v>8</v>
      </c>
      <c r="K250" s="620">
        <v>9</v>
      </c>
      <c r="L250" s="611">
        <f t="shared" si="56"/>
        <v>27</v>
      </c>
      <c r="M250" s="621"/>
      <c r="N250" s="621"/>
      <c r="O250" s="621"/>
      <c r="P250" s="622">
        <f t="shared" si="57"/>
        <v>27</v>
      </c>
      <c r="Q250" s="609">
        <f t="shared" si="69"/>
        <v>31.8</v>
      </c>
      <c r="R250" s="620"/>
      <c r="S250" s="620"/>
      <c r="T250" s="620"/>
      <c r="U250" s="611">
        <f t="shared" si="58"/>
        <v>0</v>
      </c>
      <c r="V250" s="621"/>
      <c r="W250" s="621"/>
      <c r="X250" s="621"/>
      <c r="Y250" s="622">
        <f t="shared" si="59"/>
        <v>-31.8</v>
      </c>
      <c r="Z250" s="609">
        <f t="shared" si="70"/>
        <v>31.8</v>
      </c>
      <c r="AA250" s="620"/>
      <c r="AB250" s="620"/>
      <c r="AC250" s="620"/>
      <c r="AD250" s="611">
        <f t="shared" si="60"/>
        <v>0</v>
      </c>
      <c r="AE250" s="621"/>
      <c r="AF250" s="621"/>
      <c r="AG250" s="621"/>
      <c r="AH250" s="622">
        <f t="shared" si="61"/>
        <v>-31.8</v>
      </c>
      <c r="AI250" s="609">
        <f t="shared" si="71"/>
        <v>29</v>
      </c>
      <c r="AJ250" s="620">
        <v>14.8</v>
      </c>
      <c r="AK250" s="620"/>
      <c r="AL250" s="620">
        <v>17</v>
      </c>
      <c r="AM250" s="623">
        <f t="shared" si="62"/>
        <v>31.8</v>
      </c>
      <c r="AN250" s="621"/>
      <c r="AO250" s="621"/>
      <c r="AP250" s="621"/>
      <c r="AQ250" s="622">
        <f t="shared" si="63"/>
        <v>2.8000000000000007</v>
      </c>
      <c r="AR250" s="615">
        <f t="shared" si="72"/>
        <v>31</v>
      </c>
      <c r="AS250" s="620">
        <v>17</v>
      </c>
      <c r="AT250" s="620"/>
      <c r="AU250" s="620">
        <v>12</v>
      </c>
      <c r="AV250" s="623">
        <f t="shared" si="64"/>
        <v>29</v>
      </c>
      <c r="AW250" s="621">
        <v>3.72</v>
      </c>
      <c r="AX250" s="621">
        <v>3.54</v>
      </c>
      <c r="AY250" s="621">
        <v>90</v>
      </c>
      <c r="AZ250" s="624">
        <f t="shared" si="65"/>
        <v>-2</v>
      </c>
      <c r="BA250" s="623">
        <v>31</v>
      </c>
      <c r="BB250" s="620">
        <v>14</v>
      </c>
      <c r="BC250" s="620">
        <v>13</v>
      </c>
      <c r="BD250" s="623">
        <f t="shared" si="66"/>
        <v>27</v>
      </c>
      <c r="BE250" s="621"/>
      <c r="BF250" s="621"/>
      <c r="BG250" s="621"/>
      <c r="BH250" s="621">
        <f t="shared" si="67"/>
        <v>4</v>
      </c>
    </row>
    <row r="251" spans="1:60" ht="17.25" thickTop="1" thickBot="1" x14ac:dyDescent="0.3">
      <c r="A251" s="77">
        <v>244</v>
      </c>
      <c r="B251" s="603">
        <f t="shared" ca="1" si="55"/>
        <v>43134</v>
      </c>
      <c r="C251" s="29" t="s">
        <v>2865</v>
      </c>
      <c r="D251" s="59" t="s">
        <v>2850</v>
      </c>
      <c r="E251" s="22" t="s">
        <v>1313</v>
      </c>
      <c r="F251" s="295" t="s">
        <v>1195</v>
      </c>
      <c r="G251" s="567">
        <v>42644</v>
      </c>
      <c r="H251" s="609">
        <f t="shared" si="68"/>
        <v>13</v>
      </c>
      <c r="I251" s="620">
        <v>8</v>
      </c>
      <c r="J251" s="620"/>
      <c r="K251" s="620">
        <v>6</v>
      </c>
      <c r="L251" s="611">
        <f t="shared" si="56"/>
        <v>14</v>
      </c>
      <c r="M251" s="621"/>
      <c r="N251" s="621"/>
      <c r="O251" s="621"/>
      <c r="P251" s="622">
        <f t="shared" si="57"/>
        <v>1</v>
      </c>
      <c r="Q251" s="609">
        <f t="shared" si="69"/>
        <v>22.4</v>
      </c>
      <c r="R251" s="620">
        <v>4</v>
      </c>
      <c r="S251" s="620">
        <v>5.5</v>
      </c>
      <c r="T251" s="620">
        <v>3.5</v>
      </c>
      <c r="U251" s="611">
        <f t="shared" si="58"/>
        <v>13</v>
      </c>
      <c r="V251" s="621"/>
      <c r="W251" s="621"/>
      <c r="X251" s="621"/>
      <c r="Y251" s="622">
        <f t="shared" si="59"/>
        <v>-9.3999999999999986</v>
      </c>
      <c r="Z251" s="609">
        <f t="shared" si="70"/>
        <v>22.4</v>
      </c>
      <c r="AA251" s="620">
        <v>17</v>
      </c>
      <c r="AB251" s="620"/>
      <c r="AC251" s="620">
        <v>11.5</v>
      </c>
      <c r="AD251" s="611">
        <f t="shared" si="60"/>
        <v>28.5</v>
      </c>
      <c r="AE251" s="621"/>
      <c r="AF251" s="621"/>
      <c r="AG251" s="621"/>
      <c r="AH251" s="622">
        <f t="shared" si="61"/>
        <v>6.1000000000000014</v>
      </c>
      <c r="AI251" s="609">
        <f t="shared" si="71"/>
        <v>21.4</v>
      </c>
      <c r="AJ251" s="620">
        <v>10.199999999999999</v>
      </c>
      <c r="AK251" s="620"/>
      <c r="AL251" s="620">
        <v>12.2</v>
      </c>
      <c r="AM251" s="623">
        <f t="shared" si="62"/>
        <v>22.4</v>
      </c>
      <c r="AN251" s="621"/>
      <c r="AO251" s="621"/>
      <c r="AP251" s="621"/>
      <c r="AQ251" s="622">
        <f t="shared" si="63"/>
        <v>1</v>
      </c>
      <c r="AR251" s="615">
        <f t="shared" si="72"/>
        <v>23</v>
      </c>
      <c r="AS251" s="620">
        <v>10.199999999999999</v>
      </c>
      <c r="AT251" s="620"/>
      <c r="AU251" s="620">
        <v>11.2</v>
      </c>
      <c r="AV251" s="623">
        <f t="shared" si="64"/>
        <v>21.4</v>
      </c>
      <c r="AW251" s="621">
        <v>4.45</v>
      </c>
      <c r="AX251" s="621">
        <v>3.52</v>
      </c>
      <c r="AY251" s="621">
        <v>90</v>
      </c>
      <c r="AZ251" s="624">
        <f t="shared" si="65"/>
        <v>-1.6000000000000014</v>
      </c>
      <c r="BA251" s="623">
        <v>23</v>
      </c>
      <c r="BB251" s="620">
        <v>4</v>
      </c>
      <c r="BC251" s="620">
        <v>7.5</v>
      </c>
      <c r="BD251" s="623">
        <f t="shared" si="66"/>
        <v>11.5</v>
      </c>
      <c r="BE251" s="621"/>
      <c r="BF251" s="621"/>
      <c r="BG251" s="621"/>
      <c r="BH251" s="621">
        <f t="shared" si="67"/>
        <v>11.5</v>
      </c>
    </row>
    <row r="252" spans="1:60" ht="17.25" thickTop="1" thickBot="1" x14ac:dyDescent="0.3">
      <c r="A252" s="602">
        <v>245</v>
      </c>
      <c r="B252" s="603">
        <f t="shared" ca="1" si="55"/>
        <v>43134</v>
      </c>
      <c r="C252" s="29" t="s">
        <v>2865</v>
      </c>
      <c r="D252" s="59" t="s">
        <v>2850</v>
      </c>
      <c r="E252" s="22" t="s">
        <v>1315</v>
      </c>
      <c r="F252" s="295" t="s">
        <v>1197</v>
      </c>
      <c r="G252" s="567">
        <v>42557</v>
      </c>
      <c r="H252" s="609">
        <f t="shared" si="68"/>
        <v>27.6</v>
      </c>
      <c r="I252" s="620">
        <v>9.4</v>
      </c>
      <c r="J252" s="620">
        <v>9</v>
      </c>
      <c r="K252" s="620">
        <v>11</v>
      </c>
      <c r="L252" s="611">
        <f t="shared" si="56"/>
        <v>29.4</v>
      </c>
      <c r="M252" s="621"/>
      <c r="N252" s="621"/>
      <c r="O252" s="621"/>
      <c r="P252" s="622">
        <f t="shared" si="57"/>
        <v>1.7999999999999972</v>
      </c>
      <c r="Q252" s="609">
        <f t="shared" si="69"/>
        <v>0</v>
      </c>
      <c r="R252" s="620">
        <v>10</v>
      </c>
      <c r="S252" s="620">
        <v>9.6</v>
      </c>
      <c r="T252" s="620">
        <v>8</v>
      </c>
      <c r="U252" s="611">
        <f t="shared" si="58"/>
        <v>27.6</v>
      </c>
      <c r="V252" s="621"/>
      <c r="W252" s="621"/>
      <c r="X252" s="621"/>
      <c r="Y252" s="622">
        <f t="shared" si="59"/>
        <v>27.6</v>
      </c>
      <c r="Z252" s="609">
        <f t="shared" si="70"/>
        <v>0</v>
      </c>
      <c r="AA252" s="620">
        <v>8.1999999999999993</v>
      </c>
      <c r="AB252" s="620">
        <v>9.6</v>
      </c>
      <c r="AC252" s="620">
        <v>9.6999999999999993</v>
      </c>
      <c r="AD252" s="611">
        <f t="shared" si="60"/>
        <v>27.499999999999996</v>
      </c>
      <c r="AE252" s="621"/>
      <c r="AF252" s="621"/>
      <c r="AG252" s="621"/>
      <c r="AH252" s="622">
        <f t="shared" si="61"/>
        <v>27.499999999999996</v>
      </c>
      <c r="AI252" s="609">
        <f t="shared" si="71"/>
        <v>17.399999999999999</v>
      </c>
      <c r="AJ252" s="620"/>
      <c r="AK252" s="620"/>
      <c r="AL252" s="620"/>
      <c r="AM252" s="623">
        <f t="shared" si="62"/>
        <v>0</v>
      </c>
      <c r="AN252" s="621"/>
      <c r="AO252" s="621"/>
      <c r="AP252" s="621"/>
      <c r="AQ252" s="622">
        <f t="shared" si="63"/>
        <v>-17.399999999999999</v>
      </c>
      <c r="AR252" s="615">
        <f t="shared" si="72"/>
        <v>21.5</v>
      </c>
      <c r="AS252" s="620">
        <v>10.8</v>
      </c>
      <c r="AT252" s="620"/>
      <c r="AU252" s="620">
        <v>6.6</v>
      </c>
      <c r="AV252" s="623">
        <f t="shared" si="64"/>
        <v>17.399999999999999</v>
      </c>
      <c r="AW252" s="621">
        <v>4.49</v>
      </c>
      <c r="AX252" s="621">
        <v>3.35</v>
      </c>
      <c r="AY252" s="621">
        <v>90</v>
      </c>
      <c r="AZ252" s="624">
        <f t="shared" si="65"/>
        <v>-4.1000000000000014</v>
      </c>
      <c r="BA252" s="623">
        <v>21.5</v>
      </c>
      <c r="BB252" s="620">
        <v>6</v>
      </c>
      <c r="BC252" s="620">
        <v>7</v>
      </c>
      <c r="BD252" s="623">
        <f t="shared" si="66"/>
        <v>13</v>
      </c>
      <c r="BE252" s="621"/>
      <c r="BF252" s="621"/>
      <c r="BG252" s="621"/>
      <c r="BH252" s="621">
        <f t="shared" si="67"/>
        <v>8.5</v>
      </c>
    </row>
    <row r="253" spans="1:60" ht="17.25" thickTop="1" thickBot="1" x14ac:dyDescent="0.3">
      <c r="A253" s="77">
        <v>246</v>
      </c>
      <c r="B253" s="603">
        <f t="shared" ca="1" si="55"/>
        <v>43134</v>
      </c>
      <c r="C253" s="29" t="s">
        <v>2865</v>
      </c>
      <c r="D253" s="59" t="s">
        <v>2850</v>
      </c>
      <c r="E253" s="22" t="s">
        <v>1319</v>
      </c>
      <c r="F253" s="295" t="s">
        <v>1201</v>
      </c>
      <c r="G253" s="567">
        <v>42542</v>
      </c>
      <c r="H253" s="609">
        <f t="shared" si="68"/>
        <v>22.5</v>
      </c>
      <c r="I253" s="620">
        <v>11</v>
      </c>
      <c r="J253" s="620">
        <v>10</v>
      </c>
      <c r="K253" s="620">
        <v>10</v>
      </c>
      <c r="L253" s="611">
        <f t="shared" si="56"/>
        <v>31</v>
      </c>
      <c r="M253" s="621"/>
      <c r="N253" s="621"/>
      <c r="O253" s="621"/>
      <c r="P253" s="622">
        <f t="shared" si="57"/>
        <v>8.5</v>
      </c>
      <c r="Q253" s="609">
        <f t="shared" si="69"/>
        <v>25</v>
      </c>
      <c r="R253" s="620">
        <v>8</v>
      </c>
      <c r="S253" s="620">
        <v>7</v>
      </c>
      <c r="T253" s="620">
        <v>7.5</v>
      </c>
      <c r="U253" s="611">
        <f t="shared" si="58"/>
        <v>22.5</v>
      </c>
      <c r="V253" s="621"/>
      <c r="W253" s="621"/>
      <c r="X253" s="621"/>
      <c r="Y253" s="622">
        <f t="shared" si="59"/>
        <v>-2.5</v>
      </c>
      <c r="Z253" s="609">
        <f t="shared" si="70"/>
        <v>25</v>
      </c>
      <c r="AA253" s="620">
        <v>7.4</v>
      </c>
      <c r="AB253" s="620">
        <v>11</v>
      </c>
      <c r="AC253" s="620">
        <v>10.6</v>
      </c>
      <c r="AD253" s="611">
        <f t="shared" si="60"/>
        <v>29</v>
      </c>
      <c r="AE253" s="621"/>
      <c r="AF253" s="621"/>
      <c r="AG253" s="621"/>
      <c r="AH253" s="622">
        <f t="shared" si="61"/>
        <v>4</v>
      </c>
      <c r="AI253" s="609">
        <f t="shared" si="71"/>
        <v>20.799999999999997</v>
      </c>
      <c r="AJ253" s="620">
        <v>13</v>
      </c>
      <c r="AK253" s="620"/>
      <c r="AL253" s="620">
        <v>12</v>
      </c>
      <c r="AM253" s="623">
        <f t="shared" si="62"/>
        <v>25</v>
      </c>
      <c r="AN253" s="621"/>
      <c r="AO253" s="621"/>
      <c r="AP253" s="621"/>
      <c r="AQ253" s="622">
        <f t="shared" si="63"/>
        <v>4.2000000000000028</v>
      </c>
      <c r="AR253" s="615">
        <f t="shared" si="72"/>
        <v>23.5</v>
      </c>
      <c r="AS253" s="620">
        <v>10.199999999999999</v>
      </c>
      <c r="AT253" s="620"/>
      <c r="AU253" s="620">
        <v>10.6</v>
      </c>
      <c r="AV253" s="623">
        <f t="shared" si="64"/>
        <v>20.799999999999997</v>
      </c>
      <c r="AW253" s="621">
        <v>4.8099999999999996</v>
      </c>
      <c r="AX253" s="621">
        <v>3.67</v>
      </c>
      <c r="AY253" s="621">
        <v>98</v>
      </c>
      <c r="AZ253" s="624">
        <f t="shared" si="65"/>
        <v>-2.7000000000000028</v>
      </c>
      <c r="BA253" s="623">
        <v>23.5</v>
      </c>
      <c r="BB253" s="620">
        <v>13</v>
      </c>
      <c r="BC253" s="620">
        <v>12</v>
      </c>
      <c r="BD253" s="623">
        <f t="shared" si="66"/>
        <v>25</v>
      </c>
      <c r="BE253" s="621"/>
      <c r="BF253" s="621"/>
      <c r="BG253" s="621"/>
      <c r="BH253" s="621">
        <f t="shared" si="67"/>
        <v>-1.5</v>
      </c>
    </row>
    <row r="254" spans="1:60" ht="17.25" thickTop="1" thickBot="1" x14ac:dyDescent="0.3">
      <c r="A254" s="602">
        <v>247</v>
      </c>
      <c r="B254" s="603">
        <f t="shared" ca="1" si="55"/>
        <v>43134</v>
      </c>
      <c r="C254" s="29" t="s">
        <v>2865</v>
      </c>
      <c r="D254" s="59" t="s">
        <v>2850</v>
      </c>
      <c r="E254" s="22" t="s">
        <v>1320</v>
      </c>
      <c r="F254" s="295" t="s">
        <v>1203</v>
      </c>
      <c r="G254" s="567">
        <v>42570</v>
      </c>
      <c r="H254" s="609">
        <f t="shared" si="68"/>
        <v>14</v>
      </c>
      <c r="I254" s="620"/>
      <c r="J254" s="620"/>
      <c r="K254" s="620"/>
      <c r="L254" s="611">
        <f t="shared" si="56"/>
        <v>0</v>
      </c>
      <c r="M254" s="621"/>
      <c r="N254" s="621"/>
      <c r="O254" s="621"/>
      <c r="P254" s="622">
        <f t="shared" si="57"/>
        <v>-14</v>
      </c>
      <c r="Q254" s="609">
        <f t="shared" si="69"/>
        <v>17</v>
      </c>
      <c r="R254" s="620">
        <v>8</v>
      </c>
      <c r="S254" s="620"/>
      <c r="T254" s="620">
        <v>6</v>
      </c>
      <c r="U254" s="611">
        <f t="shared" si="58"/>
        <v>14</v>
      </c>
      <c r="V254" s="621"/>
      <c r="W254" s="621"/>
      <c r="X254" s="621"/>
      <c r="Y254" s="622">
        <f t="shared" si="59"/>
        <v>-3</v>
      </c>
      <c r="Z254" s="609">
        <f t="shared" si="70"/>
        <v>17</v>
      </c>
      <c r="AA254" s="620">
        <v>10.5</v>
      </c>
      <c r="AB254" s="620"/>
      <c r="AC254" s="620">
        <v>17</v>
      </c>
      <c r="AD254" s="611">
        <f t="shared" si="60"/>
        <v>27.5</v>
      </c>
      <c r="AE254" s="621"/>
      <c r="AF254" s="621"/>
      <c r="AG254" s="621"/>
      <c r="AH254" s="622">
        <f t="shared" si="61"/>
        <v>10.5</v>
      </c>
      <c r="AI254" s="609">
        <f t="shared" si="71"/>
        <v>19.399999999999999</v>
      </c>
      <c r="AJ254" s="620">
        <v>9</v>
      </c>
      <c r="AK254" s="620"/>
      <c r="AL254" s="620">
        <v>8</v>
      </c>
      <c r="AM254" s="623">
        <f t="shared" si="62"/>
        <v>17</v>
      </c>
      <c r="AN254" s="621"/>
      <c r="AO254" s="621"/>
      <c r="AP254" s="621"/>
      <c r="AQ254" s="622">
        <f t="shared" si="63"/>
        <v>-2.3999999999999986</v>
      </c>
      <c r="AR254" s="615">
        <f t="shared" si="72"/>
        <v>19</v>
      </c>
      <c r="AS254" s="620">
        <v>10.6</v>
      </c>
      <c r="AT254" s="620"/>
      <c r="AU254" s="620">
        <v>8.8000000000000007</v>
      </c>
      <c r="AV254" s="623">
        <f t="shared" si="64"/>
        <v>19.399999999999999</v>
      </c>
      <c r="AW254" s="621">
        <v>4.95</v>
      </c>
      <c r="AX254" s="621">
        <v>3.99</v>
      </c>
      <c r="AY254" s="621">
        <v>90</v>
      </c>
      <c r="AZ254" s="624">
        <f t="shared" si="65"/>
        <v>0.39999999999999858</v>
      </c>
      <c r="BA254" s="623">
        <v>19</v>
      </c>
      <c r="BB254" s="620">
        <v>9.4</v>
      </c>
      <c r="BC254" s="620">
        <v>8.4</v>
      </c>
      <c r="BD254" s="623">
        <f t="shared" si="66"/>
        <v>17.8</v>
      </c>
      <c r="BE254" s="621"/>
      <c r="BF254" s="621"/>
      <c r="BG254" s="621"/>
      <c r="BH254" s="621">
        <f t="shared" si="67"/>
        <v>1.1999999999999993</v>
      </c>
    </row>
    <row r="255" spans="1:60" ht="17.25" thickTop="1" thickBot="1" x14ac:dyDescent="0.3">
      <c r="A255" s="77">
        <v>248</v>
      </c>
      <c r="B255" s="603">
        <f t="shared" ca="1" si="55"/>
        <v>43134</v>
      </c>
      <c r="C255" s="29" t="s">
        <v>2865</v>
      </c>
      <c r="D255" s="59" t="s">
        <v>2850</v>
      </c>
      <c r="E255" s="22" t="s">
        <v>1323</v>
      </c>
      <c r="F255" s="295" t="s">
        <v>1206</v>
      </c>
      <c r="G255" s="567">
        <v>42518</v>
      </c>
      <c r="H255" s="609">
        <f t="shared" si="68"/>
        <v>17</v>
      </c>
      <c r="I255" s="620">
        <v>0.6</v>
      </c>
      <c r="J255" s="620"/>
      <c r="K255" s="620">
        <v>0.3</v>
      </c>
      <c r="L255" s="611">
        <f t="shared" si="56"/>
        <v>0.89999999999999991</v>
      </c>
      <c r="M255" s="621"/>
      <c r="N255" s="621"/>
      <c r="O255" s="621"/>
      <c r="P255" s="622">
        <f t="shared" si="57"/>
        <v>-16.100000000000001</v>
      </c>
      <c r="Q255" s="609">
        <f t="shared" si="69"/>
        <v>17</v>
      </c>
      <c r="R255" s="620">
        <v>8</v>
      </c>
      <c r="S255" s="620"/>
      <c r="T255" s="620">
        <v>9</v>
      </c>
      <c r="U255" s="611">
        <f t="shared" si="58"/>
        <v>17</v>
      </c>
      <c r="V255" s="621"/>
      <c r="W255" s="621"/>
      <c r="X255" s="621"/>
      <c r="Y255" s="622">
        <f t="shared" si="59"/>
        <v>0</v>
      </c>
      <c r="Z255" s="609">
        <f t="shared" si="70"/>
        <v>17</v>
      </c>
      <c r="AA255" s="620">
        <v>8.5</v>
      </c>
      <c r="AB255" s="620"/>
      <c r="AC255" s="620">
        <v>12</v>
      </c>
      <c r="AD255" s="611">
        <f t="shared" si="60"/>
        <v>20.5</v>
      </c>
      <c r="AE255" s="621"/>
      <c r="AF255" s="621"/>
      <c r="AG255" s="621"/>
      <c r="AH255" s="622">
        <f t="shared" si="61"/>
        <v>3.5</v>
      </c>
      <c r="AI255" s="609">
        <f t="shared" si="71"/>
        <v>15.6</v>
      </c>
      <c r="AJ255" s="620">
        <v>8</v>
      </c>
      <c r="AK255" s="620"/>
      <c r="AL255" s="620">
        <v>9</v>
      </c>
      <c r="AM255" s="623">
        <f t="shared" si="62"/>
        <v>17</v>
      </c>
      <c r="AN255" s="621"/>
      <c r="AO255" s="621"/>
      <c r="AP255" s="621"/>
      <c r="AQ255" s="622">
        <f t="shared" si="63"/>
        <v>1.4000000000000004</v>
      </c>
      <c r="AR255" s="615">
        <f t="shared" si="72"/>
        <v>17.8</v>
      </c>
      <c r="AS255" s="620">
        <v>8.6</v>
      </c>
      <c r="AT255" s="620"/>
      <c r="AU255" s="620">
        <v>7</v>
      </c>
      <c r="AV255" s="623">
        <f t="shared" si="64"/>
        <v>15.6</v>
      </c>
      <c r="AW255" s="621">
        <v>5.18</v>
      </c>
      <c r="AX255" s="621">
        <v>4.05</v>
      </c>
      <c r="AY255" s="621">
        <v>100</v>
      </c>
      <c r="AZ255" s="624">
        <f t="shared" si="65"/>
        <v>-2.2000000000000011</v>
      </c>
      <c r="BA255" s="623">
        <v>17.8</v>
      </c>
      <c r="BB255" s="620">
        <v>8</v>
      </c>
      <c r="BC255" s="620">
        <v>7.5</v>
      </c>
      <c r="BD255" s="623">
        <f t="shared" si="66"/>
        <v>15.5</v>
      </c>
      <c r="BE255" s="621"/>
      <c r="BF255" s="621"/>
      <c r="BG255" s="621"/>
      <c r="BH255" s="621">
        <f t="shared" si="67"/>
        <v>2.3000000000000007</v>
      </c>
    </row>
    <row r="256" spans="1:60" ht="17.25" thickTop="1" thickBot="1" x14ac:dyDescent="0.3">
      <c r="A256" s="602">
        <v>249</v>
      </c>
      <c r="B256" s="603">
        <f t="shared" ca="1" si="55"/>
        <v>43134</v>
      </c>
      <c r="C256" s="29" t="s">
        <v>2865</v>
      </c>
      <c r="D256" s="59" t="s">
        <v>2850</v>
      </c>
      <c r="E256" s="22" t="s">
        <v>1332</v>
      </c>
      <c r="F256" s="295" t="s">
        <v>1215</v>
      </c>
      <c r="G256" s="567">
        <v>42574</v>
      </c>
      <c r="H256" s="609">
        <f t="shared" si="68"/>
        <v>24</v>
      </c>
      <c r="I256" s="620">
        <v>7.6</v>
      </c>
      <c r="J256" s="620"/>
      <c r="K256" s="620">
        <v>8</v>
      </c>
      <c r="L256" s="611">
        <f t="shared" si="56"/>
        <v>15.6</v>
      </c>
      <c r="M256" s="621"/>
      <c r="N256" s="621"/>
      <c r="O256" s="621"/>
      <c r="P256" s="622">
        <f t="shared" si="57"/>
        <v>-8.4</v>
      </c>
      <c r="Q256" s="609">
        <f t="shared" si="69"/>
        <v>31</v>
      </c>
      <c r="R256" s="620">
        <v>15</v>
      </c>
      <c r="S256" s="620"/>
      <c r="T256" s="620">
        <v>9</v>
      </c>
      <c r="U256" s="611">
        <f t="shared" si="58"/>
        <v>24</v>
      </c>
      <c r="V256" s="621"/>
      <c r="W256" s="621"/>
      <c r="X256" s="621"/>
      <c r="Y256" s="622">
        <f t="shared" si="59"/>
        <v>-7</v>
      </c>
      <c r="Z256" s="609">
        <f t="shared" si="70"/>
        <v>31</v>
      </c>
      <c r="AA256" s="620">
        <v>10.5</v>
      </c>
      <c r="AB256" s="620"/>
      <c r="AC256" s="620">
        <v>8.5</v>
      </c>
      <c r="AD256" s="611">
        <f t="shared" si="60"/>
        <v>19</v>
      </c>
      <c r="AE256" s="621"/>
      <c r="AF256" s="621"/>
      <c r="AG256" s="621"/>
      <c r="AH256" s="622">
        <f t="shared" si="61"/>
        <v>-12</v>
      </c>
      <c r="AI256" s="609">
        <f t="shared" si="71"/>
        <v>22.6</v>
      </c>
      <c r="AJ256" s="620">
        <v>14</v>
      </c>
      <c r="AK256" s="620"/>
      <c r="AL256" s="620">
        <v>17</v>
      </c>
      <c r="AM256" s="623">
        <f t="shared" si="62"/>
        <v>31</v>
      </c>
      <c r="AN256" s="621"/>
      <c r="AO256" s="621"/>
      <c r="AP256" s="621"/>
      <c r="AQ256" s="622">
        <f t="shared" si="63"/>
        <v>8.3999999999999986</v>
      </c>
      <c r="AR256" s="615">
        <f t="shared" si="72"/>
        <v>23.3</v>
      </c>
      <c r="AS256" s="620">
        <v>11</v>
      </c>
      <c r="AT256" s="620"/>
      <c r="AU256" s="620">
        <v>11.6</v>
      </c>
      <c r="AV256" s="623">
        <f t="shared" si="64"/>
        <v>22.6</v>
      </c>
      <c r="AW256" s="621">
        <v>4.1399999999999997</v>
      </c>
      <c r="AX256" s="621">
        <v>3.52</v>
      </c>
      <c r="AY256" s="621">
        <v>90</v>
      </c>
      <c r="AZ256" s="624">
        <f t="shared" si="65"/>
        <v>-0.69999999999999929</v>
      </c>
      <c r="BA256" s="623">
        <v>23.3</v>
      </c>
      <c r="BB256" s="620">
        <v>12</v>
      </c>
      <c r="BC256" s="620">
        <v>9.5</v>
      </c>
      <c r="BD256" s="623">
        <f t="shared" si="66"/>
        <v>21.5</v>
      </c>
      <c r="BE256" s="621"/>
      <c r="BF256" s="621"/>
      <c r="BG256" s="621"/>
      <c r="BH256" s="621">
        <f t="shared" si="67"/>
        <v>1.8000000000000007</v>
      </c>
    </row>
    <row r="257" spans="1:60" ht="17.25" thickTop="1" thickBot="1" x14ac:dyDescent="0.3">
      <c r="A257" s="77">
        <v>250</v>
      </c>
      <c r="B257" s="603">
        <f t="shared" ca="1" si="55"/>
        <v>43134</v>
      </c>
      <c r="C257" s="29" t="s">
        <v>2865</v>
      </c>
      <c r="D257" s="59" t="s">
        <v>2850</v>
      </c>
      <c r="E257" s="22" t="s">
        <v>1335</v>
      </c>
      <c r="F257" s="295" t="s">
        <v>1219</v>
      </c>
      <c r="G257" s="567">
        <v>42575</v>
      </c>
      <c r="H257" s="609">
        <f t="shared" si="68"/>
        <v>23.5</v>
      </c>
      <c r="I257" s="620">
        <v>11</v>
      </c>
      <c r="J257" s="620">
        <v>9</v>
      </c>
      <c r="K257" s="620">
        <v>13</v>
      </c>
      <c r="L257" s="611">
        <f t="shared" si="56"/>
        <v>33</v>
      </c>
      <c r="M257" s="621"/>
      <c r="N257" s="621"/>
      <c r="O257" s="621"/>
      <c r="P257" s="622">
        <f t="shared" si="57"/>
        <v>9.5</v>
      </c>
      <c r="Q257" s="609">
        <f t="shared" si="69"/>
        <v>0</v>
      </c>
      <c r="R257" s="620">
        <v>9</v>
      </c>
      <c r="S257" s="620">
        <v>7</v>
      </c>
      <c r="T257" s="620">
        <v>7.5</v>
      </c>
      <c r="U257" s="611">
        <f t="shared" si="58"/>
        <v>23.5</v>
      </c>
      <c r="V257" s="621"/>
      <c r="W257" s="621"/>
      <c r="X257" s="621"/>
      <c r="Y257" s="622">
        <f t="shared" si="59"/>
        <v>23.5</v>
      </c>
      <c r="Z257" s="609">
        <f t="shared" si="70"/>
        <v>0</v>
      </c>
      <c r="AA257" s="620"/>
      <c r="AB257" s="620"/>
      <c r="AC257" s="620"/>
      <c r="AD257" s="611">
        <f t="shared" si="60"/>
        <v>0</v>
      </c>
      <c r="AE257" s="621"/>
      <c r="AF257" s="621"/>
      <c r="AG257" s="621"/>
      <c r="AH257" s="622">
        <f t="shared" si="61"/>
        <v>0</v>
      </c>
      <c r="AI257" s="609">
        <f t="shared" si="71"/>
        <v>20</v>
      </c>
      <c r="AJ257" s="620"/>
      <c r="AK257" s="620"/>
      <c r="AL257" s="620"/>
      <c r="AM257" s="623">
        <f t="shared" si="62"/>
        <v>0</v>
      </c>
      <c r="AN257" s="621"/>
      <c r="AO257" s="621"/>
      <c r="AP257" s="621"/>
      <c r="AQ257" s="622">
        <f t="shared" si="63"/>
        <v>-20</v>
      </c>
      <c r="AR257" s="615">
        <f t="shared" si="72"/>
        <v>22.5</v>
      </c>
      <c r="AS257" s="620">
        <v>8</v>
      </c>
      <c r="AT257" s="620"/>
      <c r="AU257" s="620">
        <v>12</v>
      </c>
      <c r="AV257" s="623">
        <f t="shared" si="64"/>
        <v>20</v>
      </c>
      <c r="AW257" s="621">
        <v>3.91</v>
      </c>
      <c r="AX257" s="621">
        <v>3.68</v>
      </c>
      <c r="AY257" s="621">
        <v>90</v>
      </c>
      <c r="AZ257" s="624">
        <f t="shared" si="65"/>
        <v>-2.5</v>
      </c>
      <c r="BA257" s="623">
        <v>22.5</v>
      </c>
      <c r="BB257" s="620">
        <v>9</v>
      </c>
      <c r="BC257" s="620">
        <v>9</v>
      </c>
      <c r="BD257" s="623">
        <f t="shared" si="66"/>
        <v>18</v>
      </c>
      <c r="BE257" s="621"/>
      <c r="BF257" s="621"/>
      <c r="BG257" s="621"/>
      <c r="BH257" s="621">
        <f t="shared" si="67"/>
        <v>4.5</v>
      </c>
    </row>
    <row r="258" spans="1:60" ht="17.25" thickTop="1" thickBot="1" x14ac:dyDescent="0.3">
      <c r="A258" s="602">
        <v>251</v>
      </c>
      <c r="B258" s="603">
        <f t="shared" ca="1" si="55"/>
        <v>43134</v>
      </c>
      <c r="C258" s="29" t="s">
        <v>2865</v>
      </c>
      <c r="D258" s="59" t="s">
        <v>2850</v>
      </c>
      <c r="E258" s="22" t="s">
        <v>1340</v>
      </c>
      <c r="F258" s="295" t="s">
        <v>1224</v>
      </c>
      <c r="G258" s="567">
        <v>42571</v>
      </c>
      <c r="H258" s="609">
        <f t="shared" si="68"/>
        <v>18</v>
      </c>
      <c r="I258" s="620">
        <v>10.4</v>
      </c>
      <c r="J258" s="620"/>
      <c r="K258" s="620">
        <v>21</v>
      </c>
      <c r="L258" s="611">
        <f t="shared" si="56"/>
        <v>31.4</v>
      </c>
      <c r="M258" s="621"/>
      <c r="N258" s="621"/>
      <c r="O258" s="621"/>
      <c r="P258" s="622">
        <f t="shared" si="57"/>
        <v>13.399999999999999</v>
      </c>
      <c r="Q258" s="609">
        <f t="shared" si="69"/>
        <v>25.8</v>
      </c>
      <c r="R258" s="620">
        <v>9</v>
      </c>
      <c r="S258" s="620"/>
      <c r="T258" s="620">
        <v>9</v>
      </c>
      <c r="U258" s="611">
        <f t="shared" si="58"/>
        <v>18</v>
      </c>
      <c r="V258" s="621"/>
      <c r="W258" s="621"/>
      <c r="X258" s="621"/>
      <c r="Y258" s="622">
        <f t="shared" si="59"/>
        <v>-7.8000000000000007</v>
      </c>
      <c r="Z258" s="609">
        <f t="shared" si="70"/>
        <v>25.8</v>
      </c>
      <c r="AA258" s="620">
        <v>11</v>
      </c>
      <c r="AB258" s="620"/>
      <c r="AC258" s="620">
        <v>11</v>
      </c>
      <c r="AD258" s="611">
        <f t="shared" si="60"/>
        <v>22</v>
      </c>
      <c r="AE258" s="621"/>
      <c r="AF258" s="621"/>
      <c r="AG258" s="621"/>
      <c r="AH258" s="622">
        <f t="shared" si="61"/>
        <v>-3.8000000000000007</v>
      </c>
      <c r="AI258" s="609">
        <f t="shared" si="71"/>
        <v>16.399999999999999</v>
      </c>
      <c r="AJ258" s="620">
        <v>11.8</v>
      </c>
      <c r="AK258" s="620"/>
      <c r="AL258" s="620">
        <v>14</v>
      </c>
      <c r="AM258" s="623">
        <f t="shared" si="62"/>
        <v>25.8</v>
      </c>
      <c r="AN258" s="621"/>
      <c r="AO258" s="621"/>
      <c r="AP258" s="621"/>
      <c r="AQ258" s="622">
        <f t="shared" si="63"/>
        <v>9.4000000000000021</v>
      </c>
      <c r="AR258" s="615">
        <f t="shared" si="72"/>
        <v>20</v>
      </c>
      <c r="AS258" s="620">
        <v>7</v>
      </c>
      <c r="AT258" s="620"/>
      <c r="AU258" s="620">
        <v>9.4</v>
      </c>
      <c r="AV258" s="623">
        <f t="shared" si="64"/>
        <v>16.399999999999999</v>
      </c>
      <c r="AW258" s="621">
        <v>5.38</v>
      </c>
      <c r="AX258" s="621">
        <v>3.91</v>
      </c>
      <c r="AY258" s="621">
        <v>90</v>
      </c>
      <c r="AZ258" s="624">
        <f t="shared" si="65"/>
        <v>-3.6000000000000014</v>
      </c>
      <c r="BA258" s="623">
        <v>20</v>
      </c>
      <c r="BB258" s="620">
        <v>15</v>
      </c>
      <c r="BC258" s="620">
        <v>6.5</v>
      </c>
      <c r="BD258" s="623">
        <f t="shared" si="66"/>
        <v>21.5</v>
      </c>
      <c r="BE258" s="621"/>
      <c r="BF258" s="621"/>
      <c r="BG258" s="621"/>
      <c r="BH258" s="621">
        <f t="shared" si="67"/>
        <v>-1.5</v>
      </c>
    </row>
    <row r="259" spans="1:60" ht="17.25" thickTop="1" thickBot="1" x14ac:dyDescent="0.3">
      <c r="A259" s="77">
        <v>252</v>
      </c>
      <c r="B259" s="603">
        <f t="shared" ca="1" si="55"/>
        <v>43134</v>
      </c>
      <c r="C259" s="29" t="s">
        <v>2865</v>
      </c>
      <c r="D259" s="59" t="s">
        <v>2850</v>
      </c>
      <c r="E259" s="22" t="s">
        <v>1383</v>
      </c>
      <c r="F259" s="295" t="s">
        <v>956</v>
      </c>
      <c r="G259" s="567">
        <v>42596</v>
      </c>
      <c r="H259" s="609">
        <f t="shared" si="68"/>
        <v>22.3</v>
      </c>
      <c r="I259" s="620">
        <v>9</v>
      </c>
      <c r="J259" s="620">
        <v>12</v>
      </c>
      <c r="K259" s="620">
        <v>9</v>
      </c>
      <c r="L259" s="611">
        <f t="shared" si="56"/>
        <v>30</v>
      </c>
      <c r="M259" s="621"/>
      <c r="N259" s="621"/>
      <c r="O259" s="621"/>
      <c r="P259" s="622">
        <f t="shared" si="57"/>
        <v>7.6999999999999993</v>
      </c>
      <c r="Q259" s="609">
        <f t="shared" si="69"/>
        <v>0</v>
      </c>
      <c r="R259" s="620">
        <v>7.3</v>
      </c>
      <c r="S259" s="620">
        <v>6.7</v>
      </c>
      <c r="T259" s="620">
        <v>8.3000000000000007</v>
      </c>
      <c r="U259" s="611">
        <f t="shared" si="58"/>
        <v>22.3</v>
      </c>
      <c r="V259" s="621"/>
      <c r="W259" s="621"/>
      <c r="X259" s="621"/>
      <c r="Y259" s="622">
        <f t="shared" si="59"/>
        <v>22.3</v>
      </c>
      <c r="Z259" s="609">
        <f t="shared" si="70"/>
        <v>0</v>
      </c>
      <c r="AA259" s="620"/>
      <c r="AB259" s="620"/>
      <c r="AC259" s="620"/>
      <c r="AD259" s="611">
        <f t="shared" si="60"/>
        <v>0</v>
      </c>
      <c r="AE259" s="621"/>
      <c r="AF259" s="621"/>
      <c r="AG259" s="621"/>
      <c r="AH259" s="622">
        <f t="shared" si="61"/>
        <v>0</v>
      </c>
      <c r="AI259" s="609">
        <f t="shared" si="71"/>
        <v>29.2</v>
      </c>
      <c r="AJ259" s="620"/>
      <c r="AK259" s="620"/>
      <c r="AL259" s="620"/>
      <c r="AM259" s="623">
        <f t="shared" si="62"/>
        <v>0</v>
      </c>
      <c r="AN259" s="621"/>
      <c r="AO259" s="621"/>
      <c r="AP259" s="621"/>
      <c r="AQ259" s="622">
        <f t="shared" si="63"/>
        <v>-29.2</v>
      </c>
      <c r="AR259" s="615">
        <f t="shared" si="72"/>
        <v>18</v>
      </c>
      <c r="AS259" s="620">
        <v>18.2</v>
      </c>
      <c r="AT259" s="620"/>
      <c r="AU259" s="620">
        <v>11</v>
      </c>
      <c r="AV259" s="623">
        <f t="shared" si="64"/>
        <v>29.2</v>
      </c>
      <c r="AW259" s="621">
        <v>5.05</v>
      </c>
      <c r="AX259" s="621">
        <v>4.12</v>
      </c>
      <c r="AY259" s="621">
        <v>90</v>
      </c>
      <c r="AZ259" s="624">
        <f t="shared" si="65"/>
        <v>11.2</v>
      </c>
      <c r="BA259" s="623">
        <v>18</v>
      </c>
      <c r="BB259" s="620">
        <v>8.1999999999999993</v>
      </c>
      <c r="BC259" s="620">
        <v>7.2</v>
      </c>
      <c r="BD259" s="623">
        <f t="shared" si="66"/>
        <v>15.399999999999999</v>
      </c>
      <c r="BE259" s="621"/>
      <c r="BF259" s="621"/>
      <c r="BG259" s="621"/>
      <c r="BH259" s="621">
        <f t="shared" si="67"/>
        <v>2.6000000000000014</v>
      </c>
    </row>
    <row r="260" spans="1:60" ht="17.25" thickTop="1" thickBot="1" x14ac:dyDescent="0.3">
      <c r="A260" s="602">
        <v>253</v>
      </c>
      <c r="B260" s="603">
        <f t="shared" ca="1" si="55"/>
        <v>43134</v>
      </c>
      <c r="C260" s="29" t="s">
        <v>2865</v>
      </c>
      <c r="D260" s="59" t="s">
        <v>2850</v>
      </c>
      <c r="E260" s="22" t="s">
        <v>488</v>
      </c>
      <c r="F260" s="295" t="s">
        <v>965</v>
      </c>
      <c r="G260" s="567">
        <v>42682</v>
      </c>
      <c r="H260" s="609">
        <f t="shared" si="68"/>
        <v>0</v>
      </c>
      <c r="I260" s="620">
        <v>8.6</v>
      </c>
      <c r="J260" s="620">
        <v>9.4</v>
      </c>
      <c r="K260" s="620">
        <v>7.6</v>
      </c>
      <c r="L260" s="611">
        <f t="shared" si="56"/>
        <v>25.6</v>
      </c>
      <c r="M260" s="621"/>
      <c r="N260" s="621"/>
      <c r="O260" s="621"/>
      <c r="P260" s="622">
        <f t="shared" si="57"/>
        <v>25.6</v>
      </c>
      <c r="Q260" s="609">
        <f t="shared" si="69"/>
        <v>19.200000000000003</v>
      </c>
      <c r="R260" s="620"/>
      <c r="S260" s="620"/>
      <c r="T260" s="620"/>
      <c r="U260" s="611">
        <f t="shared" si="58"/>
        <v>0</v>
      </c>
      <c r="V260" s="621"/>
      <c r="W260" s="621"/>
      <c r="X260" s="621"/>
      <c r="Y260" s="622">
        <f t="shared" si="59"/>
        <v>-19.200000000000003</v>
      </c>
      <c r="Z260" s="609">
        <f t="shared" si="70"/>
        <v>19.200000000000003</v>
      </c>
      <c r="AA260" s="620"/>
      <c r="AB260" s="620"/>
      <c r="AC260" s="620"/>
      <c r="AD260" s="611">
        <f t="shared" si="60"/>
        <v>0</v>
      </c>
      <c r="AE260" s="621"/>
      <c r="AF260" s="621"/>
      <c r="AG260" s="621"/>
      <c r="AH260" s="622">
        <f t="shared" si="61"/>
        <v>-19.200000000000003</v>
      </c>
      <c r="AI260" s="609">
        <f t="shared" si="71"/>
        <v>18.2</v>
      </c>
      <c r="AJ260" s="620">
        <v>10.8</v>
      </c>
      <c r="AK260" s="620"/>
      <c r="AL260" s="620">
        <v>8.4</v>
      </c>
      <c r="AM260" s="623">
        <f t="shared" si="62"/>
        <v>19.200000000000003</v>
      </c>
      <c r="AN260" s="621"/>
      <c r="AO260" s="621"/>
      <c r="AP260" s="621"/>
      <c r="AQ260" s="622">
        <f t="shared" si="63"/>
        <v>1.0000000000000036</v>
      </c>
      <c r="AR260" s="615">
        <f t="shared" si="72"/>
        <v>11.5</v>
      </c>
      <c r="AS260" s="620">
        <v>8.6</v>
      </c>
      <c r="AT260" s="620"/>
      <c r="AU260" s="620">
        <v>9.6</v>
      </c>
      <c r="AV260" s="623">
        <f t="shared" si="64"/>
        <v>18.2</v>
      </c>
      <c r="AW260" s="621">
        <v>4.91</v>
      </c>
      <c r="AX260" s="621">
        <v>3.69</v>
      </c>
      <c r="AY260" s="621">
        <v>90</v>
      </c>
      <c r="AZ260" s="624">
        <f t="shared" si="65"/>
        <v>6.6999999999999993</v>
      </c>
      <c r="BA260" s="623">
        <v>11.5</v>
      </c>
      <c r="BB260" s="620">
        <v>7.2</v>
      </c>
      <c r="BC260" s="620">
        <v>6</v>
      </c>
      <c r="BD260" s="623">
        <f t="shared" si="66"/>
        <v>13.2</v>
      </c>
      <c r="BE260" s="621"/>
      <c r="BF260" s="621"/>
      <c r="BG260" s="621"/>
      <c r="BH260" s="621">
        <f t="shared" si="67"/>
        <v>-1.6999999999999993</v>
      </c>
    </row>
    <row r="261" spans="1:60" ht="17.25" thickTop="1" thickBot="1" x14ac:dyDescent="0.3">
      <c r="A261" s="77">
        <v>254</v>
      </c>
      <c r="B261" s="603">
        <f t="shared" ca="1" si="55"/>
        <v>43134</v>
      </c>
      <c r="C261" s="29" t="s">
        <v>2865</v>
      </c>
      <c r="D261" s="59" t="s">
        <v>2850</v>
      </c>
      <c r="E261" s="22" t="s">
        <v>429</v>
      </c>
      <c r="F261" s="295" t="s">
        <v>964</v>
      </c>
      <c r="G261" s="567">
        <v>42721</v>
      </c>
      <c r="H261" s="609">
        <f t="shared" si="68"/>
        <v>0</v>
      </c>
      <c r="I261" s="620"/>
      <c r="J261" s="620"/>
      <c r="K261" s="620"/>
      <c r="L261" s="611">
        <f t="shared" si="56"/>
        <v>0</v>
      </c>
      <c r="M261" s="621"/>
      <c r="N261" s="621"/>
      <c r="O261" s="621"/>
      <c r="P261" s="622">
        <f t="shared" si="57"/>
        <v>0</v>
      </c>
      <c r="Q261" s="609">
        <f t="shared" si="69"/>
        <v>24</v>
      </c>
      <c r="R261" s="620"/>
      <c r="S261" s="620"/>
      <c r="T261" s="620"/>
      <c r="U261" s="611">
        <f t="shared" si="58"/>
        <v>0</v>
      </c>
      <c r="V261" s="621"/>
      <c r="W261" s="621"/>
      <c r="X261" s="621"/>
      <c r="Y261" s="622">
        <f t="shared" si="59"/>
        <v>-24</v>
      </c>
      <c r="Z261" s="609">
        <f t="shared" si="70"/>
        <v>24</v>
      </c>
      <c r="AA261" s="620">
        <v>13</v>
      </c>
      <c r="AB261" s="620"/>
      <c r="AC261" s="620">
        <v>11</v>
      </c>
      <c r="AD261" s="611">
        <f t="shared" si="60"/>
        <v>24</v>
      </c>
      <c r="AE261" s="621"/>
      <c r="AF261" s="621"/>
      <c r="AG261" s="621"/>
      <c r="AH261" s="622">
        <f t="shared" si="61"/>
        <v>0</v>
      </c>
      <c r="AI261" s="609">
        <f t="shared" si="71"/>
        <v>19.100000000000001</v>
      </c>
      <c r="AJ261" s="620">
        <v>10</v>
      </c>
      <c r="AK261" s="620"/>
      <c r="AL261" s="620">
        <v>14</v>
      </c>
      <c r="AM261" s="623">
        <f t="shared" si="62"/>
        <v>24</v>
      </c>
      <c r="AN261" s="621"/>
      <c r="AO261" s="621"/>
      <c r="AP261" s="621"/>
      <c r="AQ261" s="622">
        <f t="shared" si="63"/>
        <v>4.8999999999999986</v>
      </c>
      <c r="AR261" s="615">
        <f t="shared" si="72"/>
        <v>21</v>
      </c>
      <c r="AS261" s="620">
        <v>10.1</v>
      </c>
      <c r="AT261" s="620"/>
      <c r="AU261" s="620">
        <v>9</v>
      </c>
      <c r="AV261" s="623">
        <f t="shared" si="64"/>
        <v>19.100000000000001</v>
      </c>
      <c r="AW261" s="621">
        <v>4.05</v>
      </c>
      <c r="AX261" s="621">
        <v>3.5</v>
      </c>
      <c r="AY261" s="621">
        <v>90</v>
      </c>
      <c r="AZ261" s="624">
        <f t="shared" si="65"/>
        <v>-1.8999999999999986</v>
      </c>
      <c r="BA261" s="623">
        <v>21</v>
      </c>
      <c r="BB261" s="620">
        <v>10</v>
      </c>
      <c r="BC261" s="620">
        <v>10</v>
      </c>
      <c r="BD261" s="623">
        <f t="shared" si="66"/>
        <v>20</v>
      </c>
      <c r="BE261" s="621"/>
      <c r="BF261" s="621"/>
      <c r="BG261" s="621"/>
      <c r="BH261" s="621">
        <f t="shared" si="67"/>
        <v>1</v>
      </c>
    </row>
    <row r="262" spans="1:60" ht="17.25" thickTop="1" thickBot="1" x14ac:dyDescent="0.3">
      <c r="A262" s="602">
        <v>255</v>
      </c>
      <c r="B262" s="603">
        <f t="shared" ca="1" si="55"/>
        <v>43134</v>
      </c>
      <c r="C262" s="29" t="s">
        <v>2865</v>
      </c>
      <c r="D262" s="59" t="s">
        <v>2850</v>
      </c>
      <c r="E262" s="22" t="s">
        <v>1348</v>
      </c>
      <c r="F262" s="295" t="s">
        <v>1232</v>
      </c>
      <c r="G262" s="567">
        <v>42588</v>
      </c>
      <c r="H262" s="609">
        <f t="shared" si="68"/>
        <v>19</v>
      </c>
      <c r="I262" s="620">
        <v>8</v>
      </c>
      <c r="J262" s="620"/>
      <c r="K262" s="620">
        <v>7</v>
      </c>
      <c r="L262" s="611">
        <f t="shared" si="56"/>
        <v>15</v>
      </c>
      <c r="M262" s="621"/>
      <c r="N262" s="621"/>
      <c r="O262" s="621"/>
      <c r="P262" s="622">
        <f t="shared" si="57"/>
        <v>-4</v>
      </c>
      <c r="Q262" s="609">
        <f t="shared" si="69"/>
        <v>19</v>
      </c>
      <c r="R262" s="620">
        <v>10</v>
      </c>
      <c r="S262" s="620"/>
      <c r="T262" s="620">
        <v>9</v>
      </c>
      <c r="U262" s="611">
        <f t="shared" si="58"/>
        <v>19</v>
      </c>
      <c r="V262" s="621"/>
      <c r="W262" s="621"/>
      <c r="X262" s="621"/>
      <c r="Y262" s="622">
        <f t="shared" si="59"/>
        <v>0</v>
      </c>
      <c r="Z262" s="609">
        <f t="shared" si="70"/>
        <v>19</v>
      </c>
      <c r="AA262" s="620">
        <v>10</v>
      </c>
      <c r="AB262" s="620"/>
      <c r="AC262" s="620">
        <v>13.4</v>
      </c>
      <c r="AD262" s="611">
        <f t="shared" si="60"/>
        <v>23.4</v>
      </c>
      <c r="AE262" s="621"/>
      <c r="AF262" s="621"/>
      <c r="AG262" s="621"/>
      <c r="AH262" s="622">
        <f t="shared" si="61"/>
        <v>4.3999999999999986</v>
      </c>
      <c r="AI262" s="609">
        <f t="shared" si="71"/>
        <v>18.2</v>
      </c>
      <c r="AJ262" s="620">
        <v>10</v>
      </c>
      <c r="AK262" s="620"/>
      <c r="AL262" s="620">
        <v>9</v>
      </c>
      <c r="AM262" s="623">
        <f t="shared" si="62"/>
        <v>19</v>
      </c>
      <c r="AN262" s="621"/>
      <c r="AO262" s="621"/>
      <c r="AP262" s="621"/>
      <c r="AQ262" s="622">
        <f t="shared" si="63"/>
        <v>0.80000000000000071</v>
      </c>
      <c r="AR262" s="615">
        <f t="shared" si="72"/>
        <v>16</v>
      </c>
      <c r="AS262" s="620">
        <v>9.1999999999999993</v>
      </c>
      <c r="AT262" s="620"/>
      <c r="AU262" s="620">
        <v>9</v>
      </c>
      <c r="AV262" s="623">
        <f t="shared" si="64"/>
        <v>18.2</v>
      </c>
      <c r="AW262" s="621">
        <v>4.79</v>
      </c>
      <c r="AX262" s="621">
        <v>3.6</v>
      </c>
      <c r="AY262" s="621">
        <v>90</v>
      </c>
      <c r="AZ262" s="624">
        <f t="shared" si="65"/>
        <v>2.1999999999999993</v>
      </c>
      <c r="BA262" s="623">
        <v>16</v>
      </c>
      <c r="BB262" s="620">
        <v>9.8000000000000007</v>
      </c>
      <c r="BC262" s="620">
        <v>8</v>
      </c>
      <c r="BD262" s="623">
        <f t="shared" si="66"/>
        <v>17.8</v>
      </c>
      <c r="BE262" s="621"/>
      <c r="BF262" s="621"/>
      <c r="BG262" s="621"/>
      <c r="BH262" s="621">
        <f t="shared" si="67"/>
        <v>-1.8000000000000007</v>
      </c>
    </row>
    <row r="263" spans="1:60" ht="17.25" thickTop="1" thickBot="1" x14ac:dyDescent="0.3">
      <c r="A263" s="77">
        <v>256</v>
      </c>
      <c r="B263" s="603">
        <f t="shared" ca="1" si="55"/>
        <v>43134</v>
      </c>
      <c r="C263" s="29" t="s">
        <v>2865</v>
      </c>
      <c r="D263" s="59" t="s">
        <v>2850</v>
      </c>
      <c r="E263" s="22" t="s">
        <v>1350</v>
      </c>
      <c r="F263" s="295" t="s">
        <v>1234</v>
      </c>
      <c r="G263" s="567">
        <v>42623</v>
      </c>
      <c r="H263" s="609">
        <f t="shared" si="68"/>
        <v>13.6</v>
      </c>
      <c r="I263" s="620">
        <v>3</v>
      </c>
      <c r="J263" s="620"/>
      <c r="K263" s="620">
        <v>2</v>
      </c>
      <c r="L263" s="611">
        <f t="shared" si="56"/>
        <v>5</v>
      </c>
      <c r="M263" s="621"/>
      <c r="N263" s="621"/>
      <c r="O263" s="621"/>
      <c r="P263" s="622">
        <f t="shared" si="57"/>
        <v>-8.6</v>
      </c>
      <c r="Q263" s="609">
        <f t="shared" si="69"/>
        <v>0</v>
      </c>
      <c r="R263" s="620">
        <v>4.0999999999999996</v>
      </c>
      <c r="S263" s="620">
        <v>4.4000000000000004</v>
      </c>
      <c r="T263" s="620">
        <v>5.0999999999999996</v>
      </c>
      <c r="U263" s="611">
        <f t="shared" si="58"/>
        <v>13.6</v>
      </c>
      <c r="V263" s="621"/>
      <c r="W263" s="621"/>
      <c r="X263" s="621"/>
      <c r="Y263" s="622">
        <f t="shared" si="59"/>
        <v>13.6</v>
      </c>
      <c r="Z263" s="609">
        <f t="shared" si="70"/>
        <v>0</v>
      </c>
      <c r="AA263" s="620"/>
      <c r="AB263" s="620"/>
      <c r="AC263" s="620"/>
      <c r="AD263" s="611">
        <f t="shared" si="60"/>
        <v>0</v>
      </c>
      <c r="AE263" s="621"/>
      <c r="AF263" s="621"/>
      <c r="AG263" s="621"/>
      <c r="AH263" s="622">
        <f t="shared" si="61"/>
        <v>0</v>
      </c>
      <c r="AI263" s="609">
        <f t="shared" si="71"/>
        <v>29.599999999999998</v>
      </c>
      <c r="AJ263" s="620"/>
      <c r="AK263" s="620"/>
      <c r="AL263" s="620"/>
      <c r="AM263" s="623">
        <f t="shared" si="62"/>
        <v>0</v>
      </c>
      <c r="AN263" s="621"/>
      <c r="AO263" s="621"/>
      <c r="AP263" s="621"/>
      <c r="AQ263" s="622">
        <f t="shared" si="63"/>
        <v>-29.599999999999998</v>
      </c>
      <c r="AR263" s="615">
        <f t="shared" si="72"/>
        <v>19</v>
      </c>
      <c r="AS263" s="620">
        <v>18.399999999999999</v>
      </c>
      <c r="AT263" s="620"/>
      <c r="AU263" s="620">
        <v>11.2</v>
      </c>
      <c r="AV263" s="623">
        <f t="shared" si="64"/>
        <v>29.599999999999998</v>
      </c>
      <c r="AW263" s="621">
        <v>5</v>
      </c>
      <c r="AX263" s="621">
        <v>3.79</v>
      </c>
      <c r="AY263" s="621">
        <v>101</v>
      </c>
      <c r="AZ263" s="624">
        <f t="shared" si="65"/>
        <v>10.599999999999998</v>
      </c>
      <c r="BA263" s="623">
        <v>19</v>
      </c>
      <c r="BB263" s="620">
        <v>9.1999999999999993</v>
      </c>
      <c r="BC263" s="620">
        <v>8.9</v>
      </c>
      <c r="BD263" s="623">
        <f t="shared" si="66"/>
        <v>18.100000000000001</v>
      </c>
      <c r="BE263" s="621"/>
      <c r="BF263" s="621"/>
      <c r="BG263" s="621"/>
      <c r="BH263" s="621">
        <f t="shared" si="67"/>
        <v>0.89999999999999858</v>
      </c>
    </row>
    <row r="264" spans="1:60" ht="17.25" thickTop="1" thickBot="1" x14ac:dyDescent="0.3">
      <c r="A264" s="602">
        <v>257</v>
      </c>
      <c r="B264" s="603">
        <f t="shared" ref="B264:B327" ca="1" si="73">TODAY()</f>
        <v>43134</v>
      </c>
      <c r="C264" s="29" t="s">
        <v>2865</v>
      </c>
      <c r="D264" s="59" t="s">
        <v>2850</v>
      </c>
      <c r="E264" s="22" t="s">
        <v>425</v>
      </c>
      <c r="F264" s="295" t="s">
        <v>959</v>
      </c>
      <c r="G264" s="567">
        <v>42689</v>
      </c>
      <c r="H264" s="609">
        <f t="shared" si="68"/>
        <v>21</v>
      </c>
      <c r="I264" s="620">
        <v>9.6</v>
      </c>
      <c r="J264" s="620"/>
      <c r="K264" s="620">
        <v>9</v>
      </c>
      <c r="L264" s="611">
        <f t="shared" ref="L264:L327" si="74">SUM(I264:K264)</f>
        <v>18.600000000000001</v>
      </c>
      <c r="M264" s="621"/>
      <c r="N264" s="621"/>
      <c r="O264" s="621"/>
      <c r="P264" s="622">
        <f t="shared" ref="P264:P327" si="75">L264-H264</f>
        <v>-2.3999999999999986</v>
      </c>
      <c r="Q264" s="609">
        <f t="shared" si="69"/>
        <v>20</v>
      </c>
      <c r="R264" s="620">
        <v>14</v>
      </c>
      <c r="S264" s="620"/>
      <c r="T264" s="620">
        <v>7</v>
      </c>
      <c r="U264" s="611">
        <f t="shared" ref="U264:U327" si="76">SUM(R264:T264)</f>
        <v>21</v>
      </c>
      <c r="V264" s="621"/>
      <c r="W264" s="621"/>
      <c r="X264" s="621"/>
      <c r="Y264" s="622">
        <f t="shared" ref="Y264:Y327" si="77">U264-Q264</f>
        <v>1</v>
      </c>
      <c r="Z264" s="609">
        <f t="shared" si="70"/>
        <v>20</v>
      </c>
      <c r="AA264" s="620">
        <v>10</v>
      </c>
      <c r="AB264" s="620"/>
      <c r="AC264" s="620">
        <v>14</v>
      </c>
      <c r="AD264" s="611">
        <f t="shared" ref="AD264:AD327" si="78">SUM(AA264:AC264)</f>
        <v>24</v>
      </c>
      <c r="AE264" s="621"/>
      <c r="AF264" s="621"/>
      <c r="AG264" s="621"/>
      <c r="AH264" s="622">
        <f t="shared" ref="AH264:AH327" si="79">AD264-Z264</f>
        <v>4</v>
      </c>
      <c r="AI264" s="609">
        <f t="shared" si="71"/>
        <v>19.8</v>
      </c>
      <c r="AJ264" s="620">
        <v>12</v>
      </c>
      <c r="AK264" s="620"/>
      <c r="AL264" s="620">
        <v>8</v>
      </c>
      <c r="AM264" s="623">
        <f t="shared" ref="AM264:AM327" si="80">SUM(AJ264:AL264)</f>
        <v>20</v>
      </c>
      <c r="AN264" s="621"/>
      <c r="AO264" s="621"/>
      <c r="AP264" s="621"/>
      <c r="AQ264" s="622">
        <f t="shared" ref="AQ264:AQ327" si="81">AM264-AI264</f>
        <v>0.19999999999999929</v>
      </c>
      <c r="AR264" s="615">
        <f t="shared" si="72"/>
        <v>20.2</v>
      </c>
      <c r="AS264" s="620">
        <v>8</v>
      </c>
      <c r="AT264" s="620"/>
      <c r="AU264" s="620">
        <v>11.8</v>
      </c>
      <c r="AV264" s="623">
        <f t="shared" ref="AV264:AV327" si="82">SUM(AS264:AU264)</f>
        <v>19.8</v>
      </c>
      <c r="AW264" s="621">
        <v>3.75</v>
      </c>
      <c r="AX264" s="621">
        <v>3.56</v>
      </c>
      <c r="AY264" s="621">
        <v>90</v>
      </c>
      <c r="AZ264" s="624">
        <f t="shared" ref="AZ264:AZ327" si="83">AV264-AR264</f>
        <v>-0.39999999999999858</v>
      </c>
      <c r="BA264" s="623">
        <v>20.2</v>
      </c>
      <c r="BB264" s="620">
        <v>15</v>
      </c>
      <c r="BC264" s="620">
        <v>10</v>
      </c>
      <c r="BD264" s="623">
        <f t="shared" ref="BD264:BD327" si="84">SUM(BB264:BC264)</f>
        <v>25</v>
      </c>
      <c r="BE264" s="621"/>
      <c r="BF264" s="621"/>
      <c r="BG264" s="621"/>
      <c r="BH264" s="621">
        <f t="shared" ref="BH264:BH327" si="85">BA264-BD264</f>
        <v>-4.8000000000000007</v>
      </c>
    </row>
    <row r="265" spans="1:60" ht="17.25" thickTop="1" thickBot="1" x14ac:dyDescent="0.3">
      <c r="A265" s="77">
        <v>258</v>
      </c>
      <c r="B265" s="603">
        <f t="shared" ca="1" si="73"/>
        <v>43134</v>
      </c>
      <c r="C265" s="29" t="s">
        <v>2865</v>
      </c>
      <c r="D265" s="59" t="s">
        <v>2850</v>
      </c>
      <c r="E265" s="22" t="s">
        <v>1052</v>
      </c>
      <c r="F265" s="295" t="s">
        <v>963</v>
      </c>
      <c r="G265" s="567">
        <v>42729</v>
      </c>
      <c r="H265" s="609">
        <f t="shared" ref="H265:H328" si="86">U265</f>
        <v>19.5</v>
      </c>
      <c r="I265" s="620">
        <v>9.6</v>
      </c>
      <c r="J265" s="620"/>
      <c r="K265" s="620">
        <v>9</v>
      </c>
      <c r="L265" s="611">
        <f t="shared" si="74"/>
        <v>18.600000000000001</v>
      </c>
      <c r="M265" s="621"/>
      <c r="N265" s="621"/>
      <c r="O265" s="621"/>
      <c r="P265" s="622">
        <f t="shared" si="75"/>
        <v>-0.89999999999999858</v>
      </c>
      <c r="Q265" s="609">
        <f t="shared" ref="Q265:Q328" si="87">AM265</f>
        <v>26</v>
      </c>
      <c r="R265" s="620">
        <v>9</v>
      </c>
      <c r="S265" s="620"/>
      <c r="T265" s="620">
        <v>10.5</v>
      </c>
      <c r="U265" s="611">
        <f t="shared" si="76"/>
        <v>19.5</v>
      </c>
      <c r="V265" s="621"/>
      <c r="W265" s="621"/>
      <c r="X265" s="621"/>
      <c r="Y265" s="622">
        <f t="shared" si="77"/>
        <v>-6.5</v>
      </c>
      <c r="Z265" s="609">
        <f t="shared" ref="Z265:Z328" si="88">AM265</f>
        <v>26</v>
      </c>
      <c r="AA265" s="620">
        <v>10.5</v>
      </c>
      <c r="AB265" s="620"/>
      <c r="AC265" s="620">
        <v>11</v>
      </c>
      <c r="AD265" s="611">
        <f t="shared" si="78"/>
        <v>21.5</v>
      </c>
      <c r="AE265" s="621"/>
      <c r="AF265" s="621"/>
      <c r="AG265" s="621"/>
      <c r="AH265" s="622">
        <f t="shared" si="79"/>
        <v>-4.5</v>
      </c>
      <c r="AI265" s="609">
        <f t="shared" ref="AI265:AI328" si="89">AV265</f>
        <v>26.200000000000003</v>
      </c>
      <c r="AJ265" s="620">
        <v>13</v>
      </c>
      <c r="AK265" s="620"/>
      <c r="AL265" s="620">
        <v>13</v>
      </c>
      <c r="AM265" s="623">
        <f t="shared" si="80"/>
        <v>26</v>
      </c>
      <c r="AN265" s="621"/>
      <c r="AO265" s="621"/>
      <c r="AP265" s="621"/>
      <c r="AQ265" s="622">
        <f t="shared" si="81"/>
        <v>-0.20000000000000284</v>
      </c>
      <c r="AR265" s="615">
        <f t="shared" ref="AR265:AR328" si="90">BA265</f>
        <v>23.2</v>
      </c>
      <c r="AS265" s="620">
        <v>14.8</v>
      </c>
      <c r="AT265" s="620"/>
      <c r="AU265" s="620">
        <v>11.4</v>
      </c>
      <c r="AV265" s="623">
        <f t="shared" si="82"/>
        <v>26.200000000000003</v>
      </c>
      <c r="AW265" s="621">
        <v>3.39</v>
      </c>
      <c r="AX265" s="621">
        <v>3.11</v>
      </c>
      <c r="AY265" s="621">
        <v>90</v>
      </c>
      <c r="AZ265" s="624">
        <f t="shared" si="83"/>
        <v>3.0000000000000036</v>
      </c>
      <c r="BA265" s="623">
        <v>23.2</v>
      </c>
      <c r="BB265" s="620">
        <v>10</v>
      </c>
      <c r="BC265" s="620">
        <v>10</v>
      </c>
      <c r="BD265" s="623">
        <f t="shared" si="84"/>
        <v>20</v>
      </c>
      <c r="BE265" s="621"/>
      <c r="BF265" s="621"/>
      <c r="BG265" s="621"/>
      <c r="BH265" s="621">
        <f t="shared" si="85"/>
        <v>3.1999999999999993</v>
      </c>
    </row>
    <row r="266" spans="1:60" ht="17.25" thickTop="1" thickBot="1" x14ac:dyDescent="0.3">
      <c r="A266" s="602">
        <v>259</v>
      </c>
      <c r="B266" s="603">
        <f t="shared" ca="1" si="73"/>
        <v>43134</v>
      </c>
      <c r="C266" s="29" t="s">
        <v>2865</v>
      </c>
      <c r="D266" s="59" t="s">
        <v>2850</v>
      </c>
      <c r="E266" s="22" t="s">
        <v>1084</v>
      </c>
      <c r="F266" s="295" t="s">
        <v>971</v>
      </c>
      <c r="G266" s="567">
        <v>42631</v>
      </c>
      <c r="H266" s="609">
        <f t="shared" si="86"/>
        <v>15.8</v>
      </c>
      <c r="I266" s="620">
        <v>2</v>
      </c>
      <c r="J266" s="620"/>
      <c r="K266" s="620">
        <v>4</v>
      </c>
      <c r="L266" s="611">
        <f t="shared" si="74"/>
        <v>6</v>
      </c>
      <c r="M266" s="621"/>
      <c r="N266" s="621"/>
      <c r="O266" s="621"/>
      <c r="P266" s="622">
        <f t="shared" si="75"/>
        <v>-9.8000000000000007</v>
      </c>
      <c r="Q266" s="609">
        <f t="shared" si="87"/>
        <v>18</v>
      </c>
      <c r="R266" s="620">
        <v>8.8000000000000007</v>
      </c>
      <c r="S266" s="620"/>
      <c r="T266" s="620">
        <v>7</v>
      </c>
      <c r="U266" s="611">
        <f t="shared" si="76"/>
        <v>15.8</v>
      </c>
      <c r="V266" s="621"/>
      <c r="W266" s="621"/>
      <c r="X266" s="621"/>
      <c r="Y266" s="622">
        <f t="shared" si="77"/>
        <v>-2.1999999999999993</v>
      </c>
      <c r="Z266" s="609">
        <f t="shared" si="88"/>
        <v>18</v>
      </c>
      <c r="AA266" s="620">
        <v>10</v>
      </c>
      <c r="AB266" s="620"/>
      <c r="AC266" s="620">
        <v>10</v>
      </c>
      <c r="AD266" s="611">
        <f t="shared" si="78"/>
        <v>20</v>
      </c>
      <c r="AE266" s="621"/>
      <c r="AF266" s="621"/>
      <c r="AG266" s="621"/>
      <c r="AH266" s="622">
        <f t="shared" si="79"/>
        <v>2</v>
      </c>
      <c r="AI266" s="609">
        <f t="shared" si="89"/>
        <v>17.8</v>
      </c>
      <c r="AJ266" s="620">
        <v>8</v>
      </c>
      <c r="AK266" s="620"/>
      <c r="AL266" s="620">
        <v>10</v>
      </c>
      <c r="AM266" s="623">
        <f t="shared" si="80"/>
        <v>18</v>
      </c>
      <c r="AN266" s="621"/>
      <c r="AO266" s="621"/>
      <c r="AP266" s="621"/>
      <c r="AQ266" s="622">
        <f t="shared" si="81"/>
        <v>0.19999999999999929</v>
      </c>
      <c r="AR266" s="615">
        <f t="shared" si="90"/>
        <v>15</v>
      </c>
      <c r="AS266" s="620">
        <v>10.8</v>
      </c>
      <c r="AT266" s="620"/>
      <c r="AU266" s="620">
        <v>7</v>
      </c>
      <c r="AV266" s="623">
        <f t="shared" si="82"/>
        <v>17.8</v>
      </c>
      <c r="AW266" s="621">
        <v>3.82</v>
      </c>
      <c r="AX266" s="621">
        <v>3.45</v>
      </c>
      <c r="AY266" s="621">
        <v>90</v>
      </c>
      <c r="AZ266" s="624">
        <f t="shared" si="83"/>
        <v>2.8000000000000007</v>
      </c>
      <c r="BA266" s="623">
        <v>15</v>
      </c>
      <c r="BB266" s="620">
        <v>6</v>
      </c>
      <c r="BC266" s="620">
        <v>7</v>
      </c>
      <c r="BD266" s="623">
        <f t="shared" si="84"/>
        <v>13</v>
      </c>
      <c r="BE266" s="621"/>
      <c r="BF266" s="621"/>
      <c r="BG266" s="621"/>
      <c r="BH266" s="621">
        <f t="shared" si="85"/>
        <v>2</v>
      </c>
    </row>
    <row r="267" spans="1:60" ht="17.25" thickTop="1" thickBot="1" x14ac:dyDescent="0.3">
      <c r="A267" s="77">
        <v>260</v>
      </c>
      <c r="B267" s="603">
        <f t="shared" ca="1" si="73"/>
        <v>43134</v>
      </c>
      <c r="C267" s="29" t="s">
        <v>2865</v>
      </c>
      <c r="D267" s="59" t="s">
        <v>2850</v>
      </c>
      <c r="E267" s="22" t="s">
        <v>331</v>
      </c>
      <c r="F267" s="295" t="s">
        <v>999</v>
      </c>
      <c r="G267" s="567">
        <v>42747</v>
      </c>
      <c r="H267" s="609">
        <f t="shared" si="86"/>
        <v>12</v>
      </c>
      <c r="I267" s="620"/>
      <c r="J267" s="620"/>
      <c r="K267" s="620"/>
      <c r="L267" s="611">
        <f t="shared" si="74"/>
        <v>0</v>
      </c>
      <c r="M267" s="621"/>
      <c r="N267" s="621"/>
      <c r="O267" s="621"/>
      <c r="P267" s="622">
        <f t="shared" si="75"/>
        <v>-12</v>
      </c>
      <c r="Q267" s="609">
        <f t="shared" si="87"/>
        <v>24.4</v>
      </c>
      <c r="R267" s="620">
        <v>4.5</v>
      </c>
      <c r="S267" s="620">
        <v>3.5</v>
      </c>
      <c r="T267" s="620">
        <v>4</v>
      </c>
      <c r="U267" s="611">
        <f t="shared" si="76"/>
        <v>12</v>
      </c>
      <c r="V267" s="621"/>
      <c r="W267" s="621"/>
      <c r="X267" s="621"/>
      <c r="Y267" s="622">
        <f t="shared" si="77"/>
        <v>-12.399999999999999</v>
      </c>
      <c r="Z267" s="609">
        <f t="shared" si="88"/>
        <v>24.4</v>
      </c>
      <c r="AA267" s="620">
        <v>11</v>
      </c>
      <c r="AB267" s="620"/>
      <c r="AC267" s="620">
        <v>16</v>
      </c>
      <c r="AD267" s="611">
        <f t="shared" si="78"/>
        <v>27</v>
      </c>
      <c r="AE267" s="621"/>
      <c r="AF267" s="621"/>
      <c r="AG267" s="621"/>
      <c r="AH267" s="622">
        <f t="shared" si="79"/>
        <v>2.6000000000000014</v>
      </c>
      <c r="AI267" s="609">
        <f t="shared" si="89"/>
        <v>22.4</v>
      </c>
      <c r="AJ267" s="620">
        <v>12.6</v>
      </c>
      <c r="AK267" s="620"/>
      <c r="AL267" s="620">
        <v>11.8</v>
      </c>
      <c r="AM267" s="623">
        <f t="shared" si="80"/>
        <v>24.4</v>
      </c>
      <c r="AN267" s="621"/>
      <c r="AO267" s="621"/>
      <c r="AP267" s="621"/>
      <c r="AQ267" s="622">
        <f t="shared" si="81"/>
        <v>2</v>
      </c>
      <c r="AR267" s="615">
        <f t="shared" si="90"/>
        <v>25.6</v>
      </c>
      <c r="AS267" s="620">
        <v>12.4</v>
      </c>
      <c r="AT267" s="620"/>
      <c r="AU267" s="620">
        <v>10</v>
      </c>
      <c r="AV267" s="623">
        <f t="shared" si="82"/>
        <v>22.4</v>
      </c>
      <c r="AW267" s="621">
        <v>4.5</v>
      </c>
      <c r="AX267" s="621">
        <v>3.8</v>
      </c>
      <c r="AY267" s="621">
        <v>90</v>
      </c>
      <c r="AZ267" s="624">
        <f t="shared" si="83"/>
        <v>-3.2000000000000028</v>
      </c>
      <c r="BA267" s="623">
        <v>25.6</v>
      </c>
      <c r="BB267" s="620">
        <v>9</v>
      </c>
      <c r="BC267" s="620">
        <v>9</v>
      </c>
      <c r="BD267" s="623">
        <f t="shared" si="84"/>
        <v>18</v>
      </c>
      <c r="BE267" s="621"/>
      <c r="BF267" s="621"/>
      <c r="BG267" s="621"/>
      <c r="BH267" s="621">
        <f t="shared" si="85"/>
        <v>7.6000000000000014</v>
      </c>
    </row>
    <row r="268" spans="1:60" ht="17.25" thickTop="1" thickBot="1" x14ac:dyDescent="0.3">
      <c r="A268" s="602">
        <v>261</v>
      </c>
      <c r="B268" s="603">
        <f t="shared" ca="1" si="73"/>
        <v>43134</v>
      </c>
      <c r="C268" s="29" t="s">
        <v>2865</v>
      </c>
      <c r="D268" s="59" t="s">
        <v>2850</v>
      </c>
      <c r="E268" s="22" t="s">
        <v>1088</v>
      </c>
      <c r="F268" s="295" t="s">
        <v>1003</v>
      </c>
      <c r="G268" s="567">
        <v>42796</v>
      </c>
      <c r="H268" s="609">
        <f t="shared" si="86"/>
        <v>9.5</v>
      </c>
      <c r="I268" s="620">
        <v>10</v>
      </c>
      <c r="J268" s="620"/>
      <c r="K268" s="620">
        <v>9</v>
      </c>
      <c r="L268" s="611">
        <f t="shared" si="74"/>
        <v>19</v>
      </c>
      <c r="M268" s="621"/>
      <c r="N268" s="621"/>
      <c r="O268" s="621"/>
      <c r="P268" s="622">
        <f t="shared" si="75"/>
        <v>9.5</v>
      </c>
      <c r="Q268" s="609">
        <f t="shared" si="87"/>
        <v>25</v>
      </c>
      <c r="R268" s="620">
        <v>3</v>
      </c>
      <c r="S268" s="620">
        <v>3</v>
      </c>
      <c r="T268" s="620">
        <v>3.5</v>
      </c>
      <c r="U268" s="611">
        <f t="shared" si="76"/>
        <v>9.5</v>
      </c>
      <c r="V268" s="621"/>
      <c r="W268" s="621"/>
      <c r="X268" s="621"/>
      <c r="Y268" s="622">
        <f t="shared" si="77"/>
        <v>-15.5</v>
      </c>
      <c r="Z268" s="609">
        <f t="shared" si="88"/>
        <v>25</v>
      </c>
      <c r="AA268" s="620">
        <v>16</v>
      </c>
      <c r="AB268" s="620"/>
      <c r="AC268" s="620">
        <v>15</v>
      </c>
      <c r="AD268" s="611">
        <f t="shared" si="78"/>
        <v>31</v>
      </c>
      <c r="AE268" s="621"/>
      <c r="AF268" s="621"/>
      <c r="AG268" s="621"/>
      <c r="AH268" s="622">
        <f t="shared" si="79"/>
        <v>6</v>
      </c>
      <c r="AI268" s="609">
        <f t="shared" si="89"/>
        <v>23.3</v>
      </c>
      <c r="AJ268" s="620">
        <v>12</v>
      </c>
      <c r="AK268" s="620"/>
      <c r="AL268" s="620">
        <v>13</v>
      </c>
      <c r="AM268" s="623">
        <f t="shared" si="80"/>
        <v>25</v>
      </c>
      <c r="AN268" s="621"/>
      <c r="AO268" s="621"/>
      <c r="AP268" s="621"/>
      <c r="AQ268" s="622">
        <f t="shared" si="81"/>
        <v>1.6999999999999993</v>
      </c>
      <c r="AR268" s="615">
        <f t="shared" si="90"/>
        <v>23.8</v>
      </c>
      <c r="AS268" s="620">
        <v>10.5</v>
      </c>
      <c r="AT268" s="620"/>
      <c r="AU268" s="620">
        <v>12.8</v>
      </c>
      <c r="AV268" s="623">
        <f t="shared" si="82"/>
        <v>23.3</v>
      </c>
      <c r="AW268" s="621">
        <v>3.79</v>
      </c>
      <c r="AX268" s="621">
        <v>3.54</v>
      </c>
      <c r="AY268" s="621">
        <v>90</v>
      </c>
      <c r="AZ268" s="624">
        <f t="shared" si="83"/>
        <v>-0.5</v>
      </c>
      <c r="BA268" s="623">
        <v>23.8</v>
      </c>
      <c r="BB268" s="620">
        <v>11.6</v>
      </c>
      <c r="BC268" s="620">
        <v>10.8</v>
      </c>
      <c r="BD268" s="623">
        <f t="shared" si="84"/>
        <v>22.4</v>
      </c>
      <c r="BE268" s="621"/>
      <c r="BF268" s="621"/>
      <c r="BG268" s="621"/>
      <c r="BH268" s="621">
        <f t="shared" si="85"/>
        <v>1.4000000000000021</v>
      </c>
    </row>
    <row r="269" spans="1:60" ht="17.25" thickTop="1" thickBot="1" x14ac:dyDescent="0.3">
      <c r="A269" s="77">
        <v>262</v>
      </c>
      <c r="B269" s="603">
        <f t="shared" ca="1" si="73"/>
        <v>43134</v>
      </c>
      <c r="C269" s="29" t="s">
        <v>2865</v>
      </c>
      <c r="D269" s="59" t="s">
        <v>2850</v>
      </c>
      <c r="E269" s="22" t="s">
        <v>409</v>
      </c>
      <c r="F269" s="295" t="s">
        <v>988</v>
      </c>
      <c r="G269" s="567">
        <v>42657</v>
      </c>
      <c r="H269" s="609">
        <f t="shared" si="86"/>
        <v>27.900000000000002</v>
      </c>
      <c r="I269" s="620">
        <v>10.5</v>
      </c>
      <c r="J269" s="620">
        <v>7</v>
      </c>
      <c r="K269" s="620">
        <v>8</v>
      </c>
      <c r="L269" s="611">
        <f t="shared" si="74"/>
        <v>25.5</v>
      </c>
      <c r="M269" s="621"/>
      <c r="N269" s="621"/>
      <c r="O269" s="621"/>
      <c r="P269" s="622">
        <f t="shared" si="75"/>
        <v>-2.4000000000000021</v>
      </c>
      <c r="Q269" s="609">
        <f t="shared" si="87"/>
        <v>0</v>
      </c>
      <c r="R269" s="620">
        <v>9.3000000000000007</v>
      </c>
      <c r="S269" s="620">
        <v>9.3000000000000007</v>
      </c>
      <c r="T269" s="620">
        <v>9.3000000000000007</v>
      </c>
      <c r="U269" s="611">
        <f t="shared" si="76"/>
        <v>27.900000000000002</v>
      </c>
      <c r="V269" s="621"/>
      <c r="W269" s="621"/>
      <c r="X269" s="621"/>
      <c r="Y269" s="622">
        <f t="shared" si="77"/>
        <v>27.900000000000002</v>
      </c>
      <c r="Z269" s="609">
        <f t="shared" si="88"/>
        <v>0</v>
      </c>
      <c r="AA269" s="620"/>
      <c r="AB269" s="620"/>
      <c r="AC269" s="620"/>
      <c r="AD269" s="611">
        <f t="shared" si="78"/>
        <v>0</v>
      </c>
      <c r="AE269" s="621"/>
      <c r="AF269" s="621"/>
      <c r="AG269" s="621"/>
      <c r="AH269" s="622">
        <f t="shared" si="79"/>
        <v>0</v>
      </c>
      <c r="AI269" s="609">
        <f t="shared" si="89"/>
        <v>17.600000000000001</v>
      </c>
      <c r="AJ269" s="620"/>
      <c r="AK269" s="620"/>
      <c r="AL269" s="620"/>
      <c r="AM269" s="623">
        <f t="shared" si="80"/>
        <v>0</v>
      </c>
      <c r="AN269" s="621"/>
      <c r="AO269" s="621"/>
      <c r="AP269" s="621"/>
      <c r="AQ269" s="622">
        <f t="shared" si="81"/>
        <v>-17.600000000000001</v>
      </c>
      <c r="AR269" s="615">
        <f t="shared" si="90"/>
        <v>4.0999999999999996</v>
      </c>
      <c r="AS269" s="620">
        <v>9.4</v>
      </c>
      <c r="AT269" s="620"/>
      <c r="AU269" s="620">
        <v>8.1999999999999993</v>
      </c>
      <c r="AV269" s="623">
        <f t="shared" si="82"/>
        <v>17.600000000000001</v>
      </c>
      <c r="AW269" s="621">
        <v>4.53</v>
      </c>
      <c r="AX269" s="621">
        <v>3.52</v>
      </c>
      <c r="AY269" s="621">
        <v>97</v>
      </c>
      <c r="AZ269" s="624">
        <f t="shared" si="83"/>
        <v>13.500000000000002</v>
      </c>
      <c r="BA269" s="623">
        <v>4.0999999999999996</v>
      </c>
      <c r="BB269" s="620">
        <v>14</v>
      </c>
      <c r="BC269" s="620">
        <v>8.5</v>
      </c>
      <c r="BD269" s="623">
        <f t="shared" si="84"/>
        <v>22.5</v>
      </c>
      <c r="BE269" s="621"/>
      <c r="BF269" s="621"/>
      <c r="BG269" s="621"/>
      <c r="BH269" s="621">
        <f t="shared" si="85"/>
        <v>-18.399999999999999</v>
      </c>
    </row>
    <row r="270" spans="1:60" ht="17.25" thickTop="1" thickBot="1" x14ac:dyDescent="0.3">
      <c r="A270" s="602">
        <v>263</v>
      </c>
      <c r="B270" s="603">
        <f t="shared" ca="1" si="73"/>
        <v>43134</v>
      </c>
      <c r="C270" s="29" t="s">
        <v>2865</v>
      </c>
      <c r="D270" s="59" t="s">
        <v>2850</v>
      </c>
      <c r="E270" s="22" t="s">
        <v>1062</v>
      </c>
      <c r="F270" s="295" t="s">
        <v>981</v>
      </c>
      <c r="G270" s="567">
        <v>42661</v>
      </c>
      <c r="H270" s="609">
        <f t="shared" si="86"/>
        <v>16.600000000000001</v>
      </c>
      <c r="I270" s="620">
        <v>7</v>
      </c>
      <c r="J270" s="620"/>
      <c r="K270" s="620"/>
      <c r="L270" s="611">
        <f t="shared" si="74"/>
        <v>7</v>
      </c>
      <c r="M270" s="621"/>
      <c r="N270" s="621"/>
      <c r="O270" s="621"/>
      <c r="P270" s="622">
        <f t="shared" si="75"/>
        <v>-9.6000000000000014</v>
      </c>
      <c r="Q270" s="609">
        <f t="shared" si="87"/>
        <v>24</v>
      </c>
      <c r="R270" s="620">
        <v>7.8</v>
      </c>
      <c r="S270" s="620"/>
      <c r="T270" s="620">
        <v>8.8000000000000007</v>
      </c>
      <c r="U270" s="611">
        <f t="shared" si="76"/>
        <v>16.600000000000001</v>
      </c>
      <c r="V270" s="621"/>
      <c r="W270" s="621"/>
      <c r="X270" s="621"/>
      <c r="Y270" s="622">
        <f t="shared" si="77"/>
        <v>-7.3999999999999986</v>
      </c>
      <c r="Z270" s="609">
        <f t="shared" si="88"/>
        <v>24</v>
      </c>
      <c r="AA270" s="620">
        <v>11.5</v>
      </c>
      <c r="AB270" s="620"/>
      <c r="AC270" s="620">
        <v>10</v>
      </c>
      <c r="AD270" s="611">
        <f t="shared" si="78"/>
        <v>21.5</v>
      </c>
      <c r="AE270" s="621"/>
      <c r="AF270" s="621"/>
      <c r="AG270" s="621"/>
      <c r="AH270" s="622">
        <f t="shared" si="79"/>
        <v>-2.5</v>
      </c>
      <c r="AI270" s="609">
        <f t="shared" si="89"/>
        <v>20.6</v>
      </c>
      <c r="AJ270" s="620">
        <v>13</v>
      </c>
      <c r="AK270" s="620"/>
      <c r="AL270" s="620">
        <v>11</v>
      </c>
      <c r="AM270" s="623">
        <f t="shared" si="80"/>
        <v>24</v>
      </c>
      <c r="AN270" s="621"/>
      <c r="AO270" s="621"/>
      <c r="AP270" s="621"/>
      <c r="AQ270" s="622">
        <f t="shared" si="81"/>
        <v>3.3999999999999986</v>
      </c>
      <c r="AR270" s="615">
        <f t="shared" si="90"/>
        <v>21.5</v>
      </c>
      <c r="AS270" s="620">
        <v>8.4</v>
      </c>
      <c r="AT270" s="620"/>
      <c r="AU270" s="620">
        <v>12.2</v>
      </c>
      <c r="AV270" s="623">
        <f t="shared" si="82"/>
        <v>20.6</v>
      </c>
      <c r="AW270" s="621">
        <v>4.21</v>
      </c>
      <c r="AX270" s="621">
        <v>3.51</v>
      </c>
      <c r="AY270" s="621">
        <v>90</v>
      </c>
      <c r="AZ270" s="624">
        <f t="shared" si="83"/>
        <v>-0.89999999999999858</v>
      </c>
      <c r="BA270" s="623">
        <v>21.5</v>
      </c>
      <c r="BB270" s="620">
        <v>8</v>
      </c>
      <c r="BC270" s="620">
        <v>6.5</v>
      </c>
      <c r="BD270" s="623">
        <f t="shared" si="84"/>
        <v>14.5</v>
      </c>
      <c r="BE270" s="621"/>
      <c r="BF270" s="621"/>
      <c r="BG270" s="621"/>
      <c r="BH270" s="621">
        <f t="shared" si="85"/>
        <v>7</v>
      </c>
    </row>
    <row r="271" spans="1:60" ht="17.25" thickTop="1" thickBot="1" x14ac:dyDescent="0.3">
      <c r="A271" s="77">
        <v>264</v>
      </c>
      <c r="B271" s="603">
        <f t="shared" ca="1" si="73"/>
        <v>43134</v>
      </c>
      <c r="C271" s="29" t="s">
        <v>2865</v>
      </c>
      <c r="D271" s="59" t="s">
        <v>2850</v>
      </c>
      <c r="E271" s="22" t="s">
        <v>1063</v>
      </c>
      <c r="F271" s="295" t="s">
        <v>986</v>
      </c>
      <c r="G271" s="567">
        <v>42654</v>
      </c>
      <c r="H271" s="609">
        <f t="shared" si="86"/>
        <v>22.5</v>
      </c>
      <c r="I271" s="620">
        <v>9</v>
      </c>
      <c r="J271" s="620">
        <v>8</v>
      </c>
      <c r="K271" s="620">
        <v>10</v>
      </c>
      <c r="L271" s="611">
        <f t="shared" si="74"/>
        <v>27</v>
      </c>
      <c r="M271" s="621"/>
      <c r="N271" s="621"/>
      <c r="O271" s="621"/>
      <c r="P271" s="622">
        <f t="shared" si="75"/>
        <v>4.5</v>
      </c>
      <c r="Q271" s="609">
        <f t="shared" si="87"/>
        <v>0</v>
      </c>
      <c r="R271" s="620">
        <v>8.5</v>
      </c>
      <c r="S271" s="620">
        <v>7</v>
      </c>
      <c r="T271" s="620">
        <v>7</v>
      </c>
      <c r="U271" s="611">
        <f t="shared" si="76"/>
        <v>22.5</v>
      </c>
      <c r="V271" s="621"/>
      <c r="W271" s="621"/>
      <c r="X271" s="621"/>
      <c r="Y271" s="622">
        <f t="shared" si="77"/>
        <v>22.5</v>
      </c>
      <c r="Z271" s="609">
        <f t="shared" si="88"/>
        <v>0</v>
      </c>
      <c r="AA271" s="620"/>
      <c r="AB271" s="620"/>
      <c r="AC271" s="620"/>
      <c r="AD271" s="611">
        <f t="shared" si="78"/>
        <v>0</v>
      </c>
      <c r="AE271" s="621"/>
      <c r="AF271" s="621"/>
      <c r="AG271" s="621"/>
      <c r="AH271" s="622">
        <f t="shared" si="79"/>
        <v>0</v>
      </c>
      <c r="AI271" s="609">
        <f t="shared" si="89"/>
        <v>22</v>
      </c>
      <c r="AJ271" s="620"/>
      <c r="AK271" s="620"/>
      <c r="AL271" s="620"/>
      <c r="AM271" s="623">
        <f t="shared" si="80"/>
        <v>0</v>
      </c>
      <c r="AN271" s="621"/>
      <c r="AO271" s="621"/>
      <c r="AP271" s="621"/>
      <c r="AQ271" s="622">
        <f t="shared" si="81"/>
        <v>-22</v>
      </c>
      <c r="AR271" s="615">
        <f t="shared" si="90"/>
        <v>23</v>
      </c>
      <c r="AS271" s="620">
        <v>12</v>
      </c>
      <c r="AT271" s="620"/>
      <c r="AU271" s="620">
        <v>10</v>
      </c>
      <c r="AV271" s="623">
        <f t="shared" si="82"/>
        <v>22</v>
      </c>
      <c r="AW271" s="621"/>
      <c r="AX271" s="621"/>
      <c r="AY271" s="621"/>
      <c r="AZ271" s="624">
        <f t="shared" si="83"/>
        <v>-1</v>
      </c>
      <c r="BA271" s="623">
        <v>23</v>
      </c>
      <c r="BB271" s="620">
        <v>12</v>
      </c>
      <c r="BC271" s="620">
        <v>10</v>
      </c>
      <c r="BD271" s="623">
        <f t="shared" si="84"/>
        <v>22</v>
      </c>
      <c r="BE271" s="621"/>
      <c r="BF271" s="621"/>
      <c r="BG271" s="621"/>
      <c r="BH271" s="621">
        <f t="shared" si="85"/>
        <v>1</v>
      </c>
    </row>
    <row r="272" spans="1:60" ht="17.25" thickTop="1" thickBot="1" x14ac:dyDescent="0.3">
      <c r="A272" s="602">
        <v>265</v>
      </c>
      <c r="B272" s="603">
        <f t="shared" ca="1" si="73"/>
        <v>43134</v>
      </c>
      <c r="C272" s="29" t="s">
        <v>2865</v>
      </c>
      <c r="D272" s="59" t="s">
        <v>2850</v>
      </c>
      <c r="E272" s="22" t="s">
        <v>1097</v>
      </c>
      <c r="F272" s="295" t="s">
        <v>1007</v>
      </c>
      <c r="G272" s="567">
        <v>42668</v>
      </c>
      <c r="H272" s="609">
        <f t="shared" si="86"/>
        <v>0</v>
      </c>
      <c r="I272" s="620">
        <v>11</v>
      </c>
      <c r="J272" s="620">
        <v>10</v>
      </c>
      <c r="K272" s="620">
        <v>9</v>
      </c>
      <c r="L272" s="611">
        <f t="shared" si="74"/>
        <v>30</v>
      </c>
      <c r="M272" s="621"/>
      <c r="N272" s="621"/>
      <c r="O272" s="621"/>
      <c r="P272" s="622">
        <f t="shared" si="75"/>
        <v>30</v>
      </c>
      <c r="Q272" s="609">
        <f t="shared" si="87"/>
        <v>22.4</v>
      </c>
      <c r="R272" s="620"/>
      <c r="S272" s="620"/>
      <c r="T272" s="620"/>
      <c r="U272" s="611">
        <f t="shared" si="76"/>
        <v>0</v>
      </c>
      <c r="V272" s="621"/>
      <c r="W272" s="621"/>
      <c r="X272" s="621"/>
      <c r="Y272" s="622">
        <f t="shared" si="77"/>
        <v>-22.4</v>
      </c>
      <c r="Z272" s="609">
        <f t="shared" si="88"/>
        <v>22.4</v>
      </c>
      <c r="AA272" s="620"/>
      <c r="AB272" s="620"/>
      <c r="AC272" s="620"/>
      <c r="AD272" s="611">
        <f t="shared" si="78"/>
        <v>0</v>
      </c>
      <c r="AE272" s="621"/>
      <c r="AF272" s="621"/>
      <c r="AG272" s="621"/>
      <c r="AH272" s="622">
        <f t="shared" si="79"/>
        <v>-22.4</v>
      </c>
      <c r="AI272" s="609">
        <f t="shared" si="89"/>
        <v>22.6</v>
      </c>
      <c r="AJ272" s="620">
        <v>12.4</v>
      </c>
      <c r="AK272" s="620"/>
      <c r="AL272" s="620">
        <v>10</v>
      </c>
      <c r="AM272" s="623">
        <f t="shared" si="80"/>
        <v>22.4</v>
      </c>
      <c r="AN272" s="621"/>
      <c r="AO272" s="621"/>
      <c r="AP272" s="621"/>
      <c r="AQ272" s="622">
        <f t="shared" si="81"/>
        <v>-0.20000000000000284</v>
      </c>
      <c r="AR272" s="615">
        <f t="shared" si="90"/>
        <v>18.5</v>
      </c>
      <c r="AS272" s="620">
        <v>12.6</v>
      </c>
      <c r="AT272" s="620"/>
      <c r="AU272" s="620">
        <v>10</v>
      </c>
      <c r="AV272" s="623">
        <f t="shared" si="82"/>
        <v>22.6</v>
      </c>
      <c r="AW272" s="621">
        <v>4.8600000000000003</v>
      </c>
      <c r="AX272" s="621">
        <v>3.67</v>
      </c>
      <c r="AY272" s="621">
        <v>90</v>
      </c>
      <c r="AZ272" s="624">
        <f t="shared" si="83"/>
        <v>4.1000000000000014</v>
      </c>
      <c r="BA272" s="623">
        <v>18.5</v>
      </c>
      <c r="BB272" s="620">
        <v>10.199999999999999</v>
      </c>
      <c r="BC272" s="620">
        <v>8.5</v>
      </c>
      <c r="BD272" s="623">
        <f t="shared" si="84"/>
        <v>18.7</v>
      </c>
      <c r="BE272" s="621"/>
      <c r="BF272" s="621"/>
      <c r="BG272" s="621"/>
      <c r="BH272" s="621">
        <f t="shared" si="85"/>
        <v>-0.19999999999999929</v>
      </c>
    </row>
    <row r="273" spans="1:60" ht="17.25" thickTop="1" thickBot="1" x14ac:dyDescent="0.3">
      <c r="A273" s="77">
        <v>266</v>
      </c>
      <c r="B273" s="603">
        <f t="shared" ca="1" si="73"/>
        <v>43134</v>
      </c>
      <c r="C273" s="29" t="s">
        <v>2865</v>
      </c>
      <c r="D273" s="59" t="s">
        <v>2850</v>
      </c>
      <c r="E273" s="22" t="s">
        <v>1095</v>
      </c>
      <c r="F273" s="295" t="s">
        <v>1008</v>
      </c>
      <c r="G273" s="567">
        <v>42657</v>
      </c>
      <c r="H273" s="609">
        <f t="shared" si="86"/>
        <v>21.4</v>
      </c>
      <c r="I273" s="620">
        <v>7</v>
      </c>
      <c r="J273" s="620">
        <v>7</v>
      </c>
      <c r="K273" s="620">
        <v>7</v>
      </c>
      <c r="L273" s="611">
        <f t="shared" si="74"/>
        <v>21</v>
      </c>
      <c r="M273" s="621"/>
      <c r="N273" s="621"/>
      <c r="O273" s="621"/>
      <c r="P273" s="622">
        <f t="shared" si="75"/>
        <v>-0.39999999999999858</v>
      </c>
      <c r="Q273" s="609">
        <f t="shared" si="87"/>
        <v>0</v>
      </c>
      <c r="R273" s="620">
        <v>6.3</v>
      </c>
      <c r="S273" s="620">
        <v>7.6</v>
      </c>
      <c r="T273" s="620">
        <v>7.5</v>
      </c>
      <c r="U273" s="611">
        <f t="shared" si="76"/>
        <v>21.4</v>
      </c>
      <c r="V273" s="621"/>
      <c r="W273" s="621"/>
      <c r="X273" s="621"/>
      <c r="Y273" s="622">
        <f t="shared" si="77"/>
        <v>21.4</v>
      </c>
      <c r="Z273" s="609">
        <f t="shared" si="88"/>
        <v>0</v>
      </c>
      <c r="AA273" s="620"/>
      <c r="AB273" s="620"/>
      <c r="AC273" s="620"/>
      <c r="AD273" s="611">
        <f t="shared" si="78"/>
        <v>0</v>
      </c>
      <c r="AE273" s="621"/>
      <c r="AF273" s="621"/>
      <c r="AG273" s="621"/>
      <c r="AH273" s="622">
        <f t="shared" si="79"/>
        <v>0</v>
      </c>
      <c r="AI273" s="609">
        <f t="shared" si="89"/>
        <v>13.399999999999999</v>
      </c>
      <c r="AJ273" s="620"/>
      <c r="AK273" s="620"/>
      <c r="AL273" s="620"/>
      <c r="AM273" s="623">
        <f t="shared" si="80"/>
        <v>0</v>
      </c>
      <c r="AN273" s="621"/>
      <c r="AO273" s="621"/>
      <c r="AP273" s="621"/>
      <c r="AQ273" s="622">
        <f t="shared" si="81"/>
        <v>-13.399999999999999</v>
      </c>
      <c r="AR273" s="615">
        <f t="shared" si="90"/>
        <v>16.5</v>
      </c>
      <c r="AS273" s="620">
        <v>12.2</v>
      </c>
      <c r="AT273" s="620"/>
      <c r="AU273" s="620">
        <v>1.2</v>
      </c>
      <c r="AV273" s="623">
        <f t="shared" si="82"/>
        <v>13.399999999999999</v>
      </c>
      <c r="AW273" s="621"/>
      <c r="AX273" s="621"/>
      <c r="AY273" s="621">
        <v>118</v>
      </c>
      <c r="AZ273" s="624">
        <f t="shared" si="83"/>
        <v>-3.1000000000000014</v>
      </c>
      <c r="BA273" s="623">
        <v>16.5</v>
      </c>
      <c r="BB273" s="620">
        <v>9.1</v>
      </c>
      <c r="BC273" s="620">
        <v>7.9</v>
      </c>
      <c r="BD273" s="623">
        <f t="shared" si="84"/>
        <v>17</v>
      </c>
      <c r="BE273" s="621"/>
      <c r="BF273" s="621"/>
      <c r="BG273" s="621"/>
      <c r="BH273" s="621">
        <f t="shared" si="85"/>
        <v>-0.5</v>
      </c>
    </row>
    <row r="274" spans="1:60" ht="17.25" thickTop="1" thickBot="1" x14ac:dyDescent="0.3">
      <c r="A274" s="602">
        <v>267</v>
      </c>
      <c r="B274" s="603">
        <f t="shared" ca="1" si="73"/>
        <v>43134</v>
      </c>
      <c r="C274" s="29" t="s">
        <v>2865</v>
      </c>
      <c r="D274" s="59" t="s">
        <v>2850</v>
      </c>
      <c r="E274" s="22" t="s">
        <v>1125</v>
      </c>
      <c r="F274" s="295" t="s">
        <v>1043</v>
      </c>
      <c r="G274" s="567">
        <v>42740</v>
      </c>
      <c r="H274" s="609">
        <f t="shared" si="86"/>
        <v>13</v>
      </c>
      <c r="I274" s="620">
        <v>6.6</v>
      </c>
      <c r="J274" s="620"/>
      <c r="K274" s="620">
        <v>7</v>
      </c>
      <c r="L274" s="611">
        <f t="shared" si="74"/>
        <v>13.6</v>
      </c>
      <c r="M274" s="621"/>
      <c r="N274" s="621"/>
      <c r="O274" s="621"/>
      <c r="P274" s="622">
        <f t="shared" si="75"/>
        <v>0.59999999999999964</v>
      </c>
      <c r="Q274" s="609">
        <f t="shared" si="87"/>
        <v>20.2</v>
      </c>
      <c r="R274" s="620">
        <v>6</v>
      </c>
      <c r="S274" s="620"/>
      <c r="T274" s="620">
        <v>7</v>
      </c>
      <c r="U274" s="611">
        <f t="shared" si="76"/>
        <v>13</v>
      </c>
      <c r="V274" s="621"/>
      <c r="W274" s="621"/>
      <c r="X274" s="621"/>
      <c r="Y274" s="622">
        <f t="shared" si="77"/>
        <v>-7.1999999999999993</v>
      </c>
      <c r="Z274" s="609">
        <f t="shared" si="88"/>
        <v>20.2</v>
      </c>
      <c r="AA274" s="620">
        <v>8.5</v>
      </c>
      <c r="AB274" s="620"/>
      <c r="AC274" s="620">
        <v>10.199999999999999</v>
      </c>
      <c r="AD274" s="611">
        <f t="shared" si="78"/>
        <v>18.7</v>
      </c>
      <c r="AE274" s="621"/>
      <c r="AF274" s="621"/>
      <c r="AG274" s="621"/>
      <c r="AH274" s="622">
        <f t="shared" si="79"/>
        <v>-1.5</v>
      </c>
      <c r="AI274" s="609">
        <f t="shared" si="89"/>
        <v>21.8</v>
      </c>
      <c r="AJ274" s="620">
        <v>11.6</v>
      </c>
      <c r="AK274" s="620"/>
      <c r="AL274" s="620">
        <v>8.6</v>
      </c>
      <c r="AM274" s="623">
        <f t="shared" si="80"/>
        <v>20.2</v>
      </c>
      <c r="AN274" s="621"/>
      <c r="AO274" s="621"/>
      <c r="AP274" s="621"/>
      <c r="AQ274" s="622">
        <f t="shared" si="81"/>
        <v>-1.6000000000000014</v>
      </c>
      <c r="AR274" s="615">
        <f t="shared" si="90"/>
        <v>13.3</v>
      </c>
      <c r="AS274" s="620">
        <v>13</v>
      </c>
      <c r="AT274" s="620"/>
      <c r="AU274" s="620">
        <v>8.8000000000000007</v>
      </c>
      <c r="AV274" s="623">
        <f t="shared" si="82"/>
        <v>21.8</v>
      </c>
      <c r="AW274" s="621">
        <v>4.4000000000000004</v>
      </c>
      <c r="AX274" s="621">
        <v>3.7</v>
      </c>
      <c r="AY274" s="621">
        <v>90</v>
      </c>
      <c r="AZ274" s="624">
        <f t="shared" si="83"/>
        <v>8.5</v>
      </c>
      <c r="BA274" s="623">
        <v>13.3</v>
      </c>
      <c r="BB274" s="620">
        <v>7</v>
      </c>
      <c r="BC274" s="620">
        <v>5</v>
      </c>
      <c r="BD274" s="623">
        <f t="shared" si="84"/>
        <v>12</v>
      </c>
      <c r="BE274" s="621"/>
      <c r="BF274" s="621"/>
      <c r="BG274" s="621"/>
      <c r="BH274" s="621">
        <f t="shared" si="85"/>
        <v>1.3000000000000007</v>
      </c>
    </row>
    <row r="275" spans="1:60" ht="17.25" thickTop="1" thickBot="1" x14ac:dyDescent="0.3">
      <c r="A275" s="77">
        <v>268</v>
      </c>
      <c r="B275" s="603">
        <f t="shared" ca="1" si="73"/>
        <v>43134</v>
      </c>
      <c r="C275" s="29" t="s">
        <v>2865</v>
      </c>
      <c r="D275" s="59" t="s">
        <v>2850</v>
      </c>
      <c r="E275" s="22" t="s">
        <v>1491</v>
      </c>
      <c r="F275" s="295" t="s">
        <v>1477</v>
      </c>
      <c r="G275" s="567">
        <v>42789</v>
      </c>
      <c r="H275" s="609">
        <f t="shared" si="86"/>
        <v>14.7</v>
      </c>
      <c r="I275" s="620">
        <v>10</v>
      </c>
      <c r="J275" s="620"/>
      <c r="K275" s="620">
        <v>8.5</v>
      </c>
      <c r="L275" s="611">
        <f t="shared" si="74"/>
        <v>18.5</v>
      </c>
      <c r="M275" s="621"/>
      <c r="N275" s="621"/>
      <c r="O275" s="621"/>
      <c r="P275" s="622">
        <f t="shared" si="75"/>
        <v>3.8000000000000007</v>
      </c>
      <c r="Q275" s="609">
        <f t="shared" si="87"/>
        <v>22</v>
      </c>
      <c r="R275" s="620">
        <v>6.2</v>
      </c>
      <c r="S275" s="620">
        <v>5.5</v>
      </c>
      <c r="T275" s="620">
        <v>3</v>
      </c>
      <c r="U275" s="611">
        <f t="shared" si="76"/>
        <v>14.7</v>
      </c>
      <c r="V275" s="621"/>
      <c r="W275" s="621"/>
      <c r="X275" s="621"/>
      <c r="Y275" s="622">
        <f t="shared" si="77"/>
        <v>-7.3000000000000007</v>
      </c>
      <c r="Z275" s="609">
        <f t="shared" si="88"/>
        <v>22</v>
      </c>
      <c r="AA275" s="620">
        <v>13.5</v>
      </c>
      <c r="AB275" s="620"/>
      <c r="AC275" s="620">
        <v>11</v>
      </c>
      <c r="AD275" s="611">
        <f t="shared" si="78"/>
        <v>24.5</v>
      </c>
      <c r="AE275" s="621"/>
      <c r="AF275" s="621"/>
      <c r="AG275" s="621"/>
      <c r="AH275" s="622">
        <f t="shared" si="79"/>
        <v>2.5</v>
      </c>
      <c r="AI275" s="609">
        <f t="shared" si="89"/>
        <v>24.2</v>
      </c>
      <c r="AJ275" s="620">
        <v>10</v>
      </c>
      <c r="AK275" s="620"/>
      <c r="AL275" s="620">
        <v>12</v>
      </c>
      <c r="AM275" s="623">
        <f t="shared" si="80"/>
        <v>22</v>
      </c>
      <c r="AN275" s="621"/>
      <c r="AO275" s="621"/>
      <c r="AP275" s="621"/>
      <c r="AQ275" s="622">
        <f t="shared" si="81"/>
        <v>-2.1999999999999993</v>
      </c>
      <c r="AR275" s="615">
        <f t="shared" si="90"/>
        <v>21</v>
      </c>
      <c r="AS275" s="620">
        <v>14</v>
      </c>
      <c r="AT275" s="620"/>
      <c r="AU275" s="620">
        <v>10.199999999999999</v>
      </c>
      <c r="AV275" s="623">
        <f t="shared" si="82"/>
        <v>24.2</v>
      </c>
      <c r="AW275" s="621">
        <v>3.37</v>
      </c>
      <c r="AX275" s="621">
        <v>3.5</v>
      </c>
      <c r="AY275" s="621">
        <v>90</v>
      </c>
      <c r="AZ275" s="624">
        <f t="shared" si="83"/>
        <v>3.1999999999999993</v>
      </c>
      <c r="BA275" s="623">
        <v>21</v>
      </c>
      <c r="BB275" s="620">
        <v>11.2</v>
      </c>
      <c r="BC275" s="620">
        <v>11.5</v>
      </c>
      <c r="BD275" s="623">
        <f t="shared" si="84"/>
        <v>22.7</v>
      </c>
      <c r="BE275" s="621"/>
      <c r="BF275" s="621"/>
      <c r="BG275" s="621"/>
      <c r="BH275" s="621">
        <f t="shared" si="85"/>
        <v>-1.6999999999999993</v>
      </c>
    </row>
    <row r="276" spans="1:60" ht="17.25" thickTop="1" thickBot="1" x14ac:dyDescent="0.3">
      <c r="A276" s="602">
        <v>269</v>
      </c>
      <c r="B276" s="603">
        <f t="shared" ca="1" si="73"/>
        <v>43134</v>
      </c>
      <c r="C276" s="29" t="s">
        <v>2865</v>
      </c>
      <c r="D276" s="59" t="s">
        <v>2850</v>
      </c>
      <c r="E276" s="22" t="s">
        <v>654</v>
      </c>
      <c r="F276" s="295" t="s">
        <v>655</v>
      </c>
      <c r="G276" s="567">
        <v>42748</v>
      </c>
      <c r="H276" s="609">
        <f t="shared" si="86"/>
        <v>6.6</v>
      </c>
      <c r="I276" s="620"/>
      <c r="J276" s="620"/>
      <c r="K276" s="620"/>
      <c r="L276" s="611">
        <f t="shared" si="74"/>
        <v>0</v>
      </c>
      <c r="M276" s="621"/>
      <c r="N276" s="621"/>
      <c r="O276" s="621"/>
      <c r="P276" s="622">
        <f t="shared" si="75"/>
        <v>-6.6</v>
      </c>
      <c r="Q276" s="609">
        <f t="shared" si="87"/>
        <v>21.6</v>
      </c>
      <c r="R276" s="620">
        <v>4.5999999999999996</v>
      </c>
      <c r="S276" s="620"/>
      <c r="T276" s="620">
        <v>2</v>
      </c>
      <c r="U276" s="611">
        <f t="shared" si="76"/>
        <v>6.6</v>
      </c>
      <c r="V276" s="621"/>
      <c r="W276" s="621"/>
      <c r="X276" s="621"/>
      <c r="Y276" s="622">
        <f t="shared" si="77"/>
        <v>-15.000000000000002</v>
      </c>
      <c r="Z276" s="609">
        <f t="shared" si="88"/>
        <v>21.6</v>
      </c>
      <c r="AA276" s="620">
        <v>9</v>
      </c>
      <c r="AB276" s="620"/>
      <c r="AC276" s="620">
        <v>5.2</v>
      </c>
      <c r="AD276" s="611">
        <f t="shared" si="78"/>
        <v>14.2</v>
      </c>
      <c r="AE276" s="621"/>
      <c r="AF276" s="621"/>
      <c r="AG276" s="621"/>
      <c r="AH276" s="622">
        <f t="shared" si="79"/>
        <v>-7.4000000000000021</v>
      </c>
      <c r="AI276" s="609">
        <f t="shared" si="89"/>
        <v>23.6</v>
      </c>
      <c r="AJ276" s="620">
        <v>13.4</v>
      </c>
      <c r="AK276" s="620"/>
      <c r="AL276" s="620">
        <v>8.1999999999999993</v>
      </c>
      <c r="AM276" s="623">
        <f t="shared" si="80"/>
        <v>21.6</v>
      </c>
      <c r="AN276" s="621"/>
      <c r="AO276" s="621"/>
      <c r="AP276" s="621"/>
      <c r="AQ276" s="622">
        <f t="shared" si="81"/>
        <v>-2</v>
      </c>
      <c r="AR276" s="615">
        <f t="shared" si="90"/>
        <v>24.5</v>
      </c>
      <c r="AS276" s="620">
        <v>13</v>
      </c>
      <c r="AT276" s="620"/>
      <c r="AU276" s="620">
        <v>10.6</v>
      </c>
      <c r="AV276" s="623">
        <f t="shared" si="82"/>
        <v>23.6</v>
      </c>
      <c r="AW276" s="621">
        <v>3.74</v>
      </c>
      <c r="AX276" s="621">
        <v>3.24</v>
      </c>
      <c r="AY276" s="621">
        <v>291</v>
      </c>
      <c r="AZ276" s="624">
        <f t="shared" si="83"/>
        <v>-0.89999999999999858</v>
      </c>
      <c r="BA276" s="623">
        <v>24.5</v>
      </c>
      <c r="BB276" s="620">
        <v>8</v>
      </c>
      <c r="BC276" s="620">
        <v>8.1999999999999993</v>
      </c>
      <c r="BD276" s="623">
        <f t="shared" si="84"/>
        <v>16.2</v>
      </c>
      <c r="BE276" s="621"/>
      <c r="BF276" s="621"/>
      <c r="BG276" s="621"/>
      <c r="BH276" s="621">
        <f t="shared" si="85"/>
        <v>8.3000000000000007</v>
      </c>
    </row>
    <row r="277" spans="1:60" ht="17.25" thickTop="1" thickBot="1" x14ac:dyDescent="0.3">
      <c r="A277" s="77">
        <v>270</v>
      </c>
      <c r="B277" s="603">
        <f t="shared" ca="1" si="73"/>
        <v>43134</v>
      </c>
      <c r="C277" s="29" t="s">
        <v>2865</v>
      </c>
      <c r="D277" s="59" t="s">
        <v>2850</v>
      </c>
      <c r="E277" s="22" t="s">
        <v>124</v>
      </c>
      <c r="F277" s="295" t="s">
        <v>125</v>
      </c>
      <c r="G277" s="567">
        <v>42605</v>
      </c>
      <c r="H277" s="609">
        <f t="shared" si="86"/>
        <v>25</v>
      </c>
      <c r="I277" s="620">
        <v>12</v>
      </c>
      <c r="J277" s="620">
        <v>8</v>
      </c>
      <c r="K277" s="620">
        <v>10</v>
      </c>
      <c r="L277" s="611">
        <f t="shared" si="74"/>
        <v>30</v>
      </c>
      <c r="M277" s="621"/>
      <c r="N277" s="621"/>
      <c r="O277" s="621"/>
      <c r="P277" s="622">
        <f t="shared" si="75"/>
        <v>5</v>
      </c>
      <c r="Q277" s="609">
        <f t="shared" si="87"/>
        <v>0</v>
      </c>
      <c r="R277" s="620">
        <v>10</v>
      </c>
      <c r="S277" s="620">
        <v>6.5</v>
      </c>
      <c r="T277" s="620">
        <v>8.5</v>
      </c>
      <c r="U277" s="611">
        <f t="shared" si="76"/>
        <v>25</v>
      </c>
      <c r="V277" s="621"/>
      <c r="W277" s="621"/>
      <c r="X277" s="621"/>
      <c r="Y277" s="622">
        <f t="shared" si="77"/>
        <v>25</v>
      </c>
      <c r="Z277" s="609">
        <f t="shared" si="88"/>
        <v>0</v>
      </c>
      <c r="AA277" s="620">
        <v>9</v>
      </c>
      <c r="AB277" s="620">
        <v>9</v>
      </c>
      <c r="AC277" s="620">
        <v>10</v>
      </c>
      <c r="AD277" s="611">
        <f t="shared" si="78"/>
        <v>28</v>
      </c>
      <c r="AE277" s="621"/>
      <c r="AF277" s="621"/>
      <c r="AG277" s="621"/>
      <c r="AH277" s="622">
        <f t="shared" si="79"/>
        <v>28</v>
      </c>
      <c r="AI277" s="609">
        <f t="shared" si="89"/>
        <v>7</v>
      </c>
      <c r="AJ277" s="620"/>
      <c r="AK277" s="620"/>
      <c r="AL277" s="620"/>
      <c r="AM277" s="623">
        <f t="shared" si="80"/>
        <v>0</v>
      </c>
      <c r="AN277" s="621"/>
      <c r="AO277" s="621"/>
      <c r="AP277" s="621"/>
      <c r="AQ277" s="622">
        <f t="shared" si="81"/>
        <v>-7</v>
      </c>
      <c r="AR277" s="615">
        <f t="shared" si="90"/>
        <v>16</v>
      </c>
      <c r="AS277" s="620">
        <v>4</v>
      </c>
      <c r="AT277" s="620"/>
      <c r="AU277" s="620">
        <v>3</v>
      </c>
      <c r="AV277" s="623">
        <f t="shared" si="82"/>
        <v>7</v>
      </c>
      <c r="AW277" s="621">
        <v>5.35</v>
      </c>
      <c r="AX277" s="621">
        <v>4.33</v>
      </c>
      <c r="AY277" s="621">
        <v>121</v>
      </c>
      <c r="AZ277" s="624">
        <f t="shared" si="83"/>
        <v>-9</v>
      </c>
      <c r="BA277" s="623">
        <v>16</v>
      </c>
      <c r="BB277" s="620">
        <v>6</v>
      </c>
      <c r="BC277" s="620">
        <v>6</v>
      </c>
      <c r="BD277" s="623">
        <f t="shared" si="84"/>
        <v>12</v>
      </c>
      <c r="BE277" s="621"/>
      <c r="BF277" s="621"/>
      <c r="BG277" s="621"/>
      <c r="BH277" s="621">
        <f t="shared" si="85"/>
        <v>4</v>
      </c>
    </row>
    <row r="278" spans="1:60" ht="17.25" thickTop="1" thickBot="1" x14ac:dyDescent="0.3">
      <c r="A278" s="602">
        <v>271</v>
      </c>
      <c r="B278" s="603">
        <f t="shared" ca="1" si="73"/>
        <v>43134</v>
      </c>
      <c r="C278" s="29" t="s">
        <v>2865</v>
      </c>
      <c r="D278" s="59" t="s">
        <v>2850</v>
      </c>
      <c r="E278" s="22" t="s">
        <v>69</v>
      </c>
      <c r="F278" s="295" t="s">
        <v>189</v>
      </c>
      <c r="G278" s="567">
        <v>42516</v>
      </c>
      <c r="H278" s="609">
        <f t="shared" si="86"/>
        <v>0</v>
      </c>
      <c r="I278" s="620">
        <v>10.9</v>
      </c>
      <c r="J278" s="620">
        <v>10.1</v>
      </c>
      <c r="K278" s="620">
        <v>11</v>
      </c>
      <c r="L278" s="611">
        <f t="shared" si="74"/>
        <v>32</v>
      </c>
      <c r="M278" s="621"/>
      <c r="N278" s="621"/>
      <c r="O278" s="621"/>
      <c r="P278" s="622">
        <f t="shared" si="75"/>
        <v>32</v>
      </c>
      <c r="Q278" s="609">
        <f t="shared" si="87"/>
        <v>16</v>
      </c>
      <c r="R278" s="620"/>
      <c r="S278" s="620"/>
      <c r="T278" s="620"/>
      <c r="U278" s="611">
        <f t="shared" si="76"/>
        <v>0</v>
      </c>
      <c r="V278" s="621"/>
      <c r="W278" s="621"/>
      <c r="X278" s="621"/>
      <c r="Y278" s="622">
        <f t="shared" si="77"/>
        <v>-16</v>
      </c>
      <c r="Z278" s="609">
        <f t="shared" si="88"/>
        <v>16</v>
      </c>
      <c r="AA278" s="620"/>
      <c r="AB278" s="620"/>
      <c r="AC278" s="620"/>
      <c r="AD278" s="611">
        <f t="shared" si="78"/>
        <v>0</v>
      </c>
      <c r="AE278" s="621"/>
      <c r="AF278" s="621"/>
      <c r="AG278" s="621"/>
      <c r="AH278" s="622">
        <f t="shared" si="79"/>
        <v>-16</v>
      </c>
      <c r="AI278" s="609">
        <f t="shared" si="89"/>
        <v>18.2</v>
      </c>
      <c r="AJ278" s="620">
        <v>7</v>
      </c>
      <c r="AK278" s="620"/>
      <c r="AL278" s="620">
        <v>9</v>
      </c>
      <c r="AM278" s="623">
        <f t="shared" si="80"/>
        <v>16</v>
      </c>
      <c r="AN278" s="621"/>
      <c r="AO278" s="621"/>
      <c r="AP278" s="621"/>
      <c r="AQ278" s="622">
        <f t="shared" si="81"/>
        <v>-2.1999999999999993</v>
      </c>
      <c r="AR278" s="615">
        <f t="shared" si="90"/>
        <v>17</v>
      </c>
      <c r="AS278" s="620">
        <v>8.1999999999999993</v>
      </c>
      <c r="AT278" s="620"/>
      <c r="AU278" s="620">
        <v>10</v>
      </c>
      <c r="AV278" s="623">
        <f t="shared" si="82"/>
        <v>18.2</v>
      </c>
      <c r="AW278" s="621">
        <v>4.8099999999999996</v>
      </c>
      <c r="AX278" s="621">
        <v>3.68</v>
      </c>
      <c r="AY278" s="621">
        <v>92</v>
      </c>
      <c r="AZ278" s="624">
        <f t="shared" si="83"/>
        <v>1.1999999999999993</v>
      </c>
      <c r="BA278" s="623">
        <v>17</v>
      </c>
      <c r="BB278" s="620">
        <v>6.5</v>
      </c>
      <c r="BC278" s="620">
        <v>6</v>
      </c>
      <c r="BD278" s="623">
        <f t="shared" si="84"/>
        <v>12.5</v>
      </c>
      <c r="BE278" s="621"/>
      <c r="BF278" s="621"/>
      <c r="BG278" s="621"/>
      <c r="BH278" s="621">
        <f t="shared" si="85"/>
        <v>4.5</v>
      </c>
    </row>
    <row r="279" spans="1:60" ht="17.25" thickTop="1" thickBot="1" x14ac:dyDescent="0.3">
      <c r="A279" s="77">
        <v>272</v>
      </c>
      <c r="B279" s="603">
        <f t="shared" ca="1" si="73"/>
        <v>43134</v>
      </c>
      <c r="C279" s="29" t="s">
        <v>2865</v>
      </c>
      <c r="D279" s="59" t="s">
        <v>2850</v>
      </c>
      <c r="E279" s="22" t="s">
        <v>167</v>
      </c>
      <c r="F279" s="295" t="s">
        <v>168</v>
      </c>
      <c r="G279" s="567">
        <v>42704</v>
      </c>
      <c r="H279" s="609">
        <f t="shared" si="86"/>
        <v>16</v>
      </c>
      <c r="I279" s="620">
        <v>6</v>
      </c>
      <c r="J279" s="620"/>
      <c r="K279" s="620">
        <v>6</v>
      </c>
      <c r="L279" s="611">
        <f t="shared" si="74"/>
        <v>12</v>
      </c>
      <c r="M279" s="621"/>
      <c r="N279" s="621"/>
      <c r="O279" s="621"/>
      <c r="P279" s="622">
        <f t="shared" si="75"/>
        <v>-4</v>
      </c>
      <c r="Q279" s="609">
        <f t="shared" si="87"/>
        <v>17</v>
      </c>
      <c r="R279" s="620">
        <v>9</v>
      </c>
      <c r="S279" s="620"/>
      <c r="T279" s="620">
        <v>7</v>
      </c>
      <c r="U279" s="611">
        <f t="shared" si="76"/>
        <v>16</v>
      </c>
      <c r="V279" s="621"/>
      <c r="W279" s="621"/>
      <c r="X279" s="621"/>
      <c r="Y279" s="622">
        <f t="shared" si="77"/>
        <v>-1</v>
      </c>
      <c r="Z279" s="609">
        <f t="shared" si="88"/>
        <v>17</v>
      </c>
      <c r="AA279" s="620">
        <v>9</v>
      </c>
      <c r="AB279" s="620"/>
      <c r="AC279" s="620">
        <v>9</v>
      </c>
      <c r="AD279" s="611">
        <f t="shared" si="78"/>
        <v>18</v>
      </c>
      <c r="AE279" s="621"/>
      <c r="AF279" s="621"/>
      <c r="AG279" s="621"/>
      <c r="AH279" s="622">
        <f t="shared" si="79"/>
        <v>1</v>
      </c>
      <c r="AI279" s="609">
        <f t="shared" si="89"/>
        <v>23.2</v>
      </c>
      <c r="AJ279" s="620">
        <v>9</v>
      </c>
      <c r="AK279" s="620"/>
      <c r="AL279" s="620">
        <v>8</v>
      </c>
      <c r="AM279" s="623">
        <f t="shared" si="80"/>
        <v>17</v>
      </c>
      <c r="AN279" s="621"/>
      <c r="AO279" s="621"/>
      <c r="AP279" s="621"/>
      <c r="AQ279" s="622">
        <f t="shared" si="81"/>
        <v>-6.1999999999999993</v>
      </c>
      <c r="AR279" s="615">
        <f t="shared" si="90"/>
        <v>26.8</v>
      </c>
      <c r="AS279" s="620">
        <v>14</v>
      </c>
      <c r="AT279" s="620"/>
      <c r="AU279" s="620">
        <v>9.1999999999999993</v>
      </c>
      <c r="AV279" s="623">
        <f t="shared" si="82"/>
        <v>23.2</v>
      </c>
      <c r="AW279" s="621">
        <v>4.32</v>
      </c>
      <c r="AX279" s="621">
        <v>3.94</v>
      </c>
      <c r="AY279" s="621">
        <v>451</v>
      </c>
      <c r="AZ279" s="624">
        <f t="shared" si="83"/>
        <v>-3.6000000000000014</v>
      </c>
      <c r="BA279" s="623">
        <v>26.8</v>
      </c>
      <c r="BB279" s="620">
        <v>11.5</v>
      </c>
      <c r="BC279" s="620">
        <v>7.5</v>
      </c>
      <c r="BD279" s="623">
        <f t="shared" si="84"/>
        <v>19</v>
      </c>
      <c r="BE279" s="621"/>
      <c r="BF279" s="621"/>
      <c r="BG279" s="621"/>
      <c r="BH279" s="621">
        <f t="shared" si="85"/>
        <v>7.8000000000000007</v>
      </c>
    </row>
    <row r="280" spans="1:60" ht="17.25" thickTop="1" thickBot="1" x14ac:dyDescent="0.3">
      <c r="A280" s="602">
        <v>273</v>
      </c>
      <c r="B280" s="603">
        <f t="shared" ca="1" si="73"/>
        <v>43134</v>
      </c>
      <c r="C280" s="29" t="s">
        <v>2865</v>
      </c>
      <c r="D280" s="59" t="s">
        <v>2850</v>
      </c>
      <c r="E280" s="22" t="s">
        <v>190</v>
      </c>
      <c r="F280" s="295" t="s">
        <v>191</v>
      </c>
      <c r="G280" s="567">
        <v>42574</v>
      </c>
      <c r="H280" s="609">
        <f t="shared" si="86"/>
        <v>35</v>
      </c>
      <c r="I280" s="620">
        <v>17</v>
      </c>
      <c r="J280" s="620">
        <v>14</v>
      </c>
      <c r="K280" s="620">
        <v>13</v>
      </c>
      <c r="L280" s="611">
        <f t="shared" si="74"/>
        <v>44</v>
      </c>
      <c r="M280" s="621"/>
      <c r="N280" s="621"/>
      <c r="O280" s="621"/>
      <c r="P280" s="622">
        <f t="shared" si="75"/>
        <v>9</v>
      </c>
      <c r="Q280" s="609">
        <f t="shared" si="87"/>
        <v>0</v>
      </c>
      <c r="R280" s="620">
        <v>14</v>
      </c>
      <c r="S280" s="620">
        <v>14</v>
      </c>
      <c r="T280" s="620">
        <v>7</v>
      </c>
      <c r="U280" s="611">
        <f t="shared" si="76"/>
        <v>35</v>
      </c>
      <c r="V280" s="621"/>
      <c r="W280" s="621"/>
      <c r="X280" s="621"/>
      <c r="Y280" s="622">
        <f t="shared" si="77"/>
        <v>35</v>
      </c>
      <c r="Z280" s="609">
        <f t="shared" si="88"/>
        <v>0</v>
      </c>
      <c r="AA280" s="620">
        <v>10</v>
      </c>
      <c r="AB280" s="620">
        <v>9</v>
      </c>
      <c r="AC280" s="620">
        <v>10</v>
      </c>
      <c r="AD280" s="611">
        <f t="shared" si="78"/>
        <v>29</v>
      </c>
      <c r="AE280" s="621"/>
      <c r="AF280" s="621"/>
      <c r="AG280" s="621"/>
      <c r="AH280" s="622">
        <f t="shared" si="79"/>
        <v>29</v>
      </c>
      <c r="AI280" s="609">
        <f t="shared" si="89"/>
        <v>17.8</v>
      </c>
      <c r="AJ280" s="620"/>
      <c r="AK280" s="620"/>
      <c r="AL280" s="620"/>
      <c r="AM280" s="623">
        <f t="shared" si="80"/>
        <v>0</v>
      </c>
      <c r="AN280" s="621"/>
      <c r="AO280" s="621"/>
      <c r="AP280" s="621"/>
      <c r="AQ280" s="622">
        <f t="shared" si="81"/>
        <v>-17.8</v>
      </c>
      <c r="AR280" s="615">
        <f t="shared" si="90"/>
        <v>24</v>
      </c>
      <c r="AS280" s="620">
        <v>8</v>
      </c>
      <c r="AT280" s="620"/>
      <c r="AU280" s="620">
        <v>9.8000000000000007</v>
      </c>
      <c r="AV280" s="623">
        <f t="shared" si="82"/>
        <v>17.8</v>
      </c>
      <c r="AW280" s="621">
        <v>3.87</v>
      </c>
      <c r="AX280" s="621">
        <v>4.13</v>
      </c>
      <c r="AY280" s="621">
        <v>126</v>
      </c>
      <c r="AZ280" s="624">
        <f t="shared" si="83"/>
        <v>-6.1999999999999993</v>
      </c>
      <c r="BA280" s="623">
        <v>24</v>
      </c>
      <c r="BB280" s="620">
        <v>9</v>
      </c>
      <c r="BC280" s="620">
        <v>8.5</v>
      </c>
      <c r="BD280" s="623">
        <f t="shared" si="84"/>
        <v>17.5</v>
      </c>
      <c r="BE280" s="621"/>
      <c r="BF280" s="621"/>
      <c r="BG280" s="621"/>
      <c r="BH280" s="621">
        <f t="shared" si="85"/>
        <v>6.5</v>
      </c>
    </row>
    <row r="281" spans="1:60" ht="17.25" thickTop="1" thickBot="1" x14ac:dyDescent="0.3">
      <c r="A281" s="77">
        <v>274</v>
      </c>
      <c r="B281" s="603">
        <f t="shared" ca="1" si="73"/>
        <v>43134</v>
      </c>
      <c r="C281" s="29" t="s">
        <v>2865</v>
      </c>
      <c r="D281" s="59" t="s">
        <v>2850</v>
      </c>
      <c r="E281" s="22" t="s">
        <v>130</v>
      </c>
      <c r="F281" s="295" t="s">
        <v>131</v>
      </c>
      <c r="G281" s="567">
        <v>42727</v>
      </c>
      <c r="H281" s="609">
        <f t="shared" si="86"/>
        <v>8</v>
      </c>
      <c r="I281" s="620">
        <v>1</v>
      </c>
      <c r="J281" s="620"/>
      <c r="K281" s="620">
        <v>2</v>
      </c>
      <c r="L281" s="611">
        <f t="shared" si="74"/>
        <v>3</v>
      </c>
      <c r="M281" s="621"/>
      <c r="N281" s="621"/>
      <c r="O281" s="621"/>
      <c r="P281" s="622">
        <f t="shared" si="75"/>
        <v>-5</v>
      </c>
      <c r="Q281" s="609">
        <f t="shared" si="87"/>
        <v>14</v>
      </c>
      <c r="R281" s="620">
        <v>3</v>
      </c>
      <c r="S281" s="620"/>
      <c r="T281" s="620">
        <v>5</v>
      </c>
      <c r="U281" s="611">
        <f t="shared" si="76"/>
        <v>8</v>
      </c>
      <c r="V281" s="621"/>
      <c r="W281" s="621"/>
      <c r="X281" s="621"/>
      <c r="Y281" s="622">
        <f t="shared" si="77"/>
        <v>-6</v>
      </c>
      <c r="Z281" s="609">
        <f t="shared" si="88"/>
        <v>14</v>
      </c>
      <c r="AA281" s="620">
        <v>6</v>
      </c>
      <c r="AB281" s="620"/>
      <c r="AC281" s="620">
        <v>3</v>
      </c>
      <c r="AD281" s="611">
        <f t="shared" si="78"/>
        <v>9</v>
      </c>
      <c r="AE281" s="621"/>
      <c r="AF281" s="621"/>
      <c r="AG281" s="621"/>
      <c r="AH281" s="622">
        <f t="shared" si="79"/>
        <v>-5</v>
      </c>
      <c r="AI281" s="609">
        <f t="shared" si="89"/>
        <v>14.6</v>
      </c>
      <c r="AJ281" s="620">
        <v>7</v>
      </c>
      <c r="AK281" s="620"/>
      <c r="AL281" s="620">
        <v>7</v>
      </c>
      <c r="AM281" s="623">
        <f t="shared" si="80"/>
        <v>14</v>
      </c>
      <c r="AN281" s="621"/>
      <c r="AO281" s="621"/>
      <c r="AP281" s="621"/>
      <c r="AQ281" s="622">
        <f t="shared" si="81"/>
        <v>-0.59999999999999964</v>
      </c>
      <c r="AR281" s="615">
        <f t="shared" si="90"/>
        <v>12.9</v>
      </c>
      <c r="AS281" s="620">
        <v>7.6</v>
      </c>
      <c r="AT281" s="620"/>
      <c r="AU281" s="620">
        <v>7</v>
      </c>
      <c r="AV281" s="623">
        <f t="shared" si="82"/>
        <v>14.6</v>
      </c>
      <c r="AW281" s="621">
        <v>4.07</v>
      </c>
      <c r="AX281" s="621">
        <v>3.4</v>
      </c>
      <c r="AY281" s="621">
        <v>90</v>
      </c>
      <c r="AZ281" s="624">
        <f t="shared" si="83"/>
        <v>1.6999999999999993</v>
      </c>
      <c r="BA281" s="623">
        <v>12.9</v>
      </c>
      <c r="BB281" s="620">
        <v>8</v>
      </c>
      <c r="BC281" s="620">
        <v>5</v>
      </c>
      <c r="BD281" s="623">
        <f t="shared" si="84"/>
        <v>13</v>
      </c>
      <c r="BE281" s="621"/>
      <c r="BF281" s="621"/>
      <c r="BG281" s="621"/>
      <c r="BH281" s="621">
        <f t="shared" si="85"/>
        <v>-9.9999999999999645E-2</v>
      </c>
    </row>
    <row r="282" spans="1:60" ht="17.25" thickTop="1" thickBot="1" x14ac:dyDescent="0.3">
      <c r="A282" s="602">
        <v>275</v>
      </c>
      <c r="B282" s="603">
        <f t="shared" ca="1" si="73"/>
        <v>43134</v>
      </c>
      <c r="C282" s="29" t="s">
        <v>2865</v>
      </c>
      <c r="D282" s="59" t="s">
        <v>2850</v>
      </c>
      <c r="E282" s="22" t="s">
        <v>670</v>
      </c>
      <c r="F282" s="295" t="s">
        <v>671</v>
      </c>
      <c r="G282" s="567">
        <v>42424</v>
      </c>
      <c r="H282" s="609">
        <f t="shared" si="86"/>
        <v>20</v>
      </c>
      <c r="I282" s="620">
        <v>5</v>
      </c>
      <c r="J282" s="620"/>
      <c r="K282" s="620">
        <v>5.4</v>
      </c>
      <c r="L282" s="611">
        <f t="shared" si="74"/>
        <v>10.4</v>
      </c>
      <c r="M282" s="621"/>
      <c r="N282" s="621"/>
      <c r="O282" s="621"/>
      <c r="P282" s="622">
        <f t="shared" si="75"/>
        <v>-9.6</v>
      </c>
      <c r="Q282" s="609">
        <f t="shared" si="87"/>
        <v>18.2</v>
      </c>
      <c r="R282" s="620">
        <v>10</v>
      </c>
      <c r="S282" s="620"/>
      <c r="T282" s="620">
        <v>10</v>
      </c>
      <c r="U282" s="611">
        <f t="shared" si="76"/>
        <v>20</v>
      </c>
      <c r="V282" s="621"/>
      <c r="W282" s="621"/>
      <c r="X282" s="621"/>
      <c r="Y282" s="622">
        <f t="shared" si="77"/>
        <v>1.8000000000000007</v>
      </c>
      <c r="Z282" s="609">
        <f t="shared" si="88"/>
        <v>18.2</v>
      </c>
      <c r="AA282" s="620">
        <v>7</v>
      </c>
      <c r="AB282" s="620"/>
      <c r="AC282" s="620">
        <v>9.4</v>
      </c>
      <c r="AD282" s="611">
        <f t="shared" si="78"/>
        <v>16.399999999999999</v>
      </c>
      <c r="AE282" s="621"/>
      <c r="AF282" s="621"/>
      <c r="AG282" s="621"/>
      <c r="AH282" s="622">
        <f t="shared" si="79"/>
        <v>-1.8000000000000007</v>
      </c>
      <c r="AI282" s="609">
        <f t="shared" si="89"/>
        <v>16.600000000000001</v>
      </c>
      <c r="AJ282" s="620">
        <v>8</v>
      </c>
      <c r="AK282" s="620"/>
      <c r="AL282" s="620">
        <v>10.199999999999999</v>
      </c>
      <c r="AM282" s="623">
        <f t="shared" si="80"/>
        <v>18.2</v>
      </c>
      <c r="AN282" s="621"/>
      <c r="AO282" s="621"/>
      <c r="AP282" s="621"/>
      <c r="AQ282" s="622">
        <f t="shared" si="81"/>
        <v>1.5999999999999979</v>
      </c>
      <c r="AR282" s="615">
        <f t="shared" si="90"/>
        <v>17.5</v>
      </c>
      <c r="AS282" s="620">
        <v>7</v>
      </c>
      <c r="AT282" s="620"/>
      <c r="AU282" s="620">
        <v>9.6</v>
      </c>
      <c r="AV282" s="623">
        <f t="shared" si="82"/>
        <v>16.600000000000001</v>
      </c>
      <c r="AW282" s="621">
        <v>3.74</v>
      </c>
      <c r="AX282" s="621">
        <v>3.54</v>
      </c>
      <c r="AY282" s="621">
        <v>262</v>
      </c>
      <c r="AZ282" s="624">
        <f t="shared" si="83"/>
        <v>-0.89999999999999858</v>
      </c>
      <c r="BA282" s="623">
        <v>17.5</v>
      </c>
      <c r="BB282" s="620">
        <v>7</v>
      </c>
      <c r="BC282" s="620">
        <v>6</v>
      </c>
      <c r="BD282" s="623">
        <f t="shared" si="84"/>
        <v>13</v>
      </c>
      <c r="BE282" s="621"/>
      <c r="BF282" s="621"/>
      <c r="BG282" s="621"/>
      <c r="BH282" s="621">
        <f t="shared" si="85"/>
        <v>4.5</v>
      </c>
    </row>
    <row r="283" spans="1:60" ht="17.25" thickTop="1" thickBot="1" x14ac:dyDescent="0.3">
      <c r="A283" s="77">
        <v>276</v>
      </c>
      <c r="B283" s="603">
        <f t="shared" ca="1" si="73"/>
        <v>43134</v>
      </c>
      <c r="C283" s="29" t="s">
        <v>2865</v>
      </c>
      <c r="D283" s="59" t="s">
        <v>2850</v>
      </c>
      <c r="E283" s="22" t="s">
        <v>369</v>
      </c>
      <c r="F283" s="295" t="s">
        <v>1389</v>
      </c>
      <c r="G283" s="567">
        <v>42474</v>
      </c>
      <c r="H283" s="609">
        <f t="shared" si="86"/>
        <v>13.4</v>
      </c>
      <c r="I283" s="620">
        <v>4.8</v>
      </c>
      <c r="J283" s="620"/>
      <c r="K283" s="620">
        <v>3</v>
      </c>
      <c r="L283" s="611">
        <f t="shared" si="74"/>
        <v>7.8</v>
      </c>
      <c r="M283" s="621"/>
      <c r="N283" s="621"/>
      <c r="O283" s="621"/>
      <c r="P283" s="622">
        <f t="shared" si="75"/>
        <v>-5.6000000000000005</v>
      </c>
      <c r="Q283" s="609">
        <f t="shared" si="87"/>
        <v>22</v>
      </c>
      <c r="R283" s="620">
        <v>7</v>
      </c>
      <c r="S283" s="620"/>
      <c r="T283" s="620">
        <v>6.4</v>
      </c>
      <c r="U283" s="611">
        <f t="shared" si="76"/>
        <v>13.4</v>
      </c>
      <c r="V283" s="621"/>
      <c r="W283" s="621"/>
      <c r="X283" s="621"/>
      <c r="Y283" s="622">
        <f t="shared" si="77"/>
        <v>-8.6</v>
      </c>
      <c r="Z283" s="609">
        <f t="shared" si="88"/>
        <v>22</v>
      </c>
      <c r="AA283" s="620">
        <v>6</v>
      </c>
      <c r="AB283" s="620"/>
      <c r="AC283" s="620">
        <v>9</v>
      </c>
      <c r="AD283" s="611">
        <f t="shared" si="78"/>
        <v>15</v>
      </c>
      <c r="AE283" s="621"/>
      <c r="AF283" s="621"/>
      <c r="AG283" s="621"/>
      <c r="AH283" s="622">
        <f t="shared" si="79"/>
        <v>-7</v>
      </c>
      <c r="AI283" s="609">
        <f t="shared" si="89"/>
        <v>16</v>
      </c>
      <c r="AJ283" s="620">
        <v>12</v>
      </c>
      <c r="AK283" s="620"/>
      <c r="AL283" s="620">
        <v>10</v>
      </c>
      <c r="AM283" s="623">
        <f t="shared" si="80"/>
        <v>22</v>
      </c>
      <c r="AN283" s="621"/>
      <c r="AO283" s="621"/>
      <c r="AP283" s="621"/>
      <c r="AQ283" s="622">
        <f t="shared" si="81"/>
        <v>6</v>
      </c>
      <c r="AR283" s="615">
        <f t="shared" si="90"/>
        <v>19</v>
      </c>
      <c r="AS283" s="620">
        <v>7</v>
      </c>
      <c r="AT283" s="620"/>
      <c r="AU283" s="620">
        <v>9</v>
      </c>
      <c r="AV283" s="623">
        <f t="shared" si="82"/>
        <v>16</v>
      </c>
      <c r="AW283" s="621">
        <v>5.17</v>
      </c>
      <c r="AX283" s="621">
        <v>3.82</v>
      </c>
      <c r="AY283" s="621">
        <v>90</v>
      </c>
      <c r="AZ283" s="624">
        <f t="shared" si="83"/>
        <v>-3</v>
      </c>
      <c r="BA283" s="623">
        <v>19</v>
      </c>
      <c r="BB283" s="620">
        <v>9</v>
      </c>
      <c r="BC283" s="620">
        <v>9</v>
      </c>
      <c r="BD283" s="623">
        <f t="shared" si="84"/>
        <v>18</v>
      </c>
      <c r="BE283" s="621"/>
      <c r="BF283" s="621"/>
      <c r="BG283" s="621"/>
      <c r="BH283" s="621">
        <f t="shared" si="85"/>
        <v>1</v>
      </c>
    </row>
    <row r="284" spans="1:60" ht="17.25" thickTop="1" thickBot="1" x14ac:dyDescent="0.3">
      <c r="A284" s="602">
        <v>277</v>
      </c>
      <c r="B284" s="603">
        <f t="shared" ca="1" si="73"/>
        <v>43134</v>
      </c>
      <c r="C284" s="29" t="s">
        <v>2865</v>
      </c>
      <c r="D284" s="59" t="s">
        <v>2850</v>
      </c>
      <c r="E284" s="22" t="s">
        <v>566</v>
      </c>
      <c r="F284" s="295" t="s">
        <v>567</v>
      </c>
      <c r="G284" s="567">
        <v>42634</v>
      </c>
      <c r="H284" s="609">
        <f t="shared" si="86"/>
        <v>0</v>
      </c>
      <c r="I284" s="620">
        <v>9.1999999999999993</v>
      </c>
      <c r="J284" s="620">
        <v>8.5</v>
      </c>
      <c r="K284" s="620">
        <v>8</v>
      </c>
      <c r="L284" s="611">
        <f t="shared" si="74"/>
        <v>25.7</v>
      </c>
      <c r="M284" s="621"/>
      <c r="N284" s="621"/>
      <c r="O284" s="621"/>
      <c r="P284" s="622">
        <f t="shared" si="75"/>
        <v>25.7</v>
      </c>
      <c r="Q284" s="609">
        <f t="shared" si="87"/>
        <v>17.2</v>
      </c>
      <c r="R284" s="620"/>
      <c r="S284" s="620"/>
      <c r="T284" s="620"/>
      <c r="U284" s="611">
        <f t="shared" si="76"/>
        <v>0</v>
      </c>
      <c r="V284" s="621"/>
      <c r="W284" s="621"/>
      <c r="X284" s="621"/>
      <c r="Y284" s="622">
        <f t="shared" si="77"/>
        <v>-17.2</v>
      </c>
      <c r="Z284" s="609">
        <f t="shared" si="88"/>
        <v>17.2</v>
      </c>
      <c r="AA284" s="620"/>
      <c r="AB284" s="620"/>
      <c r="AC284" s="620"/>
      <c r="AD284" s="611">
        <f t="shared" si="78"/>
        <v>0</v>
      </c>
      <c r="AE284" s="621"/>
      <c r="AF284" s="621"/>
      <c r="AG284" s="621"/>
      <c r="AH284" s="622">
        <f t="shared" si="79"/>
        <v>-17.2</v>
      </c>
      <c r="AI284" s="609">
        <f t="shared" si="89"/>
        <v>16.8</v>
      </c>
      <c r="AJ284" s="620">
        <v>9</v>
      </c>
      <c r="AK284" s="620"/>
      <c r="AL284" s="620">
        <v>8.1999999999999993</v>
      </c>
      <c r="AM284" s="623">
        <f t="shared" si="80"/>
        <v>17.2</v>
      </c>
      <c r="AN284" s="621"/>
      <c r="AO284" s="621"/>
      <c r="AP284" s="621"/>
      <c r="AQ284" s="622">
        <f t="shared" si="81"/>
        <v>0.39999999999999858</v>
      </c>
      <c r="AR284" s="615">
        <f t="shared" si="90"/>
        <v>17</v>
      </c>
      <c r="AS284" s="620">
        <v>6.8</v>
      </c>
      <c r="AT284" s="620"/>
      <c r="AU284" s="620">
        <v>10</v>
      </c>
      <c r="AV284" s="623">
        <f t="shared" si="82"/>
        <v>16.8</v>
      </c>
      <c r="AW284" s="621">
        <v>4.32</v>
      </c>
      <c r="AX284" s="621">
        <v>3.67</v>
      </c>
      <c r="AY284" s="621">
        <v>90</v>
      </c>
      <c r="AZ284" s="624">
        <f t="shared" si="83"/>
        <v>-0.19999999999999929</v>
      </c>
      <c r="BA284" s="623">
        <v>17</v>
      </c>
      <c r="BB284" s="620">
        <v>10.199999999999999</v>
      </c>
      <c r="BC284" s="620">
        <v>8.6999999999999993</v>
      </c>
      <c r="BD284" s="623">
        <f t="shared" si="84"/>
        <v>18.899999999999999</v>
      </c>
      <c r="BE284" s="621"/>
      <c r="BF284" s="621"/>
      <c r="BG284" s="621"/>
      <c r="BH284" s="621">
        <f t="shared" si="85"/>
        <v>-1.8999999999999986</v>
      </c>
    </row>
    <row r="285" spans="1:60" ht="17.25" thickTop="1" thickBot="1" x14ac:dyDescent="0.3">
      <c r="A285" s="77">
        <v>278</v>
      </c>
      <c r="B285" s="603">
        <f t="shared" ca="1" si="73"/>
        <v>43134</v>
      </c>
      <c r="C285" s="29" t="s">
        <v>2865</v>
      </c>
      <c r="D285" s="59" t="s">
        <v>2850</v>
      </c>
      <c r="E285" s="22" t="s">
        <v>444</v>
      </c>
      <c r="F285" s="295" t="s">
        <v>445</v>
      </c>
      <c r="G285" s="567">
        <v>42575</v>
      </c>
      <c r="H285" s="609">
        <f t="shared" si="86"/>
        <v>19.200000000000003</v>
      </c>
      <c r="I285" s="620">
        <v>8</v>
      </c>
      <c r="J285" s="620"/>
      <c r="K285" s="620">
        <v>7.3</v>
      </c>
      <c r="L285" s="611">
        <f t="shared" si="74"/>
        <v>15.3</v>
      </c>
      <c r="M285" s="621"/>
      <c r="N285" s="621"/>
      <c r="O285" s="621"/>
      <c r="P285" s="622">
        <f t="shared" si="75"/>
        <v>-3.9000000000000021</v>
      </c>
      <c r="Q285" s="609">
        <f t="shared" si="87"/>
        <v>20</v>
      </c>
      <c r="R285" s="620">
        <v>10.8</v>
      </c>
      <c r="S285" s="620"/>
      <c r="T285" s="620">
        <v>8.4</v>
      </c>
      <c r="U285" s="611">
        <f t="shared" si="76"/>
        <v>19.200000000000003</v>
      </c>
      <c r="V285" s="621"/>
      <c r="W285" s="621"/>
      <c r="X285" s="621"/>
      <c r="Y285" s="622">
        <f t="shared" si="77"/>
        <v>-0.79999999999999716</v>
      </c>
      <c r="Z285" s="609">
        <f t="shared" si="88"/>
        <v>20</v>
      </c>
      <c r="AA285" s="620">
        <v>10</v>
      </c>
      <c r="AB285" s="620"/>
      <c r="AC285" s="620">
        <v>7</v>
      </c>
      <c r="AD285" s="611">
        <f t="shared" si="78"/>
        <v>17</v>
      </c>
      <c r="AE285" s="621"/>
      <c r="AF285" s="621"/>
      <c r="AG285" s="621"/>
      <c r="AH285" s="622">
        <f t="shared" si="79"/>
        <v>-3</v>
      </c>
      <c r="AI285" s="609">
        <f t="shared" si="89"/>
        <v>27.6</v>
      </c>
      <c r="AJ285" s="620">
        <v>12</v>
      </c>
      <c r="AK285" s="620"/>
      <c r="AL285" s="620">
        <v>8</v>
      </c>
      <c r="AM285" s="623">
        <f t="shared" si="80"/>
        <v>20</v>
      </c>
      <c r="AN285" s="621"/>
      <c r="AO285" s="621"/>
      <c r="AP285" s="621"/>
      <c r="AQ285" s="622">
        <f t="shared" si="81"/>
        <v>-7.6000000000000014</v>
      </c>
      <c r="AR285" s="615">
        <f t="shared" si="90"/>
        <v>16.7</v>
      </c>
      <c r="AS285" s="620">
        <v>16.8</v>
      </c>
      <c r="AT285" s="620"/>
      <c r="AU285" s="620">
        <v>10.8</v>
      </c>
      <c r="AV285" s="623">
        <f t="shared" si="82"/>
        <v>27.6</v>
      </c>
      <c r="AW285" s="621">
        <v>4.3600000000000003</v>
      </c>
      <c r="AX285" s="621">
        <v>3.73</v>
      </c>
      <c r="AY285" s="621">
        <v>90</v>
      </c>
      <c r="AZ285" s="624">
        <f t="shared" si="83"/>
        <v>10.900000000000002</v>
      </c>
      <c r="BA285" s="623">
        <v>16.7</v>
      </c>
      <c r="BB285" s="620">
        <v>7.1</v>
      </c>
      <c r="BC285" s="620">
        <v>9.1999999999999993</v>
      </c>
      <c r="BD285" s="623">
        <f t="shared" si="84"/>
        <v>16.299999999999997</v>
      </c>
      <c r="BE285" s="621"/>
      <c r="BF285" s="621"/>
      <c r="BG285" s="621"/>
      <c r="BH285" s="621">
        <f t="shared" si="85"/>
        <v>0.40000000000000213</v>
      </c>
    </row>
    <row r="286" spans="1:60" ht="17.25" thickTop="1" thickBot="1" x14ac:dyDescent="0.3">
      <c r="A286" s="602">
        <v>279</v>
      </c>
      <c r="B286" s="603">
        <f t="shared" ca="1" si="73"/>
        <v>43134</v>
      </c>
      <c r="C286" s="29" t="s">
        <v>2865</v>
      </c>
      <c r="D286" s="59" t="s">
        <v>2850</v>
      </c>
      <c r="E286" s="22" t="s">
        <v>41</v>
      </c>
      <c r="F286" s="295" t="s">
        <v>42</v>
      </c>
      <c r="G286" s="567">
        <v>42628</v>
      </c>
      <c r="H286" s="609">
        <f t="shared" si="86"/>
        <v>24</v>
      </c>
      <c r="I286" s="620">
        <v>11</v>
      </c>
      <c r="J286" s="620"/>
      <c r="K286" s="620">
        <v>10.4</v>
      </c>
      <c r="L286" s="611">
        <f t="shared" si="74"/>
        <v>21.4</v>
      </c>
      <c r="M286" s="621"/>
      <c r="N286" s="621"/>
      <c r="O286" s="621"/>
      <c r="P286" s="622">
        <f t="shared" si="75"/>
        <v>-2.6000000000000014</v>
      </c>
      <c r="Q286" s="609">
        <f t="shared" si="87"/>
        <v>25</v>
      </c>
      <c r="R286" s="620">
        <v>10</v>
      </c>
      <c r="S286" s="620"/>
      <c r="T286" s="620">
        <v>14</v>
      </c>
      <c r="U286" s="611">
        <f t="shared" si="76"/>
        <v>24</v>
      </c>
      <c r="V286" s="621"/>
      <c r="W286" s="621"/>
      <c r="X286" s="621"/>
      <c r="Y286" s="622">
        <f t="shared" si="77"/>
        <v>-1</v>
      </c>
      <c r="Z286" s="609">
        <f t="shared" si="88"/>
        <v>25</v>
      </c>
      <c r="AA286" s="620">
        <v>12</v>
      </c>
      <c r="AB286" s="620"/>
      <c r="AC286" s="620">
        <v>14</v>
      </c>
      <c r="AD286" s="611">
        <f t="shared" si="78"/>
        <v>26</v>
      </c>
      <c r="AE286" s="621"/>
      <c r="AF286" s="621"/>
      <c r="AG286" s="621"/>
      <c r="AH286" s="622">
        <f t="shared" si="79"/>
        <v>1</v>
      </c>
      <c r="AI286" s="609">
        <f t="shared" si="89"/>
        <v>24.4</v>
      </c>
      <c r="AJ286" s="620">
        <v>13</v>
      </c>
      <c r="AK286" s="620"/>
      <c r="AL286" s="620">
        <v>12</v>
      </c>
      <c r="AM286" s="623">
        <f t="shared" si="80"/>
        <v>25</v>
      </c>
      <c r="AN286" s="621"/>
      <c r="AO286" s="621"/>
      <c r="AP286" s="621"/>
      <c r="AQ286" s="622">
        <f t="shared" si="81"/>
        <v>0.60000000000000142</v>
      </c>
      <c r="AR286" s="615">
        <f t="shared" si="90"/>
        <v>26</v>
      </c>
      <c r="AS286" s="620">
        <v>10.4</v>
      </c>
      <c r="AT286" s="620"/>
      <c r="AU286" s="620">
        <v>14</v>
      </c>
      <c r="AV286" s="623">
        <f t="shared" si="82"/>
        <v>24.4</v>
      </c>
      <c r="AW286" s="621">
        <v>3.84</v>
      </c>
      <c r="AX286" s="621">
        <v>3.37</v>
      </c>
      <c r="AY286" s="621">
        <v>90</v>
      </c>
      <c r="AZ286" s="624">
        <f t="shared" si="83"/>
        <v>-1.6000000000000014</v>
      </c>
      <c r="BA286" s="623">
        <v>26</v>
      </c>
      <c r="BB286" s="620">
        <v>7</v>
      </c>
      <c r="BC286" s="620">
        <v>11</v>
      </c>
      <c r="BD286" s="623">
        <f t="shared" si="84"/>
        <v>18</v>
      </c>
      <c r="BE286" s="621"/>
      <c r="BF286" s="621"/>
      <c r="BG286" s="621"/>
      <c r="BH286" s="621">
        <f t="shared" si="85"/>
        <v>8</v>
      </c>
    </row>
    <row r="287" spans="1:60" ht="17.25" thickTop="1" thickBot="1" x14ac:dyDescent="0.3">
      <c r="A287" s="77">
        <v>280</v>
      </c>
      <c r="B287" s="603">
        <f t="shared" ca="1" si="73"/>
        <v>43134</v>
      </c>
      <c r="C287" s="29" t="s">
        <v>2865</v>
      </c>
      <c r="D287" s="59" t="s">
        <v>2850</v>
      </c>
      <c r="E287" s="22" t="s">
        <v>471</v>
      </c>
      <c r="F287" s="295" t="s">
        <v>472</v>
      </c>
      <c r="G287" s="567">
        <v>42510</v>
      </c>
      <c r="H287" s="609">
        <f t="shared" si="86"/>
        <v>37.4</v>
      </c>
      <c r="I287" s="620">
        <v>17</v>
      </c>
      <c r="J287" s="620">
        <v>15</v>
      </c>
      <c r="K287" s="620">
        <v>10</v>
      </c>
      <c r="L287" s="611">
        <f t="shared" si="74"/>
        <v>42</v>
      </c>
      <c r="M287" s="621"/>
      <c r="N287" s="621"/>
      <c r="O287" s="621"/>
      <c r="P287" s="622">
        <f t="shared" si="75"/>
        <v>4.6000000000000014</v>
      </c>
      <c r="Q287" s="609">
        <f t="shared" si="87"/>
        <v>0</v>
      </c>
      <c r="R287" s="620">
        <v>13.3</v>
      </c>
      <c r="S287" s="620">
        <v>11.6</v>
      </c>
      <c r="T287" s="620">
        <v>12.5</v>
      </c>
      <c r="U287" s="611">
        <f t="shared" si="76"/>
        <v>37.4</v>
      </c>
      <c r="V287" s="621"/>
      <c r="W287" s="621"/>
      <c r="X287" s="621"/>
      <c r="Y287" s="622">
        <f t="shared" si="77"/>
        <v>37.4</v>
      </c>
      <c r="Z287" s="609">
        <f t="shared" si="88"/>
        <v>0</v>
      </c>
      <c r="AA287" s="620"/>
      <c r="AB287" s="620"/>
      <c r="AC287" s="620"/>
      <c r="AD287" s="611">
        <f t="shared" si="78"/>
        <v>0</v>
      </c>
      <c r="AE287" s="621"/>
      <c r="AF287" s="621"/>
      <c r="AG287" s="621"/>
      <c r="AH287" s="622">
        <f t="shared" si="79"/>
        <v>0</v>
      </c>
      <c r="AI287" s="609">
        <f t="shared" si="89"/>
        <v>19</v>
      </c>
      <c r="AJ287" s="620"/>
      <c r="AK287" s="620"/>
      <c r="AL287" s="620"/>
      <c r="AM287" s="623">
        <f t="shared" si="80"/>
        <v>0</v>
      </c>
      <c r="AN287" s="621"/>
      <c r="AO287" s="621"/>
      <c r="AP287" s="621"/>
      <c r="AQ287" s="622">
        <f t="shared" si="81"/>
        <v>-19</v>
      </c>
      <c r="AR287" s="615">
        <f t="shared" si="90"/>
        <v>22</v>
      </c>
      <c r="AS287" s="620">
        <v>9</v>
      </c>
      <c r="AT287" s="620"/>
      <c r="AU287" s="620">
        <v>10</v>
      </c>
      <c r="AV287" s="623">
        <f t="shared" si="82"/>
        <v>19</v>
      </c>
      <c r="AW287" s="621">
        <v>3.84</v>
      </c>
      <c r="AX287" s="621">
        <v>3.54</v>
      </c>
      <c r="AY287" s="621">
        <v>90</v>
      </c>
      <c r="AZ287" s="624">
        <f t="shared" si="83"/>
        <v>-3</v>
      </c>
      <c r="BA287" s="623">
        <v>22</v>
      </c>
      <c r="BB287" s="620">
        <v>12</v>
      </c>
      <c r="BC287" s="620">
        <v>8</v>
      </c>
      <c r="BD287" s="623">
        <f t="shared" si="84"/>
        <v>20</v>
      </c>
      <c r="BE287" s="621"/>
      <c r="BF287" s="621"/>
      <c r="BG287" s="621"/>
      <c r="BH287" s="621">
        <f t="shared" si="85"/>
        <v>2</v>
      </c>
    </row>
    <row r="288" spans="1:60" ht="17.25" thickTop="1" thickBot="1" x14ac:dyDescent="0.3">
      <c r="A288" s="602">
        <v>281</v>
      </c>
      <c r="B288" s="603">
        <f t="shared" ca="1" si="73"/>
        <v>43134</v>
      </c>
      <c r="C288" s="29" t="s">
        <v>2865</v>
      </c>
      <c r="D288" s="59" t="s">
        <v>2850</v>
      </c>
      <c r="E288" s="22" t="s">
        <v>187</v>
      </c>
      <c r="F288" s="295" t="s">
        <v>450</v>
      </c>
      <c r="G288" s="567">
        <v>42594</v>
      </c>
      <c r="H288" s="609">
        <f t="shared" si="86"/>
        <v>24.6</v>
      </c>
      <c r="I288" s="620">
        <v>9.6</v>
      </c>
      <c r="J288" s="620"/>
      <c r="K288" s="620">
        <v>7</v>
      </c>
      <c r="L288" s="611">
        <f t="shared" si="74"/>
        <v>16.600000000000001</v>
      </c>
      <c r="M288" s="621"/>
      <c r="N288" s="621"/>
      <c r="O288" s="621"/>
      <c r="P288" s="622">
        <f t="shared" si="75"/>
        <v>-8</v>
      </c>
      <c r="Q288" s="609">
        <f t="shared" si="87"/>
        <v>19.600000000000001</v>
      </c>
      <c r="R288" s="620">
        <v>14.6</v>
      </c>
      <c r="S288" s="620"/>
      <c r="T288" s="620">
        <v>10</v>
      </c>
      <c r="U288" s="611">
        <f t="shared" si="76"/>
        <v>24.6</v>
      </c>
      <c r="V288" s="621"/>
      <c r="W288" s="621"/>
      <c r="X288" s="621"/>
      <c r="Y288" s="622">
        <f t="shared" si="77"/>
        <v>5</v>
      </c>
      <c r="Z288" s="609">
        <f t="shared" si="88"/>
        <v>19.600000000000001</v>
      </c>
      <c r="AA288" s="620">
        <v>9.5</v>
      </c>
      <c r="AB288" s="620"/>
      <c r="AC288" s="620">
        <v>10</v>
      </c>
      <c r="AD288" s="611">
        <f t="shared" si="78"/>
        <v>19.5</v>
      </c>
      <c r="AE288" s="621"/>
      <c r="AF288" s="621"/>
      <c r="AG288" s="621"/>
      <c r="AH288" s="622">
        <f t="shared" si="79"/>
        <v>-0.10000000000000142</v>
      </c>
      <c r="AI288" s="609">
        <f t="shared" si="89"/>
        <v>27.2</v>
      </c>
      <c r="AJ288" s="620">
        <v>8.6</v>
      </c>
      <c r="AK288" s="620"/>
      <c r="AL288" s="620">
        <v>11</v>
      </c>
      <c r="AM288" s="623">
        <f t="shared" si="80"/>
        <v>19.600000000000001</v>
      </c>
      <c r="AN288" s="621"/>
      <c r="AO288" s="621"/>
      <c r="AP288" s="621"/>
      <c r="AQ288" s="622">
        <f t="shared" si="81"/>
        <v>-7.5999999999999979</v>
      </c>
      <c r="AR288" s="615">
        <f t="shared" si="90"/>
        <v>22</v>
      </c>
      <c r="AS288" s="620">
        <v>16</v>
      </c>
      <c r="AT288" s="620"/>
      <c r="AU288" s="620">
        <v>11.2</v>
      </c>
      <c r="AV288" s="623">
        <f t="shared" si="82"/>
        <v>27.2</v>
      </c>
      <c r="AW288" s="621">
        <v>4.4800000000000004</v>
      </c>
      <c r="AX288" s="621">
        <v>3.66</v>
      </c>
      <c r="AY288" s="621">
        <v>90</v>
      </c>
      <c r="AZ288" s="624">
        <f t="shared" si="83"/>
        <v>5.1999999999999993</v>
      </c>
      <c r="BA288" s="623">
        <v>22</v>
      </c>
      <c r="BB288" s="620">
        <v>12</v>
      </c>
      <c r="BC288" s="620">
        <v>9</v>
      </c>
      <c r="BD288" s="623">
        <f t="shared" si="84"/>
        <v>21</v>
      </c>
      <c r="BE288" s="621"/>
      <c r="BF288" s="621"/>
      <c r="BG288" s="621"/>
      <c r="BH288" s="621">
        <f t="shared" si="85"/>
        <v>1</v>
      </c>
    </row>
    <row r="289" spans="1:60" ht="17.25" thickTop="1" thickBot="1" x14ac:dyDescent="0.3">
      <c r="A289" s="77">
        <v>282</v>
      </c>
      <c r="B289" s="603">
        <f t="shared" ca="1" si="73"/>
        <v>43134</v>
      </c>
      <c r="C289" s="29" t="s">
        <v>2865</v>
      </c>
      <c r="D289" s="59" t="s">
        <v>2850</v>
      </c>
      <c r="E289" s="22" t="s">
        <v>578</v>
      </c>
      <c r="F289" s="295" t="s">
        <v>579</v>
      </c>
      <c r="G289" s="567">
        <v>42658</v>
      </c>
      <c r="H289" s="609">
        <f t="shared" si="86"/>
        <v>22.1</v>
      </c>
      <c r="I289" s="620">
        <v>12</v>
      </c>
      <c r="J289" s="620">
        <v>13</v>
      </c>
      <c r="K289" s="620">
        <v>14</v>
      </c>
      <c r="L289" s="611">
        <f t="shared" si="74"/>
        <v>39</v>
      </c>
      <c r="M289" s="621"/>
      <c r="N289" s="621"/>
      <c r="O289" s="621"/>
      <c r="P289" s="622">
        <f t="shared" si="75"/>
        <v>16.899999999999999</v>
      </c>
      <c r="Q289" s="609">
        <f t="shared" si="87"/>
        <v>0</v>
      </c>
      <c r="R289" s="620">
        <v>9.6999999999999993</v>
      </c>
      <c r="S289" s="620">
        <v>8.4</v>
      </c>
      <c r="T289" s="620">
        <v>4</v>
      </c>
      <c r="U289" s="611">
        <f t="shared" si="76"/>
        <v>22.1</v>
      </c>
      <c r="V289" s="621"/>
      <c r="W289" s="621"/>
      <c r="X289" s="621"/>
      <c r="Y289" s="622">
        <f t="shared" si="77"/>
        <v>22.1</v>
      </c>
      <c r="Z289" s="609">
        <f t="shared" si="88"/>
        <v>0</v>
      </c>
      <c r="AA289" s="620"/>
      <c r="AB289" s="620"/>
      <c r="AC289" s="620"/>
      <c r="AD289" s="611">
        <f t="shared" si="78"/>
        <v>0</v>
      </c>
      <c r="AE289" s="621"/>
      <c r="AF289" s="621"/>
      <c r="AG289" s="621"/>
      <c r="AH289" s="622">
        <f t="shared" si="79"/>
        <v>0</v>
      </c>
      <c r="AI289" s="609">
        <f t="shared" si="89"/>
        <v>18.600000000000001</v>
      </c>
      <c r="AJ289" s="620"/>
      <c r="AK289" s="620"/>
      <c r="AL289" s="620"/>
      <c r="AM289" s="623">
        <f t="shared" si="80"/>
        <v>0</v>
      </c>
      <c r="AN289" s="621"/>
      <c r="AO289" s="621"/>
      <c r="AP289" s="621"/>
      <c r="AQ289" s="622">
        <f t="shared" si="81"/>
        <v>-18.600000000000001</v>
      </c>
      <c r="AR289" s="615">
        <f t="shared" si="90"/>
        <v>22</v>
      </c>
      <c r="AS289" s="620">
        <v>8.1999999999999993</v>
      </c>
      <c r="AT289" s="620"/>
      <c r="AU289" s="620">
        <v>10.4</v>
      </c>
      <c r="AV289" s="623">
        <f t="shared" si="82"/>
        <v>18.600000000000001</v>
      </c>
      <c r="AW289" s="621">
        <v>3.97</v>
      </c>
      <c r="AX289" s="621">
        <v>3.5</v>
      </c>
      <c r="AY289" s="621">
        <v>90</v>
      </c>
      <c r="AZ289" s="624">
        <f t="shared" si="83"/>
        <v>-3.3999999999999986</v>
      </c>
      <c r="BA289" s="623">
        <v>22</v>
      </c>
      <c r="BB289" s="620">
        <v>12</v>
      </c>
      <c r="BC289" s="620">
        <v>9</v>
      </c>
      <c r="BD289" s="623">
        <f t="shared" si="84"/>
        <v>21</v>
      </c>
      <c r="BE289" s="621"/>
      <c r="BF289" s="621"/>
      <c r="BG289" s="621"/>
      <c r="BH289" s="621">
        <f t="shared" si="85"/>
        <v>1</v>
      </c>
    </row>
    <row r="290" spans="1:60" ht="17.25" thickTop="1" thickBot="1" x14ac:dyDescent="0.3">
      <c r="A290" s="602">
        <v>283</v>
      </c>
      <c r="B290" s="603">
        <f t="shared" ca="1" si="73"/>
        <v>43134</v>
      </c>
      <c r="C290" s="29" t="s">
        <v>2865</v>
      </c>
      <c r="D290" s="59" t="s">
        <v>2850</v>
      </c>
      <c r="E290" s="22" t="s">
        <v>1501</v>
      </c>
      <c r="F290" s="295" t="s">
        <v>588</v>
      </c>
      <c r="G290" s="567">
        <v>42528</v>
      </c>
      <c r="H290" s="609">
        <f t="shared" si="86"/>
        <v>20.5</v>
      </c>
      <c r="I290" s="620">
        <v>12</v>
      </c>
      <c r="J290" s="620">
        <v>11</v>
      </c>
      <c r="K290" s="620">
        <v>10</v>
      </c>
      <c r="L290" s="611">
        <f t="shared" si="74"/>
        <v>33</v>
      </c>
      <c r="M290" s="621"/>
      <c r="N290" s="621"/>
      <c r="O290" s="621"/>
      <c r="P290" s="622">
        <f t="shared" si="75"/>
        <v>12.5</v>
      </c>
      <c r="Q290" s="609">
        <f t="shared" si="87"/>
        <v>0</v>
      </c>
      <c r="R290" s="620">
        <v>7.5</v>
      </c>
      <c r="S290" s="620">
        <v>7</v>
      </c>
      <c r="T290" s="620">
        <v>6</v>
      </c>
      <c r="U290" s="611">
        <f t="shared" si="76"/>
        <v>20.5</v>
      </c>
      <c r="V290" s="621"/>
      <c r="W290" s="621"/>
      <c r="X290" s="621"/>
      <c r="Y290" s="622">
        <f t="shared" si="77"/>
        <v>20.5</v>
      </c>
      <c r="Z290" s="609">
        <f t="shared" si="88"/>
        <v>0</v>
      </c>
      <c r="AA290" s="620">
        <v>6.8</v>
      </c>
      <c r="AB290" s="620">
        <v>6.9</v>
      </c>
      <c r="AC290" s="620">
        <v>7.4</v>
      </c>
      <c r="AD290" s="611">
        <f t="shared" si="78"/>
        <v>21.1</v>
      </c>
      <c r="AE290" s="621"/>
      <c r="AF290" s="621"/>
      <c r="AG290" s="621"/>
      <c r="AH290" s="622">
        <f t="shared" si="79"/>
        <v>21.1</v>
      </c>
      <c r="AI290" s="609">
        <f t="shared" si="89"/>
        <v>15</v>
      </c>
      <c r="AJ290" s="620"/>
      <c r="AK290" s="620"/>
      <c r="AL290" s="620"/>
      <c r="AM290" s="623">
        <f t="shared" si="80"/>
        <v>0</v>
      </c>
      <c r="AN290" s="621"/>
      <c r="AO290" s="621"/>
      <c r="AP290" s="621"/>
      <c r="AQ290" s="622">
        <f t="shared" si="81"/>
        <v>-15</v>
      </c>
      <c r="AR290" s="615">
        <f t="shared" si="90"/>
        <v>16.2</v>
      </c>
      <c r="AS290" s="620">
        <v>8</v>
      </c>
      <c r="AT290" s="620"/>
      <c r="AU290" s="620">
        <v>7</v>
      </c>
      <c r="AV290" s="623">
        <f t="shared" si="82"/>
        <v>15</v>
      </c>
      <c r="AW290" s="621">
        <v>5.09</v>
      </c>
      <c r="AX290" s="621">
        <v>3.93</v>
      </c>
      <c r="AY290" s="621">
        <v>170</v>
      </c>
      <c r="AZ290" s="624">
        <f t="shared" si="83"/>
        <v>-1.1999999999999993</v>
      </c>
      <c r="BA290" s="623">
        <v>16.2</v>
      </c>
      <c r="BB290" s="620">
        <v>8</v>
      </c>
      <c r="BC290" s="620">
        <v>7</v>
      </c>
      <c r="BD290" s="623">
        <f t="shared" si="84"/>
        <v>15</v>
      </c>
      <c r="BE290" s="621"/>
      <c r="BF290" s="621"/>
      <c r="BG290" s="621"/>
      <c r="BH290" s="621">
        <f t="shared" si="85"/>
        <v>1.1999999999999993</v>
      </c>
    </row>
    <row r="291" spans="1:60" ht="17.25" thickTop="1" thickBot="1" x14ac:dyDescent="0.3">
      <c r="A291" s="77">
        <v>284</v>
      </c>
      <c r="B291" s="603">
        <f t="shared" ca="1" si="73"/>
        <v>43134</v>
      </c>
      <c r="C291" s="29" t="s">
        <v>2865</v>
      </c>
      <c r="D291" s="59" t="s">
        <v>2850</v>
      </c>
      <c r="E291" s="22" t="s">
        <v>465</v>
      </c>
      <c r="F291" s="295" t="s">
        <v>466</v>
      </c>
      <c r="G291" s="567">
        <v>42582</v>
      </c>
      <c r="H291" s="609">
        <f t="shared" si="86"/>
        <v>23</v>
      </c>
      <c r="I291" s="620"/>
      <c r="J291" s="620"/>
      <c r="K291" s="620"/>
      <c r="L291" s="611">
        <f t="shared" si="74"/>
        <v>0</v>
      </c>
      <c r="M291" s="621"/>
      <c r="N291" s="621"/>
      <c r="O291" s="621"/>
      <c r="P291" s="622">
        <f t="shared" si="75"/>
        <v>-23</v>
      </c>
      <c r="Q291" s="609">
        <f t="shared" si="87"/>
        <v>25.2</v>
      </c>
      <c r="R291" s="620">
        <v>15</v>
      </c>
      <c r="S291" s="620"/>
      <c r="T291" s="620">
        <v>8</v>
      </c>
      <c r="U291" s="611">
        <f t="shared" si="76"/>
        <v>23</v>
      </c>
      <c r="V291" s="621"/>
      <c r="W291" s="621"/>
      <c r="X291" s="621"/>
      <c r="Y291" s="622">
        <f t="shared" si="77"/>
        <v>-2.1999999999999993</v>
      </c>
      <c r="Z291" s="609">
        <f t="shared" si="88"/>
        <v>25.2</v>
      </c>
      <c r="AA291" s="620">
        <v>14.2</v>
      </c>
      <c r="AB291" s="620"/>
      <c r="AC291" s="620">
        <v>14</v>
      </c>
      <c r="AD291" s="611">
        <f t="shared" si="78"/>
        <v>28.2</v>
      </c>
      <c r="AE291" s="621"/>
      <c r="AF291" s="621"/>
      <c r="AG291" s="621"/>
      <c r="AH291" s="622">
        <f t="shared" si="79"/>
        <v>3</v>
      </c>
      <c r="AI291" s="609">
        <f t="shared" si="89"/>
        <v>20.6</v>
      </c>
      <c r="AJ291" s="620">
        <v>13.2</v>
      </c>
      <c r="AK291" s="620"/>
      <c r="AL291" s="620">
        <v>12</v>
      </c>
      <c r="AM291" s="623">
        <f t="shared" si="80"/>
        <v>25.2</v>
      </c>
      <c r="AN291" s="621"/>
      <c r="AO291" s="621"/>
      <c r="AP291" s="621"/>
      <c r="AQ291" s="622">
        <f t="shared" si="81"/>
        <v>4.5999999999999979</v>
      </c>
      <c r="AR291" s="615">
        <f t="shared" si="90"/>
        <v>34</v>
      </c>
      <c r="AS291" s="620">
        <v>11</v>
      </c>
      <c r="AT291" s="620"/>
      <c r="AU291" s="620">
        <v>9.6</v>
      </c>
      <c r="AV291" s="623">
        <f t="shared" si="82"/>
        <v>20.6</v>
      </c>
      <c r="AW291" s="621">
        <v>3.95</v>
      </c>
      <c r="AX291" s="621">
        <v>3.93</v>
      </c>
      <c r="AY291" s="621">
        <v>111</v>
      </c>
      <c r="AZ291" s="624">
        <f t="shared" si="83"/>
        <v>-13.399999999999999</v>
      </c>
      <c r="BA291" s="623">
        <v>34</v>
      </c>
      <c r="BB291" s="620">
        <v>15</v>
      </c>
      <c r="BC291" s="620">
        <v>15</v>
      </c>
      <c r="BD291" s="623">
        <f t="shared" si="84"/>
        <v>30</v>
      </c>
      <c r="BE291" s="621"/>
      <c r="BF291" s="621"/>
      <c r="BG291" s="621"/>
      <c r="BH291" s="621">
        <f t="shared" si="85"/>
        <v>4</v>
      </c>
    </row>
    <row r="292" spans="1:60" ht="17.25" thickTop="1" thickBot="1" x14ac:dyDescent="0.3">
      <c r="A292" s="602">
        <v>285</v>
      </c>
      <c r="B292" s="603">
        <f t="shared" ca="1" si="73"/>
        <v>43134</v>
      </c>
      <c r="C292" s="29" t="s">
        <v>614</v>
      </c>
      <c r="D292" s="59" t="s">
        <v>2899</v>
      </c>
      <c r="E292" s="22" t="s">
        <v>95</v>
      </c>
      <c r="F292" s="27" t="s">
        <v>97</v>
      </c>
      <c r="G292" s="567">
        <v>42742</v>
      </c>
      <c r="H292" s="609">
        <f t="shared" si="86"/>
        <v>27.2</v>
      </c>
      <c r="I292" s="620">
        <v>10</v>
      </c>
      <c r="J292" s="620">
        <v>8.8000000000000007</v>
      </c>
      <c r="K292" s="620">
        <v>9.8000000000000007</v>
      </c>
      <c r="L292" s="611">
        <f t="shared" si="74"/>
        <v>28.6</v>
      </c>
      <c r="M292" s="621"/>
      <c r="N292" s="621"/>
      <c r="O292" s="621"/>
      <c r="P292" s="622">
        <f t="shared" si="75"/>
        <v>1.4000000000000021</v>
      </c>
      <c r="Q292" s="609">
        <f t="shared" si="87"/>
        <v>31.7</v>
      </c>
      <c r="R292" s="620">
        <v>10</v>
      </c>
      <c r="S292" s="620">
        <v>8</v>
      </c>
      <c r="T292" s="620">
        <v>9.1999999999999993</v>
      </c>
      <c r="U292" s="611">
        <f t="shared" si="76"/>
        <v>27.2</v>
      </c>
      <c r="V292" s="621"/>
      <c r="W292" s="621"/>
      <c r="X292" s="621"/>
      <c r="Y292" s="622">
        <f t="shared" si="77"/>
        <v>-4.5</v>
      </c>
      <c r="Z292" s="609">
        <f t="shared" si="88"/>
        <v>31.7</v>
      </c>
      <c r="AA292" s="620">
        <v>12</v>
      </c>
      <c r="AB292" s="620">
        <v>12</v>
      </c>
      <c r="AC292" s="620">
        <v>8</v>
      </c>
      <c r="AD292" s="611">
        <f t="shared" si="78"/>
        <v>32</v>
      </c>
      <c r="AE292" s="621"/>
      <c r="AF292" s="621"/>
      <c r="AG292" s="621"/>
      <c r="AH292" s="622">
        <f t="shared" si="79"/>
        <v>0.30000000000000071</v>
      </c>
      <c r="AI292" s="609">
        <f t="shared" si="89"/>
        <v>34</v>
      </c>
      <c r="AJ292" s="620">
        <v>11</v>
      </c>
      <c r="AK292" s="620">
        <v>10</v>
      </c>
      <c r="AL292" s="620">
        <v>10.7</v>
      </c>
      <c r="AM292" s="623">
        <f t="shared" si="80"/>
        <v>31.7</v>
      </c>
      <c r="AN292" s="621"/>
      <c r="AO292" s="621"/>
      <c r="AP292" s="621"/>
      <c r="AQ292" s="622">
        <f t="shared" si="81"/>
        <v>-2.3000000000000007</v>
      </c>
      <c r="AR292" s="615">
        <f t="shared" si="90"/>
        <v>49</v>
      </c>
      <c r="AS292" s="620">
        <v>13</v>
      </c>
      <c r="AT292" s="620">
        <v>10</v>
      </c>
      <c r="AU292" s="620">
        <v>11</v>
      </c>
      <c r="AV292" s="623">
        <f t="shared" si="82"/>
        <v>34</v>
      </c>
      <c r="AW292" s="621">
        <v>4.8499999999999996</v>
      </c>
      <c r="AX292" s="621">
        <v>3.25</v>
      </c>
      <c r="AY292" s="621">
        <v>90</v>
      </c>
      <c r="AZ292" s="624">
        <f t="shared" si="83"/>
        <v>-15</v>
      </c>
      <c r="BA292" s="623">
        <v>49</v>
      </c>
      <c r="BB292" s="620">
        <v>16</v>
      </c>
      <c r="BC292" s="620">
        <v>13.6</v>
      </c>
      <c r="BD292" s="623">
        <f t="shared" si="84"/>
        <v>29.6</v>
      </c>
      <c r="BE292" s="621"/>
      <c r="BF292" s="621"/>
      <c r="BG292" s="621"/>
      <c r="BH292" s="621">
        <f t="shared" si="85"/>
        <v>19.399999999999999</v>
      </c>
    </row>
    <row r="293" spans="1:60" ht="17.25" thickTop="1" thickBot="1" x14ac:dyDescent="0.3">
      <c r="A293" s="77">
        <v>286</v>
      </c>
      <c r="B293" s="603">
        <f t="shared" ca="1" si="73"/>
        <v>43134</v>
      </c>
      <c r="C293" s="29" t="s">
        <v>614</v>
      </c>
      <c r="D293" s="59" t="s">
        <v>2899</v>
      </c>
      <c r="E293" s="22" t="s">
        <v>338</v>
      </c>
      <c r="F293" s="239" t="s">
        <v>339</v>
      </c>
      <c r="G293" s="567">
        <v>42858</v>
      </c>
      <c r="H293" s="609">
        <f t="shared" si="86"/>
        <v>23.8</v>
      </c>
      <c r="I293" s="620">
        <v>7</v>
      </c>
      <c r="J293" s="620"/>
      <c r="K293" s="620">
        <v>6</v>
      </c>
      <c r="L293" s="611">
        <f t="shared" si="74"/>
        <v>13</v>
      </c>
      <c r="M293" s="621"/>
      <c r="N293" s="621"/>
      <c r="O293" s="621"/>
      <c r="P293" s="622">
        <f t="shared" si="75"/>
        <v>-10.8</v>
      </c>
      <c r="Q293" s="609">
        <f t="shared" si="87"/>
        <v>21.8</v>
      </c>
      <c r="R293" s="620">
        <v>10.8</v>
      </c>
      <c r="S293" s="620"/>
      <c r="T293" s="620">
        <v>13</v>
      </c>
      <c r="U293" s="611">
        <f t="shared" si="76"/>
        <v>23.8</v>
      </c>
      <c r="V293" s="621"/>
      <c r="W293" s="621"/>
      <c r="X293" s="621"/>
      <c r="Y293" s="622">
        <f t="shared" si="77"/>
        <v>2</v>
      </c>
      <c r="Z293" s="609">
        <f t="shared" si="88"/>
        <v>21.8</v>
      </c>
      <c r="AA293" s="620">
        <v>10</v>
      </c>
      <c r="AB293" s="620">
        <v>8.5</v>
      </c>
      <c r="AC293" s="620">
        <v>4</v>
      </c>
      <c r="AD293" s="611">
        <f t="shared" si="78"/>
        <v>22.5</v>
      </c>
      <c r="AE293" s="621"/>
      <c r="AF293" s="621"/>
      <c r="AG293" s="621"/>
      <c r="AH293" s="622">
        <f t="shared" si="79"/>
        <v>0.69999999999999929</v>
      </c>
      <c r="AI293" s="609">
        <f t="shared" si="89"/>
        <v>24.2</v>
      </c>
      <c r="AJ293" s="620">
        <v>7.6</v>
      </c>
      <c r="AK293" s="620">
        <v>7</v>
      </c>
      <c r="AL293" s="620">
        <v>7.2</v>
      </c>
      <c r="AM293" s="623">
        <f t="shared" si="80"/>
        <v>21.8</v>
      </c>
      <c r="AN293" s="621"/>
      <c r="AO293" s="621"/>
      <c r="AP293" s="621"/>
      <c r="AQ293" s="622">
        <f t="shared" si="81"/>
        <v>-2.3999999999999986</v>
      </c>
      <c r="AR293" s="615">
        <f t="shared" si="90"/>
        <v>13.5</v>
      </c>
      <c r="AS293" s="620">
        <v>8</v>
      </c>
      <c r="AT293" s="620">
        <v>8</v>
      </c>
      <c r="AU293" s="620">
        <v>8.1999999999999993</v>
      </c>
      <c r="AV293" s="623">
        <f t="shared" si="82"/>
        <v>24.2</v>
      </c>
      <c r="AW293" s="621">
        <v>3.6</v>
      </c>
      <c r="AX293" s="621">
        <v>3.24</v>
      </c>
      <c r="AY293" s="621">
        <v>90</v>
      </c>
      <c r="AZ293" s="624">
        <f t="shared" si="83"/>
        <v>10.7</v>
      </c>
      <c r="BA293" s="623">
        <v>13.5</v>
      </c>
      <c r="BB293" s="620">
        <v>6.3</v>
      </c>
      <c r="BC293" s="620">
        <v>5.6</v>
      </c>
      <c r="BD293" s="623">
        <f t="shared" si="84"/>
        <v>11.899999999999999</v>
      </c>
      <c r="BE293" s="621"/>
      <c r="BF293" s="621"/>
      <c r="BG293" s="621"/>
      <c r="BH293" s="621">
        <f t="shared" si="85"/>
        <v>1.6000000000000014</v>
      </c>
    </row>
    <row r="294" spans="1:60" ht="17.25" thickTop="1" thickBot="1" x14ac:dyDescent="0.3">
      <c r="A294" s="602">
        <v>287</v>
      </c>
      <c r="B294" s="603">
        <f t="shared" ca="1" si="73"/>
        <v>43134</v>
      </c>
      <c r="C294" s="29" t="s">
        <v>614</v>
      </c>
      <c r="D294" s="59" t="s">
        <v>2899</v>
      </c>
      <c r="E294" s="22" t="s">
        <v>512</v>
      </c>
      <c r="F294" s="27" t="s">
        <v>513</v>
      </c>
      <c r="G294" s="567">
        <v>42865</v>
      </c>
      <c r="H294" s="609">
        <f t="shared" si="86"/>
        <v>24.3</v>
      </c>
      <c r="I294" s="620">
        <v>12</v>
      </c>
      <c r="J294" s="620"/>
      <c r="K294" s="620">
        <v>10</v>
      </c>
      <c r="L294" s="611">
        <f t="shared" si="74"/>
        <v>22</v>
      </c>
      <c r="M294" s="621"/>
      <c r="N294" s="621"/>
      <c r="O294" s="621"/>
      <c r="P294" s="622">
        <f t="shared" si="75"/>
        <v>-2.3000000000000007</v>
      </c>
      <c r="Q294" s="609">
        <f t="shared" si="87"/>
        <v>30.2</v>
      </c>
      <c r="R294" s="620">
        <v>14.8</v>
      </c>
      <c r="S294" s="620"/>
      <c r="T294" s="620">
        <v>9.5</v>
      </c>
      <c r="U294" s="611">
        <f t="shared" si="76"/>
        <v>24.3</v>
      </c>
      <c r="V294" s="621"/>
      <c r="W294" s="621"/>
      <c r="X294" s="621"/>
      <c r="Y294" s="622">
        <f t="shared" si="77"/>
        <v>-5.8999999999999986</v>
      </c>
      <c r="Z294" s="609">
        <f t="shared" si="88"/>
        <v>30.2</v>
      </c>
      <c r="AA294" s="620">
        <v>8</v>
      </c>
      <c r="AB294" s="620">
        <v>0</v>
      </c>
      <c r="AC294" s="620">
        <v>9.1999999999999993</v>
      </c>
      <c r="AD294" s="611">
        <f t="shared" si="78"/>
        <v>17.2</v>
      </c>
      <c r="AE294" s="621"/>
      <c r="AF294" s="621"/>
      <c r="AG294" s="621"/>
      <c r="AH294" s="622">
        <f t="shared" si="79"/>
        <v>-13</v>
      </c>
      <c r="AI294" s="609">
        <f t="shared" si="89"/>
        <v>38.799999999999997</v>
      </c>
      <c r="AJ294" s="620">
        <v>7.2</v>
      </c>
      <c r="AK294" s="620">
        <v>9</v>
      </c>
      <c r="AL294" s="620">
        <v>14</v>
      </c>
      <c r="AM294" s="623">
        <f t="shared" si="80"/>
        <v>30.2</v>
      </c>
      <c r="AN294" s="621"/>
      <c r="AO294" s="621"/>
      <c r="AP294" s="621"/>
      <c r="AQ294" s="622">
        <f t="shared" si="81"/>
        <v>-8.5999999999999979</v>
      </c>
      <c r="AR294" s="615">
        <f t="shared" si="90"/>
        <v>13</v>
      </c>
      <c r="AS294" s="620">
        <v>14.2</v>
      </c>
      <c r="AT294" s="620">
        <v>12.2</v>
      </c>
      <c r="AU294" s="620">
        <v>12.4</v>
      </c>
      <c r="AV294" s="623">
        <f t="shared" si="82"/>
        <v>38.799999999999997</v>
      </c>
      <c r="AW294" s="621">
        <v>3.51</v>
      </c>
      <c r="AX294" s="621">
        <v>2.81</v>
      </c>
      <c r="AY294" s="621">
        <v>90</v>
      </c>
      <c r="AZ294" s="624">
        <f t="shared" si="83"/>
        <v>25.799999999999997</v>
      </c>
      <c r="BA294" s="623">
        <v>13</v>
      </c>
      <c r="BB294" s="620">
        <v>8.9</v>
      </c>
      <c r="BC294" s="620">
        <v>8.3000000000000007</v>
      </c>
      <c r="BD294" s="623">
        <f t="shared" si="84"/>
        <v>17.200000000000003</v>
      </c>
      <c r="BE294" s="621"/>
      <c r="BF294" s="621"/>
      <c r="BG294" s="621"/>
      <c r="BH294" s="621">
        <f t="shared" si="85"/>
        <v>-4.2000000000000028</v>
      </c>
    </row>
    <row r="295" spans="1:60" ht="17.25" thickTop="1" thickBot="1" x14ac:dyDescent="0.3">
      <c r="A295" s="77">
        <v>288</v>
      </c>
      <c r="B295" s="603">
        <f t="shared" ca="1" si="73"/>
        <v>43134</v>
      </c>
      <c r="C295" s="29" t="s">
        <v>614</v>
      </c>
      <c r="D295" s="59" t="s">
        <v>2899</v>
      </c>
      <c r="E295" s="22" t="s">
        <v>629</v>
      </c>
      <c r="F295" s="27" t="s">
        <v>630</v>
      </c>
      <c r="G295" s="567">
        <v>42712</v>
      </c>
      <c r="H295" s="609">
        <f t="shared" si="86"/>
        <v>0</v>
      </c>
      <c r="I295" s="620"/>
      <c r="J295" s="620"/>
      <c r="K295" s="620"/>
      <c r="L295" s="611">
        <f t="shared" si="74"/>
        <v>0</v>
      </c>
      <c r="M295" s="621"/>
      <c r="N295" s="621"/>
      <c r="O295" s="621"/>
      <c r="P295" s="622">
        <f t="shared" si="75"/>
        <v>0</v>
      </c>
      <c r="Q295" s="609">
        <f t="shared" si="87"/>
        <v>17.2</v>
      </c>
      <c r="R295" s="620"/>
      <c r="S295" s="620"/>
      <c r="T295" s="620"/>
      <c r="U295" s="611">
        <f t="shared" si="76"/>
        <v>0</v>
      </c>
      <c r="V295" s="621"/>
      <c r="W295" s="621"/>
      <c r="X295" s="621"/>
      <c r="Y295" s="622">
        <f t="shared" si="77"/>
        <v>-17.2</v>
      </c>
      <c r="Z295" s="609">
        <f t="shared" si="88"/>
        <v>17.2</v>
      </c>
      <c r="AA295" s="620">
        <v>4</v>
      </c>
      <c r="AB295" s="620"/>
      <c r="AC295" s="620">
        <v>5</v>
      </c>
      <c r="AD295" s="611">
        <f t="shared" si="78"/>
        <v>9</v>
      </c>
      <c r="AE295" s="621"/>
      <c r="AF295" s="621"/>
      <c r="AG295" s="621"/>
      <c r="AH295" s="622">
        <f t="shared" si="79"/>
        <v>-8.1999999999999993</v>
      </c>
      <c r="AI295" s="609">
        <f t="shared" si="89"/>
        <v>22.599999999999998</v>
      </c>
      <c r="AJ295" s="620">
        <v>6.6</v>
      </c>
      <c r="AK295" s="620"/>
      <c r="AL295" s="620">
        <v>10.6</v>
      </c>
      <c r="AM295" s="623">
        <f t="shared" si="80"/>
        <v>17.2</v>
      </c>
      <c r="AN295" s="621"/>
      <c r="AO295" s="621"/>
      <c r="AP295" s="621"/>
      <c r="AQ295" s="622">
        <f t="shared" si="81"/>
        <v>-5.3999999999999986</v>
      </c>
      <c r="AR295" s="615">
        <f t="shared" si="90"/>
        <v>38</v>
      </c>
      <c r="AS295" s="620">
        <v>10.4</v>
      </c>
      <c r="AT295" s="620">
        <v>10</v>
      </c>
      <c r="AU295" s="620">
        <v>2.2000000000000002</v>
      </c>
      <c r="AV295" s="623">
        <f t="shared" si="82"/>
        <v>22.599999999999998</v>
      </c>
      <c r="AW295" s="621">
        <v>4.55</v>
      </c>
      <c r="AX295" s="621">
        <v>3.68</v>
      </c>
      <c r="AY295" s="621">
        <v>90</v>
      </c>
      <c r="AZ295" s="624">
        <f t="shared" si="83"/>
        <v>-15.400000000000002</v>
      </c>
      <c r="BA295" s="623">
        <v>38</v>
      </c>
      <c r="BB295" s="620">
        <v>12</v>
      </c>
      <c r="BC295" s="620">
        <v>15</v>
      </c>
      <c r="BD295" s="623">
        <f t="shared" si="84"/>
        <v>27</v>
      </c>
      <c r="BE295" s="621"/>
      <c r="BF295" s="621"/>
      <c r="BG295" s="621"/>
      <c r="BH295" s="621">
        <f t="shared" si="85"/>
        <v>11</v>
      </c>
    </row>
    <row r="296" spans="1:60" ht="17.25" thickTop="1" thickBot="1" x14ac:dyDescent="0.3">
      <c r="A296" s="602">
        <v>289</v>
      </c>
      <c r="B296" s="603">
        <f t="shared" ca="1" si="73"/>
        <v>43134</v>
      </c>
      <c r="C296" s="29" t="s">
        <v>614</v>
      </c>
      <c r="D296" s="59" t="s">
        <v>2899</v>
      </c>
      <c r="E296" s="22" t="s">
        <v>308</v>
      </c>
      <c r="F296" s="27" t="s">
        <v>309</v>
      </c>
      <c r="G296" s="567">
        <v>42785</v>
      </c>
      <c r="H296" s="609">
        <f t="shared" si="86"/>
        <v>16.8</v>
      </c>
      <c r="I296" s="620">
        <v>8</v>
      </c>
      <c r="J296" s="620"/>
      <c r="K296" s="620">
        <v>6.4</v>
      </c>
      <c r="L296" s="611">
        <f t="shared" si="74"/>
        <v>14.4</v>
      </c>
      <c r="M296" s="621"/>
      <c r="N296" s="621"/>
      <c r="O296" s="621"/>
      <c r="P296" s="622">
        <f t="shared" si="75"/>
        <v>-2.4000000000000004</v>
      </c>
      <c r="Q296" s="609">
        <f t="shared" si="87"/>
        <v>29</v>
      </c>
      <c r="R296" s="620">
        <v>7</v>
      </c>
      <c r="S296" s="620">
        <v>4</v>
      </c>
      <c r="T296" s="620">
        <v>5.8</v>
      </c>
      <c r="U296" s="611">
        <f t="shared" si="76"/>
        <v>16.8</v>
      </c>
      <c r="V296" s="621"/>
      <c r="W296" s="621"/>
      <c r="X296" s="621"/>
      <c r="Y296" s="622">
        <f t="shared" si="77"/>
        <v>-12.2</v>
      </c>
      <c r="Z296" s="609">
        <f t="shared" si="88"/>
        <v>29</v>
      </c>
      <c r="AA296" s="620">
        <v>11</v>
      </c>
      <c r="AB296" s="620"/>
      <c r="AC296" s="620">
        <v>18</v>
      </c>
      <c r="AD296" s="611">
        <f t="shared" si="78"/>
        <v>29</v>
      </c>
      <c r="AE296" s="621"/>
      <c r="AF296" s="621"/>
      <c r="AG296" s="621"/>
      <c r="AH296" s="622">
        <f t="shared" si="79"/>
        <v>0</v>
      </c>
      <c r="AI296" s="609">
        <f t="shared" si="89"/>
        <v>22.4</v>
      </c>
      <c r="AJ296" s="620">
        <v>16</v>
      </c>
      <c r="AK296" s="620"/>
      <c r="AL296" s="620">
        <v>13</v>
      </c>
      <c r="AM296" s="623">
        <f t="shared" si="80"/>
        <v>29</v>
      </c>
      <c r="AN296" s="621"/>
      <c r="AO296" s="621"/>
      <c r="AP296" s="621"/>
      <c r="AQ296" s="622">
        <f t="shared" si="81"/>
        <v>6.6000000000000014</v>
      </c>
      <c r="AR296" s="615">
        <f t="shared" si="90"/>
        <v>33</v>
      </c>
      <c r="AS296" s="620">
        <v>12</v>
      </c>
      <c r="AT296" s="620">
        <v>8</v>
      </c>
      <c r="AU296" s="620">
        <v>2.4</v>
      </c>
      <c r="AV296" s="623">
        <f t="shared" si="82"/>
        <v>22.4</v>
      </c>
      <c r="AW296" s="621">
        <v>3.67</v>
      </c>
      <c r="AX296" s="621">
        <v>3.45</v>
      </c>
      <c r="AY296" s="621">
        <v>90</v>
      </c>
      <c r="AZ296" s="624">
        <f t="shared" si="83"/>
        <v>-10.600000000000001</v>
      </c>
      <c r="BA296" s="623">
        <v>33</v>
      </c>
      <c r="BB296" s="620">
        <v>16</v>
      </c>
      <c r="BC296" s="620" t="s">
        <v>2824</v>
      </c>
      <c r="BD296" s="623">
        <f t="shared" si="84"/>
        <v>16</v>
      </c>
      <c r="BE296" s="621"/>
      <c r="BF296" s="621"/>
      <c r="BG296" s="621"/>
      <c r="BH296" s="621">
        <f t="shared" si="85"/>
        <v>17</v>
      </c>
    </row>
    <row r="297" spans="1:60" ht="17.25" thickTop="1" thickBot="1" x14ac:dyDescent="0.3">
      <c r="A297" s="77">
        <v>290</v>
      </c>
      <c r="B297" s="603">
        <f t="shared" ca="1" si="73"/>
        <v>43134</v>
      </c>
      <c r="C297" s="29" t="s">
        <v>614</v>
      </c>
      <c r="D297" s="59" t="s">
        <v>2899</v>
      </c>
      <c r="E297" s="22" t="s">
        <v>482</v>
      </c>
      <c r="F297" s="27" t="s">
        <v>483</v>
      </c>
      <c r="G297" s="567">
        <v>42845</v>
      </c>
      <c r="H297" s="609">
        <f t="shared" si="86"/>
        <v>15.8</v>
      </c>
      <c r="I297" s="620">
        <v>7</v>
      </c>
      <c r="J297" s="620"/>
      <c r="K297" s="620">
        <v>6.2</v>
      </c>
      <c r="L297" s="611">
        <f t="shared" si="74"/>
        <v>13.2</v>
      </c>
      <c r="M297" s="621"/>
      <c r="N297" s="621"/>
      <c r="O297" s="621"/>
      <c r="P297" s="622">
        <f t="shared" si="75"/>
        <v>-2.6000000000000014</v>
      </c>
      <c r="Q297" s="609">
        <f t="shared" si="87"/>
        <v>18.8</v>
      </c>
      <c r="R297" s="620">
        <v>8</v>
      </c>
      <c r="S297" s="620"/>
      <c r="T297" s="620">
        <v>7.8</v>
      </c>
      <c r="U297" s="611">
        <f t="shared" si="76"/>
        <v>15.8</v>
      </c>
      <c r="V297" s="621"/>
      <c r="W297" s="621"/>
      <c r="X297" s="621"/>
      <c r="Y297" s="622">
        <f t="shared" si="77"/>
        <v>-3</v>
      </c>
      <c r="Z297" s="609">
        <f t="shared" si="88"/>
        <v>18.8</v>
      </c>
      <c r="AA297" s="620">
        <v>5.2</v>
      </c>
      <c r="AB297" s="620">
        <v>6</v>
      </c>
      <c r="AC297" s="620">
        <v>6</v>
      </c>
      <c r="AD297" s="611">
        <f t="shared" si="78"/>
        <v>17.2</v>
      </c>
      <c r="AE297" s="621"/>
      <c r="AF297" s="621"/>
      <c r="AG297" s="621"/>
      <c r="AH297" s="622">
        <f t="shared" si="79"/>
        <v>-1.6000000000000014</v>
      </c>
      <c r="AI297" s="609">
        <f t="shared" si="89"/>
        <v>23.8</v>
      </c>
      <c r="AJ297" s="620">
        <v>5.8</v>
      </c>
      <c r="AK297" s="620">
        <v>6</v>
      </c>
      <c r="AL297" s="620">
        <v>7</v>
      </c>
      <c r="AM297" s="623">
        <f t="shared" si="80"/>
        <v>18.8</v>
      </c>
      <c r="AN297" s="621"/>
      <c r="AO297" s="621"/>
      <c r="AP297" s="621"/>
      <c r="AQ297" s="622">
        <f t="shared" si="81"/>
        <v>-5</v>
      </c>
      <c r="AR297" s="615">
        <f t="shared" si="90"/>
        <v>18.5</v>
      </c>
      <c r="AS297" s="620">
        <v>7.4</v>
      </c>
      <c r="AT297" s="620">
        <v>7.2</v>
      </c>
      <c r="AU297" s="620">
        <v>9.1999999999999993</v>
      </c>
      <c r="AV297" s="623">
        <f t="shared" si="82"/>
        <v>23.8</v>
      </c>
      <c r="AW297" s="621">
        <v>3.5</v>
      </c>
      <c r="AX297" s="621">
        <v>2.85</v>
      </c>
      <c r="AY297" s="621">
        <v>90</v>
      </c>
      <c r="AZ297" s="624">
        <f t="shared" si="83"/>
        <v>5.3000000000000007</v>
      </c>
      <c r="BA297" s="623">
        <v>18.5</v>
      </c>
      <c r="BB297" s="620">
        <v>7</v>
      </c>
      <c r="BC297" s="620">
        <v>10</v>
      </c>
      <c r="BD297" s="623">
        <f t="shared" si="84"/>
        <v>17</v>
      </c>
      <c r="BE297" s="621"/>
      <c r="BF297" s="621"/>
      <c r="BG297" s="621"/>
      <c r="BH297" s="621">
        <f t="shared" si="85"/>
        <v>1.5</v>
      </c>
    </row>
    <row r="298" spans="1:60" ht="17.25" thickTop="1" thickBot="1" x14ac:dyDescent="0.3">
      <c r="A298" s="602">
        <v>291</v>
      </c>
      <c r="B298" s="603">
        <f t="shared" ca="1" si="73"/>
        <v>43134</v>
      </c>
      <c r="C298" s="29" t="s">
        <v>614</v>
      </c>
      <c r="D298" s="59" t="s">
        <v>2899</v>
      </c>
      <c r="E298" s="22" t="s">
        <v>1357</v>
      </c>
      <c r="F298" s="27" t="s">
        <v>1241</v>
      </c>
      <c r="G298" s="567">
        <v>42830</v>
      </c>
      <c r="H298" s="609">
        <f t="shared" si="86"/>
        <v>20.100000000000001</v>
      </c>
      <c r="I298" s="620">
        <v>4</v>
      </c>
      <c r="J298" s="620"/>
      <c r="K298" s="620">
        <v>2</v>
      </c>
      <c r="L298" s="611">
        <f t="shared" si="74"/>
        <v>6</v>
      </c>
      <c r="M298" s="621"/>
      <c r="N298" s="621"/>
      <c r="O298" s="621"/>
      <c r="P298" s="622">
        <f t="shared" si="75"/>
        <v>-14.100000000000001</v>
      </c>
      <c r="Q298" s="609">
        <f t="shared" si="87"/>
        <v>25.099999999999998</v>
      </c>
      <c r="R298" s="620">
        <v>9</v>
      </c>
      <c r="S298" s="620">
        <v>5</v>
      </c>
      <c r="T298" s="620">
        <v>6.1</v>
      </c>
      <c r="U298" s="611">
        <f t="shared" si="76"/>
        <v>20.100000000000001</v>
      </c>
      <c r="V298" s="621"/>
      <c r="W298" s="621"/>
      <c r="X298" s="621"/>
      <c r="Y298" s="622">
        <f t="shared" si="77"/>
        <v>-4.9999999999999964</v>
      </c>
      <c r="Z298" s="609">
        <f t="shared" si="88"/>
        <v>25.099999999999998</v>
      </c>
      <c r="AA298" s="620">
        <v>12</v>
      </c>
      <c r="AB298" s="620">
        <v>10</v>
      </c>
      <c r="AC298" s="620">
        <v>5</v>
      </c>
      <c r="AD298" s="611">
        <f t="shared" si="78"/>
        <v>27</v>
      </c>
      <c r="AE298" s="621"/>
      <c r="AF298" s="621"/>
      <c r="AG298" s="621"/>
      <c r="AH298" s="622">
        <f t="shared" si="79"/>
        <v>1.9000000000000021</v>
      </c>
      <c r="AI298" s="609">
        <f t="shared" si="89"/>
        <v>34</v>
      </c>
      <c r="AJ298" s="620">
        <v>10.5</v>
      </c>
      <c r="AK298" s="620">
        <v>7.4</v>
      </c>
      <c r="AL298" s="620">
        <v>7.2</v>
      </c>
      <c r="AM298" s="623">
        <f t="shared" si="80"/>
        <v>25.099999999999998</v>
      </c>
      <c r="AN298" s="621"/>
      <c r="AO298" s="621"/>
      <c r="AP298" s="621"/>
      <c r="AQ298" s="622">
        <f t="shared" si="81"/>
        <v>-8.9000000000000021</v>
      </c>
      <c r="AR298" s="615">
        <f t="shared" si="90"/>
        <v>35.5</v>
      </c>
      <c r="AS298" s="620">
        <v>12</v>
      </c>
      <c r="AT298" s="620">
        <v>10</v>
      </c>
      <c r="AU298" s="620">
        <v>12</v>
      </c>
      <c r="AV298" s="623">
        <f t="shared" si="82"/>
        <v>34</v>
      </c>
      <c r="AW298" s="621">
        <v>3.12</v>
      </c>
      <c r="AX298" s="621">
        <v>3.39</v>
      </c>
      <c r="AY298" s="621">
        <v>90</v>
      </c>
      <c r="AZ298" s="624">
        <f t="shared" si="83"/>
        <v>-1.5</v>
      </c>
      <c r="BA298" s="623">
        <v>35.5</v>
      </c>
      <c r="BB298" s="620">
        <v>18</v>
      </c>
      <c r="BC298" s="620">
        <v>18</v>
      </c>
      <c r="BD298" s="623">
        <f t="shared" si="84"/>
        <v>36</v>
      </c>
      <c r="BE298" s="621"/>
      <c r="BF298" s="621"/>
      <c r="BG298" s="621"/>
      <c r="BH298" s="621">
        <f t="shared" si="85"/>
        <v>-0.5</v>
      </c>
    </row>
    <row r="299" spans="1:60" ht="17.25" thickTop="1" thickBot="1" x14ac:dyDescent="0.3">
      <c r="A299" s="77">
        <v>292</v>
      </c>
      <c r="B299" s="603">
        <f t="shared" ca="1" si="73"/>
        <v>43134</v>
      </c>
      <c r="C299" s="29" t="s">
        <v>614</v>
      </c>
      <c r="D299" s="59" t="s">
        <v>2899</v>
      </c>
      <c r="E299" s="22" t="s">
        <v>404</v>
      </c>
      <c r="F299" s="27" t="s">
        <v>405</v>
      </c>
      <c r="G299" s="567">
        <v>42815</v>
      </c>
      <c r="H299" s="609">
        <f t="shared" si="86"/>
        <v>23</v>
      </c>
      <c r="I299" s="620">
        <v>10</v>
      </c>
      <c r="J299" s="620">
        <v>7</v>
      </c>
      <c r="K299" s="620">
        <v>7</v>
      </c>
      <c r="L299" s="611">
        <f t="shared" si="74"/>
        <v>24</v>
      </c>
      <c r="M299" s="621"/>
      <c r="N299" s="621"/>
      <c r="O299" s="621"/>
      <c r="P299" s="622">
        <f t="shared" si="75"/>
        <v>1</v>
      </c>
      <c r="Q299" s="609">
        <f t="shared" si="87"/>
        <v>25.2</v>
      </c>
      <c r="R299" s="620">
        <v>8</v>
      </c>
      <c r="S299" s="620">
        <v>8</v>
      </c>
      <c r="T299" s="620">
        <v>7</v>
      </c>
      <c r="U299" s="611">
        <f t="shared" si="76"/>
        <v>23</v>
      </c>
      <c r="V299" s="621"/>
      <c r="W299" s="621"/>
      <c r="X299" s="621"/>
      <c r="Y299" s="622">
        <f t="shared" si="77"/>
        <v>-2.1999999999999993</v>
      </c>
      <c r="Z299" s="609">
        <f t="shared" si="88"/>
        <v>25.2</v>
      </c>
      <c r="AA299" s="620">
        <v>5.9</v>
      </c>
      <c r="AB299" s="620"/>
      <c r="AC299" s="620">
        <v>18.8</v>
      </c>
      <c r="AD299" s="611">
        <f t="shared" si="78"/>
        <v>24.700000000000003</v>
      </c>
      <c r="AE299" s="621"/>
      <c r="AF299" s="621"/>
      <c r="AG299" s="621"/>
      <c r="AH299" s="622">
        <f t="shared" si="79"/>
        <v>-0.49999999999999645</v>
      </c>
      <c r="AI299" s="609">
        <f t="shared" si="89"/>
        <v>32.4</v>
      </c>
      <c r="AJ299" s="620">
        <v>10</v>
      </c>
      <c r="AK299" s="620">
        <v>7.2</v>
      </c>
      <c r="AL299" s="620">
        <v>8</v>
      </c>
      <c r="AM299" s="623">
        <f t="shared" si="80"/>
        <v>25.2</v>
      </c>
      <c r="AN299" s="621"/>
      <c r="AO299" s="621"/>
      <c r="AP299" s="621"/>
      <c r="AQ299" s="622">
        <f t="shared" si="81"/>
        <v>-7.1999999999999993</v>
      </c>
      <c r="AR299" s="615">
        <f t="shared" si="90"/>
        <v>29.4</v>
      </c>
      <c r="AS299" s="620">
        <v>11.2</v>
      </c>
      <c r="AT299" s="620">
        <v>11</v>
      </c>
      <c r="AU299" s="620">
        <v>10.199999999999999</v>
      </c>
      <c r="AV299" s="623">
        <f t="shared" si="82"/>
        <v>32.4</v>
      </c>
      <c r="AW299" s="621">
        <v>3.68</v>
      </c>
      <c r="AX299" s="621">
        <v>3.1</v>
      </c>
      <c r="AY299" s="621">
        <v>93</v>
      </c>
      <c r="AZ299" s="624">
        <f t="shared" si="83"/>
        <v>3</v>
      </c>
      <c r="BA299" s="623">
        <v>29.4</v>
      </c>
      <c r="BB299" s="620">
        <v>15.8</v>
      </c>
      <c r="BC299" s="620">
        <v>14.4</v>
      </c>
      <c r="BD299" s="623">
        <f t="shared" si="84"/>
        <v>30.200000000000003</v>
      </c>
      <c r="BE299" s="621"/>
      <c r="BF299" s="621"/>
      <c r="BG299" s="621"/>
      <c r="BH299" s="621">
        <f t="shared" si="85"/>
        <v>-0.80000000000000426</v>
      </c>
    </row>
    <row r="300" spans="1:60" ht="17.25" thickTop="1" thickBot="1" x14ac:dyDescent="0.3">
      <c r="A300" s="602">
        <v>293</v>
      </c>
      <c r="B300" s="603">
        <f t="shared" ca="1" si="73"/>
        <v>43134</v>
      </c>
      <c r="C300" s="29" t="s">
        <v>614</v>
      </c>
      <c r="D300" s="59" t="s">
        <v>2899</v>
      </c>
      <c r="E300" s="22" t="s">
        <v>495</v>
      </c>
      <c r="F300" s="27" t="s">
        <v>496</v>
      </c>
      <c r="G300" s="567">
        <v>42784</v>
      </c>
      <c r="H300" s="609">
        <f t="shared" si="86"/>
        <v>24.6</v>
      </c>
      <c r="I300" s="620">
        <v>6.4</v>
      </c>
      <c r="J300" s="620">
        <v>9</v>
      </c>
      <c r="K300" s="620">
        <v>6.2</v>
      </c>
      <c r="L300" s="611">
        <f t="shared" si="74"/>
        <v>21.6</v>
      </c>
      <c r="M300" s="621"/>
      <c r="N300" s="621"/>
      <c r="O300" s="621"/>
      <c r="P300" s="622">
        <f t="shared" si="75"/>
        <v>-3</v>
      </c>
      <c r="Q300" s="609">
        <f t="shared" si="87"/>
        <v>33</v>
      </c>
      <c r="R300" s="620">
        <v>7.8</v>
      </c>
      <c r="S300" s="620">
        <v>8.8000000000000007</v>
      </c>
      <c r="T300" s="620">
        <v>8</v>
      </c>
      <c r="U300" s="611">
        <f t="shared" si="76"/>
        <v>24.6</v>
      </c>
      <c r="V300" s="621"/>
      <c r="W300" s="621"/>
      <c r="X300" s="621"/>
      <c r="Y300" s="622">
        <f t="shared" si="77"/>
        <v>-8.3999999999999986</v>
      </c>
      <c r="Z300" s="609">
        <f t="shared" si="88"/>
        <v>33</v>
      </c>
      <c r="AA300" s="620">
        <v>12.5</v>
      </c>
      <c r="AB300" s="620">
        <v>8</v>
      </c>
      <c r="AC300" s="620">
        <v>7</v>
      </c>
      <c r="AD300" s="611">
        <f t="shared" si="78"/>
        <v>27.5</v>
      </c>
      <c r="AE300" s="621"/>
      <c r="AF300" s="621"/>
      <c r="AG300" s="621"/>
      <c r="AH300" s="622">
        <f t="shared" si="79"/>
        <v>-5.5</v>
      </c>
      <c r="AI300" s="609">
        <f t="shared" si="89"/>
        <v>32.799999999999997</v>
      </c>
      <c r="AJ300" s="620">
        <v>11</v>
      </c>
      <c r="AK300" s="620">
        <v>12</v>
      </c>
      <c r="AL300" s="620">
        <v>10</v>
      </c>
      <c r="AM300" s="623">
        <f t="shared" si="80"/>
        <v>33</v>
      </c>
      <c r="AN300" s="621"/>
      <c r="AO300" s="621"/>
      <c r="AP300" s="621"/>
      <c r="AQ300" s="622">
        <f t="shared" si="81"/>
        <v>0.20000000000000284</v>
      </c>
      <c r="AR300" s="615">
        <f t="shared" si="90"/>
        <v>39</v>
      </c>
      <c r="AS300" s="620">
        <v>10.8</v>
      </c>
      <c r="AT300" s="620">
        <v>11</v>
      </c>
      <c r="AU300" s="620">
        <v>11</v>
      </c>
      <c r="AV300" s="623">
        <f t="shared" si="82"/>
        <v>32.799999999999997</v>
      </c>
      <c r="AW300" s="621">
        <v>3.63</v>
      </c>
      <c r="AX300" s="621">
        <v>3.38</v>
      </c>
      <c r="AY300" s="621">
        <v>90</v>
      </c>
      <c r="AZ300" s="624">
        <f t="shared" si="83"/>
        <v>-6.2000000000000028</v>
      </c>
      <c r="BA300" s="623">
        <v>39</v>
      </c>
      <c r="BB300" s="620">
        <v>16</v>
      </c>
      <c r="BC300" s="620">
        <v>15</v>
      </c>
      <c r="BD300" s="623">
        <f t="shared" si="84"/>
        <v>31</v>
      </c>
      <c r="BE300" s="621"/>
      <c r="BF300" s="621"/>
      <c r="BG300" s="621"/>
      <c r="BH300" s="621">
        <f t="shared" si="85"/>
        <v>8</v>
      </c>
    </row>
    <row r="301" spans="1:60" ht="17.25" thickTop="1" thickBot="1" x14ac:dyDescent="0.3">
      <c r="A301" s="77">
        <v>294</v>
      </c>
      <c r="B301" s="603">
        <f t="shared" ca="1" si="73"/>
        <v>43134</v>
      </c>
      <c r="C301" s="29" t="s">
        <v>614</v>
      </c>
      <c r="D301" s="59" t="s">
        <v>2899</v>
      </c>
      <c r="E301" s="22" t="s">
        <v>633</v>
      </c>
      <c r="F301" s="27" t="s">
        <v>634</v>
      </c>
      <c r="G301" s="567">
        <v>42828</v>
      </c>
      <c r="H301" s="609">
        <f t="shared" si="86"/>
        <v>25.2</v>
      </c>
      <c r="I301" s="620">
        <v>9.4</v>
      </c>
      <c r="J301" s="620"/>
      <c r="K301" s="620">
        <v>7</v>
      </c>
      <c r="L301" s="611">
        <f t="shared" si="74"/>
        <v>16.399999999999999</v>
      </c>
      <c r="M301" s="621"/>
      <c r="N301" s="621"/>
      <c r="O301" s="621"/>
      <c r="P301" s="622">
        <f t="shared" si="75"/>
        <v>-8.8000000000000007</v>
      </c>
      <c r="Q301" s="609">
        <f t="shared" si="87"/>
        <v>25.5</v>
      </c>
      <c r="R301" s="620">
        <v>10.199999999999999</v>
      </c>
      <c r="S301" s="620"/>
      <c r="T301" s="620">
        <v>15</v>
      </c>
      <c r="U301" s="611">
        <f t="shared" si="76"/>
        <v>25.2</v>
      </c>
      <c r="V301" s="621"/>
      <c r="W301" s="621"/>
      <c r="X301" s="621"/>
      <c r="Y301" s="622">
        <f t="shared" si="77"/>
        <v>-0.30000000000000071</v>
      </c>
      <c r="Z301" s="609">
        <f t="shared" si="88"/>
        <v>25.5</v>
      </c>
      <c r="AA301" s="620">
        <v>9.8000000000000007</v>
      </c>
      <c r="AB301" s="620"/>
      <c r="AC301" s="620">
        <v>10</v>
      </c>
      <c r="AD301" s="611">
        <f t="shared" si="78"/>
        <v>19.8</v>
      </c>
      <c r="AE301" s="621"/>
      <c r="AF301" s="621"/>
      <c r="AG301" s="621"/>
      <c r="AH301" s="622">
        <f t="shared" si="79"/>
        <v>-5.6999999999999993</v>
      </c>
      <c r="AI301" s="609">
        <f t="shared" si="89"/>
        <v>29</v>
      </c>
      <c r="AJ301" s="620">
        <v>9</v>
      </c>
      <c r="AK301" s="620">
        <v>8</v>
      </c>
      <c r="AL301" s="620">
        <v>8.5</v>
      </c>
      <c r="AM301" s="623">
        <f t="shared" si="80"/>
        <v>25.5</v>
      </c>
      <c r="AN301" s="621"/>
      <c r="AO301" s="621"/>
      <c r="AP301" s="621"/>
      <c r="AQ301" s="622">
        <f t="shared" si="81"/>
        <v>-3.5</v>
      </c>
      <c r="AR301" s="615">
        <f t="shared" si="90"/>
        <v>30</v>
      </c>
      <c r="AS301" s="620">
        <v>10</v>
      </c>
      <c r="AT301" s="620">
        <v>10</v>
      </c>
      <c r="AU301" s="620">
        <v>9</v>
      </c>
      <c r="AV301" s="623">
        <f t="shared" si="82"/>
        <v>29</v>
      </c>
      <c r="AW301" s="621">
        <v>2.72</v>
      </c>
      <c r="AX301" s="621">
        <v>3.14</v>
      </c>
      <c r="AY301" s="621">
        <v>90</v>
      </c>
      <c r="AZ301" s="624">
        <f t="shared" si="83"/>
        <v>-1</v>
      </c>
      <c r="BA301" s="623">
        <v>30</v>
      </c>
      <c r="BB301" s="620">
        <v>17</v>
      </c>
      <c r="BC301" s="620">
        <v>12.4</v>
      </c>
      <c r="BD301" s="623">
        <f t="shared" si="84"/>
        <v>29.4</v>
      </c>
      <c r="BE301" s="621"/>
      <c r="BF301" s="621"/>
      <c r="BG301" s="621"/>
      <c r="BH301" s="621">
        <f t="shared" si="85"/>
        <v>0.60000000000000142</v>
      </c>
    </row>
    <row r="302" spans="1:60" ht="17.25" thickTop="1" thickBot="1" x14ac:dyDescent="0.3">
      <c r="A302" s="602">
        <v>295</v>
      </c>
      <c r="B302" s="603">
        <f t="shared" ca="1" si="73"/>
        <v>43134</v>
      </c>
      <c r="C302" s="29" t="s">
        <v>614</v>
      </c>
      <c r="D302" s="59" t="s">
        <v>2899</v>
      </c>
      <c r="E302" s="22" t="s">
        <v>51</v>
      </c>
      <c r="F302" s="27" t="s">
        <v>413</v>
      </c>
      <c r="G302" s="567">
        <v>42825</v>
      </c>
      <c r="H302" s="609">
        <f t="shared" si="86"/>
        <v>18.600000000000001</v>
      </c>
      <c r="I302" s="620">
        <v>9</v>
      </c>
      <c r="J302" s="620"/>
      <c r="K302" s="620">
        <v>7</v>
      </c>
      <c r="L302" s="611">
        <f t="shared" si="74"/>
        <v>16</v>
      </c>
      <c r="M302" s="621"/>
      <c r="N302" s="621"/>
      <c r="O302" s="621"/>
      <c r="P302" s="622">
        <f t="shared" si="75"/>
        <v>-2.6000000000000014</v>
      </c>
      <c r="Q302" s="609">
        <f t="shared" si="87"/>
        <v>20.399999999999999</v>
      </c>
      <c r="R302" s="620">
        <v>10</v>
      </c>
      <c r="S302" s="620"/>
      <c r="T302" s="620">
        <v>8.6</v>
      </c>
      <c r="U302" s="611">
        <f t="shared" si="76"/>
        <v>18.600000000000001</v>
      </c>
      <c r="V302" s="621"/>
      <c r="W302" s="621"/>
      <c r="X302" s="621"/>
      <c r="Y302" s="622">
        <f t="shared" si="77"/>
        <v>-1.7999999999999972</v>
      </c>
      <c r="Z302" s="609">
        <f t="shared" si="88"/>
        <v>20.399999999999999</v>
      </c>
      <c r="AA302" s="620">
        <v>9</v>
      </c>
      <c r="AB302" s="620"/>
      <c r="AC302" s="620">
        <v>13</v>
      </c>
      <c r="AD302" s="611">
        <f t="shared" si="78"/>
        <v>22</v>
      </c>
      <c r="AE302" s="621"/>
      <c r="AF302" s="621"/>
      <c r="AG302" s="621"/>
      <c r="AH302" s="622">
        <f t="shared" si="79"/>
        <v>1.6000000000000014</v>
      </c>
      <c r="AI302" s="609">
        <f t="shared" si="89"/>
        <v>37.799999999999997</v>
      </c>
      <c r="AJ302" s="620">
        <v>12.4</v>
      </c>
      <c r="AK302" s="620">
        <v>8</v>
      </c>
      <c r="AL302" s="620"/>
      <c r="AM302" s="623">
        <f t="shared" si="80"/>
        <v>20.399999999999999</v>
      </c>
      <c r="AN302" s="621"/>
      <c r="AO302" s="621"/>
      <c r="AP302" s="621"/>
      <c r="AQ302" s="622">
        <f t="shared" si="81"/>
        <v>-17.399999999999999</v>
      </c>
      <c r="AR302" s="615">
        <f t="shared" si="90"/>
        <v>40</v>
      </c>
      <c r="AS302" s="620">
        <v>12</v>
      </c>
      <c r="AT302" s="620">
        <v>9</v>
      </c>
      <c r="AU302" s="620">
        <v>16.8</v>
      </c>
      <c r="AV302" s="623">
        <f t="shared" si="82"/>
        <v>37.799999999999997</v>
      </c>
      <c r="AW302" s="621">
        <v>3.26</v>
      </c>
      <c r="AX302" s="621">
        <v>3.04</v>
      </c>
      <c r="AY302" s="621">
        <v>90</v>
      </c>
      <c r="AZ302" s="624">
        <f t="shared" si="83"/>
        <v>-2.2000000000000028</v>
      </c>
      <c r="BA302" s="623">
        <v>40</v>
      </c>
      <c r="BB302" s="620">
        <v>15.4</v>
      </c>
      <c r="BC302" s="620">
        <v>14.2</v>
      </c>
      <c r="BD302" s="623">
        <f t="shared" si="84"/>
        <v>29.6</v>
      </c>
      <c r="BE302" s="621"/>
      <c r="BF302" s="621"/>
      <c r="BG302" s="621"/>
      <c r="BH302" s="621">
        <f t="shared" si="85"/>
        <v>10.399999999999999</v>
      </c>
    </row>
    <row r="303" spans="1:60" ht="17.25" thickTop="1" thickBot="1" x14ac:dyDescent="0.3">
      <c r="A303" s="77">
        <v>296</v>
      </c>
      <c r="B303" s="603">
        <f t="shared" ca="1" si="73"/>
        <v>43134</v>
      </c>
      <c r="C303" s="29" t="s">
        <v>614</v>
      </c>
      <c r="D303" s="59" t="s">
        <v>2899</v>
      </c>
      <c r="E303" s="22" t="s">
        <v>710</v>
      </c>
      <c r="F303" s="27" t="s">
        <v>711</v>
      </c>
      <c r="G303" s="567">
        <v>42820</v>
      </c>
      <c r="H303" s="609">
        <f t="shared" si="86"/>
        <v>22</v>
      </c>
      <c r="I303" s="620">
        <v>8</v>
      </c>
      <c r="J303" s="620">
        <v>8</v>
      </c>
      <c r="K303" s="620">
        <v>6.5</v>
      </c>
      <c r="L303" s="611">
        <f t="shared" si="74"/>
        <v>22.5</v>
      </c>
      <c r="M303" s="621"/>
      <c r="N303" s="621"/>
      <c r="O303" s="621"/>
      <c r="P303" s="622">
        <f t="shared" si="75"/>
        <v>0.5</v>
      </c>
      <c r="Q303" s="609">
        <f t="shared" si="87"/>
        <v>31.5</v>
      </c>
      <c r="R303" s="620">
        <v>4</v>
      </c>
      <c r="S303" s="620">
        <v>12.4</v>
      </c>
      <c r="T303" s="620">
        <v>5.6</v>
      </c>
      <c r="U303" s="611">
        <f t="shared" si="76"/>
        <v>22</v>
      </c>
      <c r="V303" s="621"/>
      <c r="W303" s="621"/>
      <c r="X303" s="621"/>
      <c r="Y303" s="622">
        <f t="shared" si="77"/>
        <v>-9.5</v>
      </c>
      <c r="Z303" s="609">
        <f t="shared" si="88"/>
        <v>31.5</v>
      </c>
      <c r="AA303" s="620">
        <v>10.199999999999999</v>
      </c>
      <c r="AB303" s="620">
        <v>9</v>
      </c>
      <c r="AC303" s="620">
        <v>10</v>
      </c>
      <c r="AD303" s="611">
        <f t="shared" si="78"/>
        <v>29.2</v>
      </c>
      <c r="AE303" s="621"/>
      <c r="AF303" s="621"/>
      <c r="AG303" s="621"/>
      <c r="AH303" s="622">
        <f t="shared" si="79"/>
        <v>-2.3000000000000007</v>
      </c>
      <c r="AI303" s="609">
        <f t="shared" si="89"/>
        <v>34.6</v>
      </c>
      <c r="AJ303" s="620">
        <v>12.4</v>
      </c>
      <c r="AK303" s="620">
        <v>10</v>
      </c>
      <c r="AL303" s="620">
        <v>9.1</v>
      </c>
      <c r="AM303" s="623">
        <f t="shared" si="80"/>
        <v>31.5</v>
      </c>
      <c r="AN303" s="621"/>
      <c r="AO303" s="621"/>
      <c r="AP303" s="621"/>
      <c r="AQ303" s="622">
        <f t="shared" si="81"/>
        <v>-3.1000000000000014</v>
      </c>
      <c r="AR303" s="615">
        <f t="shared" si="90"/>
        <v>40</v>
      </c>
      <c r="AS303" s="620">
        <v>12.8</v>
      </c>
      <c r="AT303" s="620">
        <v>9.1999999999999993</v>
      </c>
      <c r="AU303" s="620">
        <v>12.6</v>
      </c>
      <c r="AV303" s="623">
        <f t="shared" si="82"/>
        <v>34.6</v>
      </c>
      <c r="AW303" s="621">
        <v>3.47</v>
      </c>
      <c r="AX303" s="621">
        <v>3.21</v>
      </c>
      <c r="AY303" s="621">
        <v>105</v>
      </c>
      <c r="AZ303" s="624">
        <f t="shared" si="83"/>
        <v>-5.3999999999999986</v>
      </c>
      <c r="BA303" s="623">
        <v>40</v>
      </c>
      <c r="BB303" s="620">
        <v>16.8</v>
      </c>
      <c r="BC303" s="620">
        <v>16.2</v>
      </c>
      <c r="BD303" s="623">
        <f t="shared" si="84"/>
        <v>33</v>
      </c>
      <c r="BE303" s="621"/>
      <c r="BF303" s="621"/>
      <c r="BG303" s="621"/>
      <c r="BH303" s="621">
        <f t="shared" si="85"/>
        <v>7</v>
      </c>
    </row>
    <row r="304" spans="1:60" ht="17.25" thickTop="1" thickBot="1" x14ac:dyDescent="0.3">
      <c r="A304" s="602">
        <v>297</v>
      </c>
      <c r="B304" s="603">
        <f t="shared" ca="1" si="73"/>
        <v>43134</v>
      </c>
      <c r="C304" s="29" t="s">
        <v>614</v>
      </c>
      <c r="D304" s="59" t="s">
        <v>2899</v>
      </c>
      <c r="E304" s="22" t="s">
        <v>427</v>
      </c>
      <c r="F304" s="27" t="s">
        <v>428</v>
      </c>
      <c r="G304" s="567">
        <v>42811</v>
      </c>
      <c r="H304" s="609">
        <f t="shared" si="86"/>
        <v>30</v>
      </c>
      <c r="I304" s="620">
        <v>12</v>
      </c>
      <c r="J304" s="620">
        <v>14</v>
      </c>
      <c r="K304" s="620">
        <v>9</v>
      </c>
      <c r="L304" s="611">
        <f t="shared" si="74"/>
        <v>35</v>
      </c>
      <c r="M304" s="621"/>
      <c r="N304" s="621"/>
      <c r="O304" s="621"/>
      <c r="P304" s="622">
        <f t="shared" si="75"/>
        <v>5</v>
      </c>
      <c r="Q304" s="609">
        <f t="shared" si="87"/>
        <v>21.4</v>
      </c>
      <c r="R304" s="620">
        <v>9.1999999999999993</v>
      </c>
      <c r="S304" s="620">
        <v>12.8</v>
      </c>
      <c r="T304" s="620">
        <v>8</v>
      </c>
      <c r="U304" s="611">
        <f t="shared" si="76"/>
        <v>30</v>
      </c>
      <c r="V304" s="621"/>
      <c r="W304" s="621"/>
      <c r="X304" s="621"/>
      <c r="Y304" s="622">
        <f t="shared" si="77"/>
        <v>8.6000000000000014</v>
      </c>
      <c r="Z304" s="609">
        <f t="shared" si="88"/>
        <v>21.4</v>
      </c>
      <c r="AA304" s="620">
        <v>8</v>
      </c>
      <c r="AB304" s="620">
        <v>14</v>
      </c>
      <c r="AC304" s="620">
        <v>12</v>
      </c>
      <c r="AD304" s="611">
        <f t="shared" si="78"/>
        <v>34</v>
      </c>
      <c r="AE304" s="621"/>
      <c r="AF304" s="621"/>
      <c r="AG304" s="621"/>
      <c r="AH304" s="622">
        <f t="shared" si="79"/>
        <v>12.600000000000001</v>
      </c>
      <c r="AI304" s="609">
        <f t="shared" si="89"/>
        <v>27.4</v>
      </c>
      <c r="AJ304" s="620">
        <v>12.4</v>
      </c>
      <c r="AK304" s="620">
        <v>9</v>
      </c>
      <c r="AL304" s="620"/>
      <c r="AM304" s="623">
        <f t="shared" si="80"/>
        <v>21.4</v>
      </c>
      <c r="AN304" s="621"/>
      <c r="AO304" s="621"/>
      <c r="AP304" s="621"/>
      <c r="AQ304" s="622">
        <f t="shared" si="81"/>
        <v>-6</v>
      </c>
      <c r="AR304" s="615">
        <f t="shared" si="90"/>
        <v>32</v>
      </c>
      <c r="AS304" s="620">
        <v>11.2</v>
      </c>
      <c r="AT304" s="620">
        <v>9</v>
      </c>
      <c r="AU304" s="620">
        <v>7.2</v>
      </c>
      <c r="AV304" s="623">
        <f t="shared" si="82"/>
        <v>27.4</v>
      </c>
      <c r="AW304" s="621">
        <v>3.35</v>
      </c>
      <c r="AX304" s="621">
        <v>3.23</v>
      </c>
      <c r="AY304" s="621">
        <v>90</v>
      </c>
      <c r="AZ304" s="624">
        <f t="shared" si="83"/>
        <v>-4.6000000000000014</v>
      </c>
      <c r="BA304" s="623">
        <v>32</v>
      </c>
      <c r="BB304" s="620">
        <v>14</v>
      </c>
      <c r="BC304" s="620">
        <v>13.2</v>
      </c>
      <c r="BD304" s="623">
        <f t="shared" si="84"/>
        <v>27.2</v>
      </c>
      <c r="BE304" s="621"/>
      <c r="BF304" s="621"/>
      <c r="BG304" s="621"/>
      <c r="BH304" s="621">
        <f t="shared" si="85"/>
        <v>4.8000000000000007</v>
      </c>
    </row>
    <row r="305" spans="1:60" ht="17.25" thickTop="1" thickBot="1" x14ac:dyDescent="0.3">
      <c r="A305" s="77">
        <v>298</v>
      </c>
      <c r="B305" s="603">
        <f t="shared" ca="1" si="73"/>
        <v>43134</v>
      </c>
      <c r="C305" s="29" t="s">
        <v>614</v>
      </c>
      <c r="D305" s="59" t="s">
        <v>2899</v>
      </c>
      <c r="E305" s="22" t="s">
        <v>429</v>
      </c>
      <c r="F305" s="27" t="s">
        <v>430</v>
      </c>
      <c r="G305" s="567">
        <v>42741</v>
      </c>
      <c r="H305" s="609">
        <f t="shared" si="86"/>
        <v>0</v>
      </c>
      <c r="I305" s="620"/>
      <c r="J305" s="620"/>
      <c r="K305" s="620"/>
      <c r="L305" s="611">
        <f t="shared" si="74"/>
        <v>0</v>
      </c>
      <c r="M305" s="621"/>
      <c r="N305" s="621"/>
      <c r="O305" s="621"/>
      <c r="P305" s="622">
        <f t="shared" si="75"/>
        <v>0</v>
      </c>
      <c r="Q305" s="609">
        <f t="shared" si="87"/>
        <v>18.100000000000001</v>
      </c>
      <c r="R305" s="620">
        <v>0</v>
      </c>
      <c r="S305" s="620"/>
      <c r="T305" s="620">
        <v>0</v>
      </c>
      <c r="U305" s="611">
        <f t="shared" si="76"/>
        <v>0</v>
      </c>
      <c r="V305" s="621"/>
      <c r="W305" s="621"/>
      <c r="X305" s="621"/>
      <c r="Y305" s="622">
        <f t="shared" si="77"/>
        <v>-18.100000000000001</v>
      </c>
      <c r="Z305" s="609">
        <f t="shared" si="88"/>
        <v>18.100000000000001</v>
      </c>
      <c r="AA305" s="620">
        <v>6</v>
      </c>
      <c r="AB305" s="620"/>
      <c r="AC305" s="620">
        <v>5</v>
      </c>
      <c r="AD305" s="611">
        <f t="shared" si="78"/>
        <v>11</v>
      </c>
      <c r="AE305" s="621"/>
      <c r="AF305" s="621"/>
      <c r="AG305" s="621"/>
      <c r="AH305" s="622">
        <f t="shared" si="79"/>
        <v>-7.1000000000000014</v>
      </c>
      <c r="AI305" s="609">
        <f t="shared" si="89"/>
        <v>23.799999999999997</v>
      </c>
      <c r="AJ305" s="620">
        <v>9.1</v>
      </c>
      <c r="AK305" s="620"/>
      <c r="AL305" s="620">
        <v>9</v>
      </c>
      <c r="AM305" s="623">
        <f t="shared" si="80"/>
        <v>18.100000000000001</v>
      </c>
      <c r="AN305" s="621"/>
      <c r="AO305" s="621"/>
      <c r="AP305" s="621"/>
      <c r="AQ305" s="622">
        <f t="shared" si="81"/>
        <v>-5.6999999999999957</v>
      </c>
      <c r="AR305" s="615">
        <f t="shared" si="90"/>
        <v>27</v>
      </c>
      <c r="AS305" s="620">
        <v>7.6</v>
      </c>
      <c r="AT305" s="620">
        <v>9.1999999999999993</v>
      </c>
      <c r="AU305" s="620">
        <v>7</v>
      </c>
      <c r="AV305" s="623">
        <f t="shared" si="82"/>
        <v>23.799999999999997</v>
      </c>
      <c r="AW305" s="621">
        <v>4.22</v>
      </c>
      <c r="AX305" s="621">
        <v>3.58</v>
      </c>
      <c r="AY305" s="621">
        <v>90</v>
      </c>
      <c r="AZ305" s="624">
        <f t="shared" si="83"/>
        <v>-3.2000000000000028</v>
      </c>
      <c r="BA305" s="623">
        <v>27</v>
      </c>
      <c r="BB305" s="620">
        <v>12</v>
      </c>
      <c r="BC305" s="620">
        <v>11.2</v>
      </c>
      <c r="BD305" s="623">
        <f t="shared" si="84"/>
        <v>23.2</v>
      </c>
      <c r="BE305" s="621"/>
      <c r="BF305" s="621"/>
      <c r="BG305" s="621"/>
      <c r="BH305" s="621">
        <f t="shared" si="85"/>
        <v>3.8000000000000007</v>
      </c>
    </row>
    <row r="306" spans="1:60" ht="17.25" thickTop="1" thickBot="1" x14ac:dyDescent="0.3">
      <c r="A306" s="602">
        <v>299</v>
      </c>
      <c r="B306" s="603">
        <f t="shared" ca="1" si="73"/>
        <v>43134</v>
      </c>
      <c r="C306" s="29" t="s">
        <v>614</v>
      </c>
      <c r="D306" s="59" t="s">
        <v>2899</v>
      </c>
      <c r="E306" s="22" t="s">
        <v>636</v>
      </c>
      <c r="F306" s="27" t="s">
        <v>637</v>
      </c>
      <c r="G306" s="567">
        <v>42813</v>
      </c>
      <c r="H306" s="609">
        <f t="shared" si="86"/>
        <v>20.2</v>
      </c>
      <c r="I306" s="620">
        <v>11</v>
      </c>
      <c r="J306" s="620"/>
      <c r="K306" s="620">
        <v>4</v>
      </c>
      <c r="L306" s="611">
        <f t="shared" si="74"/>
        <v>15</v>
      </c>
      <c r="M306" s="621"/>
      <c r="N306" s="621"/>
      <c r="O306" s="621"/>
      <c r="P306" s="622">
        <f t="shared" si="75"/>
        <v>-5.1999999999999993</v>
      </c>
      <c r="Q306" s="609">
        <f t="shared" si="87"/>
        <v>27.4</v>
      </c>
      <c r="R306" s="620">
        <v>10</v>
      </c>
      <c r="S306" s="620"/>
      <c r="T306" s="620">
        <v>10.199999999999999</v>
      </c>
      <c r="U306" s="611">
        <f t="shared" si="76"/>
        <v>20.2</v>
      </c>
      <c r="V306" s="621"/>
      <c r="W306" s="621"/>
      <c r="X306" s="621"/>
      <c r="Y306" s="622">
        <f t="shared" si="77"/>
        <v>-7.1999999999999993</v>
      </c>
      <c r="Z306" s="609">
        <f t="shared" si="88"/>
        <v>27.4</v>
      </c>
      <c r="AA306" s="620">
        <v>10</v>
      </c>
      <c r="AB306" s="620"/>
      <c r="AC306" s="620">
        <v>11.2</v>
      </c>
      <c r="AD306" s="611">
        <f t="shared" si="78"/>
        <v>21.2</v>
      </c>
      <c r="AE306" s="621"/>
      <c r="AF306" s="621"/>
      <c r="AG306" s="621"/>
      <c r="AH306" s="622">
        <f t="shared" si="79"/>
        <v>-6.1999999999999993</v>
      </c>
      <c r="AI306" s="609">
        <f t="shared" si="89"/>
        <v>29.6</v>
      </c>
      <c r="AJ306" s="620">
        <v>11.2</v>
      </c>
      <c r="AK306" s="620">
        <v>7.2</v>
      </c>
      <c r="AL306" s="620">
        <v>9</v>
      </c>
      <c r="AM306" s="623">
        <f t="shared" si="80"/>
        <v>27.4</v>
      </c>
      <c r="AN306" s="621"/>
      <c r="AO306" s="621"/>
      <c r="AP306" s="621"/>
      <c r="AQ306" s="622">
        <f t="shared" si="81"/>
        <v>-2.2000000000000028</v>
      </c>
      <c r="AR306" s="615">
        <f t="shared" si="90"/>
        <v>31</v>
      </c>
      <c r="AS306" s="620">
        <v>12</v>
      </c>
      <c r="AT306" s="620">
        <v>8</v>
      </c>
      <c r="AU306" s="620">
        <v>9.6</v>
      </c>
      <c r="AV306" s="623">
        <f t="shared" si="82"/>
        <v>29.6</v>
      </c>
      <c r="AW306" s="621">
        <v>3.21</v>
      </c>
      <c r="AX306" s="621">
        <v>3.48</v>
      </c>
      <c r="AY306" s="621">
        <v>90</v>
      </c>
      <c r="AZ306" s="624">
        <f t="shared" si="83"/>
        <v>-1.3999999999999986</v>
      </c>
      <c r="BA306" s="623">
        <v>31</v>
      </c>
      <c r="BB306" s="620">
        <v>14</v>
      </c>
      <c r="BC306" s="620">
        <v>11.2</v>
      </c>
      <c r="BD306" s="623">
        <f t="shared" si="84"/>
        <v>25.2</v>
      </c>
      <c r="BE306" s="621"/>
      <c r="BF306" s="621"/>
      <c r="BG306" s="621"/>
      <c r="BH306" s="621">
        <f t="shared" si="85"/>
        <v>5.8000000000000007</v>
      </c>
    </row>
    <row r="307" spans="1:60" ht="17.25" thickTop="1" thickBot="1" x14ac:dyDescent="0.3">
      <c r="A307" s="77">
        <v>300</v>
      </c>
      <c r="B307" s="603">
        <f t="shared" ca="1" si="73"/>
        <v>43134</v>
      </c>
      <c r="C307" s="29" t="s">
        <v>614</v>
      </c>
      <c r="D307" s="59" t="s">
        <v>2899</v>
      </c>
      <c r="E307" s="22" t="s">
        <v>1360</v>
      </c>
      <c r="F307" s="27" t="s">
        <v>1245</v>
      </c>
      <c r="G307" s="567">
        <v>42863</v>
      </c>
      <c r="H307" s="609">
        <f t="shared" si="86"/>
        <v>26</v>
      </c>
      <c r="I307" s="620">
        <v>10.6</v>
      </c>
      <c r="J307" s="620">
        <v>12</v>
      </c>
      <c r="K307" s="620">
        <v>9.5</v>
      </c>
      <c r="L307" s="611">
        <f t="shared" si="74"/>
        <v>32.1</v>
      </c>
      <c r="M307" s="621"/>
      <c r="N307" s="621"/>
      <c r="O307" s="621"/>
      <c r="P307" s="622">
        <f t="shared" si="75"/>
        <v>6.1000000000000014</v>
      </c>
      <c r="Q307" s="609">
        <f t="shared" si="87"/>
        <v>30.2</v>
      </c>
      <c r="R307" s="620">
        <v>9</v>
      </c>
      <c r="S307" s="620">
        <v>8.8000000000000007</v>
      </c>
      <c r="T307" s="620">
        <v>8.1999999999999993</v>
      </c>
      <c r="U307" s="611">
        <f t="shared" si="76"/>
        <v>26</v>
      </c>
      <c r="V307" s="621"/>
      <c r="W307" s="621"/>
      <c r="X307" s="621"/>
      <c r="Y307" s="622">
        <f t="shared" si="77"/>
        <v>-4.1999999999999993</v>
      </c>
      <c r="Z307" s="609">
        <f t="shared" si="88"/>
        <v>30.2</v>
      </c>
      <c r="AA307" s="620">
        <v>9.5</v>
      </c>
      <c r="AB307" s="620">
        <v>9</v>
      </c>
      <c r="AC307" s="620">
        <v>8</v>
      </c>
      <c r="AD307" s="611">
        <f t="shared" si="78"/>
        <v>26.5</v>
      </c>
      <c r="AE307" s="621"/>
      <c r="AF307" s="621"/>
      <c r="AG307" s="621"/>
      <c r="AH307" s="622">
        <f t="shared" si="79"/>
        <v>-3.6999999999999993</v>
      </c>
      <c r="AI307" s="609">
        <f t="shared" si="89"/>
        <v>26.799999999999997</v>
      </c>
      <c r="AJ307" s="620">
        <v>9</v>
      </c>
      <c r="AK307" s="620">
        <v>12.2</v>
      </c>
      <c r="AL307" s="620">
        <v>9</v>
      </c>
      <c r="AM307" s="623">
        <f t="shared" si="80"/>
        <v>30.2</v>
      </c>
      <c r="AN307" s="621"/>
      <c r="AO307" s="621"/>
      <c r="AP307" s="621"/>
      <c r="AQ307" s="622">
        <f t="shared" si="81"/>
        <v>3.4000000000000021</v>
      </c>
      <c r="AR307" s="615">
        <f t="shared" si="90"/>
        <v>19</v>
      </c>
      <c r="AS307" s="620">
        <v>9</v>
      </c>
      <c r="AT307" s="620">
        <v>8.1999999999999993</v>
      </c>
      <c r="AU307" s="620">
        <v>9.6</v>
      </c>
      <c r="AV307" s="623">
        <f t="shared" si="82"/>
        <v>26.799999999999997</v>
      </c>
      <c r="AW307" s="621">
        <v>3.29</v>
      </c>
      <c r="AX307" s="621">
        <v>3.1</v>
      </c>
      <c r="AY307" s="621">
        <v>90</v>
      </c>
      <c r="AZ307" s="624">
        <f t="shared" si="83"/>
        <v>7.7999999999999972</v>
      </c>
      <c r="BA307" s="623">
        <v>19</v>
      </c>
      <c r="BB307" s="620">
        <v>6.7</v>
      </c>
      <c r="BC307" s="620">
        <v>9.1999999999999993</v>
      </c>
      <c r="BD307" s="623">
        <f t="shared" si="84"/>
        <v>15.899999999999999</v>
      </c>
      <c r="BE307" s="621"/>
      <c r="BF307" s="621"/>
      <c r="BG307" s="621"/>
      <c r="BH307" s="621">
        <f t="shared" si="85"/>
        <v>3.1000000000000014</v>
      </c>
    </row>
    <row r="308" spans="1:60" ht="17.25" thickTop="1" thickBot="1" x14ac:dyDescent="0.3">
      <c r="A308" s="602">
        <v>301</v>
      </c>
      <c r="B308" s="603">
        <f t="shared" ca="1" si="73"/>
        <v>43134</v>
      </c>
      <c r="C308" s="29" t="s">
        <v>614</v>
      </c>
      <c r="D308" s="59" t="s">
        <v>2899</v>
      </c>
      <c r="E308" s="22" t="s">
        <v>1361</v>
      </c>
      <c r="F308" s="27" t="s">
        <v>1246</v>
      </c>
      <c r="G308" s="567">
        <v>42800</v>
      </c>
      <c r="H308" s="609">
        <f t="shared" si="86"/>
        <v>23.2</v>
      </c>
      <c r="I308" s="620">
        <v>8.4</v>
      </c>
      <c r="J308" s="620">
        <v>7.4</v>
      </c>
      <c r="K308" s="620">
        <v>9</v>
      </c>
      <c r="L308" s="611">
        <f t="shared" si="74"/>
        <v>24.8</v>
      </c>
      <c r="M308" s="621"/>
      <c r="N308" s="621"/>
      <c r="O308" s="621"/>
      <c r="P308" s="622">
        <f t="shared" si="75"/>
        <v>1.6000000000000014</v>
      </c>
      <c r="Q308" s="609">
        <f t="shared" si="87"/>
        <v>20.6</v>
      </c>
      <c r="R308" s="620">
        <v>9.1999999999999993</v>
      </c>
      <c r="S308" s="620">
        <v>8</v>
      </c>
      <c r="T308" s="620">
        <v>6</v>
      </c>
      <c r="U308" s="611">
        <f t="shared" si="76"/>
        <v>23.2</v>
      </c>
      <c r="V308" s="621"/>
      <c r="W308" s="621"/>
      <c r="X308" s="621"/>
      <c r="Y308" s="622">
        <f t="shared" si="77"/>
        <v>2.5999999999999979</v>
      </c>
      <c r="Z308" s="609">
        <f t="shared" si="88"/>
        <v>20.6</v>
      </c>
      <c r="AA308" s="620">
        <v>13</v>
      </c>
      <c r="AB308" s="620"/>
      <c r="AC308" s="620">
        <v>14</v>
      </c>
      <c r="AD308" s="611">
        <f t="shared" si="78"/>
        <v>27</v>
      </c>
      <c r="AE308" s="621"/>
      <c r="AF308" s="621"/>
      <c r="AG308" s="621"/>
      <c r="AH308" s="622">
        <f t="shared" si="79"/>
        <v>6.3999999999999986</v>
      </c>
      <c r="AI308" s="609">
        <f t="shared" si="89"/>
        <v>34.799999999999997</v>
      </c>
      <c r="AJ308" s="620">
        <v>10.6</v>
      </c>
      <c r="AK308" s="620">
        <v>3</v>
      </c>
      <c r="AL308" s="620">
        <v>7</v>
      </c>
      <c r="AM308" s="623">
        <f t="shared" si="80"/>
        <v>20.6</v>
      </c>
      <c r="AN308" s="621"/>
      <c r="AO308" s="621"/>
      <c r="AP308" s="621"/>
      <c r="AQ308" s="622">
        <f t="shared" si="81"/>
        <v>-14.199999999999996</v>
      </c>
      <c r="AR308" s="615">
        <f t="shared" si="90"/>
        <v>39</v>
      </c>
      <c r="AS308" s="620">
        <v>13.2</v>
      </c>
      <c r="AT308" s="620">
        <v>11</v>
      </c>
      <c r="AU308" s="620">
        <v>10.6</v>
      </c>
      <c r="AV308" s="623">
        <f t="shared" si="82"/>
        <v>34.799999999999997</v>
      </c>
      <c r="AW308" s="621">
        <v>3.32</v>
      </c>
      <c r="AX308" s="621">
        <v>2.92</v>
      </c>
      <c r="AY308" s="621">
        <v>90</v>
      </c>
      <c r="AZ308" s="624">
        <f t="shared" si="83"/>
        <v>-4.2000000000000028</v>
      </c>
      <c r="BA308" s="623">
        <v>39</v>
      </c>
      <c r="BB308" s="620">
        <v>18</v>
      </c>
      <c r="BC308" s="620">
        <v>15.4</v>
      </c>
      <c r="BD308" s="623">
        <f t="shared" si="84"/>
        <v>33.4</v>
      </c>
      <c r="BE308" s="621"/>
      <c r="BF308" s="621"/>
      <c r="BG308" s="621"/>
      <c r="BH308" s="621">
        <f t="shared" si="85"/>
        <v>5.6000000000000014</v>
      </c>
    </row>
    <row r="309" spans="1:60" ht="17.25" thickTop="1" thickBot="1" x14ac:dyDescent="0.3">
      <c r="A309" s="77">
        <v>302</v>
      </c>
      <c r="B309" s="603">
        <f t="shared" ca="1" si="73"/>
        <v>43134</v>
      </c>
      <c r="C309" s="29" t="s">
        <v>2404</v>
      </c>
      <c r="D309" s="59" t="s">
        <v>2899</v>
      </c>
      <c r="E309" s="22" t="s">
        <v>1362</v>
      </c>
      <c r="F309" s="239" t="s">
        <v>1247</v>
      </c>
      <c r="G309" s="567">
        <v>42866</v>
      </c>
      <c r="H309" s="609">
        <f t="shared" si="86"/>
        <v>15.8</v>
      </c>
      <c r="I309" s="620">
        <v>10</v>
      </c>
      <c r="J309" s="620"/>
      <c r="K309" s="620">
        <v>7.2</v>
      </c>
      <c r="L309" s="611">
        <f t="shared" si="74"/>
        <v>17.2</v>
      </c>
      <c r="M309" s="621"/>
      <c r="N309" s="621"/>
      <c r="O309" s="621"/>
      <c r="P309" s="622">
        <f t="shared" si="75"/>
        <v>1.3999999999999986</v>
      </c>
      <c r="Q309" s="609">
        <f t="shared" si="87"/>
        <v>23</v>
      </c>
      <c r="R309" s="620">
        <v>7.8</v>
      </c>
      <c r="S309" s="620"/>
      <c r="T309" s="620">
        <v>8</v>
      </c>
      <c r="U309" s="611">
        <f t="shared" si="76"/>
        <v>15.8</v>
      </c>
      <c r="V309" s="621"/>
      <c r="W309" s="621"/>
      <c r="X309" s="621"/>
      <c r="Y309" s="622">
        <f t="shared" si="77"/>
        <v>-7.1999999999999993</v>
      </c>
      <c r="Z309" s="609">
        <f t="shared" si="88"/>
        <v>23</v>
      </c>
      <c r="AA309" s="620">
        <v>5</v>
      </c>
      <c r="AB309" s="620">
        <v>5.5</v>
      </c>
      <c r="AC309" s="620">
        <v>6.2</v>
      </c>
      <c r="AD309" s="611">
        <f t="shared" si="78"/>
        <v>16.7</v>
      </c>
      <c r="AE309" s="621"/>
      <c r="AF309" s="621"/>
      <c r="AG309" s="621"/>
      <c r="AH309" s="622">
        <f t="shared" si="79"/>
        <v>-6.3000000000000007</v>
      </c>
      <c r="AI309" s="609">
        <f t="shared" si="89"/>
        <v>28</v>
      </c>
      <c r="AJ309" s="620">
        <v>11</v>
      </c>
      <c r="AK309" s="620">
        <v>6</v>
      </c>
      <c r="AL309" s="620">
        <v>6</v>
      </c>
      <c r="AM309" s="623">
        <f t="shared" si="80"/>
        <v>23</v>
      </c>
      <c r="AN309" s="621"/>
      <c r="AO309" s="621"/>
      <c r="AP309" s="621"/>
      <c r="AQ309" s="622">
        <f t="shared" si="81"/>
        <v>-5</v>
      </c>
      <c r="AR309" s="615">
        <f t="shared" si="90"/>
        <v>14.2</v>
      </c>
      <c r="AS309" s="620">
        <v>10</v>
      </c>
      <c r="AT309" s="620">
        <v>9</v>
      </c>
      <c r="AU309" s="620">
        <v>9</v>
      </c>
      <c r="AV309" s="623">
        <f t="shared" si="82"/>
        <v>28</v>
      </c>
      <c r="AW309" s="621">
        <v>3.27</v>
      </c>
      <c r="AX309" s="621">
        <v>2.77</v>
      </c>
      <c r="AY309" s="621">
        <v>90</v>
      </c>
      <c r="AZ309" s="624">
        <f t="shared" si="83"/>
        <v>13.8</v>
      </c>
      <c r="BA309" s="623">
        <v>14.2</v>
      </c>
      <c r="BB309" s="620">
        <v>11.1</v>
      </c>
      <c r="BC309" s="620">
        <v>7.8</v>
      </c>
      <c r="BD309" s="623">
        <f t="shared" si="84"/>
        <v>18.899999999999999</v>
      </c>
      <c r="BE309" s="621"/>
      <c r="BF309" s="621"/>
      <c r="BG309" s="621"/>
      <c r="BH309" s="621">
        <f t="shared" si="85"/>
        <v>-4.6999999999999993</v>
      </c>
    </row>
    <row r="310" spans="1:60" ht="17.25" thickTop="1" thickBot="1" x14ac:dyDescent="0.3">
      <c r="A310" s="602">
        <v>303</v>
      </c>
      <c r="B310" s="603">
        <f t="shared" ca="1" si="73"/>
        <v>43134</v>
      </c>
      <c r="C310" s="29" t="s">
        <v>614</v>
      </c>
      <c r="D310" s="59" t="s">
        <v>2899</v>
      </c>
      <c r="E310" s="22" t="s">
        <v>235</v>
      </c>
      <c r="F310" s="27" t="s">
        <v>643</v>
      </c>
      <c r="G310" s="567">
        <v>42774</v>
      </c>
      <c r="H310" s="609">
        <f t="shared" si="86"/>
        <v>25.4</v>
      </c>
      <c r="I310" s="620">
        <v>8.4</v>
      </c>
      <c r="J310" s="620"/>
      <c r="K310" s="620">
        <v>6</v>
      </c>
      <c r="L310" s="611">
        <f t="shared" si="74"/>
        <v>14.4</v>
      </c>
      <c r="M310" s="621"/>
      <c r="N310" s="621"/>
      <c r="O310" s="621"/>
      <c r="P310" s="622">
        <f t="shared" si="75"/>
        <v>-10.999999999999998</v>
      </c>
      <c r="Q310" s="609">
        <f t="shared" si="87"/>
        <v>33.199999999999996</v>
      </c>
      <c r="R310" s="620">
        <v>15</v>
      </c>
      <c r="S310" s="620"/>
      <c r="T310" s="620">
        <v>10.4</v>
      </c>
      <c r="U310" s="611">
        <f t="shared" si="76"/>
        <v>25.4</v>
      </c>
      <c r="V310" s="621"/>
      <c r="W310" s="621"/>
      <c r="X310" s="621"/>
      <c r="Y310" s="622">
        <f t="shared" si="77"/>
        <v>-7.7999999999999972</v>
      </c>
      <c r="Z310" s="609">
        <f t="shared" si="88"/>
        <v>33.199999999999996</v>
      </c>
      <c r="AA310" s="620">
        <v>10.199999999999999</v>
      </c>
      <c r="AB310" s="620">
        <v>9.8000000000000007</v>
      </c>
      <c r="AC310" s="620">
        <v>7</v>
      </c>
      <c r="AD310" s="611">
        <f t="shared" si="78"/>
        <v>27</v>
      </c>
      <c r="AE310" s="621"/>
      <c r="AF310" s="621"/>
      <c r="AG310" s="621"/>
      <c r="AH310" s="622">
        <f t="shared" si="79"/>
        <v>-6.1999999999999957</v>
      </c>
      <c r="AI310" s="609">
        <f t="shared" si="89"/>
        <v>33</v>
      </c>
      <c r="AJ310" s="620">
        <v>12.4</v>
      </c>
      <c r="AK310" s="620">
        <v>13</v>
      </c>
      <c r="AL310" s="620">
        <v>7.8</v>
      </c>
      <c r="AM310" s="623">
        <f t="shared" si="80"/>
        <v>33.199999999999996</v>
      </c>
      <c r="AN310" s="621"/>
      <c r="AO310" s="621"/>
      <c r="AP310" s="621"/>
      <c r="AQ310" s="622">
        <f t="shared" si="81"/>
        <v>0.19999999999999574</v>
      </c>
      <c r="AR310" s="615">
        <f t="shared" si="90"/>
        <v>33.200000000000003</v>
      </c>
      <c r="AS310" s="620">
        <v>11</v>
      </c>
      <c r="AT310" s="620">
        <v>11</v>
      </c>
      <c r="AU310" s="620">
        <v>11</v>
      </c>
      <c r="AV310" s="623">
        <f t="shared" si="82"/>
        <v>33</v>
      </c>
      <c r="AW310" s="621">
        <v>3.65</v>
      </c>
      <c r="AX310" s="621">
        <v>3.23</v>
      </c>
      <c r="AY310" s="621">
        <v>90</v>
      </c>
      <c r="AZ310" s="624">
        <f t="shared" si="83"/>
        <v>-0.20000000000000284</v>
      </c>
      <c r="BA310" s="623">
        <v>33.200000000000003</v>
      </c>
      <c r="BB310" s="620">
        <v>14</v>
      </c>
      <c r="BC310" s="620">
        <v>17</v>
      </c>
      <c r="BD310" s="623">
        <f t="shared" si="84"/>
        <v>31</v>
      </c>
      <c r="BE310" s="621"/>
      <c r="BF310" s="621"/>
      <c r="BG310" s="621"/>
      <c r="BH310" s="621">
        <f t="shared" si="85"/>
        <v>2.2000000000000028</v>
      </c>
    </row>
    <row r="311" spans="1:60" ht="17.25" thickTop="1" thickBot="1" x14ac:dyDescent="0.3">
      <c r="A311" s="77">
        <v>304</v>
      </c>
      <c r="B311" s="603">
        <f t="shared" ca="1" si="73"/>
        <v>43134</v>
      </c>
      <c r="C311" s="29" t="s">
        <v>614</v>
      </c>
      <c r="D311" s="59" t="s">
        <v>2899</v>
      </c>
      <c r="E311" s="22" t="s">
        <v>1365</v>
      </c>
      <c r="F311" s="27" t="s">
        <v>1251</v>
      </c>
      <c r="G311" s="567">
        <v>42830</v>
      </c>
      <c r="H311" s="609">
        <f t="shared" si="86"/>
        <v>17.399999999999999</v>
      </c>
      <c r="I311" s="620">
        <v>6</v>
      </c>
      <c r="J311" s="620"/>
      <c r="K311" s="620">
        <v>5</v>
      </c>
      <c r="L311" s="611">
        <f t="shared" si="74"/>
        <v>11</v>
      </c>
      <c r="M311" s="621"/>
      <c r="N311" s="621"/>
      <c r="O311" s="621"/>
      <c r="P311" s="622">
        <f t="shared" si="75"/>
        <v>-6.3999999999999986</v>
      </c>
      <c r="Q311" s="609">
        <f t="shared" si="87"/>
        <v>26</v>
      </c>
      <c r="R311" s="620">
        <v>7.2</v>
      </c>
      <c r="S311" s="620">
        <v>5.2</v>
      </c>
      <c r="T311" s="620">
        <v>5</v>
      </c>
      <c r="U311" s="611">
        <f t="shared" si="76"/>
        <v>17.399999999999999</v>
      </c>
      <c r="V311" s="621"/>
      <c r="W311" s="621"/>
      <c r="X311" s="621"/>
      <c r="Y311" s="622">
        <f t="shared" si="77"/>
        <v>-8.6000000000000014</v>
      </c>
      <c r="Z311" s="609">
        <f t="shared" si="88"/>
        <v>26</v>
      </c>
      <c r="AA311" s="620">
        <v>13.8</v>
      </c>
      <c r="AB311" s="620"/>
      <c r="AC311" s="620">
        <v>10</v>
      </c>
      <c r="AD311" s="611">
        <f t="shared" si="78"/>
        <v>23.8</v>
      </c>
      <c r="AE311" s="621"/>
      <c r="AF311" s="621"/>
      <c r="AG311" s="621"/>
      <c r="AH311" s="622">
        <f t="shared" si="79"/>
        <v>-2.1999999999999993</v>
      </c>
      <c r="AI311" s="609">
        <f t="shared" si="89"/>
        <v>41.2</v>
      </c>
      <c r="AJ311" s="620">
        <v>10</v>
      </c>
      <c r="AK311" s="620">
        <v>8.1999999999999993</v>
      </c>
      <c r="AL311" s="620">
        <v>7.8</v>
      </c>
      <c r="AM311" s="623">
        <f t="shared" si="80"/>
        <v>26</v>
      </c>
      <c r="AN311" s="621"/>
      <c r="AO311" s="621"/>
      <c r="AP311" s="621"/>
      <c r="AQ311" s="622">
        <f t="shared" si="81"/>
        <v>-15.200000000000003</v>
      </c>
      <c r="AR311" s="615">
        <f t="shared" si="90"/>
        <v>26.5</v>
      </c>
      <c r="AS311" s="620">
        <v>15</v>
      </c>
      <c r="AT311" s="620">
        <v>14</v>
      </c>
      <c r="AU311" s="620">
        <v>12.2</v>
      </c>
      <c r="AV311" s="623">
        <f t="shared" si="82"/>
        <v>41.2</v>
      </c>
      <c r="AW311" s="621">
        <v>4.03</v>
      </c>
      <c r="AX311" s="621">
        <v>3.55</v>
      </c>
      <c r="AY311" s="621">
        <v>90</v>
      </c>
      <c r="AZ311" s="624">
        <f t="shared" si="83"/>
        <v>14.700000000000003</v>
      </c>
      <c r="BA311" s="623">
        <v>26.5</v>
      </c>
      <c r="BB311" s="620">
        <v>17</v>
      </c>
      <c r="BC311" s="620">
        <v>13</v>
      </c>
      <c r="BD311" s="623">
        <f t="shared" si="84"/>
        <v>30</v>
      </c>
      <c r="BE311" s="621"/>
      <c r="BF311" s="621"/>
      <c r="BG311" s="621"/>
      <c r="BH311" s="621">
        <f t="shared" si="85"/>
        <v>-3.5</v>
      </c>
    </row>
    <row r="312" spans="1:60" ht="17.25" thickTop="1" thickBot="1" x14ac:dyDescent="0.3">
      <c r="A312" s="602">
        <v>305</v>
      </c>
      <c r="B312" s="603">
        <f t="shared" ca="1" si="73"/>
        <v>43134</v>
      </c>
      <c r="C312" s="29" t="s">
        <v>614</v>
      </c>
      <c r="D312" s="59" t="s">
        <v>2899</v>
      </c>
      <c r="E312" s="22" t="s">
        <v>648</v>
      </c>
      <c r="F312" s="27" t="s">
        <v>649</v>
      </c>
      <c r="G312" s="567">
        <v>42801</v>
      </c>
      <c r="H312" s="609">
        <f t="shared" si="86"/>
        <v>22</v>
      </c>
      <c r="I312" s="620">
        <v>9.6</v>
      </c>
      <c r="J312" s="620"/>
      <c r="K312" s="620">
        <v>6.3</v>
      </c>
      <c r="L312" s="611">
        <f t="shared" si="74"/>
        <v>15.899999999999999</v>
      </c>
      <c r="M312" s="621"/>
      <c r="N312" s="621"/>
      <c r="O312" s="621"/>
      <c r="P312" s="622">
        <f t="shared" si="75"/>
        <v>-6.1000000000000014</v>
      </c>
      <c r="Q312" s="609">
        <f t="shared" si="87"/>
        <v>34.200000000000003</v>
      </c>
      <c r="R312" s="620">
        <v>14.8</v>
      </c>
      <c r="S312" s="620"/>
      <c r="T312" s="620">
        <v>7.2</v>
      </c>
      <c r="U312" s="611">
        <f t="shared" si="76"/>
        <v>22</v>
      </c>
      <c r="V312" s="621"/>
      <c r="W312" s="621"/>
      <c r="X312" s="621"/>
      <c r="Y312" s="622">
        <f t="shared" si="77"/>
        <v>-12.200000000000003</v>
      </c>
      <c r="Z312" s="609">
        <f t="shared" si="88"/>
        <v>34.200000000000003</v>
      </c>
      <c r="AA312" s="620">
        <v>8</v>
      </c>
      <c r="AB312" s="620">
        <v>8</v>
      </c>
      <c r="AC312" s="620">
        <v>9.3000000000000007</v>
      </c>
      <c r="AD312" s="611">
        <f t="shared" si="78"/>
        <v>25.3</v>
      </c>
      <c r="AE312" s="621"/>
      <c r="AF312" s="621"/>
      <c r="AG312" s="621"/>
      <c r="AH312" s="622">
        <f t="shared" si="79"/>
        <v>-8.9000000000000021</v>
      </c>
      <c r="AI312" s="609">
        <f t="shared" si="89"/>
        <v>43.2</v>
      </c>
      <c r="AJ312" s="620">
        <v>16</v>
      </c>
      <c r="AK312" s="620">
        <v>10</v>
      </c>
      <c r="AL312" s="620">
        <v>8.1999999999999993</v>
      </c>
      <c r="AM312" s="623">
        <f t="shared" si="80"/>
        <v>34.200000000000003</v>
      </c>
      <c r="AN312" s="621"/>
      <c r="AO312" s="621"/>
      <c r="AP312" s="621"/>
      <c r="AQ312" s="622">
        <f t="shared" si="81"/>
        <v>-9</v>
      </c>
      <c r="AR312" s="615">
        <f t="shared" si="90"/>
        <v>42.4</v>
      </c>
      <c r="AS312" s="620">
        <v>16.2</v>
      </c>
      <c r="AT312" s="620">
        <v>15</v>
      </c>
      <c r="AU312" s="620">
        <v>12</v>
      </c>
      <c r="AV312" s="623">
        <f t="shared" si="82"/>
        <v>43.2</v>
      </c>
      <c r="AW312" s="621">
        <v>4.3499999999999996</v>
      </c>
      <c r="AX312" s="621">
        <v>3.22</v>
      </c>
      <c r="AY312" s="621">
        <v>90</v>
      </c>
      <c r="AZ312" s="624">
        <f t="shared" si="83"/>
        <v>0.80000000000000426</v>
      </c>
      <c r="BA312" s="623">
        <v>42.4</v>
      </c>
      <c r="BB312" s="620">
        <v>21</v>
      </c>
      <c r="BC312" s="620">
        <v>19</v>
      </c>
      <c r="BD312" s="623">
        <f t="shared" si="84"/>
        <v>40</v>
      </c>
      <c r="BE312" s="621"/>
      <c r="BF312" s="621"/>
      <c r="BG312" s="621"/>
      <c r="BH312" s="621">
        <f t="shared" si="85"/>
        <v>2.3999999999999986</v>
      </c>
    </row>
    <row r="313" spans="1:60" ht="17.25" thickTop="1" thickBot="1" x14ac:dyDescent="0.3">
      <c r="A313" s="77">
        <v>306</v>
      </c>
      <c r="B313" s="603">
        <f t="shared" ca="1" si="73"/>
        <v>43134</v>
      </c>
      <c r="C313" s="29" t="s">
        <v>2404</v>
      </c>
      <c r="D313" s="59" t="s">
        <v>2899</v>
      </c>
      <c r="E313" s="22" t="s">
        <v>1385</v>
      </c>
      <c r="F313" s="27" t="s">
        <v>1262</v>
      </c>
      <c r="G313" s="567">
        <v>42864</v>
      </c>
      <c r="H313" s="609">
        <f t="shared" si="86"/>
        <v>23.6</v>
      </c>
      <c r="I313" s="620">
        <v>9.6</v>
      </c>
      <c r="J313" s="620"/>
      <c r="K313" s="620">
        <v>8</v>
      </c>
      <c r="L313" s="611">
        <f t="shared" si="74"/>
        <v>17.600000000000001</v>
      </c>
      <c r="M313" s="621"/>
      <c r="N313" s="621"/>
      <c r="O313" s="621"/>
      <c r="P313" s="622">
        <f t="shared" si="75"/>
        <v>-6</v>
      </c>
      <c r="Q313" s="609">
        <f t="shared" si="87"/>
        <v>30.6</v>
      </c>
      <c r="R313" s="620">
        <v>13.4</v>
      </c>
      <c r="S313" s="620"/>
      <c r="T313" s="620">
        <v>10.199999999999999</v>
      </c>
      <c r="U313" s="611">
        <f t="shared" si="76"/>
        <v>23.6</v>
      </c>
      <c r="V313" s="621"/>
      <c r="W313" s="621"/>
      <c r="X313" s="621"/>
      <c r="Y313" s="622">
        <f t="shared" si="77"/>
        <v>-7</v>
      </c>
      <c r="Z313" s="609">
        <f t="shared" si="88"/>
        <v>30.6</v>
      </c>
      <c r="AA313" s="620">
        <v>9.5</v>
      </c>
      <c r="AB313" s="620">
        <v>9.6</v>
      </c>
      <c r="AC313" s="620">
        <v>4.2</v>
      </c>
      <c r="AD313" s="611">
        <f t="shared" si="78"/>
        <v>23.3</v>
      </c>
      <c r="AE313" s="621"/>
      <c r="AF313" s="621"/>
      <c r="AG313" s="621"/>
      <c r="AH313" s="622">
        <f t="shared" si="79"/>
        <v>-7.3000000000000007</v>
      </c>
      <c r="AI313" s="609">
        <f t="shared" si="89"/>
        <v>30.6</v>
      </c>
      <c r="AJ313" s="620">
        <v>12</v>
      </c>
      <c r="AK313" s="620">
        <v>9.1999999999999993</v>
      </c>
      <c r="AL313" s="620">
        <v>9.4</v>
      </c>
      <c r="AM313" s="623">
        <f t="shared" si="80"/>
        <v>30.6</v>
      </c>
      <c r="AN313" s="621"/>
      <c r="AO313" s="621"/>
      <c r="AP313" s="621"/>
      <c r="AQ313" s="622">
        <f t="shared" si="81"/>
        <v>0</v>
      </c>
      <c r="AR313" s="615">
        <f t="shared" si="90"/>
        <v>22.8</v>
      </c>
      <c r="AS313" s="620">
        <v>8.1999999999999993</v>
      </c>
      <c r="AT313" s="620">
        <v>12.4</v>
      </c>
      <c r="AU313" s="620">
        <v>10</v>
      </c>
      <c r="AV313" s="623">
        <f t="shared" si="82"/>
        <v>30.6</v>
      </c>
      <c r="AW313" s="621">
        <v>3.42</v>
      </c>
      <c r="AX313" s="621">
        <v>2.95</v>
      </c>
      <c r="AY313" s="621">
        <v>90</v>
      </c>
      <c r="AZ313" s="624">
        <f t="shared" si="83"/>
        <v>7.8000000000000007</v>
      </c>
      <c r="BA313" s="623">
        <v>22.8</v>
      </c>
      <c r="BB313" s="620">
        <v>8.9</v>
      </c>
      <c r="BC313" s="620">
        <v>9.6</v>
      </c>
      <c r="BD313" s="623">
        <f t="shared" si="84"/>
        <v>18.5</v>
      </c>
      <c r="BE313" s="621"/>
      <c r="BF313" s="621"/>
      <c r="BG313" s="621"/>
      <c r="BH313" s="621">
        <f t="shared" si="85"/>
        <v>4.3000000000000007</v>
      </c>
    </row>
    <row r="314" spans="1:60" ht="17.25" thickTop="1" thickBot="1" x14ac:dyDescent="0.3">
      <c r="A314" s="602">
        <v>307</v>
      </c>
      <c r="B314" s="603">
        <f t="shared" ca="1" si="73"/>
        <v>43134</v>
      </c>
      <c r="C314" s="29" t="s">
        <v>2404</v>
      </c>
      <c r="D314" s="59" t="s">
        <v>2899</v>
      </c>
      <c r="E314" s="22" t="s">
        <v>1309</v>
      </c>
      <c r="F314" s="27" t="s">
        <v>1190</v>
      </c>
      <c r="G314" s="567">
        <v>42546</v>
      </c>
      <c r="H314" s="609">
        <f t="shared" si="86"/>
        <v>28.8</v>
      </c>
      <c r="I314" s="620">
        <v>6</v>
      </c>
      <c r="J314" s="620">
        <v>5</v>
      </c>
      <c r="K314" s="620">
        <v>4</v>
      </c>
      <c r="L314" s="611">
        <f t="shared" si="74"/>
        <v>15</v>
      </c>
      <c r="M314" s="621"/>
      <c r="N314" s="621"/>
      <c r="O314" s="621"/>
      <c r="P314" s="622">
        <f t="shared" si="75"/>
        <v>-13.8</v>
      </c>
      <c r="Q314" s="609">
        <f t="shared" si="87"/>
        <v>29.8</v>
      </c>
      <c r="R314" s="620">
        <v>7.6</v>
      </c>
      <c r="S314" s="620">
        <v>10</v>
      </c>
      <c r="T314" s="620">
        <v>11.2</v>
      </c>
      <c r="U314" s="611">
        <f t="shared" si="76"/>
        <v>28.8</v>
      </c>
      <c r="V314" s="621"/>
      <c r="W314" s="621"/>
      <c r="X314" s="621"/>
      <c r="Y314" s="622">
        <f t="shared" si="77"/>
        <v>-1</v>
      </c>
      <c r="Z314" s="609">
        <f t="shared" si="88"/>
        <v>29.8</v>
      </c>
      <c r="AA314" s="620">
        <v>21</v>
      </c>
      <c r="AB314" s="620">
        <v>14</v>
      </c>
      <c r="AC314" s="620">
        <v>12</v>
      </c>
      <c r="AD314" s="611">
        <f t="shared" si="78"/>
        <v>47</v>
      </c>
      <c r="AE314" s="621"/>
      <c r="AF314" s="621"/>
      <c r="AG314" s="621"/>
      <c r="AH314" s="622">
        <f t="shared" si="79"/>
        <v>17.2</v>
      </c>
      <c r="AI314" s="609">
        <f t="shared" si="89"/>
        <v>37.6</v>
      </c>
      <c r="AJ314" s="620">
        <v>10.8</v>
      </c>
      <c r="AK314" s="620">
        <v>8</v>
      </c>
      <c r="AL314" s="620">
        <v>11</v>
      </c>
      <c r="AM314" s="623">
        <f t="shared" si="80"/>
        <v>29.8</v>
      </c>
      <c r="AN314" s="621"/>
      <c r="AO314" s="621"/>
      <c r="AP314" s="621"/>
      <c r="AQ314" s="622">
        <f t="shared" si="81"/>
        <v>-7.8000000000000007</v>
      </c>
      <c r="AR314" s="615">
        <f t="shared" si="90"/>
        <v>0</v>
      </c>
      <c r="AS314" s="620">
        <v>13.4</v>
      </c>
      <c r="AT314" s="620">
        <v>10.199999999999999</v>
      </c>
      <c r="AU314" s="620">
        <v>14</v>
      </c>
      <c r="AV314" s="623">
        <f t="shared" si="82"/>
        <v>37.6</v>
      </c>
      <c r="AW314" s="621">
        <v>3.35</v>
      </c>
      <c r="AX314" s="621">
        <v>2.85</v>
      </c>
      <c r="AY314" s="621">
        <v>90</v>
      </c>
      <c r="AZ314" s="624">
        <f t="shared" si="83"/>
        <v>37.6</v>
      </c>
      <c r="BA314" s="623"/>
      <c r="BB314" s="620"/>
      <c r="BC314" s="620"/>
      <c r="BD314" s="623">
        <f t="shared" si="84"/>
        <v>0</v>
      </c>
      <c r="BE314" s="621"/>
      <c r="BF314" s="621"/>
      <c r="BG314" s="621"/>
      <c r="BH314" s="621">
        <f t="shared" si="85"/>
        <v>0</v>
      </c>
    </row>
    <row r="315" spans="1:60" ht="17.25" thickTop="1" thickBot="1" x14ac:dyDescent="0.3">
      <c r="A315" s="77">
        <v>308</v>
      </c>
      <c r="B315" s="603">
        <f t="shared" ca="1" si="73"/>
        <v>43134</v>
      </c>
      <c r="C315" s="29" t="s">
        <v>614</v>
      </c>
      <c r="D315" s="59" t="s">
        <v>2899</v>
      </c>
      <c r="E315" s="22" t="s">
        <v>1115</v>
      </c>
      <c r="F315" s="27" t="s">
        <v>1033</v>
      </c>
      <c r="G315" s="567">
        <v>42783</v>
      </c>
      <c r="H315" s="609">
        <f t="shared" si="86"/>
        <v>20</v>
      </c>
      <c r="I315" s="620">
        <v>9</v>
      </c>
      <c r="J315" s="620"/>
      <c r="K315" s="620">
        <v>8</v>
      </c>
      <c r="L315" s="611">
        <f t="shared" si="74"/>
        <v>17</v>
      </c>
      <c r="M315" s="621"/>
      <c r="N315" s="621"/>
      <c r="O315" s="621"/>
      <c r="P315" s="622">
        <f t="shared" si="75"/>
        <v>-3</v>
      </c>
      <c r="Q315" s="609">
        <f t="shared" si="87"/>
        <v>24</v>
      </c>
      <c r="R315" s="620">
        <v>11</v>
      </c>
      <c r="S315" s="620"/>
      <c r="T315" s="620">
        <v>9</v>
      </c>
      <c r="U315" s="611">
        <f t="shared" si="76"/>
        <v>20</v>
      </c>
      <c r="V315" s="621"/>
      <c r="W315" s="621"/>
      <c r="X315" s="621"/>
      <c r="Y315" s="622">
        <f t="shared" si="77"/>
        <v>-4</v>
      </c>
      <c r="Z315" s="609">
        <f t="shared" si="88"/>
        <v>24</v>
      </c>
      <c r="AA315" s="620">
        <v>11</v>
      </c>
      <c r="AB315" s="620"/>
      <c r="AC315" s="620">
        <v>10</v>
      </c>
      <c r="AD315" s="611">
        <f t="shared" si="78"/>
        <v>21</v>
      </c>
      <c r="AE315" s="621"/>
      <c r="AF315" s="621"/>
      <c r="AG315" s="621"/>
      <c r="AH315" s="622">
        <f t="shared" si="79"/>
        <v>-3</v>
      </c>
      <c r="AI315" s="609">
        <f t="shared" si="89"/>
        <v>32.5</v>
      </c>
      <c r="AJ315" s="620">
        <v>9</v>
      </c>
      <c r="AK315" s="620">
        <v>8</v>
      </c>
      <c r="AL315" s="620">
        <v>7</v>
      </c>
      <c r="AM315" s="623">
        <f t="shared" si="80"/>
        <v>24</v>
      </c>
      <c r="AN315" s="621"/>
      <c r="AO315" s="621"/>
      <c r="AP315" s="621"/>
      <c r="AQ315" s="622">
        <f t="shared" si="81"/>
        <v>-8.5</v>
      </c>
      <c r="AR315" s="615">
        <f t="shared" si="90"/>
        <v>29</v>
      </c>
      <c r="AS315" s="620">
        <v>10</v>
      </c>
      <c r="AT315" s="620">
        <v>7</v>
      </c>
      <c r="AU315" s="620">
        <v>15.5</v>
      </c>
      <c r="AV315" s="623">
        <f t="shared" si="82"/>
        <v>32.5</v>
      </c>
      <c r="AW315" s="621">
        <v>4.3499999999999996</v>
      </c>
      <c r="AX315" s="621">
        <v>3.68</v>
      </c>
      <c r="AY315" s="621">
        <v>90</v>
      </c>
      <c r="AZ315" s="624">
        <f t="shared" si="83"/>
        <v>3.5</v>
      </c>
      <c r="BA315" s="623">
        <v>29</v>
      </c>
      <c r="BB315" s="620">
        <v>13</v>
      </c>
      <c r="BC315" s="620">
        <v>10.199999999999999</v>
      </c>
      <c r="BD315" s="623">
        <f t="shared" si="84"/>
        <v>23.2</v>
      </c>
      <c r="BE315" s="621"/>
      <c r="BF315" s="621"/>
      <c r="BG315" s="621"/>
      <c r="BH315" s="621">
        <f t="shared" si="85"/>
        <v>5.8000000000000007</v>
      </c>
    </row>
    <row r="316" spans="1:60" ht="17.25" thickTop="1" thickBot="1" x14ac:dyDescent="0.3">
      <c r="A316" s="602">
        <v>309</v>
      </c>
      <c r="B316" s="603">
        <f t="shared" ca="1" si="73"/>
        <v>43134</v>
      </c>
      <c r="C316" s="29" t="s">
        <v>614</v>
      </c>
      <c r="D316" s="59" t="s">
        <v>2899</v>
      </c>
      <c r="E316" s="22" t="s">
        <v>1497</v>
      </c>
      <c r="F316" s="27" t="s">
        <v>1479</v>
      </c>
      <c r="G316" s="567">
        <v>42884</v>
      </c>
      <c r="H316" s="609">
        <f t="shared" si="86"/>
        <v>16.600000000000001</v>
      </c>
      <c r="I316" s="620">
        <v>5</v>
      </c>
      <c r="J316" s="620"/>
      <c r="K316" s="620">
        <v>5</v>
      </c>
      <c r="L316" s="611">
        <f t="shared" si="74"/>
        <v>10</v>
      </c>
      <c r="M316" s="621"/>
      <c r="N316" s="621"/>
      <c r="O316" s="621"/>
      <c r="P316" s="622">
        <f t="shared" si="75"/>
        <v>-6.6000000000000014</v>
      </c>
      <c r="Q316" s="609">
        <f t="shared" si="87"/>
        <v>24</v>
      </c>
      <c r="R316" s="620">
        <v>5.6</v>
      </c>
      <c r="S316" s="620">
        <v>6</v>
      </c>
      <c r="T316" s="620">
        <v>5</v>
      </c>
      <c r="U316" s="611">
        <f t="shared" si="76"/>
        <v>16.600000000000001</v>
      </c>
      <c r="V316" s="621"/>
      <c r="W316" s="621"/>
      <c r="X316" s="621"/>
      <c r="Y316" s="622">
        <f t="shared" si="77"/>
        <v>-7.3999999999999986</v>
      </c>
      <c r="Z316" s="609">
        <f t="shared" si="88"/>
        <v>24</v>
      </c>
      <c r="AA316" s="620">
        <v>7</v>
      </c>
      <c r="AB316" s="620">
        <v>6.6</v>
      </c>
      <c r="AC316" s="620">
        <v>10</v>
      </c>
      <c r="AD316" s="611">
        <f t="shared" si="78"/>
        <v>23.6</v>
      </c>
      <c r="AE316" s="621"/>
      <c r="AF316" s="621"/>
      <c r="AG316" s="621"/>
      <c r="AH316" s="622">
        <f t="shared" si="79"/>
        <v>-0.39999999999999858</v>
      </c>
      <c r="AI316" s="609">
        <f t="shared" si="89"/>
        <v>22.2</v>
      </c>
      <c r="AJ316" s="620">
        <v>8</v>
      </c>
      <c r="AK316" s="620">
        <v>8</v>
      </c>
      <c r="AL316" s="620">
        <v>8</v>
      </c>
      <c r="AM316" s="623">
        <f t="shared" si="80"/>
        <v>24</v>
      </c>
      <c r="AN316" s="621"/>
      <c r="AO316" s="621"/>
      <c r="AP316" s="621"/>
      <c r="AQ316" s="622">
        <f t="shared" si="81"/>
        <v>1.8000000000000007</v>
      </c>
      <c r="AR316" s="615">
        <f t="shared" si="90"/>
        <v>0</v>
      </c>
      <c r="AS316" s="620">
        <v>8.1999999999999993</v>
      </c>
      <c r="AT316" s="620">
        <v>7</v>
      </c>
      <c r="AU316" s="620">
        <v>7</v>
      </c>
      <c r="AV316" s="623">
        <f t="shared" si="82"/>
        <v>22.2</v>
      </c>
      <c r="AW316" s="621">
        <v>3.71</v>
      </c>
      <c r="AX316" s="621">
        <v>3.15</v>
      </c>
      <c r="AY316" s="621">
        <v>90</v>
      </c>
      <c r="AZ316" s="624">
        <f t="shared" si="83"/>
        <v>22.2</v>
      </c>
      <c r="BA316" s="623"/>
      <c r="BB316" s="620"/>
      <c r="BC316" s="620"/>
      <c r="BD316" s="623">
        <f t="shared" si="84"/>
        <v>0</v>
      </c>
      <c r="BE316" s="621"/>
      <c r="BF316" s="621"/>
      <c r="BG316" s="621"/>
      <c r="BH316" s="621">
        <f t="shared" si="85"/>
        <v>0</v>
      </c>
    </row>
    <row r="317" spans="1:60" ht="17.25" thickTop="1" thickBot="1" x14ac:dyDescent="0.3">
      <c r="A317" s="77">
        <v>310</v>
      </c>
      <c r="B317" s="603">
        <f t="shared" ca="1" si="73"/>
        <v>43134</v>
      </c>
      <c r="C317" s="29" t="s">
        <v>614</v>
      </c>
      <c r="D317" s="59" t="s">
        <v>2899</v>
      </c>
      <c r="E317" s="22" t="s">
        <v>1117</v>
      </c>
      <c r="F317" s="27" t="s">
        <v>1030</v>
      </c>
      <c r="G317" s="567">
        <v>42742</v>
      </c>
      <c r="H317" s="609">
        <f t="shared" si="86"/>
        <v>19.2</v>
      </c>
      <c r="I317" s="620"/>
      <c r="J317" s="620"/>
      <c r="K317" s="620"/>
      <c r="L317" s="611">
        <f t="shared" si="74"/>
        <v>0</v>
      </c>
      <c r="M317" s="621"/>
      <c r="N317" s="621"/>
      <c r="O317" s="621"/>
      <c r="P317" s="622">
        <f t="shared" si="75"/>
        <v>-19.2</v>
      </c>
      <c r="Q317" s="609">
        <f t="shared" si="87"/>
        <v>18</v>
      </c>
      <c r="R317" s="620">
        <v>7.2</v>
      </c>
      <c r="S317" s="620">
        <v>7</v>
      </c>
      <c r="T317" s="620">
        <v>5</v>
      </c>
      <c r="U317" s="611">
        <f t="shared" si="76"/>
        <v>19.2</v>
      </c>
      <c r="V317" s="621"/>
      <c r="W317" s="621"/>
      <c r="X317" s="621"/>
      <c r="Y317" s="622">
        <f t="shared" si="77"/>
        <v>1.1999999999999993</v>
      </c>
      <c r="Z317" s="609">
        <f t="shared" si="88"/>
        <v>18</v>
      </c>
      <c r="AA317" s="620">
        <v>15</v>
      </c>
      <c r="AB317" s="620"/>
      <c r="AC317" s="620">
        <v>9</v>
      </c>
      <c r="AD317" s="611">
        <f t="shared" si="78"/>
        <v>24</v>
      </c>
      <c r="AE317" s="621"/>
      <c r="AF317" s="621"/>
      <c r="AG317" s="621"/>
      <c r="AH317" s="622">
        <f t="shared" si="79"/>
        <v>6</v>
      </c>
      <c r="AI317" s="609">
        <f t="shared" si="89"/>
        <v>25.2</v>
      </c>
      <c r="AJ317" s="620">
        <v>12</v>
      </c>
      <c r="AK317" s="620"/>
      <c r="AL317" s="620">
        <v>6</v>
      </c>
      <c r="AM317" s="623">
        <f t="shared" si="80"/>
        <v>18</v>
      </c>
      <c r="AN317" s="621"/>
      <c r="AO317" s="621"/>
      <c r="AP317" s="621"/>
      <c r="AQ317" s="622">
        <f t="shared" si="81"/>
        <v>-7.1999999999999993</v>
      </c>
      <c r="AR317" s="615">
        <f t="shared" si="90"/>
        <v>30</v>
      </c>
      <c r="AS317" s="620">
        <v>8</v>
      </c>
      <c r="AT317" s="620">
        <v>9.1999999999999993</v>
      </c>
      <c r="AU317" s="620">
        <v>8</v>
      </c>
      <c r="AV317" s="623">
        <f t="shared" si="82"/>
        <v>25.2</v>
      </c>
      <c r="AW317" s="621">
        <v>3.72</v>
      </c>
      <c r="AX317" s="621">
        <v>3.17</v>
      </c>
      <c r="AY317" s="621">
        <v>90</v>
      </c>
      <c r="AZ317" s="624">
        <f t="shared" si="83"/>
        <v>-4.8000000000000007</v>
      </c>
      <c r="BA317" s="623">
        <v>30</v>
      </c>
      <c r="BB317" s="620">
        <v>13</v>
      </c>
      <c r="BC317" s="620">
        <v>13.2</v>
      </c>
      <c r="BD317" s="623">
        <f t="shared" si="84"/>
        <v>26.2</v>
      </c>
      <c r="BE317" s="621"/>
      <c r="BF317" s="621"/>
      <c r="BG317" s="621"/>
      <c r="BH317" s="621">
        <f t="shared" si="85"/>
        <v>3.8000000000000007</v>
      </c>
    </row>
    <row r="318" spans="1:60" ht="17.25" thickTop="1" thickBot="1" x14ac:dyDescent="0.3">
      <c r="A318" s="602">
        <v>311</v>
      </c>
      <c r="B318" s="603">
        <f t="shared" ca="1" si="73"/>
        <v>43134</v>
      </c>
      <c r="C318" s="29" t="s">
        <v>614</v>
      </c>
      <c r="D318" s="59" t="s">
        <v>2899</v>
      </c>
      <c r="E318" s="22" t="s">
        <v>421</v>
      </c>
      <c r="F318" s="27" t="s">
        <v>1034</v>
      </c>
      <c r="G318" s="567">
        <v>42824</v>
      </c>
      <c r="H318" s="609">
        <f t="shared" si="86"/>
        <v>28</v>
      </c>
      <c r="I318" s="620">
        <v>7</v>
      </c>
      <c r="J318" s="620"/>
      <c r="K318" s="620">
        <v>8</v>
      </c>
      <c r="L318" s="611">
        <f t="shared" si="74"/>
        <v>15</v>
      </c>
      <c r="M318" s="621"/>
      <c r="N318" s="621"/>
      <c r="O318" s="621"/>
      <c r="P318" s="622">
        <f t="shared" si="75"/>
        <v>-13</v>
      </c>
      <c r="Q318" s="609">
        <f t="shared" si="87"/>
        <v>24.2</v>
      </c>
      <c r="R318" s="620">
        <v>12</v>
      </c>
      <c r="S318" s="620"/>
      <c r="T318" s="620">
        <v>16</v>
      </c>
      <c r="U318" s="611">
        <f t="shared" si="76"/>
        <v>28</v>
      </c>
      <c r="V318" s="621"/>
      <c r="W318" s="621"/>
      <c r="X318" s="621"/>
      <c r="Y318" s="622">
        <f t="shared" si="77"/>
        <v>3.8000000000000007</v>
      </c>
      <c r="Z318" s="609">
        <f t="shared" si="88"/>
        <v>24.2</v>
      </c>
      <c r="AA318" s="620">
        <v>11</v>
      </c>
      <c r="AB318" s="620"/>
      <c r="AC318" s="620">
        <v>9.1999999999999993</v>
      </c>
      <c r="AD318" s="611">
        <f t="shared" si="78"/>
        <v>20.2</v>
      </c>
      <c r="AE318" s="621"/>
      <c r="AF318" s="621"/>
      <c r="AG318" s="621"/>
      <c r="AH318" s="622">
        <f t="shared" si="79"/>
        <v>-4</v>
      </c>
      <c r="AI318" s="609">
        <f t="shared" si="89"/>
        <v>27.2</v>
      </c>
      <c r="AJ318" s="620">
        <v>9.1999999999999993</v>
      </c>
      <c r="AK318" s="620">
        <v>8</v>
      </c>
      <c r="AL318" s="620">
        <v>7</v>
      </c>
      <c r="AM318" s="623">
        <f t="shared" si="80"/>
        <v>24.2</v>
      </c>
      <c r="AN318" s="621"/>
      <c r="AO318" s="621"/>
      <c r="AP318" s="621"/>
      <c r="AQ318" s="622">
        <f t="shared" si="81"/>
        <v>-3</v>
      </c>
      <c r="AR318" s="615">
        <f t="shared" si="90"/>
        <v>39</v>
      </c>
      <c r="AS318" s="620">
        <v>9.6</v>
      </c>
      <c r="AT318" s="620">
        <v>8.6</v>
      </c>
      <c r="AU318" s="620">
        <v>9</v>
      </c>
      <c r="AV318" s="623">
        <f t="shared" si="82"/>
        <v>27.2</v>
      </c>
      <c r="AW318" s="621">
        <v>4.1500000000000004</v>
      </c>
      <c r="AX318" s="621">
        <v>3.42</v>
      </c>
      <c r="AY318" s="621">
        <v>90</v>
      </c>
      <c r="AZ318" s="624">
        <f t="shared" si="83"/>
        <v>-11.8</v>
      </c>
      <c r="BA318" s="623">
        <v>39</v>
      </c>
      <c r="BB318" s="620">
        <v>14</v>
      </c>
      <c r="BC318" s="620">
        <v>14</v>
      </c>
      <c r="BD318" s="623">
        <f t="shared" si="84"/>
        <v>28</v>
      </c>
      <c r="BE318" s="621"/>
      <c r="BF318" s="621"/>
      <c r="BG318" s="621"/>
      <c r="BH318" s="621">
        <f t="shared" si="85"/>
        <v>11</v>
      </c>
    </row>
    <row r="319" spans="1:60" ht="17.25" thickTop="1" thickBot="1" x14ac:dyDescent="0.3">
      <c r="A319" s="77">
        <v>312</v>
      </c>
      <c r="B319" s="603">
        <f t="shared" ca="1" si="73"/>
        <v>43134</v>
      </c>
      <c r="C319" s="29" t="s">
        <v>614</v>
      </c>
      <c r="D319" s="59" t="s">
        <v>2899</v>
      </c>
      <c r="E319" s="22" t="s">
        <v>67</v>
      </c>
      <c r="F319" s="27" t="s">
        <v>1540</v>
      </c>
      <c r="G319" s="567">
        <v>42865</v>
      </c>
      <c r="H319" s="609">
        <f t="shared" si="86"/>
        <v>20.100000000000001</v>
      </c>
      <c r="I319" s="620">
        <v>8.4</v>
      </c>
      <c r="J319" s="620">
        <v>6.2</v>
      </c>
      <c r="K319" s="620">
        <v>8</v>
      </c>
      <c r="L319" s="611">
        <f t="shared" si="74"/>
        <v>22.6</v>
      </c>
      <c r="M319" s="621"/>
      <c r="N319" s="621"/>
      <c r="O319" s="621"/>
      <c r="P319" s="622">
        <f t="shared" si="75"/>
        <v>2.5</v>
      </c>
      <c r="Q319" s="609">
        <f t="shared" si="87"/>
        <v>34.700000000000003</v>
      </c>
      <c r="R319" s="620">
        <v>8.3000000000000007</v>
      </c>
      <c r="S319" s="620">
        <v>5.6</v>
      </c>
      <c r="T319" s="620">
        <v>6.2</v>
      </c>
      <c r="U319" s="611">
        <f t="shared" si="76"/>
        <v>20.100000000000001</v>
      </c>
      <c r="V319" s="621"/>
      <c r="W319" s="621"/>
      <c r="X319" s="621"/>
      <c r="Y319" s="622">
        <f t="shared" si="77"/>
        <v>-14.600000000000001</v>
      </c>
      <c r="Z319" s="609">
        <f t="shared" si="88"/>
        <v>34.700000000000003</v>
      </c>
      <c r="AA319" s="620">
        <v>7</v>
      </c>
      <c r="AB319" s="620">
        <v>6.2</v>
      </c>
      <c r="AC319" s="620">
        <v>7.6</v>
      </c>
      <c r="AD319" s="611">
        <f t="shared" si="78"/>
        <v>20.799999999999997</v>
      </c>
      <c r="AE319" s="621"/>
      <c r="AF319" s="621"/>
      <c r="AG319" s="621"/>
      <c r="AH319" s="622">
        <f t="shared" si="79"/>
        <v>-13.900000000000006</v>
      </c>
      <c r="AI319" s="609">
        <f t="shared" si="89"/>
        <v>32.799999999999997</v>
      </c>
      <c r="AJ319" s="620">
        <v>10</v>
      </c>
      <c r="AK319" s="620">
        <v>14</v>
      </c>
      <c r="AL319" s="620">
        <v>10.7</v>
      </c>
      <c r="AM319" s="623">
        <f t="shared" si="80"/>
        <v>34.700000000000003</v>
      </c>
      <c r="AN319" s="621"/>
      <c r="AO319" s="621"/>
      <c r="AP319" s="621"/>
      <c r="AQ319" s="622">
        <f t="shared" si="81"/>
        <v>1.9000000000000057</v>
      </c>
      <c r="AR319" s="615">
        <f t="shared" si="90"/>
        <v>15.1</v>
      </c>
      <c r="AS319" s="620">
        <v>11.8</v>
      </c>
      <c r="AT319" s="620">
        <v>10</v>
      </c>
      <c r="AU319" s="620">
        <v>11</v>
      </c>
      <c r="AV319" s="623">
        <f t="shared" si="82"/>
        <v>32.799999999999997</v>
      </c>
      <c r="AW319" s="621">
        <v>3.65</v>
      </c>
      <c r="AX319" s="621">
        <v>3.09</v>
      </c>
      <c r="AY319" s="621">
        <v>90</v>
      </c>
      <c r="AZ319" s="624">
        <f t="shared" si="83"/>
        <v>17.699999999999996</v>
      </c>
      <c r="BA319" s="623">
        <v>15.1</v>
      </c>
      <c r="BB319" s="620">
        <v>8.6999999999999993</v>
      </c>
      <c r="BC319" s="620">
        <v>8.8000000000000007</v>
      </c>
      <c r="BD319" s="623">
        <f t="shared" si="84"/>
        <v>17.5</v>
      </c>
      <c r="BE319" s="621"/>
      <c r="BF319" s="621"/>
      <c r="BG319" s="621"/>
      <c r="BH319" s="621">
        <f t="shared" si="85"/>
        <v>-2.4000000000000004</v>
      </c>
    </row>
    <row r="320" spans="1:60" ht="17.25" thickTop="1" thickBot="1" x14ac:dyDescent="0.3">
      <c r="A320" s="602">
        <v>313</v>
      </c>
      <c r="B320" s="603">
        <f t="shared" ca="1" si="73"/>
        <v>43134</v>
      </c>
      <c r="C320" s="29" t="s">
        <v>614</v>
      </c>
      <c r="D320" s="59" t="s">
        <v>2899</v>
      </c>
      <c r="E320" s="22" t="s">
        <v>1449</v>
      </c>
      <c r="F320" s="27" t="s">
        <v>1821</v>
      </c>
      <c r="G320" s="567">
        <v>42864</v>
      </c>
      <c r="H320" s="609">
        <f t="shared" si="86"/>
        <v>20.8</v>
      </c>
      <c r="I320" s="620">
        <v>6.9</v>
      </c>
      <c r="J320" s="620">
        <v>4</v>
      </c>
      <c r="K320" s="620">
        <v>5</v>
      </c>
      <c r="L320" s="611">
        <f t="shared" si="74"/>
        <v>15.9</v>
      </c>
      <c r="M320" s="621"/>
      <c r="N320" s="621"/>
      <c r="O320" s="621"/>
      <c r="P320" s="622">
        <f t="shared" si="75"/>
        <v>-4.9000000000000004</v>
      </c>
      <c r="Q320" s="609">
        <f t="shared" si="87"/>
        <v>24.6</v>
      </c>
      <c r="R320" s="620">
        <v>10</v>
      </c>
      <c r="S320" s="620">
        <v>5</v>
      </c>
      <c r="T320" s="620">
        <v>5.8</v>
      </c>
      <c r="U320" s="611">
        <f t="shared" si="76"/>
        <v>20.8</v>
      </c>
      <c r="V320" s="621"/>
      <c r="W320" s="621"/>
      <c r="X320" s="621"/>
      <c r="Y320" s="622">
        <f t="shared" si="77"/>
        <v>-3.8000000000000007</v>
      </c>
      <c r="Z320" s="609">
        <f t="shared" si="88"/>
        <v>24.6</v>
      </c>
      <c r="AA320" s="620">
        <v>7</v>
      </c>
      <c r="AB320" s="620">
        <v>7.2</v>
      </c>
      <c r="AC320" s="620">
        <v>8</v>
      </c>
      <c r="AD320" s="611">
        <f t="shared" si="78"/>
        <v>22.2</v>
      </c>
      <c r="AE320" s="621"/>
      <c r="AF320" s="621"/>
      <c r="AG320" s="621"/>
      <c r="AH320" s="622">
        <f t="shared" si="79"/>
        <v>-2.4000000000000021</v>
      </c>
      <c r="AI320" s="609">
        <f t="shared" si="89"/>
        <v>36</v>
      </c>
      <c r="AJ320" s="620">
        <v>8.6</v>
      </c>
      <c r="AK320" s="620">
        <v>8</v>
      </c>
      <c r="AL320" s="620">
        <v>8</v>
      </c>
      <c r="AM320" s="623">
        <f t="shared" si="80"/>
        <v>24.6</v>
      </c>
      <c r="AN320" s="621"/>
      <c r="AO320" s="621"/>
      <c r="AP320" s="621"/>
      <c r="AQ320" s="622">
        <f t="shared" si="81"/>
        <v>-11.399999999999999</v>
      </c>
      <c r="AR320" s="615">
        <f t="shared" si="90"/>
        <v>15.1</v>
      </c>
      <c r="AS320" s="620">
        <v>10</v>
      </c>
      <c r="AT320" s="620">
        <v>9.6</v>
      </c>
      <c r="AU320" s="620">
        <v>16.399999999999999</v>
      </c>
      <c r="AV320" s="623">
        <f t="shared" si="82"/>
        <v>36</v>
      </c>
      <c r="AW320" s="621">
        <v>3.06</v>
      </c>
      <c r="AX320" s="621">
        <v>2.87</v>
      </c>
      <c r="AY320" s="621">
        <v>90</v>
      </c>
      <c r="AZ320" s="624">
        <f t="shared" si="83"/>
        <v>20.9</v>
      </c>
      <c r="BA320" s="623">
        <v>15.1</v>
      </c>
      <c r="BB320" s="620">
        <v>8.6999999999999993</v>
      </c>
      <c r="BC320" s="620">
        <v>0.3</v>
      </c>
      <c r="BD320" s="623">
        <f t="shared" si="84"/>
        <v>9</v>
      </c>
      <c r="BE320" s="621"/>
      <c r="BF320" s="621"/>
      <c r="BG320" s="621"/>
      <c r="BH320" s="621">
        <f t="shared" si="85"/>
        <v>6.1</v>
      </c>
    </row>
    <row r="321" spans="1:60" ht="17.25" thickTop="1" thickBot="1" x14ac:dyDescent="0.3">
      <c r="A321" s="77">
        <v>314</v>
      </c>
      <c r="B321" s="603">
        <f t="shared" ca="1" si="73"/>
        <v>43134</v>
      </c>
      <c r="C321" s="29" t="s">
        <v>614</v>
      </c>
      <c r="D321" s="59" t="s">
        <v>2899</v>
      </c>
      <c r="E321" s="22" t="s">
        <v>411</v>
      </c>
      <c r="F321" s="27" t="s">
        <v>658</v>
      </c>
      <c r="G321" s="567">
        <v>42813</v>
      </c>
      <c r="H321" s="609">
        <f t="shared" si="86"/>
        <v>26.4</v>
      </c>
      <c r="I321" s="620">
        <v>10.8</v>
      </c>
      <c r="J321" s="620">
        <v>9</v>
      </c>
      <c r="K321" s="620">
        <v>10</v>
      </c>
      <c r="L321" s="611">
        <f t="shared" si="74"/>
        <v>29.8</v>
      </c>
      <c r="M321" s="621"/>
      <c r="N321" s="621"/>
      <c r="O321" s="621"/>
      <c r="P321" s="622">
        <f t="shared" si="75"/>
        <v>3.4000000000000021</v>
      </c>
      <c r="Q321" s="609">
        <f t="shared" si="87"/>
        <v>36.799999999999997</v>
      </c>
      <c r="R321" s="620">
        <v>9.4</v>
      </c>
      <c r="S321" s="620">
        <v>9</v>
      </c>
      <c r="T321" s="620">
        <v>8</v>
      </c>
      <c r="U321" s="611">
        <f t="shared" si="76"/>
        <v>26.4</v>
      </c>
      <c r="V321" s="621"/>
      <c r="W321" s="621"/>
      <c r="X321" s="621"/>
      <c r="Y321" s="622">
        <f t="shared" si="77"/>
        <v>-10.399999999999999</v>
      </c>
      <c r="Z321" s="609">
        <f t="shared" si="88"/>
        <v>36.799999999999997</v>
      </c>
      <c r="AA321" s="620">
        <v>16</v>
      </c>
      <c r="AB321" s="620">
        <v>14</v>
      </c>
      <c r="AC321" s="620">
        <v>12.5</v>
      </c>
      <c r="AD321" s="611">
        <f t="shared" si="78"/>
        <v>42.5</v>
      </c>
      <c r="AE321" s="621"/>
      <c r="AF321" s="621"/>
      <c r="AG321" s="621"/>
      <c r="AH321" s="622">
        <f t="shared" si="79"/>
        <v>5.7000000000000028</v>
      </c>
      <c r="AI321" s="609">
        <f t="shared" si="89"/>
        <v>36.799999999999997</v>
      </c>
      <c r="AJ321" s="620">
        <v>12</v>
      </c>
      <c r="AK321" s="620">
        <v>11.4</v>
      </c>
      <c r="AL321" s="620">
        <v>13.4</v>
      </c>
      <c r="AM321" s="623">
        <f t="shared" si="80"/>
        <v>36.799999999999997</v>
      </c>
      <c r="AN321" s="621"/>
      <c r="AO321" s="621"/>
      <c r="AP321" s="621"/>
      <c r="AQ321" s="622">
        <f t="shared" si="81"/>
        <v>0</v>
      </c>
      <c r="AR321" s="615">
        <f t="shared" si="90"/>
        <v>38.5</v>
      </c>
      <c r="AS321" s="620">
        <v>11.6</v>
      </c>
      <c r="AT321" s="620">
        <v>10.4</v>
      </c>
      <c r="AU321" s="620">
        <v>14.8</v>
      </c>
      <c r="AV321" s="623">
        <f t="shared" si="82"/>
        <v>36.799999999999997</v>
      </c>
      <c r="AW321" s="621">
        <v>3.04</v>
      </c>
      <c r="AX321" s="621">
        <v>3.02</v>
      </c>
      <c r="AY321" s="621">
        <v>90</v>
      </c>
      <c r="AZ321" s="624">
        <f t="shared" si="83"/>
        <v>-1.7000000000000028</v>
      </c>
      <c r="BA321" s="623">
        <v>38.5</v>
      </c>
      <c r="BB321" s="620">
        <v>22.5</v>
      </c>
      <c r="BC321" s="620">
        <v>19.399999999999999</v>
      </c>
      <c r="BD321" s="623">
        <f t="shared" si="84"/>
        <v>41.9</v>
      </c>
      <c r="BE321" s="621"/>
      <c r="BF321" s="621"/>
      <c r="BG321" s="621"/>
      <c r="BH321" s="621">
        <f t="shared" si="85"/>
        <v>-3.3999999999999986</v>
      </c>
    </row>
    <row r="322" spans="1:60" ht="17.25" thickTop="1" thickBot="1" x14ac:dyDescent="0.3">
      <c r="A322" s="602">
        <v>315</v>
      </c>
      <c r="B322" s="603">
        <f t="shared" ca="1" si="73"/>
        <v>43134</v>
      </c>
      <c r="C322" s="29" t="s">
        <v>614</v>
      </c>
      <c r="D322" s="59" t="s">
        <v>2899</v>
      </c>
      <c r="E322" s="22" t="s">
        <v>439</v>
      </c>
      <c r="F322" s="27" t="s">
        <v>440</v>
      </c>
      <c r="G322" s="567">
        <v>42836</v>
      </c>
      <c r="H322" s="609">
        <f t="shared" si="86"/>
        <v>20.2</v>
      </c>
      <c r="I322" s="620">
        <v>11</v>
      </c>
      <c r="J322" s="620">
        <v>8.4</v>
      </c>
      <c r="K322" s="620">
        <v>9.1999999999999993</v>
      </c>
      <c r="L322" s="611">
        <f t="shared" si="74"/>
        <v>28.599999999999998</v>
      </c>
      <c r="M322" s="621"/>
      <c r="N322" s="621"/>
      <c r="O322" s="621"/>
      <c r="P322" s="622">
        <f t="shared" si="75"/>
        <v>8.3999999999999986</v>
      </c>
      <c r="Q322" s="609">
        <f t="shared" si="87"/>
        <v>32.200000000000003</v>
      </c>
      <c r="R322" s="620">
        <v>7</v>
      </c>
      <c r="S322" s="620">
        <v>7.2</v>
      </c>
      <c r="T322" s="620">
        <v>6</v>
      </c>
      <c r="U322" s="611">
        <f t="shared" si="76"/>
        <v>20.2</v>
      </c>
      <c r="V322" s="621"/>
      <c r="W322" s="621"/>
      <c r="X322" s="621"/>
      <c r="Y322" s="622">
        <f t="shared" si="77"/>
        <v>-12.000000000000004</v>
      </c>
      <c r="Z322" s="609">
        <f t="shared" si="88"/>
        <v>32.200000000000003</v>
      </c>
      <c r="AA322" s="620">
        <v>9</v>
      </c>
      <c r="AB322" s="620">
        <v>13</v>
      </c>
      <c r="AC322" s="620">
        <v>9.1999999999999993</v>
      </c>
      <c r="AD322" s="611">
        <f t="shared" si="78"/>
        <v>31.2</v>
      </c>
      <c r="AE322" s="621"/>
      <c r="AF322" s="621"/>
      <c r="AG322" s="621"/>
      <c r="AH322" s="622">
        <f t="shared" si="79"/>
        <v>-1.0000000000000036</v>
      </c>
      <c r="AI322" s="609">
        <f t="shared" si="89"/>
        <v>31.400000000000002</v>
      </c>
      <c r="AJ322" s="620">
        <v>10.4</v>
      </c>
      <c r="AK322" s="620">
        <v>11</v>
      </c>
      <c r="AL322" s="620">
        <v>10.8</v>
      </c>
      <c r="AM322" s="623">
        <f t="shared" si="80"/>
        <v>32.200000000000003</v>
      </c>
      <c r="AN322" s="621"/>
      <c r="AO322" s="621"/>
      <c r="AP322" s="621"/>
      <c r="AQ322" s="622">
        <f t="shared" si="81"/>
        <v>0.80000000000000071</v>
      </c>
      <c r="AR322" s="615">
        <f t="shared" si="90"/>
        <v>35.5</v>
      </c>
      <c r="AS322" s="620">
        <v>11.4</v>
      </c>
      <c r="AT322" s="620">
        <v>10.199999999999999</v>
      </c>
      <c r="AU322" s="620">
        <v>9.8000000000000007</v>
      </c>
      <c r="AV322" s="623">
        <f t="shared" si="82"/>
        <v>31.400000000000002</v>
      </c>
      <c r="AW322" s="621">
        <v>3.63</v>
      </c>
      <c r="AX322" s="621">
        <v>3.25</v>
      </c>
      <c r="AY322" s="621">
        <v>90</v>
      </c>
      <c r="AZ322" s="624">
        <f t="shared" si="83"/>
        <v>-4.0999999999999979</v>
      </c>
      <c r="BA322" s="623">
        <v>35.5</v>
      </c>
      <c r="BB322" s="620">
        <v>8</v>
      </c>
      <c r="BC322" s="620">
        <v>5.2</v>
      </c>
      <c r="BD322" s="623">
        <f t="shared" si="84"/>
        <v>13.2</v>
      </c>
      <c r="BE322" s="621"/>
      <c r="BF322" s="621"/>
      <c r="BG322" s="621"/>
      <c r="BH322" s="621">
        <f t="shared" si="85"/>
        <v>22.3</v>
      </c>
    </row>
    <row r="323" spans="1:60" ht="17.25" thickTop="1" thickBot="1" x14ac:dyDescent="0.3">
      <c r="A323" s="77">
        <v>316</v>
      </c>
      <c r="B323" s="603">
        <f t="shared" ca="1" si="73"/>
        <v>43134</v>
      </c>
      <c r="C323" s="29" t="s">
        <v>614</v>
      </c>
      <c r="D323" s="59" t="s">
        <v>2899</v>
      </c>
      <c r="E323" s="22" t="s">
        <v>148</v>
      </c>
      <c r="F323" s="27" t="s">
        <v>149</v>
      </c>
      <c r="G323" s="567">
        <v>42731</v>
      </c>
      <c r="H323" s="609">
        <f t="shared" si="86"/>
        <v>0</v>
      </c>
      <c r="I323" s="620"/>
      <c r="J323" s="620"/>
      <c r="K323" s="620"/>
      <c r="L323" s="611">
        <f t="shared" si="74"/>
        <v>0</v>
      </c>
      <c r="M323" s="621"/>
      <c r="N323" s="621"/>
      <c r="O323" s="621"/>
      <c r="P323" s="622">
        <f t="shared" si="75"/>
        <v>0</v>
      </c>
      <c r="Q323" s="609">
        <f t="shared" si="87"/>
        <v>20</v>
      </c>
      <c r="R323" s="620"/>
      <c r="S323" s="620"/>
      <c r="T323" s="620"/>
      <c r="U323" s="611">
        <f t="shared" si="76"/>
        <v>0</v>
      </c>
      <c r="V323" s="621"/>
      <c r="W323" s="621"/>
      <c r="X323" s="621"/>
      <c r="Y323" s="622">
        <f t="shared" si="77"/>
        <v>-20</v>
      </c>
      <c r="Z323" s="609">
        <f t="shared" si="88"/>
        <v>20</v>
      </c>
      <c r="AA323" s="620">
        <v>15.2</v>
      </c>
      <c r="AB323" s="620"/>
      <c r="AC323" s="620">
        <v>13.8</v>
      </c>
      <c r="AD323" s="611">
        <f t="shared" si="78"/>
        <v>29</v>
      </c>
      <c r="AE323" s="621"/>
      <c r="AF323" s="621"/>
      <c r="AG323" s="621"/>
      <c r="AH323" s="622">
        <f t="shared" si="79"/>
        <v>9</v>
      </c>
      <c r="AI323" s="609">
        <f t="shared" si="89"/>
        <v>29</v>
      </c>
      <c r="AJ323" s="620">
        <v>13</v>
      </c>
      <c r="AK323" s="620"/>
      <c r="AL323" s="620">
        <v>7</v>
      </c>
      <c r="AM323" s="623">
        <f t="shared" si="80"/>
        <v>20</v>
      </c>
      <c r="AN323" s="621"/>
      <c r="AO323" s="621"/>
      <c r="AP323" s="621"/>
      <c r="AQ323" s="622">
        <f t="shared" si="81"/>
        <v>-9</v>
      </c>
      <c r="AR323" s="615">
        <f t="shared" si="90"/>
        <v>35</v>
      </c>
      <c r="AS323" s="620">
        <v>11</v>
      </c>
      <c r="AT323" s="620">
        <v>9</v>
      </c>
      <c r="AU323" s="620">
        <v>9</v>
      </c>
      <c r="AV323" s="623">
        <f t="shared" si="82"/>
        <v>29</v>
      </c>
      <c r="AW323" s="621">
        <v>3.31</v>
      </c>
      <c r="AX323" s="621">
        <v>3.48</v>
      </c>
      <c r="AY323" s="621">
        <v>90</v>
      </c>
      <c r="AZ323" s="624">
        <f t="shared" si="83"/>
        <v>-6</v>
      </c>
      <c r="BA323" s="623">
        <v>35</v>
      </c>
      <c r="BB323" s="620">
        <v>16</v>
      </c>
      <c r="BC323" s="620">
        <v>13</v>
      </c>
      <c r="BD323" s="623">
        <f t="shared" si="84"/>
        <v>29</v>
      </c>
      <c r="BE323" s="621"/>
      <c r="BF323" s="621"/>
      <c r="BG323" s="621"/>
      <c r="BH323" s="621">
        <f t="shared" si="85"/>
        <v>6</v>
      </c>
    </row>
    <row r="324" spans="1:60" ht="17.25" thickTop="1" thickBot="1" x14ac:dyDescent="0.3">
      <c r="A324" s="602">
        <v>317</v>
      </c>
      <c r="B324" s="603">
        <f t="shared" ca="1" si="73"/>
        <v>43134</v>
      </c>
      <c r="C324" s="29" t="s">
        <v>614</v>
      </c>
      <c r="D324" s="59" t="s">
        <v>2899</v>
      </c>
      <c r="E324" s="22" t="s">
        <v>1410</v>
      </c>
      <c r="F324" s="27" t="s">
        <v>1411</v>
      </c>
      <c r="G324" s="567">
        <v>42824</v>
      </c>
      <c r="H324" s="609">
        <f t="shared" si="86"/>
        <v>30.2</v>
      </c>
      <c r="I324" s="620">
        <v>12.5</v>
      </c>
      <c r="J324" s="620">
        <v>13</v>
      </c>
      <c r="K324" s="620">
        <v>14</v>
      </c>
      <c r="L324" s="611">
        <f t="shared" si="74"/>
        <v>39.5</v>
      </c>
      <c r="M324" s="621"/>
      <c r="N324" s="621"/>
      <c r="O324" s="621"/>
      <c r="P324" s="622">
        <f t="shared" si="75"/>
        <v>9.3000000000000007</v>
      </c>
      <c r="Q324" s="609">
        <f t="shared" si="87"/>
        <v>39</v>
      </c>
      <c r="R324" s="620">
        <v>8.4</v>
      </c>
      <c r="S324" s="620">
        <v>12</v>
      </c>
      <c r="T324" s="620">
        <v>9.8000000000000007</v>
      </c>
      <c r="U324" s="611">
        <f t="shared" si="76"/>
        <v>30.2</v>
      </c>
      <c r="V324" s="621"/>
      <c r="W324" s="621"/>
      <c r="X324" s="621"/>
      <c r="Y324" s="622">
        <f t="shared" si="77"/>
        <v>-8.8000000000000007</v>
      </c>
      <c r="Z324" s="609">
        <f t="shared" si="88"/>
        <v>39</v>
      </c>
      <c r="AA324" s="620">
        <v>11</v>
      </c>
      <c r="AB324" s="620">
        <v>10</v>
      </c>
      <c r="AC324" s="620">
        <v>8</v>
      </c>
      <c r="AD324" s="611">
        <f t="shared" si="78"/>
        <v>29</v>
      </c>
      <c r="AE324" s="621"/>
      <c r="AF324" s="621"/>
      <c r="AG324" s="621"/>
      <c r="AH324" s="622">
        <f t="shared" si="79"/>
        <v>-10</v>
      </c>
      <c r="AI324" s="609">
        <f t="shared" si="89"/>
        <v>36.200000000000003</v>
      </c>
      <c r="AJ324" s="620">
        <v>19</v>
      </c>
      <c r="AK324" s="620">
        <v>9</v>
      </c>
      <c r="AL324" s="620">
        <v>11</v>
      </c>
      <c r="AM324" s="623">
        <f t="shared" si="80"/>
        <v>39</v>
      </c>
      <c r="AN324" s="621"/>
      <c r="AO324" s="621"/>
      <c r="AP324" s="621"/>
      <c r="AQ324" s="622">
        <f t="shared" si="81"/>
        <v>2.7999999999999972</v>
      </c>
      <c r="AR324" s="615">
        <f t="shared" si="90"/>
        <v>34.6</v>
      </c>
      <c r="AS324" s="620">
        <v>14</v>
      </c>
      <c r="AT324" s="620">
        <v>11</v>
      </c>
      <c r="AU324" s="620">
        <v>11.2</v>
      </c>
      <c r="AV324" s="623">
        <f t="shared" si="82"/>
        <v>36.200000000000003</v>
      </c>
      <c r="AW324" s="621">
        <v>2.39</v>
      </c>
      <c r="AX324" s="621">
        <v>3.05</v>
      </c>
      <c r="AY324" s="621">
        <v>90</v>
      </c>
      <c r="AZ324" s="624">
        <f t="shared" si="83"/>
        <v>1.6000000000000014</v>
      </c>
      <c r="BA324" s="623">
        <v>34.6</v>
      </c>
      <c r="BB324" s="620">
        <v>20</v>
      </c>
      <c r="BC324" s="620">
        <v>16.600000000000001</v>
      </c>
      <c r="BD324" s="623">
        <f t="shared" si="84"/>
        <v>36.6</v>
      </c>
      <c r="BE324" s="621"/>
      <c r="BF324" s="621"/>
      <c r="BG324" s="621"/>
      <c r="BH324" s="621">
        <f t="shared" si="85"/>
        <v>-2</v>
      </c>
    </row>
    <row r="325" spans="1:60" ht="17.25" thickTop="1" thickBot="1" x14ac:dyDescent="0.3">
      <c r="A325" s="77">
        <v>318</v>
      </c>
      <c r="B325" s="603">
        <f t="shared" ca="1" si="73"/>
        <v>43134</v>
      </c>
      <c r="C325" s="29" t="s">
        <v>614</v>
      </c>
      <c r="D325" s="59" t="s">
        <v>2899</v>
      </c>
      <c r="E325" s="22" t="s">
        <v>527</v>
      </c>
      <c r="F325" s="27" t="s">
        <v>528</v>
      </c>
      <c r="G325" s="567">
        <v>42806</v>
      </c>
      <c r="H325" s="609">
        <f t="shared" si="86"/>
        <v>21</v>
      </c>
      <c r="I325" s="620">
        <v>2.6</v>
      </c>
      <c r="J325" s="620"/>
      <c r="K325" s="620">
        <v>2</v>
      </c>
      <c r="L325" s="611">
        <f t="shared" si="74"/>
        <v>4.5999999999999996</v>
      </c>
      <c r="M325" s="621"/>
      <c r="N325" s="621"/>
      <c r="O325" s="621"/>
      <c r="P325" s="622">
        <f t="shared" si="75"/>
        <v>-16.399999999999999</v>
      </c>
      <c r="Q325" s="609">
        <f t="shared" si="87"/>
        <v>21.4</v>
      </c>
      <c r="R325" s="620">
        <v>10.6</v>
      </c>
      <c r="S325" s="620"/>
      <c r="T325" s="620">
        <v>10.4</v>
      </c>
      <c r="U325" s="611">
        <f t="shared" si="76"/>
        <v>21</v>
      </c>
      <c r="V325" s="621"/>
      <c r="W325" s="621"/>
      <c r="X325" s="621"/>
      <c r="Y325" s="622">
        <f t="shared" si="77"/>
        <v>-0.39999999999999858</v>
      </c>
      <c r="Z325" s="609">
        <f t="shared" si="88"/>
        <v>21.4</v>
      </c>
      <c r="AA325" s="620">
        <v>8.4</v>
      </c>
      <c r="AB325" s="620"/>
      <c r="AC325" s="620">
        <v>8</v>
      </c>
      <c r="AD325" s="611">
        <f t="shared" si="78"/>
        <v>16.399999999999999</v>
      </c>
      <c r="AE325" s="621"/>
      <c r="AF325" s="621"/>
      <c r="AG325" s="621"/>
      <c r="AH325" s="622">
        <f t="shared" si="79"/>
        <v>-5</v>
      </c>
      <c r="AI325" s="609">
        <f t="shared" si="89"/>
        <v>27.2</v>
      </c>
      <c r="AJ325" s="620">
        <v>5.2</v>
      </c>
      <c r="AK325" s="620">
        <v>8.1999999999999993</v>
      </c>
      <c r="AL325" s="620">
        <v>8</v>
      </c>
      <c r="AM325" s="623">
        <f t="shared" si="80"/>
        <v>21.4</v>
      </c>
      <c r="AN325" s="621"/>
      <c r="AO325" s="621"/>
      <c r="AP325" s="621"/>
      <c r="AQ325" s="622">
        <f t="shared" si="81"/>
        <v>-5.8000000000000007</v>
      </c>
      <c r="AR325" s="615">
        <f t="shared" si="90"/>
        <v>34</v>
      </c>
      <c r="AS325" s="620">
        <v>9.1999999999999993</v>
      </c>
      <c r="AT325" s="620">
        <v>10</v>
      </c>
      <c r="AU325" s="620">
        <v>8</v>
      </c>
      <c r="AV325" s="623">
        <f t="shared" si="82"/>
        <v>27.2</v>
      </c>
      <c r="AW325" s="621">
        <v>4.41</v>
      </c>
      <c r="AX325" s="621">
        <v>3.42</v>
      </c>
      <c r="AY325" s="621">
        <v>90</v>
      </c>
      <c r="AZ325" s="624">
        <f t="shared" si="83"/>
        <v>-6.8000000000000007</v>
      </c>
      <c r="BA325" s="623">
        <v>34</v>
      </c>
      <c r="BB325" s="620">
        <v>17</v>
      </c>
      <c r="BC325" s="620">
        <v>17</v>
      </c>
      <c r="BD325" s="623">
        <f t="shared" si="84"/>
        <v>34</v>
      </c>
      <c r="BE325" s="621"/>
      <c r="BF325" s="621"/>
      <c r="BG325" s="621"/>
      <c r="BH325" s="621">
        <f t="shared" si="85"/>
        <v>0</v>
      </c>
    </row>
    <row r="326" spans="1:60" ht="17.25" thickTop="1" thickBot="1" x14ac:dyDescent="0.3">
      <c r="A326" s="602">
        <v>319</v>
      </c>
      <c r="B326" s="603">
        <f t="shared" ca="1" si="73"/>
        <v>43134</v>
      </c>
      <c r="C326" s="29" t="s">
        <v>614</v>
      </c>
      <c r="D326" s="59" t="s">
        <v>2899</v>
      </c>
      <c r="E326" s="22" t="s">
        <v>532</v>
      </c>
      <c r="F326" s="27" t="s">
        <v>533</v>
      </c>
      <c r="G326" s="567">
        <v>42764</v>
      </c>
      <c r="H326" s="609">
        <f t="shared" si="86"/>
        <v>14.2</v>
      </c>
      <c r="I326" s="620">
        <v>3</v>
      </c>
      <c r="J326" s="620"/>
      <c r="K326" s="620"/>
      <c r="L326" s="611">
        <f t="shared" si="74"/>
        <v>3</v>
      </c>
      <c r="M326" s="621"/>
      <c r="N326" s="621"/>
      <c r="O326" s="621"/>
      <c r="P326" s="622">
        <f t="shared" si="75"/>
        <v>-11.2</v>
      </c>
      <c r="Q326" s="609">
        <f t="shared" si="87"/>
        <v>15.4</v>
      </c>
      <c r="R326" s="620">
        <v>6.8</v>
      </c>
      <c r="S326" s="620"/>
      <c r="T326" s="620">
        <v>7.4</v>
      </c>
      <c r="U326" s="611">
        <f t="shared" si="76"/>
        <v>14.2</v>
      </c>
      <c r="V326" s="621"/>
      <c r="W326" s="621"/>
      <c r="X326" s="621"/>
      <c r="Y326" s="622">
        <f t="shared" si="77"/>
        <v>-1.2000000000000011</v>
      </c>
      <c r="Z326" s="609">
        <f t="shared" si="88"/>
        <v>15.4</v>
      </c>
      <c r="AA326" s="620">
        <v>7</v>
      </c>
      <c r="AB326" s="620"/>
      <c r="AC326" s="620">
        <v>8.8000000000000007</v>
      </c>
      <c r="AD326" s="611">
        <f t="shared" si="78"/>
        <v>15.8</v>
      </c>
      <c r="AE326" s="621"/>
      <c r="AF326" s="621"/>
      <c r="AG326" s="621"/>
      <c r="AH326" s="622">
        <f t="shared" si="79"/>
        <v>0.40000000000000036</v>
      </c>
      <c r="AI326" s="609">
        <f t="shared" si="89"/>
        <v>27</v>
      </c>
      <c r="AJ326" s="620">
        <v>12</v>
      </c>
      <c r="AK326" s="620"/>
      <c r="AL326" s="620">
        <v>3.4</v>
      </c>
      <c r="AM326" s="623">
        <f t="shared" si="80"/>
        <v>15.4</v>
      </c>
      <c r="AN326" s="621"/>
      <c r="AO326" s="621"/>
      <c r="AP326" s="621"/>
      <c r="AQ326" s="622">
        <f t="shared" si="81"/>
        <v>-11.6</v>
      </c>
      <c r="AR326" s="615">
        <f t="shared" si="90"/>
        <v>37</v>
      </c>
      <c r="AS326" s="620">
        <v>9</v>
      </c>
      <c r="AT326" s="620">
        <v>10</v>
      </c>
      <c r="AU326" s="620">
        <v>8</v>
      </c>
      <c r="AV326" s="623">
        <f t="shared" si="82"/>
        <v>27</v>
      </c>
      <c r="AW326" s="621">
        <v>3.84</v>
      </c>
      <c r="AX326" s="621">
        <v>3.41</v>
      </c>
      <c r="AY326" s="621">
        <v>101</v>
      </c>
      <c r="AZ326" s="624">
        <f t="shared" si="83"/>
        <v>-10</v>
      </c>
      <c r="BA326" s="623">
        <v>37</v>
      </c>
      <c r="BB326" s="620">
        <v>16</v>
      </c>
      <c r="BC326" s="620" t="s">
        <v>2825</v>
      </c>
      <c r="BD326" s="623">
        <f t="shared" si="84"/>
        <v>16</v>
      </c>
      <c r="BE326" s="621"/>
      <c r="BF326" s="621"/>
      <c r="BG326" s="621"/>
      <c r="BH326" s="621">
        <f t="shared" si="85"/>
        <v>21</v>
      </c>
    </row>
    <row r="327" spans="1:60" ht="17.25" thickTop="1" thickBot="1" x14ac:dyDescent="0.3">
      <c r="A327" s="77">
        <v>320</v>
      </c>
      <c r="B327" s="603">
        <f t="shared" ca="1" si="73"/>
        <v>43134</v>
      </c>
      <c r="C327" s="29" t="s">
        <v>614</v>
      </c>
      <c r="D327" s="59" t="s">
        <v>2899</v>
      </c>
      <c r="E327" s="22" t="s">
        <v>469</v>
      </c>
      <c r="F327" s="27" t="s">
        <v>470</v>
      </c>
      <c r="G327" s="567">
        <v>42775</v>
      </c>
      <c r="H327" s="609">
        <f t="shared" si="86"/>
        <v>24.799999999999997</v>
      </c>
      <c r="I327" s="620">
        <v>10</v>
      </c>
      <c r="J327" s="620"/>
      <c r="K327" s="620">
        <v>8</v>
      </c>
      <c r="L327" s="611">
        <f t="shared" si="74"/>
        <v>18</v>
      </c>
      <c r="M327" s="621"/>
      <c r="N327" s="621"/>
      <c r="O327" s="621"/>
      <c r="P327" s="622">
        <f t="shared" si="75"/>
        <v>-6.7999999999999972</v>
      </c>
      <c r="Q327" s="609">
        <f t="shared" si="87"/>
        <v>30.8</v>
      </c>
      <c r="R327" s="620">
        <v>13.2</v>
      </c>
      <c r="S327" s="620"/>
      <c r="T327" s="620">
        <v>11.6</v>
      </c>
      <c r="U327" s="611">
        <f t="shared" si="76"/>
        <v>24.799999999999997</v>
      </c>
      <c r="V327" s="621"/>
      <c r="W327" s="621"/>
      <c r="X327" s="621"/>
      <c r="Y327" s="622">
        <f t="shared" si="77"/>
        <v>-6.0000000000000036</v>
      </c>
      <c r="Z327" s="609">
        <f t="shared" si="88"/>
        <v>30.8</v>
      </c>
      <c r="AA327" s="620">
        <v>9</v>
      </c>
      <c r="AB327" s="620">
        <v>8.1999999999999993</v>
      </c>
      <c r="AC327" s="620">
        <v>8</v>
      </c>
      <c r="AD327" s="611">
        <f t="shared" si="78"/>
        <v>25.2</v>
      </c>
      <c r="AE327" s="621"/>
      <c r="AF327" s="621"/>
      <c r="AG327" s="621"/>
      <c r="AH327" s="622">
        <f t="shared" si="79"/>
        <v>-5.6000000000000014</v>
      </c>
      <c r="AI327" s="609">
        <f t="shared" si="89"/>
        <v>29.8</v>
      </c>
      <c r="AJ327" s="620">
        <v>11</v>
      </c>
      <c r="AK327" s="620">
        <v>10</v>
      </c>
      <c r="AL327" s="620">
        <v>9.8000000000000007</v>
      </c>
      <c r="AM327" s="623">
        <f t="shared" si="80"/>
        <v>30.8</v>
      </c>
      <c r="AN327" s="621"/>
      <c r="AO327" s="621"/>
      <c r="AP327" s="621"/>
      <c r="AQ327" s="622">
        <f t="shared" si="81"/>
        <v>1</v>
      </c>
      <c r="AR327" s="615">
        <f t="shared" si="90"/>
        <v>36.5</v>
      </c>
      <c r="AS327" s="620">
        <v>11</v>
      </c>
      <c r="AT327" s="620">
        <v>8.8000000000000007</v>
      </c>
      <c r="AU327" s="620">
        <v>10</v>
      </c>
      <c r="AV327" s="623">
        <f t="shared" si="82"/>
        <v>29.8</v>
      </c>
      <c r="AW327" s="621">
        <v>3.57</v>
      </c>
      <c r="AX327" s="621">
        <v>3.14</v>
      </c>
      <c r="AY327" s="621">
        <v>90</v>
      </c>
      <c r="AZ327" s="624">
        <f t="shared" si="83"/>
        <v>-6.6999999999999993</v>
      </c>
      <c r="BA327" s="623">
        <v>36.5</v>
      </c>
      <c r="BB327" s="620">
        <v>16</v>
      </c>
      <c r="BC327" s="620">
        <v>15.2</v>
      </c>
      <c r="BD327" s="623">
        <f t="shared" si="84"/>
        <v>31.2</v>
      </c>
      <c r="BE327" s="621"/>
      <c r="BF327" s="621"/>
      <c r="BG327" s="621"/>
      <c r="BH327" s="621">
        <f t="shared" si="85"/>
        <v>5.3000000000000007</v>
      </c>
    </row>
    <row r="328" spans="1:60" ht="17.25" thickTop="1" thickBot="1" x14ac:dyDescent="0.3">
      <c r="A328" s="602">
        <v>321</v>
      </c>
      <c r="B328" s="603">
        <f t="shared" ref="B328:B391" ca="1" si="91">TODAY()</f>
        <v>43134</v>
      </c>
      <c r="C328" s="29" t="s">
        <v>614</v>
      </c>
      <c r="D328" s="59" t="s">
        <v>2901</v>
      </c>
      <c r="E328" s="22" t="s">
        <v>1093</v>
      </c>
      <c r="F328" s="27" t="s">
        <v>1005</v>
      </c>
      <c r="G328" s="567">
        <v>42763</v>
      </c>
      <c r="H328" s="609">
        <f t="shared" si="86"/>
        <v>16</v>
      </c>
      <c r="I328" s="620">
        <v>8.4</v>
      </c>
      <c r="J328" s="620"/>
      <c r="K328" s="620"/>
      <c r="L328" s="611">
        <f t="shared" ref="L328:L391" si="92">SUM(I328:K328)</f>
        <v>8.4</v>
      </c>
      <c r="M328" s="621"/>
      <c r="N328" s="621"/>
      <c r="O328" s="621"/>
      <c r="P328" s="622">
        <f t="shared" ref="P328:P391" si="93">L328-H328</f>
        <v>-7.6</v>
      </c>
      <c r="Q328" s="609">
        <f t="shared" si="87"/>
        <v>20.8</v>
      </c>
      <c r="R328" s="620">
        <v>6.8</v>
      </c>
      <c r="S328" s="620"/>
      <c r="T328" s="620">
        <v>9.1999999999999993</v>
      </c>
      <c r="U328" s="611">
        <f t="shared" ref="U328:U391" si="94">SUM(R328:T328)</f>
        <v>16</v>
      </c>
      <c r="V328" s="621"/>
      <c r="W328" s="621"/>
      <c r="X328" s="621"/>
      <c r="Y328" s="622">
        <f t="shared" ref="Y328:Y391" si="95">U328-Q328</f>
        <v>-4.8000000000000007</v>
      </c>
      <c r="Z328" s="609">
        <f t="shared" si="88"/>
        <v>20.8</v>
      </c>
      <c r="AA328" s="620">
        <v>10.199999999999999</v>
      </c>
      <c r="AB328" s="620"/>
      <c r="AC328" s="620">
        <v>7</v>
      </c>
      <c r="AD328" s="611">
        <f t="shared" ref="AD328:AD391" si="96">SUM(AA328:AC328)</f>
        <v>17.2</v>
      </c>
      <c r="AE328" s="621"/>
      <c r="AF328" s="621"/>
      <c r="AG328" s="621"/>
      <c r="AH328" s="622">
        <f t="shared" ref="AH328:AH391" si="97">AD328-Z328</f>
        <v>-3.6000000000000014</v>
      </c>
      <c r="AI328" s="609">
        <f t="shared" si="89"/>
        <v>27.6</v>
      </c>
      <c r="AJ328" s="620">
        <v>12</v>
      </c>
      <c r="AK328" s="620"/>
      <c r="AL328" s="620">
        <v>8.8000000000000007</v>
      </c>
      <c r="AM328" s="623">
        <f t="shared" ref="AM328:AM391" si="98">SUM(AJ328:AL328)</f>
        <v>20.8</v>
      </c>
      <c r="AN328" s="621"/>
      <c r="AO328" s="621"/>
      <c r="AP328" s="621"/>
      <c r="AQ328" s="622">
        <f t="shared" ref="AQ328:AQ391" si="99">AM328-AI328</f>
        <v>-6.8000000000000007</v>
      </c>
      <c r="AR328" s="615">
        <f t="shared" si="90"/>
        <v>28</v>
      </c>
      <c r="AS328" s="620">
        <v>10</v>
      </c>
      <c r="AT328" s="620">
        <v>8.6</v>
      </c>
      <c r="AU328" s="620">
        <v>9</v>
      </c>
      <c r="AV328" s="623">
        <f t="shared" ref="AV328:AV391" si="100">SUM(AS328:AU328)</f>
        <v>27.6</v>
      </c>
      <c r="AW328" s="621">
        <v>3.79</v>
      </c>
      <c r="AX328" s="621">
        <v>3.3</v>
      </c>
      <c r="AY328" s="621">
        <v>90</v>
      </c>
      <c r="AZ328" s="624">
        <f t="shared" ref="AZ328:AZ391" si="101">AV328-AR328</f>
        <v>-0.39999999999999858</v>
      </c>
      <c r="BA328" s="623">
        <v>28</v>
      </c>
      <c r="BB328" s="620">
        <v>13</v>
      </c>
      <c r="BC328" s="620">
        <v>12.4</v>
      </c>
      <c r="BD328" s="623">
        <f t="shared" ref="BD328:BD391" si="102">SUM(BB328:BC328)</f>
        <v>25.4</v>
      </c>
      <c r="BE328" s="621"/>
      <c r="BF328" s="621"/>
      <c r="BG328" s="621"/>
      <c r="BH328" s="621">
        <f t="shared" ref="BH328:BH391" si="103">BA328-BD328</f>
        <v>2.6000000000000014</v>
      </c>
    </row>
    <row r="329" spans="1:60" ht="17.25" thickTop="1" thickBot="1" x14ac:dyDescent="0.3">
      <c r="A329" s="77">
        <v>322</v>
      </c>
      <c r="B329" s="603">
        <f t="shared" ca="1" si="91"/>
        <v>43134</v>
      </c>
      <c r="C329" s="29" t="s">
        <v>614</v>
      </c>
      <c r="D329" s="59" t="s">
        <v>2901</v>
      </c>
      <c r="E329" s="22" t="s">
        <v>1114</v>
      </c>
      <c r="F329" s="27" t="s">
        <v>1023</v>
      </c>
      <c r="G329" s="567">
        <v>42763</v>
      </c>
      <c r="H329" s="609">
        <f t="shared" ref="H329:H392" si="104">U329</f>
        <v>13.2</v>
      </c>
      <c r="I329" s="620">
        <v>8.1999999999999993</v>
      </c>
      <c r="J329" s="620"/>
      <c r="K329" s="620">
        <v>5</v>
      </c>
      <c r="L329" s="611">
        <f t="shared" si="92"/>
        <v>13.2</v>
      </c>
      <c r="M329" s="621"/>
      <c r="N329" s="621"/>
      <c r="O329" s="621"/>
      <c r="P329" s="622">
        <f t="shared" si="93"/>
        <v>0</v>
      </c>
      <c r="Q329" s="609">
        <f t="shared" ref="Q329:Q392" si="105">AM329</f>
        <v>21</v>
      </c>
      <c r="R329" s="620">
        <v>7</v>
      </c>
      <c r="S329" s="620"/>
      <c r="T329" s="620">
        <v>6.2</v>
      </c>
      <c r="U329" s="611">
        <f t="shared" si="94"/>
        <v>13.2</v>
      </c>
      <c r="V329" s="621"/>
      <c r="W329" s="621"/>
      <c r="X329" s="621"/>
      <c r="Y329" s="622">
        <f t="shared" si="95"/>
        <v>-7.8000000000000007</v>
      </c>
      <c r="Z329" s="609">
        <f t="shared" ref="Z329:Z392" si="106">AM329</f>
        <v>21</v>
      </c>
      <c r="AA329" s="620">
        <v>11</v>
      </c>
      <c r="AB329" s="620"/>
      <c r="AC329" s="620">
        <v>9</v>
      </c>
      <c r="AD329" s="611">
        <f t="shared" si="96"/>
        <v>20</v>
      </c>
      <c r="AE329" s="621"/>
      <c r="AF329" s="621"/>
      <c r="AG329" s="621"/>
      <c r="AH329" s="622">
        <f t="shared" si="97"/>
        <v>-1</v>
      </c>
      <c r="AI329" s="609">
        <f t="shared" ref="AI329:AI392" si="107">AV329</f>
        <v>22.4</v>
      </c>
      <c r="AJ329" s="620">
        <v>8</v>
      </c>
      <c r="AK329" s="620"/>
      <c r="AL329" s="620">
        <v>13</v>
      </c>
      <c r="AM329" s="623">
        <f t="shared" si="98"/>
        <v>21</v>
      </c>
      <c r="AN329" s="621"/>
      <c r="AO329" s="621"/>
      <c r="AP329" s="621"/>
      <c r="AQ329" s="622">
        <f t="shared" si="99"/>
        <v>-1.3999999999999986</v>
      </c>
      <c r="AR329" s="615">
        <f t="shared" ref="AR329:AR392" si="108">BA329</f>
        <v>31.2</v>
      </c>
      <c r="AS329" s="620">
        <v>8.4</v>
      </c>
      <c r="AT329" s="620">
        <v>7</v>
      </c>
      <c r="AU329" s="620">
        <v>7</v>
      </c>
      <c r="AV329" s="623">
        <f t="shared" si="100"/>
        <v>22.4</v>
      </c>
      <c r="AW329" s="621">
        <v>5.0199999999999996</v>
      </c>
      <c r="AX329" s="621">
        <v>3.61</v>
      </c>
      <c r="AY329" s="621">
        <v>180</v>
      </c>
      <c r="AZ329" s="624">
        <f t="shared" si="101"/>
        <v>-8.8000000000000007</v>
      </c>
      <c r="BA329" s="623">
        <v>31.2</v>
      </c>
      <c r="BB329" s="620">
        <v>13</v>
      </c>
      <c r="BC329" s="620">
        <v>11.4</v>
      </c>
      <c r="BD329" s="623">
        <f t="shared" si="102"/>
        <v>24.4</v>
      </c>
      <c r="BE329" s="621"/>
      <c r="BF329" s="621"/>
      <c r="BG329" s="621"/>
      <c r="BH329" s="621">
        <f t="shared" si="103"/>
        <v>6.8000000000000007</v>
      </c>
    </row>
    <row r="330" spans="1:60" ht="17.25" thickTop="1" thickBot="1" x14ac:dyDescent="0.3">
      <c r="A330" s="602">
        <v>323</v>
      </c>
      <c r="B330" s="603">
        <f t="shared" ca="1" si="91"/>
        <v>43134</v>
      </c>
      <c r="C330" s="29" t="s">
        <v>614</v>
      </c>
      <c r="D330" s="59" t="s">
        <v>2897</v>
      </c>
      <c r="E330" s="22" t="s">
        <v>254</v>
      </c>
      <c r="F330" s="239" t="s">
        <v>737</v>
      </c>
      <c r="G330" s="567">
        <v>42862</v>
      </c>
      <c r="H330" s="609">
        <f t="shared" si="104"/>
        <v>28.1</v>
      </c>
      <c r="I330" s="620">
        <v>13</v>
      </c>
      <c r="J330" s="620">
        <v>13</v>
      </c>
      <c r="K330" s="620">
        <v>9</v>
      </c>
      <c r="L330" s="611">
        <f t="shared" si="92"/>
        <v>35</v>
      </c>
      <c r="M330" s="621"/>
      <c r="N330" s="621"/>
      <c r="O330" s="621"/>
      <c r="P330" s="622">
        <f t="shared" si="93"/>
        <v>6.8999999999999986</v>
      </c>
      <c r="Q330" s="609">
        <f t="shared" si="105"/>
        <v>31.4</v>
      </c>
      <c r="R330" s="620">
        <v>10.5</v>
      </c>
      <c r="S330" s="620">
        <v>9</v>
      </c>
      <c r="T330" s="620">
        <v>8.6</v>
      </c>
      <c r="U330" s="611">
        <f t="shared" si="94"/>
        <v>28.1</v>
      </c>
      <c r="V330" s="621"/>
      <c r="W330" s="621"/>
      <c r="X330" s="621"/>
      <c r="Y330" s="622">
        <f t="shared" si="95"/>
        <v>-3.2999999999999972</v>
      </c>
      <c r="Z330" s="609">
        <f t="shared" si="106"/>
        <v>31.4</v>
      </c>
      <c r="AA330" s="620">
        <v>15</v>
      </c>
      <c r="AB330" s="620">
        <v>14</v>
      </c>
      <c r="AC330" s="620">
        <v>13</v>
      </c>
      <c r="AD330" s="611">
        <f t="shared" si="96"/>
        <v>42</v>
      </c>
      <c r="AE330" s="621"/>
      <c r="AF330" s="621"/>
      <c r="AG330" s="621"/>
      <c r="AH330" s="622">
        <f t="shared" si="97"/>
        <v>10.600000000000001</v>
      </c>
      <c r="AI330" s="609">
        <f t="shared" si="107"/>
        <v>44</v>
      </c>
      <c r="AJ330" s="620">
        <v>12</v>
      </c>
      <c r="AK330" s="620">
        <v>10.199999999999999</v>
      </c>
      <c r="AL330" s="620">
        <v>9.1999999999999993</v>
      </c>
      <c r="AM330" s="623">
        <f t="shared" si="98"/>
        <v>31.4</v>
      </c>
      <c r="AN330" s="621"/>
      <c r="AO330" s="621"/>
      <c r="AP330" s="621"/>
      <c r="AQ330" s="622">
        <f t="shared" si="99"/>
        <v>-12.600000000000001</v>
      </c>
      <c r="AR330" s="615">
        <f t="shared" si="108"/>
        <v>20.9</v>
      </c>
      <c r="AS330" s="620">
        <v>15</v>
      </c>
      <c r="AT330" s="620">
        <v>14</v>
      </c>
      <c r="AU330" s="620">
        <v>15</v>
      </c>
      <c r="AV330" s="623">
        <f t="shared" si="100"/>
        <v>44</v>
      </c>
      <c r="AW330" s="621">
        <v>1.8</v>
      </c>
      <c r="AX330" s="621">
        <v>2.87</v>
      </c>
      <c r="AY330" s="621">
        <v>90</v>
      </c>
      <c r="AZ330" s="624">
        <f t="shared" si="101"/>
        <v>23.1</v>
      </c>
      <c r="BA330" s="623">
        <v>20.9</v>
      </c>
      <c r="BB330" s="620">
        <v>18</v>
      </c>
      <c r="BC330" s="620">
        <v>16.2</v>
      </c>
      <c r="BD330" s="623">
        <f t="shared" si="102"/>
        <v>34.200000000000003</v>
      </c>
      <c r="BE330" s="621"/>
      <c r="BF330" s="621"/>
      <c r="BG330" s="621"/>
      <c r="BH330" s="621">
        <f t="shared" si="103"/>
        <v>-13.300000000000004</v>
      </c>
    </row>
    <row r="331" spans="1:60" ht="17.25" thickTop="1" thickBot="1" x14ac:dyDescent="0.3">
      <c r="A331" s="77">
        <v>324</v>
      </c>
      <c r="B331" s="603">
        <f t="shared" ca="1" si="91"/>
        <v>43134</v>
      </c>
      <c r="C331" s="29" t="s">
        <v>614</v>
      </c>
      <c r="D331" s="59" t="s">
        <v>2897</v>
      </c>
      <c r="E331" s="22" t="s">
        <v>688</v>
      </c>
      <c r="F331" s="239" t="s">
        <v>801</v>
      </c>
      <c r="G331" s="567">
        <v>42860</v>
      </c>
      <c r="H331" s="609">
        <f t="shared" si="104"/>
        <v>26.5</v>
      </c>
      <c r="I331" s="620">
        <v>10</v>
      </c>
      <c r="J331" s="620"/>
      <c r="K331" s="620">
        <v>9</v>
      </c>
      <c r="L331" s="611">
        <f t="shared" si="92"/>
        <v>19</v>
      </c>
      <c r="M331" s="621"/>
      <c r="N331" s="621"/>
      <c r="O331" s="621"/>
      <c r="P331" s="622">
        <f t="shared" si="93"/>
        <v>-7.5</v>
      </c>
      <c r="Q331" s="609">
        <f t="shared" si="105"/>
        <v>16</v>
      </c>
      <c r="R331" s="620">
        <v>15.5</v>
      </c>
      <c r="S331" s="620"/>
      <c r="T331" s="620">
        <v>11</v>
      </c>
      <c r="U331" s="611">
        <f t="shared" si="94"/>
        <v>26.5</v>
      </c>
      <c r="V331" s="621"/>
      <c r="W331" s="621"/>
      <c r="X331" s="621"/>
      <c r="Y331" s="622">
        <f t="shared" si="95"/>
        <v>10.5</v>
      </c>
      <c r="Z331" s="609">
        <f t="shared" si="106"/>
        <v>16</v>
      </c>
      <c r="AA331" s="620">
        <v>7</v>
      </c>
      <c r="AB331" s="620">
        <v>5</v>
      </c>
      <c r="AC331" s="620">
        <v>8</v>
      </c>
      <c r="AD331" s="611">
        <f t="shared" si="96"/>
        <v>20</v>
      </c>
      <c r="AE331" s="621"/>
      <c r="AF331" s="621"/>
      <c r="AG331" s="621"/>
      <c r="AH331" s="622">
        <f t="shared" si="97"/>
        <v>4</v>
      </c>
      <c r="AI331" s="609">
        <f t="shared" si="107"/>
        <v>29.5</v>
      </c>
      <c r="AJ331" s="620">
        <v>9</v>
      </c>
      <c r="AK331" s="620">
        <v>7</v>
      </c>
      <c r="AL331" s="620"/>
      <c r="AM331" s="623">
        <f t="shared" si="98"/>
        <v>16</v>
      </c>
      <c r="AN331" s="621"/>
      <c r="AO331" s="621"/>
      <c r="AP331" s="621"/>
      <c r="AQ331" s="622">
        <f t="shared" si="99"/>
        <v>-13.5</v>
      </c>
      <c r="AR331" s="615">
        <f t="shared" si="108"/>
        <v>17.2</v>
      </c>
      <c r="AS331" s="620">
        <v>11</v>
      </c>
      <c r="AT331" s="620">
        <v>9</v>
      </c>
      <c r="AU331" s="620">
        <v>9.5</v>
      </c>
      <c r="AV331" s="623">
        <f t="shared" si="100"/>
        <v>29.5</v>
      </c>
      <c r="AW331" s="621">
        <v>2.8</v>
      </c>
      <c r="AX331" s="621">
        <v>3.05</v>
      </c>
      <c r="AY331" s="621">
        <v>90</v>
      </c>
      <c r="AZ331" s="624">
        <f t="shared" si="101"/>
        <v>12.3</v>
      </c>
      <c r="BA331" s="623">
        <v>17.2</v>
      </c>
      <c r="BB331" s="620">
        <v>8</v>
      </c>
      <c r="BC331" s="620">
        <v>6</v>
      </c>
      <c r="BD331" s="623">
        <f t="shared" si="102"/>
        <v>14</v>
      </c>
      <c r="BE331" s="621"/>
      <c r="BF331" s="621"/>
      <c r="BG331" s="621"/>
      <c r="BH331" s="621">
        <f t="shared" si="103"/>
        <v>3.1999999999999993</v>
      </c>
    </row>
    <row r="332" spans="1:60" ht="17.25" thickTop="1" thickBot="1" x14ac:dyDescent="0.3">
      <c r="A332" s="602">
        <v>325</v>
      </c>
      <c r="B332" s="603">
        <f t="shared" ca="1" si="91"/>
        <v>43134</v>
      </c>
      <c r="C332" s="29" t="s">
        <v>614</v>
      </c>
      <c r="D332" s="59" t="s">
        <v>2897</v>
      </c>
      <c r="E332" s="22" t="s">
        <v>367</v>
      </c>
      <c r="F332" s="27" t="s">
        <v>368</v>
      </c>
      <c r="G332" s="567">
        <v>42855</v>
      </c>
      <c r="H332" s="609">
        <f t="shared" si="104"/>
        <v>16.8</v>
      </c>
      <c r="I332" s="620">
        <v>6.8</v>
      </c>
      <c r="J332" s="620"/>
      <c r="K332" s="620">
        <v>6.4</v>
      </c>
      <c r="L332" s="611">
        <f t="shared" si="92"/>
        <v>13.2</v>
      </c>
      <c r="M332" s="621"/>
      <c r="N332" s="621"/>
      <c r="O332" s="621"/>
      <c r="P332" s="622">
        <f t="shared" si="93"/>
        <v>-3.6000000000000014</v>
      </c>
      <c r="Q332" s="609">
        <f t="shared" si="105"/>
        <v>21</v>
      </c>
      <c r="R332" s="620">
        <v>9</v>
      </c>
      <c r="S332" s="620"/>
      <c r="T332" s="620">
        <v>7.8</v>
      </c>
      <c r="U332" s="611">
        <f t="shared" si="94"/>
        <v>16.8</v>
      </c>
      <c r="V332" s="621"/>
      <c r="W332" s="621"/>
      <c r="X332" s="621"/>
      <c r="Y332" s="622">
        <f t="shared" si="95"/>
        <v>-4.1999999999999993</v>
      </c>
      <c r="Z332" s="609">
        <f t="shared" si="106"/>
        <v>21</v>
      </c>
      <c r="AA332" s="620">
        <v>8</v>
      </c>
      <c r="AB332" s="620">
        <v>6</v>
      </c>
      <c r="AC332" s="620">
        <v>5</v>
      </c>
      <c r="AD332" s="611">
        <f t="shared" si="96"/>
        <v>19</v>
      </c>
      <c r="AE332" s="621"/>
      <c r="AF332" s="621"/>
      <c r="AG332" s="621"/>
      <c r="AH332" s="622">
        <f t="shared" si="97"/>
        <v>-2</v>
      </c>
      <c r="AI332" s="609">
        <f t="shared" si="107"/>
        <v>32.4</v>
      </c>
      <c r="AJ332" s="620">
        <v>7</v>
      </c>
      <c r="AK332" s="620">
        <v>8</v>
      </c>
      <c r="AL332" s="620">
        <v>6</v>
      </c>
      <c r="AM332" s="623">
        <f t="shared" si="98"/>
        <v>21</v>
      </c>
      <c r="AN332" s="621"/>
      <c r="AO332" s="621"/>
      <c r="AP332" s="621"/>
      <c r="AQ332" s="622">
        <f t="shared" si="99"/>
        <v>-11.399999999999999</v>
      </c>
      <c r="AR332" s="615">
        <f t="shared" si="108"/>
        <v>24.9</v>
      </c>
      <c r="AS332" s="620">
        <v>8.4</v>
      </c>
      <c r="AT332" s="620">
        <v>9</v>
      </c>
      <c r="AU332" s="620">
        <v>15</v>
      </c>
      <c r="AV332" s="623">
        <f t="shared" si="100"/>
        <v>32.4</v>
      </c>
      <c r="AW332" s="621">
        <v>3.64</v>
      </c>
      <c r="AX332" s="621">
        <v>2.85</v>
      </c>
      <c r="AY332" s="621">
        <v>90</v>
      </c>
      <c r="AZ332" s="624">
        <f t="shared" si="101"/>
        <v>7.5</v>
      </c>
      <c r="BA332" s="623">
        <v>24.9</v>
      </c>
      <c r="BB332" s="620">
        <v>13.6</v>
      </c>
      <c r="BC332" s="620">
        <v>11.4</v>
      </c>
      <c r="BD332" s="623">
        <f t="shared" si="102"/>
        <v>25</v>
      </c>
      <c r="BE332" s="621"/>
      <c r="BF332" s="621"/>
      <c r="BG332" s="621"/>
      <c r="BH332" s="621">
        <f t="shared" si="103"/>
        <v>-0.10000000000000142</v>
      </c>
    </row>
    <row r="333" spans="1:60" ht="17.25" thickTop="1" thickBot="1" x14ac:dyDescent="0.3">
      <c r="A333" s="77">
        <v>326</v>
      </c>
      <c r="B333" s="603">
        <f t="shared" ca="1" si="91"/>
        <v>43134</v>
      </c>
      <c r="C333" s="29" t="s">
        <v>614</v>
      </c>
      <c r="D333" s="59" t="s">
        <v>2897</v>
      </c>
      <c r="E333" s="22" t="s">
        <v>150</v>
      </c>
      <c r="F333" s="27" t="s">
        <v>1458</v>
      </c>
      <c r="G333" s="567">
        <v>42803</v>
      </c>
      <c r="H333" s="609">
        <f t="shared" si="104"/>
        <v>16.7</v>
      </c>
      <c r="I333" s="620">
        <v>7.8</v>
      </c>
      <c r="J333" s="620"/>
      <c r="K333" s="620">
        <v>5</v>
      </c>
      <c r="L333" s="611">
        <f t="shared" si="92"/>
        <v>12.8</v>
      </c>
      <c r="M333" s="621"/>
      <c r="N333" s="621"/>
      <c r="O333" s="621"/>
      <c r="P333" s="622">
        <f t="shared" si="93"/>
        <v>-3.8999999999999986</v>
      </c>
      <c r="Q333" s="609">
        <f t="shared" si="105"/>
        <v>24.5</v>
      </c>
      <c r="R333" s="620">
        <v>6.2</v>
      </c>
      <c r="S333" s="620">
        <v>6</v>
      </c>
      <c r="T333" s="620">
        <v>4.5</v>
      </c>
      <c r="U333" s="611">
        <f t="shared" si="94"/>
        <v>16.7</v>
      </c>
      <c r="V333" s="621"/>
      <c r="W333" s="621"/>
      <c r="X333" s="621"/>
      <c r="Y333" s="622">
        <f t="shared" si="95"/>
        <v>-7.8000000000000007</v>
      </c>
      <c r="Z333" s="609">
        <f t="shared" si="106"/>
        <v>24.5</v>
      </c>
      <c r="AA333" s="620">
        <v>11.2</v>
      </c>
      <c r="AB333" s="620"/>
      <c r="AC333" s="620">
        <v>12</v>
      </c>
      <c r="AD333" s="611">
        <f t="shared" si="96"/>
        <v>23.2</v>
      </c>
      <c r="AE333" s="621"/>
      <c r="AF333" s="621"/>
      <c r="AG333" s="621"/>
      <c r="AH333" s="622">
        <f t="shared" si="97"/>
        <v>-1.3000000000000007</v>
      </c>
      <c r="AI333" s="609">
        <f t="shared" si="107"/>
        <v>30.2</v>
      </c>
      <c r="AJ333" s="620">
        <v>8</v>
      </c>
      <c r="AK333" s="620">
        <v>8.6999999999999993</v>
      </c>
      <c r="AL333" s="620">
        <v>7.8</v>
      </c>
      <c r="AM333" s="623">
        <f t="shared" si="98"/>
        <v>24.5</v>
      </c>
      <c r="AN333" s="621"/>
      <c r="AO333" s="621"/>
      <c r="AP333" s="621"/>
      <c r="AQ333" s="622">
        <f t="shared" si="99"/>
        <v>-5.6999999999999993</v>
      </c>
      <c r="AR333" s="615">
        <f t="shared" si="108"/>
        <v>23.6</v>
      </c>
      <c r="AS333" s="620">
        <v>9</v>
      </c>
      <c r="AT333" s="620">
        <v>7.2</v>
      </c>
      <c r="AU333" s="620">
        <v>14</v>
      </c>
      <c r="AV333" s="623">
        <f t="shared" si="100"/>
        <v>30.2</v>
      </c>
      <c r="AW333" s="621">
        <v>3.19</v>
      </c>
      <c r="AX333" s="621">
        <v>3.11</v>
      </c>
      <c r="AY333" s="621">
        <v>90</v>
      </c>
      <c r="AZ333" s="624">
        <f t="shared" si="101"/>
        <v>6.5999999999999979</v>
      </c>
      <c r="BA333" s="623">
        <v>23.6</v>
      </c>
      <c r="BB333" s="620">
        <v>10.8</v>
      </c>
      <c r="BC333" s="620">
        <v>13</v>
      </c>
      <c r="BD333" s="623">
        <f t="shared" si="102"/>
        <v>23.8</v>
      </c>
      <c r="BE333" s="621"/>
      <c r="BF333" s="621"/>
      <c r="BG333" s="621"/>
      <c r="BH333" s="621">
        <f t="shared" si="103"/>
        <v>-0.19999999999999929</v>
      </c>
    </row>
    <row r="334" spans="1:60" ht="17.25" thickTop="1" thickBot="1" x14ac:dyDescent="0.3">
      <c r="A334" s="602">
        <v>327</v>
      </c>
      <c r="B334" s="603">
        <f t="shared" ca="1" si="91"/>
        <v>43134</v>
      </c>
      <c r="C334" s="29" t="s">
        <v>614</v>
      </c>
      <c r="D334" s="59" t="s">
        <v>2897</v>
      </c>
      <c r="E334" s="22" t="s">
        <v>745</v>
      </c>
      <c r="F334" s="27" t="s">
        <v>746</v>
      </c>
      <c r="G334" s="567">
        <v>42812</v>
      </c>
      <c r="H334" s="609">
        <f t="shared" si="104"/>
        <v>23.4</v>
      </c>
      <c r="I334" s="620">
        <v>6.4</v>
      </c>
      <c r="J334" s="620">
        <v>7.2</v>
      </c>
      <c r="K334" s="620">
        <v>5.2</v>
      </c>
      <c r="L334" s="611">
        <f t="shared" si="92"/>
        <v>18.8</v>
      </c>
      <c r="M334" s="621"/>
      <c r="N334" s="621"/>
      <c r="O334" s="621"/>
      <c r="P334" s="622">
        <f t="shared" si="93"/>
        <v>-4.5999999999999979</v>
      </c>
      <c r="Q334" s="609">
        <f t="shared" si="105"/>
        <v>26.1</v>
      </c>
      <c r="R334" s="620">
        <v>8.6</v>
      </c>
      <c r="S334" s="620">
        <v>7.8</v>
      </c>
      <c r="T334" s="620">
        <v>7</v>
      </c>
      <c r="U334" s="611">
        <f t="shared" si="94"/>
        <v>23.4</v>
      </c>
      <c r="V334" s="621"/>
      <c r="W334" s="621"/>
      <c r="X334" s="621"/>
      <c r="Y334" s="622">
        <f t="shared" si="95"/>
        <v>-2.7000000000000028</v>
      </c>
      <c r="Z334" s="609">
        <f t="shared" si="106"/>
        <v>26.1</v>
      </c>
      <c r="AA334" s="620">
        <v>10</v>
      </c>
      <c r="AB334" s="620">
        <v>9.5</v>
      </c>
      <c r="AC334" s="620">
        <v>10</v>
      </c>
      <c r="AD334" s="611">
        <f t="shared" si="96"/>
        <v>29.5</v>
      </c>
      <c r="AE334" s="621"/>
      <c r="AF334" s="621"/>
      <c r="AG334" s="621"/>
      <c r="AH334" s="622">
        <f t="shared" si="97"/>
        <v>3.3999999999999986</v>
      </c>
      <c r="AI334" s="609">
        <f t="shared" si="107"/>
        <v>26.5</v>
      </c>
      <c r="AJ334" s="620">
        <v>8</v>
      </c>
      <c r="AK334" s="620">
        <v>9.6</v>
      </c>
      <c r="AL334" s="620">
        <v>8.5</v>
      </c>
      <c r="AM334" s="623">
        <f t="shared" si="98"/>
        <v>26.1</v>
      </c>
      <c r="AN334" s="621"/>
      <c r="AO334" s="621"/>
      <c r="AP334" s="621"/>
      <c r="AQ334" s="622">
        <f t="shared" si="99"/>
        <v>-0.39999999999999858</v>
      </c>
      <c r="AR334" s="615">
        <f t="shared" si="108"/>
        <v>36</v>
      </c>
      <c r="AS334" s="620">
        <v>10</v>
      </c>
      <c r="AT334" s="620">
        <v>8</v>
      </c>
      <c r="AU334" s="620">
        <v>8.5</v>
      </c>
      <c r="AV334" s="623">
        <f t="shared" si="100"/>
        <v>26.5</v>
      </c>
      <c r="AW334" s="621">
        <v>3.72</v>
      </c>
      <c r="AX334" s="621">
        <v>3.28</v>
      </c>
      <c r="AY334" s="621">
        <v>90</v>
      </c>
      <c r="AZ334" s="624">
        <f t="shared" si="101"/>
        <v>-9.5</v>
      </c>
      <c r="BA334" s="623">
        <v>36</v>
      </c>
      <c r="BB334" s="620">
        <v>15.4</v>
      </c>
      <c r="BC334" s="620">
        <v>13.2</v>
      </c>
      <c r="BD334" s="623">
        <f t="shared" si="102"/>
        <v>28.6</v>
      </c>
      <c r="BE334" s="621"/>
      <c r="BF334" s="621"/>
      <c r="BG334" s="621"/>
      <c r="BH334" s="621">
        <f t="shared" si="103"/>
        <v>7.3999999999999986</v>
      </c>
    </row>
    <row r="335" spans="1:60" ht="17.25" thickTop="1" thickBot="1" x14ac:dyDescent="0.3">
      <c r="A335" s="77">
        <v>328</v>
      </c>
      <c r="B335" s="603">
        <f t="shared" ca="1" si="91"/>
        <v>43134</v>
      </c>
      <c r="C335" s="29" t="s">
        <v>614</v>
      </c>
      <c r="D335" s="59" t="s">
        <v>2897</v>
      </c>
      <c r="E335" s="22" t="s">
        <v>319</v>
      </c>
      <c r="F335" s="27" t="s">
        <v>320</v>
      </c>
      <c r="G335" s="567">
        <v>42693</v>
      </c>
      <c r="H335" s="609">
        <f t="shared" si="104"/>
        <v>0</v>
      </c>
      <c r="I335" s="620"/>
      <c r="J335" s="620"/>
      <c r="K335" s="620"/>
      <c r="L335" s="611">
        <f t="shared" si="92"/>
        <v>0</v>
      </c>
      <c r="M335" s="621"/>
      <c r="N335" s="621"/>
      <c r="O335" s="621"/>
      <c r="P335" s="622">
        <f t="shared" si="93"/>
        <v>0</v>
      </c>
      <c r="Q335" s="609">
        <f t="shared" si="105"/>
        <v>37.6</v>
      </c>
      <c r="R335" s="620"/>
      <c r="S335" s="620"/>
      <c r="T335" s="620"/>
      <c r="U335" s="611">
        <f t="shared" si="94"/>
        <v>0</v>
      </c>
      <c r="V335" s="621"/>
      <c r="W335" s="621"/>
      <c r="X335" s="621"/>
      <c r="Y335" s="622">
        <f t="shared" si="95"/>
        <v>-37.6</v>
      </c>
      <c r="Z335" s="609">
        <f t="shared" si="106"/>
        <v>37.6</v>
      </c>
      <c r="AA335" s="620">
        <v>13</v>
      </c>
      <c r="AB335" s="620">
        <v>9.5</v>
      </c>
      <c r="AC335" s="620">
        <v>8</v>
      </c>
      <c r="AD335" s="611">
        <f t="shared" si="96"/>
        <v>30.5</v>
      </c>
      <c r="AE335" s="621"/>
      <c r="AF335" s="621"/>
      <c r="AG335" s="621"/>
      <c r="AH335" s="622">
        <f t="shared" si="97"/>
        <v>-7.1000000000000014</v>
      </c>
      <c r="AI335" s="609">
        <f t="shared" si="107"/>
        <v>36.6</v>
      </c>
      <c r="AJ335" s="620">
        <v>12</v>
      </c>
      <c r="AK335" s="620">
        <v>14.6</v>
      </c>
      <c r="AL335" s="620">
        <v>11</v>
      </c>
      <c r="AM335" s="623">
        <f t="shared" si="98"/>
        <v>37.6</v>
      </c>
      <c r="AN335" s="621"/>
      <c r="AO335" s="621"/>
      <c r="AP335" s="621"/>
      <c r="AQ335" s="622">
        <f t="shared" si="99"/>
        <v>1</v>
      </c>
      <c r="AR335" s="615">
        <f t="shared" si="108"/>
        <v>37.200000000000003</v>
      </c>
      <c r="AS335" s="620">
        <v>15</v>
      </c>
      <c r="AT335" s="620">
        <v>10.6</v>
      </c>
      <c r="AU335" s="620">
        <v>11</v>
      </c>
      <c r="AV335" s="623">
        <f t="shared" si="100"/>
        <v>36.6</v>
      </c>
      <c r="AW335" s="621">
        <v>3.46</v>
      </c>
      <c r="AX335" s="621">
        <v>2.81</v>
      </c>
      <c r="AY335" s="621">
        <v>90</v>
      </c>
      <c r="AZ335" s="624">
        <f t="shared" si="101"/>
        <v>-0.60000000000000142</v>
      </c>
      <c r="BA335" s="623">
        <v>37.200000000000003</v>
      </c>
      <c r="BB335" s="620">
        <v>23</v>
      </c>
      <c r="BC335" s="620">
        <v>19</v>
      </c>
      <c r="BD335" s="623">
        <f t="shared" si="102"/>
        <v>42</v>
      </c>
      <c r="BE335" s="621"/>
      <c r="BF335" s="621"/>
      <c r="BG335" s="621"/>
      <c r="BH335" s="621">
        <f t="shared" si="103"/>
        <v>-4.7999999999999972</v>
      </c>
    </row>
    <row r="336" spans="1:60" ht="17.25" thickTop="1" thickBot="1" x14ac:dyDescent="0.3">
      <c r="A336" s="602">
        <v>329</v>
      </c>
      <c r="B336" s="603">
        <f t="shared" ca="1" si="91"/>
        <v>43134</v>
      </c>
      <c r="C336" s="29" t="s">
        <v>614</v>
      </c>
      <c r="D336" s="59" t="s">
        <v>2897</v>
      </c>
      <c r="E336" s="22" t="s">
        <v>599</v>
      </c>
      <c r="F336" s="27" t="s">
        <v>600</v>
      </c>
      <c r="G336" s="567">
        <v>42797</v>
      </c>
      <c r="H336" s="609">
        <f t="shared" si="104"/>
        <v>28.8</v>
      </c>
      <c r="I336" s="620">
        <v>10.6</v>
      </c>
      <c r="J336" s="620"/>
      <c r="K336" s="620">
        <v>9</v>
      </c>
      <c r="L336" s="611">
        <f t="shared" si="92"/>
        <v>19.600000000000001</v>
      </c>
      <c r="M336" s="621"/>
      <c r="N336" s="621"/>
      <c r="O336" s="621"/>
      <c r="P336" s="622">
        <f t="shared" si="93"/>
        <v>-9.1999999999999993</v>
      </c>
      <c r="Q336" s="609">
        <f t="shared" si="105"/>
        <v>33.5</v>
      </c>
      <c r="R336" s="620">
        <v>14</v>
      </c>
      <c r="S336" s="620"/>
      <c r="T336" s="620">
        <v>14.8</v>
      </c>
      <c r="U336" s="611">
        <f t="shared" si="94"/>
        <v>28.8</v>
      </c>
      <c r="V336" s="621"/>
      <c r="W336" s="621"/>
      <c r="X336" s="621"/>
      <c r="Y336" s="622">
        <f t="shared" si="95"/>
        <v>-4.6999999999999993</v>
      </c>
      <c r="Z336" s="609">
        <f t="shared" si="106"/>
        <v>33.5</v>
      </c>
      <c r="AA336" s="620">
        <v>6</v>
      </c>
      <c r="AB336" s="620">
        <v>10.199999999999999</v>
      </c>
      <c r="AC336" s="620">
        <v>8.6</v>
      </c>
      <c r="AD336" s="611">
        <f t="shared" si="96"/>
        <v>24.799999999999997</v>
      </c>
      <c r="AE336" s="621"/>
      <c r="AF336" s="621"/>
      <c r="AG336" s="621"/>
      <c r="AH336" s="622">
        <f t="shared" si="97"/>
        <v>-8.7000000000000028</v>
      </c>
      <c r="AI336" s="609">
        <f t="shared" si="107"/>
        <v>38</v>
      </c>
      <c r="AJ336" s="620">
        <v>13</v>
      </c>
      <c r="AK336" s="620">
        <v>9</v>
      </c>
      <c r="AL336" s="620">
        <v>11.5</v>
      </c>
      <c r="AM336" s="623">
        <f t="shared" si="98"/>
        <v>33.5</v>
      </c>
      <c r="AN336" s="621"/>
      <c r="AO336" s="621"/>
      <c r="AP336" s="621"/>
      <c r="AQ336" s="622">
        <f t="shared" si="99"/>
        <v>-4.5</v>
      </c>
      <c r="AR336" s="615">
        <f t="shared" si="108"/>
        <v>34.799999999999997</v>
      </c>
      <c r="AS336" s="620">
        <v>15</v>
      </c>
      <c r="AT336" s="620">
        <v>11</v>
      </c>
      <c r="AU336" s="620">
        <v>12</v>
      </c>
      <c r="AV336" s="623">
        <f t="shared" si="100"/>
        <v>38</v>
      </c>
      <c r="AW336" s="621">
        <v>3.61</v>
      </c>
      <c r="AX336" s="621">
        <v>3.38</v>
      </c>
      <c r="AY336" s="621">
        <v>90</v>
      </c>
      <c r="AZ336" s="624">
        <f t="shared" si="101"/>
        <v>3.2000000000000028</v>
      </c>
      <c r="BA336" s="623">
        <v>34.799999999999997</v>
      </c>
      <c r="BB336" s="620">
        <v>18.399999999999999</v>
      </c>
      <c r="BC336" s="620">
        <v>18.399999999999999</v>
      </c>
      <c r="BD336" s="623">
        <f t="shared" si="102"/>
        <v>36.799999999999997</v>
      </c>
      <c r="BE336" s="621"/>
      <c r="BF336" s="621"/>
      <c r="BG336" s="621"/>
      <c r="BH336" s="621">
        <f t="shared" si="103"/>
        <v>-2</v>
      </c>
    </row>
    <row r="337" spans="1:60" ht="17.25" thickTop="1" thickBot="1" x14ac:dyDescent="0.3">
      <c r="A337" s="77">
        <v>330</v>
      </c>
      <c r="B337" s="603">
        <f t="shared" ca="1" si="91"/>
        <v>43134</v>
      </c>
      <c r="C337" s="29" t="s">
        <v>614</v>
      </c>
      <c r="D337" s="59" t="s">
        <v>2897</v>
      </c>
      <c r="E337" s="22" t="s">
        <v>822</v>
      </c>
      <c r="F337" s="27" t="s">
        <v>823</v>
      </c>
      <c r="G337" s="567">
        <v>42542</v>
      </c>
      <c r="H337" s="609">
        <f t="shared" si="104"/>
        <v>30.4</v>
      </c>
      <c r="I337" s="620">
        <v>9.1999999999999993</v>
      </c>
      <c r="J337" s="620">
        <v>9</v>
      </c>
      <c r="K337" s="620">
        <v>8</v>
      </c>
      <c r="L337" s="611">
        <f t="shared" si="92"/>
        <v>26.2</v>
      </c>
      <c r="M337" s="621"/>
      <c r="N337" s="621"/>
      <c r="O337" s="621"/>
      <c r="P337" s="622">
        <f t="shared" si="93"/>
        <v>-4.1999999999999993</v>
      </c>
      <c r="Q337" s="609">
        <f t="shared" si="105"/>
        <v>37</v>
      </c>
      <c r="R337" s="620">
        <v>13</v>
      </c>
      <c r="S337" s="620">
        <v>7.2</v>
      </c>
      <c r="T337" s="620">
        <v>10.199999999999999</v>
      </c>
      <c r="U337" s="611">
        <f t="shared" si="94"/>
        <v>30.4</v>
      </c>
      <c r="V337" s="621"/>
      <c r="W337" s="621"/>
      <c r="X337" s="621"/>
      <c r="Y337" s="622">
        <f t="shared" si="95"/>
        <v>-6.6000000000000014</v>
      </c>
      <c r="Z337" s="609">
        <f t="shared" si="106"/>
        <v>37</v>
      </c>
      <c r="AA337" s="620">
        <v>13</v>
      </c>
      <c r="AB337" s="620">
        <v>9</v>
      </c>
      <c r="AC337" s="620">
        <v>7</v>
      </c>
      <c r="AD337" s="611">
        <f t="shared" si="96"/>
        <v>29</v>
      </c>
      <c r="AE337" s="621"/>
      <c r="AF337" s="621"/>
      <c r="AG337" s="621"/>
      <c r="AH337" s="622">
        <f t="shared" si="97"/>
        <v>-8</v>
      </c>
      <c r="AI337" s="609">
        <f t="shared" si="107"/>
        <v>37.6</v>
      </c>
      <c r="AJ337" s="620">
        <v>13.2</v>
      </c>
      <c r="AK337" s="620">
        <v>12.8</v>
      </c>
      <c r="AL337" s="620">
        <v>11</v>
      </c>
      <c r="AM337" s="623">
        <f t="shared" si="98"/>
        <v>37</v>
      </c>
      <c r="AN337" s="621"/>
      <c r="AO337" s="621"/>
      <c r="AP337" s="621"/>
      <c r="AQ337" s="622">
        <f t="shared" si="99"/>
        <v>-0.60000000000000142</v>
      </c>
      <c r="AR337" s="615">
        <f t="shared" si="108"/>
        <v>0</v>
      </c>
      <c r="AS337" s="620">
        <v>14.6</v>
      </c>
      <c r="AT337" s="620">
        <v>12</v>
      </c>
      <c r="AU337" s="620">
        <v>11</v>
      </c>
      <c r="AV337" s="623">
        <f t="shared" si="100"/>
        <v>37.6</v>
      </c>
      <c r="AW337" s="621">
        <v>2.72</v>
      </c>
      <c r="AX337" s="621">
        <v>3.13</v>
      </c>
      <c r="AY337" s="621">
        <v>90</v>
      </c>
      <c r="AZ337" s="624">
        <f t="shared" si="101"/>
        <v>37.6</v>
      </c>
      <c r="BA337" s="623"/>
      <c r="BB337" s="620"/>
      <c r="BC337" s="620"/>
      <c r="BD337" s="623">
        <f t="shared" si="102"/>
        <v>0</v>
      </c>
      <c r="BE337" s="621"/>
      <c r="BF337" s="621"/>
      <c r="BG337" s="621"/>
      <c r="BH337" s="621">
        <f t="shared" si="103"/>
        <v>0</v>
      </c>
    </row>
    <row r="338" spans="1:60" ht="17.25" thickTop="1" thickBot="1" x14ac:dyDescent="0.3">
      <c r="A338" s="602">
        <v>331</v>
      </c>
      <c r="B338" s="603">
        <f t="shared" ca="1" si="91"/>
        <v>43134</v>
      </c>
      <c r="C338" s="29" t="s">
        <v>614</v>
      </c>
      <c r="D338" s="59" t="s">
        <v>2897</v>
      </c>
      <c r="E338" s="22" t="s">
        <v>851</v>
      </c>
      <c r="F338" s="27" t="s">
        <v>852</v>
      </c>
      <c r="G338" s="567">
        <v>42760</v>
      </c>
      <c r="H338" s="609">
        <f t="shared" si="104"/>
        <v>12</v>
      </c>
      <c r="I338" s="620">
        <v>0.4</v>
      </c>
      <c r="J338" s="620"/>
      <c r="K338" s="620"/>
      <c r="L338" s="611">
        <f t="shared" si="92"/>
        <v>0.4</v>
      </c>
      <c r="M338" s="621"/>
      <c r="N338" s="621"/>
      <c r="O338" s="621"/>
      <c r="P338" s="622">
        <f t="shared" si="93"/>
        <v>-11.6</v>
      </c>
      <c r="Q338" s="609">
        <f t="shared" si="105"/>
        <v>14</v>
      </c>
      <c r="R338" s="620">
        <v>5</v>
      </c>
      <c r="S338" s="620"/>
      <c r="T338" s="620">
        <v>7</v>
      </c>
      <c r="U338" s="611">
        <f t="shared" si="94"/>
        <v>12</v>
      </c>
      <c r="V338" s="621"/>
      <c r="W338" s="621"/>
      <c r="X338" s="621"/>
      <c r="Y338" s="622">
        <f t="shared" si="95"/>
        <v>-2</v>
      </c>
      <c r="Z338" s="609">
        <f t="shared" si="106"/>
        <v>14</v>
      </c>
      <c r="AA338" s="620">
        <v>4</v>
      </c>
      <c r="AB338" s="620"/>
      <c r="AC338" s="620">
        <v>8.6</v>
      </c>
      <c r="AD338" s="611">
        <f t="shared" si="96"/>
        <v>12.6</v>
      </c>
      <c r="AE338" s="621"/>
      <c r="AF338" s="621"/>
      <c r="AG338" s="621"/>
      <c r="AH338" s="622">
        <f t="shared" si="97"/>
        <v>-1.4000000000000004</v>
      </c>
      <c r="AI338" s="609">
        <f t="shared" si="107"/>
        <v>22</v>
      </c>
      <c r="AJ338" s="620">
        <v>10</v>
      </c>
      <c r="AK338" s="620"/>
      <c r="AL338" s="620">
        <v>4</v>
      </c>
      <c r="AM338" s="623">
        <f t="shared" si="98"/>
        <v>14</v>
      </c>
      <c r="AN338" s="621"/>
      <c r="AO338" s="621"/>
      <c r="AP338" s="621"/>
      <c r="AQ338" s="622">
        <f t="shared" si="99"/>
        <v>-8</v>
      </c>
      <c r="AR338" s="615">
        <f t="shared" si="108"/>
        <v>29.4</v>
      </c>
      <c r="AS338" s="620">
        <v>9</v>
      </c>
      <c r="AT338" s="620">
        <v>7</v>
      </c>
      <c r="AU338" s="620">
        <v>6</v>
      </c>
      <c r="AV338" s="623">
        <f t="shared" si="100"/>
        <v>22</v>
      </c>
      <c r="AW338" s="621">
        <v>3.41</v>
      </c>
      <c r="AX338" s="621">
        <v>3.32</v>
      </c>
      <c r="AY338" s="621">
        <v>90</v>
      </c>
      <c r="AZ338" s="624">
        <f t="shared" si="101"/>
        <v>-7.3999999999999986</v>
      </c>
      <c r="BA338" s="623">
        <v>29.4</v>
      </c>
      <c r="BB338" s="620">
        <v>13.2</v>
      </c>
      <c r="BC338" s="620">
        <v>12.7</v>
      </c>
      <c r="BD338" s="623">
        <f t="shared" si="102"/>
        <v>25.9</v>
      </c>
      <c r="BE338" s="621"/>
      <c r="BF338" s="621"/>
      <c r="BG338" s="621"/>
      <c r="BH338" s="621">
        <f t="shared" si="103"/>
        <v>3.5</v>
      </c>
    </row>
    <row r="339" spans="1:60" ht="17.25" thickTop="1" thickBot="1" x14ac:dyDescent="0.3">
      <c r="A339" s="77">
        <v>332</v>
      </c>
      <c r="B339" s="603">
        <f t="shared" ca="1" si="91"/>
        <v>43134</v>
      </c>
      <c r="C339" s="29" t="s">
        <v>614</v>
      </c>
      <c r="D339" s="59" t="s">
        <v>2897</v>
      </c>
      <c r="E339" s="22" t="s">
        <v>273</v>
      </c>
      <c r="F339" s="27" t="s">
        <v>274</v>
      </c>
      <c r="G339" s="567">
        <v>42736</v>
      </c>
      <c r="H339" s="609">
        <f t="shared" si="104"/>
        <v>19.600000000000001</v>
      </c>
      <c r="I339" s="620">
        <v>8.6</v>
      </c>
      <c r="J339" s="620"/>
      <c r="K339" s="620">
        <v>5</v>
      </c>
      <c r="L339" s="611">
        <f t="shared" si="92"/>
        <v>13.6</v>
      </c>
      <c r="M339" s="621"/>
      <c r="N339" s="621"/>
      <c r="O339" s="621"/>
      <c r="P339" s="622">
        <f t="shared" si="93"/>
        <v>-6.0000000000000018</v>
      </c>
      <c r="Q339" s="609">
        <f t="shared" si="105"/>
        <v>26.5</v>
      </c>
      <c r="R339" s="620">
        <v>9.4</v>
      </c>
      <c r="S339" s="620">
        <v>4</v>
      </c>
      <c r="T339" s="620">
        <v>6.2</v>
      </c>
      <c r="U339" s="611">
        <f t="shared" si="94"/>
        <v>19.600000000000001</v>
      </c>
      <c r="V339" s="621"/>
      <c r="W339" s="621"/>
      <c r="X339" s="621"/>
      <c r="Y339" s="622">
        <f t="shared" si="95"/>
        <v>-6.8999999999999986</v>
      </c>
      <c r="Z339" s="609">
        <f t="shared" si="106"/>
        <v>26.5</v>
      </c>
      <c r="AA339" s="620">
        <v>13</v>
      </c>
      <c r="AB339" s="620">
        <v>11</v>
      </c>
      <c r="AC339" s="620">
        <v>9.1</v>
      </c>
      <c r="AD339" s="611">
        <f t="shared" si="96"/>
        <v>33.1</v>
      </c>
      <c r="AE339" s="621"/>
      <c r="AF339" s="621"/>
      <c r="AG339" s="621"/>
      <c r="AH339" s="622">
        <f t="shared" si="97"/>
        <v>6.6000000000000014</v>
      </c>
      <c r="AI339" s="609">
        <f t="shared" si="107"/>
        <v>34.5</v>
      </c>
      <c r="AJ339" s="620">
        <v>12</v>
      </c>
      <c r="AK339" s="620">
        <v>7</v>
      </c>
      <c r="AL339" s="620">
        <v>7.5</v>
      </c>
      <c r="AM339" s="623">
        <f t="shared" si="98"/>
        <v>26.5</v>
      </c>
      <c r="AN339" s="621"/>
      <c r="AO339" s="621"/>
      <c r="AP339" s="621"/>
      <c r="AQ339" s="622">
        <f t="shared" si="99"/>
        <v>-8</v>
      </c>
      <c r="AR339" s="615">
        <f t="shared" si="108"/>
        <v>32.6</v>
      </c>
      <c r="AS339" s="620">
        <v>13</v>
      </c>
      <c r="AT339" s="620">
        <v>14</v>
      </c>
      <c r="AU339" s="620">
        <v>7.5</v>
      </c>
      <c r="AV339" s="623">
        <f t="shared" si="100"/>
        <v>34.5</v>
      </c>
      <c r="AW339" s="621">
        <v>3.34</v>
      </c>
      <c r="AX339" s="621">
        <v>3.45</v>
      </c>
      <c r="AY339" s="621">
        <v>90</v>
      </c>
      <c r="AZ339" s="624">
        <f t="shared" si="101"/>
        <v>1.8999999999999986</v>
      </c>
      <c r="BA339" s="623">
        <v>32.6</v>
      </c>
      <c r="BB339" s="620">
        <v>20</v>
      </c>
      <c r="BC339" s="620">
        <v>26.5</v>
      </c>
      <c r="BD339" s="623">
        <f t="shared" si="102"/>
        <v>46.5</v>
      </c>
      <c r="BE339" s="621"/>
      <c r="BF339" s="621"/>
      <c r="BG339" s="621"/>
      <c r="BH339" s="621">
        <f t="shared" si="103"/>
        <v>-13.899999999999999</v>
      </c>
    </row>
    <row r="340" spans="1:60" ht="17.25" thickTop="1" thickBot="1" x14ac:dyDescent="0.3">
      <c r="A340" s="602">
        <v>333</v>
      </c>
      <c r="B340" s="603">
        <f t="shared" ca="1" si="91"/>
        <v>43134</v>
      </c>
      <c r="C340" s="29" t="s">
        <v>614</v>
      </c>
      <c r="D340" s="59" t="s">
        <v>2897</v>
      </c>
      <c r="E340" s="22" t="s">
        <v>1356</v>
      </c>
      <c r="F340" s="27" t="s">
        <v>1240</v>
      </c>
      <c r="G340" s="567">
        <v>42829</v>
      </c>
      <c r="H340" s="609">
        <f t="shared" si="104"/>
        <v>20.399999999999999</v>
      </c>
      <c r="I340" s="620">
        <v>10</v>
      </c>
      <c r="J340" s="620"/>
      <c r="K340" s="620">
        <v>3</v>
      </c>
      <c r="L340" s="611">
        <f t="shared" si="92"/>
        <v>13</v>
      </c>
      <c r="M340" s="621"/>
      <c r="N340" s="621"/>
      <c r="O340" s="621"/>
      <c r="P340" s="622">
        <f t="shared" si="93"/>
        <v>-7.3999999999999986</v>
      </c>
      <c r="Q340" s="609">
        <f t="shared" si="105"/>
        <v>19.5</v>
      </c>
      <c r="R340" s="620">
        <v>8</v>
      </c>
      <c r="S340" s="620"/>
      <c r="T340" s="620">
        <v>12.4</v>
      </c>
      <c r="U340" s="611">
        <f t="shared" si="94"/>
        <v>20.399999999999999</v>
      </c>
      <c r="V340" s="621"/>
      <c r="W340" s="621"/>
      <c r="X340" s="621"/>
      <c r="Y340" s="622">
        <f t="shared" si="95"/>
        <v>0.89999999999999858</v>
      </c>
      <c r="Z340" s="609">
        <f t="shared" si="106"/>
        <v>19.5</v>
      </c>
      <c r="AA340" s="620">
        <v>9.1999999999999993</v>
      </c>
      <c r="AB340" s="620"/>
      <c r="AC340" s="620">
        <v>8.4</v>
      </c>
      <c r="AD340" s="611">
        <f t="shared" si="96"/>
        <v>17.600000000000001</v>
      </c>
      <c r="AE340" s="621"/>
      <c r="AF340" s="621"/>
      <c r="AG340" s="621"/>
      <c r="AH340" s="622">
        <f t="shared" si="97"/>
        <v>-1.8999999999999986</v>
      </c>
      <c r="AI340" s="609">
        <f t="shared" si="107"/>
        <v>22.5</v>
      </c>
      <c r="AJ340" s="620">
        <v>7</v>
      </c>
      <c r="AK340" s="620">
        <v>5.5</v>
      </c>
      <c r="AL340" s="620">
        <v>7</v>
      </c>
      <c r="AM340" s="623">
        <f t="shared" si="98"/>
        <v>19.5</v>
      </c>
      <c r="AN340" s="621"/>
      <c r="AO340" s="621"/>
      <c r="AP340" s="621"/>
      <c r="AQ340" s="622">
        <f t="shared" si="99"/>
        <v>-3</v>
      </c>
      <c r="AR340" s="615">
        <f t="shared" si="108"/>
        <v>21.5</v>
      </c>
      <c r="AS340" s="620">
        <v>8.5</v>
      </c>
      <c r="AT340" s="620">
        <v>7</v>
      </c>
      <c r="AU340" s="620">
        <v>7</v>
      </c>
      <c r="AV340" s="623">
        <f t="shared" si="100"/>
        <v>22.5</v>
      </c>
      <c r="AW340" s="621">
        <v>3.78</v>
      </c>
      <c r="AX340" s="621">
        <v>3.17</v>
      </c>
      <c r="AY340" s="621">
        <v>90</v>
      </c>
      <c r="AZ340" s="624">
        <f t="shared" si="101"/>
        <v>1</v>
      </c>
      <c r="BA340" s="623">
        <v>21.5</v>
      </c>
      <c r="BB340" s="620">
        <v>11</v>
      </c>
      <c r="BC340" s="620">
        <v>14.7</v>
      </c>
      <c r="BD340" s="623">
        <f t="shared" si="102"/>
        <v>25.7</v>
      </c>
      <c r="BE340" s="621"/>
      <c r="BF340" s="621"/>
      <c r="BG340" s="621"/>
      <c r="BH340" s="621">
        <f t="shared" si="103"/>
        <v>-4.1999999999999993</v>
      </c>
    </row>
    <row r="341" spans="1:60" ht="17.25" thickTop="1" thickBot="1" x14ac:dyDescent="0.3">
      <c r="A341" s="77">
        <v>334</v>
      </c>
      <c r="B341" s="603">
        <f t="shared" ca="1" si="91"/>
        <v>43134</v>
      </c>
      <c r="C341" s="29" t="s">
        <v>614</v>
      </c>
      <c r="D341" s="59" t="s">
        <v>2897</v>
      </c>
      <c r="E341" s="22" t="s">
        <v>699</v>
      </c>
      <c r="F341" s="27" t="s">
        <v>700</v>
      </c>
      <c r="G341" s="567">
        <v>42833</v>
      </c>
      <c r="H341" s="609">
        <f t="shared" si="104"/>
        <v>25.1</v>
      </c>
      <c r="I341" s="620">
        <v>8</v>
      </c>
      <c r="J341" s="620">
        <v>6.2</v>
      </c>
      <c r="K341" s="620">
        <v>6</v>
      </c>
      <c r="L341" s="611">
        <f t="shared" si="92"/>
        <v>20.2</v>
      </c>
      <c r="M341" s="621"/>
      <c r="N341" s="621"/>
      <c r="O341" s="621"/>
      <c r="P341" s="622">
        <f t="shared" si="93"/>
        <v>-4.9000000000000021</v>
      </c>
      <c r="Q341" s="609">
        <f t="shared" si="105"/>
        <v>29.2</v>
      </c>
      <c r="R341" s="620">
        <v>10.5</v>
      </c>
      <c r="S341" s="620">
        <v>8</v>
      </c>
      <c r="T341" s="620">
        <v>6.6</v>
      </c>
      <c r="U341" s="611">
        <f t="shared" si="94"/>
        <v>25.1</v>
      </c>
      <c r="V341" s="621"/>
      <c r="W341" s="621"/>
      <c r="X341" s="621"/>
      <c r="Y341" s="622">
        <f t="shared" si="95"/>
        <v>-4.0999999999999979</v>
      </c>
      <c r="Z341" s="609">
        <f t="shared" si="106"/>
        <v>29.2</v>
      </c>
      <c r="AA341" s="620">
        <v>12</v>
      </c>
      <c r="AB341" s="620">
        <v>12</v>
      </c>
      <c r="AC341" s="620">
        <v>10</v>
      </c>
      <c r="AD341" s="611">
        <f t="shared" si="96"/>
        <v>34</v>
      </c>
      <c r="AE341" s="621"/>
      <c r="AF341" s="621"/>
      <c r="AG341" s="621"/>
      <c r="AH341" s="622">
        <f t="shared" si="97"/>
        <v>4.8000000000000007</v>
      </c>
      <c r="AI341" s="609">
        <f t="shared" si="107"/>
        <v>35.5</v>
      </c>
      <c r="AJ341" s="620">
        <v>11.2</v>
      </c>
      <c r="AK341" s="620">
        <v>9</v>
      </c>
      <c r="AL341" s="620">
        <v>9</v>
      </c>
      <c r="AM341" s="623">
        <f t="shared" si="98"/>
        <v>29.2</v>
      </c>
      <c r="AN341" s="621"/>
      <c r="AO341" s="621"/>
      <c r="AP341" s="621"/>
      <c r="AQ341" s="622">
        <f t="shared" si="99"/>
        <v>-6.3000000000000007</v>
      </c>
      <c r="AR341" s="615">
        <f t="shared" si="108"/>
        <v>31.9</v>
      </c>
      <c r="AS341" s="620">
        <v>13.5</v>
      </c>
      <c r="AT341" s="620">
        <v>12</v>
      </c>
      <c r="AU341" s="620">
        <v>10</v>
      </c>
      <c r="AV341" s="623">
        <f t="shared" si="100"/>
        <v>35.5</v>
      </c>
      <c r="AW341" s="621">
        <v>3.24</v>
      </c>
      <c r="AX341" s="621">
        <v>3.32</v>
      </c>
      <c r="AY341" s="621">
        <v>90</v>
      </c>
      <c r="AZ341" s="624">
        <f t="shared" si="101"/>
        <v>3.6000000000000014</v>
      </c>
      <c r="BA341" s="623">
        <v>31.9</v>
      </c>
      <c r="BB341" s="620">
        <v>17.8</v>
      </c>
      <c r="BC341" s="620">
        <v>14.1</v>
      </c>
      <c r="BD341" s="623">
        <f t="shared" si="102"/>
        <v>31.9</v>
      </c>
      <c r="BE341" s="621"/>
      <c r="BF341" s="621"/>
      <c r="BG341" s="621"/>
      <c r="BH341" s="621">
        <f t="shared" si="103"/>
        <v>0</v>
      </c>
    </row>
    <row r="342" spans="1:60" ht="17.25" thickTop="1" thickBot="1" x14ac:dyDescent="0.3">
      <c r="A342" s="602">
        <v>335</v>
      </c>
      <c r="B342" s="603">
        <f t="shared" ca="1" si="91"/>
        <v>43134</v>
      </c>
      <c r="C342" s="29" t="s">
        <v>614</v>
      </c>
      <c r="D342" s="59" t="s">
        <v>2897</v>
      </c>
      <c r="E342" s="22" t="s">
        <v>493</v>
      </c>
      <c r="F342" s="27" t="s">
        <v>494</v>
      </c>
      <c r="G342" s="567">
        <v>42754</v>
      </c>
      <c r="H342" s="609">
        <f t="shared" si="104"/>
        <v>22.2</v>
      </c>
      <c r="I342" s="620">
        <v>8.1999999999999993</v>
      </c>
      <c r="J342" s="620">
        <v>6</v>
      </c>
      <c r="K342" s="620">
        <v>7.5</v>
      </c>
      <c r="L342" s="611">
        <f t="shared" si="92"/>
        <v>21.7</v>
      </c>
      <c r="M342" s="621"/>
      <c r="N342" s="621"/>
      <c r="O342" s="621"/>
      <c r="P342" s="622">
        <f t="shared" si="93"/>
        <v>-0.5</v>
      </c>
      <c r="Q342" s="609">
        <f t="shared" si="105"/>
        <v>29.6</v>
      </c>
      <c r="R342" s="620">
        <v>7</v>
      </c>
      <c r="S342" s="620">
        <v>9</v>
      </c>
      <c r="T342" s="620">
        <v>6.2</v>
      </c>
      <c r="U342" s="611">
        <f t="shared" si="94"/>
        <v>22.2</v>
      </c>
      <c r="V342" s="621"/>
      <c r="W342" s="621"/>
      <c r="X342" s="621"/>
      <c r="Y342" s="622">
        <f t="shared" si="95"/>
        <v>-7.4000000000000021</v>
      </c>
      <c r="Z342" s="609">
        <f t="shared" si="106"/>
        <v>29.6</v>
      </c>
      <c r="AA342" s="620">
        <v>13</v>
      </c>
      <c r="AB342" s="620">
        <v>12.5</v>
      </c>
      <c r="AC342" s="620">
        <v>9.1</v>
      </c>
      <c r="AD342" s="611">
        <f t="shared" si="96"/>
        <v>34.6</v>
      </c>
      <c r="AE342" s="621"/>
      <c r="AF342" s="621"/>
      <c r="AG342" s="621"/>
      <c r="AH342" s="622">
        <f t="shared" si="97"/>
        <v>5</v>
      </c>
      <c r="AI342" s="609">
        <f t="shared" si="107"/>
        <v>29</v>
      </c>
      <c r="AJ342" s="620">
        <v>10.6</v>
      </c>
      <c r="AK342" s="620">
        <v>10</v>
      </c>
      <c r="AL342" s="620">
        <v>9</v>
      </c>
      <c r="AM342" s="623">
        <f t="shared" si="98"/>
        <v>29.6</v>
      </c>
      <c r="AN342" s="621"/>
      <c r="AO342" s="621"/>
      <c r="AP342" s="621"/>
      <c r="AQ342" s="622">
        <f t="shared" si="99"/>
        <v>0.60000000000000142</v>
      </c>
      <c r="AR342" s="615">
        <f t="shared" si="108"/>
        <v>49</v>
      </c>
      <c r="AS342" s="620">
        <v>12</v>
      </c>
      <c r="AT342" s="620">
        <v>10</v>
      </c>
      <c r="AU342" s="620">
        <v>7</v>
      </c>
      <c r="AV342" s="623">
        <f t="shared" si="100"/>
        <v>29</v>
      </c>
      <c r="AW342" s="621">
        <v>3.61</v>
      </c>
      <c r="AX342" s="621">
        <v>3.75</v>
      </c>
      <c r="AY342" s="621">
        <v>90</v>
      </c>
      <c r="AZ342" s="624">
        <f t="shared" si="101"/>
        <v>-20</v>
      </c>
      <c r="BA342" s="623">
        <v>49</v>
      </c>
      <c r="BB342" s="620">
        <v>18</v>
      </c>
      <c r="BC342" s="620">
        <v>20</v>
      </c>
      <c r="BD342" s="623">
        <f t="shared" si="102"/>
        <v>38</v>
      </c>
      <c r="BE342" s="621"/>
      <c r="BF342" s="621"/>
      <c r="BG342" s="621"/>
      <c r="BH342" s="621">
        <f t="shared" si="103"/>
        <v>11</v>
      </c>
    </row>
    <row r="343" spans="1:60" ht="17.25" thickTop="1" thickBot="1" x14ac:dyDescent="0.3">
      <c r="A343" s="77">
        <v>336</v>
      </c>
      <c r="B343" s="603">
        <f t="shared" ca="1" si="91"/>
        <v>43134</v>
      </c>
      <c r="C343" s="29" t="s">
        <v>614</v>
      </c>
      <c r="D343" s="59" t="s">
        <v>2897</v>
      </c>
      <c r="E343" s="22" t="s">
        <v>416</v>
      </c>
      <c r="F343" s="27" t="s">
        <v>607</v>
      </c>
      <c r="G343" s="567">
        <v>42807</v>
      </c>
      <c r="H343" s="609">
        <f t="shared" si="104"/>
        <v>15.399999999999999</v>
      </c>
      <c r="I343" s="620">
        <v>5</v>
      </c>
      <c r="J343" s="620"/>
      <c r="K343" s="620">
        <v>6</v>
      </c>
      <c r="L343" s="611">
        <f t="shared" si="92"/>
        <v>11</v>
      </c>
      <c r="M343" s="621"/>
      <c r="N343" s="621"/>
      <c r="O343" s="621"/>
      <c r="P343" s="622">
        <f t="shared" si="93"/>
        <v>-4.3999999999999986</v>
      </c>
      <c r="Q343" s="609">
        <f t="shared" si="105"/>
        <v>24.2</v>
      </c>
      <c r="R343" s="620">
        <v>5</v>
      </c>
      <c r="S343" s="620">
        <v>6.2</v>
      </c>
      <c r="T343" s="620">
        <v>4.2</v>
      </c>
      <c r="U343" s="611">
        <f t="shared" si="94"/>
        <v>15.399999999999999</v>
      </c>
      <c r="V343" s="621"/>
      <c r="W343" s="621"/>
      <c r="X343" s="621"/>
      <c r="Y343" s="622">
        <f t="shared" si="95"/>
        <v>-8.8000000000000007</v>
      </c>
      <c r="Z343" s="609">
        <f t="shared" si="106"/>
        <v>24.2</v>
      </c>
      <c r="AA343" s="620">
        <v>16</v>
      </c>
      <c r="AB343" s="620"/>
      <c r="AC343" s="620">
        <v>10</v>
      </c>
      <c r="AD343" s="611">
        <f t="shared" si="96"/>
        <v>26</v>
      </c>
      <c r="AE343" s="621"/>
      <c r="AF343" s="621"/>
      <c r="AG343" s="621"/>
      <c r="AH343" s="622">
        <f t="shared" si="97"/>
        <v>1.8000000000000007</v>
      </c>
      <c r="AI343" s="609">
        <f t="shared" si="107"/>
        <v>28.200000000000003</v>
      </c>
      <c r="AJ343" s="620">
        <v>8</v>
      </c>
      <c r="AK343" s="620">
        <v>8</v>
      </c>
      <c r="AL343" s="620">
        <v>8.1999999999999993</v>
      </c>
      <c r="AM343" s="623">
        <f t="shared" si="98"/>
        <v>24.2</v>
      </c>
      <c r="AN343" s="621"/>
      <c r="AO343" s="621"/>
      <c r="AP343" s="621"/>
      <c r="AQ343" s="622">
        <f t="shared" si="99"/>
        <v>-4.0000000000000036</v>
      </c>
      <c r="AR343" s="615">
        <f t="shared" si="108"/>
        <v>27.6</v>
      </c>
      <c r="AS343" s="620">
        <v>9.8000000000000007</v>
      </c>
      <c r="AT343" s="620">
        <v>9.4</v>
      </c>
      <c r="AU343" s="620">
        <v>9</v>
      </c>
      <c r="AV343" s="623">
        <f t="shared" si="100"/>
        <v>28.200000000000003</v>
      </c>
      <c r="AW343" s="621">
        <v>3.62</v>
      </c>
      <c r="AX343" s="621">
        <v>3.16</v>
      </c>
      <c r="AY343" s="621">
        <v>90</v>
      </c>
      <c r="AZ343" s="624">
        <f t="shared" si="101"/>
        <v>0.60000000000000142</v>
      </c>
      <c r="BA343" s="623">
        <v>27.6</v>
      </c>
      <c r="BB343" s="620">
        <v>16</v>
      </c>
      <c r="BC343" s="620">
        <v>16</v>
      </c>
      <c r="BD343" s="623">
        <f t="shared" si="102"/>
        <v>32</v>
      </c>
      <c r="BE343" s="621"/>
      <c r="BF343" s="621"/>
      <c r="BG343" s="621"/>
      <c r="BH343" s="621">
        <f t="shared" si="103"/>
        <v>-4.3999999999999986</v>
      </c>
    </row>
    <row r="344" spans="1:60" ht="17.25" thickTop="1" thickBot="1" x14ac:dyDescent="0.3">
      <c r="A344" s="602">
        <v>337</v>
      </c>
      <c r="B344" s="603">
        <f t="shared" ca="1" si="91"/>
        <v>43134</v>
      </c>
      <c r="C344" s="29" t="s">
        <v>614</v>
      </c>
      <c r="D344" s="59" t="s">
        <v>2897</v>
      </c>
      <c r="E344" s="22" t="s">
        <v>542</v>
      </c>
      <c r="F344" s="27" t="s">
        <v>543</v>
      </c>
      <c r="G344" s="567">
        <v>42838</v>
      </c>
      <c r="H344" s="609">
        <f t="shared" si="104"/>
        <v>21.6</v>
      </c>
      <c r="I344" s="620">
        <v>12</v>
      </c>
      <c r="J344" s="620"/>
      <c r="K344" s="620">
        <v>9</v>
      </c>
      <c r="L344" s="611">
        <f t="shared" si="92"/>
        <v>21</v>
      </c>
      <c r="M344" s="621"/>
      <c r="N344" s="621"/>
      <c r="O344" s="621"/>
      <c r="P344" s="622">
        <f t="shared" si="93"/>
        <v>-0.60000000000000142</v>
      </c>
      <c r="Q344" s="609">
        <f t="shared" si="105"/>
        <v>30.6</v>
      </c>
      <c r="R344" s="620">
        <v>11</v>
      </c>
      <c r="S344" s="620"/>
      <c r="T344" s="620">
        <v>10.6</v>
      </c>
      <c r="U344" s="611">
        <f t="shared" si="94"/>
        <v>21.6</v>
      </c>
      <c r="V344" s="621"/>
      <c r="W344" s="621"/>
      <c r="X344" s="621"/>
      <c r="Y344" s="622">
        <f t="shared" si="95"/>
        <v>-9</v>
      </c>
      <c r="Z344" s="609">
        <f t="shared" si="106"/>
        <v>30.6</v>
      </c>
      <c r="AA344" s="620">
        <v>10.5</v>
      </c>
      <c r="AB344" s="620">
        <v>2.5</v>
      </c>
      <c r="AC344" s="620">
        <v>9</v>
      </c>
      <c r="AD344" s="611">
        <f t="shared" si="96"/>
        <v>22</v>
      </c>
      <c r="AE344" s="621"/>
      <c r="AF344" s="621"/>
      <c r="AG344" s="621"/>
      <c r="AH344" s="622">
        <f t="shared" si="97"/>
        <v>-8.6000000000000014</v>
      </c>
      <c r="AI344" s="609">
        <f t="shared" si="107"/>
        <v>30.5</v>
      </c>
      <c r="AJ344" s="620">
        <v>10</v>
      </c>
      <c r="AK344" s="620">
        <v>11</v>
      </c>
      <c r="AL344" s="620">
        <v>9.6</v>
      </c>
      <c r="AM344" s="623">
        <f t="shared" si="98"/>
        <v>30.6</v>
      </c>
      <c r="AN344" s="621"/>
      <c r="AO344" s="621"/>
      <c r="AP344" s="621"/>
      <c r="AQ344" s="622">
        <f t="shared" si="99"/>
        <v>0.10000000000000142</v>
      </c>
      <c r="AR344" s="615">
        <f t="shared" si="108"/>
        <v>36</v>
      </c>
      <c r="AS344" s="620">
        <v>10.5</v>
      </c>
      <c r="AT344" s="620">
        <v>10</v>
      </c>
      <c r="AU344" s="620">
        <v>10</v>
      </c>
      <c r="AV344" s="623">
        <f t="shared" si="100"/>
        <v>30.5</v>
      </c>
      <c r="AW344" s="621">
        <v>3.5</v>
      </c>
      <c r="AX344" s="621">
        <v>3.21</v>
      </c>
      <c r="AY344" s="621">
        <v>90</v>
      </c>
      <c r="AZ344" s="624">
        <f t="shared" si="101"/>
        <v>-5.5</v>
      </c>
      <c r="BA344" s="623">
        <v>36</v>
      </c>
      <c r="BB344" s="620">
        <v>16</v>
      </c>
      <c r="BC344" s="620">
        <v>14</v>
      </c>
      <c r="BD344" s="623">
        <f t="shared" si="102"/>
        <v>30</v>
      </c>
      <c r="BE344" s="621"/>
      <c r="BF344" s="621"/>
      <c r="BG344" s="621"/>
      <c r="BH344" s="621">
        <f t="shared" si="103"/>
        <v>6</v>
      </c>
    </row>
    <row r="345" spans="1:60" ht="17.25" thickTop="1" thickBot="1" x14ac:dyDescent="0.3">
      <c r="A345" s="77">
        <v>338</v>
      </c>
      <c r="B345" s="603">
        <f t="shared" ca="1" si="91"/>
        <v>43134</v>
      </c>
      <c r="C345" s="29" t="s">
        <v>614</v>
      </c>
      <c r="D345" s="59" t="s">
        <v>2897</v>
      </c>
      <c r="E345" s="22" t="s">
        <v>708</v>
      </c>
      <c r="F345" s="27" t="s">
        <v>709</v>
      </c>
      <c r="G345" s="567">
        <v>42756</v>
      </c>
      <c r="H345" s="609">
        <f t="shared" si="104"/>
        <v>16.8</v>
      </c>
      <c r="I345" s="620">
        <v>6</v>
      </c>
      <c r="J345" s="620"/>
      <c r="K345" s="620">
        <v>4</v>
      </c>
      <c r="L345" s="611">
        <f t="shared" si="92"/>
        <v>10</v>
      </c>
      <c r="M345" s="621"/>
      <c r="N345" s="621"/>
      <c r="O345" s="621"/>
      <c r="P345" s="622">
        <f t="shared" si="93"/>
        <v>-6.8000000000000007</v>
      </c>
      <c r="Q345" s="609">
        <f t="shared" si="105"/>
        <v>24</v>
      </c>
      <c r="R345" s="620">
        <v>9.8000000000000007</v>
      </c>
      <c r="S345" s="620"/>
      <c r="T345" s="620">
        <v>7</v>
      </c>
      <c r="U345" s="611">
        <f t="shared" si="94"/>
        <v>16.8</v>
      </c>
      <c r="V345" s="621"/>
      <c r="W345" s="621"/>
      <c r="X345" s="621"/>
      <c r="Y345" s="622">
        <f t="shared" si="95"/>
        <v>-7.1999999999999993</v>
      </c>
      <c r="Z345" s="609">
        <f t="shared" si="106"/>
        <v>24</v>
      </c>
      <c r="AA345" s="620">
        <v>9</v>
      </c>
      <c r="AB345" s="620"/>
      <c r="AC345" s="620">
        <v>10</v>
      </c>
      <c r="AD345" s="611">
        <f t="shared" si="96"/>
        <v>19</v>
      </c>
      <c r="AE345" s="621"/>
      <c r="AF345" s="621"/>
      <c r="AG345" s="621"/>
      <c r="AH345" s="622">
        <f t="shared" si="97"/>
        <v>-5</v>
      </c>
      <c r="AI345" s="609">
        <f t="shared" si="107"/>
        <v>25</v>
      </c>
      <c r="AJ345" s="620">
        <v>14</v>
      </c>
      <c r="AK345" s="620"/>
      <c r="AL345" s="620">
        <v>10</v>
      </c>
      <c r="AM345" s="623">
        <f t="shared" si="98"/>
        <v>24</v>
      </c>
      <c r="AN345" s="621"/>
      <c r="AO345" s="621"/>
      <c r="AP345" s="621"/>
      <c r="AQ345" s="622">
        <f t="shared" si="99"/>
        <v>-1</v>
      </c>
      <c r="AR345" s="615">
        <f t="shared" si="108"/>
        <v>25.6</v>
      </c>
      <c r="AS345" s="620">
        <v>10</v>
      </c>
      <c r="AT345" s="620">
        <v>7</v>
      </c>
      <c r="AU345" s="620">
        <v>8</v>
      </c>
      <c r="AV345" s="623">
        <f t="shared" si="100"/>
        <v>25</v>
      </c>
      <c r="AW345" s="621">
        <v>3.43</v>
      </c>
      <c r="AX345" s="621">
        <v>2.78</v>
      </c>
      <c r="AY345" s="621">
        <v>90</v>
      </c>
      <c r="AZ345" s="624">
        <f t="shared" si="101"/>
        <v>-0.60000000000000142</v>
      </c>
      <c r="BA345" s="623">
        <v>25.6</v>
      </c>
      <c r="BB345" s="620">
        <v>13</v>
      </c>
      <c r="BC345" s="620">
        <v>14</v>
      </c>
      <c r="BD345" s="623">
        <f t="shared" si="102"/>
        <v>27</v>
      </c>
      <c r="BE345" s="621"/>
      <c r="BF345" s="621"/>
      <c r="BG345" s="621"/>
      <c r="BH345" s="621">
        <f t="shared" si="103"/>
        <v>-1.3999999999999986</v>
      </c>
    </row>
    <row r="346" spans="1:60" ht="17.25" thickTop="1" thickBot="1" x14ac:dyDescent="0.3">
      <c r="A346" s="602">
        <v>339</v>
      </c>
      <c r="B346" s="603">
        <f t="shared" ca="1" si="91"/>
        <v>43134</v>
      </c>
      <c r="C346" s="29" t="s">
        <v>614</v>
      </c>
      <c r="D346" s="59" t="s">
        <v>2897</v>
      </c>
      <c r="E346" s="22" t="s">
        <v>521</v>
      </c>
      <c r="F346" s="27" t="s">
        <v>522</v>
      </c>
      <c r="G346" s="567">
        <v>42854</v>
      </c>
      <c r="H346" s="609">
        <f t="shared" si="104"/>
        <v>21.4</v>
      </c>
      <c r="I346" s="620">
        <v>1</v>
      </c>
      <c r="J346" s="620"/>
      <c r="K346" s="620">
        <v>0.5</v>
      </c>
      <c r="L346" s="611">
        <f t="shared" si="92"/>
        <v>1.5</v>
      </c>
      <c r="M346" s="621"/>
      <c r="N346" s="621"/>
      <c r="O346" s="621"/>
      <c r="P346" s="622">
        <f t="shared" si="93"/>
        <v>-19.899999999999999</v>
      </c>
      <c r="Q346" s="609">
        <f t="shared" si="105"/>
        <v>21</v>
      </c>
      <c r="R346" s="620">
        <v>8</v>
      </c>
      <c r="S346" s="620">
        <v>8.4</v>
      </c>
      <c r="T346" s="620">
        <v>5</v>
      </c>
      <c r="U346" s="611">
        <f t="shared" si="94"/>
        <v>21.4</v>
      </c>
      <c r="V346" s="621"/>
      <c r="W346" s="621"/>
      <c r="X346" s="621"/>
      <c r="Y346" s="622">
        <f t="shared" si="95"/>
        <v>0.39999999999999858</v>
      </c>
      <c r="Z346" s="609">
        <f t="shared" si="106"/>
        <v>21</v>
      </c>
      <c r="AA346" s="620">
        <v>10</v>
      </c>
      <c r="AB346" s="620">
        <v>9</v>
      </c>
      <c r="AC346" s="620">
        <v>5</v>
      </c>
      <c r="AD346" s="611">
        <f t="shared" si="96"/>
        <v>24</v>
      </c>
      <c r="AE346" s="621"/>
      <c r="AF346" s="621"/>
      <c r="AG346" s="621"/>
      <c r="AH346" s="622">
        <f t="shared" si="97"/>
        <v>3</v>
      </c>
      <c r="AI346" s="609">
        <f t="shared" si="107"/>
        <v>21</v>
      </c>
      <c r="AJ346" s="620">
        <v>7</v>
      </c>
      <c r="AK346" s="620">
        <v>8</v>
      </c>
      <c r="AL346" s="620">
        <v>6</v>
      </c>
      <c r="AM346" s="623">
        <f t="shared" si="98"/>
        <v>21</v>
      </c>
      <c r="AN346" s="621"/>
      <c r="AO346" s="621"/>
      <c r="AP346" s="621"/>
      <c r="AQ346" s="622">
        <f t="shared" si="99"/>
        <v>0</v>
      </c>
      <c r="AR346" s="615">
        <f t="shared" si="108"/>
        <v>0</v>
      </c>
      <c r="AS346" s="620">
        <v>8</v>
      </c>
      <c r="AT346" s="620">
        <v>8</v>
      </c>
      <c r="AU346" s="620">
        <v>5</v>
      </c>
      <c r="AV346" s="623">
        <f t="shared" si="100"/>
        <v>21</v>
      </c>
      <c r="AW346" s="621">
        <v>3.19</v>
      </c>
      <c r="AX346" s="621">
        <v>3.42</v>
      </c>
      <c r="AY346" s="621">
        <v>90</v>
      </c>
      <c r="AZ346" s="624">
        <f t="shared" si="101"/>
        <v>21</v>
      </c>
      <c r="BA346" s="623"/>
      <c r="BB346" s="620">
        <v>10</v>
      </c>
      <c r="BC346" s="620">
        <v>7.6</v>
      </c>
      <c r="BD346" s="623">
        <f t="shared" si="102"/>
        <v>17.600000000000001</v>
      </c>
      <c r="BE346" s="621"/>
      <c r="BF346" s="621"/>
      <c r="BG346" s="621"/>
      <c r="BH346" s="621">
        <f t="shared" si="103"/>
        <v>-17.600000000000001</v>
      </c>
    </row>
    <row r="347" spans="1:60" ht="17.25" thickTop="1" thickBot="1" x14ac:dyDescent="0.3">
      <c r="A347" s="77">
        <v>340</v>
      </c>
      <c r="B347" s="603">
        <f t="shared" ca="1" si="91"/>
        <v>43134</v>
      </c>
      <c r="C347" s="29" t="s">
        <v>614</v>
      </c>
      <c r="D347" s="59" t="s">
        <v>2897</v>
      </c>
      <c r="E347" s="22" t="s">
        <v>437</v>
      </c>
      <c r="F347" s="27" t="s">
        <v>438</v>
      </c>
      <c r="G347" s="567">
        <v>42796</v>
      </c>
      <c r="H347" s="609">
        <f t="shared" si="104"/>
        <v>21</v>
      </c>
      <c r="I347" s="620">
        <v>6.8</v>
      </c>
      <c r="J347" s="620">
        <v>6</v>
      </c>
      <c r="K347" s="620">
        <v>7.2</v>
      </c>
      <c r="L347" s="611">
        <f t="shared" si="92"/>
        <v>20</v>
      </c>
      <c r="M347" s="621"/>
      <c r="N347" s="621"/>
      <c r="O347" s="621"/>
      <c r="P347" s="622">
        <f t="shared" si="93"/>
        <v>-1</v>
      </c>
      <c r="Q347" s="609">
        <f t="shared" si="105"/>
        <v>23</v>
      </c>
      <c r="R347" s="620">
        <v>8</v>
      </c>
      <c r="S347" s="620">
        <v>7</v>
      </c>
      <c r="T347" s="620">
        <v>6</v>
      </c>
      <c r="U347" s="611">
        <f t="shared" si="94"/>
        <v>21</v>
      </c>
      <c r="V347" s="621"/>
      <c r="W347" s="621"/>
      <c r="X347" s="621"/>
      <c r="Y347" s="622">
        <f t="shared" si="95"/>
        <v>-2</v>
      </c>
      <c r="Z347" s="609">
        <f t="shared" si="106"/>
        <v>23</v>
      </c>
      <c r="AA347" s="620">
        <v>12</v>
      </c>
      <c r="AB347" s="620"/>
      <c r="AC347" s="620">
        <v>13</v>
      </c>
      <c r="AD347" s="611">
        <f t="shared" si="96"/>
        <v>25</v>
      </c>
      <c r="AE347" s="621"/>
      <c r="AF347" s="621"/>
      <c r="AG347" s="621"/>
      <c r="AH347" s="622">
        <f t="shared" si="97"/>
        <v>2</v>
      </c>
      <c r="AI347" s="609">
        <f t="shared" si="107"/>
        <v>28</v>
      </c>
      <c r="AJ347" s="620">
        <v>6</v>
      </c>
      <c r="AK347" s="620">
        <v>8</v>
      </c>
      <c r="AL347" s="620">
        <v>9</v>
      </c>
      <c r="AM347" s="623">
        <f t="shared" si="98"/>
        <v>23</v>
      </c>
      <c r="AN347" s="621"/>
      <c r="AO347" s="621"/>
      <c r="AP347" s="621"/>
      <c r="AQ347" s="622">
        <f t="shared" si="99"/>
        <v>-5</v>
      </c>
      <c r="AR347" s="615">
        <f t="shared" si="108"/>
        <v>32.799999999999997</v>
      </c>
      <c r="AS347" s="620">
        <v>11</v>
      </c>
      <c r="AT347" s="620">
        <v>11</v>
      </c>
      <c r="AU347" s="620">
        <v>6</v>
      </c>
      <c r="AV347" s="623">
        <f t="shared" si="100"/>
        <v>28</v>
      </c>
      <c r="AW347" s="621">
        <v>3.76</v>
      </c>
      <c r="AX347" s="621">
        <v>3.25</v>
      </c>
      <c r="AY347" s="621">
        <v>90</v>
      </c>
      <c r="AZ347" s="624">
        <f t="shared" si="101"/>
        <v>-4.7999999999999972</v>
      </c>
      <c r="BA347" s="623">
        <v>32.799999999999997</v>
      </c>
      <c r="BB347" s="620">
        <v>13</v>
      </c>
      <c r="BC347" s="620">
        <v>12.5</v>
      </c>
      <c r="BD347" s="623">
        <f t="shared" si="102"/>
        <v>25.5</v>
      </c>
      <c r="BE347" s="621"/>
      <c r="BF347" s="621"/>
      <c r="BG347" s="621"/>
      <c r="BH347" s="621">
        <f t="shared" si="103"/>
        <v>7.2999999999999972</v>
      </c>
    </row>
    <row r="348" spans="1:60" ht="17.25" thickTop="1" thickBot="1" x14ac:dyDescent="0.3">
      <c r="A348" s="602">
        <v>341</v>
      </c>
      <c r="B348" s="603">
        <f t="shared" ca="1" si="91"/>
        <v>43134</v>
      </c>
      <c r="C348" s="29" t="s">
        <v>614</v>
      </c>
      <c r="D348" s="59" t="s">
        <v>2897</v>
      </c>
      <c r="E348" s="22" t="s">
        <v>1083</v>
      </c>
      <c r="F348" s="27" t="s">
        <v>1249</v>
      </c>
      <c r="G348" s="567">
        <v>42819</v>
      </c>
      <c r="H348" s="609">
        <f t="shared" si="104"/>
        <v>20.399999999999999</v>
      </c>
      <c r="I348" s="620">
        <v>8</v>
      </c>
      <c r="J348" s="620">
        <v>4.2</v>
      </c>
      <c r="K348" s="620">
        <v>6</v>
      </c>
      <c r="L348" s="611">
        <f t="shared" si="92"/>
        <v>18.2</v>
      </c>
      <c r="M348" s="621"/>
      <c r="N348" s="621"/>
      <c r="O348" s="621"/>
      <c r="P348" s="622">
        <f t="shared" si="93"/>
        <v>-2.1999999999999993</v>
      </c>
      <c r="Q348" s="609">
        <f t="shared" si="105"/>
        <v>27.8</v>
      </c>
      <c r="R348" s="620">
        <v>7.6</v>
      </c>
      <c r="S348" s="620">
        <v>7</v>
      </c>
      <c r="T348" s="620">
        <v>5.8</v>
      </c>
      <c r="U348" s="611">
        <f t="shared" si="94"/>
        <v>20.399999999999999</v>
      </c>
      <c r="V348" s="621"/>
      <c r="W348" s="621"/>
      <c r="X348" s="621"/>
      <c r="Y348" s="622">
        <f t="shared" si="95"/>
        <v>-7.4000000000000021</v>
      </c>
      <c r="Z348" s="609">
        <f t="shared" si="106"/>
        <v>27.8</v>
      </c>
      <c r="AA348" s="620">
        <v>11</v>
      </c>
      <c r="AB348" s="620">
        <v>5.5</v>
      </c>
      <c r="AC348" s="620">
        <v>16</v>
      </c>
      <c r="AD348" s="611">
        <f t="shared" si="96"/>
        <v>32.5</v>
      </c>
      <c r="AE348" s="621"/>
      <c r="AF348" s="621"/>
      <c r="AG348" s="621"/>
      <c r="AH348" s="622">
        <f t="shared" si="97"/>
        <v>4.6999999999999993</v>
      </c>
      <c r="AI348" s="609">
        <f t="shared" si="107"/>
        <v>31</v>
      </c>
      <c r="AJ348" s="620">
        <v>8</v>
      </c>
      <c r="AK348" s="620">
        <v>9.8000000000000007</v>
      </c>
      <c r="AL348" s="620">
        <v>10</v>
      </c>
      <c r="AM348" s="623">
        <f t="shared" si="98"/>
        <v>27.8</v>
      </c>
      <c r="AN348" s="621"/>
      <c r="AO348" s="621"/>
      <c r="AP348" s="621"/>
      <c r="AQ348" s="622">
        <f t="shared" si="99"/>
        <v>-3.1999999999999993</v>
      </c>
      <c r="AR348" s="615">
        <f t="shared" si="108"/>
        <v>29</v>
      </c>
      <c r="AS348" s="620">
        <v>12</v>
      </c>
      <c r="AT348" s="620">
        <v>8</v>
      </c>
      <c r="AU348" s="620">
        <v>11</v>
      </c>
      <c r="AV348" s="623">
        <f t="shared" si="100"/>
        <v>31</v>
      </c>
      <c r="AW348" s="621">
        <v>3.22</v>
      </c>
      <c r="AX348" s="621">
        <v>3.46</v>
      </c>
      <c r="AY348" s="621">
        <v>90</v>
      </c>
      <c r="AZ348" s="624">
        <f t="shared" si="101"/>
        <v>2</v>
      </c>
      <c r="BA348" s="623">
        <v>29</v>
      </c>
      <c r="BB348" s="620">
        <v>14.8</v>
      </c>
      <c r="BC348" s="620">
        <v>14.2</v>
      </c>
      <c r="BD348" s="623">
        <f t="shared" si="102"/>
        <v>29</v>
      </c>
      <c r="BE348" s="621"/>
      <c r="BF348" s="621"/>
      <c r="BG348" s="621"/>
      <c r="BH348" s="621">
        <f t="shared" si="103"/>
        <v>0</v>
      </c>
    </row>
    <row r="349" spans="1:60" ht="17.25" thickTop="1" thickBot="1" x14ac:dyDescent="0.3">
      <c r="A349" s="77">
        <v>342</v>
      </c>
      <c r="B349" s="603">
        <f t="shared" ca="1" si="91"/>
        <v>43134</v>
      </c>
      <c r="C349" s="29" t="s">
        <v>614</v>
      </c>
      <c r="D349" s="59" t="s">
        <v>2897</v>
      </c>
      <c r="E349" s="22" t="s">
        <v>1364</v>
      </c>
      <c r="F349" s="27" t="s">
        <v>1250</v>
      </c>
      <c r="G349" s="567">
        <v>42804</v>
      </c>
      <c r="H349" s="609">
        <f t="shared" si="104"/>
        <v>27.6</v>
      </c>
      <c r="I349" s="620">
        <v>12</v>
      </c>
      <c r="J349" s="620">
        <v>15</v>
      </c>
      <c r="K349" s="620">
        <v>12</v>
      </c>
      <c r="L349" s="611">
        <f t="shared" si="92"/>
        <v>39</v>
      </c>
      <c r="M349" s="621"/>
      <c r="N349" s="621"/>
      <c r="O349" s="621"/>
      <c r="P349" s="622">
        <f t="shared" si="93"/>
        <v>11.399999999999999</v>
      </c>
      <c r="Q349" s="609">
        <f t="shared" si="105"/>
        <v>26.2</v>
      </c>
      <c r="R349" s="620">
        <v>10.4</v>
      </c>
      <c r="S349" s="620">
        <v>8.4</v>
      </c>
      <c r="T349" s="620">
        <v>8.8000000000000007</v>
      </c>
      <c r="U349" s="611">
        <f t="shared" si="94"/>
        <v>27.6</v>
      </c>
      <c r="V349" s="621"/>
      <c r="W349" s="621"/>
      <c r="X349" s="621"/>
      <c r="Y349" s="622">
        <f t="shared" si="95"/>
        <v>1.4000000000000021</v>
      </c>
      <c r="Z349" s="609">
        <f t="shared" si="106"/>
        <v>26.2</v>
      </c>
      <c r="AA349" s="620">
        <v>11</v>
      </c>
      <c r="AB349" s="620">
        <v>12.5</v>
      </c>
      <c r="AC349" s="620">
        <v>10.1</v>
      </c>
      <c r="AD349" s="611">
        <f t="shared" si="96"/>
        <v>33.6</v>
      </c>
      <c r="AE349" s="621"/>
      <c r="AF349" s="621"/>
      <c r="AG349" s="621"/>
      <c r="AH349" s="622">
        <f t="shared" si="97"/>
        <v>7.4000000000000021</v>
      </c>
      <c r="AI349" s="609">
        <f t="shared" si="107"/>
        <v>30.2</v>
      </c>
      <c r="AJ349" s="620">
        <v>10</v>
      </c>
      <c r="AK349" s="620">
        <v>8.1999999999999993</v>
      </c>
      <c r="AL349" s="620">
        <v>8</v>
      </c>
      <c r="AM349" s="623">
        <f t="shared" si="98"/>
        <v>26.2</v>
      </c>
      <c r="AN349" s="621"/>
      <c r="AO349" s="621"/>
      <c r="AP349" s="621"/>
      <c r="AQ349" s="622">
        <f t="shared" si="99"/>
        <v>-4</v>
      </c>
      <c r="AR349" s="615">
        <f t="shared" si="108"/>
        <v>25</v>
      </c>
      <c r="AS349" s="620">
        <v>9.1999999999999993</v>
      </c>
      <c r="AT349" s="620">
        <v>8</v>
      </c>
      <c r="AU349" s="620">
        <v>13</v>
      </c>
      <c r="AV349" s="623">
        <f t="shared" si="100"/>
        <v>30.2</v>
      </c>
      <c r="AW349" s="621">
        <v>3.68</v>
      </c>
      <c r="AX349" s="621">
        <v>3.27</v>
      </c>
      <c r="AY349" s="621">
        <v>90</v>
      </c>
      <c r="AZ349" s="624">
        <f t="shared" si="101"/>
        <v>5.1999999999999993</v>
      </c>
      <c r="BA349" s="623">
        <v>25</v>
      </c>
      <c r="BB349" s="620">
        <v>14</v>
      </c>
      <c r="BC349" s="620">
        <v>13.5</v>
      </c>
      <c r="BD349" s="623">
        <f t="shared" si="102"/>
        <v>27.5</v>
      </c>
      <c r="BE349" s="621"/>
      <c r="BF349" s="621"/>
      <c r="BG349" s="621"/>
      <c r="BH349" s="621">
        <f t="shared" si="103"/>
        <v>-2.5</v>
      </c>
    </row>
    <row r="350" spans="1:60" ht="17.25" thickTop="1" thickBot="1" x14ac:dyDescent="0.3">
      <c r="A350" s="602">
        <v>343</v>
      </c>
      <c r="B350" s="603">
        <f t="shared" ca="1" si="91"/>
        <v>43134</v>
      </c>
      <c r="C350" s="29" t="s">
        <v>614</v>
      </c>
      <c r="D350" s="59" t="s">
        <v>2897</v>
      </c>
      <c r="E350" s="22" t="s">
        <v>545</v>
      </c>
      <c r="F350" s="27" t="s">
        <v>544</v>
      </c>
      <c r="G350" s="567">
        <v>42785</v>
      </c>
      <c r="H350" s="609">
        <f t="shared" si="104"/>
        <v>23.5</v>
      </c>
      <c r="I350" s="620">
        <v>8</v>
      </c>
      <c r="J350" s="620">
        <v>8</v>
      </c>
      <c r="K350" s="620">
        <v>8</v>
      </c>
      <c r="L350" s="611">
        <f t="shared" si="92"/>
        <v>24</v>
      </c>
      <c r="M350" s="621"/>
      <c r="N350" s="621"/>
      <c r="O350" s="621"/>
      <c r="P350" s="622">
        <f t="shared" si="93"/>
        <v>0.5</v>
      </c>
      <c r="Q350" s="609">
        <f t="shared" si="105"/>
        <v>38.799999999999997</v>
      </c>
      <c r="R350" s="620">
        <v>8.5</v>
      </c>
      <c r="S350" s="620">
        <v>7</v>
      </c>
      <c r="T350" s="620">
        <v>8</v>
      </c>
      <c r="U350" s="611">
        <f t="shared" si="94"/>
        <v>23.5</v>
      </c>
      <c r="V350" s="621"/>
      <c r="W350" s="621"/>
      <c r="X350" s="621"/>
      <c r="Y350" s="622">
        <f t="shared" si="95"/>
        <v>-15.299999999999997</v>
      </c>
      <c r="Z350" s="609">
        <f t="shared" si="106"/>
        <v>38.799999999999997</v>
      </c>
      <c r="AA350" s="620">
        <v>15.8</v>
      </c>
      <c r="AB350" s="620">
        <v>13</v>
      </c>
      <c r="AC350" s="620">
        <v>11</v>
      </c>
      <c r="AD350" s="611">
        <f t="shared" si="96"/>
        <v>39.799999999999997</v>
      </c>
      <c r="AE350" s="621"/>
      <c r="AF350" s="621"/>
      <c r="AG350" s="621"/>
      <c r="AH350" s="622">
        <f t="shared" si="97"/>
        <v>1</v>
      </c>
      <c r="AI350" s="609">
        <f t="shared" si="107"/>
        <v>30</v>
      </c>
      <c r="AJ350" s="620">
        <v>11.6</v>
      </c>
      <c r="AK350" s="620">
        <v>16.2</v>
      </c>
      <c r="AL350" s="620">
        <v>11</v>
      </c>
      <c r="AM350" s="623">
        <f t="shared" si="98"/>
        <v>38.799999999999997</v>
      </c>
      <c r="AN350" s="621"/>
      <c r="AO350" s="621"/>
      <c r="AP350" s="621"/>
      <c r="AQ350" s="622">
        <f t="shared" si="99"/>
        <v>8.7999999999999972</v>
      </c>
      <c r="AR350" s="615">
        <f t="shared" si="108"/>
        <v>36.200000000000003</v>
      </c>
      <c r="AS350" s="620">
        <v>13</v>
      </c>
      <c r="AT350" s="620">
        <v>10</v>
      </c>
      <c r="AU350" s="620">
        <v>7</v>
      </c>
      <c r="AV350" s="623">
        <f t="shared" si="100"/>
        <v>30</v>
      </c>
      <c r="AW350" s="621">
        <v>3.9</v>
      </c>
      <c r="AX350" s="621">
        <v>3.26</v>
      </c>
      <c r="AY350" s="621">
        <v>90</v>
      </c>
      <c r="AZ350" s="624">
        <f t="shared" si="101"/>
        <v>-6.2000000000000028</v>
      </c>
      <c r="BA350" s="623">
        <v>36.200000000000003</v>
      </c>
      <c r="BB350" s="620">
        <v>18.399999999999999</v>
      </c>
      <c r="BC350" s="620">
        <v>16</v>
      </c>
      <c r="BD350" s="623">
        <f t="shared" si="102"/>
        <v>34.4</v>
      </c>
      <c r="BE350" s="621"/>
      <c r="BF350" s="621"/>
      <c r="BG350" s="621"/>
      <c r="BH350" s="621">
        <f t="shared" si="103"/>
        <v>1.8000000000000043</v>
      </c>
    </row>
    <row r="351" spans="1:60" ht="17.25" thickTop="1" thickBot="1" x14ac:dyDescent="0.3">
      <c r="A351" s="77">
        <v>344</v>
      </c>
      <c r="B351" s="603">
        <f t="shared" ca="1" si="91"/>
        <v>43134</v>
      </c>
      <c r="C351" s="29" t="s">
        <v>614</v>
      </c>
      <c r="D351" s="59" t="s">
        <v>2897</v>
      </c>
      <c r="E351" s="22" t="s">
        <v>1386</v>
      </c>
      <c r="F351" s="27" t="s">
        <v>1263</v>
      </c>
      <c r="G351" s="567">
        <v>42460</v>
      </c>
      <c r="H351" s="609">
        <f t="shared" si="104"/>
        <v>25.2</v>
      </c>
      <c r="I351" s="620">
        <v>8</v>
      </c>
      <c r="J351" s="620">
        <v>8.1999999999999993</v>
      </c>
      <c r="K351" s="620">
        <v>7</v>
      </c>
      <c r="L351" s="611">
        <f t="shared" si="92"/>
        <v>23.2</v>
      </c>
      <c r="M351" s="621"/>
      <c r="N351" s="621"/>
      <c r="O351" s="621"/>
      <c r="P351" s="622">
        <f t="shared" si="93"/>
        <v>-2</v>
      </c>
      <c r="Q351" s="609">
        <f t="shared" si="105"/>
        <v>28.2</v>
      </c>
      <c r="R351" s="620">
        <v>8</v>
      </c>
      <c r="S351" s="620">
        <v>9.1999999999999993</v>
      </c>
      <c r="T351" s="620">
        <v>8</v>
      </c>
      <c r="U351" s="611">
        <f t="shared" si="94"/>
        <v>25.2</v>
      </c>
      <c r="V351" s="621"/>
      <c r="W351" s="621"/>
      <c r="X351" s="621"/>
      <c r="Y351" s="622">
        <f t="shared" si="95"/>
        <v>-3</v>
      </c>
      <c r="Z351" s="609">
        <f t="shared" si="106"/>
        <v>28.2</v>
      </c>
      <c r="AA351" s="620">
        <v>12</v>
      </c>
      <c r="AB351" s="620">
        <v>11</v>
      </c>
      <c r="AC351" s="620">
        <v>6</v>
      </c>
      <c r="AD351" s="611">
        <f t="shared" si="96"/>
        <v>29</v>
      </c>
      <c r="AE351" s="621"/>
      <c r="AF351" s="621"/>
      <c r="AG351" s="621"/>
      <c r="AH351" s="622">
        <f t="shared" si="97"/>
        <v>0.80000000000000071</v>
      </c>
      <c r="AI351" s="609">
        <f t="shared" si="107"/>
        <v>30</v>
      </c>
      <c r="AJ351" s="620">
        <v>11</v>
      </c>
      <c r="AK351" s="620">
        <v>7.2</v>
      </c>
      <c r="AL351" s="620">
        <v>10</v>
      </c>
      <c r="AM351" s="623">
        <f t="shared" si="98"/>
        <v>28.2</v>
      </c>
      <c r="AN351" s="621"/>
      <c r="AO351" s="621"/>
      <c r="AP351" s="621"/>
      <c r="AQ351" s="622">
        <f t="shared" si="99"/>
        <v>-1.8000000000000007</v>
      </c>
      <c r="AR351" s="615">
        <f t="shared" si="108"/>
        <v>0</v>
      </c>
      <c r="AS351" s="620">
        <v>12</v>
      </c>
      <c r="AT351" s="620">
        <v>10</v>
      </c>
      <c r="AU351" s="620">
        <v>8</v>
      </c>
      <c r="AV351" s="623">
        <f t="shared" si="100"/>
        <v>30</v>
      </c>
      <c r="AW351" s="621">
        <v>3.4</v>
      </c>
      <c r="AX351" s="621">
        <v>3.1</v>
      </c>
      <c r="AY351" s="621">
        <v>90</v>
      </c>
      <c r="AZ351" s="624">
        <f t="shared" si="101"/>
        <v>30</v>
      </c>
      <c r="BA351" s="623"/>
      <c r="BB351" s="620"/>
      <c r="BC351" s="620"/>
      <c r="BD351" s="623">
        <f t="shared" si="102"/>
        <v>0</v>
      </c>
      <c r="BE351" s="621"/>
      <c r="BF351" s="621"/>
      <c r="BG351" s="621"/>
      <c r="BH351" s="621">
        <f t="shared" si="103"/>
        <v>0</v>
      </c>
    </row>
    <row r="352" spans="1:60" ht="17.25" thickTop="1" thickBot="1" x14ac:dyDescent="0.3">
      <c r="A352" s="602">
        <v>345</v>
      </c>
      <c r="B352" s="603">
        <f t="shared" ca="1" si="91"/>
        <v>43134</v>
      </c>
      <c r="C352" s="29" t="s">
        <v>614</v>
      </c>
      <c r="D352" s="59" t="s">
        <v>2897</v>
      </c>
      <c r="E352" s="22" t="s">
        <v>1299</v>
      </c>
      <c r="F352" s="27" t="s">
        <v>1176</v>
      </c>
      <c r="G352" s="567">
        <v>42859</v>
      </c>
      <c r="H352" s="609">
        <f t="shared" si="104"/>
        <v>21.8</v>
      </c>
      <c r="I352" s="620">
        <v>8.5</v>
      </c>
      <c r="J352" s="620">
        <v>8</v>
      </c>
      <c r="K352" s="620">
        <v>7</v>
      </c>
      <c r="L352" s="611">
        <f t="shared" si="92"/>
        <v>23.5</v>
      </c>
      <c r="M352" s="621"/>
      <c r="N352" s="621"/>
      <c r="O352" s="621"/>
      <c r="P352" s="622">
        <f t="shared" si="93"/>
        <v>1.6999999999999993</v>
      </c>
      <c r="Q352" s="609">
        <f t="shared" si="105"/>
        <v>26</v>
      </c>
      <c r="R352" s="620">
        <v>8</v>
      </c>
      <c r="S352" s="620">
        <v>5.8</v>
      </c>
      <c r="T352" s="620">
        <v>8</v>
      </c>
      <c r="U352" s="611">
        <f t="shared" si="94"/>
        <v>21.8</v>
      </c>
      <c r="V352" s="621"/>
      <c r="W352" s="621"/>
      <c r="X352" s="621"/>
      <c r="Y352" s="622">
        <f t="shared" si="95"/>
        <v>-4.1999999999999993</v>
      </c>
      <c r="Z352" s="609">
        <f t="shared" si="106"/>
        <v>26</v>
      </c>
      <c r="AA352" s="620">
        <v>23</v>
      </c>
      <c r="AB352" s="620">
        <v>10</v>
      </c>
      <c r="AC352" s="620">
        <v>6</v>
      </c>
      <c r="AD352" s="611">
        <f t="shared" si="96"/>
        <v>39</v>
      </c>
      <c r="AE352" s="621"/>
      <c r="AF352" s="621"/>
      <c r="AG352" s="621"/>
      <c r="AH352" s="622">
        <f t="shared" si="97"/>
        <v>13</v>
      </c>
      <c r="AI352" s="609">
        <f t="shared" si="107"/>
        <v>29</v>
      </c>
      <c r="AJ352" s="620">
        <v>9</v>
      </c>
      <c r="AK352" s="620">
        <v>8</v>
      </c>
      <c r="AL352" s="620">
        <v>9</v>
      </c>
      <c r="AM352" s="623">
        <f t="shared" si="98"/>
        <v>26</v>
      </c>
      <c r="AN352" s="621"/>
      <c r="AO352" s="621"/>
      <c r="AP352" s="621"/>
      <c r="AQ352" s="622">
        <f t="shared" si="99"/>
        <v>-3</v>
      </c>
      <c r="AR352" s="615">
        <f t="shared" si="108"/>
        <v>18.600000000000001</v>
      </c>
      <c r="AS352" s="620">
        <v>11</v>
      </c>
      <c r="AT352" s="620">
        <v>11</v>
      </c>
      <c r="AU352" s="620">
        <v>7</v>
      </c>
      <c r="AV352" s="623">
        <f t="shared" si="100"/>
        <v>29</v>
      </c>
      <c r="AW352" s="621">
        <v>4.0599999999999996</v>
      </c>
      <c r="AX352" s="621">
        <v>3</v>
      </c>
      <c r="AY352" s="621">
        <v>90</v>
      </c>
      <c r="AZ352" s="624">
        <f t="shared" si="101"/>
        <v>10.399999999999999</v>
      </c>
      <c r="BA352" s="623">
        <v>18.600000000000001</v>
      </c>
      <c r="BB352" s="620">
        <v>7.9</v>
      </c>
      <c r="BC352" s="620">
        <v>9.8000000000000007</v>
      </c>
      <c r="BD352" s="623">
        <f t="shared" si="102"/>
        <v>17.700000000000003</v>
      </c>
      <c r="BE352" s="621"/>
      <c r="BF352" s="621"/>
      <c r="BG352" s="621"/>
      <c r="BH352" s="621">
        <f t="shared" si="103"/>
        <v>0.89999999999999858</v>
      </c>
    </row>
    <row r="353" spans="1:60" ht="17.25" thickTop="1" thickBot="1" x14ac:dyDescent="0.3">
      <c r="A353" s="77">
        <v>346</v>
      </c>
      <c r="B353" s="603">
        <f t="shared" ca="1" si="91"/>
        <v>43134</v>
      </c>
      <c r="C353" s="29" t="s">
        <v>614</v>
      </c>
      <c r="D353" s="59" t="s">
        <v>2897</v>
      </c>
      <c r="E353" s="22" t="s">
        <v>1316</v>
      </c>
      <c r="F353" s="27" t="s">
        <v>1198</v>
      </c>
      <c r="G353" s="567">
        <v>42857</v>
      </c>
      <c r="H353" s="609">
        <f t="shared" si="104"/>
        <v>17.600000000000001</v>
      </c>
      <c r="I353" s="620">
        <v>5.4</v>
      </c>
      <c r="J353" s="620"/>
      <c r="K353" s="620">
        <v>5.4</v>
      </c>
      <c r="L353" s="611">
        <f t="shared" si="92"/>
        <v>10.8</v>
      </c>
      <c r="M353" s="621"/>
      <c r="N353" s="621"/>
      <c r="O353" s="621"/>
      <c r="P353" s="622">
        <f t="shared" si="93"/>
        <v>-6.8000000000000007</v>
      </c>
      <c r="Q353" s="609">
        <f t="shared" si="105"/>
        <v>27.6</v>
      </c>
      <c r="R353" s="620">
        <v>9</v>
      </c>
      <c r="S353" s="620"/>
      <c r="T353" s="620">
        <v>8.6</v>
      </c>
      <c r="U353" s="611">
        <f t="shared" si="94"/>
        <v>17.600000000000001</v>
      </c>
      <c r="V353" s="621"/>
      <c r="W353" s="621"/>
      <c r="X353" s="621"/>
      <c r="Y353" s="622">
        <f t="shared" si="95"/>
        <v>-10</v>
      </c>
      <c r="Z353" s="609">
        <f t="shared" si="106"/>
        <v>27.6</v>
      </c>
      <c r="AA353" s="620">
        <v>7.2</v>
      </c>
      <c r="AB353" s="620">
        <v>7.2</v>
      </c>
      <c r="AC353" s="620">
        <v>6</v>
      </c>
      <c r="AD353" s="611">
        <f t="shared" si="96"/>
        <v>20.399999999999999</v>
      </c>
      <c r="AE353" s="621"/>
      <c r="AF353" s="621"/>
      <c r="AG353" s="621"/>
      <c r="AH353" s="622">
        <f t="shared" si="97"/>
        <v>-7.2000000000000028</v>
      </c>
      <c r="AI353" s="609">
        <f t="shared" si="107"/>
        <v>36</v>
      </c>
      <c r="AJ353" s="620">
        <v>9</v>
      </c>
      <c r="AK353" s="620">
        <v>9.6</v>
      </c>
      <c r="AL353" s="620">
        <v>9</v>
      </c>
      <c r="AM353" s="623">
        <f t="shared" si="98"/>
        <v>27.6</v>
      </c>
      <c r="AN353" s="621"/>
      <c r="AO353" s="621"/>
      <c r="AP353" s="621"/>
      <c r="AQ353" s="622">
        <f t="shared" si="99"/>
        <v>-8.3999999999999986</v>
      </c>
      <c r="AR353" s="615">
        <f t="shared" si="108"/>
        <v>0</v>
      </c>
      <c r="AS353" s="620">
        <v>10</v>
      </c>
      <c r="AT353" s="620">
        <v>15</v>
      </c>
      <c r="AU353" s="620">
        <v>11</v>
      </c>
      <c r="AV353" s="623">
        <f t="shared" si="100"/>
        <v>36</v>
      </c>
      <c r="AW353" s="621">
        <v>4.51</v>
      </c>
      <c r="AX353" s="621">
        <v>3.46</v>
      </c>
      <c r="AY353" s="621">
        <v>90</v>
      </c>
      <c r="AZ353" s="624">
        <f t="shared" si="101"/>
        <v>36</v>
      </c>
      <c r="BA353" s="623"/>
      <c r="BB353" s="620">
        <v>13.6</v>
      </c>
      <c r="BC353" s="620">
        <v>13.5</v>
      </c>
      <c r="BD353" s="623">
        <f t="shared" si="102"/>
        <v>27.1</v>
      </c>
      <c r="BE353" s="621"/>
      <c r="BF353" s="621"/>
      <c r="BG353" s="621"/>
      <c r="BH353" s="621">
        <f t="shared" si="103"/>
        <v>-27.1</v>
      </c>
    </row>
    <row r="354" spans="1:60" ht="17.25" thickTop="1" thickBot="1" x14ac:dyDescent="0.3">
      <c r="A354" s="602">
        <v>347</v>
      </c>
      <c r="B354" s="603">
        <f t="shared" ca="1" si="91"/>
        <v>43134</v>
      </c>
      <c r="C354" s="29" t="s">
        <v>614</v>
      </c>
      <c r="D354" s="59" t="s">
        <v>2897</v>
      </c>
      <c r="E354" s="22" t="s">
        <v>1056</v>
      </c>
      <c r="F354" s="27" t="s">
        <v>967</v>
      </c>
      <c r="G354" s="567">
        <v>42668</v>
      </c>
      <c r="H354" s="609">
        <f t="shared" si="104"/>
        <v>19.600000000000001</v>
      </c>
      <c r="I354" s="620">
        <v>5</v>
      </c>
      <c r="J354" s="620"/>
      <c r="K354" s="620">
        <v>7</v>
      </c>
      <c r="L354" s="611">
        <f t="shared" si="92"/>
        <v>12</v>
      </c>
      <c r="M354" s="621"/>
      <c r="N354" s="621"/>
      <c r="O354" s="621"/>
      <c r="P354" s="622">
        <f t="shared" si="93"/>
        <v>-7.6000000000000014</v>
      </c>
      <c r="Q354" s="609">
        <f t="shared" si="105"/>
        <v>29.3</v>
      </c>
      <c r="R354" s="620">
        <v>8</v>
      </c>
      <c r="S354" s="620"/>
      <c r="T354" s="620">
        <v>11.6</v>
      </c>
      <c r="U354" s="611">
        <f t="shared" si="94"/>
        <v>19.600000000000001</v>
      </c>
      <c r="V354" s="621"/>
      <c r="W354" s="621"/>
      <c r="X354" s="621"/>
      <c r="Y354" s="622">
        <f t="shared" si="95"/>
        <v>-9.6999999999999993</v>
      </c>
      <c r="Z354" s="609">
        <f t="shared" si="106"/>
        <v>29.3</v>
      </c>
      <c r="AA354" s="620">
        <v>12</v>
      </c>
      <c r="AB354" s="620"/>
      <c r="AC354" s="620">
        <v>7</v>
      </c>
      <c r="AD354" s="611">
        <f t="shared" si="96"/>
        <v>19</v>
      </c>
      <c r="AE354" s="621"/>
      <c r="AF354" s="621"/>
      <c r="AG354" s="621"/>
      <c r="AH354" s="622">
        <f t="shared" si="97"/>
        <v>-10.3</v>
      </c>
      <c r="AI354" s="609">
        <f t="shared" si="107"/>
        <v>16.3</v>
      </c>
      <c r="AJ354" s="620">
        <v>15.3</v>
      </c>
      <c r="AK354" s="620"/>
      <c r="AL354" s="620">
        <v>14</v>
      </c>
      <c r="AM354" s="623">
        <f t="shared" si="98"/>
        <v>29.3</v>
      </c>
      <c r="AN354" s="621"/>
      <c r="AO354" s="621"/>
      <c r="AP354" s="621"/>
      <c r="AQ354" s="622">
        <f t="shared" si="99"/>
        <v>13</v>
      </c>
      <c r="AR354" s="615">
        <f t="shared" si="108"/>
        <v>32.4</v>
      </c>
      <c r="AS354" s="620">
        <v>10.3</v>
      </c>
      <c r="AT354" s="620">
        <v>2</v>
      </c>
      <c r="AU354" s="620">
        <v>4</v>
      </c>
      <c r="AV354" s="623">
        <f t="shared" si="100"/>
        <v>16.3</v>
      </c>
      <c r="AW354" s="621">
        <v>4.79</v>
      </c>
      <c r="AX354" s="621">
        <v>2.73</v>
      </c>
      <c r="AY354" s="621">
        <v>90</v>
      </c>
      <c r="AZ354" s="624">
        <f t="shared" si="101"/>
        <v>-16.099999999999998</v>
      </c>
      <c r="BA354" s="623">
        <v>32.4</v>
      </c>
      <c r="BB354" s="620">
        <v>15</v>
      </c>
      <c r="BC354" s="620">
        <v>12</v>
      </c>
      <c r="BD354" s="623">
        <f t="shared" si="102"/>
        <v>27</v>
      </c>
      <c r="BE354" s="621"/>
      <c r="BF354" s="621"/>
      <c r="BG354" s="621"/>
      <c r="BH354" s="621">
        <f t="shared" si="103"/>
        <v>5.3999999999999986</v>
      </c>
    </row>
    <row r="355" spans="1:60" ht="17.25" thickTop="1" thickBot="1" x14ac:dyDescent="0.3">
      <c r="A355" s="77">
        <v>348</v>
      </c>
      <c r="B355" s="603">
        <f t="shared" ca="1" si="91"/>
        <v>43134</v>
      </c>
      <c r="C355" s="29" t="s">
        <v>614</v>
      </c>
      <c r="D355" s="59" t="s">
        <v>2897</v>
      </c>
      <c r="E355" s="22" t="s">
        <v>1071</v>
      </c>
      <c r="F355" s="27" t="s">
        <v>984</v>
      </c>
      <c r="G355" s="567">
        <v>42791</v>
      </c>
      <c r="H355" s="609">
        <f t="shared" si="104"/>
        <v>27.7</v>
      </c>
      <c r="I355" s="620">
        <v>10.199999999999999</v>
      </c>
      <c r="J355" s="620">
        <v>9.1999999999999993</v>
      </c>
      <c r="K355" s="620">
        <v>9.8000000000000007</v>
      </c>
      <c r="L355" s="611">
        <f t="shared" si="92"/>
        <v>29.2</v>
      </c>
      <c r="M355" s="621"/>
      <c r="N355" s="621"/>
      <c r="O355" s="621"/>
      <c r="P355" s="622">
        <f t="shared" si="93"/>
        <v>1.5</v>
      </c>
      <c r="Q355" s="609">
        <f t="shared" si="105"/>
        <v>30.400000000000002</v>
      </c>
      <c r="R355" s="620">
        <v>10.199999999999999</v>
      </c>
      <c r="S355" s="620">
        <v>10.5</v>
      </c>
      <c r="T355" s="620">
        <v>7</v>
      </c>
      <c r="U355" s="611">
        <f t="shared" si="94"/>
        <v>27.7</v>
      </c>
      <c r="V355" s="621"/>
      <c r="W355" s="621"/>
      <c r="X355" s="621"/>
      <c r="Y355" s="622">
        <f t="shared" si="95"/>
        <v>-2.7000000000000028</v>
      </c>
      <c r="Z355" s="609">
        <f t="shared" si="106"/>
        <v>30.400000000000002</v>
      </c>
      <c r="AA355" s="620">
        <v>15</v>
      </c>
      <c r="AB355" s="620">
        <v>12</v>
      </c>
      <c r="AC355" s="620">
        <v>13</v>
      </c>
      <c r="AD355" s="611">
        <f t="shared" si="96"/>
        <v>40</v>
      </c>
      <c r="AE355" s="621"/>
      <c r="AF355" s="621"/>
      <c r="AG355" s="621"/>
      <c r="AH355" s="622">
        <f t="shared" si="97"/>
        <v>9.5999999999999979</v>
      </c>
      <c r="AI355" s="609">
        <f t="shared" si="107"/>
        <v>34</v>
      </c>
      <c r="AJ355" s="620">
        <v>10.4</v>
      </c>
      <c r="AK355" s="620">
        <v>10.199999999999999</v>
      </c>
      <c r="AL355" s="620">
        <v>9.8000000000000007</v>
      </c>
      <c r="AM355" s="623">
        <f t="shared" si="98"/>
        <v>30.400000000000002</v>
      </c>
      <c r="AN355" s="621"/>
      <c r="AO355" s="621"/>
      <c r="AP355" s="621"/>
      <c r="AQ355" s="622">
        <f t="shared" si="99"/>
        <v>-3.5999999999999979</v>
      </c>
      <c r="AR355" s="615">
        <f t="shared" si="108"/>
        <v>38.799999999999997</v>
      </c>
      <c r="AS355" s="620">
        <v>12</v>
      </c>
      <c r="AT355" s="620">
        <v>11</v>
      </c>
      <c r="AU355" s="620">
        <v>11</v>
      </c>
      <c r="AV355" s="623">
        <f t="shared" si="100"/>
        <v>34</v>
      </c>
      <c r="AW355" s="621"/>
      <c r="AX355" s="621"/>
      <c r="AY355" s="621"/>
      <c r="AZ355" s="624">
        <f t="shared" si="101"/>
        <v>-4.7999999999999972</v>
      </c>
      <c r="BA355" s="623">
        <v>38.799999999999997</v>
      </c>
      <c r="BB355" s="620">
        <v>20</v>
      </c>
      <c r="BC355" s="620">
        <v>17</v>
      </c>
      <c r="BD355" s="623">
        <f t="shared" si="102"/>
        <v>37</v>
      </c>
      <c r="BE355" s="621"/>
      <c r="BF355" s="621"/>
      <c r="BG355" s="621"/>
      <c r="BH355" s="621">
        <f t="shared" si="103"/>
        <v>1.7999999999999972</v>
      </c>
    </row>
    <row r="356" spans="1:60" ht="17.25" thickTop="1" thickBot="1" x14ac:dyDescent="0.3">
      <c r="A356" s="602">
        <v>349</v>
      </c>
      <c r="B356" s="603">
        <f t="shared" ca="1" si="91"/>
        <v>43134</v>
      </c>
      <c r="C356" s="29" t="s">
        <v>614</v>
      </c>
      <c r="D356" s="59" t="s">
        <v>2897</v>
      </c>
      <c r="E356" s="22" t="s">
        <v>1093</v>
      </c>
      <c r="F356" s="27" t="s">
        <v>1031</v>
      </c>
      <c r="G356" s="567">
        <v>42753</v>
      </c>
      <c r="H356" s="609">
        <f t="shared" si="104"/>
        <v>23.200000000000003</v>
      </c>
      <c r="I356" s="620"/>
      <c r="J356" s="620"/>
      <c r="K356" s="620"/>
      <c r="L356" s="611">
        <f t="shared" si="92"/>
        <v>0</v>
      </c>
      <c r="M356" s="621"/>
      <c r="N356" s="621"/>
      <c r="O356" s="621"/>
      <c r="P356" s="622">
        <f t="shared" si="93"/>
        <v>-23.200000000000003</v>
      </c>
      <c r="Q356" s="609">
        <f t="shared" si="105"/>
        <v>22.5</v>
      </c>
      <c r="R356" s="620">
        <v>9.8000000000000007</v>
      </c>
      <c r="S356" s="620"/>
      <c r="T356" s="620">
        <v>13.4</v>
      </c>
      <c r="U356" s="611">
        <f t="shared" si="94"/>
        <v>23.200000000000003</v>
      </c>
      <c r="V356" s="621"/>
      <c r="W356" s="621"/>
      <c r="X356" s="621"/>
      <c r="Y356" s="622">
        <f t="shared" si="95"/>
        <v>0.70000000000000284</v>
      </c>
      <c r="Z356" s="609">
        <f t="shared" si="106"/>
        <v>22.5</v>
      </c>
      <c r="AA356" s="620">
        <v>10</v>
      </c>
      <c r="AB356" s="620"/>
      <c r="AC356" s="620">
        <v>9.6</v>
      </c>
      <c r="AD356" s="611">
        <f t="shared" si="96"/>
        <v>19.600000000000001</v>
      </c>
      <c r="AE356" s="621"/>
      <c r="AF356" s="621"/>
      <c r="AG356" s="621"/>
      <c r="AH356" s="622">
        <f t="shared" si="97"/>
        <v>-2.8999999999999986</v>
      </c>
      <c r="AI356" s="609">
        <f t="shared" si="107"/>
        <v>28</v>
      </c>
      <c r="AJ356" s="620">
        <v>8.5</v>
      </c>
      <c r="AK356" s="620">
        <v>7</v>
      </c>
      <c r="AL356" s="620">
        <v>7</v>
      </c>
      <c r="AM356" s="623">
        <f t="shared" si="98"/>
        <v>22.5</v>
      </c>
      <c r="AN356" s="621"/>
      <c r="AO356" s="621"/>
      <c r="AP356" s="621"/>
      <c r="AQ356" s="622">
        <f t="shared" si="99"/>
        <v>-5.5</v>
      </c>
      <c r="AR356" s="615">
        <f t="shared" si="108"/>
        <v>30.4</v>
      </c>
      <c r="AS356" s="620">
        <v>11</v>
      </c>
      <c r="AT356" s="620">
        <v>8</v>
      </c>
      <c r="AU356" s="620">
        <v>9</v>
      </c>
      <c r="AV356" s="623">
        <f t="shared" si="100"/>
        <v>28</v>
      </c>
      <c r="AW356" s="621">
        <v>3.53</v>
      </c>
      <c r="AX356" s="621">
        <v>3.21</v>
      </c>
      <c r="AY356" s="621">
        <v>90</v>
      </c>
      <c r="AZ356" s="624">
        <f t="shared" si="101"/>
        <v>-2.3999999999999986</v>
      </c>
      <c r="BA356" s="623">
        <v>30.4</v>
      </c>
      <c r="BB356" s="620">
        <v>13</v>
      </c>
      <c r="BC356" s="620">
        <v>10.5</v>
      </c>
      <c r="BD356" s="623">
        <f t="shared" si="102"/>
        <v>23.5</v>
      </c>
      <c r="BE356" s="621"/>
      <c r="BF356" s="621"/>
      <c r="BG356" s="621"/>
      <c r="BH356" s="621">
        <f t="shared" si="103"/>
        <v>6.8999999999999986</v>
      </c>
    </row>
    <row r="357" spans="1:60" ht="17.25" thickTop="1" thickBot="1" x14ac:dyDescent="0.3">
      <c r="A357" s="77">
        <v>350</v>
      </c>
      <c r="B357" s="603">
        <f t="shared" ca="1" si="91"/>
        <v>43134</v>
      </c>
      <c r="C357" s="29" t="s">
        <v>614</v>
      </c>
      <c r="D357" s="59" t="s">
        <v>2897</v>
      </c>
      <c r="E357" s="22" t="s">
        <v>633</v>
      </c>
      <c r="F357" s="27" t="s">
        <v>1465</v>
      </c>
      <c r="G357" s="567">
        <v>42803</v>
      </c>
      <c r="H357" s="609">
        <f t="shared" si="104"/>
        <v>20.2</v>
      </c>
      <c r="I357" s="620">
        <v>9</v>
      </c>
      <c r="J357" s="620">
        <v>9</v>
      </c>
      <c r="K357" s="620">
        <v>9</v>
      </c>
      <c r="L357" s="611">
        <f t="shared" si="92"/>
        <v>27</v>
      </c>
      <c r="M357" s="621"/>
      <c r="N357" s="621"/>
      <c r="O357" s="621"/>
      <c r="P357" s="622">
        <f t="shared" si="93"/>
        <v>6.8000000000000007</v>
      </c>
      <c r="Q357" s="609">
        <f t="shared" si="105"/>
        <v>25.2</v>
      </c>
      <c r="R357" s="620">
        <v>8</v>
      </c>
      <c r="S357" s="620">
        <v>6</v>
      </c>
      <c r="T357" s="620">
        <v>6.2</v>
      </c>
      <c r="U357" s="611">
        <f t="shared" si="94"/>
        <v>20.2</v>
      </c>
      <c r="V357" s="621"/>
      <c r="W357" s="621"/>
      <c r="X357" s="621"/>
      <c r="Y357" s="622">
        <f t="shared" si="95"/>
        <v>-5</v>
      </c>
      <c r="Z357" s="609">
        <f t="shared" si="106"/>
        <v>25.2</v>
      </c>
      <c r="AA357" s="620">
        <v>14</v>
      </c>
      <c r="AB357" s="620"/>
      <c r="AC357" s="620">
        <v>15.2</v>
      </c>
      <c r="AD357" s="611">
        <f t="shared" si="96"/>
        <v>29.2</v>
      </c>
      <c r="AE357" s="621"/>
      <c r="AF357" s="621"/>
      <c r="AG357" s="621"/>
      <c r="AH357" s="622">
        <f t="shared" si="97"/>
        <v>4</v>
      </c>
      <c r="AI357" s="609">
        <f t="shared" si="107"/>
        <v>31</v>
      </c>
      <c r="AJ357" s="620">
        <v>11</v>
      </c>
      <c r="AK357" s="620">
        <v>9.1999999999999993</v>
      </c>
      <c r="AL357" s="620">
        <v>5</v>
      </c>
      <c r="AM357" s="623">
        <f t="shared" si="98"/>
        <v>25.2</v>
      </c>
      <c r="AN357" s="621"/>
      <c r="AO357" s="621"/>
      <c r="AP357" s="621"/>
      <c r="AQ357" s="622">
        <f t="shared" si="99"/>
        <v>-5.8000000000000007</v>
      </c>
      <c r="AR357" s="615">
        <f t="shared" si="108"/>
        <v>28.8</v>
      </c>
      <c r="AS357" s="620">
        <v>11</v>
      </c>
      <c r="AT357" s="620">
        <v>10</v>
      </c>
      <c r="AU357" s="620">
        <v>10</v>
      </c>
      <c r="AV357" s="623">
        <f t="shared" si="100"/>
        <v>31</v>
      </c>
      <c r="AW357" s="621">
        <v>4.32</v>
      </c>
      <c r="AX357" s="621">
        <v>3.59</v>
      </c>
      <c r="AY357" s="621">
        <v>90</v>
      </c>
      <c r="AZ357" s="624">
        <f t="shared" si="101"/>
        <v>2.1999999999999993</v>
      </c>
      <c r="BA357" s="623">
        <v>28.8</v>
      </c>
      <c r="BB357" s="620">
        <v>19</v>
      </c>
      <c r="BC357" s="620">
        <v>15.2</v>
      </c>
      <c r="BD357" s="623">
        <f t="shared" si="102"/>
        <v>34.200000000000003</v>
      </c>
      <c r="BE357" s="621"/>
      <c r="BF357" s="621"/>
      <c r="BG357" s="621"/>
      <c r="BH357" s="621">
        <f t="shared" si="103"/>
        <v>-5.4000000000000021</v>
      </c>
    </row>
    <row r="358" spans="1:60" ht="17.25" thickTop="1" thickBot="1" x14ac:dyDescent="0.3">
      <c r="A358" s="602">
        <v>351</v>
      </c>
      <c r="B358" s="603">
        <f t="shared" ca="1" si="91"/>
        <v>43134</v>
      </c>
      <c r="C358" s="29" t="s">
        <v>614</v>
      </c>
      <c r="D358" s="59" t="s">
        <v>2897</v>
      </c>
      <c r="E358" s="22" t="s">
        <v>1524</v>
      </c>
      <c r="F358" s="27" t="s">
        <v>1542</v>
      </c>
      <c r="G358" s="567">
        <v>42885</v>
      </c>
      <c r="H358" s="609">
        <f t="shared" si="104"/>
        <v>20.2</v>
      </c>
      <c r="I358" s="620">
        <v>7</v>
      </c>
      <c r="J358" s="620">
        <v>6.4</v>
      </c>
      <c r="K358" s="620">
        <v>6</v>
      </c>
      <c r="L358" s="611">
        <f t="shared" si="92"/>
        <v>19.399999999999999</v>
      </c>
      <c r="M358" s="621"/>
      <c r="N358" s="621"/>
      <c r="O358" s="621"/>
      <c r="P358" s="622">
        <f t="shared" si="93"/>
        <v>-0.80000000000000071</v>
      </c>
      <c r="Q358" s="609">
        <f t="shared" si="105"/>
        <v>25.3</v>
      </c>
      <c r="R358" s="620">
        <v>8</v>
      </c>
      <c r="S358" s="620">
        <v>6</v>
      </c>
      <c r="T358" s="620">
        <v>6.2</v>
      </c>
      <c r="U358" s="611">
        <f t="shared" si="94"/>
        <v>20.2</v>
      </c>
      <c r="V358" s="621"/>
      <c r="W358" s="621"/>
      <c r="X358" s="621"/>
      <c r="Y358" s="622">
        <f t="shared" si="95"/>
        <v>-5.1000000000000014</v>
      </c>
      <c r="Z358" s="609">
        <f t="shared" si="106"/>
        <v>25.3</v>
      </c>
      <c r="AA358" s="620">
        <v>11.4</v>
      </c>
      <c r="AB358" s="620">
        <v>8.5</v>
      </c>
      <c r="AC358" s="620">
        <v>7.5</v>
      </c>
      <c r="AD358" s="611">
        <f t="shared" si="96"/>
        <v>27.4</v>
      </c>
      <c r="AE358" s="621"/>
      <c r="AF358" s="621"/>
      <c r="AG358" s="621"/>
      <c r="AH358" s="622">
        <f t="shared" si="97"/>
        <v>2.0999999999999979</v>
      </c>
      <c r="AI358" s="609">
        <f t="shared" si="107"/>
        <v>24</v>
      </c>
      <c r="AJ358" s="620">
        <v>8.5</v>
      </c>
      <c r="AK358" s="620">
        <v>7.8</v>
      </c>
      <c r="AL358" s="620">
        <v>9</v>
      </c>
      <c r="AM358" s="623">
        <f t="shared" si="98"/>
        <v>25.3</v>
      </c>
      <c r="AN358" s="621"/>
      <c r="AO358" s="621"/>
      <c r="AP358" s="621"/>
      <c r="AQ358" s="622">
        <f t="shared" si="99"/>
        <v>1.3000000000000007</v>
      </c>
      <c r="AR358" s="615">
        <f t="shared" si="108"/>
        <v>0</v>
      </c>
      <c r="AS358" s="620">
        <v>9</v>
      </c>
      <c r="AT358" s="620">
        <v>8</v>
      </c>
      <c r="AU358" s="620">
        <v>7</v>
      </c>
      <c r="AV358" s="623">
        <f t="shared" si="100"/>
        <v>24</v>
      </c>
      <c r="AW358" s="621">
        <v>3.67</v>
      </c>
      <c r="AX358" s="621">
        <v>3.07</v>
      </c>
      <c r="AY358" s="621">
        <v>90</v>
      </c>
      <c r="AZ358" s="624">
        <f t="shared" si="101"/>
        <v>24</v>
      </c>
      <c r="BA358" s="623"/>
      <c r="BB358" s="620"/>
      <c r="BC358" s="620"/>
      <c r="BD358" s="623">
        <f t="shared" si="102"/>
        <v>0</v>
      </c>
      <c r="BE358" s="621"/>
      <c r="BF358" s="621"/>
      <c r="BG358" s="621"/>
      <c r="BH358" s="621">
        <f t="shared" si="103"/>
        <v>0</v>
      </c>
    </row>
    <row r="359" spans="1:60" ht="17.25" thickTop="1" thickBot="1" x14ac:dyDescent="0.3">
      <c r="A359" s="77">
        <v>352</v>
      </c>
      <c r="B359" s="603">
        <f t="shared" ca="1" si="91"/>
        <v>43134</v>
      </c>
      <c r="C359" s="29" t="s">
        <v>614</v>
      </c>
      <c r="D359" s="59" t="s">
        <v>2897</v>
      </c>
      <c r="E359" s="22" t="s">
        <v>1297</v>
      </c>
      <c r="F359" s="27" t="s">
        <v>1452</v>
      </c>
      <c r="G359" s="567">
        <v>42835</v>
      </c>
      <c r="H359" s="609">
        <f t="shared" si="104"/>
        <v>21</v>
      </c>
      <c r="I359" s="620">
        <v>9</v>
      </c>
      <c r="J359" s="620">
        <v>7</v>
      </c>
      <c r="K359" s="620">
        <v>9</v>
      </c>
      <c r="L359" s="611">
        <f t="shared" si="92"/>
        <v>25</v>
      </c>
      <c r="M359" s="621"/>
      <c r="N359" s="621"/>
      <c r="O359" s="621"/>
      <c r="P359" s="622">
        <f t="shared" si="93"/>
        <v>4</v>
      </c>
      <c r="Q359" s="609">
        <f t="shared" si="105"/>
        <v>21.8</v>
      </c>
      <c r="R359" s="620">
        <v>8</v>
      </c>
      <c r="S359" s="620">
        <v>7</v>
      </c>
      <c r="T359" s="620">
        <v>6</v>
      </c>
      <c r="U359" s="611">
        <f t="shared" si="94"/>
        <v>21</v>
      </c>
      <c r="V359" s="621"/>
      <c r="W359" s="621"/>
      <c r="X359" s="621"/>
      <c r="Y359" s="622">
        <f t="shared" si="95"/>
        <v>-0.80000000000000071</v>
      </c>
      <c r="Z359" s="609">
        <f t="shared" si="106"/>
        <v>21.8</v>
      </c>
      <c r="AA359" s="620">
        <v>14</v>
      </c>
      <c r="AB359" s="620"/>
      <c r="AC359" s="620">
        <v>12</v>
      </c>
      <c r="AD359" s="611">
        <f t="shared" si="96"/>
        <v>26</v>
      </c>
      <c r="AE359" s="621"/>
      <c r="AF359" s="621"/>
      <c r="AG359" s="621"/>
      <c r="AH359" s="622">
        <f t="shared" si="97"/>
        <v>4.1999999999999993</v>
      </c>
      <c r="AI359" s="609">
        <f t="shared" si="107"/>
        <v>23</v>
      </c>
      <c r="AJ359" s="620">
        <v>5</v>
      </c>
      <c r="AK359" s="620">
        <v>7.8</v>
      </c>
      <c r="AL359" s="620">
        <v>9</v>
      </c>
      <c r="AM359" s="623">
        <f t="shared" si="98"/>
        <v>21.8</v>
      </c>
      <c r="AN359" s="621"/>
      <c r="AO359" s="621"/>
      <c r="AP359" s="621"/>
      <c r="AQ359" s="622">
        <f t="shared" si="99"/>
        <v>-1.1999999999999993</v>
      </c>
      <c r="AR359" s="615">
        <f t="shared" si="108"/>
        <v>0</v>
      </c>
      <c r="AS359" s="620">
        <v>10</v>
      </c>
      <c r="AT359" s="620">
        <v>6</v>
      </c>
      <c r="AU359" s="620">
        <v>7</v>
      </c>
      <c r="AV359" s="623">
        <f t="shared" si="100"/>
        <v>23</v>
      </c>
      <c r="AW359" s="621"/>
      <c r="AX359" s="621"/>
      <c r="AY359" s="621"/>
      <c r="AZ359" s="624">
        <f t="shared" si="101"/>
        <v>23</v>
      </c>
      <c r="BA359" s="623"/>
      <c r="BB359" s="620">
        <v>15</v>
      </c>
      <c r="BC359" s="620">
        <v>17.2</v>
      </c>
      <c r="BD359" s="623">
        <f t="shared" si="102"/>
        <v>32.200000000000003</v>
      </c>
      <c r="BE359" s="621"/>
      <c r="BF359" s="621"/>
      <c r="BG359" s="621"/>
      <c r="BH359" s="621">
        <f t="shared" si="103"/>
        <v>-32.200000000000003</v>
      </c>
    </row>
    <row r="360" spans="1:60" ht="17.25" thickTop="1" thickBot="1" x14ac:dyDescent="0.3">
      <c r="A360" s="602">
        <v>353</v>
      </c>
      <c r="B360" s="603">
        <f t="shared" ca="1" si="91"/>
        <v>43134</v>
      </c>
      <c r="C360" s="29" t="s">
        <v>614</v>
      </c>
      <c r="D360" s="59" t="s">
        <v>2897</v>
      </c>
      <c r="E360" s="22" t="s">
        <v>1126</v>
      </c>
      <c r="F360" s="27" t="s">
        <v>1044</v>
      </c>
      <c r="G360" s="567">
        <v>42752</v>
      </c>
      <c r="H360" s="609">
        <f t="shared" si="104"/>
        <v>16</v>
      </c>
      <c r="I360" s="620">
        <v>9.4</v>
      </c>
      <c r="J360" s="620"/>
      <c r="K360" s="620"/>
      <c r="L360" s="611">
        <f t="shared" si="92"/>
        <v>9.4</v>
      </c>
      <c r="M360" s="621"/>
      <c r="N360" s="621"/>
      <c r="O360" s="621"/>
      <c r="P360" s="622">
        <f t="shared" si="93"/>
        <v>-6.6</v>
      </c>
      <c r="Q360" s="609">
        <f t="shared" si="105"/>
        <v>25</v>
      </c>
      <c r="R360" s="620">
        <v>9</v>
      </c>
      <c r="S360" s="620"/>
      <c r="T360" s="620">
        <v>7</v>
      </c>
      <c r="U360" s="611">
        <f t="shared" si="94"/>
        <v>16</v>
      </c>
      <c r="V360" s="621"/>
      <c r="W360" s="621"/>
      <c r="X360" s="621"/>
      <c r="Y360" s="622">
        <f t="shared" si="95"/>
        <v>-9</v>
      </c>
      <c r="Z360" s="609">
        <f t="shared" si="106"/>
        <v>25</v>
      </c>
      <c r="AA360" s="620">
        <v>12</v>
      </c>
      <c r="AB360" s="620"/>
      <c r="AC360" s="620">
        <v>7</v>
      </c>
      <c r="AD360" s="611">
        <f t="shared" si="96"/>
        <v>19</v>
      </c>
      <c r="AE360" s="621"/>
      <c r="AF360" s="621"/>
      <c r="AG360" s="621"/>
      <c r="AH360" s="622">
        <f t="shared" si="97"/>
        <v>-6</v>
      </c>
      <c r="AI360" s="609">
        <f t="shared" si="107"/>
        <v>23</v>
      </c>
      <c r="AJ360" s="620">
        <v>13</v>
      </c>
      <c r="AK360" s="620"/>
      <c r="AL360" s="620">
        <v>12</v>
      </c>
      <c r="AM360" s="623">
        <f t="shared" si="98"/>
        <v>25</v>
      </c>
      <c r="AN360" s="621"/>
      <c r="AO360" s="621"/>
      <c r="AP360" s="621"/>
      <c r="AQ360" s="622">
        <f t="shared" si="99"/>
        <v>2</v>
      </c>
      <c r="AR360" s="615">
        <f t="shared" si="108"/>
        <v>31.3</v>
      </c>
      <c r="AS360" s="620">
        <v>8</v>
      </c>
      <c r="AT360" s="620">
        <v>7</v>
      </c>
      <c r="AU360" s="620">
        <v>8</v>
      </c>
      <c r="AV360" s="623">
        <f t="shared" si="100"/>
        <v>23</v>
      </c>
      <c r="AW360" s="621">
        <v>3.68</v>
      </c>
      <c r="AX360" s="621">
        <v>3.42</v>
      </c>
      <c r="AY360" s="621">
        <v>90</v>
      </c>
      <c r="AZ360" s="624">
        <f t="shared" si="101"/>
        <v>-8.3000000000000007</v>
      </c>
      <c r="BA360" s="623">
        <v>31.3</v>
      </c>
      <c r="BB360" s="620">
        <v>18</v>
      </c>
      <c r="BC360" s="620">
        <v>13</v>
      </c>
      <c r="BD360" s="623">
        <f t="shared" si="102"/>
        <v>31</v>
      </c>
      <c r="BE360" s="621"/>
      <c r="BF360" s="621"/>
      <c r="BG360" s="621"/>
      <c r="BH360" s="621">
        <f t="shared" si="103"/>
        <v>0.30000000000000071</v>
      </c>
    </row>
    <row r="361" spans="1:60" ht="17.25" thickTop="1" thickBot="1" x14ac:dyDescent="0.3">
      <c r="A361" s="77">
        <v>354</v>
      </c>
      <c r="B361" s="603">
        <f t="shared" ca="1" si="91"/>
        <v>43134</v>
      </c>
      <c r="C361" s="29" t="s">
        <v>614</v>
      </c>
      <c r="D361" s="59" t="s">
        <v>2897</v>
      </c>
      <c r="E361" s="22" t="s">
        <v>562</v>
      </c>
      <c r="F361" s="27" t="s">
        <v>563</v>
      </c>
      <c r="G361" s="567">
        <v>42741</v>
      </c>
      <c r="H361" s="609">
        <f t="shared" si="104"/>
        <v>24.2</v>
      </c>
      <c r="I361" s="620">
        <v>10</v>
      </c>
      <c r="J361" s="620">
        <v>7.2</v>
      </c>
      <c r="K361" s="620">
        <v>7.2</v>
      </c>
      <c r="L361" s="611">
        <f t="shared" si="92"/>
        <v>24.4</v>
      </c>
      <c r="M361" s="621"/>
      <c r="N361" s="621"/>
      <c r="O361" s="621"/>
      <c r="P361" s="622">
        <f t="shared" si="93"/>
        <v>0.19999999999999929</v>
      </c>
      <c r="Q361" s="609">
        <f t="shared" si="105"/>
        <v>32</v>
      </c>
      <c r="R361" s="620">
        <v>8.1999999999999993</v>
      </c>
      <c r="S361" s="620">
        <v>8</v>
      </c>
      <c r="T361" s="620">
        <v>8</v>
      </c>
      <c r="U361" s="611">
        <f t="shared" si="94"/>
        <v>24.2</v>
      </c>
      <c r="V361" s="621"/>
      <c r="W361" s="621"/>
      <c r="X361" s="621"/>
      <c r="Y361" s="622">
        <f t="shared" si="95"/>
        <v>-7.8000000000000007</v>
      </c>
      <c r="Z361" s="609">
        <f t="shared" si="106"/>
        <v>32</v>
      </c>
      <c r="AA361" s="620">
        <v>10</v>
      </c>
      <c r="AB361" s="620">
        <v>9</v>
      </c>
      <c r="AC361" s="620">
        <v>8</v>
      </c>
      <c r="AD361" s="611">
        <f t="shared" si="96"/>
        <v>27</v>
      </c>
      <c r="AE361" s="621"/>
      <c r="AF361" s="621"/>
      <c r="AG361" s="621"/>
      <c r="AH361" s="622">
        <f t="shared" si="97"/>
        <v>-5</v>
      </c>
      <c r="AI361" s="609">
        <f t="shared" si="107"/>
        <v>32</v>
      </c>
      <c r="AJ361" s="620">
        <v>13</v>
      </c>
      <c r="AK361" s="620">
        <v>11</v>
      </c>
      <c r="AL361" s="620">
        <v>8</v>
      </c>
      <c r="AM361" s="623">
        <f t="shared" si="98"/>
        <v>32</v>
      </c>
      <c r="AN361" s="621"/>
      <c r="AO361" s="621"/>
      <c r="AP361" s="621"/>
      <c r="AQ361" s="622">
        <f t="shared" si="99"/>
        <v>0</v>
      </c>
      <c r="AR361" s="615">
        <f t="shared" si="108"/>
        <v>34.6</v>
      </c>
      <c r="AS361" s="620">
        <v>12</v>
      </c>
      <c r="AT361" s="620">
        <v>10</v>
      </c>
      <c r="AU361" s="620">
        <v>10</v>
      </c>
      <c r="AV361" s="623">
        <f t="shared" si="100"/>
        <v>32</v>
      </c>
      <c r="AW361" s="621">
        <v>3.61</v>
      </c>
      <c r="AX361" s="621">
        <v>3.3</v>
      </c>
      <c r="AY361" s="621">
        <v>90</v>
      </c>
      <c r="AZ361" s="624">
        <f t="shared" si="101"/>
        <v>-2.6000000000000014</v>
      </c>
      <c r="BA361" s="623">
        <v>34.6</v>
      </c>
      <c r="BB361" s="620">
        <v>16</v>
      </c>
      <c r="BC361" s="620">
        <v>14.6</v>
      </c>
      <c r="BD361" s="623">
        <f t="shared" si="102"/>
        <v>30.6</v>
      </c>
      <c r="BE361" s="621"/>
      <c r="BF361" s="621"/>
      <c r="BG361" s="621"/>
      <c r="BH361" s="621">
        <f t="shared" si="103"/>
        <v>4</v>
      </c>
    </row>
    <row r="362" spans="1:60" ht="17.25" thickTop="1" thickBot="1" x14ac:dyDescent="0.3">
      <c r="A362" s="602">
        <v>355</v>
      </c>
      <c r="B362" s="603">
        <f t="shared" ca="1" si="91"/>
        <v>43134</v>
      </c>
      <c r="C362" s="29" t="s">
        <v>614</v>
      </c>
      <c r="D362" s="59" t="s">
        <v>2897</v>
      </c>
      <c r="E362" s="22" t="s">
        <v>169</v>
      </c>
      <c r="F362" s="27" t="s">
        <v>170</v>
      </c>
      <c r="G362" s="567">
        <v>42802</v>
      </c>
      <c r="H362" s="609">
        <f t="shared" si="104"/>
        <v>22.6</v>
      </c>
      <c r="I362" s="620">
        <v>11</v>
      </c>
      <c r="J362" s="620"/>
      <c r="K362" s="620">
        <v>8</v>
      </c>
      <c r="L362" s="611">
        <f t="shared" si="92"/>
        <v>19</v>
      </c>
      <c r="M362" s="621"/>
      <c r="N362" s="621"/>
      <c r="O362" s="621"/>
      <c r="P362" s="622">
        <f t="shared" si="93"/>
        <v>-3.6000000000000014</v>
      </c>
      <c r="Q362" s="609">
        <f t="shared" si="105"/>
        <v>28.8</v>
      </c>
      <c r="R362" s="620">
        <v>11.2</v>
      </c>
      <c r="S362" s="620"/>
      <c r="T362" s="620">
        <v>11.4</v>
      </c>
      <c r="U362" s="611">
        <f t="shared" si="94"/>
        <v>22.6</v>
      </c>
      <c r="V362" s="621"/>
      <c r="W362" s="621"/>
      <c r="X362" s="621"/>
      <c r="Y362" s="622">
        <f t="shared" si="95"/>
        <v>-6.1999999999999993</v>
      </c>
      <c r="Z362" s="609">
        <f t="shared" si="106"/>
        <v>28.8</v>
      </c>
      <c r="AA362" s="620">
        <v>9</v>
      </c>
      <c r="AB362" s="620">
        <v>3</v>
      </c>
      <c r="AC362" s="620">
        <v>5</v>
      </c>
      <c r="AD362" s="611">
        <f t="shared" si="96"/>
        <v>17</v>
      </c>
      <c r="AE362" s="621"/>
      <c r="AF362" s="621"/>
      <c r="AG362" s="621"/>
      <c r="AH362" s="622">
        <f t="shared" si="97"/>
        <v>-11.8</v>
      </c>
      <c r="AI362" s="609">
        <f t="shared" si="107"/>
        <v>26</v>
      </c>
      <c r="AJ362" s="620">
        <v>11</v>
      </c>
      <c r="AK362" s="620">
        <v>8.8000000000000007</v>
      </c>
      <c r="AL362" s="620">
        <v>9</v>
      </c>
      <c r="AM362" s="623">
        <f t="shared" si="98"/>
        <v>28.8</v>
      </c>
      <c r="AN362" s="621"/>
      <c r="AO362" s="621"/>
      <c r="AP362" s="621"/>
      <c r="AQ362" s="622">
        <f t="shared" si="99"/>
        <v>2.8000000000000007</v>
      </c>
      <c r="AR362" s="615">
        <f t="shared" si="108"/>
        <v>25.4</v>
      </c>
      <c r="AS362" s="620">
        <v>10</v>
      </c>
      <c r="AT362" s="620">
        <v>9</v>
      </c>
      <c r="AU362" s="620">
        <v>7</v>
      </c>
      <c r="AV362" s="623">
        <f t="shared" si="100"/>
        <v>26</v>
      </c>
      <c r="AW362" s="621">
        <v>3.42</v>
      </c>
      <c r="AX362" s="621">
        <v>3.31</v>
      </c>
      <c r="AY362" s="621">
        <v>90</v>
      </c>
      <c r="AZ362" s="624">
        <f t="shared" si="101"/>
        <v>0.60000000000000142</v>
      </c>
      <c r="BA362" s="623">
        <v>25.4</v>
      </c>
      <c r="BB362" s="620">
        <v>14</v>
      </c>
      <c r="BC362" s="620">
        <v>13</v>
      </c>
      <c r="BD362" s="623">
        <f t="shared" si="102"/>
        <v>27</v>
      </c>
      <c r="BE362" s="621"/>
      <c r="BF362" s="621"/>
      <c r="BG362" s="621"/>
      <c r="BH362" s="621">
        <f t="shared" si="103"/>
        <v>-1.6000000000000014</v>
      </c>
    </row>
    <row r="363" spans="1:60" ht="17.25" thickTop="1" thickBot="1" x14ac:dyDescent="0.3">
      <c r="A363" s="77">
        <v>356</v>
      </c>
      <c r="B363" s="603">
        <f t="shared" ca="1" si="91"/>
        <v>43134</v>
      </c>
      <c r="C363" s="29" t="s">
        <v>614</v>
      </c>
      <c r="D363" s="59" t="s">
        <v>2897</v>
      </c>
      <c r="E363" s="22" t="s">
        <v>659</v>
      </c>
      <c r="F363" s="27" t="s">
        <v>660</v>
      </c>
      <c r="G363" s="567">
        <v>42805</v>
      </c>
      <c r="H363" s="609">
        <f t="shared" si="104"/>
        <v>22.799999999999997</v>
      </c>
      <c r="I363" s="620">
        <v>9</v>
      </c>
      <c r="J363" s="620"/>
      <c r="K363" s="620">
        <v>10</v>
      </c>
      <c r="L363" s="611">
        <f t="shared" si="92"/>
        <v>19</v>
      </c>
      <c r="M363" s="621"/>
      <c r="N363" s="621"/>
      <c r="O363" s="621"/>
      <c r="P363" s="622">
        <f t="shared" si="93"/>
        <v>-3.7999999999999972</v>
      </c>
      <c r="Q363" s="609">
        <f t="shared" si="105"/>
        <v>31</v>
      </c>
      <c r="R363" s="620">
        <v>13.2</v>
      </c>
      <c r="S363" s="620"/>
      <c r="T363" s="620">
        <v>9.6</v>
      </c>
      <c r="U363" s="611">
        <f t="shared" si="94"/>
        <v>22.799999999999997</v>
      </c>
      <c r="V363" s="621"/>
      <c r="W363" s="621"/>
      <c r="X363" s="621"/>
      <c r="Y363" s="622">
        <f t="shared" si="95"/>
        <v>-8.2000000000000028</v>
      </c>
      <c r="Z363" s="609">
        <f t="shared" si="106"/>
        <v>31</v>
      </c>
      <c r="AA363" s="620">
        <v>10</v>
      </c>
      <c r="AB363" s="620">
        <v>4</v>
      </c>
      <c r="AC363" s="620">
        <v>4</v>
      </c>
      <c r="AD363" s="611">
        <f t="shared" si="96"/>
        <v>18</v>
      </c>
      <c r="AE363" s="621"/>
      <c r="AF363" s="621"/>
      <c r="AG363" s="621"/>
      <c r="AH363" s="622">
        <f t="shared" si="97"/>
        <v>-13</v>
      </c>
      <c r="AI363" s="609">
        <f t="shared" si="107"/>
        <v>28.5</v>
      </c>
      <c r="AJ363" s="620">
        <v>8.4</v>
      </c>
      <c r="AK363" s="620">
        <v>15.6</v>
      </c>
      <c r="AL363" s="620">
        <v>7</v>
      </c>
      <c r="AM363" s="623">
        <f t="shared" si="98"/>
        <v>31</v>
      </c>
      <c r="AN363" s="621"/>
      <c r="AO363" s="621"/>
      <c r="AP363" s="621"/>
      <c r="AQ363" s="622">
        <f t="shared" si="99"/>
        <v>2.5</v>
      </c>
      <c r="AR363" s="615">
        <f t="shared" si="108"/>
        <v>39.6</v>
      </c>
      <c r="AS363" s="620">
        <v>12.5</v>
      </c>
      <c r="AT363" s="620">
        <v>7</v>
      </c>
      <c r="AU363" s="620">
        <v>9</v>
      </c>
      <c r="AV363" s="623">
        <f t="shared" si="100"/>
        <v>28.5</v>
      </c>
      <c r="AW363" s="621">
        <v>2.38</v>
      </c>
      <c r="AX363" s="621">
        <v>3</v>
      </c>
      <c r="AY363" s="621">
        <v>90</v>
      </c>
      <c r="AZ363" s="624">
        <f t="shared" si="101"/>
        <v>-11.100000000000001</v>
      </c>
      <c r="BA363" s="623">
        <v>39.6</v>
      </c>
      <c r="BB363" s="620">
        <v>18</v>
      </c>
      <c r="BC363" s="620">
        <v>21.6</v>
      </c>
      <c r="BD363" s="623">
        <f t="shared" si="102"/>
        <v>39.6</v>
      </c>
      <c r="BE363" s="621"/>
      <c r="BF363" s="621"/>
      <c r="BG363" s="621"/>
      <c r="BH363" s="621">
        <f t="shared" si="103"/>
        <v>0</v>
      </c>
    </row>
    <row r="364" spans="1:60" ht="17.25" thickTop="1" thickBot="1" x14ac:dyDescent="0.3">
      <c r="A364" s="602">
        <v>357</v>
      </c>
      <c r="B364" s="603">
        <f t="shared" ca="1" si="91"/>
        <v>43134</v>
      </c>
      <c r="C364" s="29" t="s">
        <v>614</v>
      </c>
      <c r="D364" s="59" t="s">
        <v>2897</v>
      </c>
      <c r="E364" s="22" t="s">
        <v>764</v>
      </c>
      <c r="F364" s="27" t="s">
        <v>1412</v>
      </c>
      <c r="G364" s="567">
        <v>42834</v>
      </c>
      <c r="H364" s="609">
        <f t="shared" si="104"/>
        <v>20</v>
      </c>
      <c r="I364" s="620">
        <v>9</v>
      </c>
      <c r="J364" s="620">
        <v>6</v>
      </c>
      <c r="K364" s="620">
        <v>8.6</v>
      </c>
      <c r="L364" s="611">
        <f t="shared" si="92"/>
        <v>23.6</v>
      </c>
      <c r="M364" s="621"/>
      <c r="N364" s="621"/>
      <c r="O364" s="621"/>
      <c r="P364" s="622">
        <f t="shared" si="93"/>
        <v>3.6000000000000014</v>
      </c>
      <c r="Q364" s="609">
        <f t="shared" si="105"/>
        <v>30.7</v>
      </c>
      <c r="R364" s="620">
        <v>8</v>
      </c>
      <c r="S364" s="620">
        <v>6</v>
      </c>
      <c r="T364" s="620">
        <v>6</v>
      </c>
      <c r="U364" s="611">
        <f t="shared" si="94"/>
        <v>20</v>
      </c>
      <c r="V364" s="621"/>
      <c r="W364" s="621"/>
      <c r="X364" s="621"/>
      <c r="Y364" s="622">
        <f t="shared" si="95"/>
        <v>-10.7</v>
      </c>
      <c r="Z364" s="609">
        <f t="shared" si="106"/>
        <v>30.7</v>
      </c>
      <c r="AA364" s="620">
        <v>9</v>
      </c>
      <c r="AB364" s="620">
        <v>8</v>
      </c>
      <c r="AC364" s="620">
        <v>10</v>
      </c>
      <c r="AD364" s="611">
        <f t="shared" si="96"/>
        <v>27</v>
      </c>
      <c r="AE364" s="621"/>
      <c r="AF364" s="621"/>
      <c r="AG364" s="621"/>
      <c r="AH364" s="622">
        <f t="shared" si="97"/>
        <v>-3.6999999999999993</v>
      </c>
      <c r="AI364" s="609">
        <f t="shared" si="107"/>
        <v>35</v>
      </c>
      <c r="AJ364" s="620">
        <v>10.5</v>
      </c>
      <c r="AK364" s="620">
        <v>7.2</v>
      </c>
      <c r="AL364" s="620">
        <v>13</v>
      </c>
      <c r="AM364" s="623">
        <f t="shared" si="98"/>
        <v>30.7</v>
      </c>
      <c r="AN364" s="621"/>
      <c r="AO364" s="621"/>
      <c r="AP364" s="621"/>
      <c r="AQ364" s="622">
        <f t="shared" si="99"/>
        <v>-4.3000000000000007</v>
      </c>
      <c r="AR364" s="615">
        <f t="shared" si="108"/>
        <v>0</v>
      </c>
      <c r="AS364" s="620">
        <v>10</v>
      </c>
      <c r="AT364" s="620">
        <v>9</v>
      </c>
      <c r="AU364" s="620">
        <v>16</v>
      </c>
      <c r="AV364" s="623">
        <f t="shared" si="100"/>
        <v>35</v>
      </c>
      <c r="AW364" s="621">
        <v>4.04</v>
      </c>
      <c r="AX364" s="621">
        <v>3.39</v>
      </c>
      <c r="AY364" s="621">
        <v>90</v>
      </c>
      <c r="AZ364" s="624">
        <f t="shared" si="101"/>
        <v>35</v>
      </c>
      <c r="BA364" s="623"/>
      <c r="BB364" s="620">
        <v>16.399999999999999</v>
      </c>
      <c r="BC364" s="620">
        <v>23</v>
      </c>
      <c r="BD364" s="623">
        <f t="shared" si="102"/>
        <v>39.4</v>
      </c>
      <c r="BE364" s="621"/>
      <c r="BF364" s="621"/>
      <c r="BG364" s="621"/>
      <c r="BH364" s="621">
        <f t="shared" si="103"/>
        <v>-39.4</v>
      </c>
    </row>
    <row r="365" spans="1:60" ht="17.25" thickTop="1" thickBot="1" x14ac:dyDescent="0.3">
      <c r="A365" s="77">
        <v>358</v>
      </c>
      <c r="B365" s="603">
        <f t="shared" ca="1" si="91"/>
        <v>43134</v>
      </c>
      <c r="C365" s="29" t="s">
        <v>614</v>
      </c>
      <c r="D365" s="59" t="s">
        <v>2897</v>
      </c>
      <c r="E365" s="22" t="s">
        <v>665</v>
      </c>
      <c r="F365" s="27" t="s">
        <v>666</v>
      </c>
      <c r="G365" s="567">
        <v>42751</v>
      </c>
      <c r="H365" s="609">
        <f t="shared" si="104"/>
        <v>4.8</v>
      </c>
      <c r="I365" s="620"/>
      <c r="J365" s="620"/>
      <c r="K365" s="620"/>
      <c r="L365" s="611">
        <f t="shared" si="92"/>
        <v>0</v>
      </c>
      <c r="M365" s="621"/>
      <c r="N365" s="621"/>
      <c r="O365" s="621"/>
      <c r="P365" s="622">
        <f t="shared" si="93"/>
        <v>-4.8</v>
      </c>
      <c r="Q365" s="609">
        <f t="shared" si="105"/>
        <v>23.6</v>
      </c>
      <c r="R365" s="620">
        <v>2.8</v>
      </c>
      <c r="S365" s="620"/>
      <c r="T365" s="620">
        <v>2</v>
      </c>
      <c r="U365" s="611">
        <f t="shared" si="94"/>
        <v>4.8</v>
      </c>
      <c r="V365" s="621"/>
      <c r="W365" s="621"/>
      <c r="X365" s="621"/>
      <c r="Y365" s="622">
        <f t="shared" si="95"/>
        <v>-18.8</v>
      </c>
      <c r="Z365" s="609">
        <f t="shared" si="106"/>
        <v>23.6</v>
      </c>
      <c r="AA365" s="620">
        <v>11</v>
      </c>
      <c r="AB365" s="620"/>
      <c r="AC365" s="620">
        <v>6.8</v>
      </c>
      <c r="AD365" s="611">
        <f t="shared" si="96"/>
        <v>17.8</v>
      </c>
      <c r="AE365" s="621"/>
      <c r="AF365" s="621"/>
      <c r="AG365" s="621"/>
      <c r="AH365" s="622">
        <f t="shared" si="97"/>
        <v>-5.8000000000000007</v>
      </c>
      <c r="AI365" s="609">
        <f t="shared" si="107"/>
        <v>32.200000000000003</v>
      </c>
      <c r="AJ365" s="620">
        <v>9.1999999999999993</v>
      </c>
      <c r="AK365" s="620">
        <v>7</v>
      </c>
      <c r="AL365" s="620">
        <v>7.4</v>
      </c>
      <c r="AM365" s="623">
        <f t="shared" si="98"/>
        <v>23.6</v>
      </c>
      <c r="AN365" s="621"/>
      <c r="AO365" s="621"/>
      <c r="AP365" s="621"/>
      <c r="AQ365" s="622">
        <f t="shared" si="99"/>
        <v>-8.6000000000000014</v>
      </c>
      <c r="AR365" s="615">
        <f t="shared" si="108"/>
        <v>34.4</v>
      </c>
      <c r="AS365" s="620">
        <v>10.199999999999999</v>
      </c>
      <c r="AT365" s="620">
        <v>14</v>
      </c>
      <c r="AU365" s="620">
        <v>8</v>
      </c>
      <c r="AV365" s="623">
        <f t="shared" si="100"/>
        <v>32.200000000000003</v>
      </c>
      <c r="AW365" s="621">
        <v>4.54</v>
      </c>
      <c r="AX365" s="621">
        <v>3.2</v>
      </c>
      <c r="AY365" s="621">
        <v>90</v>
      </c>
      <c r="AZ365" s="624">
        <f t="shared" si="101"/>
        <v>-2.1999999999999957</v>
      </c>
      <c r="BA365" s="623">
        <v>34.4</v>
      </c>
      <c r="BB365" s="620">
        <v>15.4</v>
      </c>
      <c r="BC365" s="620">
        <v>16</v>
      </c>
      <c r="BD365" s="623">
        <f t="shared" si="102"/>
        <v>31.4</v>
      </c>
      <c r="BE365" s="621"/>
      <c r="BF365" s="621"/>
      <c r="BG365" s="621"/>
      <c r="BH365" s="621">
        <f t="shared" si="103"/>
        <v>3</v>
      </c>
    </row>
    <row r="366" spans="1:60" ht="17.25" thickTop="1" thickBot="1" x14ac:dyDescent="0.3">
      <c r="A366" s="602">
        <v>359</v>
      </c>
      <c r="B366" s="603">
        <f t="shared" ca="1" si="91"/>
        <v>43134</v>
      </c>
      <c r="C366" s="29" t="s">
        <v>614</v>
      </c>
      <c r="D366" s="59" t="s">
        <v>2897</v>
      </c>
      <c r="E366" s="22" t="s">
        <v>943</v>
      </c>
      <c r="F366" s="27" t="s">
        <v>1391</v>
      </c>
      <c r="G366" s="567">
        <v>42810</v>
      </c>
      <c r="H366" s="609">
        <f t="shared" si="104"/>
        <v>22.5</v>
      </c>
      <c r="I366" s="620">
        <v>8.6</v>
      </c>
      <c r="J366" s="620"/>
      <c r="K366" s="620">
        <v>5.4</v>
      </c>
      <c r="L366" s="611">
        <f t="shared" si="92"/>
        <v>14</v>
      </c>
      <c r="M366" s="621"/>
      <c r="N366" s="621"/>
      <c r="O366" s="621"/>
      <c r="P366" s="622">
        <f t="shared" si="93"/>
        <v>-8.5</v>
      </c>
      <c r="Q366" s="609">
        <f t="shared" si="105"/>
        <v>23.5</v>
      </c>
      <c r="R366" s="620">
        <v>14</v>
      </c>
      <c r="S366" s="620"/>
      <c r="T366" s="620">
        <v>8.5</v>
      </c>
      <c r="U366" s="611">
        <f t="shared" si="94"/>
        <v>22.5</v>
      </c>
      <c r="V366" s="621"/>
      <c r="W366" s="621"/>
      <c r="X366" s="621"/>
      <c r="Y366" s="622">
        <f t="shared" si="95"/>
        <v>-1</v>
      </c>
      <c r="Z366" s="609">
        <f t="shared" si="106"/>
        <v>23.5</v>
      </c>
      <c r="AA366" s="620">
        <v>10.8</v>
      </c>
      <c r="AB366" s="620"/>
      <c r="AC366" s="620">
        <v>8</v>
      </c>
      <c r="AD366" s="611">
        <f t="shared" si="96"/>
        <v>18.8</v>
      </c>
      <c r="AE366" s="621"/>
      <c r="AF366" s="621"/>
      <c r="AG366" s="621"/>
      <c r="AH366" s="622">
        <f t="shared" si="97"/>
        <v>-4.6999999999999993</v>
      </c>
      <c r="AI366" s="609">
        <f t="shared" si="107"/>
        <v>24.2</v>
      </c>
      <c r="AJ366" s="620">
        <v>9</v>
      </c>
      <c r="AK366" s="620">
        <v>7.5</v>
      </c>
      <c r="AL366" s="620">
        <v>7</v>
      </c>
      <c r="AM366" s="623">
        <f t="shared" si="98"/>
        <v>23.5</v>
      </c>
      <c r="AN366" s="621"/>
      <c r="AO366" s="621"/>
      <c r="AP366" s="621"/>
      <c r="AQ366" s="622">
        <f t="shared" si="99"/>
        <v>-0.69999999999999929</v>
      </c>
      <c r="AR366" s="615">
        <f t="shared" si="108"/>
        <v>22</v>
      </c>
      <c r="AS366" s="620">
        <v>10</v>
      </c>
      <c r="AT366" s="620">
        <v>8.1999999999999993</v>
      </c>
      <c r="AU366" s="620">
        <v>6</v>
      </c>
      <c r="AV366" s="623">
        <f t="shared" si="100"/>
        <v>24.2</v>
      </c>
      <c r="AW366" s="621">
        <v>3.65</v>
      </c>
      <c r="AX366" s="621">
        <v>3.69</v>
      </c>
      <c r="AY366" s="621">
        <v>90</v>
      </c>
      <c r="AZ366" s="624">
        <f t="shared" si="101"/>
        <v>2.1999999999999993</v>
      </c>
      <c r="BA366" s="623">
        <v>22</v>
      </c>
      <c r="BB366" s="620">
        <v>13.2</v>
      </c>
      <c r="BC366" s="620">
        <v>10.3</v>
      </c>
      <c r="BD366" s="623">
        <f t="shared" si="102"/>
        <v>23.5</v>
      </c>
      <c r="BE366" s="621"/>
      <c r="BF366" s="621"/>
      <c r="BG366" s="621"/>
      <c r="BH366" s="621">
        <f t="shared" si="103"/>
        <v>-1.5</v>
      </c>
    </row>
    <row r="367" spans="1:60" ht="17.25" thickTop="1" thickBot="1" x14ac:dyDescent="0.3">
      <c r="A367" s="77">
        <v>360</v>
      </c>
      <c r="B367" s="603">
        <f t="shared" ca="1" si="91"/>
        <v>43134</v>
      </c>
      <c r="C367" s="29" t="s">
        <v>614</v>
      </c>
      <c r="D367" s="59" t="s">
        <v>2897</v>
      </c>
      <c r="E367" s="22" t="s">
        <v>451</v>
      </c>
      <c r="F367" s="27" t="s">
        <v>452</v>
      </c>
      <c r="G367" s="567">
        <v>42760</v>
      </c>
      <c r="H367" s="609">
        <f t="shared" si="104"/>
        <v>23</v>
      </c>
      <c r="I367" s="620">
        <v>8</v>
      </c>
      <c r="J367" s="620">
        <v>5.0999999999999996</v>
      </c>
      <c r="K367" s="620">
        <v>8.5</v>
      </c>
      <c r="L367" s="611">
        <f t="shared" si="92"/>
        <v>21.6</v>
      </c>
      <c r="M367" s="621"/>
      <c r="N367" s="621"/>
      <c r="O367" s="621"/>
      <c r="P367" s="622">
        <f t="shared" si="93"/>
        <v>-1.3999999999999986</v>
      </c>
      <c r="Q367" s="609">
        <f t="shared" si="105"/>
        <v>30.299999999999997</v>
      </c>
      <c r="R367" s="620">
        <v>10</v>
      </c>
      <c r="S367" s="620">
        <v>4</v>
      </c>
      <c r="T367" s="620">
        <v>9</v>
      </c>
      <c r="U367" s="611">
        <f t="shared" si="94"/>
        <v>23</v>
      </c>
      <c r="V367" s="621"/>
      <c r="W367" s="621"/>
      <c r="X367" s="621"/>
      <c r="Y367" s="622">
        <f t="shared" si="95"/>
        <v>-7.2999999999999972</v>
      </c>
      <c r="Z367" s="609">
        <f t="shared" si="106"/>
        <v>30.299999999999997</v>
      </c>
      <c r="AA367" s="620">
        <v>11</v>
      </c>
      <c r="AB367" s="620">
        <v>10</v>
      </c>
      <c r="AC367" s="620">
        <v>10</v>
      </c>
      <c r="AD367" s="611">
        <f t="shared" si="96"/>
        <v>31</v>
      </c>
      <c r="AE367" s="621"/>
      <c r="AF367" s="621"/>
      <c r="AG367" s="621"/>
      <c r="AH367" s="622">
        <f t="shared" si="97"/>
        <v>0.70000000000000284</v>
      </c>
      <c r="AI367" s="609">
        <f t="shared" si="107"/>
        <v>36.200000000000003</v>
      </c>
      <c r="AJ367" s="620">
        <v>10.4</v>
      </c>
      <c r="AK367" s="620">
        <v>14</v>
      </c>
      <c r="AL367" s="620">
        <v>5.9</v>
      </c>
      <c r="AM367" s="623">
        <f t="shared" si="98"/>
        <v>30.299999999999997</v>
      </c>
      <c r="AN367" s="621"/>
      <c r="AO367" s="621"/>
      <c r="AP367" s="621"/>
      <c r="AQ367" s="622">
        <f t="shared" si="99"/>
        <v>-5.9000000000000057</v>
      </c>
      <c r="AR367" s="615">
        <f t="shared" si="108"/>
        <v>27.6</v>
      </c>
      <c r="AS367" s="620">
        <v>13</v>
      </c>
      <c r="AT367" s="620">
        <v>11.2</v>
      </c>
      <c r="AU367" s="620">
        <v>12</v>
      </c>
      <c r="AV367" s="623">
        <f t="shared" si="100"/>
        <v>36.200000000000003</v>
      </c>
      <c r="AW367" s="621"/>
      <c r="AX367" s="621"/>
      <c r="AY367" s="621"/>
      <c r="AZ367" s="624">
        <f t="shared" si="101"/>
        <v>8.6000000000000014</v>
      </c>
      <c r="BA367" s="623">
        <v>27.6</v>
      </c>
      <c r="BB367" s="620">
        <v>17.8</v>
      </c>
      <c r="BC367" s="620">
        <v>14.3</v>
      </c>
      <c r="BD367" s="623">
        <f t="shared" si="102"/>
        <v>32.1</v>
      </c>
      <c r="BE367" s="621"/>
      <c r="BF367" s="621"/>
      <c r="BG367" s="621"/>
      <c r="BH367" s="621">
        <f t="shared" si="103"/>
        <v>-4.5</v>
      </c>
    </row>
    <row r="368" spans="1:60" ht="17.25" thickTop="1" thickBot="1" x14ac:dyDescent="0.3">
      <c r="A368" s="602">
        <v>361</v>
      </c>
      <c r="B368" s="603">
        <f t="shared" ca="1" si="91"/>
        <v>43134</v>
      </c>
      <c r="C368" s="29" t="s">
        <v>614</v>
      </c>
      <c r="D368" s="59" t="s">
        <v>2897</v>
      </c>
      <c r="E368" s="22" t="s">
        <v>459</v>
      </c>
      <c r="F368" s="27" t="s">
        <v>460</v>
      </c>
      <c r="G368" s="567">
        <v>42769</v>
      </c>
      <c r="H368" s="609">
        <f t="shared" si="104"/>
        <v>24</v>
      </c>
      <c r="I368" s="620">
        <v>13</v>
      </c>
      <c r="J368" s="620">
        <v>9.4</v>
      </c>
      <c r="K368" s="620">
        <v>11</v>
      </c>
      <c r="L368" s="611">
        <f t="shared" si="92"/>
        <v>33.4</v>
      </c>
      <c r="M368" s="621"/>
      <c r="N368" s="621"/>
      <c r="O368" s="621"/>
      <c r="P368" s="622">
        <f t="shared" si="93"/>
        <v>9.3999999999999986</v>
      </c>
      <c r="Q368" s="609">
        <f t="shared" si="105"/>
        <v>34</v>
      </c>
      <c r="R368" s="620">
        <v>9</v>
      </c>
      <c r="S368" s="620">
        <v>7</v>
      </c>
      <c r="T368" s="620">
        <v>8</v>
      </c>
      <c r="U368" s="611">
        <f t="shared" si="94"/>
        <v>24</v>
      </c>
      <c r="V368" s="621"/>
      <c r="W368" s="621"/>
      <c r="X368" s="621"/>
      <c r="Y368" s="622">
        <f t="shared" si="95"/>
        <v>-10</v>
      </c>
      <c r="Z368" s="609">
        <f t="shared" si="106"/>
        <v>34</v>
      </c>
      <c r="AA368" s="620">
        <v>10.8</v>
      </c>
      <c r="AB368" s="620">
        <v>9</v>
      </c>
      <c r="AC368" s="620">
        <v>12</v>
      </c>
      <c r="AD368" s="611">
        <f t="shared" si="96"/>
        <v>31.8</v>
      </c>
      <c r="AE368" s="621"/>
      <c r="AF368" s="621"/>
      <c r="AG368" s="621"/>
      <c r="AH368" s="622">
        <f t="shared" si="97"/>
        <v>-2.1999999999999993</v>
      </c>
      <c r="AI368" s="609">
        <f t="shared" si="107"/>
        <v>33.5</v>
      </c>
      <c r="AJ368" s="620">
        <v>11</v>
      </c>
      <c r="AK368" s="620">
        <v>11</v>
      </c>
      <c r="AL368" s="620">
        <v>12</v>
      </c>
      <c r="AM368" s="623">
        <f t="shared" si="98"/>
        <v>34</v>
      </c>
      <c r="AN368" s="621"/>
      <c r="AO368" s="621"/>
      <c r="AP368" s="621"/>
      <c r="AQ368" s="622">
        <f t="shared" si="99"/>
        <v>0.5</v>
      </c>
      <c r="AR368" s="615">
        <f t="shared" si="108"/>
        <v>39</v>
      </c>
      <c r="AS368" s="620">
        <v>12.5</v>
      </c>
      <c r="AT368" s="620">
        <v>13</v>
      </c>
      <c r="AU368" s="620">
        <v>8</v>
      </c>
      <c r="AV368" s="623">
        <f t="shared" si="100"/>
        <v>33.5</v>
      </c>
      <c r="AW368" s="621"/>
      <c r="AX368" s="621"/>
      <c r="AY368" s="621"/>
      <c r="AZ368" s="624">
        <f t="shared" si="101"/>
        <v>-5.5</v>
      </c>
      <c r="BA368" s="623">
        <v>39</v>
      </c>
      <c r="BB368" s="620">
        <v>19.2</v>
      </c>
      <c r="BC368" s="620">
        <v>15.8</v>
      </c>
      <c r="BD368" s="623">
        <f t="shared" si="102"/>
        <v>35</v>
      </c>
      <c r="BE368" s="621"/>
      <c r="BF368" s="621"/>
      <c r="BG368" s="621"/>
      <c r="BH368" s="621">
        <f t="shared" si="103"/>
        <v>4</v>
      </c>
    </row>
    <row r="369" spans="1:60" ht="17.25" thickTop="1" thickBot="1" x14ac:dyDescent="0.3">
      <c r="A369" s="77">
        <v>362</v>
      </c>
      <c r="B369" s="603">
        <f t="shared" ca="1" si="91"/>
        <v>43134</v>
      </c>
      <c r="C369" s="29" t="s">
        <v>614</v>
      </c>
      <c r="D369" s="59" t="s">
        <v>2897</v>
      </c>
      <c r="E369" s="22" t="s">
        <v>594</v>
      </c>
      <c r="F369" s="27" t="s">
        <v>595</v>
      </c>
      <c r="G369" s="567">
        <v>42763</v>
      </c>
      <c r="H369" s="609">
        <f t="shared" si="104"/>
        <v>30</v>
      </c>
      <c r="I369" s="620">
        <v>12.2</v>
      </c>
      <c r="J369" s="620">
        <v>8.6</v>
      </c>
      <c r="K369" s="620">
        <v>10</v>
      </c>
      <c r="L369" s="611">
        <f t="shared" si="92"/>
        <v>30.799999999999997</v>
      </c>
      <c r="M369" s="621"/>
      <c r="N369" s="621"/>
      <c r="O369" s="621"/>
      <c r="P369" s="622">
        <f t="shared" si="93"/>
        <v>0.79999999999999716</v>
      </c>
      <c r="Q369" s="609">
        <f t="shared" si="105"/>
        <v>40.200000000000003</v>
      </c>
      <c r="R369" s="620">
        <v>9</v>
      </c>
      <c r="S369" s="620">
        <v>10</v>
      </c>
      <c r="T369" s="620">
        <v>11</v>
      </c>
      <c r="U369" s="611">
        <f t="shared" si="94"/>
        <v>30</v>
      </c>
      <c r="V369" s="621"/>
      <c r="W369" s="621"/>
      <c r="X369" s="621"/>
      <c r="Y369" s="622">
        <f t="shared" si="95"/>
        <v>-10.200000000000003</v>
      </c>
      <c r="Z369" s="609">
        <f t="shared" si="106"/>
        <v>40.200000000000003</v>
      </c>
      <c r="AA369" s="620">
        <v>15</v>
      </c>
      <c r="AB369" s="620">
        <v>15</v>
      </c>
      <c r="AC369" s="620">
        <v>8</v>
      </c>
      <c r="AD369" s="611">
        <f t="shared" si="96"/>
        <v>38</v>
      </c>
      <c r="AE369" s="621"/>
      <c r="AF369" s="621"/>
      <c r="AG369" s="621"/>
      <c r="AH369" s="622">
        <f t="shared" si="97"/>
        <v>-2.2000000000000028</v>
      </c>
      <c r="AI369" s="609">
        <f t="shared" si="107"/>
        <v>32</v>
      </c>
      <c r="AJ369" s="620">
        <v>15</v>
      </c>
      <c r="AK369" s="620">
        <v>14.2</v>
      </c>
      <c r="AL369" s="620">
        <v>11</v>
      </c>
      <c r="AM369" s="623">
        <f t="shared" si="98"/>
        <v>40.200000000000003</v>
      </c>
      <c r="AN369" s="621"/>
      <c r="AO369" s="621"/>
      <c r="AP369" s="621"/>
      <c r="AQ369" s="622">
        <f t="shared" si="99"/>
        <v>8.2000000000000028</v>
      </c>
      <c r="AR369" s="615">
        <f t="shared" si="108"/>
        <v>32</v>
      </c>
      <c r="AS369" s="620">
        <v>13</v>
      </c>
      <c r="AT369" s="620">
        <v>9</v>
      </c>
      <c r="AU369" s="620">
        <v>10</v>
      </c>
      <c r="AV369" s="623">
        <f t="shared" si="100"/>
        <v>32</v>
      </c>
      <c r="AW369" s="621">
        <v>3.24</v>
      </c>
      <c r="AX369" s="621">
        <v>3.16</v>
      </c>
      <c r="AY369" s="621">
        <v>90</v>
      </c>
      <c r="AZ369" s="624">
        <f t="shared" si="101"/>
        <v>0</v>
      </c>
      <c r="BA369" s="623">
        <v>32</v>
      </c>
      <c r="BB369" s="620">
        <v>20.2</v>
      </c>
      <c r="BC369" s="620">
        <v>16</v>
      </c>
      <c r="BD369" s="623">
        <f t="shared" si="102"/>
        <v>36.200000000000003</v>
      </c>
      <c r="BE369" s="621"/>
      <c r="BF369" s="621"/>
      <c r="BG369" s="621"/>
      <c r="BH369" s="621">
        <f t="shared" si="103"/>
        <v>-4.2000000000000028</v>
      </c>
    </row>
    <row r="370" spans="1:60" ht="17.25" thickTop="1" thickBot="1" x14ac:dyDescent="0.3">
      <c r="A370" s="602">
        <v>363</v>
      </c>
      <c r="B370" s="603">
        <f t="shared" ca="1" si="91"/>
        <v>43134</v>
      </c>
      <c r="C370" s="29" t="s">
        <v>614</v>
      </c>
      <c r="D370" s="59" t="s">
        <v>2898</v>
      </c>
      <c r="E370" s="22" t="s">
        <v>327</v>
      </c>
      <c r="F370" s="239" t="s">
        <v>328</v>
      </c>
      <c r="G370" s="567">
        <v>42786</v>
      </c>
      <c r="H370" s="609">
        <f t="shared" si="104"/>
        <v>27</v>
      </c>
      <c r="I370" s="620">
        <v>14</v>
      </c>
      <c r="J370" s="620"/>
      <c r="K370" s="620">
        <v>4</v>
      </c>
      <c r="L370" s="611">
        <f t="shared" si="92"/>
        <v>18</v>
      </c>
      <c r="M370" s="621"/>
      <c r="N370" s="621"/>
      <c r="O370" s="621"/>
      <c r="P370" s="622">
        <f t="shared" si="93"/>
        <v>-9</v>
      </c>
      <c r="Q370" s="609">
        <f t="shared" si="105"/>
        <v>37</v>
      </c>
      <c r="R370" s="620">
        <v>16</v>
      </c>
      <c r="S370" s="620"/>
      <c r="T370" s="620">
        <v>11</v>
      </c>
      <c r="U370" s="611">
        <f t="shared" si="94"/>
        <v>27</v>
      </c>
      <c r="V370" s="621"/>
      <c r="W370" s="621"/>
      <c r="X370" s="621"/>
      <c r="Y370" s="622">
        <f t="shared" si="95"/>
        <v>-10</v>
      </c>
      <c r="Z370" s="609">
        <f t="shared" si="106"/>
        <v>37</v>
      </c>
      <c r="AA370" s="620">
        <v>12</v>
      </c>
      <c r="AB370" s="620">
        <v>10</v>
      </c>
      <c r="AC370" s="620">
        <v>6</v>
      </c>
      <c r="AD370" s="611">
        <f t="shared" si="96"/>
        <v>28</v>
      </c>
      <c r="AE370" s="621"/>
      <c r="AF370" s="621"/>
      <c r="AG370" s="621"/>
      <c r="AH370" s="622">
        <f t="shared" si="97"/>
        <v>-9</v>
      </c>
      <c r="AI370" s="609">
        <f t="shared" si="107"/>
        <v>31.4</v>
      </c>
      <c r="AJ370" s="620">
        <v>10</v>
      </c>
      <c r="AK370" s="620">
        <v>17</v>
      </c>
      <c r="AL370" s="620">
        <v>10</v>
      </c>
      <c r="AM370" s="623">
        <f t="shared" si="98"/>
        <v>37</v>
      </c>
      <c r="AN370" s="621"/>
      <c r="AO370" s="621"/>
      <c r="AP370" s="621"/>
      <c r="AQ370" s="622">
        <f t="shared" si="99"/>
        <v>5.6000000000000014</v>
      </c>
      <c r="AR370" s="615">
        <f t="shared" si="108"/>
        <v>34</v>
      </c>
      <c r="AS370" s="620">
        <v>13.4</v>
      </c>
      <c r="AT370" s="620">
        <v>10</v>
      </c>
      <c r="AU370" s="620">
        <v>8</v>
      </c>
      <c r="AV370" s="623">
        <f t="shared" si="100"/>
        <v>31.4</v>
      </c>
      <c r="AW370" s="621">
        <v>3.61</v>
      </c>
      <c r="AX370" s="621">
        <v>3.03</v>
      </c>
      <c r="AY370" s="621">
        <v>90</v>
      </c>
      <c r="AZ370" s="624">
        <f t="shared" si="101"/>
        <v>-2.6000000000000014</v>
      </c>
      <c r="BA370" s="623">
        <v>34</v>
      </c>
      <c r="BB370" s="620">
        <v>16</v>
      </c>
      <c r="BC370" s="620">
        <v>15.1</v>
      </c>
      <c r="BD370" s="623">
        <f t="shared" si="102"/>
        <v>31.1</v>
      </c>
      <c r="BE370" s="621"/>
      <c r="BF370" s="621"/>
      <c r="BG370" s="621"/>
      <c r="BH370" s="621">
        <f t="shared" si="103"/>
        <v>2.8999999999999986</v>
      </c>
    </row>
    <row r="371" spans="1:60" ht="17.25" thickTop="1" thickBot="1" x14ac:dyDescent="0.3">
      <c r="A371" s="77">
        <v>364</v>
      </c>
      <c r="B371" s="603">
        <f t="shared" ca="1" si="91"/>
        <v>43134</v>
      </c>
      <c r="C371" s="29" t="s">
        <v>614</v>
      </c>
      <c r="D371" s="59" t="s">
        <v>2898</v>
      </c>
      <c r="E371" s="22" t="s">
        <v>120</v>
      </c>
      <c r="F371" s="239" t="s">
        <v>121</v>
      </c>
      <c r="G371" s="567">
        <v>42872</v>
      </c>
      <c r="H371" s="609">
        <f t="shared" si="104"/>
        <v>32.5</v>
      </c>
      <c r="I371" s="620">
        <v>10.199999999999999</v>
      </c>
      <c r="J371" s="620">
        <v>13</v>
      </c>
      <c r="K371" s="620">
        <v>5</v>
      </c>
      <c r="L371" s="611">
        <f t="shared" si="92"/>
        <v>28.2</v>
      </c>
      <c r="M371" s="621"/>
      <c r="N371" s="621"/>
      <c r="O371" s="621"/>
      <c r="P371" s="622">
        <f t="shared" si="93"/>
        <v>-4.3000000000000007</v>
      </c>
      <c r="Q371" s="609">
        <f t="shared" si="105"/>
        <v>28</v>
      </c>
      <c r="R371" s="620">
        <v>15.3</v>
      </c>
      <c r="S371" s="620">
        <v>8</v>
      </c>
      <c r="T371" s="620">
        <v>9.1999999999999993</v>
      </c>
      <c r="U371" s="611">
        <f t="shared" si="94"/>
        <v>32.5</v>
      </c>
      <c r="V371" s="621"/>
      <c r="W371" s="621"/>
      <c r="X371" s="621"/>
      <c r="Y371" s="622">
        <f t="shared" si="95"/>
        <v>4.5</v>
      </c>
      <c r="Z371" s="609">
        <f t="shared" si="106"/>
        <v>28</v>
      </c>
      <c r="AA371" s="620">
        <v>13.2</v>
      </c>
      <c r="AB371" s="620">
        <v>10</v>
      </c>
      <c r="AC371" s="620">
        <v>6</v>
      </c>
      <c r="AD371" s="611">
        <f t="shared" si="96"/>
        <v>29.2</v>
      </c>
      <c r="AE371" s="621"/>
      <c r="AF371" s="621"/>
      <c r="AG371" s="621"/>
      <c r="AH371" s="622">
        <f t="shared" si="97"/>
        <v>1.1999999999999993</v>
      </c>
      <c r="AI371" s="609">
        <f t="shared" si="107"/>
        <v>32.200000000000003</v>
      </c>
      <c r="AJ371" s="620">
        <v>12</v>
      </c>
      <c r="AK371" s="620">
        <v>9</v>
      </c>
      <c r="AL371" s="620">
        <v>7</v>
      </c>
      <c r="AM371" s="623">
        <f t="shared" si="98"/>
        <v>28</v>
      </c>
      <c r="AN371" s="621"/>
      <c r="AO371" s="621"/>
      <c r="AP371" s="621"/>
      <c r="AQ371" s="622">
        <f t="shared" si="99"/>
        <v>-4.2000000000000028</v>
      </c>
      <c r="AR371" s="615">
        <f t="shared" si="108"/>
        <v>14.6</v>
      </c>
      <c r="AS371" s="620">
        <v>14.4</v>
      </c>
      <c r="AT371" s="620">
        <v>6</v>
      </c>
      <c r="AU371" s="620">
        <v>11.8</v>
      </c>
      <c r="AV371" s="623">
        <f t="shared" si="100"/>
        <v>32.200000000000003</v>
      </c>
      <c r="AW371" s="621">
        <v>1.88</v>
      </c>
      <c r="AX371" s="621">
        <v>2.81</v>
      </c>
      <c r="AY371" s="621">
        <v>90</v>
      </c>
      <c r="AZ371" s="624">
        <f t="shared" si="101"/>
        <v>17.600000000000001</v>
      </c>
      <c r="BA371" s="623">
        <v>14.6</v>
      </c>
      <c r="BB371" s="620">
        <v>7.8</v>
      </c>
      <c r="BC371" s="620">
        <v>7.5</v>
      </c>
      <c r="BD371" s="623">
        <f t="shared" si="102"/>
        <v>15.3</v>
      </c>
      <c r="BE371" s="621"/>
      <c r="BF371" s="621"/>
      <c r="BG371" s="621"/>
      <c r="BH371" s="621">
        <f t="shared" si="103"/>
        <v>-0.70000000000000107</v>
      </c>
    </row>
    <row r="372" spans="1:60" ht="17.25" thickTop="1" thickBot="1" x14ac:dyDescent="0.3">
      <c r="A372" s="602">
        <v>365</v>
      </c>
      <c r="B372" s="603">
        <f t="shared" ca="1" si="91"/>
        <v>43134</v>
      </c>
      <c r="C372" s="29" t="s">
        <v>614</v>
      </c>
      <c r="D372" s="59" t="s">
        <v>2898</v>
      </c>
      <c r="E372" s="22" t="s">
        <v>348</v>
      </c>
      <c r="F372" s="239" t="s">
        <v>349</v>
      </c>
      <c r="G372" s="567">
        <v>42870</v>
      </c>
      <c r="H372" s="609">
        <f t="shared" si="104"/>
        <v>22.8</v>
      </c>
      <c r="I372" s="620">
        <v>5.2</v>
      </c>
      <c r="J372" s="620">
        <v>7</v>
      </c>
      <c r="K372" s="620">
        <v>6.5</v>
      </c>
      <c r="L372" s="611">
        <f t="shared" si="92"/>
        <v>18.7</v>
      </c>
      <c r="M372" s="621"/>
      <c r="N372" s="621"/>
      <c r="O372" s="621"/>
      <c r="P372" s="622">
        <f t="shared" si="93"/>
        <v>-4.1000000000000014</v>
      </c>
      <c r="Q372" s="609">
        <f t="shared" si="105"/>
        <v>29.200000000000003</v>
      </c>
      <c r="R372" s="620">
        <v>12</v>
      </c>
      <c r="S372" s="620">
        <v>4.8</v>
      </c>
      <c r="T372" s="620">
        <v>6</v>
      </c>
      <c r="U372" s="611">
        <f t="shared" si="94"/>
        <v>22.8</v>
      </c>
      <c r="V372" s="621"/>
      <c r="W372" s="621"/>
      <c r="X372" s="621"/>
      <c r="Y372" s="622">
        <f t="shared" si="95"/>
        <v>-6.4000000000000021</v>
      </c>
      <c r="Z372" s="609">
        <f t="shared" si="106"/>
        <v>29.200000000000003</v>
      </c>
      <c r="AA372" s="620">
        <v>11</v>
      </c>
      <c r="AB372" s="620">
        <v>12</v>
      </c>
      <c r="AC372" s="620">
        <v>9</v>
      </c>
      <c r="AD372" s="611">
        <f t="shared" si="96"/>
        <v>32</v>
      </c>
      <c r="AE372" s="621"/>
      <c r="AF372" s="621"/>
      <c r="AG372" s="621"/>
      <c r="AH372" s="622">
        <f t="shared" si="97"/>
        <v>2.7999999999999972</v>
      </c>
      <c r="AI372" s="609">
        <f t="shared" si="107"/>
        <v>31.8</v>
      </c>
      <c r="AJ372" s="620">
        <v>10.6</v>
      </c>
      <c r="AK372" s="620">
        <v>10</v>
      </c>
      <c r="AL372" s="620">
        <v>8.6</v>
      </c>
      <c r="AM372" s="623">
        <f t="shared" si="98"/>
        <v>29.200000000000003</v>
      </c>
      <c r="AN372" s="621"/>
      <c r="AO372" s="621"/>
      <c r="AP372" s="621"/>
      <c r="AQ372" s="622">
        <f t="shared" si="99"/>
        <v>-2.5999999999999979</v>
      </c>
      <c r="AR372" s="615">
        <f t="shared" si="108"/>
        <v>9</v>
      </c>
      <c r="AS372" s="620">
        <v>11</v>
      </c>
      <c r="AT372" s="620">
        <v>10.8</v>
      </c>
      <c r="AU372" s="620">
        <v>10</v>
      </c>
      <c r="AV372" s="623">
        <f t="shared" si="100"/>
        <v>31.8</v>
      </c>
      <c r="AW372" s="621">
        <v>3.52</v>
      </c>
      <c r="AX372" s="621">
        <v>3.11</v>
      </c>
      <c r="AY372" s="621">
        <v>90</v>
      </c>
      <c r="AZ372" s="624">
        <f t="shared" si="101"/>
        <v>22.8</v>
      </c>
      <c r="BA372" s="623">
        <v>9</v>
      </c>
      <c r="BB372" s="620">
        <v>5.8</v>
      </c>
      <c r="BC372" s="620">
        <v>4.5999999999999996</v>
      </c>
      <c r="BD372" s="623">
        <f t="shared" si="102"/>
        <v>10.399999999999999</v>
      </c>
      <c r="BE372" s="621"/>
      <c r="BF372" s="621"/>
      <c r="BG372" s="621"/>
      <c r="BH372" s="621">
        <f t="shared" si="103"/>
        <v>-1.3999999999999986</v>
      </c>
    </row>
    <row r="373" spans="1:60" ht="17.25" thickTop="1" thickBot="1" x14ac:dyDescent="0.3">
      <c r="A373" s="77">
        <v>366</v>
      </c>
      <c r="B373" s="603">
        <f t="shared" ca="1" si="91"/>
        <v>43134</v>
      </c>
      <c r="C373" s="29" t="s">
        <v>2404</v>
      </c>
      <c r="D373" s="59" t="s">
        <v>2898</v>
      </c>
      <c r="E373" s="22" t="s">
        <v>279</v>
      </c>
      <c r="F373" s="627">
        <v>285</v>
      </c>
      <c r="G373" s="567">
        <v>42884</v>
      </c>
      <c r="H373" s="609">
        <f t="shared" si="104"/>
        <v>20.6</v>
      </c>
      <c r="I373" s="620">
        <v>9</v>
      </c>
      <c r="J373" s="620">
        <v>8.8000000000000007</v>
      </c>
      <c r="K373" s="620">
        <v>4.2</v>
      </c>
      <c r="L373" s="611">
        <f t="shared" si="92"/>
        <v>22</v>
      </c>
      <c r="M373" s="621"/>
      <c r="N373" s="621"/>
      <c r="O373" s="621"/>
      <c r="P373" s="622">
        <f t="shared" si="93"/>
        <v>1.3999999999999986</v>
      </c>
      <c r="Q373" s="609">
        <f t="shared" si="105"/>
        <v>26</v>
      </c>
      <c r="R373" s="620">
        <v>6.8</v>
      </c>
      <c r="S373" s="620">
        <v>7</v>
      </c>
      <c r="T373" s="620">
        <v>6.8</v>
      </c>
      <c r="U373" s="611">
        <f t="shared" si="94"/>
        <v>20.6</v>
      </c>
      <c r="V373" s="621"/>
      <c r="W373" s="621"/>
      <c r="X373" s="621"/>
      <c r="Y373" s="622">
        <f t="shared" si="95"/>
        <v>-5.3999999999999986</v>
      </c>
      <c r="Z373" s="609">
        <f t="shared" si="106"/>
        <v>26</v>
      </c>
      <c r="AA373" s="620">
        <v>10</v>
      </c>
      <c r="AB373" s="620">
        <v>10</v>
      </c>
      <c r="AC373" s="620">
        <v>10</v>
      </c>
      <c r="AD373" s="611">
        <f t="shared" si="96"/>
        <v>30</v>
      </c>
      <c r="AE373" s="621"/>
      <c r="AF373" s="621"/>
      <c r="AG373" s="621"/>
      <c r="AH373" s="622">
        <f t="shared" si="97"/>
        <v>4</v>
      </c>
      <c r="AI373" s="609">
        <f t="shared" si="107"/>
        <v>22.9</v>
      </c>
      <c r="AJ373" s="620">
        <v>10</v>
      </c>
      <c r="AK373" s="620">
        <v>7</v>
      </c>
      <c r="AL373" s="620">
        <v>9</v>
      </c>
      <c r="AM373" s="623">
        <f t="shared" si="98"/>
        <v>26</v>
      </c>
      <c r="AN373" s="621"/>
      <c r="AO373" s="621"/>
      <c r="AP373" s="621"/>
      <c r="AQ373" s="622">
        <f t="shared" si="99"/>
        <v>3.1000000000000014</v>
      </c>
      <c r="AR373" s="615">
        <f t="shared" si="108"/>
        <v>2.7</v>
      </c>
      <c r="AS373" s="620">
        <v>7.8</v>
      </c>
      <c r="AT373" s="620">
        <v>7.1</v>
      </c>
      <c r="AU373" s="620">
        <v>8</v>
      </c>
      <c r="AV373" s="623">
        <f t="shared" si="100"/>
        <v>22.9</v>
      </c>
      <c r="AW373" s="621">
        <v>3.06</v>
      </c>
      <c r="AX373" s="621">
        <v>3.19</v>
      </c>
      <c r="AY373" s="621">
        <v>90</v>
      </c>
      <c r="AZ373" s="624">
        <f t="shared" si="101"/>
        <v>20.2</v>
      </c>
      <c r="BA373" s="623">
        <v>2.7</v>
      </c>
      <c r="BB373" s="620">
        <v>1.6</v>
      </c>
      <c r="BC373" s="620">
        <v>1.6</v>
      </c>
      <c r="BD373" s="623">
        <f t="shared" si="102"/>
        <v>3.2</v>
      </c>
      <c r="BE373" s="621"/>
      <c r="BF373" s="621"/>
      <c r="BG373" s="621"/>
      <c r="BH373" s="621">
        <f t="shared" si="103"/>
        <v>-0.5</v>
      </c>
    </row>
    <row r="374" spans="1:60" ht="17.25" thickTop="1" thickBot="1" x14ac:dyDescent="0.3">
      <c r="A374" s="602">
        <v>367</v>
      </c>
      <c r="B374" s="603">
        <f t="shared" ca="1" si="91"/>
        <v>43134</v>
      </c>
      <c r="C374" s="29" t="s">
        <v>614</v>
      </c>
      <c r="D374" s="59" t="s">
        <v>2898</v>
      </c>
      <c r="E374" s="22" t="s">
        <v>788</v>
      </c>
      <c r="F374" s="239" t="s">
        <v>789</v>
      </c>
      <c r="G374" s="567">
        <v>42882</v>
      </c>
      <c r="H374" s="609">
        <f t="shared" si="104"/>
        <v>22.6</v>
      </c>
      <c r="I374" s="620">
        <v>5</v>
      </c>
      <c r="J374" s="620">
        <v>11.2</v>
      </c>
      <c r="K374" s="620">
        <v>10</v>
      </c>
      <c r="L374" s="611">
        <f t="shared" si="92"/>
        <v>26.2</v>
      </c>
      <c r="M374" s="621"/>
      <c r="N374" s="621"/>
      <c r="O374" s="621"/>
      <c r="P374" s="622">
        <f t="shared" si="93"/>
        <v>3.5999999999999979</v>
      </c>
      <c r="Q374" s="609">
        <f t="shared" si="105"/>
        <v>27.2</v>
      </c>
      <c r="R374" s="620">
        <v>8</v>
      </c>
      <c r="S374" s="620">
        <v>5</v>
      </c>
      <c r="T374" s="620">
        <v>9.6</v>
      </c>
      <c r="U374" s="611">
        <f t="shared" si="94"/>
        <v>22.6</v>
      </c>
      <c r="V374" s="621"/>
      <c r="W374" s="621"/>
      <c r="X374" s="621"/>
      <c r="Y374" s="622">
        <f t="shared" si="95"/>
        <v>-4.5999999999999979</v>
      </c>
      <c r="Z374" s="609">
        <f t="shared" si="106"/>
        <v>27.2</v>
      </c>
      <c r="AA374" s="620">
        <v>6</v>
      </c>
      <c r="AB374" s="620">
        <v>7</v>
      </c>
      <c r="AC374" s="620">
        <v>6</v>
      </c>
      <c r="AD374" s="611">
        <f t="shared" si="96"/>
        <v>19</v>
      </c>
      <c r="AE374" s="621"/>
      <c r="AF374" s="621"/>
      <c r="AG374" s="621"/>
      <c r="AH374" s="622">
        <f t="shared" si="97"/>
        <v>-8.1999999999999993</v>
      </c>
      <c r="AI374" s="609">
        <f t="shared" si="107"/>
        <v>26.1</v>
      </c>
      <c r="AJ374" s="620">
        <v>10.199999999999999</v>
      </c>
      <c r="AK374" s="620">
        <v>8</v>
      </c>
      <c r="AL374" s="620">
        <v>9</v>
      </c>
      <c r="AM374" s="623">
        <f t="shared" si="98"/>
        <v>27.2</v>
      </c>
      <c r="AN374" s="621"/>
      <c r="AO374" s="621"/>
      <c r="AP374" s="621"/>
      <c r="AQ374" s="622">
        <f t="shared" si="99"/>
        <v>1.0999999999999979</v>
      </c>
      <c r="AR374" s="615">
        <f t="shared" si="108"/>
        <v>11.4</v>
      </c>
      <c r="AS374" s="620">
        <v>9.1</v>
      </c>
      <c r="AT374" s="620">
        <v>9</v>
      </c>
      <c r="AU374" s="620">
        <v>8</v>
      </c>
      <c r="AV374" s="623">
        <f t="shared" si="100"/>
        <v>26.1</v>
      </c>
      <c r="AW374" s="621">
        <v>4.99</v>
      </c>
      <c r="AX374" s="621">
        <v>3.15</v>
      </c>
      <c r="AY374" s="621">
        <v>90</v>
      </c>
      <c r="AZ374" s="624">
        <f t="shared" si="101"/>
        <v>14.700000000000001</v>
      </c>
      <c r="BA374" s="623">
        <v>11.4</v>
      </c>
      <c r="BB374" s="620">
        <v>4.0999999999999996</v>
      </c>
      <c r="BC374" s="620">
        <v>4.3</v>
      </c>
      <c r="BD374" s="623">
        <f t="shared" si="102"/>
        <v>8.3999999999999986</v>
      </c>
      <c r="BE374" s="621"/>
      <c r="BF374" s="621"/>
      <c r="BG374" s="621"/>
      <c r="BH374" s="621">
        <f t="shared" si="103"/>
        <v>3.0000000000000018</v>
      </c>
    </row>
    <row r="375" spans="1:60" ht="17.25" thickTop="1" thickBot="1" x14ac:dyDescent="0.3">
      <c r="A375" s="77">
        <v>368</v>
      </c>
      <c r="B375" s="603">
        <f t="shared" ca="1" si="91"/>
        <v>43134</v>
      </c>
      <c r="C375" s="29" t="s">
        <v>614</v>
      </c>
      <c r="D375" s="59" t="s">
        <v>2898</v>
      </c>
      <c r="E375" s="22" t="s">
        <v>377</v>
      </c>
      <c r="F375" s="239" t="s">
        <v>378</v>
      </c>
      <c r="G375" s="567">
        <v>42677</v>
      </c>
      <c r="H375" s="609">
        <f t="shared" si="104"/>
        <v>24.1</v>
      </c>
      <c r="I375" s="620">
        <v>9</v>
      </c>
      <c r="J375" s="620"/>
      <c r="K375" s="620">
        <v>9</v>
      </c>
      <c r="L375" s="611">
        <f t="shared" si="92"/>
        <v>18</v>
      </c>
      <c r="M375" s="621"/>
      <c r="N375" s="621"/>
      <c r="O375" s="621"/>
      <c r="P375" s="622">
        <f t="shared" si="93"/>
        <v>-6.1000000000000014</v>
      </c>
      <c r="Q375" s="609">
        <f t="shared" si="105"/>
        <v>30</v>
      </c>
      <c r="R375" s="620">
        <v>10.1</v>
      </c>
      <c r="S375" s="620"/>
      <c r="T375" s="620">
        <v>14</v>
      </c>
      <c r="U375" s="611">
        <f t="shared" si="94"/>
        <v>24.1</v>
      </c>
      <c r="V375" s="621"/>
      <c r="W375" s="621"/>
      <c r="X375" s="621"/>
      <c r="Y375" s="622">
        <f t="shared" si="95"/>
        <v>-5.8999999999999986</v>
      </c>
      <c r="Z375" s="609">
        <f t="shared" si="106"/>
        <v>30</v>
      </c>
      <c r="AA375" s="620">
        <v>9</v>
      </c>
      <c r="AB375" s="620">
        <v>8.4</v>
      </c>
      <c r="AC375" s="620">
        <v>11</v>
      </c>
      <c r="AD375" s="611">
        <f t="shared" si="96"/>
        <v>28.4</v>
      </c>
      <c r="AE375" s="621"/>
      <c r="AF375" s="621"/>
      <c r="AG375" s="621"/>
      <c r="AH375" s="622">
        <f t="shared" si="97"/>
        <v>-1.6000000000000014</v>
      </c>
      <c r="AI375" s="609">
        <f t="shared" si="107"/>
        <v>37.400000000000006</v>
      </c>
      <c r="AJ375" s="620">
        <v>12</v>
      </c>
      <c r="AK375" s="620">
        <v>8</v>
      </c>
      <c r="AL375" s="620">
        <v>10</v>
      </c>
      <c r="AM375" s="623">
        <f t="shared" si="98"/>
        <v>30</v>
      </c>
      <c r="AN375" s="621"/>
      <c r="AO375" s="621"/>
      <c r="AP375" s="621"/>
      <c r="AQ375" s="622">
        <f t="shared" si="99"/>
        <v>-7.4000000000000057</v>
      </c>
      <c r="AR375" s="615">
        <f t="shared" si="108"/>
        <v>35.4</v>
      </c>
      <c r="AS375" s="620">
        <v>19</v>
      </c>
      <c r="AT375" s="620">
        <v>4.5999999999999996</v>
      </c>
      <c r="AU375" s="620">
        <v>13.8</v>
      </c>
      <c r="AV375" s="623">
        <f t="shared" si="100"/>
        <v>37.400000000000006</v>
      </c>
      <c r="AW375" s="621">
        <v>4.4400000000000004</v>
      </c>
      <c r="AX375" s="621">
        <v>3.33</v>
      </c>
      <c r="AY375" s="621">
        <v>90</v>
      </c>
      <c r="AZ375" s="624">
        <f t="shared" si="101"/>
        <v>2.0000000000000071</v>
      </c>
      <c r="BA375" s="623">
        <v>35.4</v>
      </c>
      <c r="BB375" s="620">
        <v>19.2</v>
      </c>
      <c r="BC375" s="620">
        <v>12.4</v>
      </c>
      <c r="BD375" s="623">
        <f t="shared" si="102"/>
        <v>31.6</v>
      </c>
      <c r="BE375" s="621"/>
      <c r="BF375" s="621"/>
      <c r="BG375" s="621"/>
      <c r="BH375" s="621">
        <f t="shared" si="103"/>
        <v>3.7999999999999972</v>
      </c>
    </row>
    <row r="376" spans="1:60" ht="17.25" thickTop="1" thickBot="1" x14ac:dyDescent="0.3">
      <c r="A376" s="602">
        <v>369</v>
      </c>
      <c r="B376" s="603">
        <f t="shared" ca="1" si="91"/>
        <v>43134</v>
      </c>
      <c r="C376" s="29" t="s">
        <v>614</v>
      </c>
      <c r="D376" s="59" t="s">
        <v>2898</v>
      </c>
      <c r="E376" s="22" t="s">
        <v>202</v>
      </c>
      <c r="F376" s="27" t="s">
        <v>203</v>
      </c>
      <c r="G376" s="567">
        <v>42537</v>
      </c>
      <c r="H376" s="609">
        <f t="shared" si="104"/>
        <v>30.6</v>
      </c>
      <c r="I376" s="620">
        <v>9</v>
      </c>
      <c r="J376" s="620">
        <v>12</v>
      </c>
      <c r="K376" s="620">
        <v>9.6</v>
      </c>
      <c r="L376" s="611">
        <f t="shared" si="92"/>
        <v>30.6</v>
      </c>
      <c r="M376" s="621"/>
      <c r="N376" s="621"/>
      <c r="O376" s="621"/>
      <c r="P376" s="622">
        <f t="shared" si="93"/>
        <v>0</v>
      </c>
      <c r="Q376" s="609">
        <f t="shared" si="105"/>
        <v>30.5</v>
      </c>
      <c r="R376" s="620">
        <v>10.6</v>
      </c>
      <c r="S376" s="620">
        <v>12</v>
      </c>
      <c r="T376" s="620">
        <v>8</v>
      </c>
      <c r="U376" s="611">
        <f t="shared" si="94"/>
        <v>30.6</v>
      </c>
      <c r="V376" s="621"/>
      <c r="W376" s="621"/>
      <c r="X376" s="621"/>
      <c r="Y376" s="622">
        <f t="shared" si="95"/>
        <v>0.10000000000000142</v>
      </c>
      <c r="Z376" s="609">
        <f t="shared" si="106"/>
        <v>30.5</v>
      </c>
      <c r="AA376" s="620">
        <v>7</v>
      </c>
      <c r="AB376" s="620">
        <v>8.1999999999999993</v>
      </c>
      <c r="AC376" s="620">
        <v>8</v>
      </c>
      <c r="AD376" s="611">
        <f t="shared" si="96"/>
        <v>23.2</v>
      </c>
      <c r="AE376" s="621"/>
      <c r="AF376" s="621"/>
      <c r="AG376" s="621"/>
      <c r="AH376" s="622">
        <f t="shared" si="97"/>
        <v>-7.3000000000000007</v>
      </c>
      <c r="AI376" s="609">
        <f t="shared" si="107"/>
        <v>37</v>
      </c>
      <c r="AJ376" s="620">
        <v>12</v>
      </c>
      <c r="AK376" s="620">
        <v>9.5</v>
      </c>
      <c r="AL376" s="620">
        <v>9</v>
      </c>
      <c r="AM376" s="623">
        <f t="shared" si="98"/>
        <v>30.5</v>
      </c>
      <c r="AN376" s="621"/>
      <c r="AO376" s="621"/>
      <c r="AP376" s="621"/>
      <c r="AQ376" s="622">
        <f t="shared" si="99"/>
        <v>-6.5</v>
      </c>
      <c r="AR376" s="615">
        <f t="shared" si="108"/>
        <v>0</v>
      </c>
      <c r="AS376" s="620">
        <v>15</v>
      </c>
      <c r="AT376" s="620">
        <v>10.4</v>
      </c>
      <c r="AU376" s="620">
        <v>11.6</v>
      </c>
      <c r="AV376" s="623">
        <f t="shared" si="100"/>
        <v>37</v>
      </c>
      <c r="AW376" s="621">
        <v>3.73</v>
      </c>
      <c r="AX376" s="621">
        <v>3.15</v>
      </c>
      <c r="AY376" s="621">
        <v>90</v>
      </c>
      <c r="AZ376" s="624">
        <f t="shared" si="101"/>
        <v>37</v>
      </c>
      <c r="BA376" s="623"/>
      <c r="BB376" s="620"/>
      <c r="BC376" s="620"/>
      <c r="BD376" s="623">
        <f t="shared" si="102"/>
        <v>0</v>
      </c>
      <c r="BE376" s="621"/>
      <c r="BF376" s="621"/>
      <c r="BG376" s="621"/>
      <c r="BH376" s="621">
        <f t="shared" si="103"/>
        <v>0</v>
      </c>
    </row>
    <row r="377" spans="1:60" ht="17.25" thickTop="1" thickBot="1" x14ac:dyDescent="0.3">
      <c r="A377" s="77">
        <v>370</v>
      </c>
      <c r="B377" s="603">
        <f t="shared" ca="1" si="91"/>
        <v>43134</v>
      </c>
      <c r="C377" s="29" t="s">
        <v>614</v>
      </c>
      <c r="D377" s="59" t="s">
        <v>2898</v>
      </c>
      <c r="E377" s="22" t="s">
        <v>387</v>
      </c>
      <c r="F377" s="27" t="s">
        <v>514</v>
      </c>
      <c r="G377" s="567">
        <v>42875</v>
      </c>
      <c r="H377" s="609">
        <f t="shared" si="104"/>
        <v>24</v>
      </c>
      <c r="I377" s="620">
        <v>8.6</v>
      </c>
      <c r="J377" s="620">
        <v>9.1999999999999993</v>
      </c>
      <c r="K377" s="620">
        <v>8</v>
      </c>
      <c r="L377" s="611">
        <f t="shared" si="92"/>
        <v>25.799999999999997</v>
      </c>
      <c r="M377" s="621"/>
      <c r="N377" s="621"/>
      <c r="O377" s="621"/>
      <c r="P377" s="622">
        <f t="shared" si="93"/>
        <v>1.7999999999999972</v>
      </c>
      <c r="Q377" s="609">
        <f t="shared" si="105"/>
        <v>21.5</v>
      </c>
      <c r="R377" s="620">
        <v>8</v>
      </c>
      <c r="S377" s="620">
        <v>7</v>
      </c>
      <c r="T377" s="620">
        <v>9</v>
      </c>
      <c r="U377" s="611">
        <f t="shared" si="94"/>
        <v>24</v>
      </c>
      <c r="V377" s="621"/>
      <c r="W377" s="621"/>
      <c r="X377" s="621"/>
      <c r="Y377" s="622">
        <f t="shared" si="95"/>
        <v>2.5</v>
      </c>
      <c r="Z377" s="609">
        <f t="shared" si="106"/>
        <v>21.5</v>
      </c>
      <c r="AA377" s="620">
        <v>10.199999999999999</v>
      </c>
      <c r="AB377" s="620">
        <v>1.6</v>
      </c>
      <c r="AC377" s="620">
        <v>7</v>
      </c>
      <c r="AD377" s="611">
        <f t="shared" si="96"/>
        <v>18.799999999999997</v>
      </c>
      <c r="AE377" s="621"/>
      <c r="AF377" s="621"/>
      <c r="AG377" s="621"/>
      <c r="AH377" s="622">
        <f t="shared" si="97"/>
        <v>-2.7000000000000028</v>
      </c>
      <c r="AI377" s="609">
        <f t="shared" si="107"/>
        <v>8</v>
      </c>
      <c r="AJ377" s="620">
        <v>8.5</v>
      </c>
      <c r="AK377" s="620">
        <v>7</v>
      </c>
      <c r="AL377" s="620">
        <v>6</v>
      </c>
      <c r="AM377" s="623">
        <f t="shared" si="98"/>
        <v>21.5</v>
      </c>
      <c r="AN377" s="621"/>
      <c r="AO377" s="621"/>
      <c r="AP377" s="621"/>
      <c r="AQ377" s="622">
        <f t="shared" si="99"/>
        <v>13.5</v>
      </c>
      <c r="AR377" s="615">
        <f t="shared" si="108"/>
        <v>12.4</v>
      </c>
      <c r="AS377" s="620">
        <v>4</v>
      </c>
      <c r="AT377" s="620">
        <v>2</v>
      </c>
      <c r="AU377" s="620">
        <v>2</v>
      </c>
      <c r="AV377" s="623">
        <f t="shared" si="100"/>
        <v>8</v>
      </c>
      <c r="AW377" s="621">
        <v>5.27</v>
      </c>
      <c r="AX377" s="621">
        <v>3.2</v>
      </c>
      <c r="AY377" s="621">
        <v>90</v>
      </c>
      <c r="AZ377" s="624">
        <f t="shared" si="101"/>
        <v>-4.4000000000000004</v>
      </c>
      <c r="BA377" s="623">
        <v>12.4</v>
      </c>
      <c r="BB377" s="620">
        <v>6.3</v>
      </c>
      <c r="BC377" s="620">
        <v>4.7</v>
      </c>
      <c r="BD377" s="623">
        <f t="shared" si="102"/>
        <v>11</v>
      </c>
      <c r="BE377" s="621"/>
      <c r="BF377" s="621"/>
      <c r="BG377" s="621"/>
      <c r="BH377" s="621">
        <f t="shared" si="103"/>
        <v>1.4000000000000004</v>
      </c>
    </row>
    <row r="378" spans="1:60" ht="17.25" thickTop="1" thickBot="1" x14ac:dyDescent="0.3">
      <c r="A378" s="602">
        <v>371</v>
      </c>
      <c r="B378" s="603">
        <f t="shared" ca="1" si="91"/>
        <v>43134</v>
      </c>
      <c r="C378" s="29" t="s">
        <v>614</v>
      </c>
      <c r="D378" s="59" t="s">
        <v>2898</v>
      </c>
      <c r="E378" s="22" t="s">
        <v>146</v>
      </c>
      <c r="F378" s="239" t="s">
        <v>371</v>
      </c>
      <c r="G378" s="567">
        <v>42867</v>
      </c>
      <c r="H378" s="609">
        <f t="shared" si="104"/>
        <v>24.8</v>
      </c>
      <c r="I378" s="620">
        <v>8</v>
      </c>
      <c r="J378" s="620">
        <v>6</v>
      </c>
      <c r="K378" s="620">
        <v>7</v>
      </c>
      <c r="L378" s="611">
        <f t="shared" si="92"/>
        <v>21</v>
      </c>
      <c r="M378" s="621"/>
      <c r="N378" s="621"/>
      <c r="O378" s="621"/>
      <c r="P378" s="622">
        <f t="shared" si="93"/>
        <v>-3.8000000000000007</v>
      </c>
      <c r="Q378" s="609">
        <f t="shared" si="105"/>
        <v>37.200000000000003</v>
      </c>
      <c r="R378" s="620">
        <v>9</v>
      </c>
      <c r="S378" s="620">
        <v>8</v>
      </c>
      <c r="T378" s="620">
        <v>7.8</v>
      </c>
      <c r="U378" s="611">
        <f t="shared" si="94"/>
        <v>24.8</v>
      </c>
      <c r="V378" s="621"/>
      <c r="W378" s="621"/>
      <c r="X378" s="621"/>
      <c r="Y378" s="622">
        <f t="shared" si="95"/>
        <v>-12.400000000000002</v>
      </c>
      <c r="Z378" s="609">
        <f t="shared" si="106"/>
        <v>37.200000000000003</v>
      </c>
      <c r="AA378" s="620">
        <v>10.199999999999999</v>
      </c>
      <c r="AB378" s="620">
        <v>13.5</v>
      </c>
      <c r="AC378" s="620">
        <v>7</v>
      </c>
      <c r="AD378" s="611">
        <f t="shared" si="96"/>
        <v>30.7</v>
      </c>
      <c r="AE378" s="621"/>
      <c r="AF378" s="621"/>
      <c r="AG378" s="621"/>
      <c r="AH378" s="622">
        <f t="shared" si="97"/>
        <v>-6.5000000000000036</v>
      </c>
      <c r="AI378" s="609">
        <f t="shared" si="107"/>
        <v>35.6</v>
      </c>
      <c r="AJ378" s="620">
        <v>14</v>
      </c>
      <c r="AK378" s="620">
        <v>13.2</v>
      </c>
      <c r="AL378" s="620">
        <v>10</v>
      </c>
      <c r="AM378" s="623">
        <f t="shared" si="98"/>
        <v>37.200000000000003</v>
      </c>
      <c r="AN378" s="621"/>
      <c r="AO378" s="621"/>
      <c r="AP378" s="621"/>
      <c r="AQ378" s="622">
        <f t="shared" si="99"/>
        <v>1.6000000000000014</v>
      </c>
      <c r="AR378" s="615">
        <f t="shared" si="108"/>
        <v>19</v>
      </c>
      <c r="AS378" s="620">
        <v>13.2</v>
      </c>
      <c r="AT378" s="620">
        <v>10.4</v>
      </c>
      <c r="AU378" s="620">
        <v>12</v>
      </c>
      <c r="AV378" s="623">
        <f t="shared" si="100"/>
        <v>35.6</v>
      </c>
      <c r="AW378" s="621">
        <v>2.8</v>
      </c>
      <c r="AX378" s="621">
        <v>3.12</v>
      </c>
      <c r="AY378" s="621">
        <v>90</v>
      </c>
      <c r="AZ378" s="624">
        <f t="shared" si="101"/>
        <v>16.600000000000001</v>
      </c>
      <c r="BA378" s="623">
        <v>19</v>
      </c>
      <c r="BB378" s="620">
        <v>8.3000000000000007</v>
      </c>
      <c r="BC378" s="620">
        <v>8.9</v>
      </c>
      <c r="BD378" s="623">
        <f t="shared" si="102"/>
        <v>17.200000000000003</v>
      </c>
      <c r="BE378" s="621"/>
      <c r="BF378" s="621"/>
      <c r="BG378" s="621"/>
      <c r="BH378" s="621">
        <f t="shared" si="103"/>
        <v>1.7999999999999972</v>
      </c>
    </row>
    <row r="379" spans="1:60" ht="17.25" thickTop="1" thickBot="1" x14ac:dyDescent="0.3">
      <c r="A379" s="77">
        <v>372</v>
      </c>
      <c r="B379" s="603">
        <f t="shared" ca="1" si="91"/>
        <v>43134</v>
      </c>
      <c r="C379" s="29" t="s">
        <v>614</v>
      </c>
      <c r="D379" s="59" t="s">
        <v>2898</v>
      </c>
      <c r="E379" s="22" t="s">
        <v>772</v>
      </c>
      <c r="F379" s="27" t="s">
        <v>812</v>
      </c>
      <c r="G379" s="567">
        <v>42862</v>
      </c>
      <c r="H379" s="609">
        <f t="shared" si="104"/>
        <v>20</v>
      </c>
      <c r="I379" s="620">
        <v>11</v>
      </c>
      <c r="J379" s="620">
        <v>7.2</v>
      </c>
      <c r="K379" s="620">
        <v>7</v>
      </c>
      <c r="L379" s="611">
        <f t="shared" si="92"/>
        <v>25.2</v>
      </c>
      <c r="M379" s="621"/>
      <c r="N379" s="621"/>
      <c r="O379" s="621"/>
      <c r="P379" s="622">
        <f t="shared" si="93"/>
        <v>5.1999999999999993</v>
      </c>
      <c r="Q379" s="609">
        <f t="shared" si="105"/>
        <v>26.6</v>
      </c>
      <c r="R379" s="620">
        <v>7.4</v>
      </c>
      <c r="S379" s="620">
        <v>7.6</v>
      </c>
      <c r="T379" s="620">
        <v>5</v>
      </c>
      <c r="U379" s="611">
        <f t="shared" si="94"/>
        <v>20</v>
      </c>
      <c r="V379" s="621"/>
      <c r="W379" s="621"/>
      <c r="X379" s="621"/>
      <c r="Y379" s="622">
        <f t="shared" si="95"/>
        <v>-6.6000000000000014</v>
      </c>
      <c r="Z379" s="609">
        <f t="shared" si="106"/>
        <v>26.6</v>
      </c>
      <c r="AA379" s="620">
        <v>7</v>
      </c>
      <c r="AB379" s="620">
        <v>11</v>
      </c>
      <c r="AC379" s="620">
        <v>6.2</v>
      </c>
      <c r="AD379" s="611">
        <f t="shared" si="96"/>
        <v>24.2</v>
      </c>
      <c r="AE379" s="621"/>
      <c r="AF379" s="621"/>
      <c r="AG379" s="621"/>
      <c r="AH379" s="622">
        <f t="shared" si="97"/>
        <v>-2.4000000000000021</v>
      </c>
      <c r="AI379" s="609">
        <f t="shared" si="107"/>
        <v>43</v>
      </c>
      <c r="AJ379" s="620">
        <v>12.6</v>
      </c>
      <c r="AK379" s="620">
        <v>6</v>
      </c>
      <c r="AL379" s="620">
        <v>8</v>
      </c>
      <c r="AM379" s="623">
        <f t="shared" si="98"/>
        <v>26.6</v>
      </c>
      <c r="AN379" s="621"/>
      <c r="AO379" s="621"/>
      <c r="AP379" s="621"/>
      <c r="AQ379" s="622">
        <f t="shared" si="99"/>
        <v>-16.399999999999999</v>
      </c>
      <c r="AR379" s="615">
        <f t="shared" si="108"/>
        <v>15.3</v>
      </c>
      <c r="AS379" s="620">
        <v>14</v>
      </c>
      <c r="AT379" s="620">
        <v>22</v>
      </c>
      <c r="AU379" s="620">
        <v>7</v>
      </c>
      <c r="AV379" s="623">
        <f t="shared" si="100"/>
        <v>43</v>
      </c>
      <c r="AW379" s="621">
        <v>2.71</v>
      </c>
      <c r="AX379" s="621">
        <v>3.31</v>
      </c>
      <c r="AY379" s="621">
        <v>90</v>
      </c>
      <c r="AZ379" s="624">
        <f t="shared" si="101"/>
        <v>27.7</v>
      </c>
      <c r="BA379" s="623">
        <v>15.3</v>
      </c>
      <c r="BB379" s="620">
        <v>6.5</v>
      </c>
      <c r="BC379" s="620">
        <v>5.9</v>
      </c>
      <c r="BD379" s="623">
        <f t="shared" si="102"/>
        <v>12.4</v>
      </c>
      <c r="BE379" s="621"/>
      <c r="BF379" s="621"/>
      <c r="BG379" s="621"/>
      <c r="BH379" s="621">
        <f t="shared" si="103"/>
        <v>2.9000000000000004</v>
      </c>
    </row>
    <row r="380" spans="1:60" ht="17.25" thickTop="1" thickBot="1" x14ac:dyDescent="0.3">
      <c r="A380" s="602">
        <v>373</v>
      </c>
      <c r="B380" s="603">
        <f t="shared" ca="1" si="91"/>
        <v>43134</v>
      </c>
      <c r="C380" s="29" t="s">
        <v>614</v>
      </c>
      <c r="D380" s="59" t="s">
        <v>2898</v>
      </c>
      <c r="E380" s="22" t="s">
        <v>233</v>
      </c>
      <c r="F380" s="239" t="s">
        <v>234</v>
      </c>
      <c r="G380" s="567">
        <v>42867</v>
      </c>
      <c r="H380" s="609">
        <f t="shared" si="104"/>
        <v>21.4</v>
      </c>
      <c r="I380" s="620">
        <v>11</v>
      </c>
      <c r="J380" s="620">
        <v>9.8000000000000007</v>
      </c>
      <c r="K380" s="620">
        <v>11</v>
      </c>
      <c r="L380" s="611">
        <f t="shared" si="92"/>
        <v>31.8</v>
      </c>
      <c r="M380" s="621"/>
      <c r="N380" s="621"/>
      <c r="O380" s="621"/>
      <c r="P380" s="622">
        <f t="shared" si="93"/>
        <v>10.400000000000002</v>
      </c>
      <c r="Q380" s="609">
        <f t="shared" si="105"/>
        <v>26</v>
      </c>
      <c r="R380" s="620">
        <v>8</v>
      </c>
      <c r="S380" s="620">
        <v>6.4</v>
      </c>
      <c r="T380" s="620">
        <v>7</v>
      </c>
      <c r="U380" s="611">
        <f t="shared" si="94"/>
        <v>21.4</v>
      </c>
      <c r="V380" s="621"/>
      <c r="W380" s="621"/>
      <c r="X380" s="621"/>
      <c r="Y380" s="622">
        <f t="shared" si="95"/>
        <v>-4.6000000000000014</v>
      </c>
      <c r="Z380" s="609">
        <f t="shared" si="106"/>
        <v>26</v>
      </c>
      <c r="AA380" s="620">
        <v>9</v>
      </c>
      <c r="AB380" s="620">
        <v>9</v>
      </c>
      <c r="AC380" s="620">
        <v>9.1999999999999993</v>
      </c>
      <c r="AD380" s="611">
        <f t="shared" si="96"/>
        <v>27.2</v>
      </c>
      <c r="AE380" s="621"/>
      <c r="AF380" s="621"/>
      <c r="AG380" s="621"/>
      <c r="AH380" s="622">
        <f t="shared" si="97"/>
        <v>1.1999999999999993</v>
      </c>
      <c r="AI380" s="609">
        <f t="shared" si="107"/>
        <v>25</v>
      </c>
      <c r="AJ380" s="620">
        <v>10</v>
      </c>
      <c r="AK380" s="620">
        <v>8</v>
      </c>
      <c r="AL380" s="620">
        <v>8</v>
      </c>
      <c r="AM380" s="623">
        <f t="shared" si="98"/>
        <v>26</v>
      </c>
      <c r="AN380" s="621"/>
      <c r="AO380" s="621"/>
      <c r="AP380" s="621"/>
      <c r="AQ380" s="622">
        <f t="shared" si="99"/>
        <v>1</v>
      </c>
      <c r="AR380" s="615">
        <f t="shared" si="108"/>
        <v>17</v>
      </c>
      <c r="AS380" s="620">
        <v>9.4</v>
      </c>
      <c r="AT380" s="620">
        <v>6.4</v>
      </c>
      <c r="AU380" s="620">
        <v>9.1999999999999993</v>
      </c>
      <c r="AV380" s="623">
        <f t="shared" si="100"/>
        <v>25</v>
      </c>
      <c r="AW380" s="621">
        <v>3.09</v>
      </c>
      <c r="AX380" s="621">
        <v>3.03</v>
      </c>
      <c r="AY380" s="621">
        <v>90</v>
      </c>
      <c r="AZ380" s="624">
        <f t="shared" si="101"/>
        <v>8</v>
      </c>
      <c r="BA380" s="623">
        <v>17</v>
      </c>
      <c r="BB380" s="620">
        <v>11.2</v>
      </c>
      <c r="BC380" s="620">
        <v>10.9</v>
      </c>
      <c r="BD380" s="623">
        <f t="shared" si="102"/>
        <v>22.1</v>
      </c>
      <c r="BE380" s="621"/>
      <c r="BF380" s="621"/>
      <c r="BG380" s="621"/>
      <c r="BH380" s="621">
        <f t="shared" si="103"/>
        <v>-5.1000000000000014</v>
      </c>
    </row>
    <row r="381" spans="1:60" ht="17.25" thickTop="1" thickBot="1" x14ac:dyDescent="0.3">
      <c r="A381" s="77">
        <v>374</v>
      </c>
      <c r="B381" s="603">
        <f t="shared" ca="1" si="91"/>
        <v>43134</v>
      </c>
      <c r="C381" s="29" t="s">
        <v>614</v>
      </c>
      <c r="D381" s="59" t="s">
        <v>2898</v>
      </c>
      <c r="E381" s="22" t="s">
        <v>256</v>
      </c>
      <c r="F381" s="239" t="s">
        <v>257</v>
      </c>
      <c r="G381" s="567">
        <v>42873</v>
      </c>
      <c r="H381" s="609">
        <f t="shared" si="104"/>
        <v>28.4</v>
      </c>
      <c r="I381" s="620">
        <v>10</v>
      </c>
      <c r="J381" s="620">
        <v>10</v>
      </c>
      <c r="K381" s="620">
        <v>9.1999999999999993</v>
      </c>
      <c r="L381" s="611">
        <f t="shared" si="92"/>
        <v>29.2</v>
      </c>
      <c r="M381" s="621"/>
      <c r="N381" s="621"/>
      <c r="O381" s="621"/>
      <c r="P381" s="622">
        <f t="shared" si="93"/>
        <v>0.80000000000000071</v>
      </c>
      <c r="Q381" s="609">
        <f t="shared" si="105"/>
        <v>32.6</v>
      </c>
      <c r="R381" s="620">
        <v>9.1999999999999993</v>
      </c>
      <c r="S381" s="620">
        <v>10.199999999999999</v>
      </c>
      <c r="T381" s="620">
        <v>9</v>
      </c>
      <c r="U381" s="611">
        <f t="shared" si="94"/>
        <v>28.4</v>
      </c>
      <c r="V381" s="621"/>
      <c r="W381" s="621"/>
      <c r="X381" s="621"/>
      <c r="Y381" s="622">
        <f t="shared" si="95"/>
        <v>-4.2000000000000028</v>
      </c>
      <c r="Z381" s="609">
        <f t="shared" si="106"/>
        <v>32.6</v>
      </c>
      <c r="AA381" s="620">
        <v>9</v>
      </c>
      <c r="AB381" s="620">
        <v>9.8000000000000007</v>
      </c>
      <c r="AC381" s="620">
        <v>9.1999999999999993</v>
      </c>
      <c r="AD381" s="611">
        <f t="shared" si="96"/>
        <v>28</v>
      </c>
      <c r="AE381" s="621"/>
      <c r="AF381" s="621"/>
      <c r="AG381" s="621"/>
      <c r="AH381" s="622">
        <f t="shared" si="97"/>
        <v>-4.6000000000000014</v>
      </c>
      <c r="AI381" s="609">
        <f t="shared" si="107"/>
        <v>45.8</v>
      </c>
      <c r="AJ381" s="620">
        <v>15</v>
      </c>
      <c r="AK381" s="620">
        <v>9.1999999999999993</v>
      </c>
      <c r="AL381" s="620">
        <v>8.4</v>
      </c>
      <c r="AM381" s="623">
        <f t="shared" si="98"/>
        <v>32.6</v>
      </c>
      <c r="AN381" s="621"/>
      <c r="AO381" s="621"/>
      <c r="AP381" s="621"/>
      <c r="AQ381" s="622">
        <f t="shared" si="99"/>
        <v>-13.199999999999996</v>
      </c>
      <c r="AR381" s="615">
        <f t="shared" si="108"/>
        <v>20</v>
      </c>
      <c r="AS381" s="620">
        <v>12.8</v>
      </c>
      <c r="AT381" s="620">
        <v>22</v>
      </c>
      <c r="AU381" s="620">
        <v>11</v>
      </c>
      <c r="AV381" s="623">
        <f t="shared" si="100"/>
        <v>45.8</v>
      </c>
      <c r="AW381" s="621">
        <v>3.29</v>
      </c>
      <c r="AX381" s="621">
        <v>3.06</v>
      </c>
      <c r="AY381" s="621">
        <v>90</v>
      </c>
      <c r="AZ381" s="624">
        <f t="shared" si="101"/>
        <v>25.799999999999997</v>
      </c>
      <c r="BA381" s="623">
        <v>20</v>
      </c>
      <c r="BB381" s="620">
        <v>8.6</v>
      </c>
      <c r="BC381" s="620">
        <v>8.9</v>
      </c>
      <c r="BD381" s="623">
        <f t="shared" si="102"/>
        <v>17.5</v>
      </c>
      <c r="BE381" s="621"/>
      <c r="BF381" s="621"/>
      <c r="BG381" s="621"/>
      <c r="BH381" s="621">
        <f t="shared" si="103"/>
        <v>2.5</v>
      </c>
    </row>
    <row r="382" spans="1:60" ht="17.25" thickTop="1" thickBot="1" x14ac:dyDescent="0.3">
      <c r="A382" s="602">
        <v>375</v>
      </c>
      <c r="B382" s="603">
        <f t="shared" ca="1" si="91"/>
        <v>43134</v>
      </c>
      <c r="C382" s="29" t="s">
        <v>614</v>
      </c>
      <c r="D382" s="59" t="s">
        <v>2898</v>
      </c>
      <c r="E382" s="22" t="s">
        <v>786</v>
      </c>
      <c r="F382" s="27" t="s">
        <v>787</v>
      </c>
      <c r="G382" s="567">
        <v>42872</v>
      </c>
      <c r="H382" s="609">
        <f t="shared" si="104"/>
        <v>29.5</v>
      </c>
      <c r="I382" s="620">
        <v>7</v>
      </c>
      <c r="J382" s="620">
        <v>8.4</v>
      </c>
      <c r="K382" s="620">
        <v>6.8</v>
      </c>
      <c r="L382" s="611">
        <f t="shared" si="92"/>
        <v>22.2</v>
      </c>
      <c r="M382" s="621"/>
      <c r="N382" s="621"/>
      <c r="O382" s="621"/>
      <c r="P382" s="622">
        <f t="shared" si="93"/>
        <v>-7.3000000000000007</v>
      </c>
      <c r="Q382" s="609">
        <f t="shared" si="105"/>
        <v>24</v>
      </c>
      <c r="R382" s="620">
        <v>10</v>
      </c>
      <c r="S382" s="620">
        <v>7.5</v>
      </c>
      <c r="T382" s="620">
        <v>12</v>
      </c>
      <c r="U382" s="611">
        <f t="shared" si="94"/>
        <v>29.5</v>
      </c>
      <c r="V382" s="621"/>
      <c r="W382" s="621"/>
      <c r="X382" s="621"/>
      <c r="Y382" s="622">
        <f t="shared" si="95"/>
        <v>5.5</v>
      </c>
      <c r="Z382" s="609">
        <f t="shared" si="106"/>
        <v>24</v>
      </c>
      <c r="AA382" s="620">
        <v>14</v>
      </c>
      <c r="AB382" s="620">
        <v>9</v>
      </c>
      <c r="AC382" s="620">
        <v>10</v>
      </c>
      <c r="AD382" s="611">
        <f t="shared" si="96"/>
        <v>33</v>
      </c>
      <c r="AE382" s="621"/>
      <c r="AF382" s="621"/>
      <c r="AG382" s="621"/>
      <c r="AH382" s="622">
        <f t="shared" si="97"/>
        <v>9</v>
      </c>
      <c r="AI382" s="609">
        <f t="shared" si="107"/>
        <v>32.6</v>
      </c>
      <c r="AJ382" s="620">
        <v>6</v>
      </c>
      <c r="AK382" s="620">
        <v>11</v>
      </c>
      <c r="AL382" s="620">
        <v>7</v>
      </c>
      <c r="AM382" s="623">
        <f t="shared" si="98"/>
        <v>24</v>
      </c>
      <c r="AN382" s="621"/>
      <c r="AO382" s="621"/>
      <c r="AP382" s="621"/>
      <c r="AQ382" s="622">
        <f t="shared" si="99"/>
        <v>-8.6000000000000014</v>
      </c>
      <c r="AR382" s="615">
        <f t="shared" si="108"/>
        <v>18.399999999999999</v>
      </c>
      <c r="AS382" s="620">
        <v>10.6</v>
      </c>
      <c r="AT382" s="620">
        <v>8</v>
      </c>
      <c r="AU382" s="620">
        <v>14</v>
      </c>
      <c r="AV382" s="623">
        <f t="shared" si="100"/>
        <v>32.6</v>
      </c>
      <c r="AW382" s="621">
        <v>2.97</v>
      </c>
      <c r="AX382" s="621">
        <v>2.97</v>
      </c>
      <c r="AY382" s="621">
        <v>90</v>
      </c>
      <c r="AZ382" s="624">
        <f t="shared" si="101"/>
        <v>14.200000000000003</v>
      </c>
      <c r="BA382" s="623">
        <v>18.399999999999999</v>
      </c>
      <c r="BB382" s="620">
        <v>8.3000000000000007</v>
      </c>
      <c r="BC382" s="620">
        <v>7.5</v>
      </c>
      <c r="BD382" s="623">
        <f t="shared" si="102"/>
        <v>15.8</v>
      </c>
      <c r="BE382" s="621"/>
      <c r="BF382" s="621"/>
      <c r="BG382" s="621"/>
      <c r="BH382" s="621">
        <f t="shared" si="103"/>
        <v>2.5999999999999979</v>
      </c>
    </row>
    <row r="383" spans="1:60" ht="17.25" thickTop="1" thickBot="1" x14ac:dyDescent="0.3">
      <c r="A383" s="77">
        <v>376</v>
      </c>
      <c r="B383" s="603">
        <f t="shared" ca="1" si="91"/>
        <v>43134</v>
      </c>
      <c r="C383" s="29" t="s">
        <v>614</v>
      </c>
      <c r="D383" s="59" t="s">
        <v>2898</v>
      </c>
      <c r="E383" s="22" t="s">
        <v>784</v>
      </c>
      <c r="F383" s="239" t="s">
        <v>785</v>
      </c>
      <c r="G383" s="567">
        <v>42854</v>
      </c>
      <c r="H383" s="609">
        <f t="shared" si="104"/>
        <v>26.2</v>
      </c>
      <c r="I383" s="620">
        <v>12</v>
      </c>
      <c r="J383" s="620"/>
      <c r="K383" s="620">
        <v>8.3000000000000007</v>
      </c>
      <c r="L383" s="611">
        <f t="shared" si="92"/>
        <v>20.3</v>
      </c>
      <c r="M383" s="621"/>
      <c r="N383" s="621"/>
      <c r="O383" s="621"/>
      <c r="P383" s="622">
        <f t="shared" si="93"/>
        <v>-5.8999999999999986</v>
      </c>
      <c r="Q383" s="609">
        <f t="shared" si="105"/>
        <v>30</v>
      </c>
      <c r="R383" s="620">
        <v>15</v>
      </c>
      <c r="S383" s="620"/>
      <c r="T383" s="620">
        <v>11.2</v>
      </c>
      <c r="U383" s="611">
        <f t="shared" si="94"/>
        <v>26.2</v>
      </c>
      <c r="V383" s="621"/>
      <c r="W383" s="621"/>
      <c r="X383" s="621"/>
      <c r="Y383" s="622">
        <f t="shared" si="95"/>
        <v>-3.8000000000000007</v>
      </c>
      <c r="Z383" s="609">
        <f t="shared" si="106"/>
        <v>30</v>
      </c>
      <c r="AA383" s="620">
        <v>5.5</v>
      </c>
      <c r="AB383" s="620">
        <v>4.5</v>
      </c>
      <c r="AC383" s="620">
        <v>8</v>
      </c>
      <c r="AD383" s="611">
        <f t="shared" si="96"/>
        <v>18</v>
      </c>
      <c r="AE383" s="621"/>
      <c r="AF383" s="621"/>
      <c r="AG383" s="621"/>
      <c r="AH383" s="622">
        <f t="shared" si="97"/>
        <v>-12</v>
      </c>
      <c r="AI383" s="609">
        <f t="shared" si="107"/>
        <v>38.4</v>
      </c>
      <c r="AJ383" s="620">
        <v>12</v>
      </c>
      <c r="AK383" s="620">
        <v>8</v>
      </c>
      <c r="AL383" s="620">
        <v>10</v>
      </c>
      <c r="AM383" s="623">
        <f t="shared" si="98"/>
        <v>30</v>
      </c>
      <c r="AN383" s="621"/>
      <c r="AO383" s="621"/>
      <c r="AP383" s="621"/>
      <c r="AQ383" s="622">
        <f t="shared" si="99"/>
        <v>-8.3999999999999986</v>
      </c>
      <c r="AR383" s="615">
        <f t="shared" si="108"/>
        <v>26.8</v>
      </c>
      <c r="AS383" s="620">
        <v>11</v>
      </c>
      <c r="AT383" s="620">
        <v>17</v>
      </c>
      <c r="AU383" s="620">
        <v>10.4</v>
      </c>
      <c r="AV383" s="623">
        <f t="shared" si="100"/>
        <v>38.4</v>
      </c>
      <c r="AW383" s="621">
        <v>2.99</v>
      </c>
      <c r="AX383" s="621">
        <v>2.94</v>
      </c>
      <c r="AY383" s="621">
        <v>90</v>
      </c>
      <c r="AZ383" s="624">
        <f t="shared" si="101"/>
        <v>11.599999999999998</v>
      </c>
      <c r="BA383" s="623">
        <v>26.8</v>
      </c>
      <c r="BB383" s="620">
        <v>19</v>
      </c>
      <c r="BC383" s="620">
        <v>16</v>
      </c>
      <c r="BD383" s="623">
        <f t="shared" si="102"/>
        <v>35</v>
      </c>
      <c r="BE383" s="621"/>
      <c r="BF383" s="621"/>
      <c r="BG383" s="621"/>
      <c r="BH383" s="621">
        <f t="shared" si="103"/>
        <v>-8.1999999999999993</v>
      </c>
    </row>
    <row r="384" spans="1:60" ht="17.25" thickTop="1" thickBot="1" x14ac:dyDescent="0.3">
      <c r="A384" s="602">
        <v>377</v>
      </c>
      <c r="B384" s="603">
        <f t="shared" ca="1" si="91"/>
        <v>43134</v>
      </c>
      <c r="C384" s="29" t="s">
        <v>614</v>
      </c>
      <c r="D384" s="59" t="s">
        <v>2898</v>
      </c>
      <c r="E384" s="22" t="s">
        <v>266</v>
      </c>
      <c r="F384" s="239" t="s">
        <v>267</v>
      </c>
      <c r="G384" s="567">
        <v>42852</v>
      </c>
      <c r="H384" s="609">
        <f t="shared" si="104"/>
        <v>19.600000000000001</v>
      </c>
      <c r="I384" s="620">
        <v>11</v>
      </c>
      <c r="J384" s="620"/>
      <c r="K384" s="620">
        <v>8</v>
      </c>
      <c r="L384" s="611">
        <f t="shared" si="92"/>
        <v>19</v>
      </c>
      <c r="M384" s="621"/>
      <c r="N384" s="621"/>
      <c r="O384" s="621"/>
      <c r="P384" s="622">
        <f t="shared" si="93"/>
        <v>-0.60000000000000142</v>
      </c>
      <c r="Q384" s="609">
        <f t="shared" si="105"/>
        <v>37.700000000000003</v>
      </c>
      <c r="R384" s="620">
        <v>9.1999999999999993</v>
      </c>
      <c r="S384" s="620"/>
      <c r="T384" s="620">
        <v>10.4</v>
      </c>
      <c r="U384" s="611">
        <f t="shared" si="94"/>
        <v>19.600000000000001</v>
      </c>
      <c r="V384" s="621"/>
      <c r="W384" s="621"/>
      <c r="X384" s="621"/>
      <c r="Y384" s="622">
        <f t="shared" si="95"/>
        <v>-18.100000000000001</v>
      </c>
      <c r="Z384" s="609">
        <f t="shared" si="106"/>
        <v>37.700000000000003</v>
      </c>
      <c r="AA384" s="620">
        <v>7</v>
      </c>
      <c r="AB384" s="620">
        <v>8</v>
      </c>
      <c r="AC384" s="620">
        <v>6</v>
      </c>
      <c r="AD384" s="611">
        <f t="shared" si="96"/>
        <v>21</v>
      </c>
      <c r="AE384" s="621"/>
      <c r="AF384" s="621"/>
      <c r="AG384" s="621"/>
      <c r="AH384" s="622">
        <f t="shared" si="97"/>
        <v>-16.700000000000003</v>
      </c>
      <c r="AI384" s="609">
        <f t="shared" si="107"/>
        <v>34.4</v>
      </c>
      <c r="AJ384" s="620">
        <v>12.5</v>
      </c>
      <c r="AK384" s="620">
        <v>13.2</v>
      </c>
      <c r="AL384" s="620">
        <v>12</v>
      </c>
      <c r="AM384" s="623">
        <f t="shared" si="98"/>
        <v>37.700000000000003</v>
      </c>
      <c r="AN384" s="621"/>
      <c r="AO384" s="621"/>
      <c r="AP384" s="621"/>
      <c r="AQ384" s="622">
        <f t="shared" si="99"/>
        <v>3.3000000000000043</v>
      </c>
      <c r="AR384" s="615">
        <f t="shared" si="108"/>
        <v>32.5</v>
      </c>
      <c r="AS384" s="620">
        <v>11</v>
      </c>
      <c r="AT384" s="620">
        <v>12.2</v>
      </c>
      <c r="AU384" s="620">
        <v>11.2</v>
      </c>
      <c r="AV384" s="623">
        <f t="shared" si="100"/>
        <v>34.4</v>
      </c>
      <c r="AW384" s="621">
        <v>3.72</v>
      </c>
      <c r="AX384" s="621">
        <v>2.98</v>
      </c>
      <c r="AY384" s="621">
        <v>90</v>
      </c>
      <c r="AZ384" s="624">
        <f t="shared" si="101"/>
        <v>1.8999999999999986</v>
      </c>
      <c r="BA384" s="623">
        <v>32.5</v>
      </c>
      <c r="BB384" s="620">
        <v>20</v>
      </c>
      <c r="BC384" s="620">
        <v>17</v>
      </c>
      <c r="BD384" s="623">
        <f t="shared" si="102"/>
        <v>37</v>
      </c>
      <c r="BE384" s="621"/>
      <c r="BF384" s="621"/>
      <c r="BG384" s="621"/>
      <c r="BH384" s="621">
        <f t="shared" si="103"/>
        <v>-4.5</v>
      </c>
    </row>
    <row r="385" spans="1:60" ht="17.25" thickTop="1" thickBot="1" x14ac:dyDescent="0.3">
      <c r="A385" s="77">
        <v>378</v>
      </c>
      <c r="B385" s="603">
        <f t="shared" ca="1" si="91"/>
        <v>43134</v>
      </c>
      <c r="C385" s="29" t="s">
        <v>614</v>
      </c>
      <c r="D385" s="59" t="s">
        <v>2898</v>
      </c>
      <c r="E385" s="22" t="s">
        <v>402</v>
      </c>
      <c r="F385" s="239" t="s">
        <v>403</v>
      </c>
      <c r="G385" s="567">
        <v>42790</v>
      </c>
      <c r="H385" s="609">
        <f t="shared" si="104"/>
        <v>27.799999999999997</v>
      </c>
      <c r="I385" s="620">
        <v>7.8</v>
      </c>
      <c r="J385" s="620">
        <v>7.6</v>
      </c>
      <c r="K385" s="620">
        <v>6.4</v>
      </c>
      <c r="L385" s="611">
        <f t="shared" si="92"/>
        <v>21.799999999999997</v>
      </c>
      <c r="M385" s="621"/>
      <c r="N385" s="621"/>
      <c r="O385" s="621"/>
      <c r="P385" s="622">
        <f t="shared" si="93"/>
        <v>-6</v>
      </c>
      <c r="Q385" s="609">
        <f t="shared" si="105"/>
        <v>32.6</v>
      </c>
      <c r="R385" s="620">
        <v>10</v>
      </c>
      <c r="S385" s="620">
        <v>9.4</v>
      </c>
      <c r="T385" s="620">
        <v>8.4</v>
      </c>
      <c r="U385" s="611">
        <f t="shared" si="94"/>
        <v>27.799999999999997</v>
      </c>
      <c r="V385" s="621"/>
      <c r="W385" s="621"/>
      <c r="X385" s="621"/>
      <c r="Y385" s="622">
        <f t="shared" si="95"/>
        <v>-4.8000000000000043</v>
      </c>
      <c r="Z385" s="609">
        <f t="shared" si="106"/>
        <v>32.6</v>
      </c>
      <c r="AA385" s="620">
        <v>12</v>
      </c>
      <c r="AB385" s="620">
        <v>15</v>
      </c>
      <c r="AC385" s="620">
        <v>7</v>
      </c>
      <c r="AD385" s="611">
        <f t="shared" si="96"/>
        <v>34</v>
      </c>
      <c r="AE385" s="621"/>
      <c r="AF385" s="621"/>
      <c r="AG385" s="621"/>
      <c r="AH385" s="622">
        <f t="shared" si="97"/>
        <v>1.3999999999999986</v>
      </c>
      <c r="AI385" s="609">
        <f t="shared" si="107"/>
        <v>36.799999999999997</v>
      </c>
      <c r="AJ385" s="620">
        <v>9.6</v>
      </c>
      <c r="AK385" s="620">
        <v>12</v>
      </c>
      <c r="AL385" s="620">
        <v>11</v>
      </c>
      <c r="AM385" s="623">
        <f t="shared" si="98"/>
        <v>32.6</v>
      </c>
      <c r="AN385" s="621"/>
      <c r="AO385" s="621"/>
      <c r="AP385" s="621"/>
      <c r="AQ385" s="622">
        <f t="shared" si="99"/>
        <v>-4.1999999999999957</v>
      </c>
      <c r="AR385" s="615">
        <f t="shared" si="108"/>
        <v>35</v>
      </c>
      <c r="AS385" s="620">
        <v>11</v>
      </c>
      <c r="AT385" s="620">
        <v>14.2</v>
      </c>
      <c r="AU385" s="620">
        <v>11.6</v>
      </c>
      <c r="AV385" s="623">
        <f t="shared" si="100"/>
        <v>36.799999999999997</v>
      </c>
      <c r="AW385" s="621">
        <v>3.92</v>
      </c>
      <c r="AX385" s="621">
        <v>3.29</v>
      </c>
      <c r="AY385" s="621">
        <v>90</v>
      </c>
      <c r="AZ385" s="624">
        <f t="shared" si="101"/>
        <v>1.7999999999999972</v>
      </c>
      <c r="BA385" s="623">
        <v>35</v>
      </c>
      <c r="BB385" s="620">
        <v>18.899999999999999</v>
      </c>
      <c r="BC385" s="620">
        <v>18.8</v>
      </c>
      <c r="BD385" s="623">
        <f t="shared" si="102"/>
        <v>37.700000000000003</v>
      </c>
      <c r="BE385" s="621"/>
      <c r="BF385" s="621"/>
      <c r="BG385" s="621"/>
      <c r="BH385" s="621">
        <f t="shared" si="103"/>
        <v>-2.7000000000000028</v>
      </c>
    </row>
    <row r="386" spans="1:60" ht="17.25" thickTop="1" thickBot="1" x14ac:dyDescent="0.3">
      <c r="A386" s="602">
        <v>379</v>
      </c>
      <c r="B386" s="603">
        <f t="shared" ca="1" si="91"/>
        <v>43134</v>
      </c>
      <c r="C386" s="29" t="s">
        <v>614</v>
      </c>
      <c r="D386" s="59" t="s">
        <v>2898</v>
      </c>
      <c r="E386" s="22" t="s">
        <v>407</v>
      </c>
      <c r="F386" s="27" t="s">
        <v>408</v>
      </c>
      <c r="G386" s="567">
        <v>42869</v>
      </c>
      <c r="H386" s="609">
        <f t="shared" si="104"/>
        <v>21.9</v>
      </c>
      <c r="I386" s="620">
        <v>10</v>
      </c>
      <c r="J386" s="620">
        <v>6</v>
      </c>
      <c r="K386" s="620">
        <v>7.2</v>
      </c>
      <c r="L386" s="611">
        <f t="shared" si="92"/>
        <v>23.2</v>
      </c>
      <c r="M386" s="621"/>
      <c r="N386" s="621"/>
      <c r="O386" s="621"/>
      <c r="P386" s="622">
        <f t="shared" si="93"/>
        <v>1.3000000000000007</v>
      </c>
      <c r="Q386" s="609">
        <f t="shared" si="105"/>
        <v>32</v>
      </c>
      <c r="R386" s="620">
        <v>7.4</v>
      </c>
      <c r="S386" s="620">
        <v>7.5</v>
      </c>
      <c r="T386" s="620">
        <v>7</v>
      </c>
      <c r="U386" s="611">
        <f t="shared" si="94"/>
        <v>21.9</v>
      </c>
      <c r="V386" s="621"/>
      <c r="W386" s="621"/>
      <c r="X386" s="621"/>
      <c r="Y386" s="622">
        <f t="shared" si="95"/>
        <v>-10.100000000000001</v>
      </c>
      <c r="Z386" s="609">
        <f t="shared" si="106"/>
        <v>32</v>
      </c>
      <c r="AA386" s="620">
        <v>10.5</v>
      </c>
      <c r="AB386" s="620">
        <v>10</v>
      </c>
      <c r="AC386" s="620">
        <v>6</v>
      </c>
      <c r="AD386" s="611">
        <f t="shared" si="96"/>
        <v>26.5</v>
      </c>
      <c r="AE386" s="621"/>
      <c r="AF386" s="621"/>
      <c r="AG386" s="621"/>
      <c r="AH386" s="622">
        <f t="shared" si="97"/>
        <v>-5.5</v>
      </c>
      <c r="AI386" s="609">
        <f t="shared" si="107"/>
        <v>33.4</v>
      </c>
      <c r="AJ386" s="620">
        <v>11.6</v>
      </c>
      <c r="AK386" s="620">
        <v>9.8000000000000007</v>
      </c>
      <c r="AL386" s="620">
        <v>10.6</v>
      </c>
      <c r="AM386" s="623">
        <f t="shared" si="98"/>
        <v>32</v>
      </c>
      <c r="AN386" s="621"/>
      <c r="AO386" s="621"/>
      <c r="AP386" s="621"/>
      <c r="AQ386" s="622">
        <f t="shared" si="99"/>
        <v>-1.3999999999999986</v>
      </c>
      <c r="AR386" s="615">
        <f t="shared" si="108"/>
        <v>16.8</v>
      </c>
      <c r="AS386" s="620">
        <v>13</v>
      </c>
      <c r="AT386" s="620">
        <v>10.4</v>
      </c>
      <c r="AU386" s="620">
        <v>10</v>
      </c>
      <c r="AV386" s="623">
        <f t="shared" si="100"/>
        <v>33.4</v>
      </c>
      <c r="AW386" s="621">
        <v>3.51</v>
      </c>
      <c r="AX386" s="621">
        <v>3.1</v>
      </c>
      <c r="AY386" s="621">
        <v>90</v>
      </c>
      <c r="AZ386" s="624">
        <f t="shared" si="101"/>
        <v>16.599999999999998</v>
      </c>
      <c r="BA386" s="623">
        <v>16.8</v>
      </c>
      <c r="BB386" s="620">
        <v>9</v>
      </c>
      <c r="BC386" s="620">
        <v>7.1</v>
      </c>
      <c r="BD386" s="623">
        <f t="shared" si="102"/>
        <v>16.100000000000001</v>
      </c>
      <c r="BE386" s="621"/>
      <c r="BF386" s="621"/>
      <c r="BG386" s="621"/>
      <c r="BH386" s="621">
        <f t="shared" si="103"/>
        <v>0.69999999999999929</v>
      </c>
    </row>
    <row r="387" spans="1:60" ht="17.25" thickTop="1" thickBot="1" x14ac:dyDescent="0.3">
      <c r="A387" s="77">
        <v>380</v>
      </c>
      <c r="B387" s="603">
        <f t="shared" ca="1" si="91"/>
        <v>43134</v>
      </c>
      <c r="C387" s="29" t="s">
        <v>614</v>
      </c>
      <c r="D387" s="59" t="s">
        <v>2898</v>
      </c>
      <c r="E387" s="22" t="s">
        <v>409</v>
      </c>
      <c r="F387" s="239" t="s">
        <v>410</v>
      </c>
      <c r="G387" s="567">
        <v>42856</v>
      </c>
      <c r="H387" s="609">
        <f t="shared" si="104"/>
        <v>24</v>
      </c>
      <c r="I387" s="620">
        <v>4.8</v>
      </c>
      <c r="J387" s="620">
        <v>7.4</v>
      </c>
      <c r="K387" s="620">
        <v>9</v>
      </c>
      <c r="L387" s="611">
        <f t="shared" si="92"/>
        <v>21.2</v>
      </c>
      <c r="M387" s="621"/>
      <c r="N387" s="621"/>
      <c r="O387" s="621"/>
      <c r="P387" s="622">
        <f t="shared" si="93"/>
        <v>-2.8000000000000007</v>
      </c>
      <c r="Q387" s="609">
        <f t="shared" si="105"/>
        <v>29.4</v>
      </c>
      <c r="R387" s="620">
        <v>7</v>
      </c>
      <c r="S387" s="620">
        <v>8</v>
      </c>
      <c r="T387" s="620">
        <v>9</v>
      </c>
      <c r="U387" s="611">
        <f t="shared" si="94"/>
        <v>24</v>
      </c>
      <c r="V387" s="621"/>
      <c r="W387" s="621"/>
      <c r="X387" s="621"/>
      <c r="Y387" s="622">
        <f t="shared" si="95"/>
        <v>-5.3999999999999986</v>
      </c>
      <c r="Z387" s="609">
        <f t="shared" si="106"/>
        <v>29.4</v>
      </c>
      <c r="AA387" s="620">
        <v>8.5</v>
      </c>
      <c r="AB387" s="620">
        <v>11.5</v>
      </c>
      <c r="AC387" s="620">
        <v>7</v>
      </c>
      <c r="AD387" s="611">
        <f t="shared" si="96"/>
        <v>27</v>
      </c>
      <c r="AE387" s="621"/>
      <c r="AF387" s="621"/>
      <c r="AG387" s="621"/>
      <c r="AH387" s="622">
        <f t="shared" si="97"/>
        <v>-2.3999999999999986</v>
      </c>
      <c r="AI387" s="609">
        <f t="shared" si="107"/>
        <v>35.200000000000003</v>
      </c>
      <c r="AJ387" s="620">
        <v>12</v>
      </c>
      <c r="AK387" s="620">
        <v>5.4</v>
      </c>
      <c r="AL387" s="620">
        <v>12</v>
      </c>
      <c r="AM387" s="623">
        <f t="shared" si="98"/>
        <v>29.4</v>
      </c>
      <c r="AN387" s="621"/>
      <c r="AO387" s="621"/>
      <c r="AP387" s="621"/>
      <c r="AQ387" s="622">
        <f t="shared" si="99"/>
        <v>-5.8000000000000043</v>
      </c>
      <c r="AR387" s="615">
        <f t="shared" si="108"/>
        <v>28.5</v>
      </c>
      <c r="AS387" s="620">
        <v>9.1999999999999993</v>
      </c>
      <c r="AT387" s="620">
        <v>13</v>
      </c>
      <c r="AU387" s="620">
        <v>13</v>
      </c>
      <c r="AV387" s="623">
        <f t="shared" si="100"/>
        <v>35.200000000000003</v>
      </c>
      <c r="AW387" s="621">
        <v>2.86</v>
      </c>
      <c r="AX387" s="621">
        <v>2.86</v>
      </c>
      <c r="AY387" s="621">
        <v>90</v>
      </c>
      <c r="AZ387" s="624">
        <f t="shared" si="101"/>
        <v>6.7000000000000028</v>
      </c>
      <c r="BA387" s="623">
        <v>28.5</v>
      </c>
      <c r="BB387" s="620">
        <v>18</v>
      </c>
      <c r="BC387" s="620">
        <v>14.8</v>
      </c>
      <c r="BD387" s="623">
        <f t="shared" si="102"/>
        <v>32.799999999999997</v>
      </c>
      <c r="BE387" s="621"/>
      <c r="BF387" s="621"/>
      <c r="BG387" s="621"/>
      <c r="BH387" s="621">
        <f t="shared" si="103"/>
        <v>-4.2999999999999972</v>
      </c>
    </row>
    <row r="388" spans="1:60" ht="17.25" thickTop="1" thickBot="1" x14ac:dyDescent="0.3">
      <c r="A388" s="602">
        <v>381</v>
      </c>
      <c r="B388" s="603">
        <f t="shared" ca="1" si="91"/>
        <v>43134</v>
      </c>
      <c r="C388" s="29" t="s">
        <v>614</v>
      </c>
      <c r="D388" s="59" t="s">
        <v>2898</v>
      </c>
      <c r="E388" s="22" t="s">
        <v>1358</v>
      </c>
      <c r="F388" s="239" t="s">
        <v>1242</v>
      </c>
      <c r="G388" s="567">
        <v>42866</v>
      </c>
      <c r="H388" s="609">
        <f t="shared" si="104"/>
        <v>30.5</v>
      </c>
      <c r="I388" s="620">
        <v>11</v>
      </c>
      <c r="J388" s="620">
        <v>8.6</v>
      </c>
      <c r="K388" s="620">
        <v>8.1999999999999993</v>
      </c>
      <c r="L388" s="611">
        <f t="shared" si="92"/>
        <v>27.8</v>
      </c>
      <c r="M388" s="621"/>
      <c r="N388" s="621"/>
      <c r="O388" s="621"/>
      <c r="P388" s="622">
        <f t="shared" si="93"/>
        <v>-2.6999999999999993</v>
      </c>
      <c r="Q388" s="609">
        <f t="shared" si="105"/>
        <v>43</v>
      </c>
      <c r="R388" s="620">
        <v>12</v>
      </c>
      <c r="S388" s="620">
        <v>9.5</v>
      </c>
      <c r="T388" s="620">
        <v>9</v>
      </c>
      <c r="U388" s="611">
        <f t="shared" si="94"/>
        <v>30.5</v>
      </c>
      <c r="V388" s="621"/>
      <c r="W388" s="621"/>
      <c r="X388" s="621"/>
      <c r="Y388" s="622">
        <f t="shared" si="95"/>
        <v>-12.5</v>
      </c>
      <c r="Z388" s="609">
        <f t="shared" si="106"/>
        <v>43</v>
      </c>
      <c r="AA388" s="620">
        <v>12</v>
      </c>
      <c r="AB388" s="620">
        <v>11</v>
      </c>
      <c r="AC388" s="620">
        <v>10</v>
      </c>
      <c r="AD388" s="611">
        <f t="shared" si="96"/>
        <v>33</v>
      </c>
      <c r="AE388" s="621"/>
      <c r="AF388" s="621"/>
      <c r="AG388" s="621"/>
      <c r="AH388" s="622">
        <f t="shared" si="97"/>
        <v>-10</v>
      </c>
      <c r="AI388" s="609">
        <f t="shared" si="107"/>
        <v>39.200000000000003</v>
      </c>
      <c r="AJ388" s="620">
        <v>14</v>
      </c>
      <c r="AK388" s="620">
        <v>14</v>
      </c>
      <c r="AL388" s="620">
        <v>15</v>
      </c>
      <c r="AM388" s="623">
        <f t="shared" si="98"/>
        <v>43</v>
      </c>
      <c r="AN388" s="621"/>
      <c r="AO388" s="621"/>
      <c r="AP388" s="621"/>
      <c r="AQ388" s="622">
        <f t="shared" si="99"/>
        <v>3.7999999999999972</v>
      </c>
      <c r="AR388" s="615">
        <f t="shared" si="108"/>
        <v>21.2</v>
      </c>
      <c r="AS388" s="620">
        <v>14</v>
      </c>
      <c r="AT388" s="620">
        <v>12.2</v>
      </c>
      <c r="AU388" s="620">
        <v>13</v>
      </c>
      <c r="AV388" s="623">
        <f t="shared" si="100"/>
        <v>39.200000000000003</v>
      </c>
      <c r="AW388" s="621">
        <v>2.79</v>
      </c>
      <c r="AX388" s="621">
        <v>2.98</v>
      </c>
      <c r="AY388" s="621">
        <v>90</v>
      </c>
      <c r="AZ388" s="624">
        <f t="shared" si="101"/>
        <v>18.000000000000004</v>
      </c>
      <c r="BA388" s="623">
        <v>21.2</v>
      </c>
      <c r="BB388" s="620">
        <v>11.8</v>
      </c>
      <c r="BC388" s="620">
        <v>11.7</v>
      </c>
      <c r="BD388" s="623">
        <f t="shared" si="102"/>
        <v>23.5</v>
      </c>
      <c r="BE388" s="621"/>
      <c r="BF388" s="621"/>
      <c r="BG388" s="621"/>
      <c r="BH388" s="621">
        <f t="shared" si="103"/>
        <v>-2.3000000000000007</v>
      </c>
    </row>
    <row r="389" spans="1:60" ht="17.25" thickTop="1" thickBot="1" x14ac:dyDescent="0.3">
      <c r="A389" s="77">
        <v>382</v>
      </c>
      <c r="B389" s="603">
        <f t="shared" ca="1" si="91"/>
        <v>43134</v>
      </c>
      <c r="C389" s="29" t="s">
        <v>614</v>
      </c>
      <c r="D389" s="59" t="s">
        <v>2898</v>
      </c>
      <c r="E389" s="22" t="s">
        <v>417</v>
      </c>
      <c r="F389" s="239" t="s">
        <v>418</v>
      </c>
      <c r="G389" s="567">
        <v>42745</v>
      </c>
      <c r="H389" s="609">
        <f t="shared" si="104"/>
        <v>15.4</v>
      </c>
      <c r="I389" s="620"/>
      <c r="J389" s="620"/>
      <c r="K389" s="620"/>
      <c r="L389" s="611">
        <f t="shared" si="92"/>
        <v>0</v>
      </c>
      <c r="M389" s="621"/>
      <c r="N389" s="621"/>
      <c r="O389" s="621"/>
      <c r="P389" s="622">
        <f t="shared" si="93"/>
        <v>-15.4</v>
      </c>
      <c r="Q389" s="609">
        <f t="shared" si="105"/>
        <v>20.399999999999999</v>
      </c>
      <c r="R389" s="620">
        <v>3.2</v>
      </c>
      <c r="S389" s="620">
        <v>6.2</v>
      </c>
      <c r="T389" s="620">
        <v>6</v>
      </c>
      <c r="U389" s="611">
        <f t="shared" si="94"/>
        <v>15.4</v>
      </c>
      <c r="V389" s="621"/>
      <c r="W389" s="621"/>
      <c r="X389" s="621"/>
      <c r="Y389" s="622">
        <f t="shared" si="95"/>
        <v>-4.9999999999999982</v>
      </c>
      <c r="Z389" s="609">
        <f t="shared" si="106"/>
        <v>20.399999999999999</v>
      </c>
      <c r="AA389" s="620">
        <v>12.3</v>
      </c>
      <c r="AB389" s="620"/>
      <c r="AC389" s="620">
        <v>11</v>
      </c>
      <c r="AD389" s="611">
        <f t="shared" si="96"/>
        <v>23.3</v>
      </c>
      <c r="AE389" s="621"/>
      <c r="AF389" s="621"/>
      <c r="AG389" s="621"/>
      <c r="AH389" s="622">
        <f t="shared" si="97"/>
        <v>2.9000000000000021</v>
      </c>
      <c r="AI389" s="609">
        <f t="shared" si="107"/>
        <v>27.8</v>
      </c>
      <c r="AJ389" s="620">
        <v>10</v>
      </c>
      <c r="AK389" s="620">
        <v>2.2000000000000002</v>
      </c>
      <c r="AL389" s="620">
        <v>8.1999999999999993</v>
      </c>
      <c r="AM389" s="623">
        <f t="shared" si="98"/>
        <v>20.399999999999999</v>
      </c>
      <c r="AN389" s="621"/>
      <c r="AO389" s="621"/>
      <c r="AP389" s="621"/>
      <c r="AQ389" s="622">
        <f t="shared" si="99"/>
        <v>-7.4000000000000021</v>
      </c>
      <c r="AR389" s="615">
        <f t="shared" si="108"/>
        <v>28</v>
      </c>
      <c r="AS389" s="620">
        <v>10.4</v>
      </c>
      <c r="AT389" s="620">
        <v>8.1999999999999993</v>
      </c>
      <c r="AU389" s="620">
        <v>9.1999999999999993</v>
      </c>
      <c r="AV389" s="623">
        <f t="shared" si="100"/>
        <v>27.8</v>
      </c>
      <c r="AW389" s="621">
        <v>3.81</v>
      </c>
      <c r="AX389" s="621">
        <v>3.24</v>
      </c>
      <c r="AY389" s="621">
        <v>90</v>
      </c>
      <c r="AZ389" s="624">
        <f t="shared" si="101"/>
        <v>-0.19999999999999929</v>
      </c>
      <c r="BA389" s="623">
        <v>28</v>
      </c>
      <c r="BB389" s="620">
        <v>14.8</v>
      </c>
      <c r="BC389" s="620">
        <v>13.2</v>
      </c>
      <c r="BD389" s="623">
        <f t="shared" si="102"/>
        <v>28</v>
      </c>
      <c r="BE389" s="621"/>
      <c r="BF389" s="621"/>
      <c r="BG389" s="621"/>
      <c r="BH389" s="621">
        <f t="shared" si="103"/>
        <v>0</v>
      </c>
    </row>
    <row r="390" spans="1:60" ht="17.25" thickTop="1" thickBot="1" x14ac:dyDescent="0.3">
      <c r="A390" s="602">
        <v>383</v>
      </c>
      <c r="B390" s="603">
        <f t="shared" ca="1" si="91"/>
        <v>43134</v>
      </c>
      <c r="C390" s="29" t="s">
        <v>614</v>
      </c>
      <c r="D390" s="59" t="s">
        <v>2898</v>
      </c>
      <c r="E390" s="22" t="s">
        <v>704</v>
      </c>
      <c r="F390" s="27" t="s">
        <v>705</v>
      </c>
      <c r="G390" s="567">
        <v>42864</v>
      </c>
      <c r="H390" s="609">
        <f t="shared" si="104"/>
        <v>27.6</v>
      </c>
      <c r="I390" s="620">
        <v>10.199999999999999</v>
      </c>
      <c r="J390" s="620">
        <v>7.3</v>
      </c>
      <c r="K390" s="620">
        <v>11</v>
      </c>
      <c r="L390" s="611">
        <f t="shared" si="92"/>
        <v>28.5</v>
      </c>
      <c r="M390" s="621"/>
      <c r="N390" s="621"/>
      <c r="O390" s="621"/>
      <c r="P390" s="622">
        <f t="shared" si="93"/>
        <v>0.89999999999999858</v>
      </c>
      <c r="Q390" s="609">
        <f t="shared" si="105"/>
        <v>32.200000000000003</v>
      </c>
      <c r="R390" s="620">
        <v>11.6</v>
      </c>
      <c r="S390" s="620">
        <v>8</v>
      </c>
      <c r="T390" s="620">
        <v>8</v>
      </c>
      <c r="U390" s="611">
        <f t="shared" si="94"/>
        <v>27.6</v>
      </c>
      <c r="V390" s="621"/>
      <c r="W390" s="621"/>
      <c r="X390" s="621"/>
      <c r="Y390" s="622">
        <f t="shared" si="95"/>
        <v>-4.6000000000000014</v>
      </c>
      <c r="Z390" s="609">
        <f t="shared" si="106"/>
        <v>32.200000000000003</v>
      </c>
      <c r="AA390" s="620">
        <v>14</v>
      </c>
      <c r="AB390" s="620">
        <v>9.1999999999999993</v>
      </c>
      <c r="AC390" s="620">
        <v>9</v>
      </c>
      <c r="AD390" s="611">
        <f t="shared" si="96"/>
        <v>32.200000000000003</v>
      </c>
      <c r="AE390" s="621"/>
      <c r="AF390" s="621"/>
      <c r="AG390" s="621"/>
      <c r="AH390" s="622">
        <f t="shared" si="97"/>
        <v>0</v>
      </c>
      <c r="AI390" s="609">
        <f t="shared" si="107"/>
        <v>37.799999999999997</v>
      </c>
      <c r="AJ390" s="620">
        <v>12</v>
      </c>
      <c r="AK390" s="620">
        <v>15.2</v>
      </c>
      <c r="AL390" s="620">
        <v>5</v>
      </c>
      <c r="AM390" s="623">
        <f t="shared" si="98"/>
        <v>32.200000000000003</v>
      </c>
      <c r="AN390" s="621"/>
      <c r="AO390" s="621"/>
      <c r="AP390" s="621"/>
      <c r="AQ390" s="622">
        <f t="shared" si="99"/>
        <v>-5.5999999999999943</v>
      </c>
      <c r="AR390" s="615">
        <f t="shared" si="108"/>
        <v>21.2</v>
      </c>
      <c r="AS390" s="620">
        <v>11</v>
      </c>
      <c r="AT390" s="620">
        <v>13.8</v>
      </c>
      <c r="AU390" s="620">
        <v>13</v>
      </c>
      <c r="AV390" s="623">
        <f t="shared" si="100"/>
        <v>37.799999999999997</v>
      </c>
      <c r="AW390" s="621">
        <v>3.19</v>
      </c>
      <c r="AX390" s="621">
        <v>2.89</v>
      </c>
      <c r="AY390" s="621">
        <v>90</v>
      </c>
      <c r="AZ390" s="624">
        <f t="shared" si="101"/>
        <v>16.599999999999998</v>
      </c>
      <c r="BA390" s="623">
        <v>21.2</v>
      </c>
      <c r="BB390" s="620">
        <v>10.4</v>
      </c>
      <c r="BC390" s="620">
        <v>10.1</v>
      </c>
      <c r="BD390" s="623">
        <f t="shared" si="102"/>
        <v>20.5</v>
      </c>
      <c r="BE390" s="621"/>
      <c r="BF390" s="621"/>
      <c r="BG390" s="621"/>
      <c r="BH390" s="621">
        <f t="shared" si="103"/>
        <v>0.69999999999999929</v>
      </c>
    </row>
    <row r="391" spans="1:60" ht="17.25" thickTop="1" thickBot="1" x14ac:dyDescent="0.3">
      <c r="A391" s="77">
        <v>384</v>
      </c>
      <c r="B391" s="603">
        <f t="shared" ca="1" si="91"/>
        <v>43134</v>
      </c>
      <c r="C391" s="29" t="s">
        <v>614</v>
      </c>
      <c r="D391" s="59" t="s">
        <v>2898</v>
      </c>
      <c r="E391" s="22" t="s">
        <v>114</v>
      </c>
      <c r="F391" s="239" t="s">
        <v>635</v>
      </c>
      <c r="G391" s="567">
        <v>42794</v>
      </c>
      <c r="H391" s="609">
        <f t="shared" si="104"/>
        <v>14</v>
      </c>
      <c r="I391" s="620">
        <v>5</v>
      </c>
      <c r="J391" s="620"/>
      <c r="K391" s="620">
        <v>4.4000000000000004</v>
      </c>
      <c r="L391" s="611">
        <f t="shared" si="92"/>
        <v>9.4</v>
      </c>
      <c r="M391" s="621"/>
      <c r="N391" s="621"/>
      <c r="O391" s="621"/>
      <c r="P391" s="622">
        <f t="shared" si="93"/>
        <v>-4.5999999999999996</v>
      </c>
      <c r="Q391" s="609">
        <f t="shared" si="105"/>
        <v>27</v>
      </c>
      <c r="R391" s="620">
        <v>9</v>
      </c>
      <c r="S391" s="620"/>
      <c r="T391" s="620">
        <v>5</v>
      </c>
      <c r="U391" s="611">
        <f t="shared" si="94"/>
        <v>14</v>
      </c>
      <c r="V391" s="621"/>
      <c r="W391" s="621"/>
      <c r="X391" s="621"/>
      <c r="Y391" s="622">
        <f t="shared" si="95"/>
        <v>-13</v>
      </c>
      <c r="Z391" s="609">
        <f t="shared" si="106"/>
        <v>27</v>
      </c>
      <c r="AA391" s="620">
        <v>9</v>
      </c>
      <c r="AB391" s="620">
        <v>9</v>
      </c>
      <c r="AC391" s="620">
        <v>8.3000000000000007</v>
      </c>
      <c r="AD391" s="611">
        <f t="shared" si="96"/>
        <v>26.3</v>
      </c>
      <c r="AE391" s="621"/>
      <c r="AF391" s="621"/>
      <c r="AG391" s="621"/>
      <c r="AH391" s="622">
        <f t="shared" si="97"/>
        <v>-0.69999999999999929</v>
      </c>
      <c r="AI391" s="609">
        <f t="shared" si="107"/>
        <v>33.200000000000003</v>
      </c>
      <c r="AJ391" s="620">
        <v>11</v>
      </c>
      <c r="AK391" s="620">
        <v>8</v>
      </c>
      <c r="AL391" s="620">
        <v>8</v>
      </c>
      <c r="AM391" s="623">
        <f t="shared" si="98"/>
        <v>27</v>
      </c>
      <c r="AN391" s="621"/>
      <c r="AO391" s="621"/>
      <c r="AP391" s="621"/>
      <c r="AQ391" s="622">
        <f t="shared" si="99"/>
        <v>-6.2000000000000028</v>
      </c>
      <c r="AR391" s="615">
        <f t="shared" si="108"/>
        <v>33.200000000000003</v>
      </c>
      <c r="AS391" s="620">
        <v>14.4</v>
      </c>
      <c r="AT391" s="620">
        <v>9</v>
      </c>
      <c r="AU391" s="620">
        <v>9.8000000000000007</v>
      </c>
      <c r="AV391" s="623">
        <f t="shared" si="100"/>
        <v>33.200000000000003</v>
      </c>
      <c r="AW391" s="621">
        <v>3.45</v>
      </c>
      <c r="AX391" s="621">
        <v>3.41</v>
      </c>
      <c r="AY391" s="621">
        <v>90</v>
      </c>
      <c r="AZ391" s="624">
        <f t="shared" si="101"/>
        <v>0</v>
      </c>
      <c r="BA391" s="623">
        <v>33.200000000000003</v>
      </c>
      <c r="BB391" s="620">
        <v>15</v>
      </c>
      <c r="BC391" s="620">
        <v>13.7</v>
      </c>
      <c r="BD391" s="623">
        <f t="shared" si="102"/>
        <v>28.7</v>
      </c>
      <c r="BE391" s="621"/>
      <c r="BF391" s="621"/>
      <c r="BG391" s="621"/>
      <c r="BH391" s="621">
        <f t="shared" si="103"/>
        <v>4.5000000000000036</v>
      </c>
    </row>
    <row r="392" spans="1:60" ht="17.25" thickTop="1" thickBot="1" x14ac:dyDescent="0.3">
      <c r="A392" s="602">
        <v>385</v>
      </c>
      <c r="B392" s="603">
        <f t="shared" ref="B392:B455" ca="1" si="109">TODAY()</f>
        <v>43134</v>
      </c>
      <c r="C392" s="29" t="s">
        <v>614</v>
      </c>
      <c r="D392" s="59" t="s">
        <v>2898</v>
      </c>
      <c r="E392" s="22" t="s">
        <v>1267</v>
      </c>
      <c r="F392" s="27" t="s">
        <v>1133</v>
      </c>
      <c r="G392" s="567">
        <v>42870</v>
      </c>
      <c r="H392" s="609">
        <f t="shared" si="104"/>
        <v>16.100000000000001</v>
      </c>
      <c r="I392" s="620">
        <v>8</v>
      </c>
      <c r="J392" s="620">
        <v>6</v>
      </c>
      <c r="K392" s="620">
        <v>6</v>
      </c>
      <c r="L392" s="611">
        <f t="shared" ref="L392:L455" si="110">SUM(I392:K392)</f>
        <v>20</v>
      </c>
      <c r="M392" s="621"/>
      <c r="N392" s="621"/>
      <c r="O392" s="621"/>
      <c r="P392" s="622">
        <f t="shared" ref="P392:P455" si="111">L392-H392</f>
        <v>3.8999999999999986</v>
      </c>
      <c r="Q392" s="609">
        <f t="shared" si="105"/>
        <v>22.2</v>
      </c>
      <c r="R392" s="620">
        <v>6</v>
      </c>
      <c r="S392" s="620">
        <v>5.5</v>
      </c>
      <c r="T392" s="620">
        <v>4.5999999999999996</v>
      </c>
      <c r="U392" s="611">
        <f t="shared" ref="U392:U455" si="112">SUM(R392:T392)</f>
        <v>16.100000000000001</v>
      </c>
      <c r="V392" s="621"/>
      <c r="W392" s="621"/>
      <c r="X392" s="621"/>
      <c r="Y392" s="622">
        <f t="shared" ref="Y392:Y455" si="113">U392-Q392</f>
        <v>-6.0999999999999979</v>
      </c>
      <c r="Z392" s="609">
        <f t="shared" si="106"/>
        <v>22.2</v>
      </c>
      <c r="AA392" s="620">
        <v>8.4</v>
      </c>
      <c r="AB392" s="620">
        <v>9</v>
      </c>
      <c r="AC392" s="620">
        <v>10</v>
      </c>
      <c r="AD392" s="611">
        <f t="shared" ref="AD392:AD455" si="114">SUM(AA392:AC392)</f>
        <v>27.4</v>
      </c>
      <c r="AE392" s="621"/>
      <c r="AF392" s="621"/>
      <c r="AG392" s="621"/>
      <c r="AH392" s="622">
        <f t="shared" ref="AH392:AH455" si="115">AD392-Z392</f>
        <v>5.1999999999999993</v>
      </c>
      <c r="AI392" s="609">
        <f t="shared" si="107"/>
        <v>23.799999999999997</v>
      </c>
      <c r="AJ392" s="620">
        <v>7</v>
      </c>
      <c r="AK392" s="620">
        <v>7.2</v>
      </c>
      <c r="AL392" s="620">
        <v>8</v>
      </c>
      <c r="AM392" s="623">
        <f t="shared" ref="AM392:AM455" si="116">SUM(AJ392:AL392)</f>
        <v>22.2</v>
      </c>
      <c r="AN392" s="621"/>
      <c r="AO392" s="621"/>
      <c r="AP392" s="621"/>
      <c r="AQ392" s="622">
        <f t="shared" ref="AQ392:AQ455" si="117">AM392-AI392</f>
        <v>-1.5999999999999979</v>
      </c>
      <c r="AR392" s="615">
        <f t="shared" si="108"/>
        <v>12.9</v>
      </c>
      <c r="AS392" s="620">
        <v>8</v>
      </c>
      <c r="AT392" s="620">
        <v>8.4</v>
      </c>
      <c r="AU392" s="620">
        <v>7.4</v>
      </c>
      <c r="AV392" s="623">
        <f t="shared" ref="AV392:AV455" si="118">SUM(AS392:AU392)</f>
        <v>23.799999999999997</v>
      </c>
      <c r="AW392" s="621">
        <v>2.83</v>
      </c>
      <c r="AX392" s="621">
        <v>3.1</v>
      </c>
      <c r="AY392" s="621">
        <v>90</v>
      </c>
      <c r="AZ392" s="624">
        <f t="shared" ref="AZ392:AZ455" si="119">AV392-AR392</f>
        <v>10.899999999999997</v>
      </c>
      <c r="BA392" s="623">
        <v>12.9</v>
      </c>
      <c r="BB392" s="620">
        <v>5.3</v>
      </c>
      <c r="BC392" s="620">
        <v>5</v>
      </c>
      <c r="BD392" s="623">
        <f t="shared" ref="BD392:BD455" si="120">SUM(BB392:BC392)</f>
        <v>10.3</v>
      </c>
      <c r="BE392" s="621"/>
      <c r="BF392" s="621"/>
      <c r="BG392" s="621"/>
      <c r="BH392" s="621">
        <f t="shared" ref="BH392:BH455" si="121">BA392-BD392</f>
        <v>2.5999999999999996</v>
      </c>
    </row>
    <row r="393" spans="1:60" ht="17.25" thickTop="1" thickBot="1" x14ac:dyDescent="0.3">
      <c r="A393" s="77">
        <v>386</v>
      </c>
      <c r="B393" s="603">
        <f t="shared" ca="1" si="109"/>
        <v>43134</v>
      </c>
      <c r="C393" s="29" t="s">
        <v>614</v>
      </c>
      <c r="D393" s="59" t="s">
        <v>2898</v>
      </c>
      <c r="E393" s="22" t="s">
        <v>640</v>
      </c>
      <c r="F393" s="27" t="s">
        <v>641</v>
      </c>
      <c r="G393" s="567">
        <v>42803</v>
      </c>
      <c r="H393" s="609">
        <f t="shared" ref="H393:H456" si="122">U393</f>
        <v>18.200000000000003</v>
      </c>
      <c r="I393" s="620">
        <v>7.2</v>
      </c>
      <c r="J393" s="620">
        <v>6</v>
      </c>
      <c r="K393" s="620">
        <v>7</v>
      </c>
      <c r="L393" s="611">
        <f t="shared" si="110"/>
        <v>20.2</v>
      </c>
      <c r="M393" s="621"/>
      <c r="N393" s="621"/>
      <c r="O393" s="621"/>
      <c r="P393" s="622">
        <f t="shared" si="111"/>
        <v>1.9999999999999964</v>
      </c>
      <c r="Q393" s="609">
        <f t="shared" ref="Q393:Q456" si="123">AM393</f>
        <v>20.6</v>
      </c>
      <c r="R393" s="620">
        <v>7</v>
      </c>
      <c r="S393" s="620">
        <v>4.8</v>
      </c>
      <c r="T393" s="620">
        <v>6.4</v>
      </c>
      <c r="U393" s="611">
        <f t="shared" si="112"/>
        <v>18.200000000000003</v>
      </c>
      <c r="V393" s="621"/>
      <c r="W393" s="621"/>
      <c r="X393" s="621"/>
      <c r="Y393" s="622">
        <f t="shared" si="113"/>
        <v>-2.3999999999999986</v>
      </c>
      <c r="Z393" s="609">
        <f t="shared" ref="Z393:Z456" si="124">AM393</f>
        <v>20.6</v>
      </c>
      <c r="AA393" s="620">
        <v>11</v>
      </c>
      <c r="AB393" s="620"/>
      <c r="AC393" s="620">
        <v>12.4</v>
      </c>
      <c r="AD393" s="611">
        <f t="shared" si="114"/>
        <v>23.4</v>
      </c>
      <c r="AE393" s="621"/>
      <c r="AF393" s="621"/>
      <c r="AG393" s="621"/>
      <c r="AH393" s="622">
        <f t="shared" si="115"/>
        <v>2.7999999999999972</v>
      </c>
      <c r="AI393" s="609">
        <f t="shared" ref="AI393:AI456" si="125">AV393</f>
        <v>27.2</v>
      </c>
      <c r="AJ393" s="620">
        <v>5.2</v>
      </c>
      <c r="AK393" s="620">
        <v>7</v>
      </c>
      <c r="AL393" s="620">
        <v>8.4</v>
      </c>
      <c r="AM393" s="623">
        <f t="shared" si="116"/>
        <v>20.6</v>
      </c>
      <c r="AN393" s="621"/>
      <c r="AO393" s="621"/>
      <c r="AP393" s="621"/>
      <c r="AQ393" s="622">
        <f t="shared" si="117"/>
        <v>-6.5999999999999979</v>
      </c>
      <c r="AR393" s="615">
        <f t="shared" ref="AR393:AR456" si="126">BA393</f>
        <v>27.8</v>
      </c>
      <c r="AS393" s="620">
        <v>10.199999999999999</v>
      </c>
      <c r="AT393" s="620">
        <v>7</v>
      </c>
      <c r="AU393" s="620">
        <v>10</v>
      </c>
      <c r="AV393" s="623">
        <f t="shared" si="118"/>
        <v>27.2</v>
      </c>
      <c r="AW393" s="621">
        <v>3.64</v>
      </c>
      <c r="AX393" s="621">
        <v>3.65</v>
      </c>
      <c r="AY393" s="621">
        <v>90</v>
      </c>
      <c r="AZ393" s="624">
        <f t="shared" si="119"/>
        <v>-0.60000000000000142</v>
      </c>
      <c r="BA393" s="623">
        <v>27.8</v>
      </c>
      <c r="BB393" s="620">
        <v>14.4</v>
      </c>
      <c r="BC393" s="620">
        <v>10.6</v>
      </c>
      <c r="BD393" s="623">
        <f t="shared" si="120"/>
        <v>25</v>
      </c>
      <c r="BE393" s="621"/>
      <c r="BF393" s="621"/>
      <c r="BG393" s="621"/>
      <c r="BH393" s="621">
        <f t="shared" si="121"/>
        <v>2.8000000000000007</v>
      </c>
    </row>
    <row r="394" spans="1:60" ht="17.25" thickTop="1" thickBot="1" x14ac:dyDescent="0.3">
      <c r="A394" s="602">
        <v>387</v>
      </c>
      <c r="B394" s="603">
        <f t="shared" ca="1" si="109"/>
        <v>43134</v>
      </c>
      <c r="C394" s="29" t="s">
        <v>614</v>
      </c>
      <c r="D394" s="59" t="s">
        <v>2898</v>
      </c>
      <c r="E394" s="22" t="s">
        <v>1269</v>
      </c>
      <c r="F394" s="27" t="s">
        <v>1135</v>
      </c>
      <c r="G394" s="567">
        <v>42863</v>
      </c>
      <c r="H394" s="609">
        <f t="shared" si="122"/>
        <v>26.8</v>
      </c>
      <c r="I394" s="620">
        <v>7</v>
      </c>
      <c r="J394" s="620">
        <v>4</v>
      </c>
      <c r="K394" s="620">
        <v>8</v>
      </c>
      <c r="L394" s="611">
        <f t="shared" si="110"/>
        <v>19</v>
      </c>
      <c r="M394" s="621"/>
      <c r="N394" s="621"/>
      <c r="O394" s="621"/>
      <c r="P394" s="622">
        <f t="shared" si="111"/>
        <v>-7.8000000000000007</v>
      </c>
      <c r="Q394" s="609">
        <f t="shared" si="123"/>
        <v>25.4</v>
      </c>
      <c r="R394" s="620">
        <v>7.6</v>
      </c>
      <c r="S394" s="620">
        <v>9</v>
      </c>
      <c r="T394" s="620">
        <v>10.199999999999999</v>
      </c>
      <c r="U394" s="611">
        <f t="shared" si="112"/>
        <v>26.8</v>
      </c>
      <c r="V394" s="621"/>
      <c r="W394" s="621"/>
      <c r="X394" s="621"/>
      <c r="Y394" s="622">
        <f t="shared" si="113"/>
        <v>1.4000000000000021</v>
      </c>
      <c r="Z394" s="609">
        <f t="shared" si="124"/>
        <v>25.4</v>
      </c>
      <c r="AA394" s="620">
        <v>9.1</v>
      </c>
      <c r="AB394" s="620">
        <v>8</v>
      </c>
      <c r="AC394" s="620">
        <v>7</v>
      </c>
      <c r="AD394" s="611">
        <f t="shared" si="114"/>
        <v>24.1</v>
      </c>
      <c r="AE394" s="621"/>
      <c r="AF394" s="621"/>
      <c r="AG394" s="621"/>
      <c r="AH394" s="622">
        <f t="shared" si="115"/>
        <v>-1.2999999999999972</v>
      </c>
      <c r="AI394" s="609">
        <f t="shared" si="125"/>
        <v>28.2</v>
      </c>
      <c r="AJ394" s="620">
        <v>11</v>
      </c>
      <c r="AK394" s="620">
        <v>6.4</v>
      </c>
      <c r="AL394" s="620">
        <v>8</v>
      </c>
      <c r="AM394" s="623">
        <f t="shared" si="116"/>
        <v>25.4</v>
      </c>
      <c r="AN394" s="621"/>
      <c r="AO394" s="621"/>
      <c r="AP394" s="621"/>
      <c r="AQ394" s="622">
        <f t="shared" si="117"/>
        <v>-2.8000000000000007</v>
      </c>
      <c r="AR394" s="615">
        <f t="shared" si="126"/>
        <v>12.9</v>
      </c>
      <c r="AS394" s="620">
        <v>13</v>
      </c>
      <c r="AT394" s="620">
        <v>8</v>
      </c>
      <c r="AU394" s="620">
        <v>7.2</v>
      </c>
      <c r="AV394" s="623">
        <f t="shared" si="118"/>
        <v>28.2</v>
      </c>
      <c r="AW394" s="621">
        <v>4.6100000000000003</v>
      </c>
      <c r="AX394" s="621">
        <v>3.01</v>
      </c>
      <c r="AY394" s="621">
        <v>90</v>
      </c>
      <c r="AZ394" s="624">
        <f t="shared" si="119"/>
        <v>15.299999999999999</v>
      </c>
      <c r="BA394" s="623">
        <v>12.9</v>
      </c>
      <c r="BB394" s="620">
        <v>7.8</v>
      </c>
      <c r="BC394" s="620">
        <v>8.5</v>
      </c>
      <c r="BD394" s="623">
        <f t="shared" si="120"/>
        <v>16.3</v>
      </c>
      <c r="BE394" s="621"/>
      <c r="BF394" s="621"/>
      <c r="BG394" s="621"/>
      <c r="BH394" s="621">
        <f t="shared" si="121"/>
        <v>-3.4000000000000004</v>
      </c>
    </row>
    <row r="395" spans="1:60" ht="17.25" thickTop="1" thickBot="1" x14ac:dyDescent="0.3">
      <c r="A395" s="77">
        <v>388</v>
      </c>
      <c r="B395" s="603">
        <f t="shared" ca="1" si="109"/>
        <v>43134</v>
      </c>
      <c r="C395" s="29" t="s">
        <v>614</v>
      </c>
      <c r="D395" s="59" t="s">
        <v>2898</v>
      </c>
      <c r="E395" s="22" t="s">
        <v>1367</v>
      </c>
      <c r="F395" s="27" t="s">
        <v>1253</v>
      </c>
      <c r="G395" s="567">
        <v>42866</v>
      </c>
      <c r="H395" s="609">
        <f t="shared" si="122"/>
        <v>27.2</v>
      </c>
      <c r="I395" s="620">
        <v>10</v>
      </c>
      <c r="J395" s="620">
        <v>9.1999999999999993</v>
      </c>
      <c r="K395" s="620">
        <v>8</v>
      </c>
      <c r="L395" s="611">
        <f t="shared" si="110"/>
        <v>27.2</v>
      </c>
      <c r="M395" s="621"/>
      <c r="N395" s="621"/>
      <c r="O395" s="621"/>
      <c r="P395" s="622">
        <f t="shared" si="111"/>
        <v>0</v>
      </c>
      <c r="Q395" s="609">
        <f t="shared" si="123"/>
        <v>32</v>
      </c>
      <c r="R395" s="620">
        <v>10</v>
      </c>
      <c r="S395" s="620">
        <v>8.1999999999999993</v>
      </c>
      <c r="T395" s="620">
        <v>9</v>
      </c>
      <c r="U395" s="611">
        <f t="shared" si="112"/>
        <v>27.2</v>
      </c>
      <c r="V395" s="621"/>
      <c r="W395" s="621"/>
      <c r="X395" s="621"/>
      <c r="Y395" s="622">
        <f t="shared" si="113"/>
        <v>-4.8000000000000007</v>
      </c>
      <c r="Z395" s="609">
        <f t="shared" si="124"/>
        <v>32</v>
      </c>
      <c r="AA395" s="620">
        <v>13</v>
      </c>
      <c r="AB395" s="620">
        <v>9</v>
      </c>
      <c r="AC395" s="620">
        <v>8</v>
      </c>
      <c r="AD395" s="611">
        <f t="shared" si="114"/>
        <v>30</v>
      </c>
      <c r="AE395" s="621"/>
      <c r="AF395" s="621"/>
      <c r="AG395" s="621"/>
      <c r="AH395" s="622">
        <f t="shared" si="115"/>
        <v>-2</v>
      </c>
      <c r="AI395" s="609">
        <f t="shared" si="125"/>
        <v>29.2</v>
      </c>
      <c r="AJ395" s="620">
        <v>13</v>
      </c>
      <c r="AK395" s="620">
        <v>9</v>
      </c>
      <c r="AL395" s="620">
        <v>10</v>
      </c>
      <c r="AM395" s="623">
        <f t="shared" si="116"/>
        <v>32</v>
      </c>
      <c r="AN395" s="621"/>
      <c r="AO395" s="621"/>
      <c r="AP395" s="621"/>
      <c r="AQ395" s="622">
        <f t="shared" si="117"/>
        <v>2.8000000000000007</v>
      </c>
      <c r="AR395" s="615">
        <f t="shared" si="126"/>
        <v>20.100000000000001</v>
      </c>
      <c r="AS395" s="620">
        <v>12.2</v>
      </c>
      <c r="AT395" s="620">
        <v>5</v>
      </c>
      <c r="AU395" s="620">
        <v>12</v>
      </c>
      <c r="AV395" s="623">
        <f t="shared" si="118"/>
        <v>29.2</v>
      </c>
      <c r="AW395" s="621">
        <v>3.36</v>
      </c>
      <c r="AX395" s="621">
        <v>2.99</v>
      </c>
      <c r="AY395" s="621">
        <v>90</v>
      </c>
      <c r="AZ395" s="624">
        <f t="shared" si="119"/>
        <v>9.0999999999999979</v>
      </c>
      <c r="BA395" s="623">
        <v>20.100000000000001</v>
      </c>
      <c r="BB395" s="620">
        <v>8.5</v>
      </c>
      <c r="BC395" s="620">
        <v>8.8000000000000007</v>
      </c>
      <c r="BD395" s="623">
        <f t="shared" si="120"/>
        <v>17.3</v>
      </c>
      <c r="BE395" s="621"/>
      <c r="BF395" s="621"/>
      <c r="BG395" s="621"/>
      <c r="BH395" s="621">
        <f t="shared" si="121"/>
        <v>2.8000000000000007</v>
      </c>
    </row>
    <row r="396" spans="1:60" ht="17.25" thickTop="1" thickBot="1" x14ac:dyDescent="0.3">
      <c r="A396" s="602">
        <v>389</v>
      </c>
      <c r="B396" s="603">
        <f t="shared" ca="1" si="109"/>
        <v>43134</v>
      </c>
      <c r="C396" s="29" t="s">
        <v>614</v>
      </c>
      <c r="D396" s="59" t="s">
        <v>2898</v>
      </c>
      <c r="E396" s="22" t="s">
        <v>1507</v>
      </c>
      <c r="F396" s="239" t="s">
        <v>1143</v>
      </c>
      <c r="G396" s="567">
        <v>42867</v>
      </c>
      <c r="H396" s="609">
        <f t="shared" si="122"/>
        <v>17</v>
      </c>
      <c r="I396" s="620">
        <v>9.4</v>
      </c>
      <c r="J396" s="620"/>
      <c r="K396" s="620">
        <v>8</v>
      </c>
      <c r="L396" s="611">
        <f t="shared" si="110"/>
        <v>17.399999999999999</v>
      </c>
      <c r="M396" s="621"/>
      <c r="N396" s="621"/>
      <c r="O396" s="621"/>
      <c r="P396" s="622">
        <f t="shared" si="111"/>
        <v>0.39999999999999858</v>
      </c>
      <c r="Q396" s="609">
        <f t="shared" si="123"/>
        <v>28.2</v>
      </c>
      <c r="R396" s="620">
        <v>10.6</v>
      </c>
      <c r="S396" s="620"/>
      <c r="T396" s="620">
        <v>6.4</v>
      </c>
      <c r="U396" s="611">
        <f t="shared" si="112"/>
        <v>17</v>
      </c>
      <c r="V396" s="621"/>
      <c r="W396" s="621"/>
      <c r="X396" s="621"/>
      <c r="Y396" s="622">
        <f t="shared" si="113"/>
        <v>-11.2</v>
      </c>
      <c r="Z396" s="609">
        <f t="shared" si="124"/>
        <v>28.2</v>
      </c>
      <c r="AA396" s="620">
        <v>3.4</v>
      </c>
      <c r="AB396" s="620">
        <v>0</v>
      </c>
      <c r="AC396" s="620">
        <v>4</v>
      </c>
      <c r="AD396" s="611">
        <f t="shared" si="114"/>
        <v>7.4</v>
      </c>
      <c r="AE396" s="621"/>
      <c r="AF396" s="621"/>
      <c r="AG396" s="621"/>
      <c r="AH396" s="622">
        <f t="shared" si="115"/>
        <v>-20.799999999999997</v>
      </c>
      <c r="AI396" s="609">
        <f t="shared" si="125"/>
        <v>25.2</v>
      </c>
      <c r="AJ396" s="620">
        <v>9.1999999999999993</v>
      </c>
      <c r="AK396" s="620">
        <v>10</v>
      </c>
      <c r="AL396" s="620">
        <v>9</v>
      </c>
      <c r="AM396" s="623">
        <f t="shared" si="116"/>
        <v>28.2</v>
      </c>
      <c r="AN396" s="621"/>
      <c r="AO396" s="621"/>
      <c r="AP396" s="621"/>
      <c r="AQ396" s="622">
        <f t="shared" si="117"/>
        <v>3</v>
      </c>
      <c r="AR396" s="615">
        <f t="shared" si="126"/>
        <v>13.6</v>
      </c>
      <c r="AS396" s="620">
        <v>10.199999999999999</v>
      </c>
      <c r="AT396" s="620">
        <v>7</v>
      </c>
      <c r="AU396" s="620">
        <v>8</v>
      </c>
      <c r="AV396" s="623">
        <f t="shared" si="118"/>
        <v>25.2</v>
      </c>
      <c r="AW396" s="621">
        <v>4.16</v>
      </c>
      <c r="AX396" s="621">
        <v>3.52</v>
      </c>
      <c r="AY396" s="621">
        <v>90</v>
      </c>
      <c r="AZ396" s="624">
        <f t="shared" si="119"/>
        <v>11.6</v>
      </c>
      <c r="BA396" s="623">
        <v>13.6</v>
      </c>
      <c r="BB396" s="620">
        <v>4.0999999999999996</v>
      </c>
      <c r="BC396" s="620">
        <v>5.3</v>
      </c>
      <c r="BD396" s="623">
        <f t="shared" si="120"/>
        <v>9.3999999999999986</v>
      </c>
      <c r="BE396" s="621"/>
      <c r="BF396" s="621"/>
      <c r="BG396" s="621"/>
      <c r="BH396" s="621">
        <f t="shared" si="121"/>
        <v>4.2000000000000011</v>
      </c>
    </row>
    <row r="397" spans="1:60" ht="17.25" thickTop="1" thickBot="1" x14ac:dyDescent="0.3">
      <c r="A397" s="77">
        <v>390</v>
      </c>
      <c r="B397" s="603">
        <f t="shared" ca="1" si="109"/>
        <v>43134</v>
      </c>
      <c r="C397" s="29" t="s">
        <v>614</v>
      </c>
      <c r="D397" s="59" t="s">
        <v>2898</v>
      </c>
      <c r="E397" s="22" t="s">
        <v>944</v>
      </c>
      <c r="F397" s="239" t="s">
        <v>945</v>
      </c>
      <c r="G397" s="567">
        <v>42878</v>
      </c>
      <c r="H397" s="609">
        <f t="shared" si="122"/>
        <v>20.6</v>
      </c>
      <c r="I397" s="620">
        <v>7</v>
      </c>
      <c r="J397" s="620">
        <v>11.5</v>
      </c>
      <c r="K397" s="620">
        <v>8.5</v>
      </c>
      <c r="L397" s="611">
        <f t="shared" si="110"/>
        <v>27</v>
      </c>
      <c r="M397" s="621"/>
      <c r="N397" s="621"/>
      <c r="O397" s="621"/>
      <c r="P397" s="622">
        <f t="shared" si="111"/>
        <v>6.3999999999999986</v>
      </c>
      <c r="Q397" s="609">
        <f t="shared" si="123"/>
        <v>27</v>
      </c>
      <c r="R397" s="620">
        <v>8.8000000000000007</v>
      </c>
      <c r="S397" s="620">
        <v>4.8</v>
      </c>
      <c r="T397" s="620">
        <v>7</v>
      </c>
      <c r="U397" s="611">
        <f t="shared" si="112"/>
        <v>20.6</v>
      </c>
      <c r="V397" s="621"/>
      <c r="W397" s="621"/>
      <c r="X397" s="621"/>
      <c r="Y397" s="622">
        <f t="shared" si="113"/>
        <v>-6.3999999999999986</v>
      </c>
      <c r="Z397" s="609">
        <f t="shared" si="124"/>
        <v>27</v>
      </c>
      <c r="AA397" s="620">
        <v>9</v>
      </c>
      <c r="AB397" s="620">
        <v>8</v>
      </c>
      <c r="AC397" s="620">
        <v>11</v>
      </c>
      <c r="AD397" s="611">
        <f t="shared" si="114"/>
        <v>28</v>
      </c>
      <c r="AE397" s="621"/>
      <c r="AF397" s="621"/>
      <c r="AG397" s="621"/>
      <c r="AH397" s="622">
        <f t="shared" si="115"/>
        <v>1</v>
      </c>
      <c r="AI397" s="609">
        <f t="shared" si="125"/>
        <v>30.200000000000003</v>
      </c>
      <c r="AJ397" s="620">
        <v>11</v>
      </c>
      <c r="AK397" s="620">
        <v>9</v>
      </c>
      <c r="AL397" s="620">
        <v>7</v>
      </c>
      <c r="AM397" s="623">
        <f t="shared" si="116"/>
        <v>27</v>
      </c>
      <c r="AN397" s="621"/>
      <c r="AO397" s="621"/>
      <c r="AP397" s="621"/>
      <c r="AQ397" s="622">
        <f t="shared" si="117"/>
        <v>-3.2000000000000028</v>
      </c>
      <c r="AR397" s="615">
        <f t="shared" si="126"/>
        <v>15</v>
      </c>
      <c r="AS397" s="620">
        <v>11</v>
      </c>
      <c r="AT397" s="620">
        <v>10.6</v>
      </c>
      <c r="AU397" s="620">
        <v>8.6</v>
      </c>
      <c r="AV397" s="623">
        <f t="shared" si="118"/>
        <v>30.200000000000003</v>
      </c>
      <c r="AW397" s="621">
        <v>3.45</v>
      </c>
      <c r="AX397" s="621">
        <v>3.1</v>
      </c>
      <c r="AY397" s="621">
        <v>90</v>
      </c>
      <c r="AZ397" s="624">
        <f t="shared" si="119"/>
        <v>15.200000000000003</v>
      </c>
      <c r="BA397" s="623">
        <v>15</v>
      </c>
      <c r="BB397" s="620">
        <v>5.8</v>
      </c>
      <c r="BC397" s="620">
        <v>7.2</v>
      </c>
      <c r="BD397" s="623">
        <f t="shared" si="120"/>
        <v>13</v>
      </c>
      <c r="BE397" s="621"/>
      <c r="BF397" s="621"/>
      <c r="BG397" s="621"/>
      <c r="BH397" s="621">
        <f t="shared" si="121"/>
        <v>2</v>
      </c>
    </row>
    <row r="398" spans="1:60" ht="17.25" thickTop="1" thickBot="1" x14ac:dyDescent="0.3">
      <c r="A398" s="602">
        <v>391</v>
      </c>
      <c r="B398" s="603">
        <f t="shared" ca="1" si="109"/>
        <v>43134</v>
      </c>
      <c r="C398" s="29" t="s">
        <v>614</v>
      </c>
      <c r="D398" s="59" t="s">
        <v>2898</v>
      </c>
      <c r="E398" s="22" t="s">
        <v>1426</v>
      </c>
      <c r="F398" s="27" t="s">
        <v>1425</v>
      </c>
      <c r="G398" s="567">
        <v>42867</v>
      </c>
      <c r="H398" s="609">
        <f t="shared" si="122"/>
        <v>26.5</v>
      </c>
      <c r="I398" s="620">
        <v>11.5</v>
      </c>
      <c r="J398" s="620">
        <v>10.4</v>
      </c>
      <c r="K398" s="620">
        <v>6.2</v>
      </c>
      <c r="L398" s="611">
        <f t="shared" si="110"/>
        <v>28.099999999999998</v>
      </c>
      <c r="M398" s="621"/>
      <c r="N398" s="621"/>
      <c r="O398" s="621"/>
      <c r="P398" s="622">
        <f t="shared" si="111"/>
        <v>1.5999999999999979</v>
      </c>
      <c r="Q398" s="609">
        <f t="shared" si="123"/>
        <v>30.2</v>
      </c>
      <c r="R398" s="620">
        <v>9.5</v>
      </c>
      <c r="S398" s="620">
        <v>8</v>
      </c>
      <c r="T398" s="620">
        <v>9</v>
      </c>
      <c r="U398" s="611">
        <f t="shared" si="112"/>
        <v>26.5</v>
      </c>
      <c r="V398" s="621"/>
      <c r="W398" s="621"/>
      <c r="X398" s="621"/>
      <c r="Y398" s="622">
        <f t="shared" si="113"/>
        <v>-3.6999999999999993</v>
      </c>
      <c r="Z398" s="609">
        <f t="shared" si="124"/>
        <v>30.2</v>
      </c>
      <c r="AA398" s="620">
        <v>12</v>
      </c>
      <c r="AB398" s="620">
        <v>8</v>
      </c>
      <c r="AC398" s="620">
        <v>8</v>
      </c>
      <c r="AD398" s="611">
        <f t="shared" si="114"/>
        <v>28</v>
      </c>
      <c r="AE398" s="621"/>
      <c r="AF398" s="621"/>
      <c r="AG398" s="621"/>
      <c r="AH398" s="622">
        <f t="shared" si="115"/>
        <v>-2.1999999999999993</v>
      </c>
      <c r="AI398" s="609">
        <f t="shared" si="125"/>
        <v>33.6</v>
      </c>
      <c r="AJ398" s="620">
        <v>12</v>
      </c>
      <c r="AK398" s="620">
        <v>9</v>
      </c>
      <c r="AL398" s="620">
        <v>9.1999999999999993</v>
      </c>
      <c r="AM398" s="623">
        <f t="shared" si="116"/>
        <v>30.2</v>
      </c>
      <c r="AN398" s="621"/>
      <c r="AO398" s="621"/>
      <c r="AP398" s="621"/>
      <c r="AQ398" s="622">
        <f t="shared" si="117"/>
        <v>-3.4000000000000021</v>
      </c>
      <c r="AR398" s="615">
        <f t="shared" si="126"/>
        <v>18.899999999999999</v>
      </c>
      <c r="AS398" s="620">
        <v>12</v>
      </c>
      <c r="AT398" s="620">
        <v>10.6</v>
      </c>
      <c r="AU398" s="620">
        <v>11</v>
      </c>
      <c r="AV398" s="623">
        <f t="shared" si="118"/>
        <v>33.6</v>
      </c>
      <c r="AW398" s="621">
        <v>3.33</v>
      </c>
      <c r="AX398" s="621">
        <v>2.96</v>
      </c>
      <c r="AY398" s="621">
        <v>90</v>
      </c>
      <c r="AZ398" s="624">
        <f t="shared" si="119"/>
        <v>14.700000000000003</v>
      </c>
      <c r="BA398" s="623">
        <v>18.899999999999999</v>
      </c>
      <c r="BB398" s="620">
        <v>8.5</v>
      </c>
      <c r="BC398" s="620">
        <v>7.7</v>
      </c>
      <c r="BD398" s="623">
        <f t="shared" si="120"/>
        <v>16.2</v>
      </c>
      <c r="BE398" s="621"/>
      <c r="BF398" s="621"/>
      <c r="BG398" s="621"/>
      <c r="BH398" s="621">
        <f t="shared" si="121"/>
        <v>2.6999999999999993</v>
      </c>
    </row>
    <row r="399" spans="1:60" ht="17.25" thickTop="1" thickBot="1" x14ac:dyDescent="0.3">
      <c r="A399" s="77">
        <v>392</v>
      </c>
      <c r="B399" s="603">
        <f t="shared" ca="1" si="109"/>
        <v>43134</v>
      </c>
      <c r="C399" s="29" t="s">
        <v>614</v>
      </c>
      <c r="D399" s="59" t="s">
        <v>2898</v>
      </c>
      <c r="E399" s="22" t="s">
        <v>1292</v>
      </c>
      <c r="F399" s="27" t="s">
        <v>1168</v>
      </c>
      <c r="G399" s="567">
        <v>42877</v>
      </c>
      <c r="H399" s="609">
        <f t="shared" si="122"/>
        <v>22.6</v>
      </c>
      <c r="I399" s="620">
        <v>8</v>
      </c>
      <c r="J399" s="620"/>
      <c r="K399" s="620">
        <v>7.2</v>
      </c>
      <c r="L399" s="611">
        <f t="shared" si="110"/>
        <v>15.2</v>
      </c>
      <c r="M399" s="621"/>
      <c r="N399" s="621"/>
      <c r="O399" s="621"/>
      <c r="P399" s="622">
        <f t="shared" si="111"/>
        <v>-7.4000000000000021</v>
      </c>
      <c r="Q399" s="609">
        <f t="shared" si="123"/>
        <v>29.6</v>
      </c>
      <c r="R399" s="620">
        <v>7</v>
      </c>
      <c r="S399" s="620">
        <v>8</v>
      </c>
      <c r="T399" s="620">
        <v>7.6</v>
      </c>
      <c r="U399" s="611">
        <f t="shared" si="112"/>
        <v>22.6</v>
      </c>
      <c r="V399" s="621"/>
      <c r="W399" s="621"/>
      <c r="X399" s="621"/>
      <c r="Y399" s="622">
        <f t="shared" si="113"/>
        <v>-7</v>
      </c>
      <c r="Z399" s="609">
        <f t="shared" si="124"/>
        <v>29.6</v>
      </c>
      <c r="AA399" s="620">
        <v>16</v>
      </c>
      <c r="AB399" s="620">
        <v>12</v>
      </c>
      <c r="AC399" s="620">
        <v>8</v>
      </c>
      <c r="AD399" s="611">
        <f t="shared" si="114"/>
        <v>36</v>
      </c>
      <c r="AE399" s="621"/>
      <c r="AF399" s="621"/>
      <c r="AG399" s="621"/>
      <c r="AH399" s="622">
        <f t="shared" si="115"/>
        <v>6.3999999999999986</v>
      </c>
      <c r="AI399" s="609">
        <f t="shared" si="125"/>
        <v>21.2</v>
      </c>
      <c r="AJ399" s="620">
        <v>12.6</v>
      </c>
      <c r="AK399" s="620">
        <v>8</v>
      </c>
      <c r="AL399" s="620">
        <v>9</v>
      </c>
      <c r="AM399" s="623">
        <f t="shared" si="116"/>
        <v>29.6</v>
      </c>
      <c r="AN399" s="621"/>
      <c r="AO399" s="621"/>
      <c r="AP399" s="621"/>
      <c r="AQ399" s="622">
        <f t="shared" si="117"/>
        <v>8.4000000000000021</v>
      </c>
      <c r="AR399" s="615">
        <f t="shared" si="126"/>
        <v>11.8</v>
      </c>
      <c r="AS399" s="620">
        <v>8.1999999999999993</v>
      </c>
      <c r="AT399" s="620">
        <v>5</v>
      </c>
      <c r="AU399" s="620">
        <v>8</v>
      </c>
      <c r="AV399" s="623">
        <f t="shared" si="118"/>
        <v>21.2</v>
      </c>
      <c r="AW399" s="621">
        <v>3.23</v>
      </c>
      <c r="AX399" s="621">
        <v>3.05</v>
      </c>
      <c r="AY399" s="621">
        <v>90</v>
      </c>
      <c r="AZ399" s="624">
        <f t="shared" si="119"/>
        <v>9.3999999999999986</v>
      </c>
      <c r="BA399" s="623">
        <v>11.8</v>
      </c>
      <c r="BB399" s="620">
        <v>5.8</v>
      </c>
      <c r="BC399" s="620">
        <v>7</v>
      </c>
      <c r="BD399" s="623">
        <f t="shared" si="120"/>
        <v>12.8</v>
      </c>
      <c r="BE399" s="621"/>
      <c r="BF399" s="621"/>
      <c r="BG399" s="621"/>
      <c r="BH399" s="621">
        <f t="shared" si="121"/>
        <v>-1</v>
      </c>
    </row>
    <row r="400" spans="1:60" ht="17.25" thickTop="1" thickBot="1" x14ac:dyDescent="0.3">
      <c r="A400" s="602">
        <v>393</v>
      </c>
      <c r="B400" s="603">
        <f t="shared" ca="1" si="109"/>
        <v>43134</v>
      </c>
      <c r="C400" s="29" t="s">
        <v>614</v>
      </c>
      <c r="D400" s="59" t="s">
        <v>2898</v>
      </c>
      <c r="E400" s="22" t="s">
        <v>1298</v>
      </c>
      <c r="F400" s="27" t="s">
        <v>1174</v>
      </c>
      <c r="G400" s="567">
        <v>42880</v>
      </c>
      <c r="H400" s="609">
        <f t="shared" si="122"/>
        <v>20</v>
      </c>
      <c r="I400" s="620">
        <v>7.8</v>
      </c>
      <c r="J400" s="620">
        <v>9.8000000000000007</v>
      </c>
      <c r="K400" s="620">
        <v>6</v>
      </c>
      <c r="L400" s="611">
        <f t="shared" si="110"/>
        <v>23.6</v>
      </c>
      <c r="M400" s="621"/>
      <c r="N400" s="621"/>
      <c r="O400" s="621"/>
      <c r="P400" s="622">
        <f t="shared" si="111"/>
        <v>3.6000000000000014</v>
      </c>
      <c r="Q400" s="609">
        <f t="shared" si="123"/>
        <v>25</v>
      </c>
      <c r="R400" s="620">
        <v>7</v>
      </c>
      <c r="S400" s="620">
        <v>7</v>
      </c>
      <c r="T400" s="620">
        <v>6</v>
      </c>
      <c r="U400" s="611">
        <f t="shared" si="112"/>
        <v>20</v>
      </c>
      <c r="V400" s="621"/>
      <c r="W400" s="621"/>
      <c r="X400" s="621"/>
      <c r="Y400" s="622">
        <f t="shared" si="113"/>
        <v>-5</v>
      </c>
      <c r="Z400" s="609">
        <f t="shared" si="124"/>
        <v>25</v>
      </c>
      <c r="AA400" s="620">
        <v>10.199999999999999</v>
      </c>
      <c r="AB400" s="620">
        <v>8.6</v>
      </c>
      <c r="AC400" s="620">
        <v>6</v>
      </c>
      <c r="AD400" s="611">
        <f t="shared" si="114"/>
        <v>24.799999999999997</v>
      </c>
      <c r="AE400" s="621"/>
      <c r="AF400" s="621"/>
      <c r="AG400" s="621"/>
      <c r="AH400" s="622">
        <f t="shared" si="115"/>
        <v>-0.20000000000000284</v>
      </c>
      <c r="AI400" s="609">
        <f t="shared" si="125"/>
        <v>23.6</v>
      </c>
      <c r="AJ400" s="620">
        <v>6</v>
      </c>
      <c r="AK400" s="620">
        <v>9</v>
      </c>
      <c r="AL400" s="620">
        <v>10</v>
      </c>
      <c r="AM400" s="623">
        <f t="shared" si="116"/>
        <v>25</v>
      </c>
      <c r="AN400" s="621"/>
      <c r="AO400" s="621"/>
      <c r="AP400" s="621"/>
      <c r="AQ400" s="622">
        <f t="shared" si="117"/>
        <v>1.3999999999999986</v>
      </c>
      <c r="AR400" s="615">
        <f t="shared" si="126"/>
        <v>15.4</v>
      </c>
      <c r="AS400" s="620">
        <v>11</v>
      </c>
      <c r="AT400" s="620">
        <v>4</v>
      </c>
      <c r="AU400" s="620">
        <v>8.6</v>
      </c>
      <c r="AV400" s="623">
        <f t="shared" si="118"/>
        <v>23.6</v>
      </c>
      <c r="AW400" s="621">
        <v>3.44</v>
      </c>
      <c r="AX400" s="621">
        <v>2.78</v>
      </c>
      <c r="AY400" s="621">
        <v>90</v>
      </c>
      <c r="AZ400" s="624">
        <f t="shared" si="119"/>
        <v>8.2000000000000011</v>
      </c>
      <c r="BA400" s="623">
        <v>15.4</v>
      </c>
      <c r="BB400" s="620">
        <v>8</v>
      </c>
      <c r="BC400" s="620">
        <v>8.6999999999999993</v>
      </c>
      <c r="BD400" s="623">
        <f t="shared" si="120"/>
        <v>16.7</v>
      </c>
      <c r="BE400" s="621"/>
      <c r="BF400" s="621"/>
      <c r="BG400" s="621"/>
      <c r="BH400" s="621">
        <f t="shared" si="121"/>
        <v>-1.2999999999999989</v>
      </c>
    </row>
    <row r="401" spans="1:60" ht="17.25" thickTop="1" thickBot="1" x14ac:dyDescent="0.3">
      <c r="A401" s="77">
        <v>394</v>
      </c>
      <c r="B401" s="603">
        <f t="shared" ca="1" si="109"/>
        <v>43134</v>
      </c>
      <c r="C401" s="29" t="s">
        <v>614</v>
      </c>
      <c r="D401" s="59" t="s">
        <v>2898</v>
      </c>
      <c r="E401" s="22" t="s">
        <v>1328</v>
      </c>
      <c r="F401" s="239" t="s">
        <v>1211</v>
      </c>
      <c r="G401" s="567">
        <v>42876</v>
      </c>
      <c r="H401" s="609">
        <f t="shared" si="122"/>
        <v>24.2</v>
      </c>
      <c r="I401" s="620">
        <v>8.1999999999999993</v>
      </c>
      <c r="J401" s="620">
        <v>7</v>
      </c>
      <c r="K401" s="620">
        <v>7</v>
      </c>
      <c r="L401" s="611">
        <f t="shared" si="110"/>
        <v>22.2</v>
      </c>
      <c r="M401" s="621"/>
      <c r="N401" s="621"/>
      <c r="O401" s="621"/>
      <c r="P401" s="622">
        <f t="shared" si="111"/>
        <v>-2</v>
      </c>
      <c r="Q401" s="609">
        <f t="shared" si="123"/>
        <v>25.2</v>
      </c>
      <c r="R401" s="620">
        <v>8.1999999999999993</v>
      </c>
      <c r="S401" s="620">
        <v>8</v>
      </c>
      <c r="T401" s="620">
        <v>8</v>
      </c>
      <c r="U401" s="611">
        <f t="shared" si="112"/>
        <v>24.2</v>
      </c>
      <c r="V401" s="621"/>
      <c r="W401" s="621"/>
      <c r="X401" s="621"/>
      <c r="Y401" s="622">
        <f t="shared" si="113"/>
        <v>-1</v>
      </c>
      <c r="Z401" s="609">
        <f t="shared" si="124"/>
        <v>25.2</v>
      </c>
      <c r="AA401" s="620">
        <v>11.2</v>
      </c>
      <c r="AB401" s="620">
        <v>7.2</v>
      </c>
      <c r="AC401" s="620">
        <v>7</v>
      </c>
      <c r="AD401" s="611">
        <f t="shared" si="114"/>
        <v>25.4</v>
      </c>
      <c r="AE401" s="621"/>
      <c r="AF401" s="621"/>
      <c r="AG401" s="621"/>
      <c r="AH401" s="622">
        <f t="shared" si="115"/>
        <v>0.19999999999999929</v>
      </c>
      <c r="AI401" s="609">
        <f t="shared" si="125"/>
        <v>23.8</v>
      </c>
      <c r="AJ401" s="620">
        <v>10</v>
      </c>
      <c r="AK401" s="620">
        <v>8.1999999999999993</v>
      </c>
      <c r="AL401" s="620">
        <v>7</v>
      </c>
      <c r="AM401" s="623">
        <f t="shared" si="116"/>
        <v>25.2</v>
      </c>
      <c r="AN401" s="621"/>
      <c r="AO401" s="621"/>
      <c r="AP401" s="621"/>
      <c r="AQ401" s="622">
        <f t="shared" si="117"/>
        <v>1.3999999999999986</v>
      </c>
      <c r="AR401" s="615">
        <f t="shared" si="126"/>
        <v>14.5</v>
      </c>
      <c r="AS401" s="620">
        <v>10.8</v>
      </c>
      <c r="AT401" s="620">
        <v>3</v>
      </c>
      <c r="AU401" s="620">
        <v>10</v>
      </c>
      <c r="AV401" s="623">
        <f t="shared" si="118"/>
        <v>23.8</v>
      </c>
      <c r="AW401" s="621"/>
      <c r="AX401" s="621"/>
      <c r="AY401" s="621">
        <v>90</v>
      </c>
      <c r="AZ401" s="624">
        <f t="shared" si="119"/>
        <v>9.3000000000000007</v>
      </c>
      <c r="BA401" s="623">
        <v>14.5</v>
      </c>
      <c r="BB401" s="620">
        <v>6.9</v>
      </c>
      <c r="BC401" s="620">
        <v>4.0999999999999996</v>
      </c>
      <c r="BD401" s="623">
        <f t="shared" si="120"/>
        <v>11</v>
      </c>
      <c r="BE401" s="621"/>
      <c r="BF401" s="621"/>
      <c r="BG401" s="621"/>
      <c r="BH401" s="621">
        <f t="shared" si="121"/>
        <v>3.5</v>
      </c>
    </row>
    <row r="402" spans="1:60" ht="17.25" thickTop="1" thickBot="1" x14ac:dyDescent="0.3">
      <c r="A402" s="602">
        <v>395</v>
      </c>
      <c r="B402" s="603">
        <f t="shared" ca="1" si="109"/>
        <v>43134</v>
      </c>
      <c r="C402" s="29" t="s">
        <v>614</v>
      </c>
      <c r="D402" s="59" t="s">
        <v>2898</v>
      </c>
      <c r="E402" s="22" t="s">
        <v>585</v>
      </c>
      <c r="F402" s="239" t="s">
        <v>1013</v>
      </c>
      <c r="G402" s="567">
        <v>42697</v>
      </c>
      <c r="H402" s="609">
        <f t="shared" si="122"/>
        <v>0</v>
      </c>
      <c r="I402" s="620"/>
      <c r="J402" s="620"/>
      <c r="K402" s="620"/>
      <c r="L402" s="611">
        <f t="shared" si="110"/>
        <v>0</v>
      </c>
      <c r="M402" s="621"/>
      <c r="N402" s="621"/>
      <c r="O402" s="621"/>
      <c r="P402" s="622">
        <f t="shared" si="111"/>
        <v>0</v>
      </c>
      <c r="Q402" s="609">
        <f t="shared" si="123"/>
        <v>25</v>
      </c>
      <c r="R402" s="620"/>
      <c r="S402" s="620"/>
      <c r="T402" s="620"/>
      <c r="U402" s="611">
        <f t="shared" si="112"/>
        <v>0</v>
      </c>
      <c r="V402" s="621"/>
      <c r="W402" s="621"/>
      <c r="X402" s="621"/>
      <c r="Y402" s="622">
        <f t="shared" si="113"/>
        <v>-25</v>
      </c>
      <c r="Z402" s="609">
        <f t="shared" si="124"/>
        <v>25</v>
      </c>
      <c r="AA402" s="620">
        <v>12</v>
      </c>
      <c r="AB402" s="620"/>
      <c r="AC402" s="620">
        <v>10</v>
      </c>
      <c r="AD402" s="611">
        <f t="shared" si="114"/>
        <v>22</v>
      </c>
      <c r="AE402" s="621"/>
      <c r="AF402" s="621"/>
      <c r="AG402" s="621"/>
      <c r="AH402" s="622">
        <f t="shared" si="115"/>
        <v>-3</v>
      </c>
      <c r="AI402" s="609">
        <f t="shared" si="125"/>
        <v>22.2</v>
      </c>
      <c r="AJ402" s="620">
        <v>13</v>
      </c>
      <c r="AK402" s="620"/>
      <c r="AL402" s="620">
        <v>12</v>
      </c>
      <c r="AM402" s="623">
        <f t="shared" si="116"/>
        <v>25</v>
      </c>
      <c r="AN402" s="621"/>
      <c r="AO402" s="621"/>
      <c r="AP402" s="621"/>
      <c r="AQ402" s="622">
        <f t="shared" si="117"/>
        <v>2.8000000000000007</v>
      </c>
      <c r="AR402" s="615">
        <f t="shared" si="126"/>
        <v>29.8</v>
      </c>
      <c r="AS402" s="620">
        <v>11</v>
      </c>
      <c r="AT402" s="620">
        <v>4</v>
      </c>
      <c r="AU402" s="620">
        <v>7.2</v>
      </c>
      <c r="AV402" s="623">
        <f t="shared" si="118"/>
        <v>22.2</v>
      </c>
      <c r="AW402" s="621">
        <v>3.94</v>
      </c>
      <c r="AX402" s="621">
        <v>3.42</v>
      </c>
      <c r="AY402" s="621">
        <v>90</v>
      </c>
      <c r="AZ402" s="624">
        <f t="shared" si="119"/>
        <v>-7.6000000000000014</v>
      </c>
      <c r="BA402" s="623">
        <v>29.8</v>
      </c>
      <c r="BB402" s="620">
        <v>15</v>
      </c>
      <c r="BC402" s="620">
        <v>11.8</v>
      </c>
      <c r="BD402" s="623">
        <f t="shared" si="120"/>
        <v>26.8</v>
      </c>
      <c r="BE402" s="621"/>
      <c r="BF402" s="621"/>
      <c r="BG402" s="621"/>
      <c r="BH402" s="621">
        <f t="shared" si="121"/>
        <v>3</v>
      </c>
    </row>
    <row r="403" spans="1:60" ht="17.25" thickTop="1" thickBot="1" x14ac:dyDescent="0.3">
      <c r="A403" s="77">
        <v>396</v>
      </c>
      <c r="B403" s="603">
        <f t="shared" ca="1" si="109"/>
        <v>43134</v>
      </c>
      <c r="C403" s="29" t="s">
        <v>614</v>
      </c>
      <c r="D403" s="59" t="s">
        <v>2898</v>
      </c>
      <c r="E403" s="22" t="s">
        <v>1487</v>
      </c>
      <c r="F403" s="27" t="s">
        <v>1469</v>
      </c>
      <c r="G403" s="567">
        <v>42873</v>
      </c>
      <c r="H403" s="609">
        <f t="shared" si="122"/>
        <v>20</v>
      </c>
      <c r="I403" s="620">
        <v>7.5</v>
      </c>
      <c r="J403" s="620">
        <v>7</v>
      </c>
      <c r="K403" s="620">
        <v>7</v>
      </c>
      <c r="L403" s="611">
        <f t="shared" si="110"/>
        <v>21.5</v>
      </c>
      <c r="M403" s="621"/>
      <c r="N403" s="621"/>
      <c r="O403" s="621"/>
      <c r="P403" s="622">
        <f t="shared" si="111"/>
        <v>1.5</v>
      </c>
      <c r="Q403" s="609">
        <f t="shared" si="123"/>
        <v>25.6</v>
      </c>
      <c r="R403" s="620">
        <v>8.1999999999999993</v>
      </c>
      <c r="S403" s="620">
        <v>7.8</v>
      </c>
      <c r="T403" s="620">
        <v>4</v>
      </c>
      <c r="U403" s="611">
        <f t="shared" si="112"/>
        <v>20</v>
      </c>
      <c r="V403" s="621"/>
      <c r="W403" s="621"/>
      <c r="X403" s="621"/>
      <c r="Y403" s="622">
        <f t="shared" si="113"/>
        <v>-5.6000000000000014</v>
      </c>
      <c r="Z403" s="609">
        <f t="shared" si="124"/>
        <v>25.6</v>
      </c>
      <c r="AA403" s="620">
        <v>9</v>
      </c>
      <c r="AB403" s="620">
        <v>6.5</v>
      </c>
      <c r="AC403" s="620">
        <v>6</v>
      </c>
      <c r="AD403" s="611">
        <f t="shared" si="114"/>
        <v>21.5</v>
      </c>
      <c r="AE403" s="621"/>
      <c r="AF403" s="621"/>
      <c r="AG403" s="621"/>
      <c r="AH403" s="622">
        <f t="shared" si="115"/>
        <v>-4.1000000000000014</v>
      </c>
      <c r="AI403" s="609">
        <f t="shared" si="125"/>
        <v>30.4</v>
      </c>
      <c r="AJ403" s="620">
        <v>9</v>
      </c>
      <c r="AK403" s="620">
        <v>8.6</v>
      </c>
      <c r="AL403" s="620">
        <v>8</v>
      </c>
      <c r="AM403" s="623">
        <f t="shared" si="116"/>
        <v>25.6</v>
      </c>
      <c r="AN403" s="621"/>
      <c r="AO403" s="621"/>
      <c r="AP403" s="621"/>
      <c r="AQ403" s="622">
        <f t="shared" si="117"/>
        <v>-4.7999999999999972</v>
      </c>
      <c r="AR403" s="615">
        <f t="shared" si="126"/>
        <v>8.5</v>
      </c>
      <c r="AS403" s="620">
        <v>10</v>
      </c>
      <c r="AT403" s="620">
        <v>10.4</v>
      </c>
      <c r="AU403" s="620">
        <v>10</v>
      </c>
      <c r="AV403" s="623">
        <f t="shared" si="118"/>
        <v>30.4</v>
      </c>
      <c r="AW403" s="621">
        <v>3.96</v>
      </c>
      <c r="AX403" s="621">
        <v>2.66</v>
      </c>
      <c r="AY403" s="621">
        <v>90</v>
      </c>
      <c r="AZ403" s="624">
        <f t="shared" si="119"/>
        <v>21.9</v>
      </c>
      <c r="BA403" s="623">
        <v>8.5</v>
      </c>
      <c r="BB403" s="620">
        <v>6.6</v>
      </c>
      <c r="BC403" s="620">
        <v>4</v>
      </c>
      <c r="BD403" s="623">
        <f t="shared" si="120"/>
        <v>10.6</v>
      </c>
      <c r="BE403" s="621"/>
      <c r="BF403" s="621"/>
      <c r="BG403" s="621"/>
      <c r="BH403" s="621">
        <f t="shared" si="121"/>
        <v>-2.0999999999999996</v>
      </c>
    </row>
    <row r="404" spans="1:60" ht="17.25" thickTop="1" thickBot="1" x14ac:dyDescent="0.3">
      <c r="A404" s="602">
        <v>397</v>
      </c>
      <c r="B404" s="603">
        <f t="shared" ca="1" si="109"/>
        <v>43134</v>
      </c>
      <c r="C404" s="29" t="s">
        <v>614</v>
      </c>
      <c r="D404" s="59" t="s">
        <v>2898</v>
      </c>
      <c r="E404" s="22" t="s">
        <v>1494</v>
      </c>
      <c r="F404" s="239" t="s">
        <v>1476</v>
      </c>
      <c r="G404" s="567">
        <v>42807</v>
      </c>
      <c r="H404" s="609">
        <f t="shared" si="122"/>
        <v>20.5</v>
      </c>
      <c r="I404" s="620">
        <v>9</v>
      </c>
      <c r="J404" s="620">
        <v>8</v>
      </c>
      <c r="K404" s="620">
        <v>8.1999999999999993</v>
      </c>
      <c r="L404" s="611">
        <f t="shared" si="110"/>
        <v>25.2</v>
      </c>
      <c r="M404" s="621"/>
      <c r="N404" s="621"/>
      <c r="O404" s="621"/>
      <c r="P404" s="622">
        <f t="shared" si="111"/>
        <v>4.6999999999999993</v>
      </c>
      <c r="Q404" s="609">
        <f t="shared" si="123"/>
        <v>27.2</v>
      </c>
      <c r="R404" s="620">
        <v>7</v>
      </c>
      <c r="S404" s="620">
        <v>6.5</v>
      </c>
      <c r="T404" s="620">
        <v>7</v>
      </c>
      <c r="U404" s="611">
        <f t="shared" si="112"/>
        <v>20.5</v>
      </c>
      <c r="V404" s="621"/>
      <c r="W404" s="621"/>
      <c r="X404" s="621"/>
      <c r="Y404" s="622">
        <f t="shared" si="113"/>
        <v>-6.6999999999999993</v>
      </c>
      <c r="Z404" s="609">
        <f t="shared" si="124"/>
        <v>27.2</v>
      </c>
      <c r="AA404" s="620">
        <v>13</v>
      </c>
      <c r="AB404" s="620"/>
      <c r="AC404" s="620">
        <v>12.4</v>
      </c>
      <c r="AD404" s="611">
        <f t="shared" si="114"/>
        <v>25.4</v>
      </c>
      <c r="AE404" s="621"/>
      <c r="AF404" s="621"/>
      <c r="AG404" s="621"/>
      <c r="AH404" s="622">
        <f t="shared" si="115"/>
        <v>-1.8000000000000007</v>
      </c>
      <c r="AI404" s="609">
        <f t="shared" si="125"/>
        <v>30.799999999999997</v>
      </c>
      <c r="AJ404" s="620">
        <v>12</v>
      </c>
      <c r="AK404" s="620">
        <v>6</v>
      </c>
      <c r="AL404" s="620">
        <v>9.1999999999999993</v>
      </c>
      <c r="AM404" s="623">
        <f t="shared" si="116"/>
        <v>27.2</v>
      </c>
      <c r="AN404" s="621"/>
      <c r="AO404" s="621"/>
      <c r="AP404" s="621"/>
      <c r="AQ404" s="622">
        <f t="shared" si="117"/>
        <v>-3.5999999999999979</v>
      </c>
      <c r="AR404" s="615">
        <f t="shared" si="126"/>
        <v>32.9</v>
      </c>
      <c r="AS404" s="620">
        <v>10.199999999999999</v>
      </c>
      <c r="AT404" s="620">
        <v>10.199999999999999</v>
      </c>
      <c r="AU404" s="620">
        <v>10.4</v>
      </c>
      <c r="AV404" s="623">
        <f t="shared" si="118"/>
        <v>30.799999999999997</v>
      </c>
      <c r="AW404" s="621">
        <v>4.09</v>
      </c>
      <c r="AX404" s="621">
        <v>3.45</v>
      </c>
      <c r="AY404" s="621">
        <v>90</v>
      </c>
      <c r="AZ404" s="624">
        <f t="shared" si="119"/>
        <v>-2.1000000000000014</v>
      </c>
      <c r="BA404" s="623">
        <v>32.9</v>
      </c>
      <c r="BB404" s="620">
        <v>18.2</v>
      </c>
      <c r="BC404" s="620">
        <v>14</v>
      </c>
      <c r="BD404" s="623">
        <f t="shared" si="120"/>
        <v>32.200000000000003</v>
      </c>
      <c r="BE404" s="621"/>
      <c r="BF404" s="621"/>
      <c r="BG404" s="621"/>
      <c r="BH404" s="621">
        <f t="shared" si="121"/>
        <v>0.69999999999999574</v>
      </c>
    </row>
    <row r="405" spans="1:60" ht="17.25" thickTop="1" thickBot="1" x14ac:dyDescent="0.3">
      <c r="A405" s="77">
        <v>398</v>
      </c>
      <c r="B405" s="603">
        <f t="shared" ca="1" si="109"/>
        <v>43134</v>
      </c>
      <c r="C405" s="29" t="s">
        <v>614</v>
      </c>
      <c r="D405" s="59" t="s">
        <v>2898</v>
      </c>
      <c r="E405" s="22" t="s">
        <v>156</v>
      </c>
      <c r="F405" s="27" t="s">
        <v>1396</v>
      </c>
      <c r="G405" s="567">
        <v>42830</v>
      </c>
      <c r="H405" s="609">
        <f t="shared" si="122"/>
        <v>22</v>
      </c>
      <c r="I405" s="620">
        <v>7.4</v>
      </c>
      <c r="J405" s="620">
        <v>5.8</v>
      </c>
      <c r="K405" s="620">
        <v>8</v>
      </c>
      <c r="L405" s="611">
        <f t="shared" si="110"/>
        <v>21.2</v>
      </c>
      <c r="M405" s="621"/>
      <c r="N405" s="621"/>
      <c r="O405" s="621"/>
      <c r="P405" s="622">
        <f t="shared" si="111"/>
        <v>-0.80000000000000071</v>
      </c>
      <c r="Q405" s="609">
        <f t="shared" si="123"/>
        <v>29.6</v>
      </c>
      <c r="R405" s="620">
        <v>10</v>
      </c>
      <c r="S405" s="620">
        <v>5</v>
      </c>
      <c r="T405" s="620">
        <v>7</v>
      </c>
      <c r="U405" s="611">
        <f t="shared" si="112"/>
        <v>22</v>
      </c>
      <c r="V405" s="621"/>
      <c r="W405" s="621"/>
      <c r="X405" s="621"/>
      <c r="Y405" s="622">
        <f t="shared" si="113"/>
        <v>-7.6000000000000014</v>
      </c>
      <c r="Z405" s="609">
        <f t="shared" si="124"/>
        <v>29.6</v>
      </c>
      <c r="AA405" s="620">
        <v>11</v>
      </c>
      <c r="AB405" s="620">
        <v>7</v>
      </c>
      <c r="AC405" s="620">
        <v>7</v>
      </c>
      <c r="AD405" s="611">
        <f t="shared" si="114"/>
        <v>25</v>
      </c>
      <c r="AE405" s="621"/>
      <c r="AF405" s="621"/>
      <c r="AG405" s="621"/>
      <c r="AH405" s="622">
        <f t="shared" si="115"/>
        <v>-4.6000000000000014</v>
      </c>
      <c r="AI405" s="609">
        <f t="shared" si="125"/>
        <v>27.400000000000002</v>
      </c>
      <c r="AJ405" s="620">
        <v>10.6</v>
      </c>
      <c r="AK405" s="620">
        <v>10</v>
      </c>
      <c r="AL405" s="620">
        <v>9</v>
      </c>
      <c r="AM405" s="623">
        <f t="shared" si="116"/>
        <v>29.6</v>
      </c>
      <c r="AN405" s="621"/>
      <c r="AO405" s="621"/>
      <c r="AP405" s="621"/>
      <c r="AQ405" s="622">
        <f t="shared" si="117"/>
        <v>2.1999999999999993</v>
      </c>
      <c r="AR405" s="615">
        <f t="shared" si="126"/>
        <v>0</v>
      </c>
      <c r="AS405" s="620">
        <v>11.6</v>
      </c>
      <c r="AT405" s="620">
        <v>8</v>
      </c>
      <c r="AU405" s="620">
        <v>7.8</v>
      </c>
      <c r="AV405" s="623">
        <f t="shared" si="118"/>
        <v>27.400000000000002</v>
      </c>
      <c r="AW405" s="621">
        <v>3.55</v>
      </c>
      <c r="AX405" s="621">
        <v>3.17</v>
      </c>
      <c r="AY405" s="621">
        <v>90</v>
      </c>
      <c r="AZ405" s="624">
        <f t="shared" si="119"/>
        <v>27.400000000000002</v>
      </c>
      <c r="BA405" s="623"/>
      <c r="BB405" s="620">
        <v>16</v>
      </c>
      <c r="BC405" s="620">
        <v>12.6</v>
      </c>
      <c r="BD405" s="623">
        <f t="shared" si="120"/>
        <v>28.6</v>
      </c>
      <c r="BE405" s="621"/>
      <c r="BF405" s="621"/>
      <c r="BG405" s="621"/>
      <c r="BH405" s="621">
        <f t="shared" si="121"/>
        <v>-28.6</v>
      </c>
    </row>
    <row r="406" spans="1:60" ht="17.25" thickTop="1" thickBot="1" x14ac:dyDescent="0.3">
      <c r="A406" s="602">
        <v>399</v>
      </c>
      <c r="B406" s="603">
        <f t="shared" ca="1" si="109"/>
        <v>43134</v>
      </c>
      <c r="C406" s="29" t="s">
        <v>614</v>
      </c>
      <c r="D406" s="59" t="s">
        <v>2898</v>
      </c>
      <c r="E406" s="22" t="s">
        <v>116</v>
      </c>
      <c r="F406" s="27" t="s">
        <v>531</v>
      </c>
      <c r="G406" s="567">
        <v>42805</v>
      </c>
      <c r="H406" s="609">
        <f t="shared" si="122"/>
        <v>25.4</v>
      </c>
      <c r="I406" s="620">
        <v>8.1999999999999993</v>
      </c>
      <c r="J406" s="620">
        <v>6</v>
      </c>
      <c r="K406" s="620">
        <v>4.2</v>
      </c>
      <c r="L406" s="611">
        <f t="shared" si="110"/>
        <v>18.399999999999999</v>
      </c>
      <c r="M406" s="621"/>
      <c r="N406" s="621"/>
      <c r="O406" s="621"/>
      <c r="P406" s="622">
        <f t="shared" si="111"/>
        <v>-7</v>
      </c>
      <c r="Q406" s="609">
        <f t="shared" si="123"/>
        <v>30</v>
      </c>
      <c r="R406" s="620">
        <v>11</v>
      </c>
      <c r="S406" s="620">
        <v>6.4</v>
      </c>
      <c r="T406" s="620">
        <v>8</v>
      </c>
      <c r="U406" s="611">
        <f t="shared" si="112"/>
        <v>25.4</v>
      </c>
      <c r="V406" s="621"/>
      <c r="W406" s="621"/>
      <c r="X406" s="621"/>
      <c r="Y406" s="622">
        <f t="shared" si="113"/>
        <v>-4.6000000000000014</v>
      </c>
      <c r="Z406" s="609">
        <f t="shared" si="124"/>
        <v>30</v>
      </c>
      <c r="AA406" s="620">
        <v>11</v>
      </c>
      <c r="AB406" s="620">
        <v>8</v>
      </c>
      <c r="AC406" s="620">
        <v>8</v>
      </c>
      <c r="AD406" s="611">
        <f t="shared" si="114"/>
        <v>27</v>
      </c>
      <c r="AE406" s="621"/>
      <c r="AF406" s="621"/>
      <c r="AG406" s="621"/>
      <c r="AH406" s="622">
        <f t="shared" si="115"/>
        <v>-3</v>
      </c>
      <c r="AI406" s="609">
        <f t="shared" si="125"/>
        <v>33</v>
      </c>
      <c r="AJ406" s="620">
        <v>11</v>
      </c>
      <c r="AK406" s="620">
        <v>11</v>
      </c>
      <c r="AL406" s="620">
        <v>8</v>
      </c>
      <c r="AM406" s="623">
        <f t="shared" si="116"/>
        <v>30</v>
      </c>
      <c r="AN406" s="621"/>
      <c r="AO406" s="621"/>
      <c r="AP406" s="621"/>
      <c r="AQ406" s="622">
        <f t="shared" si="117"/>
        <v>-3</v>
      </c>
      <c r="AR406" s="615">
        <f t="shared" si="126"/>
        <v>30.5</v>
      </c>
      <c r="AS406" s="620">
        <v>13</v>
      </c>
      <c r="AT406" s="620">
        <v>10</v>
      </c>
      <c r="AU406" s="620">
        <v>10</v>
      </c>
      <c r="AV406" s="623">
        <f t="shared" si="118"/>
        <v>33</v>
      </c>
      <c r="AW406" s="621">
        <v>1.72</v>
      </c>
      <c r="AX406" s="621">
        <v>1.56</v>
      </c>
      <c r="AY406" s="621">
        <v>90</v>
      </c>
      <c r="AZ406" s="624">
        <f t="shared" si="119"/>
        <v>2.5</v>
      </c>
      <c r="BA406" s="623">
        <v>30.5</v>
      </c>
      <c r="BB406" s="620">
        <v>16</v>
      </c>
      <c r="BC406" s="620">
        <v>17</v>
      </c>
      <c r="BD406" s="623">
        <f t="shared" si="120"/>
        <v>33</v>
      </c>
      <c r="BE406" s="621"/>
      <c r="BF406" s="621"/>
      <c r="BG406" s="621"/>
      <c r="BH406" s="621">
        <f t="shared" si="121"/>
        <v>-2.5</v>
      </c>
    </row>
    <row r="407" spans="1:60" ht="17.25" thickTop="1" thickBot="1" x14ac:dyDescent="0.3">
      <c r="A407" s="77">
        <v>400</v>
      </c>
      <c r="B407" s="603">
        <f t="shared" ca="1" si="109"/>
        <v>43134</v>
      </c>
      <c r="C407" s="29" t="s">
        <v>614</v>
      </c>
      <c r="D407" s="59" t="s">
        <v>2898</v>
      </c>
      <c r="E407" s="22" t="s">
        <v>369</v>
      </c>
      <c r="F407" s="27" t="s">
        <v>675</v>
      </c>
      <c r="G407" s="567">
        <v>42877</v>
      </c>
      <c r="H407" s="609">
        <f t="shared" si="122"/>
        <v>20.399999999999999</v>
      </c>
      <c r="I407" s="620">
        <v>6.5</v>
      </c>
      <c r="J407" s="620">
        <v>8.1999999999999993</v>
      </c>
      <c r="K407" s="620">
        <v>8</v>
      </c>
      <c r="L407" s="611">
        <f t="shared" si="110"/>
        <v>22.7</v>
      </c>
      <c r="M407" s="621"/>
      <c r="N407" s="621"/>
      <c r="O407" s="621"/>
      <c r="P407" s="622">
        <f t="shared" si="111"/>
        <v>2.3000000000000007</v>
      </c>
      <c r="Q407" s="609">
        <f t="shared" si="123"/>
        <v>25.6</v>
      </c>
      <c r="R407" s="620">
        <v>5</v>
      </c>
      <c r="S407" s="620">
        <v>8.4</v>
      </c>
      <c r="T407" s="620">
        <v>7</v>
      </c>
      <c r="U407" s="611">
        <f t="shared" si="112"/>
        <v>20.399999999999999</v>
      </c>
      <c r="V407" s="621"/>
      <c r="W407" s="621"/>
      <c r="X407" s="621"/>
      <c r="Y407" s="622">
        <f t="shared" si="113"/>
        <v>-5.2000000000000028</v>
      </c>
      <c r="Z407" s="609">
        <f t="shared" si="124"/>
        <v>25.6</v>
      </c>
      <c r="AA407" s="620">
        <v>12.5</v>
      </c>
      <c r="AB407" s="620">
        <v>8.6</v>
      </c>
      <c r="AC407" s="620">
        <v>6</v>
      </c>
      <c r="AD407" s="611">
        <f t="shared" si="114"/>
        <v>27.1</v>
      </c>
      <c r="AE407" s="621"/>
      <c r="AF407" s="621"/>
      <c r="AG407" s="621"/>
      <c r="AH407" s="622">
        <f t="shared" si="115"/>
        <v>1.5</v>
      </c>
      <c r="AI407" s="609">
        <f t="shared" si="125"/>
        <v>27.4</v>
      </c>
      <c r="AJ407" s="620">
        <v>10</v>
      </c>
      <c r="AK407" s="620">
        <v>7</v>
      </c>
      <c r="AL407" s="620">
        <v>8.6</v>
      </c>
      <c r="AM407" s="623">
        <f t="shared" si="116"/>
        <v>25.6</v>
      </c>
      <c r="AN407" s="621"/>
      <c r="AO407" s="621"/>
      <c r="AP407" s="621"/>
      <c r="AQ407" s="622">
        <f t="shared" si="117"/>
        <v>-1.7999999999999972</v>
      </c>
      <c r="AR407" s="615">
        <f t="shared" si="126"/>
        <v>13.2</v>
      </c>
      <c r="AS407" s="620">
        <v>10.4</v>
      </c>
      <c r="AT407" s="620">
        <v>5</v>
      </c>
      <c r="AU407" s="620">
        <v>12</v>
      </c>
      <c r="AV407" s="623">
        <f t="shared" si="118"/>
        <v>27.4</v>
      </c>
      <c r="AW407" s="621">
        <v>4.96</v>
      </c>
      <c r="AX407" s="621">
        <v>2.98</v>
      </c>
      <c r="AY407" s="621">
        <v>90</v>
      </c>
      <c r="AZ407" s="624">
        <f t="shared" si="119"/>
        <v>14.2</v>
      </c>
      <c r="BA407" s="623">
        <v>13.2</v>
      </c>
      <c r="BB407" s="620">
        <v>5.9</v>
      </c>
      <c r="BC407" s="620">
        <v>9.6</v>
      </c>
      <c r="BD407" s="623">
        <f t="shared" si="120"/>
        <v>15.5</v>
      </c>
      <c r="BE407" s="621"/>
      <c r="BF407" s="621"/>
      <c r="BG407" s="621"/>
      <c r="BH407" s="621">
        <f t="shared" si="121"/>
        <v>-2.3000000000000007</v>
      </c>
    </row>
    <row r="408" spans="1:60" ht="17.25" thickTop="1" thickBot="1" x14ac:dyDescent="0.3">
      <c r="A408" s="602">
        <v>401</v>
      </c>
      <c r="B408" s="603">
        <f t="shared" ca="1" si="109"/>
        <v>43134</v>
      </c>
      <c r="C408" s="29" t="s">
        <v>614</v>
      </c>
      <c r="D408" s="59" t="s">
        <v>2898</v>
      </c>
      <c r="E408" s="18" t="s">
        <v>27</v>
      </c>
      <c r="F408" s="27" t="s">
        <v>28</v>
      </c>
      <c r="G408" s="567">
        <v>42872</v>
      </c>
      <c r="H408" s="609">
        <f t="shared" si="122"/>
        <v>27</v>
      </c>
      <c r="I408" s="620">
        <v>10</v>
      </c>
      <c r="J408" s="620">
        <v>10</v>
      </c>
      <c r="K408" s="620">
        <v>13.6</v>
      </c>
      <c r="L408" s="611">
        <f t="shared" si="110"/>
        <v>33.6</v>
      </c>
      <c r="M408" s="621"/>
      <c r="N408" s="621"/>
      <c r="O408" s="621"/>
      <c r="P408" s="622">
        <f t="shared" si="111"/>
        <v>6.6000000000000014</v>
      </c>
      <c r="Q408" s="609">
        <f t="shared" si="123"/>
        <v>32</v>
      </c>
      <c r="R408" s="620">
        <v>11.2</v>
      </c>
      <c r="S408" s="620">
        <v>8.5</v>
      </c>
      <c r="T408" s="620">
        <v>7.3</v>
      </c>
      <c r="U408" s="611">
        <f t="shared" si="112"/>
        <v>27</v>
      </c>
      <c r="V408" s="621"/>
      <c r="W408" s="621"/>
      <c r="X408" s="621"/>
      <c r="Y408" s="622">
        <f t="shared" si="113"/>
        <v>-5</v>
      </c>
      <c r="Z408" s="609">
        <f t="shared" si="124"/>
        <v>32</v>
      </c>
      <c r="AA408" s="620">
        <v>12.6</v>
      </c>
      <c r="AB408" s="620">
        <v>16</v>
      </c>
      <c r="AC408" s="620">
        <v>10</v>
      </c>
      <c r="AD408" s="611">
        <f t="shared" si="114"/>
        <v>38.6</v>
      </c>
      <c r="AE408" s="621"/>
      <c r="AF408" s="621"/>
      <c r="AG408" s="621"/>
      <c r="AH408" s="622">
        <f t="shared" si="115"/>
        <v>6.6000000000000014</v>
      </c>
      <c r="AI408" s="609">
        <f t="shared" si="125"/>
        <v>36.200000000000003</v>
      </c>
      <c r="AJ408" s="620">
        <v>12</v>
      </c>
      <c r="AK408" s="620">
        <v>10</v>
      </c>
      <c r="AL408" s="620">
        <v>10</v>
      </c>
      <c r="AM408" s="623">
        <f t="shared" si="116"/>
        <v>32</v>
      </c>
      <c r="AN408" s="621"/>
      <c r="AO408" s="621"/>
      <c r="AP408" s="621"/>
      <c r="AQ408" s="622">
        <f t="shared" si="117"/>
        <v>-4.2000000000000028</v>
      </c>
      <c r="AR408" s="615">
        <f t="shared" si="126"/>
        <v>18.399999999999999</v>
      </c>
      <c r="AS408" s="620">
        <v>13</v>
      </c>
      <c r="AT408" s="620">
        <v>10.199999999999999</v>
      </c>
      <c r="AU408" s="620">
        <v>13</v>
      </c>
      <c r="AV408" s="623">
        <f t="shared" si="118"/>
        <v>36.200000000000003</v>
      </c>
      <c r="AW408" s="621">
        <v>3.23</v>
      </c>
      <c r="AX408" s="621">
        <v>2.85</v>
      </c>
      <c r="AY408" s="621">
        <v>90</v>
      </c>
      <c r="AZ408" s="624">
        <f t="shared" si="119"/>
        <v>17.800000000000004</v>
      </c>
      <c r="BA408" s="623">
        <v>18.399999999999999</v>
      </c>
      <c r="BB408" s="620">
        <v>8.3000000000000007</v>
      </c>
      <c r="BC408" s="620">
        <v>9.1999999999999993</v>
      </c>
      <c r="BD408" s="623">
        <f t="shared" si="120"/>
        <v>17.5</v>
      </c>
      <c r="BE408" s="621"/>
      <c r="BF408" s="621"/>
      <c r="BG408" s="621"/>
      <c r="BH408" s="621">
        <f t="shared" si="121"/>
        <v>0.89999999999999858</v>
      </c>
    </row>
    <row r="409" spans="1:60" ht="17.25" thickTop="1" thickBot="1" x14ac:dyDescent="0.3">
      <c r="A409" s="77">
        <v>402</v>
      </c>
      <c r="B409" s="603">
        <f t="shared" ca="1" si="109"/>
        <v>43134</v>
      </c>
      <c r="C409" s="29" t="s">
        <v>614</v>
      </c>
      <c r="D409" s="59" t="s">
        <v>2898</v>
      </c>
      <c r="E409" s="22" t="s">
        <v>446</v>
      </c>
      <c r="F409" s="27" t="s">
        <v>447</v>
      </c>
      <c r="G409" s="567">
        <v>42712</v>
      </c>
      <c r="H409" s="609">
        <f t="shared" si="122"/>
        <v>19.5</v>
      </c>
      <c r="I409" s="620">
        <v>8.4</v>
      </c>
      <c r="J409" s="620"/>
      <c r="K409" s="620">
        <v>15</v>
      </c>
      <c r="L409" s="611">
        <f t="shared" si="110"/>
        <v>23.4</v>
      </c>
      <c r="M409" s="621"/>
      <c r="N409" s="621"/>
      <c r="O409" s="621"/>
      <c r="P409" s="622">
        <f t="shared" si="111"/>
        <v>3.8999999999999986</v>
      </c>
      <c r="Q409" s="609">
        <f t="shared" si="123"/>
        <v>25</v>
      </c>
      <c r="R409" s="620">
        <v>7</v>
      </c>
      <c r="S409" s="620">
        <v>6.5</v>
      </c>
      <c r="T409" s="620">
        <v>6</v>
      </c>
      <c r="U409" s="611">
        <f t="shared" si="112"/>
        <v>19.5</v>
      </c>
      <c r="V409" s="621"/>
      <c r="W409" s="621"/>
      <c r="X409" s="621"/>
      <c r="Y409" s="622">
        <f t="shared" si="113"/>
        <v>-5.5</v>
      </c>
      <c r="Z409" s="609">
        <f t="shared" si="124"/>
        <v>25</v>
      </c>
      <c r="AA409" s="620">
        <v>14.6</v>
      </c>
      <c r="AB409" s="620"/>
      <c r="AC409" s="620">
        <v>11</v>
      </c>
      <c r="AD409" s="611">
        <f t="shared" si="114"/>
        <v>25.6</v>
      </c>
      <c r="AE409" s="621"/>
      <c r="AF409" s="621"/>
      <c r="AG409" s="621"/>
      <c r="AH409" s="622">
        <f t="shared" si="115"/>
        <v>0.60000000000000142</v>
      </c>
      <c r="AI409" s="609">
        <f t="shared" si="125"/>
        <v>30</v>
      </c>
      <c r="AJ409" s="620">
        <v>9</v>
      </c>
      <c r="AK409" s="620">
        <v>8</v>
      </c>
      <c r="AL409" s="620">
        <v>8</v>
      </c>
      <c r="AM409" s="623">
        <f t="shared" si="116"/>
        <v>25</v>
      </c>
      <c r="AN409" s="621"/>
      <c r="AO409" s="621"/>
      <c r="AP409" s="621"/>
      <c r="AQ409" s="622">
        <f t="shared" si="117"/>
        <v>-5</v>
      </c>
      <c r="AR409" s="615">
        <f t="shared" si="126"/>
        <v>34</v>
      </c>
      <c r="AS409" s="620">
        <v>12</v>
      </c>
      <c r="AT409" s="620">
        <v>8</v>
      </c>
      <c r="AU409" s="620">
        <v>10</v>
      </c>
      <c r="AV409" s="623">
        <f t="shared" si="118"/>
        <v>30</v>
      </c>
      <c r="AW409" s="621">
        <v>3.73</v>
      </c>
      <c r="AX409" s="621">
        <v>3.91</v>
      </c>
      <c r="AY409" s="621">
        <v>90</v>
      </c>
      <c r="AZ409" s="624">
        <f t="shared" si="119"/>
        <v>-4</v>
      </c>
      <c r="BA409" s="623">
        <v>34</v>
      </c>
      <c r="BB409" s="620">
        <v>18</v>
      </c>
      <c r="BC409" s="620">
        <v>14</v>
      </c>
      <c r="BD409" s="623">
        <f t="shared" si="120"/>
        <v>32</v>
      </c>
      <c r="BE409" s="621"/>
      <c r="BF409" s="621"/>
      <c r="BG409" s="621"/>
      <c r="BH409" s="621">
        <f t="shared" si="121"/>
        <v>2</v>
      </c>
    </row>
    <row r="410" spans="1:60" ht="17.25" thickTop="1" thickBot="1" x14ac:dyDescent="0.3">
      <c r="A410" s="602">
        <v>403</v>
      </c>
      <c r="B410" s="603">
        <f t="shared" ca="1" si="109"/>
        <v>43134</v>
      </c>
      <c r="C410" s="29" t="s">
        <v>2404</v>
      </c>
      <c r="D410" s="59" t="s">
        <v>1456</v>
      </c>
      <c r="E410" s="22" t="s">
        <v>749</v>
      </c>
      <c r="F410" s="27" t="s">
        <v>750</v>
      </c>
      <c r="G410" s="567">
        <v>42467</v>
      </c>
      <c r="H410" s="609">
        <f t="shared" si="122"/>
        <v>23.6</v>
      </c>
      <c r="I410" s="620">
        <v>6.6</v>
      </c>
      <c r="J410" s="620"/>
      <c r="K410" s="620">
        <v>6</v>
      </c>
      <c r="L410" s="611">
        <f t="shared" si="110"/>
        <v>12.6</v>
      </c>
      <c r="M410" s="621"/>
      <c r="N410" s="621"/>
      <c r="O410" s="621"/>
      <c r="P410" s="622">
        <f t="shared" si="111"/>
        <v>-11.000000000000002</v>
      </c>
      <c r="Q410" s="609">
        <f t="shared" si="123"/>
        <v>18.5</v>
      </c>
      <c r="R410" s="620">
        <v>12.2</v>
      </c>
      <c r="S410" s="620"/>
      <c r="T410" s="620">
        <v>11.4</v>
      </c>
      <c r="U410" s="611">
        <f t="shared" si="112"/>
        <v>23.6</v>
      </c>
      <c r="V410" s="621"/>
      <c r="W410" s="621"/>
      <c r="X410" s="621"/>
      <c r="Y410" s="622">
        <f t="shared" si="113"/>
        <v>5.1000000000000014</v>
      </c>
      <c r="Z410" s="609">
        <f t="shared" si="124"/>
        <v>18.5</v>
      </c>
      <c r="AA410" s="620">
        <v>8.1999999999999993</v>
      </c>
      <c r="AB410" s="620">
        <v>7</v>
      </c>
      <c r="AC410" s="620">
        <v>6.2</v>
      </c>
      <c r="AD410" s="611">
        <f t="shared" si="114"/>
        <v>21.4</v>
      </c>
      <c r="AE410" s="621"/>
      <c r="AF410" s="621"/>
      <c r="AG410" s="621"/>
      <c r="AH410" s="622">
        <f t="shared" si="115"/>
        <v>2.8999999999999986</v>
      </c>
      <c r="AI410" s="609">
        <f t="shared" si="125"/>
        <v>33.5</v>
      </c>
      <c r="AJ410" s="620">
        <v>8</v>
      </c>
      <c r="AK410" s="620">
        <v>4.5</v>
      </c>
      <c r="AL410" s="620">
        <v>6</v>
      </c>
      <c r="AM410" s="623">
        <f t="shared" si="116"/>
        <v>18.5</v>
      </c>
      <c r="AN410" s="621"/>
      <c r="AO410" s="621"/>
      <c r="AP410" s="621"/>
      <c r="AQ410" s="622">
        <f t="shared" si="117"/>
        <v>-15</v>
      </c>
      <c r="AR410" s="615">
        <f t="shared" si="126"/>
        <v>0</v>
      </c>
      <c r="AS410" s="620">
        <v>17.5</v>
      </c>
      <c r="AT410" s="620">
        <v>9.4</v>
      </c>
      <c r="AU410" s="620">
        <v>6.6</v>
      </c>
      <c r="AV410" s="623">
        <f t="shared" si="118"/>
        <v>33.5</v>
      </c>
      <c r="AW410" s="621"/>
      <c r="AX410" s="621"/>
      <c r="AY410" s="621"/>
      <c r="AZ410" s="624">
        <f t="shared" si="119"/>
        <v>33.5</v>
      </c>
      <c r="BA410" s="623"/>
      <c r="BB410" s="620"/>
      <c r="BC410" s="620"/>
      <c r="BD410" s="623">
        <f t="shared" si="120"/>
        <v>0</v>
      </c>
      <c r="BE410" s="621"/>
      <c r="BF410" s="621"/>
      <c r="BG410" s="621"/>
      <c r="BH410" s="621">
        <f t="shared" si="121"/>
        <v>0</v>
      </c>
    </row>
    <row r="411" spans="1:60" ht="17.25" thickTop="1" thickBot="1" x14ac:dyDescent="0.3">
      <c r="A411" s="77">
        <v>404</v>
      </c>
      <c r="B411" s="603">
        <f t="shared" ca="1" si="109"/>
        <v>43134</v>
      </c>
      <c r="C411" s="29" t="s">
        <v>2404</v>
      </c>
      <c r="D411" s="59" t="s">
        <v>2432</v>
      </c>
      <c r="E411" s="22" t="s">
        <v>108</v>
      </c>
      <c r="F411" s="239" t="s">
        <v>109</v>
      </c>
      <c r="G411" s="567">
        <v>42359</v>
      </c>
      <c r="H411" s="609">
        <f t="shared" si="122"/>
        <v>36</v>
      </c>
      <c r="I411" s="620">
        <v>11</v>
      </c>
      <c r="J411" s="620">
        <v>9.4</v>
      </c>
      <c r="K411" s="620">
        <v>9.5</v>
      </c>
      <c r="L411" s="611">
        <f t="shared" si="110"/>
        <v>29.9</v>
      </c>
      <c r="M411" s="621"/>
      <c r="N411" s="621"/>
      <c r="O411" s="621"/>
      <c r="P411" s="622">
        <f t="shared" si="111"/>
        <v>-6.1000000000000014</v>
      </c>
      <c r="Q411" s="609">
        <f t="shared" si="123"/>
        <v>20.5</v>
      </c>
      <c r="R411" s="620">
        <v>12.6</v>
      </c>
      <c r="S411" s="620">
        <v>13.6</v>
      </c>
      <c r="T411" s="620">
        <v>9.8000000000000007</v>
      </c>
      <c r="U411" s="611">
        <f t="shared" si="112"/>
        <v>36</v>
      </c>
      <c r="V411" s="621"/>
      <c r="W411" s="621"/>
      <c r="X411" s="621"/>
      <c r="Y411" s="622">
        <f t="shared" si="113"/>
        <v>15.5</v>
      </c>
      <c r="Z411" s="609">
        <f t="shared" si="124"/>
        <v>20.5</v>
      </c>
      <c r="AA411" s="620">
        <v>13</v>
      </c>
      <c r="AB411" s="620">
        <v>9</v>
      </c>
      <c r="AC411" s="620">
        <v>9.1999999999999993</v>
      </c>
      <c r="AD411" s="611">
        <f t="shared" si="114"/>
        <v>31.2</v>
      </c>
      <c r="AE411" s="621"/>
      <c r="AF411" s="621"/>
      <c r="AG411" s="621"/>
      <c r="AH411" s="622">
        <f t="shared" si="115"/>
        <v>10.7</v>
      </c>
      <c r="AI411" s="609">
        <f t="shared" si="125"/>
        <v>0</v>
      </c>
      <c r="AJ411" s="620">
        <v>6.5</v>
      </c>
      <c r="AK411" s="620">
        <v>6.1</v>
      </c>
      <c r="AL411" s="620">
        <v>7.9</v>
      </c>
      <c r="AM411" s="623">
        <f t="shared" si="116"/>
        <v>20.5</v>
      </c>
      <c r="AN411" s="621"/>
      <c r="AO411" s="621"/>
      <c r="AP411" s="621"/>
      <c r="AQ411" s="622">
        <f t="shared" si="117"/>
        <v>20.5</v>
      </c>
      <c r="AR411" s="615">
        <f t="shared" si="126"/>
        <v>0</v>
      </c>
      <c r="AS411" s="620"/>
      <c r="AT411" s="620"/>
      <c r="AU411" s="620"/>
      <c r="AV411" s="623">
        <f t="shared" si="118"/>
        <v>0</v>
      </c>
      <c r="AW411" s="621"/>
      <c r="AX411" s="621"/>
      <c r="AY411" s="621"/>
      <c r="AZ411" s="624">
        <f t="shared" si="119"/>
        <v>0</v>
      </c>
      <c r="BA411" s="623"/>
      <c r="BB411" s="620"/>
      <c r="BC411" s="620"/>
      <c r="BD411" s="623">
        <f t="shared" si="120"/>
        <v>0</v>
      </c>
      <c r="BE411" s="621"/>
      <c r="BF411" s="621"/>
      <c r="BG411" s="621"/>
      <c r="BH411" s="621">
        <f t="shared" si="121"/>
        <v>0</v>
      </c>
    </row>
    <row r="412" spans="1:60" ht="17.25" thickTop="1" thickBot="1" x14ac:dyDescent="0.3">
      <c r="A412" s="602">
        <v>405</v>
      </c>
      <c r="B412" s="603">
        <f t="shared" ca="1" si="109"/>
        <v>43134</v>
      </c>
      <c r="C412" s="29" t="s">
        <v>2404</v>
      </c>
      <c r="D412" s="59" t="s">
        <v>1456</v>
      </c>
      <c r="E412" s="22" t="s">
        <v>81</v>
      </c>
      <c r="F412" s="295" t="s">
        <v>869</v>
      </c>
      <c r="G412" s="567">
        <v>42570</v>
      </c>
      <c r="H412" s="609">
        <f t="shared" si="122"/>
        <v>14.1</v>
      </c>
      <c r="I412" s="620">
        <v>6</v>
      </c>
      <c r="J412" s="620">
        <v>7</v>
      </c>
      <c r="K412" s="620">
        <v>7</v>
      </c>
      <c r="L412" s="611">
        <f t="shared" si="110"/>
        <v>20</v>
      </c>
      <c r="M412" s="621"/>
      <c r="N412" s="621"/>
      <c r="O412" s="621"/>
      <c r="P412" s="622">
        <f t="shared" si="111"/>
        <v>5.9</v>
      </c>
      <c r="Q412" s="609">
        <f t="shared" si="123"/>
        <v>18</v>
      </c>
      <c r="R412" s="620">
        <v>6</v>
      </c>
      <c r="S412" s="620">
        <v>4.5</v>
      </c>
      <c r="T412" s="620">
        <v>3.6</v>
      </c>
      <c r="U412" s="611">
        <f t="shared" si="112"/>
        <v>14.1</v>
      </c>
      <c r="V412" s="621"/>
      <c r="W412" s="621"/>
      <c r="X412" s="621"/>
      <c r="Y412" s="622">
        <f t="shared" si="113"/>
        <v>-3.9000000000000004</v>
      </c>
      <c r="Z412" s="609">
        <f t="shared" si="124"/>
        <v>18</v>
      </c>
      <c r="AA412" s="620">
        <v>8.5</v>
      </c>
      <c r="AB412" s="620">
        <v>5</v>
      </c>
      <c r="AC412" s="620">
        <v>6.4</v>
      </c>
      <c r="AD412" s="611">
        <f t="shared" si="114"/>
        <v>19.899999999999999</v>
      </c>
      <c r="AE412" s="621"/>
      <c r="AF412" s="621"/>
      <c r="AG412" s="621"/>
      <c r="AH412" s="622">
        <f t="shared" si="115"/>
        <v>1.8999999999999986</v>
      </c>
      <c r="AI412" s="609">
        <f t="shared" si="125"/>
        <v>14.2</v>
      </c>
      <c r="AJ412" s="620">
        <v>8</v>
      </c>
      <c r="AK412" s="620">
        <v>4.5</v>
      </c>
      <c r="AL412" s="620">
        <v>5.5</v>
      </c>
      <c r="AM412" s="623">
        <f t="shared" si="116"/>
        <v>18</v>
      </c>
      <c r="AN412" s="621"/>
      <c r="AO412" s="621"/>
      <c r="AP412" s="621"/>
      <c r="AQ412" s="622">
        <f t="shared" si="117"/>
        <v>3.8000000000000007</v>
      </c>
      <c r="AR412" s="615">
        <f t="shared" si="126"/>
        <v>0</v>
      </c>
      <c r="AS412" s="620">
        <v>7</v>
      </c>
      <c r="AT412" s="620">
        <v>4.2</v>
      </c>
      <c r="AU412" s="620">
        <v>3</v>
      </c>
      <c r="AV412" s="623">
        <f t="shared" si="118"/>
        <v>14.2</v>
      </c>
      <c r="AW412" s="621"/>
      <c r="AX412" s="621"/>
      <c r="AY412" s="621"/>
      <c r="AZ412" s="624">
        <f t="shared" si="119"/>
        <v>14.2</v>
      </c>
      <c r="BA412" s="623"/>
      <c r="BB412" s="620"/>
      <c r="BC412" s="620"/>
      <c r="BD412" s="623">
        <f t="shared" si="120"/>
        <v>0</v>
      </c>
      <c r="BE412" s="621"/>
      <c r="BF412" s="621"/>
      <c r="BG412" s="621"/>
      <c r="BH412" s="621">
        <f t="shared" si="121"/>
        <v>0</v>
      </c>
    </row>
    <row r="413" spans="1:60" ht="17.25" thickTop="1" thickBot="1" x14ac:dyDescent="0.3">
      <c r="A413" s="77">
        <v>406</v>
      </c>
      <c r="B413" s="603">
        <f t="shared" ca="1" si="109"/>
        <v>43134</v>
      </c>
      <c r="C413" s="29" t="s">
        <v>2404</v>
      </c>
      <c r="D413" s="59" t="s">
        <v>1456</v>
      </c>
      <c r="E413" s="22" t="s">
        <v>874</v>
      </c>
      <c r="F413" s="295" t="s">
        <v>875</v>
      </c>
      <c r="G413" s="567">
        <v>42572</v>
      </c>
      <c r="H413" s="609">
        <f t="shared" si="122"/>
        <v>19.399999999999999</v>
      </c>
      <c r="I413" s="620">
        <v>7</v>
      </c>
      <c r="J413" s="620">
        <v>6</v>
      </c>
      <c r="K413" s="620">
        <v>6</v>
      </c>
      <c r="L413" s="611">
        <f t="shared" si="110"/>
        <v>19</v>
      </c>
      <c r="M413" s="621"/>
      <c r="N413" s="621"/>
      <c r="O413" s="621"/>
      <c r="P413" s="622">
        <f t="shared" si="111"/>
        <v>-0.39999999999999858</v>
      </c>
      <c r="Q413" s="609">
        <f t="shared" si="123"/>
        <v>27.5</v>
      </c>
      <c r="R413" s="620">
        <v>10</v>
      </c>
      <c r="S413" s="620">
        <v>5.4</v>
      </c>
      <c r="T413" s="620">
        <v>4</v>
      </c>
      <c r="U413" s="611">
        <f t="shared" si="112"/>
        <v>19.399999999999999</v>
      </c>
      <c r="V413" s="621"/>
      <c r="W413" s="621"/>
      <c r="X413" s="621"/>
      <c r="Y413" s="622">
        <f t="shared" si="113"/>
        <v>-8.1000000000000014</v>
      </c>
      <c r="Z413" s="609">
        <f t="shared" si="124"/>
        <v>27.5</v>
      </c>
      <c r="AA413" s="620">
        <v>11</v>
      </c>
      <c r="AB413" s="620">
        <v>6.9</v>
      </c>
      <c r="AC413" s="620">
        <v>9</v>
      </c>
      <c r="AD413" s="611">
        <f t="shared" si="114"/>
        <v>26.9</v>
      </c>
      <c r="AE413" s="621"/>
      <c r="AF413" s="621"/>
      <c r="AG413" s="621"/>
      <c r="AH413" s="622">
        <f t="shared" si="115"/>
        <v>-0.60000000000000142</v>
      </c>
      <c r="AI413" s="609">
        <f t="shared" si="125"/>
        <v>36.200000000000003</v>
      </c>
      <c r="AJ413" s="620">
        <v>9</v>
      </c>
      <c r="AK413" s="620">
        <v>8.5</v>
      </c>
      <c r="AL413" s="620">
        <v>10</v>
      </c>
      <c r="AM413" s="623">
        <f t="shared" si="116"/>
        <v>27.5</v>
      </c>
      <c r="AN413" s="621"/>
      <c r="AO413" s="621"/>
      <c r="AP413" s="621"/>
      <c r="AQ413" s="622">
        <f t="shared" si="117"/>
        <v>-8.7000000000000028</v>
      </c>
      <c r="AR413" s="615">
        <f t="shared" si="126"/>
        <v>0</v>
      </c>
      <c r="AS413" s="620">
        <v>17.5</v>
      </c>
      <c r="AT413" s="620">
        <v>12.3</v>
      </c>
      <c r="AU413" s="620">
        <v>6.4</v>
      </c>
      <c r="AV413" s="623">
        <f t="shared" si="118"/>
        <v>36.200000000000003</v>
      </c>
      <c r="AW413" s="621"/>
      <c r="AX413" s="621"/>
      <c r="AY413" s="621"/>
      <c r="AZ413" s="624">
        <f t="shared" si="119"/>
        <v>36.200000000000003</v>
      </c>
      <c r="BA413" s="623"/>
      <c r="BB413" s="620"/>
      <c r="BC413" s="620"/>
      <c r="BD413" s="623">
        <f t="shared" si="120"/>
        <v>0</v>
      </c>
      <c r="BE413" s="621"/>
      <c r="BF413" s="621"/>
      <c r="BG413" s="621"/>
      <c r="BH413" s="621">
        <f t="shared" si="121"/>
        <v>0</v>
      </c>
    </row>
    <row r="414" spans="1:60" ht="17.25" thickTop="1" thickBot="1" x14ac:dyDescent="0.3">
      <c r="A414" s="602">
        <v>407</v>
      </c>
      <c r="B414" s="603">
        <f t="shared" ca="1" si="109"/>
        <v>43134</v>
      </c>
      <c r="C414" s="29" t="s">
        <v>2404</v>
      </c>
      <c r="D414" s="59" t="s">
        <v>1456</v>
      </c>
      <c r="E414" s="22" t="b">
        <v>1</v>
      </c>
      <c r="F414" s="295" t="s">
        <v>208</v>
      </c>
      <c r="G414" s="567">
        <v>42545</v>
      </c>
      <c r="H414" s="609">
        <f t="shared" si="122"/>
        <v>26.7</v>
      </c>
      <c r="I414" s="620">
        <v>11</v>
      </c>
      <c r="J414" s="620">
        <v>13</v>
      </c>
      <c r="K414" s="620">
        <v>11</v>
      </c>
      <c r="L414" s="611">
        <f t="shared" si="110"/>
        <v>35</v>
      </c>
      <c r="M414" s="621"/>
      <c r="N414" s="621"/>
      <c r="O414" s="621"/>
      <c r="P414" s="622">
        <f t="shared" si="111"/>
        <v>8.3000000000000007</v>
      </c>
      <c r="Q414" s="609">
        <f t="shared" si="123"/>
        <v>33</v>
      </c>
      <c r="R414" s="620">
        <v>8</v>
      </c>
      <c r="S414" s="620">
        <v>8</v>
      </c>
      <c r="T414" s="620">
        <v>10.7</v>
      </c>
      <c r="U414" s="611">
        <f t="shared" si="112"/>
        <v>26.7</v>
      </c>
      <c r="V414" s="621"/>
      <c r="W414" s="621"/>
      <c r="X414" s="621"/>
      <c r="Y414" s="622">
        <f t="shared" si="113"/>
        <v>-6.3000000000000007</v>
      </c>
      <c r="Z414" s="609">
        <f t="shared" si="124"/>
        <v>33</v>
      </c>
      <c r="AA414" s="620">
        <v>13.4</v>
      </c>
      <c r="AB414" s="620">
        <v>8.6</v>
      </c>
      <c r="AC414" s="620">
        <v>7.8</v>
      </c>
      <c r="AD414" s="611">
        <f t="shared" si="114"/>
        <v>29.8</v>
      </c>
      <c r="AE414" s="621"/>
      <c r="AF414" s="621"/>
      <c r="AG414" s="621"/>
      <c r="AH414" s="622">
        <f t="shared" si="115"/>
        <v>-3.1999999999999993</v>
      </c>
      <c r="AI414" s="609">
        <f t="shared" si="125"/>
        <v>27.799999999999997</v>
      </c>
      <c r="AJ414" s="620">
        <v>11</v>
      </c>
      <c r="AK414" s="620">
        <v>10</v>
      </c>
      <c r="AL414" s="620">
        <v>12</v>
      </c>
      <c r="AM414" s="623">
        <f t="shared" si="116"/>
        <v>33</v>
      </c>
      <c r="AN414" s="621"/>
      <c r="AO414" s="621"/>
      <c r="AP414" s="621"/>
      <c r="AQ414" s="622">
        <f t="shared" si="117"/>
        <v>5.2000000000000028</v>
      </c>
      <c r="AR414" s="615">
        <f t="shared" si="126"/>
        <v>0</v>
      </c>
      <c r="AS414" s="620">
        <v>14.6</v>
      </c>
      <c r="AT414" s="620">
        <v>7.8</v>
      </c>
      <c r="AU414" s="620">
        <v>5.4</v>
      </c>
      <c r="AV414" s="623">
        <f t="shared" si="118"/>
        <v>27.799999999999997</v>
      </c>
      <c r="AW414" s="621"/>
      <c r="AX414" s="621"/>
      <c r="AY414" s="621"/>
      <c r="AZ414" s="624">
        <f t="shared" si="119"/>
        <v>27.799999999999997</v>
      </c>
      <c r="BA414" s="623"/>
      <c r="BB414" s="620"/>
      <c r="BC414" s="620"/>
      <c r="BD414" s="623">
        <f t="shared" si="120"/>
        <v>0</v>
      </c>
      <c r="BE414" s="621"/>
      <c r="BF414" s="621"/>
      <c r="BG414" s="621"/>
      <c r="BH414" s="621">
        <f t="shared" si="121"/>
        <v>0</v>
      </c>
    </row>
    <row r="415" spans="1:60" ht="17.25" thickTop="1" thickBot="1" x14ac:dyDescent="0.3">
      <c r="A415" s="77">
        <v>408</v>
      </c>
      <c r="B415" s="603">
        <f t="shared" ca="1" si="109"/>
        <v>43134</v>
      </c>
      <c r="C415" s="29" t="s">
        <v>2404</v>
      </c>
      <c r="D415" s="59" t="s">
        <v>1456</v>
      </c>
      <c r="E415" s="22" t="s">
        <v>939</v>
      </c>
      <c r="F415" s="27" t="s">
        <v>940</v>
      </c>
      <c r="G415" s="567">
        <v>42448</v>
      </c>
      <c r="H415" s="609">
        <f t="shared" si="122"/>
        <v>27.6</v>
      </c>
      <c r="I415" s="620">
        <v>12</v>
      </c>
      <c r="J415" s="620">
        <v>8</v>
      </c>
      <c r="K415" s="620">
        <v>12</v>
      </c>
      <c r="L415" s="611">
        <f t="shared" si="110"/>
        <v>32</v>
      </c>
      <c r="M415" s="621"/>
      <c r="N415" s="621"/>
      <c r="O415" s="621"/>
      <c r="P415" s="622">
        <f t="shared" si="111"/>
        <v>4.3999999999999986</v>
      </c>
      <c r="Q415" s="609">
        <f t="shared" si="123"/>
        <v>32.299999999999997</v>
      </c>
      <c r="R415" s="620">
        <v>11.6</v>
      </c>
      <c r="S415" s="620">
        <v>8</v>
      </c>
      <c r="T415" s="620">
        <v>8</v>
      </c>
      <c r="U415" s="611">
        <f t="shared" si="112"/>
        <v>27.6</v>
      </c>
      <c r="V415" s="621"/>
      <c r="W415" s="621"/>
      <c r="X415" s="621"/>
      <c r="Y415" s="622">
        <f t="shared" si="113"/>
        <v>-4.6999999999999957</v>
      </c>
      <c r="Z415" s="609">
        <f t="shared" si="124"/>
        <v>32.299999999999997</v>
      </c>
      <c r="AA415" s="620">
        <v>10</v>
      </c>
      <c r="AB415" s="620">
        <v>15</v>
      </c>
      <c r="AC415" s="620">
        <v>4</v>
      </c>
      <c r="AD415" s="611">
        <f t="shared" si="114"/>
        <v>29</v>
      </c>
      <c r="AE415" s="621"/>
      <c r="AF415" s="621"/>
      <c r="AG415" s="621"/>
      <c r="AH415" s="622">
        <f t="shared" si="115"/>
        <v>-3.2999999999999972</v>
      </c>
      <c r="AI415" s="609">
        <f t="shared" si="125"/>
        <v>30.299999999999997</v>
      </c>
      <c r="AJ415" s="620">
        <v>10.5</v>
      </c>
      <c r="AK415" s="620">
        <v>12.6</v>
      </c>
      <c r="AL415" s="620">
        <v>9.1999999999999993</v>
      </c>
      <c r="AM415" s="623">
        <f t="shared" si="116"/>
        <v>32.299999999999997</v>
      </c>
      <c r="AN415" s="621"/>
      <c r="AO415" s="621"/>
      <c r="AP415" s="621"/>
      <c r="AQ415" s="622">
        <f t="shared" si="117"/>
        <v>2</v>
      </c>
      <c r="AR415" s="615">
        <f t="shared" si="126"/>
        <v>0</v>
      </c>
      <c r="AS415" s="620">
        <v>14.7</v>
      </c>
      <c r="AT415" s="620">
        <v>8.5</v>
      </c>
      <c r="AU415" s="620">
        <v>7.1</v>
      </c>
      <c r="AV415" s="623">
        <f t="shared" si="118"/>
        <v>30.299999999999997</v>
      </c>
      <c r="AW415" s="621"/>
      <c r="AX415" s="621"/>
      <c r="AY415" s="621"/>
      <c r="AZ415" s="624">
        <f t="shared" si="119"/>
        <v>30.299999999999997</v>
      </c>
      <c r="BA415" s="623"/>
      <c r="BB415" s="620"/>
      <c r="BC415" s="620"/>
      <c r="BD415" s="623">
        <f t="shared" si="120"/>
        <v>0</v>
      </c>
      <c r="BE415" s="621"/>
      <c r="BF415" s="621"/>
      <c r="BG415" s="621"/>
      <c r="BH415" s="621">
        <f t="shared" si="121"/>
        <v>0</v>
      </c>
    </row>
    <row r="416" spans="1:60" ht="17.25" thickTop="1" thickBot="1" x14ac:dyDescent="0.3">
      <c r="A416" s="602">
        <v>409</v>
      </c>
      <c r="B416" s="603">
        <f t="shared" ca="1" si="109"/>
        <v>43134</v>
      </c>
      <c r="C416" s="29" t="s">
        <v>2404</v>
      </c>
      <c r="D416" s="59" t="s">
        <v>1456</v>
      </c>
      <c r="E416" s="22" t="s">
        <v>1273</v>
      </c>
      <c r="F416" s="239" t="s">
        <v>1139</v>
      </c>
      <c r="G416" s="567">
        <v>42573</v>
      </c>
      <c r="H416" s="609">
        <f t="shared" si="122"/>
        <v>35.700000000000003</v>
      </c>
      <c r="I416" s="620">
        <v>12</v>
      </c>
      <c r="J416" s="620">
        <v>9.6</v>
      </c>
      <c r="K416" s="620">
        <v>9.6</v>
      </c>
      <c r="L416" s="611">
        <f t="shared" si="110"/>
        <v>31.200000000000003</v>
      </c>
      <c r="M416" s="621"/>
      <c r="N416" s="621"/>
      <c r="O416" s="621"/>
      <c r="P416" s="622">
        <f t="shared" si="111"/>
        <v>-4.5</v>
      </c>
      <c r="Q416" s="609">
        <f t="shared" si="123"/>
        <v>39.799999999999997</v>
      </c>
      <c r="R416" s="620">
        <v>13.5</v>
      </c>
      <c r="S416" s="620">
        <v>10</v>
      </c>
      <c r="T416" s="620">
        <v>12.2</v>
      </c>
      <c r="U416" s="611">
        <f t="shared" si="112"/>
        <v>35.700000000000003</v>
      </c>
      <c r="V416" s="621"/>
      <c r="W416" s="621"/>
      <c r="X416" s="621"/>
      <c r="Y416" s="622">
        <f t="shared" si="113"/>
        <v>-4.0999999999999943</v>
      </c>
      <c r="Z416" s="609">
        <f t="shared" si="124"/>
        <v>39.799999999999997</v>
      </c>
      <c r="AA416" s="620">
        <v>17</v>
      </c>
      <c r="AB416" s="620">
        <v>16</v>
      </c>
      <c r="AC416" s="620">
        <v>10</v>
      </c>
      <c r="AD416" s="611">
        <f t="shared" si="114"/>
        <v>43</v>
      </c>
      <c r="AE416" s="621"/>
      <c r="AF416" s="621"/>
      <c r="AG416" s="621"/>
      <c r="AH416" s="622">
        <f t="shared" si="115"/>
        <v>3.2000000000000028</v>
      </c>
      <c r="AI416" s="609">
        <f t="shared" si="125"/>
        <v>50.1</v>
      </c>
      <c r="AJ416" s="620">
        <v>20</v>
      </c>
      <c r="AK416" s="620">
        <v>11.2</v>
      </c>
      <c r="AL416" s="620">
        <v>8.6</v>
      </c>
      <c r="AM416" s="623">
        <f t="shared" si="116"/>
        <v>39.799999999999997</v>
      </c>
      <c r="AN416" s="621"/>
      <c r="AO416" s="621"/>
      <c r="AP416" s="621"/>
      <c r="AQ416" s="622">
        <f t="shared" si="117"/>
        <v>-10.300000000000004</v>
      </c>
      <c r="AR416" s="615">
        <f t="shared" si="126"/>
        <v>0</v>
      </c>
      <c r="AS416" s="620">
        <v>25.6</v>
      </c>
      <c r="AT416" s="620">
        <v>11.9</v>
      </c>
      <c r="AU416" s="620">
        <v>12.6</v>
      </c>
      <c r="AV416" s="623">
        <f t="shared" si="118"/>
        <v>50.1</v>
      </c>
      <c r="AW416" s="621"/>
      <c r="AX416" s="621"/>
      <c r="AY416" s="621"/>
      <c r="AZ416" s="624">
        <f t="shared" si="119"/>
        <v>50.1</v>
      </c>
      <c r="BA416" s="623"/>
      <c r="BB416" s="620"/>
      <c r="BC416" s="620"/>
      <c r="BD416" s="623">
        <f t="shared" si="120"/>
        <v>0</v>
      </c>
      <c r="BE416" s="621"/>
      <c r="BF416" s="621"/>
      <c r="BG416" s="621"/>
      <c r="BH416" s="621">
        <f t="shared" si="121"/>
        <v>0</v>
      </c>
    </row>
    <row r="417" spans="1:60" ht="17.25" thickTop="1" thickBot="1" x14ac:dyDescent="0.3">
      <c r="A417" s="77">
        <v>410</v>
      </c>
      <c r="B417" s="603">
        <f t="shared" ca="1" si="109"/>
        <v>43134</v>
      </c>
      <c r="C417" s="29" t="s">
        <v>2404</v>
      </c>
      <c r="D417" s="59" t="s">
        <v>1456</v>
      </c>
      <c r="E417" s="22" t="s">
        <v>1301</v>
      </c>
      <c r="F417" s="27" t="s">
        <v>1178</v>
      </c>
      <c r="G417" s="567">
        <v>42553</v>
      </c>
      <c r="H417" s="609">
        <f t="shared" si="122"/>
        <v>18.8</v>
      </c>
      <c r="I417" s="620">
        <v>8.1999999999999993</v>
      </c>
      <c r="J417" s="620">
        <v>4</v>
      </c>
      <c r="K417" s="620">
        <v>6</v>
      </c>
      <c r="L417" s="611">
        <f t="shared" si="110"/>
        <v>18.2</v>
      </c>
      <c r="M417" s="621"/>
      <c r="N417" s="621"/>
      <c r="O417" s="621"/>
      <c r="P417" s="622">
        <f t="shared" si="111"/>
        <v>-0.60000000000000142</v>
      </c>
      <c r="Q417" s="609">
        <f t="shared" si="123"/>
        <v>27</v>
      </c>
      <c r="R417" s="620">
        <v>6.4</v>
      </c>
      <c r="S417" s="620">
        <v>5.2</v>
      </c>
      <c r="T417" s="620">
        <v>7.2</v>
      </c>
      <c r="U417" s="611">
        <f t="shared" si="112"/>
        <v>18.8</v>
      </c>
      <c r="V417" s="621"/>
      <c r="W417" s="621"/>
      <c r="X417" s="621"/>
      <c r="Y417" s="622">
        <f t="shared" si="113"/>
        <v>-8.1999999999999993</v>
      </c>
      <c r="Z417" s="609">
        <f t="shared" si="124"/>
        <v>27</v>
      </c>
      <c r="AA417" s="620">
        <v>9</v>
      </c>
      <c r="AB417" s="620">
        <v>10</v>
      </c>
      <c r="AC417" s="620">
        <v>8</v>
      </c>
      <c r="AD417" s="611">
        <f t="shared" si="114"/>
        <v>27</v>
      </c>
      <c r="AE417" s="621"/>
      <c r="AF417" s="621"/>
      <c r="AG417" s="621"/>
      <c r="AH417" s="622">
        <f t="shared" si="115"/>
        <v>0</v>
      </c>
      <c r="AI417" s="609">
        <f t="shared" si="125"/>
        <v>31.1</v>
      </c>
      <c r="AJ417" s="620">
        <v>10</v>
      </c>
      <c r="AK417" s="620">
        <v>8</v>
      </c>
      <c r="AL417" s="620">
        <v>9</v>
      </c>
      <c r="AM417" s="623">
        <f t="shared" si="116"/>
        <v>27</v>
      </c>
      <c r="AN417" s="621"/>
      <c r="AO417" s="621"/>
      <c r="AP417" s="621"/>
      <c r="AQ417" s="622">
        <f t="shared" si="117"/>
        <v>-4.1000000000000014</v>
      </c>
      <c r="AR417" s="615">
        <f t="shared" si="126"/>
        <v>0</v>
      </c>
      <c r="AS417" s="620">
        <v>13.8</v>
      </c>
      <c r="AT417" s="620">
        <v>5.2</v>
      </c>
      <c r="AU417" s="620">
        <v>12.1</v>
      </c>
      <c r="AV417" s="623">
        <f t="shared" si="118"/>
        <v>31.1</v>
      </c>
      <c r="AW417" s="621"/>
      <c r="AX417" s="621"/>
      <c r="AY417" s="621"/>
      <c r="AZ417" s="624">
        <f t="shared" si="119"/>
        <v>31.1</v>
      </c>
      <c r="BA417" s="623"/>
      <c r="BB417" s="620"/>
      <c r="BC417" s="620"/>
      <c r="BD417" s="623">
        <f t="shared" si="120"/>
        <v>0</v>
      </c>
      <c r="BE417" s="621"/>
      <c r="BF417" s="621"/>
      <c r="BG417" s="621"/>
      <c r="BH417" s="621">
        <f t="shared" si="121"/>
        <v>0</v>
      </c>
    </row>
    <row r="418" spans="1:60" ht="17.25" thickTop="1" thickBot="1" x14ac:dyDescent="0.3">
      <c r="A418" s="602">
        <v>411</v>
      </c>
      <c r="B418" s="603">
        <f t="shared" ca="1" si="109"/>
        <v>43134</v>
      </c>
      <c r="C418" s="29" t="s">
        <v>2404</v>
      </c>
      <c r="D418" s="59" t="s">
        <v>1456</v>
      </c>
      <c r="E418" s="22" t="s">
        <v>1112</v>
      </c>
      <c r="F418" s="27" t="s">
        <v>1181</v>
      </c>
      <c r="G418" s="567">
        <v>42554</v>
      </c>
      <c r="H418" s="609">
        <f t="shared" si="122"/>
        <v>17.8</v>
      </c>
      <c r="I418" s="620">
        <v>5.4</v>
      </c>
      <c r="J418" s="620">
        <v>5</v>
      </c>
      <c r="K418" s="620">
        <v>6.2</v>
      </c>
      <c r="L418" s="611">
        <f t="shared" si="110"/>
        <v>16.600000000000001</v>
      </c>
      <c r="M418" s="621"/>
      <c r="N418" s="621"/>
      <c r="O418" s="621"/>
      <c r="P418" s="622">
        <f t="shared" si="111"/>
        <v>-1.1999999999999993</v>
      </c>
      <c r="Q418" s="609">
        <f t="shared" si="123"/>
        <v>23</v>
      </c>
      <c r="R418" s="620">
        <v>5.6</v>
      </c>
      <c r="S418" s="620">
        <v>6.2</v>
      </c>
      <c r="T418" s="620">
        <v>6</v>
      </c>
      <c r="U418" s="611">
        <f t="shared" si="112"/>
        <v>17.8</v>
      </c>
      <c r="V418" s="621"/>
      <c r="W418" s="621"/>
      <c r="X418" s="621"/>
      <c r="Y418" s="622">
        <f t="shared" si="113"/>
        <v>-5.1999999999999993</v>
      </c>
      <c r="Z418" s="609">
        <f t="shared" si="124"/>
        <v>23</v>
      </c>
      <c r="AA418" s="620">
        <v>13</v>
      </c>
      <c r="AB418" s="620">
        <v>9.1999999999999993</v>
      </c>
      <c r="AC418" s="620">
        <v>7.8</v>
      </c>
      <c r="AD418" s="611">
        <f t="shared" si="114"/>
        <v>30</v>
      </c>
      <c r="AE418" s="621"/>
      <c r="AF418" s="621"/>
      <c r="AG418" s="621"/>
      <c r="AH418" s="622">
        <f t="shared" si="115"/>
        <v>7</v>
      </c>
      <c r="AI418" s="609">
        <f t="shared" si="125"/>
        <v>27.599999999999998</v>
      </c>
      <c r="AJ418" s="620">
        <v>8.8000000000000007</v>
      </c>
      <c r="AK418" s="620">
        <v>7</v>
      </c>
      <c r="AL418" s="620">
        <v>7.2</v>
      </c>
      <c r="AM418" s="623">
        <f t="shared" si="116"/>
        <v>23</v>
      </c>
      <c r="AN418" s="621"/>
      <c r="AO418" s="621"/>
      <c r="AP418" s="621"/>
      <c r="AQ418" s="622">
        <f t="shared" si="117"/>
        <v>-4.5999999999999979</v>
      </c>
      <c r="AR418" s="615">
        <f t="shared" si="126"/>
        <v>0</v>
      </c>
      <c r="AS418" s="620">
        <v>14.6</v>
      </c>
      <c r="AT418" s="620">
        <v>7.3</v>
      </c>
      <c r="AU418" s="620">
        <v>5.7</v>
      </c>
      <c r="AV418" s="623">
        <f t="shared" si="118"/>
        <v>27.599999999999998</v>
      </c>
      <c r="AW418" s="621"/>
      <c r="AX418" s="621"/>
      <c r="AY418" s="621"/>
      <c r="AZ418" s="624">
        <f t="shared" si="119"/>
        <v>27.599999999999998</v>
      </c>
      <c r="BA418" s="623"/>
      <c r="BB418" s="620"/>
      <c r="BC418" s="620"/>
      <c r="BD418" s="623">
        <f t="shared" si="120"/>
        <v>0</v>
      </c>
      <c r="BE418" s="621"/>
      <c r="BF418" s="621"/>
      <c r="BG418" s="621"/>
      <c r="BH418" s="621">
        <f t="shared" si="121"/>
        <v>0</v>
      </c>
    </row>
    <row r="419" spans="1:60" ht="17.25" thickTop="1" thickBot="1" x14ac:dyDescent="0.3">
      <c r="A419" s="77">
        <v>412</v>
      </c>
      <c r="B419" s="603">
        <f t="shared" ca="1" si="109"/>
        <v>43134</v>
      </c>
      <c r="C419" s="29" t="s">
        <v>2404</v>
      </c>
      <c r="D419" s="59" t="s">
        <v>1456</v>
      </c>
      <c r="E419" s="22" t="s">
        <v>1307</v>
      </c>
      <c r="F419" s="239" t="s">
        <v>1188</v>
      </c>
      <c r="G419" s="567">
        <v>42486</v>
      </c>
      <c r="H419" s="609">
        <f t="shared" si="122"/>
        <v>21</v>
      </c>
      <c r="I419" s="620">
        <v>8</v>
      </c>
      <c r="J419" s="620">
        <v>5.2</v>
      </c>
      <c r="K419" s="620">
        <v>6.4</v>
      </c>
      <c r="L419" s="611">
        <f t="shared" si="110"/>
        <v>19.600000000000001</v>
      </c>
      <c r="M419" s="621"/>
      <c r="N419" s="621"/>
      <c r="O419" s="621"/>
      <c r="P419" s="622">
        <f t="shared" si="111"/>
        <v>-1.3999999999999986</v>
      </c>
      <c r="Q419" s="609">
        <f t="shared" si="123"/>
        <v>18.5</v>
      </c>
      <c r="R419" s="620">
        <v>7</v>
      </c>
      <c r="S419" s="620">
        <v>6</v>
      </c>
      <c r="T419" s="620">
        <v>8</v>
      </c>
      <c r="U419" s="611">
        <f t="shared" si="112"/>
        <v>21</v>
      </c>
      <c r="V419" s="621"/>
      <c r="W419" s="621"/>
      <c r="X419" s="621"/>
      <c r="Y419" s="622">
        <f t="shared" si="113"/>
        <v>2.5</v>
      </c>
      <c r="Z419" s="609">
        <f t="shared" si="124"/>
        <v>18.5</v>
      </c>
      <c r="AA419" s="620">
        <v>7.8</v>
      </c>
      <c r="AB419" s="620">
        <v>7.5</v>
      </c>
      <c r="AC419" s="620">
        <v>7</v>
      </c>
      <c r="AD419" s="611">
        <f t="shared" si="114"/>
        <v>22.3</v>
      </c>
      <c r="AE419" s="621"/>
      <c r="AF419" s="621"/>
      <c r="AG419" s="621"/>
      <c r="AH419" s="622">
        <f t="shared" si="115"/>
        <v>3.8000000000000007</v>
      </c>
      <c r="AI419" s="609">
        <f t="shared" si="125"/>
        <v>27.7</v>
      </c>
      <c r="AJ419" s="620">
        <v>8.5</v>
      </c>
      <c r="AK419" s="620">
        <v>3</v>
      </c>
      <c r="AL419" s="620">
        <v>7</v>
      </c>
      <c r="AM419" s="623">
        <f t="shared" si="116"/>
        <v>18.5</v>
      </c>
      <c r="AN419" s="621"/>
      <c r="AO419" s="621"/>
      <c r="AP419" s="621"/>
      <c r="AQ419" s="622">
        <f t="shared" si="117"/>
        <v>-9.1999999999999993</v>
      </c>
      <c r="AR419" s="615">
        <f t="shared" si="126"/>
        <v>0</v>
      </c>
      <c r="AS419" s="620">
        <v>13.7</v>
      </c>
      <c r="AT419" s="620">
        <v>7.8</v>
      </c>
      <c r="AU419" s="620">
        <v>6.2</v>
      </c>
      <c r="AV419" s="623">
        <f t="shared" si="118"/>
        <v>27.7</v>
      </c>
      <c r="AW419" s="621"/>
      <c r="AX419" s="621"/>
      <c r="AY419" s="621"/>
      <c r="AZ419" s="624">
        <f t="shared" si="119"/>
        <v>27.7</v>
      </c>
      <c r="BA419" s="623"/>
      <c r="BB419" s="620"/>
      <c r="BC419" s="620"/>
      <c r="BD419" s="623">
        <f t="shared" si="120"/>
        <v>0</v>
      </c>
      <c r="BE419" s="621"/>
      <c r="BF419" s="621"/>
      <c r="BG419" s="621"/>
      <c r="BH419" s="621">
        <f t="shared" si="121"/>
        <v>0</v>
      </c>
    </row>
    <row r="420" spans="1:60" ht="17.25" thickTop="1" thickBot="1" x14ac:dyDescent="0.3">
      <c r="A420" s="602">
        <v>413</v>
      </c>
      <c r="B420" s="603">
        <f t="shared" ca="1" si="109"/>
        <v>43134</v>
      </c>
      <c r="C420" s="29" t="s">
        <v>2404</v>
      </c>
      <c r="D420" s="59" t="s">
        <v>2432</v>
      </c>
      <c r="E420" s="22" t="s">
        <v>1123</v>
      </c>
      <c r="F420" s="27" t="s">
        <v>1039</v>
      </c>
      <c r="G420" s="567">
        <v>42916</v>
      </c>
      <c r="H420" s="609">
        <f t="shared" si="122"/>
        <v>26.5</v>
      </c>
      <c r="I420" s="620">
        <v>7.2</v>
      </c>
      <c r="J420" s="620"/>
      <c r="K420" s="620">
        <v>14.6</v>
      </c>
      <c r="L420" s="611">
        <f t="shared" si="110"/>
        <v>21.8</v>
      </c>
      <c r="M420" s="621"/>
      <c r="N420" s="621"/>
      <c r="O420" s="621"/>
      <c r="P420" s="622">
        <f t="shared" si="111"/>
        <v>-4.6999999999999993</v>
      </c>
      <c r="Q420" s="609">
        <f t="shared" si="123"/>
        <v>24.4</v>
      </c>
      <c r="R420" s="620">
        <v>12</v>
      </c>
      <c r="S420" s="620"/>
      <c r="T420" s="620">
        <v>14.5</v>
      </c>
      <c r="U420" s="611">
        <f t="shared" si="112"/>
        <v>26.5</v>
      </c>
      <c r="V420" s="621"/>
      <c r="W420" s="621"/>
      <c r="X420" s="621"/>
      <c r="Y420" s="622">
        <f t="shared" si="113"/>
        <v>2.1000000000000014</v>
      </c>
      <c r="Z420" s="609">
        <f t="shared" si="124"/>
        <v>24.4</v>
      </c>
      <c r="AA420" s="620">
        <v>5.5</v>
      </c>
      <c r="AB420" s="620">
        <v>5.2</v>
      </c>
      <c r="AC420" s="620">
        <v>5.2</v>
      </c>
      <c r="AD420" s="611">
        <f t="shared" si="114"/>
        <v>15.899999999999999</v>
      </c>
      <c r="AE420" s="621"/>
      <c r="AF420" s="621"/>
      <c r="AG420" s="621"/>
      <c r="AH420" s="622">
        <f t="shared" si="115"/>
        <v>-8.5</v>
      </c>
      <c r="AI420" s="609">
        <f t="shared" si="125"/>
        <v>0</v>
      </c>
      <c r="AJ420" s="620">
        <v>8.4</v>
      </c>
      <c r="AK420" s="620">
        <v>8</v>
      </c>
      <c r="AL420" s="620">
        <v>8</v>
      </c>
      <c r="AM420" s="623">
        <f t="shared" si="116"/>
        <v>24.4</v>
      </c>
      <c r="AN420" s="621"/>
      <c r="AO420" s="621"/>
      <c r="AP420" s="621"/>
      <c r="AQ420" s="622">
        <f t="shared" si="117"/>
        <v>24.4</v>
      </c>
      <c r="AR420" s="615">
        <f t="shared" si="126"/>
        <v>0</v>
      </c>
      <c r="AS420" s="620"/>
      <c r="AT420" s="620"/>
      <c r="AU420" s="620"/>
      <c r="AV420" s="623">
        <f t="shared" si="118"/>
        <v>0</v>
      </c>
      <c r="AW420" s="621"/>
      <c r="AX420" s="621"/>
      <c r="AY420" s="621"/>
      <c r="AZ420" s="624">
        <f t="shared" si="119"/>
        <v>0</v>
      </c>
      <c r="BA420" s="623"/>
      <c r="BB420" s="620"/>
      <c r="BC420" s="620"/>
      <c r="BD420" s="623">
        <f t="shared" si="120"/>
        <v>0</v>
      </c>
      <c r="BE420" s="621"/>
      <c r="BF420" s="621"/>
      <c r="BG420" s="621"/>
      <c r="BH420" s="621">
        <f t="shared" si="121"/>
        <v>0</v>
      </c>
    </row>
    <row r="421" spans="1:60" ht="17.25" thickTop="1" thickBot="1" x14ac:dyDescent="0.3">
      <c r="A421" s="77">
        <v>414</v>
      </c>
      <c r="B421" s="603">
        <f t="shared" ca="1" si="109"/>
        <v>43134</v>
      </c>
      <c r="C421" s="29" t="s">
        <v>2404</v>
      </c>
      <c r="D421" s="59" t="s">
        <v>1456</v>
      </c>
      <c r="E421" s="22" t="s">
        <v>1527</v>
      </c>
      <c r="F421" s="272" t="s">
        <v>1515</v>
      </c>
      <c r="G421" s="567">
        <v>42895</v>
      </c>
      <c r="H421" s="609">
        <f t="shared" si="122"/>
        <v>19.399999999999999</v>
      </c>
      <c r="I421" s="620">
        <v>3</v>
      </c>
      <c r="J421" s="620">
        <v>3</v>
      </c>
      <c r="K421" s="620">
        <v>5</v>
      </c>
      <c r="L421" s="611">
        <f t="shared" si="110"/>
        <v>11</v>
      </c>
      <c r="M421" s="621"/>
      <c r="N421" s="621"/>
      <c r="O421" s="621"/>
      <c r="P421" s="622">
        <f t="shared" si="111"/>
        <v>-8.3999999999999986</v>
      </c>
      <c r="Q421" s="609">
        <f t="shared" si="123"/>
        <v>25</v>
      </c>
      <c r="R421" s="620">
        <v>6.4</v>
      </c>
      <c r="S421" s="620">
        <v>6</v>
      </c>
      <c r="T421" s="620">
        <v>7</v>
      </c>
      <c r="U421" s="611">
        <f t="shared" si="112"/>
        <v>19.399999999999999</v>
      </c>
      <c r="V421" s="621"/>
      <c r="W421" s="621"/>
      <c r="X421" s="621"/>
      <c r="Y421" s="622">
        <f t="shared" si="113"/>
        <v>-5.6000000000000014</v>
      </c>
      <c r="Z421" s="609">
        <f t="shared" si="124"/>
        <v>25</v>
      </c>
      <c r="AA421" s="620">
        <v>7</v>
      </c>
      <c r="AB421" s="620">
        <v>8</v>
      </c>
      <c r="AC421" s="620">
        <v>8</v>
      </c>
      <c r="AD421" s="611">
        <f t="shared" si="114"/>
        <v>23</v>
      </c>
      <c r="AE421" s="621"/>
      <c r="AF421" s="621"/>
      <c r="AG421" s="621"/>
      <c r="AH421" s="622">
        <f t="shared" si="115"/>
        <v>-2</v>
      </c>
      <c r="AI421" s="609">
        <f t="shared" si="125"/>
        <v>29.2</v>
      </c>
      <c r="AJ421" s="620">
        <v>9</v>
      </c>
      <c r="AK421" s="620">
        <v>8</v>
      </c>
      <c r="AL421" s="620">
        <v>8</v>
      </c>
      <c r="AM421" s="623">
        <f t="shared" si="116"/>
        <v>25</v>
      </c>
      <c r="AN421" s="621"/>
      <c r="AO421" s="621"/>
      <c r="AP421" s="621"/>
      <c r="AQ421" s="622">
        <f t="shared" si="117"/>
        <v>-4.1999999999999993</v>
      </c>
      <c r="AR421" s="615">
        <f t="shared" si="126"/>
        <v>0</v>
      </c>
      <c r="AS421" s="620">
        <v>13.7</v>
      </c>
      <c r="AT421" s="620">
        <v>8.8000000000000007</v>
      </c>
      <c r="AU421" s="620">
        <v>6.7</v>
      </c>
      <c r="AV421" s="623">
        <f t="shared" si="118"/>
        <v>29.2</v>
      </c>
      <c r="AW421" s="621"/>
      <c r="AX421" s="621"/>
      <c r="AY421" s="621"/>
      <c r="AZ421" s="624">
        <f t="shared" si="119"/>
        <v>29.2</v>
      </c>
      <c r="BA421" s="623"/>
      <c r="BB421" s="620"/>
      <c r="BC421" s="620"/>
      <c r="BD421" s="623">
        <f t="shared" si="120"/>
        <v>0</v>
      </c>
      <c r="BE421" s="621"/>
      <c r="BF421" s="621"/>
      <c r="BG421" s="621"/>
      <c r="BH421" s="621">
        <f t="shared" si="121"/>
        <v>0</v>
      </c>
    </row>
    <row r="422" spans="1:60" ht="17.25" thickTop="1" thickBot="1" x14ac:dyDescent="0.3">
      <c r="A422" s="602">
        <v>415</v>
      </c>
      <c r="B422" s="603">
        <f t="shared" ca="1" si="109"/>
        <v>43134</v>
      </c>
      <c r="C422" s="29" t="s">
        <v>2404</v>
      </c>
      <c r="D422" s="59" t="s">
        <v>1456</v>
      </c>
      <c r="E422" s="22" t="s">
        <v>1528</v>
      </c>
      <c r="F422" s="27" t="s">
        <v>1510</v>
      </c>
      <c r="G422" s="567">
        <v>42885</v>
      </c>
      <c r="H422" s="609">
        <f t="shared" si="122"/>
        <v>22.2</v>
      </c>
      <c r="I422" s="620">
        <v>9.8000000000000007</v>
      </c>
      <c r="J422" s="620">
        <v>7.4</v>
      </c>
      <c r="K422" s="620">
        <v>7.6</v>
      </c>
      <c r="L422" s="611">
        <f t="shared" si="110"/>
        <v>24.800000000000004</v>
      </c>
      <c r="M422" s="621"/>
      <c r="N422" s="621"/>
      <c r="O422" s="621"/>
      <c r="P422" s="622">
        <f t="shared" si="111"/>
        <v>2.600000000000005</v>
      </c>
      <c r="Q422" s="609">
        <f t="shared" si="123"/>
        <v>25</v>
      </c>
      <c r="R422" s="620">
        <v>8.1999999999999993</v>
      </c>
      <c r="S422" s="620">
        <v>7</v>
      </c>
      <c r="T422" s="620">
        <v>7</v>
      </c>
      <c r="U422" s="611">
        <f t="shared" si="112"/>
        <v>22.2</v>
      </c>
      <c r="V422" s="621"/>
      <c r="W422" s="621"/>
      <c r="X422" s="621"/>
      <c r="Y422" s="622">
        <f t="shared" si="113"/>
        <v>-2.8000000000000007</v>
      </c>
      <c r="Z422" s="609">
        <f t="shared" si="124"/>
        <v>25</v>
      </c>
      <c r="AA422" s="620">
        <v>12</v>
      </c>
      <c r="AB422" s="620">
        <v>10</v>
      </c>
      <c r="AC422" s="620">
        <v>10</v>
      </c>
      <c r="AD422" s="611">
        <f t="shared" si="114"/>
        <v>32</v>
      </c>
      <c r="AE422" s="621"/>
      <c r="AF422" s="621"/>
      <c r="AG422" s="621"/>
      <c r="AH422" s="622">
        <f t="shared" si="115"/>
        <v>7</v>
      </c>
      <c r="AI422" s="609">
        <f t="shared" si="125"/>
        <v>26.7</v>
      </c>
      <c r="AJ422" s="620">
        <v>9</v>
      </c>
      <c r="AK422" s="620">
        <v>10</v>
      </c>
      <c r="AL422" s="620">
        <v>6</v>
      </c>
      <c r="AM422" s="623">
        <f t="shared" si="116"/>
        <v>25</v>
      </c>
      <c r="AN422" s="621"/>
      <c r="AO422" s="621"/>
      <c r="AP422" s="621"/>
      <c r="AQ422" s="622">
        <f t="shared" si="117"/>
        <v>-1.6999999999999993</v>
      </c>
      <c r="AR422" s="615">
        <f t="shared" si="126"/>
        <v>0</v>
      </c>
      <c r="AS422" s="620">
        <v>9.8000000000000007</v>
      </c>
      <c r="AT422" s="620">
        <v>10.7</v>
      </c>
      <c r="AU422" s="620">
        <v>6.2</v>
      </c>
      <c r="AV422" s="623">
        <f t="shared" si="118"/>
        <v>26.7</v>
      </c>
      <c r="AW422" s="621"/>
      <c r="AX422" s="621"/>
      <c r="AY422" s="621"/>
      <c r="AZ422" s="624">
        <f t="shared" si="119"/>
        <v>26.7</v>
      </c>
      <c r="BA422" s="623"/>
      <c r="BB422" s="620"/>
      <c r="BC422" s="620"/>
      <c r="BD422" s="623">
        <f t="shared" si="120"/>
        <v>0</v>
      </c>
      <c r="BE422" s="621"/>
      <c r="BF422" s="621"/>
      <c r="BG422" s="621"/>
      <c r="BH422" s="621">
        <f t="shared" si="121"/>
        <v>0</v>
      </c>
    </row>
    <row r="423" spans="1:60" ht="17.25" thickTop="1" thickBot="1" x14ac:dyDescent="0.3">
      <c r="A423" s="77">
        <v>416</v>
      </c>
      <c r="B423" s="603">
        <f t="shared" ca="1" si="109"/>
        <v>43134</v>
      </c>
      <c r="C423" s="29" t="s">
        <v>2404</v>
      </c>
      <c r="D423" s="59" t="s">
        <v>2432</v>
      </c>
      <c r="E423" s="22" t="s">
        <v>1360</v>
      </c>
      <c r="F423" s="27" t="s">
        <v>1824</v>
      </c>
      <c r="G423" s="567" t="s">
        <v>3110</v>
      </c>
      <c r="H423" s="609">
        <f t="shared" si="122"/>
        <v>25.6</v>
      </c>
      <c r="I423" s="620">
        <v>10</v>
      </c>
      <c r="J423" s="620"/>
      <c r="K423" s="620">
        <v>16</v>
      </c>
      <c r="L423" s="611">
        <f t="shared" si="110"/>
        <v>26</v>
      </c>
      <c r="M423" s="621"/>
      <c r="N423" s="621"/>
      <c r="O423" s="621"/>
      <c r="P423" s="622">
        <f t="shared" si="111"/>
        <v>0.39999999999999858</v>
      </c>
      <c r="Q423" s="609">
        <f t="shared" si="123"/>
        <v>0</v>
      </c>
      <c r="R423" s="620">
        <v>10.199999999999999</v>
      </c>
      <c r="S423" s="620">
        <v>7.4</v>
      </c>
      <c r="T423" s="620">
        <v>8</v>
      </c>
      <c r="U423" s="611">
        <f t="shared" si="112"/>
        <v>25.6</v>
      </c>
      <c r="V423" s="621"/>
      <c r="W423" s="621"/>
      <c r="X423" s="621"/>
      <c r="Y423" s="622">
        <f t="shared" si="113"/>
        <v>25.6</v>
      </c>
      <c r="Z423" s="609">
        <f t="shared" si="124"/>
        <v>0</v>
      </c>
      <c r="AA423" s="620">
        <v>8</v>
      </c>
      <c r="AB423" s="620">
        <v>8</v>
      </c>
      <c r="AC423" s="620">
        <v>8</v>
      </c>
      <c r="AD423" s="611">
        <f t="shared" si="114"/>
        <v>24</v>
      </c>
      <c r="AE423" s="621"/>
      <c r="AF423" s="621"/>
      <c r="AG423" s="621"/>
      <c r="AH423" s="622">
        <f t="shared" si="115"/>
        <v>24</v>
      </c>
      <c r="AI423" s="609">
        <f t="shared" si="125"/>
        <v>0</v>
      </c>
      <c r="AJ423" s="620"/>
      <c r="AK423" s="620"/>
      <c r="AL423" s="620"/>
      <c r="AM423" s="623">
        <f t="shared" si="116"/>
        <v>0</v>
      </c>
      <c r="AN423" s="621"/>
      <c r="AO423" s="621"/>
      <c r="AP423" s="621"/>
      <c r="AQ423" s="622">
        <f t="shared" si="117"/>
        <v>0</v>
      </c>
      <c r="AR423" s="615">
        <f t="shared" si="126"/>
        <v>0</v>
      </c>
      <c r="AS423" s="620"/>
      <c r="AT423" s="620"/>
      <c r="AU423" s="620"/>
      <c r="AV423" s="623">
        <f t="shared" si="118"/>
        <v>0</v>
      </c>
      <c r="AW423" s="621"/>
      <c r="AX423" s="621"/>
      <c r="AY423" s="621"/>
      <c r="AZ423" s="624">
        <f t="shared" si="119"/>
        <v>0</v>
      </c>
      <c r="BA423" s="623"/>
      <c r="BB423" s="620"/>
      <c r="BC423" s="620"/>
      <c r="BD423" s="623">
        <f t="shared" si="120"/>
        <v>0</v>
      </c>
      <c r="BE423" s="621"/>
      <c r="BF423" s="621"/>
      <c r="BG423" s="621"/>
      <c r="BH423" s="621">
        <f t="shared" si="121"/>
        <v>0</v>
      </c>
    </row>
    <row r="424" spans="1:60" ht="17.25" thickTop="1" thickBot="1" x14ac:dyDescent="0.3">
      <c r="A424" s="602">
        <v>417</v>
      </c>
      <c r="B424" s="603">
        <f t="shared" ca="1" si="109"/>
        <v>43134</v>
      </c>
      <c r="C424" s="29" t="s">
        <v>2404</v>
      </c>
      <c r="D424" s="59" t="s">
        <v>1456</v>
      </c>
      <c r="E424" s="22" t="s">
        <v>1323</v>
      </c>
      <c r="F424" s="27" t="s">
        <v>1822</v>
      </c>
      <c r="G424" s="567">
        <v>42896</v>
      </c>
      <c r="H424" s="609">
        <f t="shared" si="122"/>
        <v>21.4</v>
      </c>
      <c r="I424" s="620">
        <v>9.8000000000000007</v>
      </c>
      <c r="J424" s="620">
        <v>8</v>
      </c>
      <c r="K424" s="620">
        <v>6</v>
      </c>
      <c r="L424" s="611">
        <f t="shared" si="110"/>
        <v>23.8</v>
      </c>
      <c r="M424" s="621"/>
      <c r="N424" s="621"/>
      <c r="O424" s="621"/>
      <c r="P424" s="622">
        <f t="shared" si="111"/>
        <v>2.4000000000000021</v>
      </c>
      <c r="Q424" s="609">
        <f t="shared" si="123"/>
        <v>30</v>
      </c>
      <c r="R424" s="620">
        <v>7</v>
      </c>
      <c r="S424" s="620">
        <v>7</v>
      </c>
      <c r="T424" s="620">
        <v>7.4</v>
      </c>
      <c r="U424" s="611">
        <f t="shared" si="112"/>
        <v>21.4</v>
      </c>
      <c r="V424" s="621"/>
      <c r="W424" s="621"/>
      <c r="X424" s="621"/>
      <c r="Y424" s="622">
        <f t="shared" si="113"/>
        <v>-8.6000000000000014</v>
      </c>
      <c r="Z424" s="609">
        <f t="shared" si="124"/>
        <v>30</v>
      </c>
      <c r="AA424" s="620">
        <v>11</v>
      </c>
      <c r="AB424" s="620">
        <v>7</v>
      </c>
      <c r="AC424" s="620">
        <v>8</v>
      </c>
      <c r="AD424" s="611">
        <f t="shared" si="114"/>
        <v>26</v>
      </c>
      <c r="AE424" s="621"/>
      <c r="AF424" s="621"/>
      <c r="AG424" s="621"/>
      <c r="AH424" s="622">
        <f t="shared" si="115"/>
        <v>-4</v>
      </c>
      <c r="AI424" s="609">
        <f t="shared" si="125"/>
        <v>27</v>
      </c>
      <c r="AJ424" s="620">
        <v>9</v>
      </c>
      <c r="AK424" s="620">
        <v>13</v>
      </c>
      <c r="AL424" s="620">
        <v>8</v>
      </c>
      <c r="AM424" s="623">
        <f t="shared" si="116"/>
        <v>30</v>
      </c>
      <c r="AN424" s="621"/>
      <c r="AO424" s="621"/>
      <c r="AP424" s="621"/>
      <c r="AQ424" s="622">
        <f t="shared" si="117"/>
        <v>3</v>
      </c>
      <c r="AR424" s="615">
        <f t="shared" si="126"/>
        <v>0</v>
      </c>
      <c r="AS424" s="620">
        <v>14</v>
      </c>
      <c r="AT424" s="620">
        <v>8</v>
      </c>
      <c r="AU424" s="620">
        <v>5</v>
      </c>
      <c r="AV424" s="623">
        <f t="shared" si="118"/>
        <v>27</v>
      </c>
      <c r="AW424" s="621"/>
      <c r="AX424" s="621"/>
      <c r="AY424" s="621"/>
      <c r="AZ424" s="624">
        <f t="shared" si="119"/>
        <v>27</v>
      </c>
      <c r="BA424" s="623"/>
      <c r="BB424" s="620"/>
      <c r="BC424" s="620"/>
      <c r="BD424" s="623">
        <f t="shared" si="120"/>
        <v>0</v>
      </c>
      <c r="BE424" s="621"/>
      <c r="BF424" s="621"/>
      <c r="BG424" s="621"/>
      <c r="BH424" s="621">
        <f t="shared" si="121"/>
        <v>0</v>
      </c>
    </row>
    <row r="425" spans="1:60" ht="17.25" thickTop="1" thickBot="1" x14ac:dyDescent="0.3">
      <c r="A425" s="77">
        <v>418</v>
      </c>
      <c r="B425" s="603">
        <f t="shared" ca="1" si="109"/>
        <v>43134</v>
      </c>
      <c r="C425" s="271" t="s">
        <v>2404</v>
      </c>
      <c r="D425" s="59" t="s">
        <v>2432</v>
      </c>
      <c r="E425" s="22" t="s">
        <v>1861</v>
      </c>
      <c r="F425" s="27" t="s">
        <v>1908</v>
      </c>
      <c r="G425" s="567">
        <v>42958</v>
      </c>
      <c r="H425" s="609">
        <f t="shared" si="122"/>
        <v>23.8</v>
      </c>
      <c r="I425" s="620">
        <v>7.6</v>
      </c>
      <c r="J425" s="620">
        <v>6.4</v>
      </c>
      <c r="K425" s="620">
        <v>7</v>
      </c>
      <c r="L425" s="611">
        <f t="shared" si="110"/>
        <v>21</v>
      </c>
      <c r="M425" s="621"/>
      <c r="N425" s="621"/>
      <c r="O425" s="621"/>
      <c r="P425" s="622">
        <f t="shared" si="111"/>
        <v>-2.8000000000000007</v>
      </c>
      <c r="Q425" s="609">
        <f t="shared" si="123"/>
        <v>0</v>
      </c>
      <c r="R425" s="620">
        <v>7.8</v>
      </c>
      <c r="S425" s="620">
        <v>8</v>
      </c>
      <c r="T425" s="620">
        <v>8</v>
      </c>
      <c r="U425" s="611">
        <f t="shared" si="112"/>
        <v>23.8</v>
      </c>
      <c r="V425" s="621"/>
      <c r="W425" s="621"/>
      <c r="X425" s="621"/>
      <c r="Y425" s="622">
        <f t="shared" si="113"/>
        <v>23.8</v>
      </c>
      <c r="Z425" s="609">
        <f t="shared" si="124"/>
        <v>0</v>
      </c>
      <c r="AA425" s="620">
        <v>12</v>
      </c>
      <c r="AB425" s="620">
        <v>7</v>
      </c>
      <c r="AC425" s="620">
        <v>7</v>
      </c>
      <c r="AD425" s="611">
        <f t="shared" si="114"/>
        <v>26</v>
      </c>
      <c r="AE425" s="621"/>
      <c r="AF425" s="621"/>
      <c r="AG425" s="621"/>
      <c r="AH425" s="622">
        <f t="shared" si="115"/>
        <v>26</v>
      </c>
      <c r="AI425" s="609">
        <f t="shared" si="125"/>
        <v>0</v>
      </c>
      <c r="AJ425" s="620"/>
      <c r="AK425" s="620"/>
      <c r="AL425" s="620"/>
      <c r="AM425" s="623">
        <f t="shared" si="116"/>
        <v>0</v>
      </c>
      <c r="AN425" s="621"/>
      <c r="AO425" s="621"/>
      <c r="AP425" s="621"/>
      <c r="AQ425" s="622">
        <f t="shared" si="117"/>
        <v>0</v>
      </c>
      <c r="AR425" s="615">
        <f t="shared" si="126"/>
        <v>0</v>
      </c>
      <c r="AS425" s="620"/>
      <c r="AT425" s="620"/>
      <c r="AU425" s="620"/>
      <c r="AV425" s="623">
        <f t="shared" si="118"/>
        <v>0</v>
      </c>
      <c r="AW425" s="621"/>
      <c r="AX425" s="621"/>
      <c r="AY425" s="621"/>
      <c r="AZ425" s="624">
        <f t="shared" si="119"/>
        <v>0</v>
      </c>
      <c r="BA425" s="623"/>
      <c r="BB425" s="620"/>
      <c r="BC425" s="620"/>
      <c r="BD425" s="623">
        <f t="shared" si="120"/>
        <v>0</v>
      </c>
      <c r="BE425" s="621"/>
      <c r="BF425" s="621"/>
      <c r="BG425" s="621"/>
      <c r="BH425" s="621">
        <f t="shared" si="121"/>
        <v>0</v>
      </c>
    </row>
    <row r="426" spans="1:60" ht="17.25" thickTop="1" thickBot="1" x14ac:dyDescent="0.3">
      <c r="A426" s="602">
        <v>419</v>
      </c>
      <c r="B426" s="603">
        <f t="shared" ca="1" si="109"/>
        <v>43134</v>
      </c>
      <c r="C426" s="29" t="s">
        <v>2404</v>
      </c>
      <c r="D426" s="59" t="s">
        <v>2432</v>
      </c>
      <c r="E426" s="22" t="s">
        <v>1404</v>
      </c>
      <c r="F426" s="27" t="s">
        <v>1405</v>
      </c>
      <c r="G426" s="567">
        <v>42478</v>
      </c>
      <c r="H426" s="609">
        <f t="shared" si="122"/>
        <v>22.599999999999998</v>
      </c>
      <c r="I426" s="620">
        <v>11</v>
      </c>
      <c r="J426" s="620">
        <v>8.1999999999999993</v>
      </c>
      <c r="K426" s="620">
        <v>9</v>
      </c>
      <c r="L426" s="611">
        <f t="shared" si="110"/>
        <v>28.2</v>
      </c>
      <c r="M426" s="621"/>
      <c r="N426" s="621"/>
      <c r="O426" s="621"/>
      <c r="P426" s="622">
        <f t="shared" si="111"/>
        <v>5.6000000000000014</v>
      </c>
      <c r="Q426" s="609">
        <f t="shared" si="123"/>
        <v>35.200000000000003</v>
      </c>
      <c r="R426" s="620">
        <v>8.4</v>
      </c>
      <c r="S426" s="620">
        <v>8</v>
      </c>
      <c r="T426" s="620">
        <v>6.2</v>
      </c>
      <c r="U426" s="611">
        <f t="shared" si="112"/>
        <v>22.599999999999998</v>
      </c>
      <c r="V426" s="621"/>
      <c r="W426" s="621"/>
      <c r="X426" s="621"/>
      <c r="Y426" s="622">
        <f t="shared" si="113"/>
        <v>-12.600000000000005</v>
      </c>
      <c r="Z426" s="609">
        <f t="shared" si="124"/>
        <v>35.200000000000003</v>
      </c>
      <c r="AA426" s="620">
        <v>12</v>
      </c>
      <c r="AB426" s="620">
        <v>9</v>
      </c>
      <c r="AC426" s="620">
        <v>7</v>
      </c>
      <c r="AD426" s="611">
        <f t="shared" si="114"/>
        <v>28</v>
      </c>
      <c r="AE426" s="621"/>
      <c r="AF426" s="621"/>
      <c r="AG426" s="621"/>
      <c r="AH426" s="622">
        <f t="shared" si="115"/>
        <v>-7.2000000000000028</v>
      </c>
      <c r="AI426" s="609">
        <f t="shared" si="125"/>
        <v>0</v>
      </c>
      <c r="AJ426" s="620">
        <v>17</v>
      </c>
      <c r="AK426" s="620">
        <v>8</v>
      </c>
      <c r="AL426" s="620">
        <v>10.199999999999999</v>
      </c>
      <c r="AM426" s="623">
        <f t="shared" si="116"/>
        <v>35.200000000000003</v>
      </c>
      <c r="AN426" s="621"/>
      <c r="AO426" s="621"/>
      <c r="AP426" s="621"/>
      <c r="AQ426" s="622">
        <f t="shared" si="117"/>
        <v>35.200000000000003</v>
      </c>
      <c r="AR426" s="615">
        <f t="shared" si="126"/>
        <v>0</v>
      </c>
      <c r="AS426" s="620"/>
      <c r="AT426" s="620"/>
      <c r="AU426" s="620"/>
      <c r="AV426" s="623">
        <f t="shared" si="118"/>
        <v>0</v>
      </c>
      <c r="AW426" s="621"/>
      <c r="AX426" s="621"/>
      <c r="AY426" s="621"/>
      <c r="AZ426" s="624">
        <f t="shared" si="119"/>
        <v>0</v>
      </c>
      <c r="BA426" s="623"/>
      <c r="BB426" s="620"/>
      <c r="BC426" s="620"/>
      <c r="BD426" s="623">
        <f t="shared" si="120"/>
        <v>0</v>
      </c>
      <c r="BE426" s="621"/>
      <c r="BF426" s="621"/>
      <c r="BG426" s="621"/>
      <c r="BH426" s="621">
        <f t="shared" si="121"/>
        <v>0</v>
      </c>
    </row>
    <row r="427" spans="1:60" ht="17.25" thickTop="1" thickBot="1" x14ac:dyDescent="0.3">
      <c r="A427" s="77">
        <v>420</v>
      </c>
      <c r="B427" s="603">
        <f t="shared" ca="1" si="109"/>
        <v>43134</v>
      </c>
      <c r="C427" s="29" t="s">
        <v>2404</v>
      </c>
      <c r="D427" s="59" t="s">
        <v>1456</v>
      </c>
      <c r="E427" s="22" t="s">
        <v>926</v>
      </c>
      <c r="F427" s="295" t="s">
        <v>927</v>
      </c>
      <c r="G427" s="567">
        <v>42434</v>
      </c>
      <c r="H427" s="609">
        <f t="shared" si="122"/>
        <v>20</v>
      </c>
      <c r="I427" s="620">
        <v>9</v>
      </c>
      <c r="J427" s="620">
        <v>6</v>
      </c>
      <c r="K427" s="620">
        <v>5</v>
      </c>
      <c r="L427" s="611">
        <f t="shared" si="110"/>
        <v>20</v>
      </c>
      <c r="M427" s="621"/>
      <c r="N427" s="621"/>
      <c r="O427" s="621"/>
      <c r="P427" s="622">
        <f t="shared" si="111"/>
        <v>0</v>
      </c>
      <c r="Q427" s="609">
        <f t="shared" si="123"/>
        <v>22.5</v>
      </c>
      <c r="R427" s="620">
        <v>6.5</v>
      </c>
      <c r="S427" s="620">
        <v>7</v>
      </c>
      <c r="T427" s="620">
        <v>6.5</v>
      </c>
      <c r="U427" s="611">
        <f t="shared" si="112"/>
        <v>20</v>
      </c>
      <c r="V427" s="621"/>
      <c r="W427" s="621"/>
      <c r="X427" s="621"/>
      <c r="Y427" s="622">
        <f t="shared" si="113"/>
        <v>-2.5</v>
      </c>
      <c r="Z427" s="609">
        <f t="shared" si="124"/>
        <v>22.5</v>
      </c>
      <c r="AA427" s="620">
        <v>10</v>
      </c>
      <c r="AB427" s="620">
        <v>8.5</v>
      </c>
      <c r="AC427" s="620">
        <v>8</v>
      </c>
      <c r="AD427" s="611">
        <f t="shared" si="114"/>
        <v>26.5</v>
      </c>
      <c r="AE427" s="621"/>
      <c r="AF427" s="621"/>
      <c r="AG427" s="621"/>
      <c r="AH427" s="622">
        <f t="shared" si="115"/>
        <v>4</v>
      </c>
      <c r="AI427" s="609">
        <f t="shared" si="125"/>
        <v>31</v>
      </c>
      <c r="AJ427" s="620">
        <v>6.5</v>
      </c>
      <c r="AK427" s="620">
        <v>9</v>
      </c>
      <c r="AL427" s="620">
        <v>7</v>
      </c>
      <c r="AM427" s="623">
        <f t="shared" si="116"/>
        <v>22.5</v>
      </c>
      <c r="AN427" s="621"/>
      <c r="AO427" s="621"/>
      <c r="AP427" s="621"/>
      <c r="AQ427" s="622">
        <f t="shared" si="117"/>
        <v>-8.5</v>
      </c>
      <c r="AR427" s="615">
        <f t="shared" si="126"/>
        <v>0</v>
      </c>
      <c r="AS427" s="620">
        <v>14</v>
      </c>
      <c r="AT427" s="620">
        <v>9</v>
      </c>
      <c r="AU427" s="620">
        <v>8</v>
      </c>
      <c r="AV427" s="623">
        <f t="shared" si="118"/>
        <v>31</v>
      </c>
      <c r="AW427" s="621"/>
      <c r="AX427" s="621"/>
      <c r="AY427" s="621"/>
      <c r="AZ427" s="624">
        <f t="shared" si="119"/>
        <v>31</v>
      </c>
      <c r="BA427" s="623"/>
      <c r="BB427" s="620"/>
      <c r="BC427" s="620"/>
      <c r="BD427" s="623">
        <f t="shared" si="120"/>
        <v>0</v>
      </c>
      <c r="BE427" s="621"/>
      <c r="BF427" s="621"/>
      <c r="BG427" s="621"/>
      <c r="BH427" s="621">
        <f t="shared" si="121"/>
        <v>0</v>
      </c>
    </row>
    <row r="428" spans="1:60" ht="17.25" thickTop="1" thickBot="1" x14ac:dyDescent="0.3">
      <c r="A428" s="602">
        <v>421</v>
      </c>
      <c r="B428" s="603">
        <f t="shared" ca="1" si="109"/>
        <v>43134</v>
      </c>
      <c r="C428" s="29" t="s">
        <v>2404</v>
      </c>
      <c r="D428" s="59" t="s">
        <v>1456</v>
      </c>
      <c r="E428" s="22" t="s">
        <v>806</v>
      </c>
      <c r="F428" s="27" t="s">
        <v>1394</v>
      </c>
      <c r="G428" s="567">
        <v>42471</v>
      </c>
      <c r="H428" s="609">
        <f t="shared" si="122"/>
        <v>19.5</v>
      </c>
      <c r="I428" s="620">
        <v>9</v>
      </c>
      <c r="J428" s="620">
        <v>8</v>
      </c>
      <c r="K428" s="620">
        <v>7.6</v>
      </c>
      <c r="L428" s="611">
        <f t="shared" si="110"/>
        <v>24.6</v>
      </c>
      <c r="M428" s="621"/>
      <c r="N428" s="621"/>
      <c r="O428" s="621"/>
      <c r="P428" s="622">
        <f t="shared" si="111"/>
        <v>5.1000000000000014</v>
      </c>
      <c r="Q428" s="609">
        <f t="shared" si="123"/>
        <v>30.599999999999998</v>
      </c>
      <c r="R428" s="620">
        <v>7</v>
      </c>
      <c r="S428" s="620">
        <v>5.5</v>
      </c>
      <c r="T428" s="620">
        <v>7</v>
      </c>
      <c r="U428" s="611">
        <f t="shared" si="112"/>
        <v>19.5</v>
      </c>
      <c r="V428" s="621"/>
      <c r="W428" s="621"/>
      <c r="X428" s="621"/>
      <c r="Y428" s="622">
        <f t="shared" si="113"/>
        <v>-11.099999999999998</v>
      </c>
      <c r="Z428" s="609">
        <f t="shared" si="124"/>
        <v>30.599999999999998</v>
      </c>
      <c r="AA428" s="620">
        <v>7.2</v>
      </c>
      <c r="AB428" s="620">
        <v>10</v>
      </c>
      <c r="AC428" s="620">
        <v>7</v>
      </c>
      <c r="AD428" s="611">
        <f t="shared" si="114"/>
        <v>24.2</v>
      </c>
      <c r="AE428" s="621"/>
      <c r="AF428" s="621"/>
      <c r="AG428" s="621"/>
      <c r="AH428" s="622">
        <f t="shared" si="115"/>
        <v>-6.3999999999999986</v>
      </c>
      <c r="AI428" s="609">
        <f t="shared" si="125"/>
        <v>32.5</v>
      </c>
      <c r="AJ428" s="620">
        <v>11.2</v>
      </c>
      <c r="AK428" s="620">
        <v>10.199999999999999</v>
      </c>
      <c r="AL428" s="620">
        <v>9.1999999999999993</v>
      </c>
      <c r="AM428" s="623">
        <f t="shared" si="116"/>
        <v>30.599999999999998</v>
      </c>
      <c r="AN428" s="621"/>
      <c r="AO428" s="621"/>
      <c r="AP428" s="621"/>
      <c r="AQ428" s="622">
        <f t="shared" si="117"/>
        <v>-1.9000000000000021</v>
      </c>
      <c r="AR428" s="615">
        <f t="shared" si="126"/>
        <v>0</v>
      </c>
      <c r="AS428" s="620">
        <v>15.5</v>
      </c>
      <c r="AT428" s="620">
        <v>9.8000000000000007</v>
      </c>
      <c r="AU428" s="620">
        <v>7.2</v>
      </c>
      <c r="AV428" s="623">
        <f t="shared" si="118"/>
        <v>32.5</v>
      </c>
      <c r="AW428" s="621"/>
      <c r="AX428" s="621"/>
      <c r="AY428" s="621"/>
      <c r="AZ428" s="624">
        <f t="shared" si="119"/>
        <v>32.5</v>
      </c>
      <c r="BA428" s="623"/>
      <c r="BB428" s="620"/>
      <c r="BC428" s="620"/>
      <c r="BD428" s="623">
        <f t="shared" si="120"/>
        <v>0</v>
      </c>
      <c r="BE428" s="621"/>
      <c r="BF428" s="621"/>
      <c r="BG428" s="621"/>
      <c r="BH428" s="621">
        <f t="shared" si="121"/>
        <v>0</v>
      </c>
    </row>
    <row r="429" spans="1:60" ht="17.25" thickTop="1" thickBot="1" x14ac:dyDescent="0.3">
      <c r="A429" s="77">
        <v>422</v>
      </c>
      <c r="B429" s="603">
        <f t="shared" ca="1" si="109"/>
        <v>43134</v>
      </c>
      <c r="C429" s="29" t="s">
        <v>2404</v>
      </c>
      <c r="D429" s="59" t="s">
        <v>1456</v>
      </c>
      <c r="E429" s="22" t="s">
        <v>29</v>
      </c>
      <c r="F429" s="27" t="s">
        <v>30</v>
      </c>
      <c r="G429" s="567">
        <v>42517</v>
      </c>
      <c r="H429" s="609">
        <f t="shared" si="122"/>
        <v>24.2</v>
      </c>
      <c r="I429" s="620">
        <v>4.8</v>
      </c>
      <c r="J429" s="620">
        <v>6.4</v>
      </c>
      <c r="K429" s="620">
        <v>5.4</v>
      </c>
      <c r="L429" s="611">
        <f t="shared" si="110"/>
        <v>16.600000000000001</v>
      </c>
      <c r="M429" s="621"/>
      <c r="N429" s="621"/>
      <c r="O429" s="621"/>
      <c r="P429" s="622">
        <f t="shared" si="111"/>
        <v>-7.5999999999999979</v>
      </c>
      <c r="Q429" s="609">
        <f t="shared" si="123"/>
        <v>36.1</v>
      </c>
      <c r="R429" s="620">
        <v>8</v>
      </c>
      <c r="S429" s="620">
        <v>9.1999999999999993</v>
      </c>
      <c r="T429" s="620">
        <v>7</v>
      </c>
      <c r="U429" s="611">
        <f t="shared" si="112"/>
        <v>24.2</v>
      </c>
      <c r="V429" s="621"/>
      <c r="W429" s="621"/>
      <c r="X429" s="621"/>
      <c r="Y429" s="622">
        <f t="shared" si="113"/>
        <v>-11.900000000000002</v>
      </c>
      <c r="Z429" s="609">
        <f t="shared" si="124"/>
        <v>36.1</v>
      </c>
      <c r="AA429" s="620">
        <v>26</v>
      </c>
      <c r="AB429" s="620">
        <v>12</v>
      </c>
      <c r="AC429" s="620">
        <v>11.1</v>
      </c>
      <c r="AD429" s="611">
        <f t="shared" si="114"/>
        <v>49.1</v>
      </c>
      <c r="AE429" s="621"/>
      <c r="AF429" s="621"/>
      <c r="AG429" s="621"/>
      <c r="AH429" s="622">
        <f t="shared" si="115"/>
        <v>13</v>
      </c>
      <c r="AI429" s="609">
        <f t="shared" si="125"/>
        <v>38.299999999999997</v>
      </c>
      <c r="AJ429" s="620">
        <v>11</v>
      </c>
      <c r="AK429" s="620">
        <v>15</v>
      </c>
      <c r="AL429" s="620">
        <v>10.1</v>
      </c>
      <c r="AM429" s="623">
        <f t="shared" si="116"/>
        <v>36.1</v>
      </c>
      <c r="AN429" s="621"/>
      <c r="AO429" s="621"/>
      <c r="AP429" s="621"/>
      <c r="AQ429" s="622">
        <f t="shared" si="117"/>
        <v>-2.1999999999999957</v>
      </c>
      <c r="AR429" s="615">
        <f t="shared" si="126"/>
        <v>0</v>
      </c>
      <c r="AS429" s="620">
        <v>19.3</v>
      </c>
      <c r="AT429" s="620">
        <v>11.2</v>
      </c>
      <c r="AU429" s="620">
        <v>7.8</v>
      </c>
      <c r="AV429" s="623">
        <f t="shared" si="118"/>
        <v>38.299999999999997</v>
      </c>
      <c r="AW429" s="621"/>
      <c r="AX429" s="621"/>
      <c r="AY429" s="621"/>
      <c r="AZ429" s="624">
        <f t="shared" si="119"/>
        <v>38.299999999999997</v>
      </c>
      <c r="BA429" s="623"/>
      <c r="BB429" s="620"/>
      <c r="BC429" s="620"/>
      <c r="BD429" s="623">
        <f t="shared" si="120"/>
        <v>0</v>
      </c>
      <c r="BE429" s="621"/>
      <c r="BF429" s="621"/>
      <c r="BG429" s="621"/>
      <c r="BH429" s="621">
        <f t="shared" si="121"/>
        <v>0</v>
      </c>
    </row>
    <row r="430" spans="1:60" ht="17.25" thickTop="1" thickBot="1" x14ac:dyDescent="0.3">
      <c r="A430" s="602">
        <v>423</v>
      </c>
      <c r="B430" s="603">
        <f t="shared" ca="1" si="109"/>
        <v>43134</v>
      </c>
      <c r="C430" s="29" t="s">
        <v>614</v>
      </c>
      <c r="D430" s="59" t="s">
        <v>2862</v>
      </c>
      <c r="E430" s="22" t="s">
        <v>394</v>
      </c>
      <c r="F430" s="27" t="s">
        <v>395</v>
      </c>
      <c r="G430" s="567">
        <v>42827</v>
      </c>
      <c r="H430" s="609">
        <f t="shared" si="122"/>
        <v>11</v>
      </c>
      <c r="I430" s="620">
        <v>9</v>
      </c>
      <c r="J430" s="620"/>
      <c r="K430" s="620">
        <v>8</v>
      </c>
      <c r="L430" s="611">
        <f t="shared" si="110"/>
        <v>17</v>
      </c>
      <c r="M430" s="621"/>
      <c r="N430" s="621"/>
      <c r="O430" s="621"/>
      <c r="P430" s="622">
        <f t="shared" si="111"/>
        <v>6</v>
      </c>
      <c r="Q430" s="609">
        <f t="shared" si="123"/>
        <v>30</v>
      </c>
      <c r="R430" s="620">
        <v>3</v>
      </c>
      <c r="S430" s="620"/>
      <c r="T430" s="620">
        <v>8</v>
      </c>
      <c r="U430" s="611">
        <f t="shared" si="112"/>
        <v>11</v>
      </c>
      <c r="V430" s="621"/>
      <c r="W430" s="621"/>
      <c r="X430" s="621"/>
      <c r="Y430" s="622">
        <f t="shared" si="113"/>
        <v>-19</v>
      </c>
      <c r="Z430" s="609">
        <f t="shared" si="124"/>
        <v>30</v>
      </c>
      <c r="AA430" s="620">
        <v>10.5</v>
      </c>
      <c r="AB430" s="620">
        <v>7.2</v>
      </c>
      <c r="AC430" s="620">
        <v>5</v>
      </c>
      <c r="AD430" s="611">
        <f t="shared" si="114"/>
        <v>22.7</v>
      </c>
      <c r="AE430" s="621"/>
      <c r="AF430" s="621"/>
      <c r="AG430" s="621"/>
      <c r="AH430" s="622">
        <f t="shared" si="115"/>
        <v>-7.3000000000000007</v>
      </c>
      <c r="AI430" s="609">
        <f t="shared" si="125"/>
        <v>34</v>
      </c>
      <c r="AJ430" s="620">
        <v>12</v>
      </c>
      <c r="AK430" s="620">
        <v>9</v>
      </c>
      <c r="AL430" s="620">
        <v>9</v>
      </c>
      <c r="AM430" s="623">
        <f t="shared" si="116"/>
        <v>30</v>
      </c>
      <c r="AN430" s="621"/>
      <c r="AO430" s="621"/>
      <c r="AP430" s="621"/>
      <c r="AQ430" s="622">
        <f t="shared" si="117"/>
        <v>-4</v>
      </c>
      <c r="AR430" s="615">
        <f t="shared" si="126"/>
        <v>30.3</v>
      </c>
      <c r="AS430" s="620">
        <v>13</v>
      </c>
      <c r="AT430" s="620">
        <v>10</v>
      </c>
      <c r="AU430" s="620">
        <v>11</v>
      </c>
      <c r="AV430" s="623">
        <f t="shared" si="118"/>
        <v>34</v>
      </c>
      <c r="AW430" s="621">
        <v>3.39</v>
      </c>
      <c r="AX430" s="621">
        <v>3.07</v>
      </c>
      <c r="AY430" s="621">
        <v>90</v>
      </c>
      <c r="AZ430" s="624">
        <f t="shared" si="119"/>
        <v>3.6999999999999993</v>
      </c>
      <c r="BA430" s="623">
        <v>30.3</v>
      </c>
      <c r="BB430" s="620">
        <v>20</v>
      </c>
      <c r="BC430" s="620">
        <v>18</v>
      </c>
      <c r="BD430" s="623">
        <f t="shared" si="120"/>
        <v>38</v>
      </c>
      <c r="BE430" s="621"/>
      <c r="BF430" s="621"/>
      <c r="BG430" s="621"/>
      <c r="BH430" s="621">
        <f t="shared" si="121"/>
        <v>-7.6999999999999993</v>
      </c>
    </row>
    <row r="431" spans="1:60" ht="17.25" thickTop="1" thickBot="1" x14ac:dyDescent="0.3">
      <c r="A431" s="77">
        <v>424</v>
      </c>
      <c r="B431" s="603">
        <f t="shared" ca="1" si="109"/>
        <v>43134</v>
      </c>
      <c r="C431" s="29" t="s">
        <v>614</v>
      </c>
      <c r="D431" s="59" t="s">
        <v>2862</v>
      </c>
      <c r="E431" s="22" t="s">
        <v>196</v>
      </c>
      <c r="F431" s="27" t="s">
        <v>1416</v>
      </c>
      <c r="G431" s="567">
        <v>42799</v>
      </c>
      <c r="H431" s="609">
        <f t="shared" si="122"/>
        <v>26.2</v>
      </c>
      <c r="I431" s="620">
        <v>7</v>
      </c>
      <c r="J431" s="620">
        <v>6</v>
      </c>
      <c r="K431" s="620">
        <v>8.5</v>
      </c>
      <c r="L431" s="611">
        <f t="shared" si="110"/>
        <v>21.5</v>
      </c>
      <c r="M431" s="621"/>
      <c r="N431" s="621"/>
      <c r="O431" s="621"/>
      <c r="P431" s="622">
        <f t="shared" si="111"/>
        <v>-4.6999999999999993</v>
      </c>
      <c r="Q431" s="609">
        <f t="shared" si="123"/>
        <v>28.4</v>
      </c>
      <c r="R431" s="620">
        <v>8.8000000000000007</v>
      </c>
      <c r="S431" s="620">
        <v>8.6</v>
      </c>
      <c r="T431" s="620">
        <v>8.8000000000000007</v>
      </c>
      <c r="U431" s="611">
        <f t="shared" si="112"/>
        <v>26.2</v>
      </c>
      <c r="V431" s="621"/>
      <c r="W431" s="621"/>
      <c r="X431" s="621"/>
      <c r="Y431" s="622">
        <f t="shared" si="113"/>
        <v>-2.1999999999999993</v>
      </c>
      <c r="Z431" s="609">
        <f t="shared" si="124"/>
        <v>28.4</v>
      </c>
      <c r="AA431" s="620">
        <v>9.8000000000000007</v>
      </c>
      <c r="AB431" s="620">
        <v>12</v>
      </c>
      <c r="AC431" s="620">
        <v>10</v>
      </c>
      <c r="AD431" s="611">
        <f t="shared" si="114"/>
        <v>31.8</v>
      </c>
      <c r="AE431" s="621"/>
      <c r="AF431" s="621"/>
      <c r="AG431" s="621"/>
      <c r="AH431" s="622">
        <f t="shared" si="115"/>
        <v>3.4000000000000021</v>
      </c>
      <c r="AI431" s="609">
        <f t="shared" si="125"/>
        <v>40.6</v>
      </c>
      <c r="AJ431" s="620">
        <v>10</v>
      </c>
      <c r="AK431" s="620">
        <v>9</v>
      </c>
      <c r="AL431" s="620">
        <v>9.4</v>
      </c>
      <c r="AM431" s="623">
        <f t="shared" si="116"/>
        <v>28.4</v>
      </c>
      <c r="AN431" s="621"/>
      <c r="AO431" s="621"/>
      <c r="AP431" s="621"/>
      <c r="AQ431" s="622">
        <f t="shared" si="117"/>
        <v>-12.200000000000003</v>
      </c>
      <c r="AR431" s="615">
        <f t="shared" si="126"/>
        <v>36.9</v>
      </c>
      <c r="AS431" s="620">
        <v>14.4</v>
      </c>
      <c r="AT431" s="620">
        <v>10.199999999999999</v>
      </c>
      <c r="AU431" s="620">
        <v>16</v>
      </c>
      <c r="AV431" s="623">
        <f t="shared" si="118"/>
        <v>40.6</v>
      </c>
      <c r="AW431" s="621">
        <v>3.09</v>
      </c>
      <c r="AX431" s="621">
        <v>3.16</v>
      </c>
      <c r="AY431" s="621">
        <v>90</v>
      </c>
      <c r="AZ431" s="624">
        <f t="shared" si="119"/>
        <v>3.7000000000000028</v>
      </c>
      <c r="BA431" s="623">
        <v>36.9</v>
      </c>
      <c r="BB431" s="620">
        <v>14</v>
      </c>
      <c r="BC431" s="620">
        <v>17.399999999999999</v>
      </c>
      <c r="BD431" s="623">
        <f t="shared" si="120"/>
        <v>31.4</v>
      </c>
      <c r="BE431" s="621"/>
      <c r="BF431" s="621"/>
      <c r="BG431" s="621"/>
      <c r="BH431" s="621">
        <f t="shared" si="121"/>
        <v>5.5</v>
      </c>
    </row>
    <row r="432" spans="1:60" ht="17.25" thickTop="1" thickBot="1" x14ac:dyDescent="0.3">
      <c r="A432" s="602">
        <v>425</v>
      </c>
      <c r="B432" s="603">
        <f t="shared" ca="1" si="109"/>
        <v>43134</v>
      </c>
      <c r="C432" s="29" t="s">
        <v>614</v>
      </c>
      <c r="D432" s="59" t="s">
        <v>2862</v>
      </c>
      <c r="E432" s="22" t="s">
        <v>264</v>
      </c>
      <c r="F432" s="27" t="s">
        <v>318</v>
      </c>
      <c r="G432" s="567">
        <v>42750</v>
      </c>
      <c r="H432" s="609">
        <f t="shared" si="122"/>
        <v>23</v>
      </c>
      <c r="I432" s="620">
        <v>6.2</v>
      </c>
      <c r="J432" s="620">
        <v>6.8</v>
      </c>
      <c r="K432" s="620">
        <v>3.2</v>
      </c>
      <c r="L432" s="611">
        <f t="shared" si="110"/>
        <v>16.2</v>
      </c>
      <c r="M432" s="621"/>
      <c r="N432" s="621"/>
      <c r="O432" s="621"/>
      <c r="P432" s="622">
        <f t="shared" si="111"/>
        <v>-6.8000000000000007</v>
      </c>
      <c r="Q432" s="609">
        <f t="shared" si="123"/>
        <v>29.9</v>
      </c>
      <c r="R432" s="620">
        <v>8.8000000000000007</v>
      </c>
      <c r="S432" s="620">
        <v>8</v>
      </c>
      <c r="T432" s="620">
        <v>6.2</v>
      </c>
      <c r="U432" s="611">
        <f t="shared" si="112"/>
        <v>23</v>
      </c>
      <c r="V432" s="621"/>
      <c r="W432" s="621"/>
      <c r="X432" s="621"/>
      <c r="Y432" s="622">
        <f t="shared" si="113"/>
        <v>-6.8999999999999986</v>
      </c>
      <c r="Z432" s="609">
        <f t="shared" si="124"/>
        <v>29.9</v>
      </c>
      <c r="AA432" s="620">
        <v>10.5</v>
      </c>
      <c r="AB432" s="620">
        <v>14</v>
      </c>
      <c r="AC432" s="620">
        <v>7</v>
      </c>
      <c r="AD432" s="611">
        <f t="shared" si="114"/>
        <v>31.5</v>
      </c>
      <c r="AE432" s="621"/>
      <c r="AF432" s="621"/>
      <c r="AG432" s="621"/>
      <c r="AH432" s="622">
        <f t="shared" si="115"/>
        <v>1.6000000000000014</v>
      </c>
      <c r="AI432" s="609">
        <f t="shared" si="125"/>
        <v>36.5</v>
      </c>
      <c r="AJ432" s="620">
        <v>9.8000000000000007</v>
      </c>
      <c r="AK432" s="620">
        <v>10</v>
      </c>
      <c r="AL432" s="620">
        <v>10.1</v>
      </c>
      <c r="AM432" s="623">
        <f t="shared" si="116"/>
        <v>29.9</v>
      </c>
      <c r="AN432" s="621"/>
      <c r="AO432" s="621"/>
      <c r="AP432" s="621"/>
      <c r="AQ432" s="622">
        <f t="shared" si="117"/>
        <v>-6.6000000000000014</v>
      </c>
      <c r="AR432" s="615">
        <f t="shared" si="126"/>
        <v>37</v>
      </c>
      <c r="AS432" s="620">
        <v>13</v>
      </c>
      <c r="AT432" s="620">
        <v>14</v>
      </c>
      <c r="AU432" s="620">
        <v>9.5</v>
      </c>
      <c r="AV432" s="623">
        <f t="shared" si="118"/>
        <v>36.5</v>
      </c>
      <c r="AW432" s="621">
        <v>4.12</v>
      </c>
      <c r="AX432" s="621">
        <v>2.97</v>
      </c>
      <c r="AY432" s="621">
        <v>90</v>
      </c>
      <c r="AZ432" s="624">
        <f t="shared" si="119"/>
        <v>-0.5</v>
      </c>
      <c r="BA432" s="623">
        <v>37</v>
      </c>
      <c r="BB432" s="620">
        <v>17</v>
      </c>
      <c r="BC432" s="620">
        <v>15</v>
      </c>
      <c r="BD432" s="623">
        <f t="shared" si="120"/>
        <v>32</v>
      </c>
      <c r="BE432" s="621"/>
      <c r="BF432" s="621"/>
      <c r="BG432" s="621"/>
      <c r="BH432" s="621">
        <f t="shared" si="121"/>
        <v>5</v>
      </c>
    </row>
    <row r="433" spans="1:60" ht="17.25" thickTop="1" thickBot="1" x14ac:dyDescent="0.3">
      <c r="A433" s="77">
        <v>426</v>
      </c>
      <c r="B433" s="603">
        <f t="shared" ca="1" si="109"/>
        <v>43134</v>
      </c>
      <c r="C433" s="29" t="s">
        <v>614</v>
      </c>
      <c r="D433" s="59" t="s">
        <v>2862</v>
      </c>
      <c r="E433" s="22" t="s">
        <v>323</v>
      </c>
      <c r="F433" s="27" t="s">
        <v>324</v>
      </c>
      <c r="G433" s="567">
        <v>42711</v>
      </c>
      <c r="H433" s="609">
        <f t="shared" si="122"/>
        <v>0</v>
      </c>
      <c r="I433" s="620"/>
      <c r="J433" s="620"/>
      <c r="K433" s="620"/>
      <c r="L433" s="611">
        <f t="shared" si="110"/>
        <v>0</v>
      </c>
      <c r="M433" s="621"/>
      <c r="N433" s="621"/>
      <c r="O433" s="621"/>
      <c r="P433" s="622">
        <f t="shared" si="111"/>
        <v>0</v>
      </c>
      <c r="Q433" s="609">
        <f t="shared" si="123"/>
        <v>26</v>
      </c>
      <c r="R433" s="620"/>
      <c r="S433" s="620"/>
      <c r="T433" s="620"/>
      <c r="U433" s="611">
        <f t="shared" si="112"/>
        <v>0</v>
      </c>
      <c r="V433" s="621"/>
      <c r="W433" s="621"/>
      <c r="X433" s="621"/>
      <c r="Y433" s="622">
        <f t="shared" si="113"/>
        <v>-26</v>
      </c>
      <c r="Z433" s="609">
        <f t="shared" si="124"/>
        <v>26</v>
      </c>
      <c r="AA433" s="620">
        <v>15</v>
      </c>
      <c r="AB433" s="620"/>
      <c r="AC433" s="620">
        <v>9</v>
      </c>
      <c r="AD433" s="611">
        <f t="shared" si="114"/>
        <v>24</v>
      </c>
      <c r="AE433" s="621"/>
      <c r="AF433" s="621"/>
      <c r="AG433" s="621"/>
      <c r="AH433" s="622">
        <f t="shared" si="115"/>
        <v>-2</v>
      </c>
      <c r="AI433" s="609">
        <f t="shared" si="125"/>
        <v>26.5</v>
      </c>
      <c r="AJ433" s="620">
        <v>14</v>
      </c>
      <c r="AK433" s="620"/>
      <c r="AL433" s="620">
        <v>12</v>
      </c>
      <c r="AM433" s="623">
        <f t="shared" si="116"/>
        <v>26</v>
      </c>
      <c r="AN433" s="621"/>
      <c r="AO433" s="621"/>
      <c r="AP433" s="621"/>
      <c r="AQ433" s="622">
        <f t="shared" si="117"/>
        <v>-0.5</v>
      </c>
      <c r="AR433" s="615">
        <f t="shared" si="126"/>
        <v>34</v>
      </c>
      <c r="AS433" s="620">
        <v>10.5</v>
      </c>
      <c r="AT433" s="620">
        <v>4</v>
      </c>
      <c r="AU433" s="620">
        <v>12</v>
      </c>
      <c r="AV433" s="623">
        <f t="shared" si="118"/>
        <v>26.5</v>
      </c>
      <c r="AW433" s="621">
        <v>3.85</v>
      </c>
      <c r="AX433" s="621">
        <v>3.92</v>
      </c>
      <c r="AY433" s="621">
        <v>90</v>
      </c>
      <c r="AZ433" s="624">
        <f t="shared" si="119"/>
        <v>-7.5</v>
      </c>
      <c r="BA433" s="623">
        <v>34</v>
      </c>
      <c r="BB433" s="620">
        <v>14.5</v>
      </c>
      <c r="BC433" s="620">
        <v>12</v>
      </c>
      <c r="BD433" s="623">
        <f t="shared" si="120"/>
        <v>26.5</v>
      </c>
      <c r="BE433" s="621"/>
      <c r="BF433" s="621"/>
      <c r="BG433" s="621"/>
      <c r="BH433" s="621">
        <f t="shared" si="121"/>
        <v>7.5</v>
      </c>
    </row>
    <row r="434" spans="1:60" ht="17.25" thickTop="1" thickBot="1" x14ac:dyDescent="0.3">
      <c r="A434" s="602">
        <v>427</v>
      </c>
      <c r="B434" s="603">
        <f t="shared" ca="1" si="109"/>
        <v>43134</v>
      </c>
      <c r="C434" s="29" t="s">
        <v>614</v>
      </c>
      <c r="D434" s="59" t="s">
        <v>2862</v>
      </c>
      <c r="E434" s="22" t="s">
        <v>810</v>
      </c>
      <c r="F434" s="27" t="s">
        <v>811</v>
      </c>
      <c r="G434" s="567">
        <v>42724</v>
      </c>
      <c r="H434" s="609">
        <f t="shared" si="122"/>
        <v>0</v>
      </c>
      <c r="I434" s="620"/>
      <c r="J434" s="620"/>
      <c r="K434" s="620"/>
      <c r="L434" s="611">
        <f t="shared" si="110"/>
        <v>0</v>
      </c>
      <c r="M434" s="621"/>
      <c r="N434" s="621"/>
      <c r="O434" s="621"/>
      <c r="P434" s="622">
        <f t="shared" si="111"/>
        <v>0</v>
      </c>
      <c r="Q434" s="609">
        <f t="shared" si="123"/>
        <v>26.5</v>
      </c>
      <c r="R434" s="620"/>
      <c r="S434" s="620"/>
      <c r="T434" s="620"/>
      <c r="U434" s="611">
        <f t="shared" si="112"/>
        <v>0</v>
      </c>
      <c r="V434" s="621"/>
      <c r="W434" s="621"/>
      <c r="X434" s="621"/>
      <c r="Y434" s="622">
        <f t="shared" si="113"/>
        <v>-26.5</v>
      </c>
      <c r="Z434" s="609">
        <f t="shared" si="124"/>
        <v>26.5</v>
      </c>
      <c r="AA434" s="620">
        <v>14.2</v>
      </c>
      <c r="AB434" s="620"/>
      <c r="AC434" s="620">
        <v>0</v>
      </c>
      <c r="AD434" s="611">
        <f t="shared" si="114"/>
        <v>14.2</v>
      </c>
      <c r="AE434" s="621"/>
      <c r="AF434" s="621"/>
      <c r="AG434" s="621"/>
      <c r="AH434" s="622">
        <f t="shared" si="115"/>
        <v>-12.3</v>
      </c>
      <c r="AI434" s="609">
        <f t="shared" si="125"/>
        <v>33.4</v>
      </c>
      <c r="AJ434" s="620">
        <v>10</v>
      </c>
      <c r="AK434" s="620">
        <v>8.5</v>
      </c>
      <c r="AL434" s="620">
        <v>8</v>
      </c>
      <c r="AM434" s="623">
        <f t="shared" si="116"/>
        <v>26.5</v>
      </c>
      <c r="AN434" s="621"/>
      <c r="AO434" s="621"/>
      <c r="AP434" s="621"/>
      <c r="AQ434" s="622">
        <f t="shared" si="117"/>
        <v>-6.8999999999999986</v>
      </c>
      <c r="AR434" s="615">
        <f t="shared" si="126"/>
        <v>41</v>
      </c>
      <c r="AS434" s="620">
        <v>13.2</v>
      </c>
      <c r="AT434" s="620">
        <v>8.1999999999999993</v>
      </c>
      <c r="AU434" s="620">
        <v>12</v>
      </c>
      <c r="AV434" s="623">
        <f t="shared" si="118"/>
        <v>33.4</v>
      </c>
      <c r="AW434" s="621">
        <v>3.83</v>
      </c>
      <c r="AX434" s="621">
        <v>3.48</v>
      </c>
      <c r="AY434" s="621">
        <v>90</v>
      </c>
      <c r="AZ434" s="624">
        <f t="shared" si="119"/>
        <v>-7.6000000000000014</v>
      </c>
      <c r="BA434" s="623">
        <v>41</v>
      </c>
      <c r="BB434" s="620">
        <v>17</v>
      </c>
      <c r="BC434" s="620">
        <v>14.4</v>
      </c>
      <c r="BD434" s="623">
        <f t="shared" si="120"/>
        <v>31.4</v>
      </c>
      <c r="BE434" s="621"/>
      <c r="BF434" s="621"/>
      <c r="BG434" s="621"/>
      <c r="BH434" s="621">
        <f t="shared" si="121"/>
        <v>9.6000000000000014</v>
      </c>
    </row>
    <row r="435" spans="1:60" ht="17.25" thickTop="1" thickBot="1" x14ac:dyDescent="0.3">
      <c r="A435" s="77">
        <v>428</v>
      </c>
      <c r="B435" s="603">
        <f t="shared" ca="1" si="109"/>
        <v>43134</v>
      </c>
      <c r="C435" s="29" t="s">
        <v>614</v>
      </c>
      <c r="D435" s="59" t="s">
        <v>2862</v>
      </c>
      <c r="E435" s="22" t="s">
        <v>243</v>
      </c>
      <c r="F435" s="27" t="s">
        <v>244</v>
      </c>
      <c r="G435" s="567">
        <v>42854</v>
      </c>
      <c r="H435" s="609">
        <f t="shared" si="122"/>
        <v>38</v>
      </c>
      <c r="I435" s="620">
        <v>10</v>
      </c>
      <c r="J435" s="620">
        <v>12</v>
      </c>
      <c r="K435" s="620">
        <v>8</v>
      </c>
      <c r="L435" s="611">
        <f t="shared" si="110"/>
        <v>30</v>
      </c>
      <c r="M435" s="621"/>
      <c r="N435" s="621"/>
      <c r="O435" s="621"/>
      <c r="P435" s="622">
        <f t="shared" si="111"/>
        <v>-8</v>
      </c>
      <c r="Q435" s="609">
        <f t="shared" si="123"/>
        <v>34.200000000000003</v>
      </c>
      <c r="R435" s="620">
        <v>17</v>
      </c>
      <c r="S435" s="620">
        <v>9.8000000000000007</v>
      </c>
      <c r="T435" s="620">
        <v>11.2</v>
      </c>
      <c r="U435" s="611">
        <f t="shared" si="112"/>
        <v>38</v>
      </c>
      <c r="V435" s="621"/>
      <c r="W435" s="621"/>
      <c r="X435" s="621"/>
      <c r="Y435" s="622">
        <f t="shared" si="113"/>
        <v>3.7999999999999972</v>
      </c>
      <c r="Z435" s="609">
        <f t="shared" si="124"/>
        <v>34.200000000000003</v>
      </c>
      <c r="AA435" s="620">
        <v>9.5</v>
      </c>
      <c r="AB435" s="620">
        <v>9</v>
      </c>
      <c r="AC435" s="620">
        <v>9</v>
      </c>
      <c r="AD435" s="611">
        <f t="shared" si="114"/>
        <v>27.5</v>
      </c>
      <c r="AE435" s="621"/>
      <c r="AF435" s="621"/>
      <c r="AG435" s="621"/>
      <c r="AH435" s="622">
        <f t="shared" si="115"/>
        <v>-6.7000000000000028</v>
      </c>
      <c r="AI435" s="609">
        <f t="shared" si="125"/>
        <v>41</v>
      </c>
      <c r="AJ435" s="620">
        <v>12</v>
      </c>
      <c r="AK435" s="620">
        <v>11.2</v>
      </c>
      <c r="AL435" s="620">
        <v>11</v>
      </c>
      <c r="AM435" s="623">
        <f t="shared" si="116"/>
        <v>34.200000000000003</v>
      </c>
      <c r="AN435" s="621"/>
      <c r="AO435" s="621"/>
      <c r="AP435" s="621"/>
      <c r="AQ435" s="622">
        <f t="shared" si="117"/>
        <v>-6.7999999999999972</v>
      </c>
      <c r="AR435" s="615">
        <f t="shared" si="126"/>
        <v>40.4</v>
      </c>
      <c r="AS435" s="620">
        <v>13</v>
      </c>
      <c r="AT435" s="620">
        <v>13</v>
      </c>
      <c r="AU435" s="620">
        <v>15</v>
      </c>
      <c r="AV435" s="623">
        <f t="shared" si="118"/>
        <v>41</v>
      </c>
      <c r="AW435" s="621">
        <v>3.17</v>
      </c>
      <c r="AX435" s="621">
        <v>3.22</v>
      </c>
      <c r="AY435" s="621">
        <v>90</v>
      </c>
      <c r="AZ435" s="624">
        <f t="shared" si="119"/>
        <v>0.60000000000000142</v>
      </c>
      <c r="BA435" s="623">
        <v>40.4</v>
      </c>
      <c r="BB435" s="620">
        <v>24</v>
      </c>
      <c r="BC435" s="620">
        <v>20.2</v>
      </c>
      <c r="BD435" s="623">
        <f t="shared" si="120"/>
        <v>44.2</v>
      </c>
      <c r="BE435" s="621"/>
      <c r="BF435" s="621"/>
      <c r="BG435" s="621"/>
      <c r="BH435" s="621">
        <f t="shared" si="121"/>
        <v>-3.8000000000000043</v>
      </c>
    </row>
    <row r="436" spans="1:60" ht="17.25" thickTop="1" thickBot="1" x14ac:dyDescent="0.3">
      <c r="A436" s="602">
        <v>429</v>
      </c>
      <c r="B436" s="603">
        <f t="shared" ca="1" si="109"/>
        <v>43134</v>
      </c>
      <c r="C436" s="29" t="s">
        <v>614</v>
      </c>
      <c r="D436" s="59" t="s">
        <v>2862</v>
      </c>
      <c r="E436" s="22" t="s">
        <v>211</v>
      </c>
      <c r="F436" s="27" t="s">
        <v>212</v>
      </c>
      <c r="G436" s="567">
        <v>42862</v>
      </c>
      <c r="H436" s="609">
        <f t="shared" si="122"/>
        <v>17.600000000000001</v>
      </c>
      <c r="I436" s="620">
        <v>5</v>
      </c>
      <c r="J436" s="620"/>
      <c r="K436" s="620">
        <v>5.6</v>
      </c>
      <c r="L436" s="611">
        <f t="shared" si="110"/>
        <v>10.6</v>
      </c>
      <c r="M436" s="621"/>
      <c r="N436" s="621"/>
      <c r="O436" s="621"/>
      <c r="P436" s="622">
        <f t="shared" si="111"/>
        <v>-7.0000000000000018</v>
      </c>
      <c r="Q436" s="609">
        <f t="shared" si="123"/>
        <v>33.200000000000003</v>
      </c>
      <c r="R436" s="620">
        <v>7.6</v>
      </c>
      <c r="S436" s="620">
        <v>6</v>
      </c>
      <c r="T436" s="620">
        <v>4</v>
      </c>
      <c r="U436" s="611">
        <f t="shared" si="112"/>
        <v>17.600000000000001</v>
      </c>
      <c r="V436" s="621"/>
      <c r="W436" s="621"/>
      <c r="X436" s="621"/>
      <c r="Y436" s="622">
        <f t="shared" si="113"/>
        <v>-15.600000000000001</v>
      </c>
      <c r="Z436" s="609">
        <f t="shared" si="124"/>
        <v>33.200000000000003</v>
      </c>
      <c r="AA436" s="620">
        <v>12</v>
      </c>
      <c r="AB436" s="620">
        <v>9</v>
      </c>
      <c r="AC436" s="620">
        <v>9</v>
      </c>
      <c r="AD436" s="611">
        <f t="shared" si="114"/>
        <v>30</v>
      </c>
      <c r="AE436" s="621"/>
      <c r="AF436" s="621"/>
      <c r="AG436" s="621"/>
      <c r="AH436" s="622">
        <f t="shared" si="115"/>
        <v>-3.2000000000000028</v>
      </c>
      <c r="AI436" s="609">
        <f t="shared" si="125"/>
        <v>37.799999999999997</v>
      </c>
      <c r="AJ436" s="620">
        <v>11</v>
      </c>
      <c r="AK436" s="620">
        <v>12.2</v>
      </c>
      <c r="AL436" s="620">
        <v>10</v>
      </c>
      <c r="AM436" s="623">
        <f t="shared" si="116"/>
        <v>33.200000000000003</v>
      </c>
      <c r="AN436" s="621"/>
      <c r="AO436" s="621"/>
      <c r="AP436" s="621"/>
      <c r="AQ436" s="622">
        <f t="shared" si="117"/>
        <v>-4.5999999999999943</v>
      </c>
      <c r="AR436" s="615">
        <f t="shared" si="126"/>
        <v>19.2</v>
      </c>
      <c r="AS436" s="620">
        <v>14</v>
      </c>
      <c r="AT436" s="620">
        <v>12.8</v>
      </c>
      <c r="AU436" s="620">
        <v>11</v>
      </c>
      <c r="AV436" s="623">
        <f t="shared" si="118"/>
        <v>37.799999999999997</v>
      </c>
      <c r="AW436" s="621">
        <v>4.18</v>
      </c>
      <c r="AX436" s="621">
        <v>3.27</v>
      </c>
      <c r="AY436" s="621">
        <v>90</v>
      </c>
      <c r="AZ436" s="624">
        <f t="shared" si="119"/>
        <v>18.599999999999998</v>
      </c>
      <c r="BA436" s="623">
        <v>19.2</v>
      </c>
      <c r="BB436" s="620">
        <v>5.5</v>
      </c>
      <c r="BC436" s="620">
        <v>10.1</v>
      </c>
      <c r="BD436" s="623">
        <f t="shared" si="120"/>
        <v>15.6</v>
      </c>
      <c r="BE436" s="621"/>
      <c r="BF436" s="621"/>
      <c r="BG436" s="621"/>
      <c r="BH436" s="621">
        <f t="shared" si="121"/>
        <v>3.5999999999999996</v>
      </c>
    </row>
    <row r="437" spans="1:60" ht="17.25" thickTop="1" thickBot="1" x14ac:dyDescent="0.3">
      <c r="A437" s="77">
        <v>430</v>
      </c>
      <c r="B437" s="603">
        <f t="shared" ca="1" si="109"/>
        <v>43134</v>
      </c>
      <c r="C437" s="29" t="s">
        <v>614</v>
      </c>
      <c r="D437" s="59" t="s">
        <v>2862</v>
      </c>
      <c r="E437" s="22" t="s">
        <v>1359</v>
      </c>
      <c r="F437" s="27" t="s">
        <v>1244</v>
      </c>
      <c r="G437" s="567">
        <v>42848</v>
      </c>
      <c r="H437" s="609">
        <f t="shared" si="122"/>
        <v>22.1</v>
      </c>
      <c r="I437" s="620">
        <v>10.199999999999999</v>
      </c>
      <c r="J437" s="620">
        <v>9</v>
      </c>
      <c r="K437" s="620">
        <v>7</v>
      </c>
      <c r="L437" s="611">
        <f t="shared" si="110"/>
        <v>26.2</v>
      </c>
      <c r="M437" s="621"/>
      <c r="N437" s="621"/>
      <c r="O437" s="621"/>
      <c r="P437" s="622">
        <f t="shared" si="111"/>
        <v>4.0999999999999979</v>
      </c>
      <c r="Q437" s="609">
        <f t="shared" si="123"/>
        <v>26.2</v>
      </c>
      <c r="R437" s="620">
        <v>8.6</v>
      </c>
      <c r="S437" s="620">
        <v>5.5</v>
      </c>
      <c r="T437" s="620">
        <v>8</v>
      </c>
      <c r="U437" s="611">
        <f t="shared" si="112"/>
        <v>22.1</v>
      </c>
      <c r="V437" s="621"/>
      <c r="W437" s="621"/>
      <c r="X437" s="621"/>
      <c r="Y437" s="622">
        <f t="shared" si="113"/>
        <v>-4.0999999999999979</v>
      </c>
      <c r="Z437" s="609">
        <f t="shared" si="124"/>
        <v>26.2</v>
      </c>
      <c r="AA437" s="620">
        <v>9</v>
      </c>
      <c r="AB437" s="620">
        <v>7</v>
      </c>
      <c r="AC437" s="620">
        <v>8</v>
      </c>
      <c r="AD437" s="611">
        <f t="shared" si="114"/>
        <v>24</v>
      </c>
      <c r="AE437" s="621"/>
      <c r="AF437" s="621"/>
      <c r="AG437" s="621"/>
      <c r="AH437" s="622">
        <f t="shared" si="115"/>
        <v>-2.1999999999999993</v>
      </c>
      <c r="AI437" s="609">
        <f t="shared" si="125"/>
        <v>35.4</v>
      </c>
      <c r="AJ437" s="620">
        <v>11</v>
      </c>
      <c r="AK437" s="620">
        <v>9.1999999999999993</v>
      </c>
      <c r="AL437" s="620">
        <v>6</v>
      </c>
      <c r="AM437" s="623">
        <f t="shared" si="116"/>
        <v>26.2</v>
      </c>
      <c r="AN437" s="621"/>
      <c r="AO437" s="621"/>
      <c r="AP437" s="621"/>
      <c r="AQ437" s="622">
        <f t="shared" si="117"/>
        <v>-9.1999999999999993</v>
      </c>
      <c r="AR437" s="615">
        <f t="shared" si="126"/>
        <v>37.1</v>
      </c>
      <c r="AS437" s="620">
        <v>13.4</v>
      </c>
      <c r="AT437" s="620">
        <v>11</v>
      </c>
      <c r="AU437" s="620">
        <v>11</v>
      </c>
      <c r="AV437" s="623">
        <f t="shared" si="118"/>
        <v>35.4</v>
      </c>
      <c r="AW437" s="621">
        <v>4.42</v>
      </c>
      <c r="AX437" s="621">
        <v>3.58</v>
      </c>
      <c r="AY437" s="621">
        <v>90</v>
      </c>
      <c r="AZ437" s="624">
        <f t="shared" si="119"/>
        <v>-1.7000000000000028</v>
      </c>
      <c r="BA437" s="623">
        <v>37.1</v>
      </c>
      <c r="BB437" s="620">
        <v>18</v>
      </c>
      <c r="BC437" s="620">
        <v>16</v>
      </c>
      <c r="BD437" s="623">
        <f t="shared" si="120"/>
        <v>34</v>
      </c>
      <c r="BE437" s="621"/>
      <c r="BF437" s="621"/>
      <c r="BG437" s="621"/>
      <c r="BH437" s="621">
        <f t="shared" si="121"/>
        <v>3.1000000000000014</v>
      </c>
    </row>
    <row r="438" spans="1:60" ht="17.25" thickTop="1" thickBot="1" x14ac:dyDescent="0.3">
      <c r="A438" s="602">
        <v>431</v>
      </c>
      <c r="B438" s="603">
        <f t="shared" ca="1" si="109"/>
        <v>43134</v>
      </c>
      <c r="C438" s="29" t="s">
        <v>614</v>
      </c>
      <c r="D438" s="59" t="s">
        <v>2862</v>
      </c>
      <c r="E438" s="22" t="s">
        <v>1363</v>
      </c>
      <c r="F438" s="27" t="s">
        <v>1248</v>
      </c>
      <c r="G438" s="567">
        <v>42807</v>
      </c>
      <c r="H438" s="609">
        <f t="shared" si="122"/>
        <v>14.6</v>
      </c>
      <c r="I438" s="620">
        <v>10.6</v>
      </c>
      <c r="J438" s="620"/>
      <c r="K438" s="620">
        <v>6.4</v>
      </c>
      <c r="L438" s="611">
        <f t="shared" si="110"/>
        <v>17</v>
      </c>
      <c r="M438" s="621"/>
      <c r="N438" s="621"/>
      <c r="O438" s="621"/>
      <c r="P438" s="622">
        <f t="shared" si="111"/>
        <v>2.4000000000000004</v>
      </c>
      <c r="Q438" s="609">
        <f t="shared" si="123"/>
        <v>25.1</v>
      </c>
      <c r="R438" s="620">
        <v>5</v>
      </c>
      <c r="S438" s="620">
        <v>4</v>
      </c>
      <c r="T438" s="620">
        <v>5.6</v>
      </c>
      <c r="U438" s="611">
        <f t="shared" si="112"/>
        <v>14.6</v>
      </c>
      <c r="V438" s="621"/>
      <c r="W438" s="621"/>
      <c r="X438" s="621"/>
      <c r="Y438" s="622">
        <f t="shared" si="113"/>
        <v>-10.500000000000002</v>
      </c>
      <c r="Z438" s="609">
        <f t="shared" si="124"/>
        <v>25.1</v>
      </c>
      <c r="AA438" s="620">
        <v>10.8</v>
      </c>
      <c r="AB438" s="620"/>
      <c r="AC438" s="620">
        <v>11</v>
      </c>
      <c r="AD438" s="611">
        <f t="shared" si="114"/>
        <v>21.8</v>
      </c>
      <c r="AE438" s="621"/>
      <c r="AF438" s="621"/>
      <c r="AG438" s="621"/>
      <c r="AH438" s="622">
        <f t="shared" si="115"/>
        <v>-3.3000000000000007</v>
      </c>
      <c r="AI438" s="609">
        <f t="shared" si="125"/>
        <v>30</v>
      </c>
      <c r="AJ438" s="620">
        <v>8</v>
      </c>
      <c r="AK438" s="620">
        <v>8</v>
      </c>
      <c r="AL438" s="620">
        <v>9.1</v>
      </c>
      <c r="AM438" s="623">
        <f t="shared" si="116"/>
        <v>25.1</v>
      </c>
      <c r="AN438" s="621"/>
      <c r="AO438" s="621"/>
      <c r="AP438" s="621"/>
      <c r="AQ438" s="622">
        <f t="shared" si="117"/>
        <v>-4.8999999999999986</v>
      </c>
      <c r="AR438" s="615">
        <f t="shared" si="126"/>
        <v>36</v>
      </c>
      <c r="AS438" s="620">
        <v>11</v>
      </c>
      <c r="AT438" s="620">
        <v>9</v>
      </c>
      <c r="AU438" s="620">
        <v>10</v>
      </c>
      <c r="AV438" s="623">
        <f t="shared" si="118"/>
        <v>30</v>
      </c>
      <c r="AW438" s="621">
        <v>3.2</v>
      </c>
      <c r="AX438" s="621">
        <v>3.32</v>
      </c>
      <c r="AY438" s="621">
        <v>90</v>
      </c>
      <c r="AZ438" s="624">
        <f t="shared" si="119"/>
        <v>-6</v>
      </c>
      <c r="BA438" s="623">
        <v>36</v>
      </c>
      <c r="BB438" s="620">
        <v>16</v>
      </c>
      <c r="BC438" s="620">
        <v>10.199999999999999</v>
      </c>
      <c r="BD438" s="623">
        <f t="shared" si="120"/>
        <v>26.2</v>
      </c>
      <c r="BE438" s="621"/>
      <c r="BF438" s="621"/>
      <c r="BG438" s="621"/>
      <c r="BH438" s="621">
        <f t="shared" si="121"/>
        <v>9.8000000000000007</v>
      </c>
    </row>
    <row r="439" spans="1:60" ht="17.25" thickTop="1" thickBot="1" x14ac:dyDescent="0.3">
      <c r="A439" s="77">
        <v>432</v>
      </c>
      <c r="B439" s="603">
        <f t="shared" ca="1" si="109"/>
        <v>43134</v>
      </c>
      <c r="C439" s="29" t="s">
        <v>614</v>
      </c>
      <c r="D439" s="59" t="s">
        <v>2862</v>
      </c>
      <c r="E439" s="22" t="s">
        <v>1366</v>
      </c>
      <c r="F439" s="27" t="s">
        <v>1252</v>
      </c>
      <c r="G439" s="567">
        <v>42863</v>
      </c>
      <c r="H439" s="609">
        <f t="shared" si="122"/>
        <v>31.2</v>
      </c>
      <c r="I439" s="620">
        <v>8.1999999999999993</v>
      </c>
      <c r="J439" s="620">
        <v>8</v>
      </c>
      <c r="K439" s="620">
        <v>5</v>
      </c>
      <c r="L439" s="611">
        <f t="shared" si="110"/>
        <v>21.2</v>
      </c>
      <c r="M439" s="621"/>
      <c r="N439" s="621"/>
      <c r="O439" s="621"/>
      <c r="P439" s="622">
        <f t="shared" si="111"/>
        <v>-10</v>
      </c>
      <c r="Q439" s="609">
        <f t="shared" si="123"/>
        <v>32</v>
      </c>
      <c r="R439" s="620">
        <v>13.4</v>
      </c>
      <c r="S439" s="620">
        <v>8</v>
      </c>
      <c r="T439" s="620">
        <v>9.8000000000000007</v>
      </c>
      <c r="U439" s="611">
        <f t="shared" si="112"/>
        <v>31.2</v>
      </c>
      <c r="V439" s="621"/>
      <c r="W439" s="621"/>
      <c r="X439" s="621"/>
      <c r="Y439" s="622">
        <f t="shared" si="113"/>
        <v>-0.80000000000000071</v>
      </c>
      <c r="Z439" s="609">
        <f t="shared" si="124"/>
        <v>32</v>
      </c>
      <c r="AA439" s="620">
        <v>12</v>
      </c>
      <c r="AB439" s="620">
        <v>9</v>
      </c>
      <c r="AC439" s="620">
        <v>7</v>
      </c>
      <c r="AD439" s="611">
        <f t="shared" si="114"/>
        <v>28</v>
      </c>
      <c r="AE439" s="621"/>
      <c r="AF439" s="621"/>
      <c r="AG439" s="621"/>
      <c r="AH439" s="622">
        <f t="shared" si="115"/>
        <v>-4</v>
      </c>
      <c r="AI439" s="609">
        <f t="shared" si="125"/>
        <v>39.4</v>
      </c>
      <c r="AJ439" s="620">
        <v>15</v>
      </c>
      <c r="AK439" s="620">
        <v>10</v>
      </c>
      <c r="AL439" s="620">
        <v>7</v>
      </c>
      <c r="AM439" s="623">
        <f t="shared" si="116"/>
        <v>32</v>
      </c>
      <c r="AN439" s="621"/>
      <c r="AO439" s="621"/>
      <c r="AP439" s="621"/>
      <c r="AQ439" s="622">
        <f t="shared" si="117"/>
        <v>-7.3999999999999986</v>
      </c>
      <c r="AR439" s="615">
        <f t="shared" si="126"/>
        <v>20.100000000000001</v>
      </c>
      <c r="AS439" s="620">
        <v>13.4</v>
      </c>
      <c r="AT439" s="620">
        <v>14</v>
      </c>
      <c r="AU439" s="620">
        <v>12</v>
      </c>
      <c r="AV439" s="623">
        <f t="shared" si="118"/>
        <v>39.4</v>
      </c>
      <c r="AW439" s="621">
        <v>3.15</v>
      </c>
      <c r="AX439" s="621">
        <v>3.01</v>
      </c>
      <c r="AY439" s="621">
        <v>90</v>
      </c>
      <c r="AZ439" s="624">
        <f t="shared" si="119"/>
        <v>19.299999999999997</v>
      </c>
      <c r="BA439" s="623">
        <v>20.100000000000001</v>
      </c>
      <c r="BB439" s="620">
        <v>10.199999999999999</v>
      </c>
      <c r="BC439" s="620">
        <v>10.8</v>
      </c>
      <c r="BD439" s="623">
        <f t="shared" si="120"/>
        <v>21</v>
      </c>
      <c r="BE439" s="621"/>
      <c r="BF439" s="621"/>
      <c r="BG439" s="621"/>
      <c r="BH439" s="621">
        <f t="shared" si="121"/>
        <v>-0.89999999999999858</v>
      </c>
    </row>
    <row r="440" spans="1:60" ht="17.25" thickTop="1" thickBot="1" x14ac:dyDescent="0.3">
      <c r="A440" s="602">
        <v>433</v>
      </c>
      <c r="B440" s="603">
        <f t="shared" ca="1" si="109"/>
        <v>43134</v>
      </c>
      <c r="C440" s="29" t="s">
        <v>614</v>
      </c>
      <c r="D440" s="59" t="s">
        <v>2862</v>
      </c>
      <c r="E440" s="22" t="s">
        <v>1369</v>
      </c>
      <c r="F440" s="27" t="s">
        <v>1255</v>
      </c>
      <c r="G440" s="567">
        <v>42864</v>
      </c>
      <c r="H440" s="609">
        <f t="shared" si="122"/>
        <v>20.3</v>
      </c>
      <c r="I440" s="620">
        <v>7.2</v>
      </c>
      <c r="J440" s="620">
        <v>6</v>
      </c>
      <c r="K440" s="620">
        <v>6</v>
      </c>
      <c r="L440" s="611">
        <f t="shared" si="110"/>
        <v>19.2</v>
      </c>
      <c r="M440" s="621"/>
      <c r="N440" s="621"/>
      <c r="O440" s="621"/>
      <c r="P440" s="622">
        <f t="shared" si="111"/>
        <v>-1.1000000000000014</v>
      </c>
      <c r="Q440" s="609">
        <f t="shared" si="123"/>
        <v>16</v>
      </c>
      <c r="R440" s="620">
        <v>2</v>
      </c>
      <c r="S440" s="620">
        <v>10.8</v>
      </c>
      <c r="T440" s="620">
        <v>7.5</v>
      </c>
      <c r="U440" s="611">
        <f t="shared" si="112"/>
        <v>20.3</v>
      </c>
      <c r="V440" s="621"/>
      <c r="W440" s="621"/>
      <c r="X440" s="621"/>
      <c r="Y440" s="622">
        <f t="shared" si="113"/>
        <v>4.3000000000000007</v>
      </c>
      <c r="Z440" s="609">
        <f t="shared" si="124"/>
        <v>16</v>
      </c>
      <c r="AA440" s="620">
        <v>10</v>
      </c>
      <c r="AB440" s="620">
        <v>12</v>
      </c>
      <c r="AC440" s="620">
        <v>9</v>
      </c>
      <c r="AD440" s="611">
        <f t="shared" si="114"/>
        <v>31</v>
      </c>
      <c r="AE440" s="621"/>
      <c r="AF440" s="621"/>
      <c r="AG440" s="621"/>
      <c r="AH440" s="622">
        <f t="shared" si="115"/>
        <v>15</v>
      </c>
      <c r="AI440" s="609">
        <f t="shared" si="125"/>
        <v>29.6</v>
      </c>
      <c r="AJ440" s="620">
        <v>5</v>
      </c>
      <c r="AK440" s="620">
        <v>3</v>
      </c>
      <c r="AL440" s="620">
        <v>8</v>
      </c>
      <c r="AM440" s="623">
        <f t="shared" si="116"/>
        <v>16</v>
      </c>
      <c r="AN440" s="621"/>
      <c r="AO440" s="621"/>
      <c r="AP440" s="621"/>
      <c r="AQ440" s="622">
        <f t="shared" si="117"/>
        <v>-13.600000000000001</v>
      </c>
      <c r="AR440" s="615">
        <f t="shared" si="126"/>
        <v>14.3</v>
      </c>
      <c r="AS440" s="620">
        <v>13</v>
      </c>
      <c r="AT440" s="620">
        <v>4.5999999999999996</v>
      </c>
      <c r="AU440" s="620">
        <v>12</v>
      </c>
      <c r="AV440" s="623">
        <f t="shared" si="118"/>
        <v>29.6</v>
      </c>
      <c r="AW440" s="621">
        <v>4.3499999999999996</v>
      </c>
      <c r="AX440" s="621">
        <v>3.25</v>
      </c>
      <c r="AY440" s="621">
        <v>90</v>
      </c>
      <c r="AZ440" s="624">
        <f t="shared" si="119"/>
        <v>15.3</v>
      </c>
      <c r="BA440" s="623">
        <v>14.3</v>
      </c>
      <c r="BB440" s="620">
        <v>7.2</v>
      </c>
      <c r="BC440" s="620">
        <v>8.6999999999999993</v>
      </c>
      <c r="BD440" s="623">
        <f t="shared" si="120"/>
        <v>15.899999999999999</v>
      </c>
      <c r="BE440" s="621"/>
      <c r="BF440" s="621"/>
      <c r="BG440" s="621"/>
      <c r="BH440" s="621">
        <f t="shared" si="121"/>
        <v>-1.5999999999999979</v>
      </c>
    </row>
    <row r="441" spans="1:60" ht="17.25" thickTop="1" thickBot="1" x14ac:dyDescent="0.3">
      <c r="A441" s="77">
        <v>434</v>
      </c>
      <c r="B441" s="603">
        <f t="shared" ca="1" si="109"/>
        <v>43134</v>
      </c>
      <c r="C441" s="29" t="s">
        <v>614</v>
      </c>
      <c r="D441" s="59" t="s">
        <v>2862</v>
      </c>
      <c r="E441" s="22" t="s">
        <v>1072</v>
      </c>
      <c r="F441" s="27" t="s">
        <v>1258</v>
      </c>
      <c r="G441" s="567">
        <v>42848</v>
      </c>
      <c r="H441" s="609">
        <f t="shared" si="122"/>
        <v>23.2</v>
      </c>
      <c r="I441" s="620">
        <v>10</v>
      </c>
      <c r="J441" s="620">
        <v>7.8</v>
      </c>
      <c r="K441" s="620">
        <v>7</v>
      </c>
      <c r="L441" s="611">
        <f t="shared" si="110"/>
        <v>24.8</v>
      </c>
      <c r="M441" s="621"/>
      <c r="N441" s="621"/>
      <c r="O441" s="621"/>
      <c r="P441" s="622">
        <f t="shared" si="111"/>
        <v>1.6000000000000014</v>
      </c>
      <c r="Q441" s="609">
        <f t="shared" si="123"/>
        <v>32.4</v>
      </c>
      <c r="R441" s="620">
        <v>8</v>
      </c>
      <c r="S441" s="620">
        <v>7</v>
      </c>
      <c r="T441" s="620">
        <v>8.1999999999999993</v>
      </c>
      <c r="U441" s="611">
        <f t="shared" si="112"/>
        <v>23.2</v>
      </c>
      <c r="V441" s="621"/>
      <c r="W441" s="621"/>
      <c r="X441" s="621"/>
      <c r="Y441" s="622">
        <f t="shared" si="113"/>
        <v>-9.1999999999999993</v>
      </c>
      <c r="Z441" s="609">
        <f t="shared" si="124"/>
        <v>32.4</v>
      </c>
      <c r="AA441" s="620">
        <v>11</v>
      </c>
      <c r="AB441" s="620">
        <v>10</v>
      </c>
      <c r="AC441" s="620">
        <v>10</v>
      </c>
      <c r="AD441" s="611">
        <f t="shared" si="114"/>
        <v>31</v>
      </c>
      <c r="AE441" s="621"/>
      <c r="AF441" s="621"/>
      <c r="AG441" s="621"/>
      <c r="AH441" s="622">
        <f t="shared" si="115"/>
        <v>-1.3999999999999986</v>
      </c>
      <c r="AI441" s="609">
        <f t="shared" si="125"/>
        <v>33</v>
      </c>
      <c r="AJ441" s="620">
        <v>12.2</v>
      </c>
      <c r="AK441" s="620">
        <v>9.1999999999999993</v>
      </c>
      <c r="AL441" s="620">
        <v>11</v>
      </c>
      <c r="AM441" s="623">
        <f t="shared" si="116"/>
        <v>32.4</v>
      </c>
      <c r="AN441" s="621"/>
      <c r="AO441" s="621"/>
      <c r="AP441" s="621"/>
      <c r="AQ441" s="622">
        <f t="shared" si="117"/>
        <v>-0.60000000000000142</v>
      </c>
      <c r="AR441" s="615">
        <f t="shared" si="126"/>
        <v>34.200000000000003</v>
      </c>
      <c r="AS441" s="620">
        <v>12</v>
      </c>
      <c r="AT441" s="620">
        <v>10</v>
      </c>
      <c r="AU441" s="620">
        <v>11</v>
      </c>
      <c r="AV441" s="623">
        <f t="shared" si="118"/>
        <v>33</v>
      </c>
      <c r="AW441" s="621">
        <v>3.22</v>
      </c>
      <c r="AX441" s="621">
        <v>3.14</v>
      </c>
      <c r="AY441" s="621">
        <v>90</v>
      </c>
      <c r="AZ441" s="624">
        <f t="shared" si="119"/>
        <v>-1.2000000000000028</v>
      </c>
      <c r="BA441" s="623">
        <v>34.200000000000003</v>
      </c>
      <c r="BB441" s="620">
        <v>17</v>
      </c>
      <c r="BC441" s="620">
        <v>15</v>
      </c>
      <c r="BD441" s="623">
        <f t="shared" si="120"/>
        <v>32</v>
      </c>
      <c r="BE441" s="621"/>
      <c r="BF441" s="621"/>
      <c r="BG441" s="621"/>
      <c r="BH441" s="621">
        <f t="shared" si="121"/>
        <v>2.2000000000000028</v>
      </c>
    </row>
    <row r="442" spans="1:60" ht="17.25" thickTop="1" thickBot="1" x14ac:dyDescent="0.3">
      <c r="A442" s="602">
        <v>435</v>
      </c>
      <c r="B442" s="603">
        <f t="shared" ca="1" si="109"/>
        <v>43134</v>
      </c>
      <c r="C442" s="29" t="s">
        <v>614</v>
      </c>
      <c r="D442" s="59" t="s">
        <v>2862</v>
      </c>
      <c r="E442" s="22" t="s">
        <v>946</v>
      </c>
      <c r="F442" s="27" t="s">
        <v>947</v>
      </c>
      <c r="G442" s="567">
        <v>42813</v>
      </c>
      <c r="H442" s="609">
        <f t="shared" si="122"/>
        <v>22.2</v>
      </c>
      <c r="I442" s="620">
        <v>11</v>
      </c>
      <c r="J442" s="620"/>
      <c r="K442" s="620">
        <v>6</v>
      </c>
      <c r="L442" s="611">
        <f t="shared" si="110"/>
        <v>17</v>
      </c>
      <c r="M442" s="621"/>
      <c r="N442" s="621"/>
      <c r="O442" s="621"/>
      <c r="P442" s="622">
        <f t="shared" si="111"/>
        <v>-5.1999999999999993</v>
      </c>
      <c r="Q442" s="609">
        <f t="shared" si="123"/>
        <v>34</v>
      </c>
      <c r="R442" s="620">
        <v>13</v>
      </c>
      <c r="S442" s="620"/>
      <c r="T442" s="620">
        <v>9.1999999999999993</v>
      </c>
      <c r="U442" s="611">
        <f t="shared" si="112"/>
        <v>22.2</v>
      </c>
      <c r="V442" s="621"/>
      <c r="W442" s="621"/>
      <c r="X442" s="621"/>
      <c r="Y442" s="622">
        <f t="shared" si="113"/>
        <v>-11.8</v>
      </c>
      <c r="Z442" s="609">
        <f t="shared" si="124"/>
        <v>34</v>
      </c>
      <c r="AA442" s="620">
        <v>8.1999999999999993</v>
      </c>
      <c r="AB442" s="620">
        <v>8</v>
      </c>
      <c r="AC442" s="620">
        <v>8.8000000000000007</v>
      </c>
      <c r="AD442" s="611">
        <f t="shared" si="114"/>
        <v>25</v>
      </c>
      <c r="AE442" s="621"/>
      <c r="AF442" s="621"/>
      <c r="AG442" s="621"/>
      <c r="AH442" s="622">
        <f t="shared" si="115"/>
        <v>-9</v>
      </c>
      <c r="AI442" s="609">
        <f t="shared" si="125"/>
        <v>30.5</v>
      </c>
      <c r="AJ442" s="620">
        <v>9.8000000000000007</v>
      </c>
      <c r="AK442" s="620">
        <v>14</v>
      </c>
      <c r="AL442" s="620">
        <v>10.199999999999999</v>
      </c>
      <c r="AM442" s="623">
        <f t="shared" si="116"/>
        <v>34</v>
      </c>
      <c r="AN442" s="621"/>
      <c r="AO442" s="621"/>
      <c r="AP442" s="621"/>
      <c r="AQ442" s="622">
        <f t="shared" si="117"/>
        <v>3.5</v>
      </c>
      <c r="AR442" s="615">
        <f t="shared" si="126"/>
        <v>39</v>
      </c>
      <c r="AS442" s="620">
        <v>10.5</v>
      </c>
      <c r="AT442" s="620">
        <v>10</v>
      </c>
      <c r="AU442" s="620">
        <v>10</v>
      </c>
      <c r="AV442" s="623">
        <f t="shared" si="118"/>
        <v>30.5</v>
      </c>
      <c r="AW442" s="621">
        <v>4.0999999999999996</v>
      </c>
      <c r="AX442" s="621">
        <v>3.26</v>
      </c>
      <c r="AY442" s="621">
        <v>90</v>
      </c>
      <c r="AZ442" s="624">
        <f t="shared" si="119"/>
        <v>-8.5</v>
      </c>
      <c r="BA442" s="623">
        <v>39</v>
      </c>
      <c r="BB442" s="620">
        <v>14</v>
      </c>
      <c r="BC442" s="620">
        <v>12.4</v>
      </c>
      <c r="BD442" s="623">
        <f t="shared" si="120"/>
        <v>26.4</v>
      </c>
      <c r="BE442" s="621"/>
      <c r="BF442" s="621"/>
      <c r="BG442" s="621"/>
      <c r="BH442" s="621">
        <f t="shared" si="121"/>
        <v>12.600000000000001</v>
      </c>
    </row>
    <row r="443" spans="1:60" ht="17.25" thickTop="1" thickBot="1" x14ac:dyDescent="0.3">
      <c r="A443" s="77">
        <v>436</v>
      </c>
      <c r="B443" s="603">
        <f t="shared" ca="1" si="109"/>
        <v>43134</v>
      </c>
      <c r="C443" s="29" t="s">
        <v>614</v>
      </c>
      <c r="D443" s="59" t="s">
        <v>2862</v>
      </c>
      <c r="E443" s="22" t="s">
        <v>493</v>
      </c>
      <c r="F443" s="27" t="s">
        <v>1153</v>
      </c>
      <c r="G443" s="567">
        <v>42816</v>
      </c>
      <c r="H443" s="609">
        <f t="shared" si="122"/>
        <v>13</v>
      </c>
      <c r="I443" s="620">
        <v>3.4</v>
      </c>
      <c r="J443" s="620"/>
      <c r="K443" s="620">
        <v>10.3</v>
      </c>
      <c r="L443" s="611">
        <f t="shared" si="110"/>
        <v>13.700000000000001</v>
      </c>
      <c r="M443" s="621"/>
      <c r="N443" s="621"/>
      <c r="O443" s="621"/>
      <c r="P443" s="622">
        <f t="shared" si="111"/>
        <v>0.70000000000000107</v>
      </c>
      <c r="Q443" s="609">
        <f t="shared" si="123"/>
        <v>11.399999999999999</v>
      </c>
      <c r="R443" s="620">
        <v>5</v>
      </c>
      <c r="S443" s="620"/>
      <c r="T443" s="620">
        <v>8</v>
      </c>
      <c r="U443" s="611">
        <f t="shared" si="112"/>
        <v>13</v>
      </c>
      <c r="V443" s="621"/>
      <c r="W443" s="621"/>
      <c r="X443" s="621"/>
      <c r="Y443" s="622">
        <f t="shared" si="113"/>
        <v>1.6000000000000014</v>
      </c>
      <c r="Z443" s="609">
        <f t="shared" si="124"/>
        <v>11.399999999999999</v>
      </c>
      <c r="AA443" s="620">
        <v>6</v>
      </c>
      <c r="AB443" s="620"/>
      <c r="AC443" s="620">
        <v>9</v>
      </c>
      <c r="AD443" s="611">
        <f t="shared" si="114"/>
        <v>15</v>
      </c>
      <c r="AE443" s="621"/>
      <c r="AF443" s="621"/>
      <c r="AG443" s="621"/>
      <c r="AH443" s="622">
        <f t="shared" si="115"/>
        <v>3.6000000000000014</v>
      </c>
      <c r="AI443" s="609">
        <f t="shared" si="125"/>
        <v>31.6</v>
      </c>
      <c r="AJ443" s="620">
        <v>1.6</v>
      </c>
      <c r="AK443" s="620">
        <v>4.5999999999999996</v>
      </c>
      <c r="AL443" s="620">
        <v>5.2</v>
      </c>
      <c r="AM443" s="623">
        <f t="shared" si="116"/>
        <v>11.399999999999999</v>
      </c>
      <c r="AN443" s="621"/>
      <c r="AO443" s="621"/>
      <c r="AP443" s="621"/>
      <c r="AQ443" s="622">
        <f t="shared" si="117"/>
        <v>-20.200000000000003</v>
      </c>
      <c r="AR443" s="615">
        <f t="shared" si="126"/>
        <v>39</v>
      </c>
      <c r="AS443" s="620">
        <v>13</v>
      </c>
      <c r="AT443" s="620">
        <v>8.6</v>
      </c>
      <c r="AU443" s="620">
        <v>10</v>
      </c>
      <c r="AV443" s="623">
        <f t="shared" si="118"/>
        <v>31.6</v>
      </c>
      <c r="AW443" s="621">
        <v>2.54</v>
      </c>
      <c r="AX443" s="621">
        <v>3.04</v>
      </c>
      <c r="AY443" s="621">
        <v>90</v>
      </c>
      <c r="AZ443" s="624">
        <f t="shared" si="119"/>
        <v>-7.3999999999999986</v>
      </c>
      <c r="BA443" s="623">
        <v>39</v>
      </c>
      <c r="BB443" s="620">
        <v>19</v>
      </c>
      <c r="BC443" s="620">
        <v>14.4</v>
      </c>
      <c r="BD443" s="623">
        <f t="shared" si="120"/>
        <v>33.4</v>
      </c>
      <c r="BE443" s="621"/>
      <c r="BF443" s="621"/>
      <c r="BG443" s="621"/>
      <c r="BH443" s="621">
        <f t="shared" si="121"/>
        <v>5.6000000000000014</v>
      </c>
    </row>
    <row r="444" spans="1:60" ht="17.25" thickTop="1" thickBot="1" x14ac:dyDescent="0.3">
      <c r="A444" s="602">
        <v>437</v>
      </c>
      <c r="B444" s="603">
        <f t="shared" ca="1" si="109"/>
        <v>43134</v>
      </c>
      <c r="C444" s="29" t="s">
        <v>614</v>
      </c>
      <c r="D444" s="59" t="s">
        <v>2862</v>
      </c>
      <c r="E444" s="22" t="s">
        <v>714</v>
      </c>
      <c r="F444" s="27" t="s">
        <v>934</v>
      </c>
      <c r="G444" s="567">
        <v>42805</v>
      </c>
      <c r="H444" s="609">
        <f t="shared" si="122"/>
        <v>20.8</v>
      </c>
      <c r="I444" s="620">
        <v>9</v>
      </c>
      <c r="J444" s="620"/>
      <c r="K444" s="620">
        <v>7</v>
      </c>
      <c r="L444" s="611">
        <f t="shared" si="110"/>
        <v>16</v>
      </c>
      <c r="M444" s="621"/>
      <c r="N444" s="621"/>
      <c r="O444" s="621"/>
      <c r="P444" s="622">
        <f t="shared" si="111"/>
        <v>-4.8000000000000007</v>
      </c>
      <c r="Q444" s="609">
        <f t="shared" si="123"/>
        <v>32.1</v>
      </c>
      <c r="R444" s="620">
        <v>11</v>
      </c>
      <c r="S444" s="620"/>
      <c r="T444" s="620">
        <v>9.8000000000000007</v>
      </c>
      <c r="U444" s="611">
        <f t="shared" si="112"/>
        <v>20.8</v>
      </c>
      <c r="V444" s="621"/>
      <c r="W444" s="621"/>
      <c r="X444" s="621"/>
      <c r="Y444" s="622">
        <f t="shared" si="113"/>
        <v>-11.3</v>
      </c>
      <c r="Z444" s="609">
        <f t="shared" si="124"/>
        <v>32.1</v>
      </c>
      <c r="AA444" s="620">
        <v>9.1999999999999993</v>
      </c>
      <c r="AB444" s="620">
        <v>9.8000000000000007</v>
      </c>
      <c r="AC444" s="620">
        <v>8.1999999999999993</v>
      </c>
      <c r="AD444" s="611">
        <f t="shared" si="114"/>
        <v>27.2</v>
      </c>
      <c r="AE444" s="621"/>
      <c r="AF444" s="621"/>
      <c r="AG444" s="621"/>
      <c r="AH444" s="622">
        <f t="shared" si="115"/>
        <v>-4.9000000000000021</v>
      </c>
      <c r="AI444" s="609">
        <f t="shared" si="125"/>
        <v>33.200000000000003</v>
      </c>
      <c r="AJ444" s="620">
        <v>13</v>
      </c>
      <c r="AK444" s="620">
        <v>8.6</v>
      </c>
      <c r="AL444" s="620">
        <v>10.5</v>
      </c>
      <c r="AM444" s="623">
        <f t="shared" si="116"/>
        <v>32.1</v>
      </c>
      <c r="AN444" s="621"/>
      <c r="AO444" s="621"/>
      <c r="AP444" s="621"/>
      <c r="AQ444" s="622">
        <f t="shared" si="117"/>
        <v>-1.1000000000000014</v>
      </c>
      <c r="AR444" s="615">
        <f t="shared" si="126"/>
        <v>39</v>
      </c>
      <c r="AS444" s="620">
        <v>12.2</v>
      </c>
      <c r="AT444" s="620">
        <v>9</v>
      </c>
      <c r="AU444" s="620">
        <v>12</v>
      </c>
      <c r="AV444" s="623">
        <f t="shared" si="118"/>
        <v>33.200000000000003</v>
      </c>
      <c r="AW444" s="621">
        <v>2.72</v>
      </c>
      <c r="AX444" s="621">
        <v>2.66</v>
      </c>
      <c r="AY444" s="621">
        <v>90</v>
      </c>
      <c r="AZ444" s="624">
        <f t="shared" si="119"/>
        <v>-5.7999999999999972</v>
      </c>
      <c r="BA444" s="623">
        <v>39</v>
      </c>
      <c r="BB444" s="620">
        <v>16.5</v>
      </c>
      <c r="BC444" s="620">
        <v>15.6</v>
      </c>
      <c r="BD444" s="623">
        <f t="shared" si="120"/>
        <v>32.1</v>
      </c>
      <c r="BE444" s="621"/>
      <c r="BF444" s="621"/>
      <c r="BG444" s="621"/>
      <c r="BH444" s="621">
        <f t="shared" si="121"/>
        <v>6.8999999999999986</v>
      </c>
    </row>
    <row r="445" spans="1:60" ht="17.25" thickTop="1" thickBot="1" x14ac:dyDescent="0.3">
      <c r="A445" s="77">
        <v>438</v>
      </c>
      <c r="B445" s="603">
        <f t="shared" ca="1" si="109"/>
        <v>43134</v>
      </c>
      <c r="C445" s="29" t="s">
        <v>614</v>
      </c>
      <c r="D445" s="59" t="s">
        <v>2862</v>
      </c>
      <c r="E445" s="22" t="s">
        <v>1281</v>
      </c>
      <c r="F445" s="27" t="s">
        <v>1156</v>
      </c>
      <c r="G445" s="567">
        <v>42838</v>
      </c>
      <c r="H445" s="609">
        <f t="shared" si="122"/>
        <v>20</v>
      </c>
      <c r="I445" s="620">
        <v>6.4</v>
      </c>
      <c r="J445" s="620"/>
      <c r="K445" s="620">
        <v>3</v>
      </c>
      <c r="L445" s="611">
        <f t="shared" si="110"/>
        <v>9.4</v>
      </c>
      <c r="M445" s="621"/>
      <c r="N445" s="621"/>
      <c r="O445" s="621"/>
      <c r="P445" s="622">
        <f t="shared" si="111"/>
        <v>-10.6</v>
      </c>
      <c r="Q445" s="609">
        <f t="shared" si="123"/>
        <v>25.2</v>
      </c>
      <c r="R445" s="620">
        <v>10.8</v>
      </c>
      <c r="S445" s="620"/>
      <c r="T445" s="620">
        <v>9.1999999999999993</v>
      </c>
      <c r="U445" s="611">
        <f t="shared" si="112"/>
        <v>20</v>
      </c>
      <c r="V445" s="621"/>
      <c r="W445" s="621"/>
      <c r="X445" s="621"/>
      <c r="Y445" s="622">
        <f t="shared" si="113"/>
        <v>-5.1999999999999993</v>
      </c>
      <c r="Z445" s="609">
        <f t="shared" si="124"/>
        <v>25.2</v>
      </c>
      <c r="AA445" s="620">
        <v>5.0999999999999996</v>
      </c>
      <c r="AB445" s="620">
        <v>14.5</v>
      </c>
      <c r="AC445" s="620">
        <v>5</v>
      </c>
      <c r="AD445" s="611">
        <f t="shared" si="114"/>
        <v>24.6</v>
      </c>
      <c r="AE445" s="621"/>
      <c r="AF445" s="621"/>
      <c r="AG445" s="621"/>
      <c r="AH445" s="622">
        <f t="shared" si="115"/>
        <v>-0.59999999999999787</v>
      </c>
      <c r="AI445" s="609">
        <f t="shared" si="125"/>
        <v>31.8</v>
      </c>
      <c r="AJ445" s="620">
        <v>10</v>
      </c>
      <c r="AK445" s="620">
        <v>7.2</v>
      </c>
      <c r="AL445" s="620">
        <v>8</v>
      </c>
      <c r="AM445" s="623">
        <f t="shared" si="116"/>
        <v>25.2</v>
      </c>
      <c r="AN445" s="621"/>
      <c r="AO445" s="621"/>
      <c r="AP445" s="621"/>
      <c r="AQ445" s="622">
        <f t="shared" si="117"/>
        <v>-6.6000000000000014</v>
      </c>
      <c r="AR445" s="615">
        <f t="shared" si="126"/>
        <v>28.2</v>
      </c>
      <c r="AS445" s="620">
        <v>11.4</v>
      </c>
      <c r="AT445" s="620">
        <v>10.199999999999999</v>
      </c>
      <c r="AU445" s="620">
        <v>10.199999999999999</v>
      </c>
      <c r="AV445" s="623">
        <f t="shared" si="118"/>
        <v>31.8</v>
      </c>
      <c r="AW445" s="621">
        <v>4.42</v>
      </c>
      <c r="AX445" s="621">
        <v>3.32</v>
      </c>
      <c r="AY445" s="621">
        <v>90</v>
      </c>
      <c r="AZ445" s="624">
        <f t="shared" si="119"/>
        <v>3.6000000000000014</v>
      </c>
      <c r="BA445" s="623">
        <v>28.2</v>
      </c>
      <c r="BB445" s="620">
        <v>15.5</v>
      </c>
      <c r="BC445" s="620">
        <v>13</v>
      </c>
      <c r="BD445" s="623">
        <f t="shared" si="120"/>
        <v>28.5</v>
      </c>
      <c r="BE445" s="621"/>
      <c r="BF445" s="621"/>
      <c r="BG445" s="621"/>
      <c r="BH445" s="621">
        <f t="shared" si="121"/>
        <v>-0.30000000000000071</v>
      </c>
    </row>
    <row r="446" spans="1:60" ht="17.25" thickTop="1" thickBot="1" x14ac:dyDescent="0.3">
      <c r="A446" s="602">
        <v>439</v>
      </c>
      <c r="B446" s="603">
        <f t="shared" ca="1" si="109"/>
        <v>43134</v>
      </c>
      <c r="C446" s="29" t="s">
        <v>614</v>
      </c>
      <c r="D446" s="59" t="s">
        <v>2862</v>
      </c>
      <c r="E446" s="22" t="s">
        <v>1290</v>
      </c>
      <c r="F446" s="27" t="s">
        <v>1166</v>
      </c>
      <c r="G446" s="567">
        <v>42855</v>
      </c>
      <c r="H446" s="609">
        <f t="shared" si="122"/>
        <v>29</v>
      </c>
      <c r="I446" s="620">
        <v>10</v>
      </c>
      <c r="J446" s="620">
        <v>10</v>
      </c>
      <c r="K446" s="620">
        <v>8</v>
      </c>
      <c r="L446" s="611">
        <f t="shared" si="110"/>
        <v>28</v>
      </c>
      <c r="M446" s="621"/>
      <c r="N446" s="621"/>
      <c r="O446" s="621"/>
      <c r="P446" s="622">
        <f t="shared" si="111"/>
        <v>-1</v>
      </c>
      <c r="Q446" s="609">
        <f t="shared" si="123"/>
        <v>38.599999999999994</v>
      </c>
      <c r="R446" s="620">
        <v>10.199999999999999</v>
      </c>
      <c r="S446" s="620">
        <v>10.199999999999999</v>
      </c>
      <c r="T446" s="620">
        <v>8.6</v>
      </c>
      <c r="U446" s="611">
        <f t="shared" si="112"/>
        <v>29</v>
      </c>
      <c r="V446" s="621"/>
      <c r="W446" s="621"/>
      <c r="X446" s="621"/>
      <c r="Y446" s="622">
        <f t="shared" si="113"/>
        <v>-9.5999999999999943</v>
      </c>
      <c r="Z446" s="609">
        <f t="shared" si="124"/>
        <v>38.599999999999994</v>
      </c>
      <c r="AA446" s="620">
        <v>11</v>
      </c>
      <c r="AB446" s="620">
        <v>9.8000000000000007</v>
      </c>
      <c r="AC446" s="620">
        <v>9</v>
      </c>
      <c r="AD446" s="611">
        <f t="shared" si="114"/>
        <v>29.8</v>
      </c>
      <c r="AE446" s="621"/>
      <c r="AF446" s="621"/>
      <c r="AG446" s="621"/>
      <c r="AH446" s="622">
        <f t="shared" si="115"/>
        <v>-8.7999999999999936</v>
      </c>
      <c r="AI446" s="609">
        <f t="shared" si="125"/>
        <v>37</v>
      </c>
      <c r="AJ446" s="620">
        <v>15.2</v>
      </c>
      <c r="AK446" s="620">
        <v>13.2</v>
      </c>
      <c r="AL446" s="620">
        <v>10.199999999999999</v>
      </c>
      <c r="AM446" s="623">
        <f t="shared" si="116"/>
        <v>38.599999999999994</v>
      </c>
      <c r="AN446" s="621"/>
      <c r="AO446" s="621"/>
      <c r="AP446" s="621"/>
      <c r="AQ446" s="622">
        <f t="shared" si="117"/>
        <v>1.5999999999999943</v>
      </c>
      <c r="AR446" s="615">
        <f t="shared" si="126"/>
        <v>31.7</v>
      </c>
      <c r="AS446" s="620">
        <v>13</v>
      </c>
      <c r="AT446" s="620">
        <v>12</v>
      </c>
      <c r="AU446" s="620">
        <v>12</v>
      </c>
      <c r="AV446" s="623">
        <f t="shared" si="118"/>
        <v>37</v>
      </c>
      <c r="AW446" s="621">
        <v>3.15</v>
      </c>
      <c r="AX446" s="621">
        <v>3</v>
      </c>
      <c r="AY446" s="621">
        <v>90</v>
      </c>
      <c r="AZ446" s="624">
        <f t="shared" si="119"/>
        <v>5.3000000000000007</v>
      </c>
      <c r="BA446" s="623">
        <v>31.7</v>
      </c>
      <c r="BB446" s="620">
        <v>21</v>
      </c>
      <c r="BC446" s="620">
        <v>16.8</v>
      </c>
      <c r="BD446" s="623">
        <f t="shared" si="120"/>
        <v>37.799999999999997</v>
      </c>
      <c r="BE446" s="621"/>
      <c r="BF446" s="621"/>
      <c r="BG446" s="621"/>
      <c r="BH446" s="621">
        <f t="shared" si="121"/>
        <v>-6.0999999999999979</v>
      </c>
    </row>
    <row r="447" spans="1:60" ht="17.25" thickTop="1" thickBot="1" x14ac:dyDescent="0.3">
      <c r="A447" s="77">
        <v>440</v>
      </c>
      <c r="B447" s="603">
        <f t="shared" ca="1" si="109"/>
        <v>43134</v>
      </c>
      <c r="C447" s="29" t="s">
        <v>614</v>
      </c>
      <c r="D447" s="59" t="s">
        <v>2862</v>
      </c>
      <c r="E447" s="22" t="s">
        <v>1304</v>
      </c>
      <c r="F447" s="27" t="s">
        <v>1185</v>
      </c>
      <c r="G447" s="567">
        <v>42805</v>
      </c>
      <c r="H447" s="609">
        <f t="shared" si="122"/>
        <v>21.2</v>
      </c>
      <c r="I447" s="620">
        <v>7</v>
      </c>
      <c r="J447" s="620">
        <v>6</v>
      </c>
      <c r="K447" s="620">
        <v>7</v>
      </c>
      <c r="L447" s="611">
        <f t="shared" si="110"/>
        <v>20</v>
      </c>
      <c r="M447" s="621"/>
      <c r="N447" s="621"/>
      <c r="O447" s="621"/>
      <c r="P447" s="622">
        <f t="shared" si="111"/>
        <v>-1.1999999999999993</v>
      </c>
      <c r="Q447" s="609">
        <f t="shared" si="123"/>
        <v>28.4</v>
      </c>
      <c r="R447" s="620">
        <v>6</v>
      </c>
      <c r="S447" s="620">
        <v>7.2</v>
      </c>
      <c r="T447" s="620">
        <v>8</v>
      </c>
      <c r="U447" s="611">
        <f t="shared" si="112"/>
        <v>21.2</v>
      </c>
      <c r="V447" s="621"/>
      <c r="W447" s="621"/>
      <c r="X447" s="621"/>
      <c r="Y447" s="622">
        <f t="shared" si="113"/>
        <v>-7.1999999999999993</v>
      </c>
      <c r="Z447" s="609">
        <f t="shared" si="124"/>
        <v>28.4</v>
      </c>
      <c r="AA447" s="620">
        <v>12</v>
      </c>
      <c r="AB447" s="620">
        <v>11</v>
      </c>
      <c r="AC447" s="620">
        <v>7</v>
      </c>
      <c r="AD447" s="611">
        <f t="shared" si="114"/>
        <v>30</v>
      </c>
      <c r="AE447" s="621"/>
      <c r="AF447" s="621"/>
      <c r="AG447" s="621"/>
      <c r="AH447" s="622">
        <f t="shared" si="115"/>
        <v>1.6000000000000014</v>
      </c>
      <c r="AI447" s="609">
        <f t="shared" si="125"/>
        <v>29</v>
      </c>
      <c r="AJ447" s="620">
        <v>10</v>
      </c>
      <c r="AK447" s="620">
        <v>9.4</v>
      </c>
      <c r="AL447" s="620">
        <v>9</v>
      </c>
      <c r="AM447" s="623">
        <f t="shared" si="116"/>
        <v>28.4</v>
      </c>
      <c r="AN447" s="621"/>
      <c r="AO447" s="621"/>
      <c r="AP447" s="621"/>
      <c r="AQ447" s="622">
        <f t="shared" si="117"/>
        <v>-0.60000000000000142</v>
      </c>
      <c r="AR447" s="615">
        <f t="shared" si="126"/>
        <v>27</v>
      </c>
      <c r="AS447" s="620">
        <v>8</v>
      </c>
      <c r="AT447" s="620">
        <v>10</v>
      </c>
      <c r="AU447" s="620">
        <v>11</v>
      </c>
      <c r="AV447" s="623">
        <f t="shared" si="118"/>
        <v>29</v>
      </c>
      <c r="AW447" s="621">
        <v>3.07</v>
      </c>
      <c r="AX447" s="621">
        <v>3.28</v>
      </c>
      <c r="AY447" s="621">
        <v>90</v>
      </c>
      <c r="AZ447" s="624">
        <f t="shared" si="119"/>
        <v>2</v>
      </c>
      <c r="BA447" s="623">
        <v>27</v>
      </c>
      <c r="BB447" s="620">
        <v>14</v>
      </c>
      <c r="BC447" s="620">
        <v>12</v>
      </c>
      <c r="BD447" s="623">
        <f t="shared" si="120"/>
        <v>26</v>
      </c>
      <c r="BE447" s="621"/>
      <c r="BF447" s="621"/>
      <c r="BG447" s="621"/>
      <c r="BH447" s="621">
        <f t="shared" si="121"/>
        <v>1</v>
      </c>
    </row>
    <row r="448" spans="1:60" ht="17.25" thickTop="1" thickBot="1" x14ac:dyDescent="0.3">
      <c r="A448" s="602">
        <v>441</v>
      </c>
      <c r="B448" s="603">
        <f t="shared" ca="1" si="109"/>
        <v>43134</v>
      </c>
      <c r="C448" s="29" t="s">
        <v>614</v>
      </c>
      <c r="D448" s="59" t="s">
        <v>2862</v>
      </c>
      <c r="E448" s="22" t="s">
        <v>1087</v>
      </c>
      <c r="F448" s="27" t="s">
        <v>1002</v>
      </c>
      <c r="G448" s="567">
        <v>42780</v>
      </c>
      <c r="H448" s="609">
        <f t="shared" si="122"/>
        <v>20</v>
      </c>
      <c r="I448" s="620">
        <v>9</v>
      </c>
      <c r="J448" s="620">
        <v>8</v>
      </c>
      <c r="K448" s="620">
        <v>6</v>
      </c>
      <c r="L448" s="611">
        <f t="shared" si="110"/>
        <v>23</v>
      </c>
      <c r="M448" s="621"/>
      <c r="N448" s="621"/>
      <c r="O448" s="621"/>
      <c r="P448" s="622">
        <f t="shared" si="111"/>
        <v>3</v>
      </c>
      <c r="Q448" s="609">
        <f t="shared" si="123"/>
        <v>22.3</v>
      </c>
      <c r="R448" s="620">
        <v>8.1999999999999993</v>
      </c>
      <c r="S448" s="620">
        <v>5.4</v>
      </c>
      <c r="T448" s="620">
        <v>6.4</v>
      </c>
      <c r="U448" s="611">
        <f t="shared" si="112"/>
        <v>20</v>
      </c>
      <c r="V448" s="621"/>
      <c r="W448" s="621"/>
      <c r="X448" s="621"/>
      <c r="Y448" s="622">
        <f t="shared" si="113"/>
        <v>-2.3000000000000007</v>
      </c>
      <c r="Z448" s="609">
        <f t="shared" si="124"/>
        <v>22.3</v>
      </c>
      <c r="AA448" s="620">
        <v>7.5</v>
      </c>
      <c r="AB448" s="620">
        <v>8</v>
      </c>
      <c r="AC448" s="620">
        <v>6</v>
      </c>
      <c r="AD448" s="611">
        <f t="shared" si="114"/>
        <v>21.5</v>
      </c>
      <c r="AE448" s="621"/>
      <c r="AF448" s="621"/>
      <c r="AG448" s="621"/>
      <c r="AH448" s="622">
        <f t="shared" si="115"/>
        <v>-0.80000000000000071</v>
      </c>
      <c r="AI448" s="609">
        <f t="shared" si="125"/>
        <v>27</v>
      </c>
      <c r="AJ448" s="620">
        <v>8</v>
      </c>
      <c r="AK448" s="620">
        <v>7</v>
      </c>
      <c r="AL448" s="620">
        <v>7.3</v>
      </c>
      <c r="AM448" s="623">
        <f t="shared" si="116"/>
        <v>22.3</v>
      </c>
      <c r="AN448" s="621"/>
      <c r="AO448" s="621"/>
      <c r="AP448" s="621"/>
      <c r="AQ448" s="622">
        <f t="shared" si="117"/>
        <v>-4.6999999999999993</v>
      </c>
      <c r="AR448" s="615">
        <f t="shared" si="126"/>
        <v>32.5</v>
      </c>
      <c r="AS448" s="620">
        <v>10</v>
      </c>
      <c r="AT448" s="620">
        <v>8</v>
      </c>
      <c r="AU448" s="620">
        <v>9</v>
      </c>
      <c r="AV448" s="623">
        <f t="shared" si="118"/>
        <v>27</v>
      </c>
      <c r="AW448" s="621">
        <v>4.1399999999999997</v>
      </c>
      <c r="AX448" s="621">
        <v>3.47</v>
      </c>
      <c r="AY448" s="621">
        <v>90</v>
      </c>
      <c r="AZ448" s="624">
        <f t="shared" si="119"/>
        <v>-5.5</v>
      </c>
      <c r="BA448" s="623">
        <v>32.5</v>
      </c>
      <c r="BB448" s="620">
        <v>15</v>
      </c>
      <c r="BC448" s="620">
        <v>10</v>
      </c>
      <c r="BD448" s="623">
        <f t="shared" si="120"/>
        <v>25</v>
      </c>
      <c r="BE448" s="621"/>
      <c r="BF448" s="621"/>
      <c r="BG448" s="621"/>
      <c r="BH448" s="621">
        <f t="shared" si="121"/>
        <v>7.5</v>
      </c>
    </row>
    <row r="449" spans="1:60" ht="17.25" thickTop="1" thickBot="1" x14ac:dyDescent="0.3">
      <c r="A449" s="77">
        <v>442</v>
      </c>
      <c r="B449" s="603">
        <f t="shared" ca="1" si="109"/>
        <v>43134</v>
      </c>
      <c r="C449" s="29" t="s">
        <v>614</v>
      </c>
      <c r="D449" s="59" t="s">
        <v>2862</v>
      </c>
      <c r="E449" s="22" t="s">
        <v>1086</v>
      </c>
      <c r="F449" s="27" t="s">
        <v>976</v>
      </c>
      <c r="G449" s="567">
        <v>42756</v>
      </c>
      <c r="H449" s="609">
        <f t="shared" si="122"/>
        <v>28</v>
      </c>
      <c r="I449" s="620">
        <v>8.8000000000000007</v>
      </c>
      <c r="J449" s="620">
        <v>6.6</v>
      </c>
      <c r="K449" s="620">
        <v>6.8</v>
      </c>
      <c r="L449" s="611">
        <f t="shared" si="110"/>
        <v>22.2</v>
      </c>
      <c r="M449" s="621"/>
      <c r="N449" s="621"/>
      <c r="O449" s="621"/>
      <c r="P449" s="622">
        <f t="shared" si="111"/>
        <v>-5.8000000000000007</v>
      </c>
      <c r="Q449" s="609">
        <f t="shared" si="123"/>
        <v>26.6</v>
      </c>
      <c r="R449" s="620">
        <v>13</v>
      </c>
      <c r="S449" s="620">
        <v>8</v>
      </c>
      <c r="T449" s="620">
        <v>7</v>
      </c>
      <c r="U449" s="611">
        <f t="shared" si="112"/>
        <v>28</v>
      </c>
      <c r="V449" s="621"/>
      <c r="W449" s="621"/>
      <c r="X449" s="621"/>
      <c r="Y449" s="622">
        <f t="shared" si="113"/>
        <v>1.3999999999999986</v>
      </c>
      <c r="Z449" s="609">
        <f t="shared" si="124"/>
        <v>26.6</v>
      </c>
      <c r="AA449" s="620">
        <v>9</v>
      </c>
      <c r="AB449" s="620">
        <v>11.5</v>
      </c>
      <c r="AC449" s="620">
        <v>11</v>
      </c>
      <c r="AD449" s="611">
        <f t="shared" si="114"/>
        <v>31.5</v>
      </c>
      <c r="AE449" s="621"/>
      <c r="AF449" s="621"/>
      <c r="AG449" s="621"/>
      <c r="AH449" s="622">
        <f t="shared" si="115"/>
        <v>4.8999999999999986</v>
      </c>
      <c r="AI449" s="609">
        <f t="shared" si="125"/>
        <v>33</v>
      </c>
      <c r="AJ449" s="620">
        <v>10</v>
      </c>
      <c r="AK449" s="620">
        <v>8.6</v>
      </c>
      <c r="AL449" s="620">
        <v>8</v>
      </c>
      <c r="AM449" s="623">
        <f t="shared" si="116"/>
        <v>26.6</v>
      </c>
      <c r="AN449" s="621"/>
      <c r="AO449" s="621"/>
      <c r="AP449" s="621"/>
      <c r="AQ449" s="622">
        <f t="shared" si="117"/>
        <v>-6.3999999999999986</v>
      </c>
      <c r="AR449" s="615">
        <f t="shared" si="126"/>
        <v>31.4</v>
      </c>
      <c r="AS449" s="620">
        <v>14</v>
      </c>
      <c r="AT449" s="620">
        <v>9</v>
      </c>
      <c r="AU449" s="620">
        <v>10</v>
      </c>
      <c r="AV449" s="623">
        <f t="shared" si="118"/>
        <v>33</v>
      </c>
      <c r="AW449" s="621">
        <v>3.3</v>
      </c>
      <c r="AX449" s="621">
        <v>3.38</v>
      </c>
      <c r="AY449" s="621">
        <v>217</v>
      </c>
      <c r="AZ449" s="624">
        <f t="shared" si="119"/>
        <v>1.6000000000000014</v>
      </c>
      <c r="BA449" s="623">
        <v>31.4</v>
      </c>
      <c r="BB449" s="620">
        <v>16</v>
      </c>
      <c r="BC449" s="620">
        <v>13.6</v>
      </c>
      <c r="BD449" s="623">
        <f t="shared" si="120"/>
        <v>29.6</v>
      </c>
      <c r="BE449" s="621"/>
      <c r="BF449" s="621"/>
      <c r="BG449" s="621"/>
      <c r="BH449" s="621">
        <f t="shared" si="121"/>
        <v>1.7999999999999972</v>
      </c>
    </row>
    <row r="450" spans="1:60" ht="17.25" thickTop="1" thickBot="1" x14ac:dyDescent="0.3">
      <c r="A450" s="602">
        <v>443</v>
      </c>
      <c r="B450" s="603">
        <f t="shared" ca="1" si="109"/>
        <v>43134</v>
      </c>
      <c r="C450" s="29" t="s">
        <v>614</v>
      </c>
      <c r="D450" s="59" t="s">
        <v>2862</v>
      </c>
      <c r="E450" s="22" t="s">
        <v>1113</v>
      </c>
      <c r="F450" s="27" t="s">
        <v>1026</v>
      </c>
      <c r="G450" s="567">
        <v>42751</v>
      </c>
      <c r="H450" s="609">
        <f t="shared" si="122"/>
        <v>25</v>
      </c>
      <c r="I450" s="620">
        <v>11</v>
      </c>
      <c r="J450" s="620"/>
      <c r="K450" s="620">
        <v>10</v>
      </c>
      <c r="L450" s="611">
        <f t="shared" si="110"/>
        <v>21</v>
      </c>
      <c r="M450" s="621"/>
      <c r="N450" s="621"/>
      <c r="O450" s="621"/>
      <c r="P450" s="622">
        <f t="shared" si="111"/>
        <v>-4</v>
      </c>
      <c r="Q450" s="609">
        <f t="shared" si="123"/>
        <v>25.6</v>
      </c>
      <c r="R450" s="620">
        <v>13</v>
      </c>
      <c r="S450" s="620"/>
      <c r="T450" s="620">
        <v>12</v>
      </c>
      <c r="U450" s="611">
        <f t="shared" si="112"/>
        <v>25</v>
      </c>
      <c r="V450" s="621"/>
      <c r="W450" s="621"/>
      <c r="X450" s="621"/>
      <c r="Y450" s="622">
        <f t="shared" si="113"/>
        <v>-0.60000000000000142</v>
      </c>
      <c r="Z450" s="609">
        <f t="shared" si="124"/>
        <v>25.6</v>
      </c>
      <c r="AA450" s="620">
        <v>9</v>
      </c>
      <c r="AB450" s="620"/>
      <c r="AC450" s="620">
        <v>10</v>
      </c>
      <c r="AD450" s="611">
        <f t="shared" si="114"/>
        <v>19</v>
      </c>
      <c r="AE450" s="621"/>
      <c r="AF450" s="621"/>
      <c r="AG450" s="621"/>
      <c r="AH450" s="622">
        <f t="shared" si="115"/>
        <v>-6.6000000000000014</v>
      </c>
      <c r="AI450" s="609">
        <f t="shared" si="125"/>
        <v>30.2</v>
      </c>
      <c r="AJ450" s="620">
        <v>12</v>
      </c>
      <c r="AK450" s="620">
        <v>6.6</v>
      </c>
      <c r="AL450" s="620">
        <v>7</v>
      </c>
      <c r="AM450" s="623">
        <f t="shared" si="116"/>
        <v>25.6</v>
      </c>
      <c r="AN450" s="621"/>
      <c r="AO450" s="621"/>
      <c r="AP450" s="621"/>
      <c r="AQ450" s="622">
        <f t="shared" si="117"/>
        <v>-4.5999999999999979</v>
      </c>
      <c r="AR450" s="615">
        <f t="shared" si="126"/>
        <v>26.6</v>
      </c>
      <c r="AS450" s="620">
        <v>10.199999999999999</v>
      </c>
      <c r="AT450" s="620">
        <v>9</v>
      </c>
      <c r="AU450" s="620">
        <v>11</v>
      </c>
      <c r="AV450" s="623">
        <f t="shared" si="118"/>
        <v>30.2</v>
      </c>
      <c r="AW450" s="621">
        <v>3.03</v>
      </c>
      <c r="AX450" s="621">
        <v>3.56</v>
      </c>
      <c r="AY450" s="621">
        <v>120</v>
      </c>
      <c r="AZ450" s="624">
        <f t="shared" si="119"/>
        <v>3.5999999999999979</v>
      </c>
      <c r="BA450" s="623">
        <v>26.6</v>
      </c>
      <c r="BB450" s="620">
        <v>14</v>
      </c>
      <c r="BC450" s="620">
        <v>11.8</v>
      </c>
      <c r="BD450" s="623">
        <f t="shared" si="120"/>
        <v>25.8</v>
      </c>
      <c r="BE450" s="621"/>
      <c r="BF450" s="621"/>
      <c r="BG450" s="621"/>
      <c r="BH450" s="621">
        <f t="shared" si="121"/>
        <v>0.80000000000000071</v>
      </c>
    </row>
    <row r="451" spans="1:60" ht="17.25" thickTop="1" thickBot="1" x14ac:dyDescent="0.3">
      <c r="A451" s="77">
        <v>444</v>
      </c>
      <c r="B451" s="603">
        <f t="shared" ca="1" si="109"/>
        <v>43134</v>
      </c>
      <c r="C451" s="29" t="s">
        <v>614</v>
      </c>
      <c r="D451" s="59" t="s">
        <v>2862</v>
      </c>
      <c r="E451" s="22" t="s">
        <v>1109</v>
      </c>
      <c r="F451" s="27" t="s">
        <v>1020</v>
      </c>
      <c r="G451" s="567">
        <v>42711</v>
      </c>
      <c r="H451" s="609">
        <f t="shared" si="122"/>
        <v>16.8</v>
      </c>
      <c r="I451" s="620">
        <v>3</v>
      </c>
      <c r="J451" s="620"/>
      <c r="K451" s="620"/>
      <c r="L451" s="611">
        <f t="shared" si="110"/>
        <v>3</v>
      </c>
      <c r="M451" s="621"/>
      <c r="N451" s="621"/>
      <c r="O451" s="621"/>
      <c r="P451" s="622">
        <f t="shared" si="111"/>
        <v>-13.8</v>
      </c>
      <c r="Q451" s="609">
        <f t="shared" si="123"/>
        <v>28.4</v>
      </c>
      <c r="R451" s="620">
        <v>6.4</v>
      </c>
      <c r="S451" s="620">
        <v>5.2</v>
      </c>
      <c r="T451" s="620">
        <v>5.2</v>
      </c>
      <c r="U451" s="611">
        <f t="shared" si="112"/>
        <v>16.8</v>
      </c>
      <c r="V451" s="621"/>
      <c r="W451" s="621"/>
      <c r="X451" s="621"/>
      <c r="Y451" s="622">
        <f t="shared" si="113"/>
        <v>-11.599999999999998</v>
      </c>
      <c r="Z451" s="609">
        <f t="shared" si="124"/>
        <v>28.4</v>
      </c>
      <c r="AA451" s="620">
        <v>13</v>
      </c>
      <c r="AB451" s="620"/>
      <c r="AC451" s="620">
        <v>11</v>
      </c>
      <c r="AD451" s="611">
        <f t="shared" si="114"/>
        <v>24</v>
      </c>
      <c r="AE451" s="621"/>
      <c r="AF451" s="621"/>
      <c r="AG451" s="621"/>
      <c r="AH451" s="622">
        <f t="shared" si="115"/>
        <v>-4.3999999999999986</v>
      </c>
      <c r="AI451" s="609">
        <f t="shared" si="125"/>
        <v>28.2</v>
      </c>
      <c r="AJ451" s="620">
        <v>14.2</v>
      </c>
      <c r="AK451" s="620"/>
      <c r="AL451" s="620">
        <v>14.2</v>
      </c>
      <c r="AM451" s="623">
        <f t="shared" si="116"/>
        <v>28.4</v>
      </c>
      <c r="AN451" s="621"/>
      <c r="AO451" s="621"/>
      <c r="AP451" s="621"/>
      <c r="AQ451" s="622">
        <f t="shared" si="117"/>
        <v>0.19999999999999929</v>
      </c>
      <c r="AR451" s="615">
        <f t="shared" si="126"/>
        <v>34</v>
      </c>
      <c r="AS451" s="620">
        <v>10</v>
      </c>
      <c r="AT451" s="620">
        <v>8.1999999999999993</v>
      </c>
      <c r="AU451" s="620">
        <v>10</v>
      </c>
      <c r="AV451" s="623">
        <f t="shared" si="118"/>
        <v>28.2</v>
      </c>
      <c r="AW451" s="621">
        <v>3.98</v>
      </c>
      <c r="AX451" s="621">
        <v>3.76</v>
      </c>
      <c r="AY451" s="621">
        <v>90</v>
      </c>
      <c r="AZ451" s="624">
        <f t="shared" si="119"/>
        <v>-5.8000000000000007</v>
      </c>
      <c r="BA451" s="623">
        <v>34</v>
      </c>
      <c r="BB451" s="620">
        <v>15</v>
      </c>
      <c r="BC451" s="620">
        <v>11</v>
      </c>
      <c r="BD451" s="623">
        <f t="shared" si="120"/>
        <v>26</v>
      </c>
      <c r="BE451" s="621"/>
      <c r="BF451" s="621"/>
      <c r="BG451" s="621"/>
      <c r="BH451" s="621">
        <f t="shared" si="121"/>
        <v>8</v>
      </c>
    </row>
    <row r="452" spans="1:60" ht="17.25" thickTop="1" thickBot="1" x14ac:dyDescent="0.3">
      <c r="A452" s="602">
        <v>445</v>
      </c>
      <c r="B452" s="603">
        <f t="shared" ca="1" si="109"/>
        <v>43134</v>
      </c>
      <c r="C452" s="29" t="s">
        <v>614</v>
      </c>
      <c r="D452" s="59" t="s">
        <v>2862</v>
      </c>
      <c r="E452" s="22" t="s">
        <v>1492</v>
      </c>
      <c r="F452" s="27" t="s">
        <v>1478</v>
      </c>
      <c r="G452" s="567">
        <v>42856</v>
      </c>
      <c r="H452" s="609">
        <f t="shared" si="122"/>
        <v>25.5</v>
      </c>
      <c r="I452" s="620">
        <v>9.6</v>
      </c>
      <c r="J452" s="620">
        <v>7.8</v>
      </c>
      <c r="K452" s="620">
        <v>7.8</v>
      </c>
      <c r="L452" s="611">
        <f t="shared" si="110"/>
        <v>25.2</v>
      </c>
      <c r="M452" s="621"/>
      <c r="N452" s="621"/>
      <c r="O452" s="621"/>
      <c r="P452" s="622">
        <f t="shared" si="111"/>
        <v>-0.30000000000000071</v>
      </c>
      <c r="Q452" s="609">
        <f t="shared" si="123"/>
        <v>26.6</v>
      </c>
      <c r="R452" s="620">
        <v>8.5</v>
      </c>
      <c r="S452" s="620">
        <v>7</v>
      </c>
      <c r="T452" s="620">
        <v>10</v>
      </c>
      <c r="U452" s="611">
        <f t="shared" si="112"/>
        <v>25.5</v>
      </c>
      <c r="V452" s="621"/>
      <c r="W452" s="621"/>
      <c r="X452" s="621"/>
      <c r="Y452" s="622">
        <f t="shared" si="113"/>
        <v>-1.1000000000000014</v>
      </c>
      <c r="Z452" s="609">
        <f t="shared" si="124"/>
        <v>26.6</v>
      </c>
      <c r="AA452" s="620">
        <v>11</v>
      </c>
      <c r="AB452" s="620">
        <v>16</v>
      </c>
      <c r="AC452" s="620">
        <v>11</v>
      </c>
      <c r="AD452" s="611">
        <f t="shared" si="114"/>
        <v>38</v>
      </c>
      <c r="AE452" s="621"/>
      <c r="AF452" s="621"/>
      <c r="AG452" s="621"/>
      <c r="AH452" s="622">
        <f t="shared" si="115"/>
        <v>11.399999999999999</v>
      </c>
      <c r="AI452" s="609">
        <f t="shared" si="125"/>
        <v>36</v>
      </c>
      <c r="AJ452" s="620">
        <v>11.8</v>
      </c>
      <c r="AK452" s="620">
        <v>7.8</v>
      </c>
      <c r="AL452" s="620">
        <v>7</v>
      </c>
      <c r="AM452" s="623">
        <f t="shared" si="116"/>
        <v>26.6</v>
      </c>
      <c r="AN452" s="621"/>
      <c r="AO452" s="621"/>
      <c r="AP452" s="621"/>
      <c r="AQ452" s="622">
        <f t="shared" si="117"/>
        <v>-9.3999999999999986</v>
      </c>
      <c r="AR452" s="615">
        <f t="shared" si="126"/>
        <v>33.4</v>
      </c>
      <c r="AS452" s="620">
        <v>13</v>
      </c>
      <c r="AT452" s="620">
        <v>11</v>
      </c>
      <c r="AU452" s="620">
        <v>12</v>
      </c>
      <c r="AV452" s="623">
        <f t="shared" si="118"/>
        <v>36</v>
      </c>
      <c r="AW452" s="621">
        <v>3.52</v>
      </c>
      <c r="AX452" s="621">
        <v>3.06</v>
      </c>
      <c r="AY452" s="621">
        <v>90</v>
      </c>
      <c r="AZ452" s="624">
        <f t="shared" si="119"/>
        <v>2.6000000000000014</v>
      </c>
      <c r="BA452" s="623">
        <v>33.4</v>
      </c>
      <c r="BB452" s="620">
        <v>11</v>
      </c>
      <c r="BC452" s="620">
        <v>15.4</v>
      </c>
      <c r="BD452" s="623">
        <f t="shared" si="120"/>
        <v>26.4</v>
      </c>
      <c r="BE452" s="621"/>
      <c r="BF452" s="621"/>
      <c r="BG452" s="621"/>
      <c r="BH452" s="621">
        <f t="shared" si="121"/>
        <v>7</v>
      </c>
    </row>
    <row r="453" spans="1:60" ht="17.25" thickTop="1" thickBot="1" x14ac:dyDescent="0.3">
      <c r="A453" s="77">
        <v>446</v>
      </c>
      <c r="B453" s="603">
        <f t="shared" ca="1" si="109"/>
        <v>43134</v>
      </c>
      <c r="C453" s="29" t="s">
        <v>614</v>
      </c>
      <c r="D453" s="59" t="s">
        <v>2862</v>
      </c>
      <c r="E453" s="22" t="s">
        <v>1827</v>
      </c>
      <c r="F453" s="272" t="s">
        <v>1825</v>
      </c>
      <c r="G453" s="567">
        <v>42865</v>
      </c>
      <c r="H453" s="609">
        <f t="shared" si="122"/>
        <v>16.600000000000001</v>
      </c>
      <c r="I453" s="620">
        <v>7.6</v>
      </c>
      <c r="J453" s="620"/>
      <c r="K453" s="620">
        <v>7</v>
      </c>
      <c r="L453" s="611">
        <f t="shared" si="110"/>
        <v>14.6</v>
      </c>
      <c r="M453" s="621"/>
      <c r="N453" s="621"/>
      <c r="O453" s="621"/>
      <c r="P453" s="622">
        <f t="shared" si="111"/>
        <v>-2.0000000000000018</v>
      </c>
      <c r="Q453" s="609">
        <f t="shared" si="123"/>
        <v>10.199999999999999</v>
      </c>
      <c r="R453" s="620">
        <v>8.6</v>
      </c>
      <c r="S453" s="620"/>
      <c r="T453" s="620">
        <v>8</v>
      </c>
      <c r="U453" s="611">
        <f t="shared" si="112"/>
        <v>16.600000000000001</v>
      </c>
      <c r="V453" s="621"/>
      <c r="W453" s="621"/>
      <c r="X453" s="621"/>
      <c r="Y453" s="622">
        <f t="shared" si="113"/>
        <v>6.4000000000000021</v>
      </c>
      <c r="Z453" s="609">
        <f t="shared" si="124"/>
        <v>10.199999999999999</v>
      </c>
      <c r="AA453" s="620">
        <v>5</v>
      </c>
      <c r="AB453" s="620">
        <v>0</v>
      </c>
      <c r="AC453" s="620">
        <v>10</v>
      </c>
      <c r="AD453" s="611">
        <f t="shared" si="114"/>
        <v>15</v>
      </c>
      <c r="AE453" s="621"/>
      <c r="AF453" s="621"/>
      <c r="AG453" s="621"/>
      <c r="AH453" s="622">
        <f t="shared" si="115"/>
        <v>4.8000000000000007</v>
      </c>
      <c r="AI453" s="609">
        <f t="shared" si="125"/>
        <v>25.8</v>
      </c>
      <c r="AJ453" s="620">
        <v>6.2</v>
      </c>
      <c r="AK453" s="620">
        <v>4</v>
      </c>
      <c r="AL453" s="620"/>
      <c r="AM453" s="623">
        <f t="shared" si="116"/>
        <v>10.199999999999999</v>
      </c>
      <c r="AN453" s="621"/>
      <c r="AO453" s="621"/>
      <c r="AP453" s="621"/>
      <c r="AQ453" s="622">
        <f t="shared" si="117"/>
        <v>-15.600000000000001</v>
      </c>
      <c r="AR453" s="615">
        <f t="shared" si="126"/>
        <v>12.7</v>
      </c>
      <c r="AS453" s="620">
        <v>9.6</v>
      </c>
      <c r="AT453" s="620">
        <v>6.2</v>
      </c>
      <c r="AU453" s="620">
        <v>10</v>
      </c>
      <c r="AV453" s="623">
        <f t="shared" si="118"/>
        <v>25.8</v>
      </c>
      <c r="AW453" s="621">
        <v>3.43</v>
      </c>
      <c r="AX453" s="621">
        <v>2.78</v>
      </c>
      <c r="AY453" s="621">
        <v>90</v>
      </c>
      <c r="AZ453" s="624">
        <f t="shared" si="119"/>
        <v>13.100000000000001</v>
      </c>
      <c r="BA453" s="623">
        <v>12.7</v>
      </c>
      <c r="BB453" s="620">
        <v>6.3</v>
      </c>
      <c r="BC453" s="620">
        <v>5.2</v>
      </c>
      <c r="BD453" s="623">
        <f t="shared" si="120"/>
        <v>11.5</v>
      </c>
      <c r="BE453" s="621"/>
      <c r="BF453" s="621"/>
      <c r="BG453" s="621"/>
      <c r="BH453" s="621">
        <f t="shared" si="121"/>
        <v>1.1999999999999993</v>
      </c>
    </row>
    <row r="454" spans="1:60" ht="17.25" thickTop="1" thickBot="1" x14ac:dyDescent="0.3">
      <c r="A454" s="602">
        <v>447</v>
      </c>
      <c r="B454" s="603">
        <f t="shared" ca="1" si="109"/>
        <v>43134</v>
      </c>
      <c r="C454" s="29" t="s">
        <v>614</v>
      </c>
      <c r="D454" s="59" t="s">
        <v>2862</v>
      </c>
      <c r="E454" s="22" t="s">
        <v>1550</v>
      </c>
      <c r="F454" s="27" t="s">
        <v>1541</v>
      </c>
      <c r="G454" s="567">
        <v>42886</v>
      </c>
      <c r="H454" s="609">
        <f t="shared" si="122"/>
        <v>14</v>
      </c>
      <c r="I454" s="620">
        <v>3.5</v>
      </c>
      <c r="J454" s="620">
        <v>5</v>
      </c>
      <c r="K454" s="620">
        <v>6</v>
      </c>
      <c r="L454" s="611">
        <f t="shared" si="110"/>
        <v>14.5</v>
      </c>
      <c r="M454" s="621"/>
      <c r="N454" s="621"/>
      <c r="O454" s="621"/>
      <c r="P454" s="622">
        <f t="shared" si="111"/>
        <v>0.5</v>
      </c>
      <c r="Q454" s="609">
        <f t="shared" si="123"/>
        <v>7.4</v>
      </c>
      <c r="R454" s="620">
        <v>7</v>
      </c>
      <c r="S454" s="620"/>
      <c r="T454" s="620">
        <v>7</v>
      </c>
      <c r="U454" s="611">
        <f t="shared" si="112"/>
        <v>14</v>
      </c>
      <c r="V454" s="621"/>
      <c r="W454" s="621"/>
      <c r="X454" s="621"/>
      <c r="Y454" s="622">
        <f t="shared" si="113"/>
        <v>6.6</v>
      </c>
      <c r="Z454" s="609">
        <f t="shared" si="124"/>
        <v>7.4</v>
      </c>
      <c r="AA454" s="620">
        <v>4.5</v>
      </c>
      <c r="AB454" s="620">
        <v>0</v>
      </c>
      <c r="AC454" s="620">
        <v>5</v>
      </c>
      <c r="AD454" s="611">
        <f t="shared" si="114"/>
        <v>9.5</v>
      </c>
      <c r="AE454" s="621"/>
      <c r="AF454" s="621"/>
      <c r="AG454" s="621"/>
      <c r="AH454" s="622">
        <f t="shared" si="115"/>
        <v>2.0999999999999996</v>
      </c>
      <c r="AI454" s="609">
        <f t="shared" si="125"/>
        <v>23.6</v>
      </c>
      <c r="AJ454" s="620">
        <v>2.4</v>
      </c>
      <c r="AK454" s="620"/>
      <c r="AL454" s="620">
        <v>5</v>
      </c>
      <c r="AM454" s="623">
        <f t="shared" si="116"/>
        <v>7.4</v>
      </c>
      <c r="AN454" s="621"/>
      <c r="AO454" s="621"/>
      <c r="AP454" s="621"/>
      <c r="AQ454" s="622">
        <f t="shared" si="117"/>
        <v>-16.200000000000003</v>
      </c>
      <c r="AR454" s="615">
        <f t="shared" si="126"/>
        <v>0</v>
      </c>
      <c r="AS454" s="620">
        <v>8.1999999999999993</v>
      </c>
      <c r="AT454" s="620">
        <v>7.4</v>
      </c>
      <c r="AU454" s="620">
        <v>8</v>
      </c>
      <c r="AV454" s="623">
        <f t="shared" si="118"/>
        <v>23.6</v>
      </c>
      <c r="AW454" s="621">
        <v>4.12</v>
      </c>
      <c r="AX454" s="621">
        <v>3.24</v>
      </c>
      <c r="AY454" s="621">
        <v>90</v>
      </c>
      <c r="AZ454" s="624">
        <f t="shared" si="119"/>
        <v>23.6</v>
      </c>
      <c r="BA454" s="623"/>
      <c r="BB454" s="620"/>
      <c r="BC454" s="620"/>
      <c r="BD454" s="623">
        <f t="shared" si="120"/>
        <v>0</v>
      </c>
      <c r="BE454" s="621"/>
      <c r="BF454" s="621"/>
      <c r="BG454" s="621"/>
      <c r="BH454" s="621">
        <f t="shared" si="121"/>
        <v>0</v>
      </c>
    </row>
    <row r="455" spans="1:60" ht="17.25" thickTop="1" thickBot="1" x14ac:dyDescent="0.3">
      <c r="A455" s="77">
        <v>448</v>
      </c>
      <c r="B455" s="603">
        <f t="shared" ca="1" si="109"/>
        <v>43134</v>
      </c>
      <c r="C455" s="29" t="s">
        <v>614</v>
      </c>
      <c r="D455" s="59" t="s">
        <v>2862</v>
      </c>
      <c r="E455" s="22" t="s">
        <v>1347</v>
      </c>
      <c r="F455" s="239" t="s">
        <v>1406</v>
      </c>
      <c r="G455" s="567">
        <v>42479</v>
      </c>
      <c r="H455" s="609">
        <f t="shared" si="122"/>
        <v>26.6</v>
      </c>
      <c r="I455" s="620">
        <v>11</v>
      </c>
      <c r="J455" s="620">
        <v>6.8</v>
      </c>
      <c r="K455" s="620">
        <v>10.8</v>
      </c>
      <c r="L455" s="611">
        <f t="shared" si="110"/>
        <v>28.6</v>
      </c>
      <c r="M455" s="621"/>
      <c r="N455" s="621"/>
      <c r="O455" s="621"/>
      <c r="P455" s="622">
        <f t="shared" si="111"/>
        <v>2</v>
      </c>
      <c r="Q455" s="609">
        <f t="shared" si="123"/>
        <v>36</v>
      </c>
      <c r="R455" s="620">
        <v>10.6</v>
      </c>
      <c r="S455" s="620">
        <v>7.2</v>
      </c>
      <c r="T455" s="620">
        <v>8.8000000000000007</v>
      </c>
      <c r="U455" s="611">
        <f t="shared" si="112"/>
        <v>26.6</v>
      </c>
      <c r="V455" s="621"/>
      <c r="W455" s="621"/>
      <c r="X455" s="621"/>
      <c r="Y455" s="622">
        <f t="shared" si="113"/>
        <v>-9.3999999999999986</v>
      </c>
      <c r="Z455" s="609">
        <f t="shared" si="124"/>
        <v>36</v>
      </c>
      <c r="AA455" s="620">
        <v>14.9</v>
      </c>
      <c r="AB455" s="620">
        <v>8</v>
      </c>
      <c r="AC455" s="620">
        <v>8</v>
      </c>
      <c r="AD455" s="611">
        <f t="shared" si="114"/>
        <v>30.9</v>
      </c>
      <c r="AE455" s="621"/>
      <c r="AF455" s="621"/>
      <c r="AG455" s="621"/>
      <c r="AH455" s="622">
        <f t="shared" si="115"/>
        <v>-5.1000000000000014</v>
      </c>
      <c r="AI455" s="609">
        <f t="shared" si="125"/>
        <v>43</v>
      </c>
      <c r="AJ455" s="620">
        <v>11</v>
      </c>
      <c r="AK455" s="620">
        <v>16</v>
      </c>
      <c r="AL455" s="620">
        <v>9</v>
      </c>
      <c r="AM455" s="623">
        <f t="shared" si="116"/>
        <v>36</v>
      </c>
      <c r="AN455" s="621"/>
      <c r="AO455" s="621"/>
      <c r="AP455" s="621"/>
      <c r="AQ455" s="622">
        <f t="shared" si="117"/>
        <v>-7</v>
      </c>
      <c r="AR455" s="615">
        <f t="shared" si="126"/>
        <v>0</v>
      </c>
      <c r="AS455" s="620">
        <v>18</v>
      </c>
      <c r="AT455" s="620">
        <v>13</v>
      </c>
      <c r="AU455" s="620">
        <v>12</v>
      </c>
      <c r="AV455" s="623">
        <f t="shared" si="118"/>
        <v>43</v>
      </c>
      <c r="AW455" s="621">
        <v>2.97</v>
      </c>
      <c r="AX455" s="621">
        <v>2.95</v>
      </c>
      <c r="AY455" s="621">
        <v>90</v>
      </c>
      <c r="AZ455" s="624">
        <f t="shared" si="119"/>
        <v>43</v>
      </c>
      <c r="BA455" s="623"/>
      <c r="BB455" s="620"/>
      <c r="BC455" s="620"/>
      <c r="BD455" s="623">
        <f t="shared" si="120"/>
        <v>0</v>
      </c>
      <c r="BE455" s="621"/>
      <c r="BF455" s="621"/>
      <c r="BG455" s="621"/>
      <c r="BH455" s="621">
        <f t="shared" si="121"/>
        <v>0</v>
      </c>
    </row>
    <row r="456" spans="1:60" ht="17.25" thickTop="1" thickBot="1" x14ac:dyDescent="0.3">
      <c r="A456" s="602">
        <v>449</v>
      </c>
      <c r="B456" s="603">
        <f t="shared" ref="B456:B519" ca="1" si="127">TODAY()</f>
        <v>43134</v>
      </c>
      <c r="C456" s="29" t="s">
        <v>614</v>
      </c>
      <c r="D456" s="59" t="s">
        <v>2862</v>
      </c>
      <c r="E456" s="22" t="s">
        <v>1413</v>
      </c>
      <c r="F456" s="27" t="s">
        <v>1414</v>
      </c>
      <c r="G456" s="567">
        <v>42824</v>
      </c>
      <c r="H456" s="609">
        <f t="shared" si="122"/>
        <v>18</v>
      </c>
      <c r="I456" s="620">
        <v>6</v>
      </c>
      <c r="J456" s="620">
        <v>5</v>
      </c>
      <c r="K456" s="620">
        <v>7</v>
      </c>
      <c r="L456" s="611">
        <f t="shared" ref="L456:L519" si="128">SUM(I456:K456)</f>
        <v>18</v>
      </c>
      <c r="M456" s="621"/>
      <c r="N456" s="621"/>
      <c r="O456" s="621"/>
      <c r="P456" s="622">
        <f t="shared" ref="P456:P519" si="129">L456-H456</f>
        <v>0</v>
      </c>
      <c r="Q456" s="609">
        <f t="shared" si="123"/>
        <v>23.8</v>
      </c>
      <c r="R456" s="620">
        <v>6.8</v>
      </c>
      <c r="S456" s="620">
        <v>6.2</v>
      </c>
      <c r="T456" s="620">
        <v>5</v>
      </c>
      <c r="U456" s="611">
        <f t="shared" ref="U456:U519" si="130">SUM(R456:T456)</f>
        <v>18</v>
      </c>
      <c r="V456" s="621"/>
      <c r="W456" s="621"/>
      <c r="X456" s="621"/>
      <c r="Y456" s="622">
        <f t="shared" ref="Y456:Y519" si="131">U456-Q456</f>
        <v>-5.8000000000000007</v>
      </c>
      <c r="Z456" s="609">
        <f t="shared" si="124"/>
        <v>23.8</v>
      </c>
      <c r="AA456" s="620">
        <v>15.4</v>
      </c>
      <c r="AB456" s="620"/>
      <c r="AC456" s="620">
        <v>9</v>
      </c>
      <c r="AD456" s="611">
        <f t="shared" ref="AD456:AD519" si="132">SUM(AA456:AC456)</f>
        <v>24.4</v>
      </c>
      <c r="AE456" s="621"/>
      <c r="AF456" s="621"/>
      <c r="AG456" s="621"/>
      <c r="AH456" s="622">
        <f t="shared" ref="AH456:AH519" si="133">AD456-Z456</f>
        <v>0.59999999999999787</v>
      </c>
      <c r="AI456" s="609">
        <f t="shared" si="125"/>
        <v>28</v>
      </c>
      <c r="AJ456" s="620">
        <v>12.6</v>
      </c>
      <c r="AK456" s="620">
        <v>5.2</v>
      </c>
      <c r="AL456" s="620">
        <v>6</v>
      </c>
      <c r="AM456" s="623">
        <f t="shared" ref="AM456:AM519" si="134">SUM(AJ456:AL456)</f>
        <v>23.8</v>
      </c>
      <c r="AN456" s="621"/>
      <c r="AO456" s="621"/>
      <c r="AP456" s="621"/>
      <c r="AQ456" s="622">
        <f t="shared" ref="AQ456:AQ519" si="135">AM456-AI456</f>
        <v>-4.1999999999999993</v>
      </c>
      <c r="AR456" s="615">
        <f t="shared" si="126"/>
        <v>36</v>
      </c>
      <c r="AS456" s="620">
        <v>7</v>
      </c>
      <c r="AT456" s="620">
        <v>9</v>
      </c>
      <c r="AU456" s="620">
        <v>12</v>
      </c>
      <c r="AV456" s="623">
        <f t="shared" ref="AV456:AV519" si="136">SUM(AS456:AU456)</f>
        <v>28</v>
      </c>
      <c r="AW456" s="621">
        <v>3.96</v>
      </c>
      <c r="AX456" s="621">
        <v>3.37</v>
      </c>
      <c r="AY456" s="621">
        <v>167</v>
      </c>
      <c r="AZ456" s="624">
        <f t="shared" ref="AZ456:AZ519" si="137">AV456-AR456</f>
        <v>-8</v>
      </c>
      <c r="BA456" s="623">
        <v>36</v>
      </c>
      <c r="BB456" s="620">
        <v>17.5</v>
      </c>
      <c r="BC456" s="620">
        <v>13.6</v>
      </c>
      <c r="BD456" s="623">
        <f t="shared" ref="BD456:BD519" si="138">SUM(BB456:BC456)</f>
        <v>31.1</v>
      </c>
      <c r="BE456" s="621"/>
      <c r="BF456" s="621"/>
      <c r="BG456" s="621"/>
      <c r="BH456" s="621">
        <f t="shared" ref="BH456:BH519" si="139">BA456-BD456</f>
        <v>4.8999999999999986</v>
      </c>
    </row>
    <row r="457" spans="1:60" ht="17.25" thickTop="1" thickBot="1" x14ac:dyDescent="0.3">
      <c r="A457" s="77">
        <v>450</v>
      </c>
      <c r="B457" s="603">
        <f t="shared" ca="1" si="127"/>
        <v>43134</v>
      </c>
      <c r="C457" s="29" t="s">
        <v>614</v>
      </c>
      <c r="D457" s="59" t="s">
        <v>2862</v>
      </c>
      <c r="E457" s="22" t="s">
        <v>546</v>
      </c>
      <c r="F457" s="27" t="s">
        <v>547</v>
      </c>
      <c r="G457" s="567">
        <v>42811</v>
      </c>
      <c r="H457" s="609">
        <f t="shared" ref="H457:H520" si="140">U457</f>
        <v>6.3</v>
      </c>
      <c r="I457" s="620">
        <v>3</v>
      </c>
      <c r="J457" s="620"/>
      <c r="K457" s="620">
        <v>1</v>
      </c>
      <c r="L457" s="611">
        <f t="shared" si="128"/>
        <v>4</v>
      </c>
      <c r="M457" s="621"/>
      <c r="N457" s="621"/>
      <c r="O457" s="621"/>
      <c r="P457" s="622">
        <f t="shared" si="129"/>
        <v>-2.2999999999999998</v>
      </c>
      <c r="Q457" s="609">
        <f t="shared" ref="Q457:Q520" si="141">AM457</f>
        <v>12</v>
      </c>
      <c r="R457" s="620">
        <v>1</v>
      </c>
      <c r="S457" s="620">
        <v>2.2999999999999998</v>
      </c>
      <c r="T457" s="620">
        <v>3</v>
      </c>
      <c r="U457" s="611">
        <f t="shared" si="130"/>
        <v>6.3</v>
      </c>
      <c r="V457" s="621"/>
      <c r="W457" s="621"/>
      <c r="X457" s="621"/>
      <c r="Y457" s="622">
        <f t="shared" si="131"/>
        <v>-5.7</v>
      </c>
      <c r="Z457" s="609">
        <f t="shared" ref="Z457:Z520" si="142">AM457</f>
        <v>12</v>
      </c>
      <c r="AA457" s="620">
        <v>3</v>
      </c>
      <c r="AB457" s="620"/>
      <c r="AC457" s="620">
        <v>5</v>
      </c>
      <c r="AD457" s="611">
        <f t="shared" si="132"/>
        <v>8</v>
      </c>
      <c r="AE457" s="621"/>
      <c r="AF457" s="621"/>
      <c r="AG457" s="621"/>
      <c r="AH457" s="622">
        <f t="shared" si="133"/>
        <v>-4</v>
      </c>
      <c r="AI457" s="609">
        <f t="shared" ref="AI457:AI520" si="143">AV457</f>
        <v>28.4</v>
      </c>
      <c r="AJ457" s="620">
        <v>4</v>
      </c>
      <c r="AK457" s="620">
        <v>4</v>
      </c>
      <c r="AL457" s="620">
        <v>4</v>
      </c>
      <c r="AM457" s="623">
        <f t="shared" si="134"/>
        <v>12</v>
      </c>
      <c r="AN457" s="621"/>
      <c r="AO457" s="621"/>
      <c r="AP457" s="621"/>
      <c r="AQ457" s="622">
        <f t="shared" si="135"/>
        <v>-16.399999999999999</v>
      </c>
      <c r="AR457" s="615">
        <f t="shared" ref="AR457:AR520" si="144">BA457</f>
        <v>35</v>
      </c>
      <c r="AS457" s="620">
        <v>10</v>
      </c>
      <c r="AT457" s="620">
        <v>8.4</v>
      </c>
      <c r="AU457" s="620">
        <v>10</v>
      </c>
      <c r="AV457" s="623">
        <f t="shared" si="136"/>
        <v>28.4</v>
      </c>
      <c r="AW457" s="621">
        <v>3.94</v>
      </c>
      <c r="AX457" s="621">
        <v>3.19</v>
      </c>
      <c r="AY457" s="621">
        <v>90</v>
      </c>
      <c r="AZ457" s="624">
        <f t="shared" si="137"/>
        <v>-6.6000000000000014</v>
      </c>
      <c r="BA457" s="623">
        <v>35</v>
      </c>
      <c r="BB457" s="620">
        <v>16</v>
      </c>
      <c r="BC457" s="620">
        <v>15</v>
      </c>
      <c r="BD457" s="623">
        <f t="shared" si="138"/>
        <v>31</v>
      </c>
      <c r="BE457" s="621"/>
      <c r="BF457" s="621"/>
      <c r="BG457" s="621"/>
      <c r="BH457" s="621">
        <f t="shared" si="139"/>
        <v>4</v>
      </c>
    </row>
    <row r="458" spans="1:60" ht="17.25" thickTop="1" thickBot="1" x14ac:dyDescent="0.3">
      <c r="A458" s="602">
        <v>451</v>
      </c>
      <c r="B458" s="603">
        <f t="shared" ca="1" si="127"/>
        <v>43134</v>
      </c>
      <c r="C458" s="29" t="s">
        <v>614</v>
      </c>
      <c r="D458" s="59" t="s">
        <v>2862</v>
      </c>
      <c r="E458" s="22" t="s">
        <v>663</v>
      </c>
      <c r="F458" s="27" t="s">
        <v>664</v>
      </c>
      <c r="G458" s="567">
        <v>42795</v>
      </c>
      <c r="H458" s="609">
        <f t="shared" si="140"/>
        <v>23.2</v>
      </c>
      <c r="I458" s="620">
        <v>8.1999999999999993</v>
      </c>
      <c r="J458" s="620">
        <v>8</v>
      </c>
      <c r="K458" s="620">
        <v>6.8</v>
      </c>
      <c r="L458" s="611">
        <f t="shared" si="128"/>
        <v>23</v>
      </c>
      <c r="M458" s="621"/>
      <c r="N458" s="621"/>
      <c r="O458" s="621"/>
      <c r="P458" s="622">
        <f t="shared" si="129"/>
        <v>-0.19999999999999929</v>
      </c>
      <c r="Q458" s="609">
        <f t="shared" si="141"/>
        <v>32.200000000000003</v>
      </c>
      <c r="R458" s="620">
        <v>9</v>
      </c>
      <c r="S458" s="620">
        <v>6</v>
      </c>
      <c r="T458" s="620">
        <v>8.1999999999999993</v>
      </c>
      <c r="U458" s="611">
        <f t="shared" si="130"/>
        <v>23.2</v>
      </c>
      <c r="V458" s="621"/>
      <c r="W458" s="621"/>
      <c r="X458" s="621"/>
      <c r="Y458" s="622">
        <f t="shared" si="131"/>
        <v>-9.0000000000000036</v>
      </c>
      <c r="Z458" s="609">
        <f t="shared" si="142"/>
        <v>32.200000000000003</v>
      </c>
      <c r="AA458" s="620">
        <v>11</v>
      </c>
      <c r="AB458" s="620">
        <v>16</v>
      </c>
      <c r="AC458" s="620">
        <v>4</v>
      </c>
      <c r="AD458" s="611">
        <f t="shared" si="132"/>
        <v>31</v>
      </c>
      <c r="AE458" s="621"/>
      <c r="AF458" s="621"/>
      <c r="AG458" s="621"/>
      <c r="AH458" s="622">
        <f t="shared" si="133"/>
        <v>-1.2000000000000028</v>
      </c>
      <c r="AI458" s="609">
        <f t="shared" si="143"/>
        <v>35</v>
      </c>
      <c r="AJ458" s="620">
        <v>11.2</v>
      </c>
      <c r="AK458" s="620">
        <v>10</v>
      </c>
      <c r="AL458" s="620">
        <v>11</v>
      </c>
      <c r="AM458" s="623">
        <f t="shared" si="134"/>
        <v>32.200000000000003</v>
      </c>
      <c r="AN458" s="621"/>
      <c r="AO458" s="621"/>
      <c r="AP458" s="621"/>
      <c r="AQ458" s="622">
        <f t="shared" si="135"/>
        <v>-2.7999999999999972</v>
      </c>
      <c r="AR458" s="615">
        <f t="shared" si="144"/>
        <v>37</v>
      </c>
      <c r="AS458" s="620">
        <v>12</v>
      </c>
      <c r="AT458" s="620">
        <v>12</v>
      </c>
      <c r="AU458" s="620">
        <v>11</v>
      </c>
      <c r="AV458" s="623">
        <f t="shared" si="136"/>
        <v>35</v>
      </c>
      <c r="AW458" s="621">
        <v>3.12</v>
      </c>
      <c r="AX458" s="621">
        <v>3.01</v>
      </c>
      <c r="AY458" s="621">
        <v>90</v>
      </c>
      <c r="AZ458" s="624">
        <f t="shared" si="137"/>
        <v>-2</v>
      </c>
      <c r="BA458" s="623">
        <v>37</v>
      </c>
      <c r="BB458" s="620">
        <v>15.5</v>
      </c>
      <c r="BC458" s="620">
        <v>13.8</v>
      </c>
      <c r="BD458" s="623">
        <f t="shared" si="138"/>
        <v>29.3</v>
      </c>
      <c r="BE458" s="621"/>
      <c r="BF458" s="621"/>
      <c r="BG458" s="621"/>
      <c r="BH458" s="621">
        <f t="shared" si="139"/>
        <v>7.6999999999999993</v>
      </c>
    </row>
    <row r="459" spans="1:60" ht="17.25" thickTop="1" thickBot="1" x14ac:dyDescent="0.3">
      <c r="A459" s="77">
        <v>452</v>
      </c>
      <c r="B459" s="603">
        <f t="shared" ca="1" si="127"/>
        <v>43134</v>
      </c>
      <c r="C459" s="29" t="s">
        <v>614</v>
      </c>
      <c r="D459" s="59" t="s">
        <v>2862</v>
      </c>
      <c r="E459" s="22" t="s">
        <v>316</v>
      </c>
      <c r="F459" s="27" t="s">
        <v>1399</v>
      </c>
      <c r="G459" s="567">
        <v>42837</v>
      </c>
      <c r="H459" s="609">
        <f t="shared" si="140"/>
        <v>24.4</v>
      </c>
      <c r="I459" s="620">
        <v>9.5</v>
      </c>
      <c r="J459" s="620">
        <v>5.2</v>
      </c>
      <c r="K459" s="620">
        <v>6.4</v>
      </c>
      <c r="L459" s="611">
        <f t="shared" si="128"/>
        <v>21.1</v>
      </c>
      <c r="M459" s="621"/>
      <c r="N459" s="621"/>
      <c r="O459" s="621"/>
      <c r="P459" s="622">
        <f t="shared" si="129"/>
        <v>-3.2999999999999972</v>
      </c>
      <c r="Q459" s="609">
        <f t="shared" si="141"/>
        <v>29.7</v>
      </c>
      <c r="R459" s="620">
        <v>7</v>
      </c>
      <c r="S459" s="620">
        <v>8.8000000000000007</v>
      </c>
      <c r="T459" s="620">
        <v>8.6</v>
      </c>
      <c r="U459" s="611">
        <f t="shared" si="130"/>
        <v>24.4</v>
      </c>
      <c r="V459" s="621"/>
      <c r="W459" s="621"/>
      <c r="X459" s="621"/>
      <c r="Y459" s="622">
        <f t="shared" si="131"/>
        <v>-5.3000000000000007</v>
      </c>
      <c r="Z459" s="609">
        <f t="shared" si="142"/>
        <v>29.7</v>
      </c>
      <c r="AA459" s="620">
        <v>8.8000000000000007</v>
      </c>
      <c r="AB459" s="620">
        <v>14</v>
      </c>
      <c r="AC459" s="620">
        <v>9</v>
      </c>
      <c r="AD459" s="611">
        <f t="shared" si="132"/>
        <v>31.8</v>
      </c>
      <c r="AE459" s="621"/>
      <c r="AF459" s="621"/>
      <c r="AG459" s="621"/>
      <c r="AH459" s="622">
        <f t="shared" si="133"/>
        <v>2.1000000000000014</v>
      </c>
      <c r="AI459" s="609">
        <f t="shared" si="143"/>
        <v>38</v>
      </c>
      <c r="AJ459" s="620">
        <v>10.199999999999999</v>
      </c>
      <c r="AK459" s="620">
        <v>10</v>
      </c>
      <c r="AL459" s="620">
        <v>9.5</v>
      </c>
      <c r="AM459" s="623">
        <f t="shared" si="134"/>
        <v>29.7</v>
      </c>
      <c r="AN459" s="621"/>
      <c r="AO459" s="621"/>
      <c r="AP459" s="621"/>
      <c r="AQ459" s="622">
        <f t="shared" si="135"/>
        <v>-8.3000000000000007</v>
      </c>
      <c r="AR459" s="615">
        <f t="shared" si="144"/>
        <v>38.9</v>
      </c>
      <c r="AS459" s="620">
        <v>14</v>
      </c>
      <c r="AT459" s="620">
        <v>13</v>
      </c>
      <c r="AU459" s="620">
        <v>11</v>
      </c>
      <c r="AV459" s="623">
        <f t="shared" si="136"/>
        <v>38</v>
      </c>
      <c r="AW459" s="621">
        <v>3.55</v>
      </c>
      <c r="AX459" s="621">
        <v>3.09</v>
      </c>
      <c r="AY459" s="621">
        <v>90</v>
      </c>
      <c r="AZ459" s="624">
        <f t="shared" si="137"/>
        <v>-0.89999999999999858</v>
      </c>
      <c r="BA459" s="623">
        <v>38.9</v>
      </c>
      <c r="BB459" s="620">
        <v>18</v>
      </c>
      <c r="BC459" s="620">
        <v>16.8</v>
      </c>
      <c r="BD459" s="623">
        <f t="shared" si="138"/>
        <v>34.799999999999997</v>
      </c>
      <c r="BE459" s="621"/>
      <c r="BF459" s="621"/>
      <c r="BG459" s="621"/>
      <c r="BH459" s="621">
        <f t="shared" si="139"/>
        <v>4.1000000000000014</v>
      </c>
    </row>
    <row r="460" spans="1:60" ht="17.25" thickTop="1" thickBot="1" x14ac:dyDescent="0.3">
      <c r="A460" s="602">
        <v>453</v>
      </c>
      <c r="B460" s="603">
        <f t="shared" ca="1" si="127"/>
        <v>43134</v>
      </c>
      <c r="C460" s="29" t="s">
        <v>614</v>
      </c>
      <c r="D460" s="59" t="s">
        <v>2862</v>
      </c>
      <c r="E460" s="22" t="s">
        <v>676</v>
      </c>
      <c r="F460" s="27" t="s">
        <v>677</v>
      </c>
      <c r="G460" s="567">
        <v>42763</v>
      </c>
      <c r="H460" s="609">
        <f t="shared" si="140"/>
        <v>10.8</v>
      </c>
      <c r="I460" s="620">
        <v>5.2</v>
      </c>
      <c r="J460" s="620"/>
      <c r="K460" s="620">
        <v>4.3</v>
      </c>
      <c r="L460" s="611">
        <f t="shared" si="128"/>
        <v>9.5</v>
      </c>
      <c r="M460" s="621"/>
      <c r="N460" s="621"/>
      <c r="O460" s="621"/>
      <c r="P460" s="622">
        <f t="shared" si="129"/>
        <v>-1.3000000000000007</v>
      </c>
      <c r="Q460" s="609">
        <f t="shared" si="141"/>
        <v>27</v>
      </c>
      <c r="R460" s="620">
        <v>3</v>
      </c>
      <c r="S460" s="620">
        <v>4.8</v>
      </c>
      <c r="T460" s="620">
        <v>3</v>
      </c>
      <c r="U460" s="611">
        <f t="shared" si="130"/>
        <v>10.8</v>
      </c>
      <c r="V460" s="621"/>
      <c r="W460" s="621"/>
      <c r="X460" s="621"/>
      <c r="Y460" s="622">
        <f t="shared" si="131"/>
        <v>-16.2</v>
      </c>
      <c r="Z460" s="609">
        <f t="shared" si="142"/>
        <v>27</v>
      </c>
      <c r="AA460" s="620">
        <v>13</v>
      </c>
      <c r="AB460" s="620"/>
      <c r="AC460" s="620">
        <v>12.4</v>
      </c>
      <c r="AD460" s="611">
        <f t="shared" si="132"/>
        <v>25.4</v>
      </c>
      <c r="AE460" s="621"/>
      <c r="AF460" s="621"/>
      <c r="AG460" s="621"/>
      <c r="AH460" s="622">
        <f t="shared" si="133"/>
        <v>-1.6000000000000014</v>
      </c>
      <c r="AI460" s="609">
        <f t="shared" si="143"/>
        <v>24.2</v>
      </c>
      <c r="AJ460" s="620">
        <v>18</v>
      </c>
      <c r="AK460" s="620"/>
      <c r="AL460" s="620">
        <v>9</v>
      </c>
      <c r="AM460" s="623">
        <f t="shared" si="134"/>
        <v>27</v>
      </c>
      <c r="AN460" s="621"/>
      <c r="AO460" s="621"/>
      <c r="AP460" s="621"/>
      <c r="AQ460" s="622">
        <f t="shared" si="135"/>
        <v>2.8000000000000007</v>
      </c>
      <c r="AR460" s="615">
        <f t="shared" si="144"/>
        <v>32</v>
      </c>
      <c r="AS460" s="620">
        <v>8.1999999999999993</v>
      </c>
      <c r="AT460" s="620">
        <v>7</v>
      </c>
      <c r="AU460" s="620">
        <v>9</v>
      </c>
      <c r="AV460" s="623">
        <f t="shared" si="136"/>
        <v>24.2</v>
      </c>
      <c r="AW460" s="621">
        <v>2.88</v>
      </c>
      <c r="AX460" s="621">
        <v>3.62</v>
      </c>
      <c r="AY460" s="621">
        <v>90</v>
      </c>
      <c r="AZ460" s="624">
        <f t="shared" si="137"/>
        <v>-7.8000000000000007</v>
      </c>
      <c r="BA460" s="623">
        <v>32</v>
      </c>
      <c r="BB460" s="620">
        <v>15</v>
      </c>
      <c r="BC460" s="620">
        <v>11</v>
      </c>
      <c r="BD460" s="623">
        <f t="shared" si="138"/>
        <v>26</v>
      </c>
      <c r="BE460" s="621"/>
      <c r="BF460" s="621"/>
      <c r="BG460" s="621"/>
      <c r="BH460" s="621">
        <f t="shared" si="139"/>
        <v>6</v>
      </c>
    </row>
    <row r="461" spans="1:60" ht="17.25" thickTop="1" thickBot="1" x14ac:dyDescent="0.3">
      <c r="A461" s="77">
        <v>454</v>
      </c>
      <c r="B461" s="603">
        <f t="shared" ca="1" si="127"/>
        <v>43134</v>
      </c>
      <c r="C461" s="29" t="s">
        <v>614</v>
      </c>
      <c r="D461" s="59" t="s">
        <v>2862</v>
      </c>
      <c r="E461" s="22" t="s">
        <v>535</v>
      </c>
      <c r="F461" s="27" t="s">
        <v>534</v>
      </c>
      <c r="G461" s="567">
        <v>42853</v>
      </c>
      <c r="H461" s="609">
        <f t="shared" si="140"/>
        <v>17.5</v>
      </c>
      <c r="I461" s="620">
        <v>8</v>
      </c>
      <c r="J461" s="620">
        <v>8</v>
      </c>
      <c r="K461" s="620">
        <v>9.6</v>
      </c>
      <c r="L461" s="611">
        <f t="shared" si="128"/>
        <v>25.6</v>
      </c>
      <c r="M461" s="621"/>
      <c r="N461" s="621"/>
      <c r="O461" s="621"/>
      <c r="P461" s="622">
        <f t="shared" si="129"/>
        <v>8.1000000000000014</v>
      </c>
      <c r="Q461" s="609">
        <f t="shared" si="141"/>
        <v>29.8</v>
      </c>
      <c r="R461" s="620">
        <v>6.5</v>
      </c>
      <c r="S461" s="620"/>
      <c r="T461" s="620">
        <v>11</v>
      </c>
      <c r="U461" s="611">
        <f t="shared" si="130"/>
        <v>17.5</v>
      </c>
      <c r="V461" s="621"/>
      <c r="W461" s="621"/>
      <c r="X461" s="621"/>
      <c r="Y461" s="622">
        <f t="shared" si="131"/>
        <v>-12.3</v>
      </c>
      <c r="Z461" s="609">
        <f t="shared" si="142"/>
        <v>29.8</v>
      </c>
      <c r="AA461" s="620">
        <v>10</v>
      </c>
      <c r="AB461" s="620">
        <v>7</v>
      </c>
      <c r="AC461" s="620">
        <v>7</v>
      </c>
      <c r="AD461" s="611">
        <f t="shared" si="132"/>
        <v>24</v>
      </c>
      <c r="AE461" s="621"/>
      <c r="AF461" s="621"/>
      <c r="AG461" s="621"/>
      <c r="AH461" s="622">
        <f t="shared" si="133"/>
        <v>-5.8000000000000007</v>
      </c>
      <c r="AI461" s="609">
        <f t="shared" si="143"/>
        <v>28.2</v>
      </c>
      <c r="AJ461" s="620">
        <v>11.8</v>
      </c>
      <c r="AK461" s="620">
        <v>8</v>
      </c>
      <c r="AL461" s="620">
        <v>10</v>
      </c>
      <c r="AM461" s="623">
        <f t="shared" si="134"/>
        <v>29.8</v>
      </c>
      <c r="AN461" s="621"/>
      <c r="AO461" s="621"/>
      <c r="AP461" s="621"/>
      <c r="AQ461" s="622">
        <f t="shared" si="135"/>
        <v>1.6000000000000014</v>
      </c>
      <c r="AR461" s="615">
        <f t="shared" si="144"/>
        <v>30</v>
      </c>
      <c r="AS461" s="620">
        <v>10.199999999999999</v>
      </c>
      <c r="AT461" s="620">
        <v>8</v>
      </c>
      <c r="AU461" s="620">
        <v>10</v>
      </c>
      <c r="AV461" s="623">
        <f t="shared" si="136"/>
        <v>28.2</v>
      </c>
      <c r="AW461" s="621">
        <v>4.03</v>
      </c>
      <c r="AX461" s="621">
        <v>2.96</v>
      </c>
      <c r="AY461" s="621">
        <v>90</v>
      </c>
      <c r="AZ461" s="624">
        <f t="shared" si="137"/>
        <v>-1.8000000000000007</v>
      </c>
      <c r="BA461" s="623">
        <v>30</v>
      </c>
      <c r="BB461" s="620">
        <v>17</v>
      </c>
      <c r="BC461" s="620">
        <v>18</v>
      </c>
      <c r="BD461" s="623">
        <f t="shared" si="138"/>
        <v>35</v>
      </c>
      <c r="BE461" s="621"/>
      <c r="BF461" s="621"/>
      <c r="BG461" s="621"/>
      <c r="BH461" s="621">
        <f t="shared" si="139"/>
        <v>-5</v>
      </c>
    </row>
    <row r="462" spans="1:60" ht="17.25" thickTop="1" thickBot="1" x14ac:dyDescent="0.3">
      <c r="A462" s="602">
        <v>455</v>
      </c>
      <c r="B462" s="603">
        <f t="shared" ca="1" si="127"/>
        <v>43134</v>
      </c>
      <c r="C462" s="29" t="s">
        <v>614</v>
      </c>
      <c r="D462" s="59" t="s">
        <v>2862</v>
      </c>
      <c r="E462" s="22" t="s">
        <v>680</v>
      </c>
      <c r="F462" s="27" t="s">
        <v>681</v>
      </c>
      <c r="G462" s="567">
        <v>42793</v>
      </c>
      <c r="H462" s="609">
        <f t="shared" si="140"/>
        <v>17.2</v>
      </c>
      <c r="I462" s="620">
        <v>9</v>
      </c>
      <c r="J462" s="620"/>
      <c r="K462" s="620">
        <v>7</v>
      </c>
      <c r="L462" s="611">
        <f t="shared" si="128"/>
        <v>16</v>
      </c>
      <c r="M462" s="621"/>
      <c r="N462" s="621"/>
      <c r="O462" s="621"/>
      <c r="P462" s="622">
        <f t="shared" si="129"/>
        <v>-1.1999999999999993</v>
      </c>
      <c r="Q462" s="609">
        <f t="shared" si="141"/>
        <v>26.2</v>
      </c>
      <c r="R462" s="620">
        <v>6</v>
      </c>
      <c r="S462" s="620">
        <v>6.2</v>
      </c>
      <c r="T462" s="620">
        <v>5</v>
      </c>
      <c r="U462" s="611">
        <f t="shared" si="130"/>
        <v>17.2</v>
      </c>
      <c r="V462" s="621"/>
      <c r="W462" s="621"/>
      <c r="X462" s="621"/>
      <c r="Y462" s="622">
        <f t="shared" si="131"/>
        <v>-9</v>
      </c>
      <c r="Z462" s="609">
        <f t="shared" si="142"/>
        <v>26.2</v>
      </c>
      <c r="AA462" s="620">
        <v>8.1999999999999993</v>
      </c>
      <c r="AB462" s="620">
        <v>12</v>
      </c>
      <c r="AC462" s="620">
        <v>8</v>
      </c>
      <c r="AD462" s="611">
        <f t="shared" si="132"/>
        <v>28.2</v>
      </c>
      <c r="AE462" s="621"/>
      <c r="AF462" s="621"/>
      <c r="AG462" s="621"/>
      <c r="AH462" s="622">
        <f t="shared" si="133"/>
        <v>2</v>
      </c>
      <c r="AI462" s="609">
        <f t="shared" si="143"/>
        <v>28</v>
      </c>
      <c r="AJ462" s="620">
        <v>10</v>
      </c>
      <c r="AK462" s="620">
        <v>8</v>
      </c>
      <c r="AL462" s="620">
        <v>8.1999999999999993</v>
      </c>
      <c r="AM462" s="623">
        <f t="shared" si="134"/>
        <v>26.2</v>
      </c>
      <c r="AN462" s="621"/>
      <c r="AO462" s="621"/>
      <c r="AP462" s="621"/>
      <c r="AQ462" s="622">
        <f t="shared" si="135"/>
        <v>-1.8000000000000007</v>
      </c>
      <c r="AR462" s="615">
        <f t="shared" si="144"/>
        <v>30</v>
      </c>
      <c r="AS462" s="620">
        <v>10</v>
      </c>
      <c r="AT462" s="620">
        <v>9</v>
      </c>
      <c r="AU462" s="620">
        <v>9</v>
      </c>
      <c r="AV462" s="623">
        <f t="shared" si="136"/>
        <v>28</v>
      </c>
      <c r="AW462" s="621">
        <v>4.01</v>
      </c>
      <c r="AX462" s="621">
        <v>3.46</v>
      </c>
      <c r="AY462" s="621">
        <v>90</v>
      </c>
      <c r="AZ462" s="624">
        <f t="shared" si="137"/>
        <v>-2</v>
      </c>
      <c r="BA462" s="623">
        <v>30</v>
      </c>
      <c r="BB462" s="620">
        <v>15</v>
      </c>
      <c r="BC462" s="620">
        <v>12.4</v>
      </c>
      <c r="BD462" s="623">
        <f t="shared" si="138"/>
        <v>27.4</v>
      </c>
      <c r="BE462" s="621"/>
      <c r="BF462" s="621"/>
      <c r="BG462" s="621"/>
      <c r="BH462" s="621">
        <f t="shared" si="139"/>
        <v>2.6000000000000014</v>
      </c>
    </row>
    <row r="463" spans="1:60" ht="17.25" thickTop="1" thickBot="1" x14ac:dyDescent="0.3">
      <c r="A463" s="77">
        <v>456</v>
      </c>
      <c r="B463" s="603">
        <f t="shared" ca="1" si="127"/>
        <v>43134</v>
      </c>
      <c r="C463" s="29" t="s">
        <v>614</v>
      </c>
      <c r="D463" s="59" t="s">
        <v>2862</v>
      </c>
      <c r="E463" s="22" t="s">
        <v>1377</v>
      </c>
      <c r="F463" s="27" t="s">
        <v>1378</v>
      </c>
      <c r="G463" s="567">
        <v>42844</v>
      </c>
      <c r="H463" s="609">
        <f t="shared" si="140"/>
        <v>19.600000000000001</v>
      </c>
      <c r="I463" s="620">
        <v>8.6</v>
      </c>
      <c r="J463" s="620">
        <v>8.4</v>
      </c>
      <c r="K463" s="620">
        <v>6</v>
      </c>
      <c r="L463" s="611">
        <f t="shared" si="128"/>
        <v>23</v>
      </c>
      <c r="M463" s="621"/>
      <c r="N463" s="621"/>
      <c r="O463" s="621"/>
      <c r="P463" s="622">
        <f t="shared" si="129"/>
        <v>3.3999999999999986</v>
      </c>
      <c r="Q463" s="609">
        <f t="shared" si="141"/>
        <v>23.599999999999998</v>
      </c>
      <c r="R463" s="620">
        <v>7</v>
      </c>
      <c r="S463" s="620">
        <v>7.6</v>
      </c>
      <c r="T463" s="620">
        <v>5</v>
      </c>
      <c r="U463" s="611">
        <f t="shared" si="130"/>
        <v>19.600000000000001</v>
      </c>
      <c r="V463" s="621"/>
      <c r="W463" s="621"/>
      <c r="X463" s="621"/>
      <c r="Y463" s="622">
        <f t="shared" si="131"/>
        <v>-3.9999999999999964</v>
      </c>
      <c r="Z463" s="609">
        <f t="shared" si="142"/>
        <v>23.599999999999998</v>
      </c>
      <c r="AA463" s="620">
        <v>12.8</v>
      </c>
      <c r="AB463" s="620"/>
      <c r="AC463" s="620">
        <v>11</v>
      </c>
      <c r="AD463" s="611">
        <f t="shared" si="132"/>
        <v>23.8</v>
      </c>
      <c r="AE463" s="621"/>
      <c r="AF463" s="621"/>
      <c r="AG463" s="621"/>
      <c r="AH463" s="622">
        <f t="shared" si="133"/>
        <v>0.20000000000000284</v>
      </c>
      <c r="AI463" s="609">
        <f t="shared" si="143"/>
        <v>33</v>
      </c>
      <c r="AJ463" s="620">
        <v>9</v>
      </c>
      <c r="AK463" s="620">
        <v>7.4</v>
      </c>
      <c r="AL463" s="620">
        <v>7.2</v>
      </c>
      <c r="AM463" s="623">
        <f t="shared" si="134"/>
        <v>23.599999999999998</v>
      </c>
      <c r="AN463" s="621"/>
      <c r="AO463" s="621"/>
      <c r="AP463" s="621"/>
      <c r="AQ463" s="622">
        <f t="shared" si="135"/>
        <v>-9.4000000000000021</v>
      </c>
      <c r="AR463" s="615">
        <f t="shared" si="144"/>
        <v>28.1</v>
      </c>
      <c r="AS463" s="620">
        <v>14</v>
      </c>
      <c r="AT463" s="620">
        <v>10</v>
      </c>
      <c r="AU463" s="620">
        <v>9</v>
      </c>
      <c r="AV463" s="623">
        <f t="shared" si="136"/>
        <v>33</v>
      </c>
      <c r="AW463" s="621">
        <v>3.62</v>
      </c>
      <c r="AX463" s="621">
        <v>3.59</v>
      </c>
      <c r="AY463" s="621">
        <v>90</v>
      </c>
      <c r="AZ463" s="624">
        <f t="shared" si="137"/>
        <v>4.8999999999999986</v>
      </c>
      <c r="BA463" s="623">
        <v>28.1</v>
      </c>
      <c r="BB463" s="620">
        <v>14</v>
      </c>
      <c r="BC463" s="620">
        <v>12</v>
      </c>
      <c r="BD463" s="623">
        <f t="shared" si="138"/>
        <v>26</v>
      </c>
      <c r="BE463" s="621"/>
      <c r="BF463" s="621"/>
      <c r="BG463" s="621"/>
      <c r="BH463" s="621">
        <f t="shared" si="139"/>
        <v>2.1000000000000014</v>
      </c>
    </row>
    <row r="464" spans="1:60" ht="17.25" thickTop="1" thickBot="1" x14ac:dyDescent="0.3">
      <c r="A464" s="602">
        <v>457</v>
      </c>
      <c r="B464" s="603">
        <f t="shared" ca="1" si="127"/>
        <v>43134</v>
      </c>
      <c r="C464" s="29" t="s">
        <v>2404</v>
      </c>
      <c r="D464" s="59" t="s">
        <v>2862</v>
      </c>
      <c r="E464" s="22" t="s">
        <v>45</v>
      </c>
      <c r="F464" s="27" t="s">
        <v>46</v>
      </c>
      <c r="G464" s="567">
        <v>42862</v>
      </c>
      <c r="H464" s="609">
        <f t="shared" si="140"/>
        <v>21.8</v>
      </c>
      <c r="I464" s="620">
        <v>9</v>
      </c>
      <c r="J464" s="620">
        <v>6</v>
      </c>
      <c r="K464" s="620">
        <v>6</v>
      </c>
      <c r="L464" s="611">
        <f t="shared" si="128"/>
        <v>21</v>
      </c>
      <c r="M464" s="621"/>
      <c r="N464" s="621"/>
      <c r="O464" s="621"/>
      <c r="P464" s="622">
        <f t="shared" si="129"/>
        <v>-0.80000000000000071</v>
      </c>
      <c r="Q464" s="609">
        <f t="shared" si="141"/>
        <v>38.200000000000003</v>
      </c>
      <c r="R464" s="620">
        <v>7.6</v>
      </c>
      <c r="S464" s="620">
        <v>7.2</v>
      </c>
      <c r="T464" s="620">
        <v>7</v>
      </c>
      <c r="U464" s="611">
        <f t="shared" si="130"/>
        <v>21.8</v>
      </c>
      <c r="V464" s="621"/>
      <c r="W464" s="621"/>
      <c r="X464" s="621"/>
      <c r="Y464" s="622">
        <f t="shared" si="131"/>
        <v>-16.400000000000002</v>
      </c>
      <c r="Z464" s="609">
        <f t="shared" si="142"/>
        <v>38.200000000000003</v>
      </c>
      <c r="AA464" s="620">
        <v>15</v>
      </c>
      <c r="AB464" s="620">
        <v>15</v>
      </c>
      <c r="AC464" s="620">
        <v>9</v>
      </c>
      <c r="AD464" s="611">
        <f t="shared" si="132"/>
        <v>39</v>
      </c>
      <c r="AE464" s="621"/>
      <c r="AF464" s="621"/>
      <c r="AG464" s="621"/>
      <c r="AH464" s="622">
        <f t="shared" si="133"/>
        <v>0.79999999999999716</v>
      </c>
      <c r="AI464" s="609">
        <f t="shared" si="143"/>
        <v>37</v>
      </c>
      <c r="AJ464" s="620">
        <v>19</v>
      </c>
      <c r="AK464" s="620">
        <v>8.1999999999999993</v>
      </c>
      <c r="AL464" s="620">
        <v>11</v>
      </c>
      <c r="AM464" s="623">
        <f t="shared" si="134"/>
        <v>38.200000000000003</v>
      </c>
      <c r="AN464" s="621"/>
      <c r="AO464" s="621"/>
      <c r="AP464" s="621"/>
      <c r="AQ464" s="622">
        <f t="shared" si="135"/>
        <v>1.2000000000000028</v>
      </c>
      <c r="AR464" s="615">
        <f t="shared" si="144"/>
        <v>17.899999999999999</v>
      </c>
      <c r="AS464" s="620">
        <v>12</v>
      </c>
      <c r="AT464" s="620">
        <v>13</v>
      </c>
      <c r="AU464" s="620">
        <v>12</v>
      </c>
      <c r="AV464" s="623">
        <f t="shared" si="136"/>
        <v>37</v>
      </c>
      <c r="AW464" s="621">
        <v>3.28</v>
      </c>
      <c r="AX464" s="621">
        <v>3</v>
      </c>
      <c r="AY464" s="621">
        <v>90</v>
      </c>
      <c r="AZ464" s="624">
        <f t="shared" si="137"/>
        <v>19.100000000000001</v>
      </c>
      <c r="BA464" s="623">
        <v>17.899999999999999</v>
      </c>
      <c r="BB464" s="620">
        <v>6.9</v>
      </c>
      <c r="BC464" s="620">
        <v>9</v>
      </c>
      <c r="BD464" s="623">
        <f t="shared" si="138"/>
        <v>15.9</v>
      </c>
      <c r="BE464" s="621"/>
      <c r="BF464" s="621"/>
      <c r="BG464" s="621"/>
      <c r="BH464" s="621">
        <f t="shared" si="139"/>
        <v>1.9999999999999982</v>
      </c>
    </row>
    <row r="465" spans="1:60" ht="17.25" thickTop="1" thickBot="1" x14ac:dyDescent="0.3">
      <c r="A465" s="77">
        <v>458</v>
      </c>
      <c r="B465" s="603">
        <f t="shared" ca="1" si="127"/>
        <v>43134</v>
      </c>
      <c r="C465" s="29" t="s">
        <v>614</v>
      </c>
      <c r="D465" s="59" t="s">
        <v>2862</v>
      </c>
      <c r="E465" s="22" t="s">
        <v>67</v>
      </c>
      <c r="F465" s="239" t="s">
        <v>68</v>
      </c>
      <c r="G465" s="567">
        <v>42860</v>
      </c>
      <c r="H465" s="609">
        <f t="shared" si="140"/>
        <v>24.6</v>
      </c>
      <c r="I465" s="620">
        <v>11.4</v>
      </c>
      <c r="J465" s="620"/>
      <c r="K465" s="620">
        <v>7</v>
      </c>
      <c r="L465" s="611">
        <f t="shared" si="128"/>
        <v>18.399999999999999</v>
      </c>
      <c r="M465" s="621"/>
      <c r="N465" s="621"/>
      <c r="O465" s="621"/>
      <c r="P465" s="622">
        <f t="shared" si="129"/>
        <v>-6.2000000000000028</v>
      </c>
      <c r="Q465" s="609">
        <f t="shared" si="141"/>
        <v>24.5</v>
      </c>
      <c r="R465" s="620">
        <v>12.6</v>
      </c>
      <c r="S465" s="620"/>
      <c r="T465" s="620">
        <v>12</v>
      </c>
      <c r="U465" s="611">
        <f t="shared" si="130"/>
        <v>24.6</v>
      </c>
      <c r="V465" s="621"/>
      <c r="W465" s="621"/>
      <c r="X465" s="621"/>
      <c r="Y465" s="622">
        <f t="shared" si="131"/>
        <v>0.10000000000000142</v>
      </c>
      <c r="Z465" s="609">
        <f t="shared" si="142"/>
        <v>24.5</v>
      </c>
      <c r="AA465" s="620">
        <v>9</v>
      </c>
      <c r="AB465" s="620">
        <v>7</v>
      </c>
      <c r="AC465" s="620">
        <v>5</v>
      </c>
      <c r="AD465" s="611">
        <f t="shared" si="132"/>
        <v>21</v>
      </c>
      <c r="AE465" s="621"/>
      <c r="AF465" s="621"/>
      <c r="AG465" s="621"/>
      <c r="AH465" s="622">
        <f t="shared" si="133"/>
        <v>-3.5</v>
      </c>
      <c r="AI465" s="609">
        <f t="shared" si="143"/>
        <v>36</v>
      </c>
      <c r="AJ465" s="620">
        <v>7</v>
      </c>
      <c r="AK465" s="620">
        <v>9</v>
      </c>
      <c r="AL465" s="620">
        <v>8.5</v>
      </c>
      <c r="AM465" s="623">
        <f t="shared" si="134"/>
        <v>24.5</v>
      </c>
      <c r="AN465" s="621"/>
      <c r="AO465" s="621"/>
      <c r="AP465" s="621"/>
      <c r="AQ465" s="622">
        <f t="shared" si="135"/>
        <v>-11.5</v>
      </c>
      <c r="AR465" s="615">
        <f t="shared" si="144"/>
        <v>18.5</v>
      </c>
      <c r="AS465" s="620">
        <v>14</v>
      </c>
      <c r="AT465" s="620">
        <v>10</v>
      </c>
      <c r="AU465" s="620">
        <v>12</v>
      </c>
      <c r="AV465" s="623">
        <f t="shared" si="136"/>
        <v>36</v>
      </c>
      <c r="AW465" s="621">
        <v>2.7</v>
      </c>
      <c r="AX465" s="621">
        <v>2.64</v>
      </c>
      <c r="AY465" s="621">
        <v>90</v>
      </c>
      <c r="AZ465" s="624">
        <f t="shared" si="137"/>
        <v>17.5</v>
      </c>
      <c r="BA465" s="623">
        <v>18.5</v>
      </c>
      <c r="BB465" s="620">
        <v>8.5</v>
      </c>
      <c r="BC465" s="620">
        <v>7.9</v>
      </c>
      <c r="BD465" s="623">
        <f t="shared" si="138"/>
        <v>16.399999999999999</v>
      </c>
      <c r="BE465" s="621"/>
      <c r="BF465" s="621"/>
      <c r="BG465" s="621"/>
      <c r="BH465" s="621">
        <f t="shared" si="139"/>
        <v>2.1000000000000014</v>
      </c>
    </row>
    <row r="466" spans="1:60" ht="17.25" thickTop="1" thickBot="1" x14ac:dyDescent="0.3">
      <c r="A466" s="602">
        <v>459</v>
      </c>
      <c r="B466" s="603">
        <f t="shared" ca="1" si="127"/>
        <v>43134</v>
      </c>
      <c r="C466" s="29" t="s">
        <v>614</v>
      </c>
      <c r="D466" s="59" t="s">
        <v>2862</v>
      </c>
      <c r="E466" s="22" t="s">
        <v>568</v>
      </c>
      <c r="F466" s="27" t="s">
        <v>569</v>
      </c>
      <c r="G466" s="567">
        <v>42559</v>
      </c>
      <c r="H466" s="609">
        <f t="shared" si="140"/>
        <v>36.799999999999997</v>
      </c>
      <c r="I466" s="620">
        <v>19</v>
      </c>
      <c r="J466" s="620">
        <v>17.399999999999999</v>
      </c>
      <c r="K466" s="620">
        <v>13</v>
      </c>
      <c r="L466" s="611">
        <f t="shared" si="128"/>
        <v>49.4</v>
      </c>
      <c r="M466" s="621"/>
      <c r="N466" s="621"/>
      <c r="O466" s="621"/>
      <c r="P466" s="622">
        <f t="shared" si="129"/>
        <v>12.600000000000001</v>
      </c>
      <c r="Q466" s="609">
        <f t="shared" si="141"/>
        <v>0</v>
      </c>
      <c r="R466" s="620">
        <v>12.2</v>
      </c>
      <c r="S466" s="620">
        <v>11.8</v>
      </c>
      <c r="T466" s="620">
        <v>12.8</v>
      </c>
      <c r="U466" s="611">
        <f t="shared" si="130"/>
        <v>36.799999999999997</v>
      </c>
      <c r="V466" s="621"/>
      <c r="W466" s="621"/>
      <c r="X466" s="621"/>
      <c r="Y466" s="622">
        <f t="shared" si="131"/>
        <v>36.799999999999997</v>
      </c>
      <c r="Z466" s="609">
        <f t="shared" si="142"/>
        <v>0</v>
      </c>
      <c r="AA466" s="620">
        <v>13.3</v>
      </c>
      <c r="AB466" s="620">
        <v>12.5</v>
      </c>
      <c r="AC466" s="620">
        <v>16.100000000000001</v>
      </c>
      <c r="AD466" s="611">
        <f t="shared" si="132"/>
        <v>41.900000000000006</v>
      </c>
      <c r="AE466" s="621"/>
      <c r="AF466" s="621"/>
      <c r="AG466" s="621"/>
      <c r="AH466" s="622">
        <f t="shared" si="133"/>
        <v>41.900000000000006</v>
      </c>
      <c r="AI466" s="609">
        <f t="shared" si="143"/>
        <v>15</v>
      </c>
      <c r="AJ466" s="620"/>
      <c r="AK466" s="620"/>
      <c r="AL466" s="620"/>
      <c r="AM466" s="623">
        <f t="shared" si="134"/>
        <v>0</v>
      </c>
      <c r="AN466" s="621"/>
      <c r="AO466" s="621"/>
      <c r="AP466" s="621"/>
      <c r="AQ466" s="622">
        <f t="shared" si="135"/>
        <v>-15</v>
      </c>
      <c r="AR466" s="615">
        <f t="shared" si="144"/>
        <v>33</v>
      </c>
      <c r="AS466" s="620">
        <v>5</v>
      </c>
      <c r="AT466" s="620">
        <v>0</v>
      </c>
      <c r="AU466" s="620">
        <v>10</v>
      </c>
      <c r="AV466" s="623">
        <f t="shared" si="136"/>
        <v>15</v>
      </c>
      <c r="AW466" s="621">
        <v>4.17</v>
      </c>
      <c r="AX466" s="621">
        <v>3.8</v>
      </c>
      <c r="AY466" s="621">
        <v>135</v>
      </c>
      <c r="AZ466" s="624">
        <f t="shared" si="137"/>
        <v>-18</v>
      </c>
      <c r="BA466" s="623">
        <v>33</v>
      </c>
      <c r="BB466" s="620">
        <v>13</v>
      </c>
      <c r="BC466" s="620">
        <v>11.8</v>
      </c>
      <c r="BD466" s="623">
        <f t="shared" si="138"/>
        <v>24.8</v>
      </c>
      <c r="BE466" s="621"/>
      <c r="BF466" s="621"/>
      <c r="BG466" s="621"/>
      <c r="BH466" s="621">
        <f t="shared" si="139"/>
        <v>8.1999999999999993</v>
      </c>
    </row>
    <row r="467" spans="1:60" ht="17.25" thickTop="1" thickBot="1" x14ac:dyDescent="0.3">
      <c r="A467" s="77">
        <v>460</v>
      </c>
      <c r="B467" s="603">
        <f t="shared" ca="1" si="127"/>
        <v>43134</v>
      </c>
      <c r="C467" s="29" t="s">
        <v>614</v>
      </c>
      <c r="D467" s="59" t="s">
        <v>2862</v>
      </c>
      <c r="E467" s="22" t="s">
        <v>592</v>
      </c>
      <c r="F467" s="27" t="s">
        <v>593</v>
      </c>
      <c r="G467" s="567">
        <v>42785</v>
      </c>
      <c r="H467" s="609">
        <f t="shared" si="140"/>
        <v>3</v>
      </c>
      <c r="I467" s="620"/>
      <c r="J467" s="620"/>
      <c r="K467" s="620"/>
      <c r="L467" s="611">
        <f t="shared" si="128"/>
        <v>0</v>
      </c>
      <c r="M467" s="621"/>
      <c r="N467" s="621"/>
      <c r="O467" s="621"/>
      <c r="P467" s="622">
        <f t="shared" si="129"/>
        <v>-3</v>
      </c>
      <c r="Q467" s="609">
        <f t="shared" si="141"/>
        <v>18.2</v>
      </c>
      <c r="R467" s="620">
        <v>1</v>
      </c>
      <c r="S467" s="620"/>
      <c r="T467" s="620">
        <v>2</v>
      </c>
      <c r="U467" s="611">
        <f t="shared" si="130"/>
        <v>3</v>
      </c>
      <c r="V467" s="621"/>
      <c r="W467" s="621"/>
      <c r="X467" s="621"/>
      <c r="Y467" s="622">
        <f t="shared" si="131"/>
        <v>-15.2</v>
      </c>
      <c r="Z467" s="609">
        <f t="shared" si="142"/>
        <v>18.2</v>
      </c>
      <c r="AA467" s="620">
        <v>12</v>
      </c>
      <c r="AB467" s="620"/>
      <c r="AC467" s="620">
        <v>7</v>
      </c>
      <c r="AD467" s="611">
        <f t="shared" si="132"/>
        <v>19</v>
      </c>
      <c r="AE467" s="621"/>
      <c r="AF467" s="621"/>
      <c r="AG467" s="621"/>
      <c r="AH467" s="622">
        <f t="shared" si="133"/>
        <v>0.80000000000000071</v>
      </c>
      <c r="AI467" s="609">
        <f t="shared" si="143"/>
        <v>22</v>
      </c>
      <c r="AJ467" s="620">
        <v>10</v>
      </c>
      <c r="AK467" s="620"/>
      <c r="AL467" s="620">
        <v>8.1999999999999993</v>
      </c>
      <c r="AM467" s="623">
        <f t="shared" si="134"/>
        <v>18.2</v>
      </c>
      <c r="AN467" s="621"/>
      <c r="AO467" s="621"/>
      <c r="AP467" s="621"/>
      <c r="AQ467" s="622">
        <f t="shared" si="135"/>
        <v>-3.8000000000000007</v>
      </c>
      <c r="AR467" s="615">
        <f t="shared" si="144"/>
        <v>34</v>
      </c>
      <c r="AS467" s="620">
        <v>7</v>
      </c>
      <c r="AT467" s="620">
        <v>7</v>
      </c>
      <c r="AU467" s="620">
        <v>8</v>
      </c>
      <c r="AV467" s="623">
        <f t="shared" si="136"/>
        <v>22</v>
      </c>
      <c r="AW467" s="621">
        <v>4.18</v>
      </c>
      <c r="AX467" s="621">
        <v>2.85</v>
      </c>
      <c r="AY467" s="621">
        <v>90</v>
      </c>
      <c r="AZ467" s="624">
        <f t="shared" si="137"/>
        <v>-12</v>
      </c>
      <c r="BA467" s="623">
        <v>34</v>
      </c>
      <c r="BB467" s="620">
        <v>13.5</v>
      </c>
      <c r="BC467" s="620">
        <v>11.4</v>
      </c>
      <c r="BD467" s="623">
        <f t="shared" si="138"/>
        <v>24.9</v>
      </c>
      <c r="BE467" s="621"/>
      <c r="BF467" s="621"/>
      <c r="BG467" s="621"/>
      <c r="BH467" s="621">
        <f t="shared" si="139"/>
        <v>9.1000000000000014</v>
      </c>
    </row>
    <row r="468" spans="1:60" ht="17.25" thickTop="1" thickBot="1" x14ac:dyDescent="0.3">
      <c r="A468" s="602">
        <v>461</v>
      </c>
      <c r="B468" s="603">
        <f t="shared" ca="1" si="127"/>
        <v>43134</v>
      </c>
      <c r="C468" s="29" t="s">
        <v>615</v>
      </c>
      <c r="D468" s="59" t="s">
        <v>2658</v>
      </c>
      <c r="E468" s="22" t="s">
        <v>451</v>
      </c>
      <c r="F468" s="295" t="s">
        <v>863</v>
      </c>
      <c r="G468" s="567">
        <v>42722</v>
      </c>
      <c r="H468" s="609">
        <f t="shared" si="140"/>
        <v>0</v>
      </c>
      <c r="I468" s="620"/>
      <c r="J468" s="620"/>
      <c r="K468" s="620"/>
      <c r="L468" s="611">
        <f t="shared" si="128"/>
        <v>0</v>
      </c>
      <c r="M468" s="621"/>
      <c r="N468" s="621"/>
      <c r="O468" s="621"/>
      <c r="P468" s="622">
        <f t="shared" si="129"/>
        <v>0</v>
      </c>
      <c r="Q468" s="609">
        <f t="shared" si="141"/>
        <v>27.6</v>
      </c>
      <c r="R468" s="620"/>
      <c r="S468" s="620"/>
      <c r="T468" s="620"/>
      <c r="U468" s="611">
        <f t="shared" si="130"/>
        <v>0</v>
      </c>
      <c r="V468" s="621"/>
      <c r="W468" s="621"/>
      <c r="X468" s="621"/>
      <c r="Y468" s="622">
        <f t="shared" si="131"/>
        <v>-27.6</v>
      </c>
      <c r="Z468" s="609">
        <f t="shared" si="142"/>
        <v>27.6</v>
      </c>
      <c r="AA468" s="620">
        <v>7.5</v>
      </c>
      <c r="AB468" s="620"/>
      <c r="AC468" s="620">
        <v>12</v>
      </c>
      <c r="AD468" s="611">
        <f t="shared" si="132"/>
        <v>19.5</v>
      </c>
      <c r="AE468" s="621"/>
      <c r="AF468" s="621"/>
      <c r="AG468" s="621"/>
      <c r="AH468" s="622">
        <f t="shared" si="133"/>
        <v>-8.1000000000000014</v>
      </c>
      <c r="AI468" s="609">
        <f t="shared" si="143"/>
        <v>19.5</v>
      </c>
      <c r="AJ468" s="620">
        <v>15.6</v>
      </c>
      <c r="AK468" s="620"/>
      <c r="AL468" s="620">
        <v>12</v>
      </c>
      <c r="AM468" s="623">
        <f t="shared" si="134"/>
        <v>27.6</v>
      </c>
      <c r="AN468" s="621"/>
      <c r="AO468" s="621"/>
      <c r="AP468" s="621"/>
      <c r="AQ468" s="622">
        <f t="shared" si="135"/>
        <v>8.1000000000000014</v>
      </c>
      <c r="AR468" s="615">
        <f t="shared" si="144"/>
        <v>40.5</v>
      </c>
      <c r="AS468" s="620">
        <v>9.5</v>
      </c>
      <c r="AT468" s="620"/>
      <c r="AU468" s="620">
        <v>10</v>
      </c>
      <c r="AV468" s="623">
        <f t="shared" si="136"/>
        <v>19.5</v>
      </c>
      <c r="AW468" s="621">
        <v>4.09</v>
      </c>
      <c r="AX468" s="621">
        <v>3.45</v>
      </c>
      <c r="AY468" s="621">
        <v>90</v>
      </c>
      <c r="AZ468" s="624">
        <f t="shared" si="137"/>
        <v>-21</v>
      </c>
      <c r="BA468" s="623">
        <v>40.5</v>
      </c>
      <c r="BB468" s="620">
        <v>19</v>
      </c>
      <c r="BC468" s="620">
        <v>17</v>
      </c>
      <c r="BD468" s="623">
        <f t="shared" si="138"/>
        <v>36</v>
      </c>
      <c r="BE468" s="621"/>
      <c r="BF468" s="621"/>
      <c r="BG468" s="621"/>
      <c r="BH468" s="621">
        <f t="shared" si="139"/>
        <v>4.5</v>
      </c>
    </row>
    <row r="469" spans="1:60" ht="17.25" thickTop="1" thickBot="1" x14ac:dyDescent="0.3">
      <c r="A469" s="77">
        <v>462</v>
      </c>
      <c r="B469" s="603">
        <f t="shared" ca="1" si="127"/>
        <v>43134</v>
      </c>
      <c r="C469" s="29" t="s">
        <v>615</v>
      </c>
      <c r="D469" s="59" t="s">
        <v>2658</v>
      </c>
      <c r="E469" s="22" t="s">
        <v>314</v>
      </c>
      <c r="F469" s="295" t="s">
        <v>373</v>
      </c>
      <c r="G469" s="567">
        <v>42676</v>
      </c>
      <c r="H469" s="609">
        <f t="shared" si="140"/>
        <v>7</v>
      </c>
      <c r="I469" s="620"/>
      <c r="J469" s="620"/>
      <c r="K469" s="620"/>
      <c r="L469" s="611">
        <f t="shared" si="128"/>
        <v>0</v>
      </c>
      <c r="M469" s="621"/>
      <c r="N469" s="621"/>
      <c r="O469" s="621"/>
      <c r="P469" s="622">
        <f t="shared" si="129"/>
        <v>-7</v>
      </c>
      <c r="Q469" s="609">
        <f t="shared" si="141"/>
        <v>27</v>
      </c>
      <c r="R469" s="620">
        <v>3</v>
      </c>
      <c r="S469" s="620"/>
      <c r="T469" s="620">
        <v>4</v>
      </c>
      <c r="U469" s="611">
        <f t="shared" si="130"/>
        <v>7</v>
      </c>
      <c r="V469" s="621"/>
      <c r="W469" s="621"/>
      <c r="X469" s="621"/>
      <c r="Y469" s="622">
        <f t="shared" si="131"/>
        <v>-20</v>
      </c>
      <c r="Z469" s="609">
        <f t="shared" si="142"/>
        <v>27</v>
      </c>
      <c r="AA469" s="620">
        <v>7</v>
      </c>
      <c r="AB469" s="620"/>
      <c r="AC469" s="620">
        <v>11</v>
      </c>
      <c r="AD469" s="611">
        <f t="shared" si="132"/>
        <v>18</v>
      </c>
      <c r="AE469" s="621"/>
      <c r="AF469" s="621"/>
      <c r="AG469" s="621"/>
      <c r="AH469" s="622">
        <f t="shared" si="133"/>
        <v>-9</v>
      </c>
      <c r="AI469" s="609">
        <f t="shared" si="143"/>
        <v>17.5</v>
      </c>
      <c r="AJ469" s="620">
        <v>14</v>
      </c>
      <c r="AK469" s="620"/>
      <c r="AL469" s="620">
        <v>13</v>
      </c>
      <c r="AM469" s="623">
        <f t="shared" si="134"/>
        <v>27</v>
      </c>
      <c r="AN469" s="621"/>
      <c r="AO469" s="621"/>
      <c r="AP469" s="621"/>
      <c r="AQ469" s="622">
        <f t="shared" si="135"/>
        <v>9.5</v>
      </c>
      <c r="AR469" s="615">
        <f t="shared" si="144"/>
        <v>28.6</v>
      </c>
      <c r="AS469" s="620">
        <v>10</v>
      </c>
      <c r="AT469" s="620"/>
      <c r="AU469" s="620">
        <v>7.5</v>
      </c>
      <c r="AV469" s="623">
        <f t="shared" si="136"/>
        <v>17.5</v>
      </c>
      <c r="AW469" s="621">
        <v>4.25</v>
      </c>
      <c r="AX469" s="621">
        <v>3.64</v>
      </c>
      <c r="AY469" s="621">
        <v>100</v>
      </c>
      <c r="AZ469" s="624">
        <f t="shared" si="137"/>
        <v>-11.100000000000001</v>
      </c>
      <c r="BA469" s="623">
        <v>28.6</v>
      </c>
      <c r="BB469" s="620">
        <v>15</v>
      </c>
      <c r="BC469" s="620">
        <v>11.4</v>
      </c>
      <c r="BD469" s="623">
        <f t="shared" si="138"/>
        <v>26.4</v>
      </c>
      <c r="BE469" s="621"/>
      <c r="BF469" s="621"/>
      <c r="BG469" s="621"/>
      <c r="BH469" s="621">
        <f t="shared" si="139"/>
        <v>2.2000000000000028</v>
      </c>
    </row>
    <row r="470" spans="1:60" ht="17.25" thickTop="1" thickBot="1" x14ac:dyDescent="0.3">
      <c r="A470" s="602">
        <v>463</v>
      </c>
      <c r="B470" s="603">
        <f t="shared" ca="1" si="127"/>
        <v>43134</v>
      </c>
      <c r="C470" s="29" t="s">
        <v>615</v>
      </c>
      <c r="D470" s="59" t="s">
        <v>2658</v>
      </c>
      <c r="E470" s="22" t="s">
        <v>140</v>
      </c>
      <c r="F470" s="295" t="s">
        <v>141</v>
      </c>
      <c r="G470" s="567">
        <v>42832</v>
      </c>
      <c r="H470" s="609">
        <f t="shared" si="140"/>
        <v>25.2</v>
      </c>
      <c r="I470" s="620">
        <v>12</v>
      </c>
      <c r="J470" s="620"/>
      <c r="K470" s="620">
        <v>10</v>
      </c>
      <c r="L470" s="611">
        <f t="shared" si="128"/>
        <v>22</v>
      </c>
      <c r="M470" s="621"/>
      <c r="N470" s="621"/>
      <c r="O470" s="621"/>
      <c r="P470" s="622">
        <f t="shared" si="129"/>
        <v>-3.1999999999999993</v>
      </c>
      <c r="Q470" s="609">
        <f t="shared" si="141"/>
        <v>27.3</v>
      </c>
      <c r="R470" s="620">
        <v>13.2</v>
      </c>
      <c r="S470" s="620"/>
      <c r="T470" s="620">
        <v>12</v>
      </c>
      <c r="U470" s="611">
        <f t="shared" si="130"/>
        <v>25.2</v>
      </c>
      <c r="V470" s="621"/>
      <c r="W470" s="621"/>
      <c r="X470" s="621"/>
      <c r="Y470" s="622">
        <f t="shared" si="131"/>
        <v>-2.1000000000000014</v>
      </c>
      <c r="Z470" s="609">
        <f t="shared" si="142"/>
        <v>27.3</v>
      </c>
      <c r="AA470" s="620">
        <v>10.6</v>
      </c>
      <c r="AB470" s="620">
        <v>5.4</v>
      </c>
      <c r="AC470" s="620">
        <v>8</v>
      </c>
      <c r="AD470" s="611">
        <f t="shared" si="132"/>
        <v>24</v>
      </c>
      <c r="AE470" s="621"/>
      <c r="AF470" s="621"/>
      <c r="AG470" s="621"/>
      <c r="AH470" s="622">
        <f t="shared" si="133"/>
        <v>-3.3000000000000007</v>
      </c>
      <c r="AI470" s="609">
        <f t="shared" si="143"/>
        <v>27</v>
      </c>
      <c r="AJ470" s="620">
        <v>10.8</v>
      </c>
      <c r="AK470" s="620">
        <v>8.5</v>
      </c>
      <c r="AL470" s="620">
        <v>8</v>
      </c>
      <c r="AM470" s="623">
        <f t="shared" si="134"/>
        <v>27.3</v>
      </c>
      <c r="AN470" s="621"/>
      <c r="AO470" s="621"/>
      <c r="AP470" s="621"/>
      <c r="AQ470" s="622">
        <f t="shared" si="135"/>
        <v>0.30000000000000071</v>
      </c>
      <c r="AR470" s="615">
        <f t="shared" si="144"/>
        <v>30</v>
      </c>
      <c r="AS470" s="620">
        <v>15.5</v>
      </c>
      <c r="AT470" s="620"/>
      <c r="AU470" s="620">
        <v>11.5</v>
      </c>
      <c r="AV470" s="623">
        <f t="shared" si="136"/>
        <v>27</v>
      </c>
      <c r="AW470" s="621">
        <v>4.47</v>
      </c>
      <c r="AX470" s="621">
        <v>2.64</v>
      </c>
      <c r="AY470" s="621">
        <v>90</v>
      </c>
      <c r="AZ470" s="624">
        <f t="shared" si="137"/>
        <v>-3</v>
      </c>
      <c r="BA470" s="623">
        <v>30</v>
      </c>
      <c r="BB470" s="620">
        <v>14.8</v>
      </c>
      <c r="BC470" s="620">
        <v>16.2</v>
      </c>
      <c r="BD470" s="623">
        <f t="shared" si="138"/>
        <v>31</v>
      </c>
      <c r="BE470" s="621"/>
      <c r="BF470" s="621"/>
      <c r="BG470" s="621"/>
      <c r="BH470" s="621">
        <f t="shared" si="139"/>
        <v>-1</v>
      </c>
    </row>
    <row r="471" spans="1:60" ht="17.25" thickTop="1" thickBot="1" x14ac:dyDescent="0.3">
      <c r="A471" s="77">
        <v>464</v>
      </c>
      <c r="B471" s="603">
        <f t="shared" ca="1" si="127"/>
        <v>43134</v>
      </c>
      <c r="C471" s="29" t="s">
        <v>615</v>
      </c>
      <c r="D471" s="59" t="s">
        <v>2658</v>
      </c>
      <c r="E471" s="22" t="s">
        <v>229</v>
      </c>
      <c r="F471" s="295" t="s">
        <v>374</v>
      </c>
      <c r="G471" s="567">
        <v>42847</v>
      </c>
      <c r="H471" s="609">
        <f t="shared" si="140"/>
        <v>21</v>
      </c>
      <c r="I471" s="620">
        <v>9</v>
      </c>
      <c r="J471" s="620">
        <v>11</v>
      </c>
      <c r="K471" s="620">
        <v>10</v>
      </c>
      <c r="L471" s="611">
        <f t="shared" si="128"/>
        <v>30</v>
      </c>
      <c r="M471" s="621"/>
      <c r="N471" s="621"/>
      <c r="O471" s="621"/>
      <c r="P471" s="622">
        <f t="shared" si="129"/>
        <v>9</v>
      </c>
      <c r="Q471" s="609">
        <f t="shared" si="141"/>
        <v>21.9</v>
      </c>
      <c r="R471" s="620">
        <v>8</v>
      </c>
      <c r="S471" s="620">
        <v>6.5</v>
      </c>
      <c r="T471" s="620">
        <v>6.5</v>
      </c>
      <c r="U471" s="611">
        <f t="shared" si="130"/>
        <v>21</v>
      </c>
      <c r="V471" s="621"/>
      <c r="W471" s="621"/>
      <c r="X471" s="621"/>
      <c r="Y471" s="622">
        <f t="shared" si="131"/>
        <v>-0.89999999999999858</v>
      </c>
      <c r="Z471" s="609">
        <f t="shared" si="142"/>
        <v>21.9</v>
      </c>
      <c r="AA471" s="620">
        <v>18</v>
      </c>
      <c r="AB471" s="620"/>
      <c r="AC471" s="620">
        <v>17</v>
      </c>
      <c r="AD471" s="611">
        <f t="shared" si="132"/>
        <v>35</v>
      </c>
      <c r="AE471" s="621"/>
      <c r="AF471" s="621"/>
      <c r="AG471" s="621"/>
      <c r="AH471" s="622">
        <f t="shared" si="133"/>
        <v>13.100000000000001</v>
      </c>
      <c r="AI471" s="609">
        <f t="shared" si="143"/>
        <v>19.899999999999999</v>
      </c>
      <c r="AJ471" s="620">
        <v>5.4</v>
      </c>
      <c r="AK471" s="620">
        <v>9.5</v>
      </c>
      <c r="AL471" s="620">
        <v>7</v>
      </c>
      <c r="AM471" s="623">
        <f t="shared" si="134"/>
        <v>21.9</v>
      </c>
      <c r="AN471" s="621"/>
      <c r="AO471" s="621"/>
      <c r="AP471" s="621"/>
      <c r="AQ471" s="622">
        <f t="shared" si="135"/>
        <v>2</v>
      </c>
      <c r="AR471" s="615">
        <f t="shared" si="144"/>
        <v>33.6</v>
      </c>
      <c r="AS471" s="620">
        <v>12.4</v>
      </c>
      <c r="AT471" s="620"/>
      <c r="AU471" s="620">
        <v>7.5</v>
      </c>
      <c r="AV471" s="623">
        <f t="shared" si="136"/>
        <v>19.899999999999999</v>
      </c>
      <c r="AW471" s="621">
        <v>3.37</v>
      </c>
      <c r="AX471" s="621">
        <v>3.42</v>
      </c>
      <c r="AY471" s="621">
        <v>251</v>
      </c>
      <c r="AZ471" s="624">
        <f t="shared" si="137"/>
        <v>-13.700000000000003</v>
      </c>
      <c r="BA471" s="623">
        <v>33.6</v>
      </c>
      <c r="BB471" s="620">
        <v>14</v>
      </c>
      <c r="BC471" s="620">
        <v>12.4</v>
      </c>
      <c r="BD471" s="623">
        <f t="shared" si="138"/>
        <v>26.4</v>
      </c>
      <c r="BE471" s="621"/>
      <c r="BF471" s="621"/>
      <c r="BG471" s="621"/>
      <c r="BH471" s="621">
        <f t="shared" si="139"/>
        <v>7.2000000000000028</v>
      </c>
    </row>
    <row r="472" spans="1:60" ht="17.25" thickTop="1" thickBot="1" x14ac:dyDescent="0.3">
      <c r="A472" s="602">
        <v>465</v>
      </c>
      <c r="B472" s="603">
        <f t="shared" ca="1" si="127"/>
        <v>43134</v>
      </c>
      <c r="C472" s="29" t="s">
        <v>615</v>
      </c>
      <c r="D472" s="59" t="s">
        <v>2658</v>
      </c>
      <c r="E472" s="22" t="s">
        <v>331</v>
      </c>
      <c r="F472" s="295" t="s">
        <v>332</v>
      </c>
      <c r="G472" s="567">
        <v>42836</v>
      </c>
      <c r="H472" s="609">
        <f t="shared" si="140"/>
        <v>17.600000000000001</v>
      </c>
      <c r="I472" s="620">
        <v>8</v>
      </c>
      <c r="J472" s="620"/>
      <c r="K472" s="620">
        <v>6</v>
      </c>
      <c r="L472" s="611">
        <f t="shared" si="128"/>
        <v>14</v>
      </c>
      <c r="M472" s="621"/>
      <c r="N472" s="621"/>
      <c r="O472" s="621"/>
      <c r="P472" s="622">
        <f t="shared" si="129"/>
        <v>-3.6000000000000014</v>
      </c>
      <c r="Q472" s="609">
        <f t="shared" si="141"/>
        <v>22</v>
      </c>
      <c r="R472" s="620">
        <v>9</v>
      </c>
      <c r="S472" s="620"/>
      <c r="T472" s="620">
        <v>8.6</v>
      </c>
      <c r="U472" s="611">
        <f t="shared" si="130"/>
        <v>17.600000000000001</v>
      </c>
      <c r="V472" s="621"/>
      <c r="W472" s="621"/>
      <c r="X472" s="621"/>
      <c r="Y472" s="622">
        <f t="shared" si="131"/>
        <v>-4.3999999999999986</v>
      </c>
      <c r="Z472" s="609">
        <f t="shared" si="142"/>
        <v>22</v>
      </c>
      <c r="AA472" s="620">
        <v>7</v>
      </c>
      <c r="AB472" s="620"/>
      <c r="AC472" s="620">
        <v>10</v>
      </c>
      <c r="AD472" s="611">
        <f t="shared" si="132"/>
        <v>17</v>
      </c>
      <c r="AE472" s="621"/>
      <c r="AF472" s="621"/>
      <c r="AG472" s="621"/>
      <c r="AH472" s="622">
        <f t="shared" si="133"/>
        <v>-5</v>
      </c>
      <c r="AI472" s="609">
        <f t="shared" si="143"/>
        <v>21.799999999999997</v>
      </c>
      <c r="AJ472" s="620">
        <v>9</v>
      </c>
      <c r="AK472" s="620">
        <v>6</v>
      </c>
      <c r="AL472" s="620">
        <v>7</v>
      </c>
      <c r="AM472" s="623">
        <f t="shared" si="134"/>
        <v>22</v>
      </c>
      <c r="AN472" s="621"/>
      <c r="AO472" s="621"/>
      <c r="AP472" s="621"/>
      <c r="AQ472" s="622">
        <f t="shared" si="135"/>
        <v>0.20000000000000284</v>
      </c>
      <c r="AR472" s="615">
        <f t="shared" si="144"/>
        <v>27</v>
      </c>
      <c r="AS472" s="620">
        <v>11.6</v>
      </c>
      <c r="AT472" s="620"/>
      <c r="AU472" s="620">
        <v>10.199999999999999</v>
      </c>
      <c r="AV472" s="623">
        <f t="shared" si="136"/>
        <v>21.799999999999997</v>
      </c>
      <c r="AW472" s="621">
        <v>3.85</v>
      </c>
      <c r="AX472" s="621">
        <v>3.29</v>
      </c>
      <c r="AY472" s="621">
        <v>90</v>
      </c>
      <c r="AZ472" s="624">
        <f t="shared" si="137"/>
        <v>-5.2000000000000028</v>
      </c>
      <c r="BA472" s="623">
        <v>27</v>
      </c>
      <c r="BB472" s="620">
        <v>14</v>
      </c>
      <c r="BC472" s="620">
        <v>11</v>
      </c>
      <c r="BD472" s="623">
        <f t="shared" si="138"/>
        <v>25</v>
      </c>
      <c r="BE472" s="621"/>
      <c r="BF472" s="621"/>
      <c r="BG472" s="621"/>
      <c r="BH472" s="621">
        <f t="shared" si="139"/>
        <v>2</v>
      </c>
    </row>
    <row r="473" spans="1:60" ht="17.25" thickTop="1" thickBot="1" x14ac:dyDescent="0.3">
      <c r="A473" s="77">
        <v>466</v>
      </c>
      <c r="B473" s="603">
        <f t="shared" ca="1" si="127"/>
        <v>43134</v>
      </c>
      <c r="C473" s="29" t="s">
        <v>615</v>
      </c>
      <c r="D473" s="59" t="s">
        <v>2658</v>
      </c>
      <c r="E473" s="22" t="s">
        <v>88</v>
      </c>
      <c r="F473" s="295" t="s">
        <v>89</v>
      </c>
      <c r="G473" s="567">
        <v>42790</v>
      </c>
      <c r="H473" s="609">
        <f t="shared" si="140"/>
        <v>23.2</v>
      </c>
      <c r="I473" s="620">
        <v>11</v>
      </c>
      <c r="J473" s="620"/>
      <c r="K473" s="620">
        <v>4</v>
      </c>
      <c r="L473" s="611">
        <f t="shared" si="128"/>
        <v>15</v>
      </c>
      <c r="M473" s="621"/>
      <c r="N473" s="621"/>
      <c r="O473" s="621"/>
      <c r="P473" s="622">
        <f t="shared" si="129"/>
        <v>-8.1999999999999993</v>
      </c>
      <c r="Q473" s="609">
        <f t="shared" si="141"/>
        <v>27.6</v>
      </c>
      <c r="R473" s="620">
        <v>13.2</v>
      </c>
      <c r="S473" s="620"/>
      <c r="T473" s="620">
        <v>10</v>
      </c>
      <c r="U473" s="611">
        <f t="shared" si="130"/>
        <v>23.2</v>
      </c>
      <c r="V473" s="621"/>
      <c r="W473" s="621"/>
      <c r="X473" s="621"/>
      <c r="Y473" s="622">
        <f t="shared" si="131"/>
        <v>-4.4000000000000021</v>
      </c>
      <c r="Z473" s="609">
        <f t="shared" si="142"/>
        <v>27.6</v>
      </c>
      <c r="AA473" s="620">
        <v>12.1</v>
      </c>
      <c r="AB473" s="620">
        <v>7.2</v>
      </c>
      <c r="AC473" s="620">
        <v>8</v>
      </c>
      <c r="AD473" s="611">
        <f t="shared" si="132"/>
        <v>27.3</v>
      </c>
      <c r="AE473" s="621"/>
      <c r="AF473" s="621"/>
      <c r="AG473" s="621"/>
      <c r="AH473" s="622">
        <f t="shared" si="133"/>
        <v>-0.30000000000000071</v>
      </c>
      <c r="AI473" s="609">
        <f t="shared" si="143"/>
        <v>28.5</v>
      </c>
      <c r="AJ473" s="620">
        <v>10</v>
      </c>
      <c r="AK473" s="620">
        <v>6</v>
      </c>
      <c r="AL473" s="620">
        <v>11.6</v>
      </c>
      <c r="AM473" s="623">
        <f t="shared" si="134"/>
        <v>27.6</v>
      </c>
      <c r="AN473" s="621"/>
      <c r="AO473" s="621"/>
      <c r="AP473" s="621"/>
      <c r="AQ473" s="622">
        <f t="shared" si="135"/>
        <v>-0.89999999999999858</v>
      </c>
      <c r="AR473" s="615">
        <f t="shared" si="144"/>
        <v>32</v>
      </c>
      <c r="AS473" s="620">
        <v>16.5</v>
      </c>
      <c r="AT473" s="620"/>
      <c r="AU473" s="620">
        <v>12</v>
      </c>
      <c r="AV473" s="623">
        <f t="shared" si="136"/>
        <v>28.5</v>
      </c>
      <c r="AW473" s="621">
        <v>4.63</v>
      </c>
      <c r="AX473" s="621">
        <v>3.09</v>
      </c>
      <c r="AY473" s="621">
        <v>90</v>
      </c>
      <c r="AZ473" s="624">
        <f t="shared" si="137"/>
        <v>-3.5</v>
      </c>
      <c r="BA473" s="623">
        <v>32</v>
      </c>
      <c r="BB473" s="620">
        <v>20</v>
      </c>
      <c r="BC473" s="620">
        <v>19</v>
      </c>
      <c r="BD473" s="623">
        <f t="shared" si="138"/>
        <v>39</v>
      </c>
      <c r="BE473" s="621"/>
      <c r="BF473" s="621"/>
      <c r="BG473" s="621"/>
      <c r="BH473" s="621">
        <f t="shared" si="139"/>
        <v>-7</v>
      </c>
    </row>
    <row r="474" spans="1:60" ht="17.25" thickTop="1" thickBot="1" x14ac:dyDescent="0.3">
      <c r="A474" s="602">
        <v>467</v>
      </c>
      <c r="B474" s="603">
        <f t="shared" ca="1" si="127"/>
        <v>43134</v>
      </c>
      <c r="C474" s="29" t="s">
        <v>615</v>
      </c>
      <c r="D474" s="59" t="s">
        <v>2658</v>
      </c>
      <c r="E474" s="22" t="s">
        <v>75</v>
      </c>
      <c r="F474" s="295" t="s">
        <v>76</v>
      </c>
      <c r="G474" s="567">
        <v>42828</v>
      </c>
      <c r="H474" s="609">
        <f t="shared" si="140"/>
        <v>21</v>
      </c>
      <c r="I474" s="620">
        <v>8</v>
      </c>
      <c r="J474" s="620"/>
      <c r="K474" s="620">
        <v>7</v>
      </c>
      <c r="L474" s="611">
        <f t="shared" si="128"/>
        <v>15</v>
      </c>
      <c r="M474" s="621"/>
      <c r="N474" s="621"/>
      <c r="O474" s="621"/>
      <c r="P474" s="622">
        <f t="shared" si="129"/>
        <v>-6</v>
      </c>
      <c r="Q474" s="609">
        <f t="shared" si="141"/>
        <v>23.9</v>
      </c>
      <c r="R474" s="620">
        <v>10</v>
      </c>
      <c r="S474" s="620"/>
      <c r="T474" s="620">
        <v>11</v>
      </c>
      <c r="U474" s="611">
        <f t="shared" si="130"/>
        <v>21</v>
      </c>
      <c r="V474" s="621"/>
      <c r="W474" s="621"/>
      <c r="X474" s="621"/>
      <c r="Y474" s="622">
        <f t="shared" si="131"/>
        <v>-2.8999999999999986</v>
      </c>
      <c r="Z474" s="609">
        <f t="shared" si="142"/>
        <v>23.9</v>
      </c>
      <c r="AA474" s="620">
        <v>6</v>
      </c>
      <c r="AB474" s="620">
        <v>9.3000000000000007</v>
      </c>
      <c r="AC474" s="620">
        <v>6</v>
      </c>
      <c r="AD474" s="611">
        <f t="shared" si="132"/>
        <v>21.3</v>
      </c>
      <c r="AE474" s="621"/>
      <c r="AF474" s="621"/>
      <c r="AG474" s="621"/>
      <c r="AH474" s="622">
        <f t="shared" si="133"/>
        <v>-2.5999999999999979</v>
      </c>
      <c r="AI474" s="609">
        <f t="shared" si="143"/>
        <v>22</v>
      </c>
      <c r="AJ474" s="620">
        <v>8.1999999999999993</v>
      </c>
      <c r="AK474" s="620">
        <v>7</v>
      </c>
      <c r="AL474" s="620">
        <v>8.6999999999999993</v>
      </c>
      <c r="AM474" s="623">
        <f t="shared" si="134"/>
        <v>23.9</v>
      </c>
      <c r="AN474" s="621"/>
      <c r="AO474" s="621"/>
      <c r="AP474" s="621"/>
      <c r="AQ474" s="622">
        <f t="shared" si="135"/>
        <v>1.8999999999999986</v>
      </c>
      <c r="AR474" s="615">
        <f t="shared" si="144"/>
        <v>27.2</v>
      </c>
      <c r="AS474" s="620">
        <v>12.5</v>
      </c>
      <c r="AT474" s="620"/>
      <c r="AU474" s="620">
        <v>9.5</v>
      </c>
      <c r="AV474" s="623">
        <f t="shared" si="136"/>
        <v>22</v>
      </c>
      <c r="AW474" s="621">
        <v>4.72</v>
      </c>
      <c r="AX474" s="621">
        <v>3.19</v>
      </c>
      <c r="AY474" s="621">
        <v>90</v>
      </c>
      <c r="AZ474" s="624">
        <f t="shared" si="137"/>
        <v>-5.1999999999999993</v>
      </c>
      <c r="BA474" s="623">
        <v>27.2</v>
      </c>
      <c r="BB474" s="620">
        <v>15.4</v>
      </c>
      <c r="BC474" s="620">
        <v>15</v>
      </c>
      <c r="BD474" s="623">
        <f t="shared" si="138"/>
        <v>30.4</v>
      </c>
      <c r="BE474" s="621"/>
      <c r="BF474" s="621"/>
      <c r="BG474" s="621"/>
      <c r="BH474" s="621">
        <f t="shared" si="139"/>
        <v>-3.1999999999999993</v>
      </c>
    </row>
    <row r="475" spans="1:60" ht="17.25" thickTop="1" thickBot="1" x14ac:dyDescent="0.3">
      <c r="A475" s="77">
        <v>468</v>
      </c>
      <c r="B475" s="603">
        <f t="shared" ca="1" si="127"/>
        <v>43134</v>
      </c>
      <c r="C475" s="29" t="s">
        <v>615</v>
      </c>
      <c r="D475" s="59" t="s">
        <v>2658</v>
      </c>
      <c r="E475" s="22" t="s">
        <v>336</v>
      </c>
      <c r="F475" s="295" t="s">
        <v>337</v>
      </c>
      <c r="G475" s="567">
        <v>42696</v>
      </c>
      <c r="H475" s="609">
        <f t="shared" si="140"/>
        <v>25</v>
      </c>
      <c r="I475" s="620">
        <v>12</v>
      </c>
      <c r="J475" s="620"/>
      <c r="K475" s="620">
        <v>10</v>
      </c>
      <c r="L475" s="611">
        <f t="shared" si="128"/>
        <v>22</v>
      </c>
      <c r="M475" s="621"/>
      <c r="N475" s="621"/>
      <c r="O475" s="621"/>
      <c r="P475" s="622">
        <f t="shared" si="129"/>
        <v>-3</v>
      </c>
      <c r="Q475" s="609">
        <f t="shared" si="141"/>
        <v>40</v>
      </c>
      <c r="R475" s="620">
        <v>14</v>
      </c>
      <c r="S475" s="620"/>
      <c r="T475" s="620">
        <v>11</v>
      </c>
      <c r="U475" s="611">
        <f t="shared" si="130"/>
        <v>25</v>
      </c>
      <c r="V475" s="621"/>
      <c r="W475" s="621"/>
      <c r="X475" s="621"/>
      <c r="Y475" s="622">
        <f t="shared" si="131"/>
        <v>-15</v>
      </c>
      <c r="Z475" s="609">
        <f t="shared" si="142"/>
        <v>40</v>
      </c>
      <c r="AA475" s="620">
        <v>8</v>
      </c>
      <c r="AB475" s="620">
        <v>7.6</v>
      </c>
      <c r="AC475" s="620">
        <v>5.3</v>
      </c>
      <c r="AD475" s="611">
        <f t="shared" si="132"/>
        <v>20.9</v>
      </c>
      <c r="AE475" s="621"/>
      <c r="AF475" s="621"/>
      <c r="AG475" s="621"/>
      <c r="AH475" s="622">
        <f t="shared" si="133"/>
        <v>-19.100000000000001</v>
      </c>
      <c r="AI475" s="609">
        <f t="shared" si="143"/>
        <v>23.5</v>
      </c>
      <c r="AJ475" s="620">
        <v>19</v>
      </c>
      <c r="AK475" s="620"/>
      <c r="AL475" s="620">
        <v>21</v>
      </c>
      <c r="AM475" s="623">
        <f t="shared" si="134"/>
        <v>40</v>
      </c>
      <c r="AN475" s="621"/>
      <c r="AO475" s="621"/>
      <c r="AP475" s="621"/>
      <c r="AQ475" s="622">
        <f t="shared" si="135"/>
        <v>16.5</v>
      </c>
      <c r="AR475" s="615">
        <f t="shared" si="144"/>
        <v>31.4</v>
      </c>
      <c r="AS475" s="620">
        <v>12.5</v>
      </c>
      <c r="AT475" s="620"/>
      <c r="AU475" s="620">
        <v>11</v>
      </c>
      <c r="AV475" s="623">
        <f t="shared" si="136"/>
        <v>23.5</v>
      </c>
      <c r="AW475" s="621">
        <v>2.8</v>
      </c>
      <c r="AX475" s="621">
        <v>3.44</v>
      </c>
      <c r="AY475" s="621">
        <v>90</v>
      </c>
      <c r="AZ475" s="624">
        <f t="shared" si="137"/>
        <v>-7.8999999999999986</v>
      </c>
      <c r="BA475" s="623">
        <v>31.4</v>
      </c>
      <c r="BB475" s="620">
        <v>15</v>
      </c>
      <c r="BC475" s="620">
        <v>16.5</v>
      </c>
      <c r="BD475" s="623">
        <f t="shared" si="138"/>
        <v>31.5</v>
      </c>
      <c r="BE475" s="621"/>
      <c r="BF475" s="621"/>
      <c r="BG475" s="621"/>
      <c r="BH475" s="621">
        <f t="shared" si="139"/>
        <v>-0.10000000000000142</v>
      </c>
    </row>
    <row r="476" spans="1:60" ht="17.25" thickTop="1" thickBot="1" x14ac:dyDescent="0.3">
      <c r="A476" s="602">
        <v>469</v>
      </c>
      <c r="B476" s="603">
        <f t="shared" ca="1" si="127"/>
        <v>43134</v>
      </c>
      <c r="C476" s="29" t="s">
        <v>615</v>
      </c>
      <c r="D476" s="59" t="s">
        <v>2658</v>
      </c>
      <c r="E476" s="22" t="s">
        <v>314</v>
      </c>
      <c r="F476" s="295" t="s">
        <v>315</v>
      </c>
      <c r="G476" s="567">
        <v>42755</v>
      </c>
      <c r="H476" s="609">
        <f t="shared" si="140"/>
        <v>13</v>
      </c>
      <c r="I476" s="620">
        <v>11</v>
      </c>
      <c r="J476" s="620"/>
      <c r="K476" s="620">
        <v>8.4</v>
      </c>
      <c r="L476" s="611">
        <f t="shared" si="128"/>
        <v>19.399999999999999</v>
      </c>
      <c r="M476" s="621"/>
      <c r="N476" s="621"/>
      <c r="O476" s="621"/>
      <c r="P476" s="622">
        <f t="shared" si="129"/>
        <v>6.3999999999999986</v>
      </c>
      <c r="Q476" s="609">
        <f t="shared" si="141"/>
        <v>23</v>
      </c>
      <c r="R476" s="620">
        <v>9</v>
      </c>
      <c r="S476" s="620"/>
      <c r="T476" s="620">
        <v>4</v>
      </c>
      <c r="U476" s="611">
        <f t="shared" si="130"/>
        <v>13</v>
      </c>
      <c r="V476" s="621"/>
      <c r="W476" s="621"/>
      <c r="X476" s="621"/>
      <c r="Y476" s="622">
        <f t="shared" si="131"/>
        <v>-10</v>
      </c>
      <c r="Z476" s="609">
        <f t="shared" si="142"/>
        <v>23</v>
      </c>
      <c r="AA476" s="620">
        <v>10.5</v>
      </c>
      <c r="AB476" s="620"/>
      <c r="AC476" s="620">
        <v>8</v>
      </c>
      <c r="AD476" s="611">
        <f t="shared" si="132"/>
        <v>18.5</v>
      </c>
      <c r="AE476" s="621"/>
      <c r="AF476" s="621"/>
      <c r="AG476" s="621"/>
      <c r="AH476" s="622">
        <f t="shared" si="133"/>
        <v>-4.5</v>
      </c>
      <c r="AI476" s="609">
        <f t="shared" si="143"/>
        <v>18.3</v>
      </c>
      <c r="AJ476" s="620">
        <v>13</v>
      </c>
      <c r="AK476" s="620"/>
      <c r="AL476" s="620">
        <v>10</v>
      </c>
      <c r="AM476" s="623">
        <f t="shared" si="134"/>
        <v>23</v>
      </c>
      <c r="AN476" s="621"/>
      <c r="AO476" s="621"/>
      <c r="AP476" s="621"/>
      <c r="AQ476" s="622">
        <f t="shared" si="135"/>
        <v>4.6999999999999993</v>
      </c>
      <c r="AR476" s="615">
        <f t="shared" si="144"/>
        <v>15.8</v>
      </c>
      <c r="AS476" s="620">
        <v>11.3</v>
      </c>
      <c r="AT476" s="620"/>
      <c r="AU476" s="620">
        <v>7</v>
      </c>
      <c r="AV476" s="623">
        <f t="shared" si="136"/>
        <v>18.3</v>
      </c>
      <c r="AW476" s="621">
        <v>3</v>
      </c>
      <c r="AX476" s="621">
        <v>3.02</v>
      </c>
      <c r="AY476" s="621">
        <v>90</v>
      </c>
      <c r="AZ476" s="624">
        <f t="shared" si="137"/>
        <v>2.5</v>
      </c>
      <c r="BA476" s="623">
        <v>15.8</v>
      </c>
      <c r="BB476" s="620">
        <v>18</v>
      </c>
      <c r="BC476" s="620">
        <v>14.2</v>
      </c>
      <c r="BD476" s="623">
        <f t="shared" si="138"/>
        <v>32.200000000000003</v>
      </c>
      <c r="BE476" s="621"/>
      <c r="BF476" s="621"/>
      <c r="BG476" s="621"/>
      <c r="BH476" s="621">
        <f t="shared" si="139"/>
        <v>-16.400000000000002</v>
      </c>
    </row>
    <row r="477" spans="1:60" ht="17.25" thickTop="1" thickBot="1" x14ac:dyDescent="0.3">
      <c r="A477" s="77">
        <v>470</v>
      </c>
      <c r="B477" s="603">
        <f t="shared" ca="1" si="127"/>
        <v>43134</v>
      </c>
      <c r="C477" s="29" t="s">
        <v>615</v>
      </c>
      <c r="D477" s="59" t="s">
        <v>2658</v>
      </c>
      <c r="E477" s="22" t="s">
        <v>81</v>
      </c>
      <c r="F477" s="295" t="s">
        <v>82</v>
      </c>
      <c r="G477" s="567">
        <v>42691</v>
      </c>
      <c r="H477" s="609">
        <f t="shared" si="140"/>
        <v>18.2</v>
      </c>
      <c r="I477" s="620">
        <v>8.6</v>
      </c>
      <c r="J477" s="620"/>
      <c r="K477" s="620">
        <v>5</v>
      </c>
      <c r="L477" s="611">
        <f t="shared" si="128"/>
        <v>13.6</v>
      </c>
      <c r="M477" s="621"/>
      <c r="N477" s="621"/>
      <c r="O477" s="621"/>
      <c r="P477" s="622">
        <f t="shared" si="129"/>
        <v>-4.5999999999999996</v>
      </c>
      <c r="Q477" s="609">
        <f t="shared" si="141"/>
        <v>29.2</v>
      </c>
      <c r="R477" s="620">
        <v>10</v>
      </c>
      <c r="S477" s="620"/>
      <c r="T477" s="620">
        <v>8.1999999999999993</v>
      </c>
      <c r="U477" s="611">
        <f t="shared" si="130"/>
        <v>18.2</v>
      </c>
      <c r="V477" s="621"/>
      <c r="W477" s="621"/>
      <c r="X477" s="621"/>
      <c r="Y477" s="622">
        <f t="shared" si="131"/>
        <v>-11</v>
      </c>
      <c r="Z477" s="609">
        <f t="shared" si="142"/>
        <v>29.2</v>
      </c>
      <c r="AA477" s="620">
        <v>12</v>
      </c>
      <c r="AB477" s="620"/>
      <c r="AC477" s="620">
        <v>15</v>
      </c>
      <c r="AD477" s="611">
        <f t="shared" si="132"/>
        <v>27</v>
      </c>
      <c r="AE477" s="621"/>
      <c r="AF477" s="621"/>
      <c r="AG477" s="621"/>
      <c r="AH477" s="622">
        <f t="shared" si="133"/>
        <v>-2.1999999999999993</v>
      </c>
      <c r="AI477" s="609">
        <f t="shared" si="143"/>
        <v>16.3</v>
      </c>
      <c r="AJ477" s="620">
        <v>16.2</v>
      </c>
      <c r="AK477" s="620"/>
      <c r="AL477" s="620">
        <v>13</v>
      </c>
      <c r="AM477" s="623">
        <f t="shared" si="134"/>
        <v>29.2</v>
      </c>
      <c r="AN477" s="621"/>
      <c r="AO477" s="621"/>
      <c r="AP477" s="621"/>
      <c r="AQ477" s="622">
        <f t="shared" si="135"/>
        <v>12.899999999999999</v>
      </c>
      <c r="AR477" s="615">
        <f t="shared" si="144"/>
        <v>29.4</v>
      </c>
      <c r="AS477" s="620">
        <v>9</v>
      </c>
      <c r="AT477" s="620"/>
      <c r="AU477" s="620">
        <v>7.3</v>
      </c>
      <c r="AV477" s="623">
        <f t="shared" si="136"/>
        <v>16.3</v>
      </c>
      <c r="AW477" s="621">
        <v>4.05</v>
      </c>
      <c r="AX477" s="621">
        <v>3.05</v>
      </c>
      <c r="AY477" s="621">
        <v>90</v>
      </c>
      <c r="AZ477" s="624">
        <f t="shared" si="137"/>
        <v>-13.099999999999998</v>
      </c>
      <c r="BA477" s="623">
        <v>29.4</v>
      </c>
      <c r="BB477" s="620">
        <v>15</v>
      </c>
      <c r="BC477" s="620">
        <v>11.2</v>
      </c>
      <c r="BD477" s="623">
        <f t="shared" si="138"/>
        <v>26.2</v>
      </c>
      <c r="BE477" s="621"/>
      <c r="BF477" s="621"/>
      <c r="BG477" s="621"/>
      <c r="BH477" s="621">
        <f t="shared" si="139"/>
        <v>3.1999999999999993</v>
      </c>
    </row>
    <row r="478" spans="1:60" ht="17.25" thickTop="1" thickBot="1" x14ac:dyDescent="0.3">
      <c r="A478" s="602">
        <v>471</v>
      </c>
      <c r="B478" s="603">
        <f t="shared" ca="1" si="127"/>
        <v>43134</v>
      </c>
      <c r="C478" s="29" t="s">
        <v>615</v>
      </c>
      <c r="D478" s="59" t="s">
        <v>2658</v>
      </c>
      <c r="E478" s="22" t="s">
        <v>369</v>
      </c>
      <c r="F478" s="295" t="s">
        <v>370</v>
      </c>
      <c r="G478" s="567">
        <v>42788</v>
      </c>
      <c r="H478" s="609">
        <f t="shared" si="140"/>
        <v>18.5</v>
      </c>
      <c r="I478" s="620">
        <v>5.6</v>
      </c>
      <c r="J478" s="620"/>
      <c r="K478" s="620">
        <v>7</v>
      </c>
      <c r="L478" s="611">
        <f t="shared" si="128"/>
        <v>12.6</v>
      </c>
      <c r="M478" s="621"/>
      <c r="N478" s="621"/>
      <c r="O478" s="621"/>
      <c r="P478" s="622">
        <f t="shared" si="129"/>
        <v>-5.9</v>
      </c>
      <c r="Q478" s="609">
        <f t="shared" si="141"/>
        <v>28.2</v>
      </c>
      <c r="R478" s="620">
        <v>6.5</v>
      </c>
      <c r="S478" s="620">
        <v>6</v>
      </c>
      <c r="T478" s="620">
        <v>6</v>
      </c>
      <c r="U478" s="611">
        <f t="shared" si="130"/>
        <v>18.5</v>
      </c>
      <c r="V478" s="621"/>
      <c r="W478" s="621"/>
      <c r="X478" s="621"/>
      <c r="Y478" s="622">
        <f t="shared" si="131"/>
        <v>-9.6999999999999993</v>
      </c>
      <c r="Z478" s="609">
        <f t="shared" si="142"/>
        <v>28.2</v>
      </c>
      <c r="AA478" s="620">
        <v>14</v>
      </c>
      <c r="AB478" s="620"/>
      <c r="AC478" s="620">
        <v>13</v>
      </c>
      <c r="AD478" s="611">
        <f t="shared" si="132"/>
        <v>27</v>
      </c>
      <c r="AE478" s="621"/>
      <c r="AF478" s="621"/>
      <c r="AG478" s="621"/>
      <c r="AH478" s="622">
        <f t="shared" si="133"/>
        <v>-1.1999999999999993</v>
      </c>
      <c r="AI478" s="609">
        <f t="shared" si="143"/>
        <v>20.100000000000001</v>
      </c>
      <c r="AJ478" s="620">
        <v>14.2</v>
      </c>
      <c r="AK478" s="620"/>
      <c r="AL478" s="620">
        <v>14</v>
      </c>
      <c r="AM478" s="623">
        <f t="shared" si="134"/>
        <v>28.2</v>
      </c>
      <c r="AN478" s="621"/>
      <c r="AO478" s="621"/>
      <c r="AP478" s="621"/>
      <c r="AQ478" s="622">
        <f t="shared" si="135"/>
        <v>8.0999999999999979</v>
      </c>
      <c r="AR478" s="615">
        <f t="shared" si="144"/>
        <v>31.2</v>
      </c>
      <c r="AS478" s="620">
        <v>12.6</v>
      </c>
      <c r="AT478" s="620"/>
      <c r="AU478" s="620">
        <v>7.5</v>
      </c>
      <c r="AV478" s="623">
        <f t="shared" si="136"/>
        <v>20.100000000000001</v>
      </c>
      <c r="AW478" s="621">
        <v>4.88</v>
      </c>
      <c r="AX478" s="621">
        <v>3.57</v>
      </c>
      <c r="AY478" s="621">
        <v>90</v>
      </c>
      <c r="AZ478" s="624">
        <f t="shared" si="137"/>
        <v>-11.099999999999998</v>
      </c>
      <c r="BA478" s="623">
        <v>31.2</v>
      </c>
      <c r="BB478" s="620">
        <v>15</v>
      </c>
      <c r="BC478" s="620">
        <v>13</v>
      </c>
      <c r="BD478" s="623">
        <f t="shared" si="138"/>
        <v>28</v>
      </c>
      <c r="BE478" s="621"/>
      <c r="BF478" s="621"/>
      <c r="BG478" s="621"/>
      <c r="BH478" s="621">
        <f t="shared" si="139"/>
        <v>3.1999999999999993</v>
      </c>
    </row>
    <row r="479" spans="1:60" ht="17.25" thickTop="1" thickBot="1" x14ac:dyDescent="0.3">
      <c r="A479" s="77">
        <v>472</v>
      </c>
      <c r="B479" s="603">
        <f t="shared" ca="1" si="127"/>
        <v>43134</v>
      </c>
      <c r="C479" s="29" t="s">
        <v>615</v>
      </c>
      <c r="D479" s="59" t="s">
        <v>2658</v>
      </c>
      <c r="E479" s="22" t="s">
        <v>517</v>
      </c>
      <c r="F479" s="295" t="s">
        <v>518</v>
      </c>
      <c r="G479" s="567">
        <v>42819</v>
      </c>
      <c r="H479" s="609">
        <f t="shared" si="140"/>
        <v>22.1</v>
      </c>
      <c r="I479" s="620">
        <v>9.1999999999999993</v>
      </c>
      <c r="J479" s="620">
        <v>8</v>
      </c>
      <c r="K479" s="620">
        <v>8</v>
      </c>
      <c r="L479" s="611">
        <f t="shared" si="128"/>
        <v>25.2</v>
      </c>
      <c r="M479" s="621"/>
      <c r="N479" s="621"/>
      <c r="O479" s="621"/>
      <c r="P479" s="622">
        <f t="shared" si="129"/>
        <v>3.0999999999999979</v>
      </c>
      <c r="Q479" s="609">
        <f t="shared" si="141"/>
        <v>25.1</v>
      </c>
      <c r="R479" s="620">
        <v>6.6</v>
      </c>
      <c r="S479" s="620">
        <v>6</v>
      </c>
      <c r="T479" s="620">
        <v>9.5</v>
      </c>
      <c r="U479" s="611">
        <f t="shared" si="130"/>
        <v>22.1</v>
      </c>
      <c r="V479" s="621"/>
      <c r="W479" s="621"/>
      <c r="X479" s="621"/>
      <c r="Y479" s="622">
        <f t="shared" si="131"/>
        <v>-3</v>
      </c>
      <c r="Z479" s="609">
        <f t="shared" si="142"/>
        <v>25.1</v>
      </c>
      <c r="AA479" s="620">
        <v>10.1</v>
      </c>
      <c r="AB479" s="620">
        <v>8</v>
      </c>
      <c r="AC479" s="620">
        <v>8.5</v>
      </c>
      <c r="AD479" s="611">
        <f t="shared" si="132"/>
        <v>26.6</v>
      </c>
      <c r="AE479" s="621"/>
      <c r="AF479" s="621"/>
      <c r="AG479" s="621"/>
      <c r="AH479" s="622">
        <f t="shared" si="133"/>
        <v>1.5</v>
      </c>
      <c r="AI479" s="609">
        <f t="shared" si="143"/>
        <v>28</v>
      </c>
      <c r="AJ479" s="620">
        <v>8.6</v>
      </c>
      <c r="AK479" s="620">
        <v>8</v>
      </c>
      <c r="AL479" s="620">
        <v>8.5</v>
      </c>
      <c r="AM479" s="623">
        <f t="shared" si="134"/>
        <v>25.1</v>
      </c>
      <c r="AN479" s="621"/>
      <c r="AO479" s="621"/>
      <c r="AP479" s="621"/>
      <c r="AQ479" s="622">
        <f t="shared" si="135"/>
        <v>-2.8999999999999986</v>
      </c>
      <c r="AR479" s="615">
        <f t="shared" si="144"/>
        <v>39</v>
      </c>
      <c r="AS479" s="620">
        <v>14</v>
      </c>
      <c r="AT479" s="620"/>
      <c r="AU479" s="620">
        <v>14</v>
      </c>
      <c r="AV479" s="623">
        <f t="shared" si="136"/>
        <v>28</v>
      </c>
      <c r="AW479" s="621">
        <v>5.32</v>
      </c>
      <c r="AX479" s="621">
        <v>2.93</v>
      </c>
      <c r="AY479" s="621">
        <v>90</v>
      </c>
      <c r="AZ479" s="624">
        <f t="shared" si="137"/>
        <v>-11</v>
      </c>
      <c r="BA479" s="623">
        <v>39</v>
      </c>
      <c r="BB479" s="620">
        <v>19</v>
      </c>
      <c r="BC479" s="620">
        <v>15</v>
      </c>
      <c r="BD479" s="623">
        <f t="shared" si="138"/>
        <v>34</v>
      </c>
      <c r="BE479" s="621"/>
      <c r="BF479" s="621"/>
      <c r="BG479" s="621"/>
      <c r="BH479" s="621">
        <f t="shared" si="139"/>
        <v>5</v>
      </c>
    </row>
    <row r="480" spans="1:60" ht="17.25" thickTop="1" thickBot="1" x14ac:dyDescent="0.3">
      <c r="A480" s="602">
        <v>473</v>
      </c>
      <c r="B480" s="603">
        <f t="shared" ca="1" si="127"/>
        <v>43134</v>
      </c>
      <c r="C480" s="29" t="s">
        <v>615</v>
      </c>
      <c r="D480" s="59" t="s">
        <v>2658</v>
      </c>
      <c r="E480" s="22" t="s">
        <v>597</v>
      </c>
      <c r="F480" s="295" t="s">
        <v>598</v>
      </c>
      <c r="G480" s="567">
        <v>42829</v>
      </c>
      <c r="H480" s="609">
        <f t="shared" si="140"/>
        <v>16</v>
      </c>
      <c r="I480" s="620">
        <v>7.4</v>
      </c>
      <c r="J480" s="620"/>
      <c r="K480" s="620">
        <v>7</v>
      </c>
      <c r="L480" s="611">
        <f t="shared" si="128"/>
        <v>14.4</v>
      </c>
      <c r="M480" s="621"/>
      <c r="N480" s="621"/>
      <c r="O480" s="621"/>
      <c r="P480" s="622">
        <f t="shared" si="129"/>
        <v>-1.5999999999999996</v>
      </c>
      <c r="Q480" s="609">
        <f t="shared" si="141"/>
        <v>17</v>
      </c>
      <c r="R480" s="620">
        <v>5</v>
      </c>
      <c r="S480" s="620">
        <v>5</v>
      </c>
      <c r="T480" s="620">
        <v>6</v>
      </c>
      <c r="U480" s="611">
        <f t="shared" si="130"/>
        <v>16</v>
      </c>
      <c r="V480" s="621"/>
      <c r="W480" s="621"/>
      <c r="X480" s="621"/>
      <c r="Y480" s="622">
        <f t="shared" si="131"/>
        <v>-1</v>
      </c>
      <c r="Z480" s="609">
        <f t="shared" si="142"/>
        <v>17</v>
      </c>
      <c r="AA480" s="620">
        <v>16</v>
      </c>
      <c r="AB480" s="620"/>
      <c r="AC480" s="620">
        <v>10</v>
      </c>
      <c r="AD480" s="611">
        <f t="shared" si="132"/>
        <v>26</v>
      </c>
      <c r="AE480" s="621"/>
      <c r="AF480" s="621"/>
      <c r="AG480" s="621"/>
      <c r="AH480" s="622">
        <f t="shared" si="133"/>
        <v>9</v>
      </c>
      <c r="AI480" s="609">
        <f t="shared" si="143"/>
        <v>20.7</v>
      </c>
      <c r="AJ480" s="620">
        <v>7</v>
      </c>
      <c r="AK480" s="620">
        <v>5</v>
      </c>
      <c r="AL480" s="620">
        <v>5</v>
      </c>
      <c r="AM480" s="623">
        <f t="shared" si="134"/>
        <v>17</v>
      </c>
      <c r="AN480" s="621"/>
      <c r="AO480" s="621"/>
      <c r="AP480" s="621"/>
      <c r="AQ480" s="622">
        <f t="shared" si="135"/>
        <v>-3.6999999999999993</v>
      </c>
      <c r="AR480" s="615">
        <f t="shared" si="144"/>
        <v>24.7</v>
      </c>
      <c r="AS480" s="620">
        <v>11.2</v>
      </c>
      <c r="AT480" s="620"/>
      <c r="AU480" s="620">
        <v>9.5</v>
      </c>
      <c r="AV480" s="623">
        <f t="shared" si="136"/>
        <v>20.7</v>
      </c>
      <c r="AW480" s="621">
        <v>4.26</v>
      </c>
      <c r="AX480" s="621">
        <v>3.32</v>
      </c>
      <c r="AY480" s="621">
        <v>90</v>
      </c>
      <c r="AZ480" s="624">
        <f t="shared" si="137"/>
        <v>-4</v>
      </c>
      <c r="BA480" s="623">
        <v>24.7</v>
      </c>
      <c r="BB480" s="620">
        <v>14</v>
      </c>
      <c r="BC480" s="620">
        <v>12.6</v>
      </c>
      <c r="BD480" s="623">
        <f t="shared" si="138"/>
        <v>26.6</v>
      </c>
      <c r="BE480" s="621"/>
      <c r="BF480" s="621"/>
      <c r="BG480" s="621"/>
      <c r="BH480" s="621">
        <f t="shared" si="139"/>
        <v>-1.9000000000000021</v>
      </c>
    </row>
    <row r="481" spans="1:60" ht="17.25" thickTop="1" thickBot="1" x14ac:dyDescent="0.3">
      <c r="A481" s="77">
        <v>474</v>
      </c>
      <c r="B481" s="603">
        <f t="shared" ca="1" si="127"/>
        <v>43134</v>
      </c>
      <c r="C481" s="29" t="s">
        <v>615</v>
      </c>
      <c r="D481" s="59" t="s">
        <v>2658</v>
      </c>
      <c r="E481" s="22" t="s">
        <v>96</v>
      </c>
      <c r="F481" s="295" t="s">
        <v>98</v>
      </c>
      <c r="G481" s="567">
        <v>42695</v>
      </c>
      <c r="H481" s="609">
        <f t="shared" si="140"/>
        <v>22</v>
      </c>
      <c r="I481" s="620">
        <v>4</v>
      </c>
      <c r="J481" s="620"/>
      <c r="K481" s="620">
        <v>3</v>
      </c>
      <c r="L481" s="611">
        <f t="shared" si="128"/>
        <v>7</v>
      </c>
      <c r="M481" s="621"/>
      <c r="N481" s="621"/>
      <c r="O481" s="621"/>
      <c r="P481" s="622">
        <f t="shared" si="129"/>
        <v>-15</v>
      </c>
      <c r="Q481" s="609">
        <f t="shared" si="141"/>
        <v>31</v>
      </c>
      <c r="R481" s="620">
        <v>11</v>
      </c>
      <c r="S481" s="620"/>
      <c r="T481" s="620">
        <v>11</v>
      </c>
      <c r="U481" s="611">
        <f t="shared" si="130"/>
        <v>22</v>
      </c>
      <c r="V481" s="621"/>
      <c r="W481" s="621"/>
      <c r="X481" s="621"/>
      <c r="Y481" s="622">
        <f t="shared" si="131"/>
        <v>-9</v>
      </c>
      <c r="Z481" s="609">
        <f t="shared" si="142"/>
        <v>31</v>
      </c>
      <c r="AA481" s="620">
        <v>14</v>
      </c>
      <c r="AB481" s="620"/>
      <c r="AC481" s="620">
        <v>11</v>
      </c>
      <c r="AD481" s="611">
        <f t="shared" si="132"/>
        <v>25</v>
      </c>
      <c r="AE481" s="621"/>
      <c r="AF481" s="621"/>
      <c r="AG481" s="621"/>
      <c r="AH481" s="622">
        <f t="shared" si="133"/>
        <v>-6</v>
      </c>
      <c r="AI481" s="609">
        <f t="shared" si="143"/>
        <v>21.5</v>
      </c>
      <c r="AJ481" s="620">
        <v>15</v>
      </c>
      <c r="AK481" s="620"/>
      <c r="AL481" s="620">
        <v>16</v>
      </c>
      <c r="AM481" s="623">
        <f t="shared" si="134"/>
        <v>31</v>
      </c>
      <c r="AN481" s="621"/>
      <c r="AO481" s="621"/>
      <c r="AP481" s="621"/>
      <c r="AQ481" s="622">
        <f t="shared" si="135"/>
        <v>9.5</v>
      </c>
      <c r="AR481" s="615">
        <f t="shared" si="144"/>
        <v>29.7</v>
      </c>
      <c r="AS481" s="620">
        <v>11</v>
      </c>
      <c r="AT481" s="620"/>
      <c r="AU481" s="620">
        <v>10.5</v>
      </c>
      <c r="AV481" s="623">
        <f t="shared" si="136"/>
        <v>21.5</v>
      </c>
      <c r="AW481" s="621">
        <v>5.07</v>
      </c>
      <c r="AX481" s="621">
        <v>3.53</v>
      </c>
      <c r="AY481" s="621">
        <v>90</v>
      </c>
      <c r="AZ481" s="624">
        <f t="shared" si="137"/>
        <v>-8.1999999999999993</v>
      </c>
      <c r="BA481" s="623">
        <v>29.7</v>
      </c>
      <c r="BB481" s="620">
        <v>13.8</v>
      </c>
      <c r="BC481" s="620">
        <v>15</v>
      </c>
      <c r="BD481" s="623">
        <f t="shared" si="138"/>
        <v>28.8</v>
      </c>
      <c r="BE481" s="621"/>
      <c r="BF481" s="621"/>
      <c r="BG481" s="621"/>
      <c r="BH481" s="621">
        <f t="shared" si="139"/>
        <v>0.89999999999999858</v>
      </c>
    </row>
    <row r="482" spans="1:60" ht="17.25" thickTop="1" thickBot="1" x14ac:dyDescent="0.3">
      <c r="A482" s="602">
        <v>475</v>
      </c>
      <c r="B482" s="603">
        <f t="shared" ca="1" si="127"/>
        <v>43134</v>
      </c>
      <c r="C482" s="29" t="s">
        <v>615</v>
      </c>
      <c r="D482" s="59" t="s">
        <v>2658</v>
      </c>
      <c r="E482" s="22" t="s">
        <v>289</v>
      </c>
      <c r="F482" s="295" t="s">
        <v>290</v>
      </c>
      <c r="G482" s="567">
        <v>42761</v>
      </c>
      <c r="H482" s="609">
        <f t="shared" si="140"/>
        <v>29</v>
      </c>
      <c r="I482" s="620">
        <v>9.4</v>
      </c>
      <c r="J482" s="620"/>
      <c r="K482" s="620"/>
      <c r="L482" s="611">
        <f t="shared" si="128"/>
        <v>9.4</v>
      </c>
      <c r="M482" s="621"/>
      <c r="N482" s="621"/>
      <c r="O482" s="621"/>
      <c r="P482" s="622">
        <f t="shared" si="129"/>
        <v>-19.600000000000001</v>
      </c>
      <c r="Q482" s="609">
        <f t="shared" si="141"/>
        <v>30</v>
      </c>
      <c r="R482" s="620">
        <v>19</v>
      </c>
      <c r="S482" s="620"/>
      <c r="T482" s="620">
        <v>10</v>
      </c>
      <c r="U482" s="611">
        <f t="shared" si="130"/>
        <v>29</v>
      </c>
      <c r="V482" s="621"/>
      <c r="W482" s="621"/>
      <c r="X482" s="621"/>
      <c r="Y482" s="622">
        <f t="shared" si="131"/>
        <v>-1</v>
      </c>
      <c r="Z482" s="609">
        <f t="shared" si="142"/>
        <v>30</v>
      </c>
      <c r="AA482" s="620">
        <v>14</v>
      </c>
      <c r="AB482" s="620"/>
      <c r="AC482" s="620">
        <v>11</v>
      </c>
      <c r="AD482" s="611">
        <f t="shared" si="132"/>
        <v>25</v>
      </c>
      <c r="AE482" s="621"/>
      <c r="AF482" s="621"/>
      <c r="AG482" s="621"/>
      <c r="AH482" s="622">
        <f t="shared" si="133"/>
        <v>-5</v>
      </c>
      <c r="AI482" s="609">
        <f t="shared" si="143"/>
        <v>22.5</v>
      </c>
      <c r="AJ482" s="620">
        <v>15</v>
      </c>
      <c r="AK482" s="620"/>
      <c r="AL482" s="620">
        <v>15</v>
      </c>
      <c r="AM482" s="623">
        <f t="shared" si="134"/>
        <v>30</v>
      </c>
      <c r="AN482" s="621"/>
      <c r="AO482" s="621"/>
      <c r="AP482" s="621"/>
      <c r="AQ482" s="622">
        <f t="shared" si="135"/>
        <v>7.5</v>
      </c>
      <c r="AR482" s="615">
        <f t="shared" si="144"/>
        <v>33.200000000000003</v>
      </c>
      <c r="AS482" s="620">
        <v>13</v>
      </c>
      <c r="AT482" s="620"/>
      <c r="AU482" s="620">
        <v>9.5</v>
      </c>
      <c r="AV482" s="623">
        <f t="shared" si="136"/>
        <v>22.5</v>
      </c>
      <c r="AW482" s="621">
        <v>4.88</v>
      </c>
      <c r="AX482" s="621">
        <v>2.96</v>
      </c>
      <c r="AY482" s="621">
        <v>90</v>
      </c>
      <c r="AZ482" s="624">
        <f t="shared" si="137"/>
        <v>-10.700000000000003</v>
      </c>
      <c r="BA482" s="623">
        <v>33.200000000000003</v>
      </c>
      <c r="BB482" s="620">
        <v>17.600000000000001</v>
      </c>
      <c r="BC482" s="620">
        <v>16</v>
      </c>
      <c r="BD482" s="623">
        <f t="shared" si="138"/>
        <v>33.6</v>
      </c>
      <c r="BE482" s="621"/>
      <c r="BF482" s="621"/>
      <c r="BG482" s="621"/>
      <c r="BH482" s="621">
        <f t="shared" si="139"/>
        <v>-0.39999999999999858</v>
      </c>
    </row>
    <row r="483" spans="1:60" ht="17.25" thickTop="1" thickBot="1" x14ac:dyDescent="0.3">
      <c r="A483" s="77">
        <v>476</v>
      </c>
      <c r="B483" s="603">
        <f t="shared" ca="1" si="127"/>
        <v>43134</v>
      </c>
      <c r="C483" s="29" t="s">
        <v>615</v>
      </c>
      <c r="D483" s="59" t="s">
        <v>2658</v>
      </c>
      <c r="E483" s="22" t="s">
        <v>258</v>
      </c>
      <c r="F483" s="295" t="s">
        <v>259</v>
      </c>
      <c r="G483" s="567">
        <v>42715</v>
      </c>
      <c r="H483" s="609">
        <f t="shared" si="140"/>
        <v>16</v>
      </c>
      <c r="I483" s="620"/>
      <c r="J483" s="620"/>
      <c r="K483" s="620"/>
      <c r="L483" s="611">
        <f t="shared" si="128"/>
        <v>0</v>
      </c>
      <c r="M483" s="621"/>
      <c r="N483" s="621"/>
      <c r="O483" s="621"/>
      <c r="P483" s="622">
        <f t="shared" si="129"/>
        <v>-16</v>
      </c>
      <c r="Q483" s="609">
        <f t="shared" si="141"/>
        <v>33</v>
      </c>
      <c r="R483" s="620">
        <v>7</v>
      </c>
      <c r="S483" s="620"/>
      <c r="T483" s="620">
        <v>9</v>
      </c>
      <c r="U483" s="611">
        <f t="shared" si="130"/>
        <v>16</v>
      </c>
      <c r="V483" s="621"/>
      <c r="W483" s="621"/>
      <c r="X483" s="621"/>
      <c r="Y483" s="622">
        <f t="shared" si="131"/>
        <v>-17</v>
      </c>
      <c r="Z483" s="609">
        <f t="shared" si="142"/>
        <v>33</v>
      </c>
      <c r="AA483" s="620">
        <v>13.5</v>
      </c>
      <c r="AB483" s="620"/>
      <c r="AC483" s="620">
        <v>11</v>
      </c>
      <c r="AD483" s="611">
        <f t="shared" si="132"/>
        <v>24.5</v>
      </c>
      <c r="AE483" s="621"/>
      <c r="AF483" s="621"/>
      <c r="AG483" s="621"/>
      <c r="AH483" s="622">
        <f t="shared" si="133"/>
        <v>-8.5</v>
      </c>
      <c r="AI483" s="609">
        <f t="shared" si="143"/>
        <v>23</v>
      </c>
      <c r="AJ483" s="620">
        <v>18</v>
      </c>
      <c r="AK483" s="620"/>
      <c r="AL483" s="620">
        <v>15</v>
      </c>
      <c r="AM483" s="623">
        <f t="shared" si="134"/>
        <v>33</v>
      </c>
      <c r="AN483" s="621"/>
      <c r="AO483" s="621"/>
      <c r="AP483" s="621"/>
      <c r="AQ483" s="622">
        <f t="shared" si="135"/>
        <v>10</v>
      </c>
      <c r="AR483" s="615">
        <f t="shared" si="144"/>
        <v>29.2</v>
      </c>
      <c r="AS483" s="620">
        <v>14</v>
      </c>
      <c r="AT483" s="620"/>
      <c r="AU483" s="620">
        <v>9</v>
      </c>
      <c r="AV483" s="623">
        <f t="shared" si="136"/>
        <v>23</v>
      </c>
      <c r="AW483" s="621">
        <v>4.24</v>
      </c>
      <c r="AX483" s="621">
        <v>3.24</v>
      </c>
      <c r="AY483" s="621">
        <v>90</v>
      </c>
      <c r="AZ483" s="624">
        <f t="shared" si="137"/>
        <v>-6.1999999999999993</v>
      </c>
      <c r="BA483" s="623">
        <v>29.2</v>
      </c>
      <c r="BB483" s="620">
        <v>13.8</v>
      </c>
      <c r="BC483" s="620">
        <v>13</v>
      </c>
      <c r="BD483" s="623">
        <f t="shared" si="138"/>
        <v>26.8</v>
      </c>
      <c r="BE483" s="621"/>
      <c r="BF483" s="621"/>
      <c r="BG483" s="621"/>
      <c r="BH483" s="621">
        <f t="shared" si="139"/>
        <v>2.3999999999999986</v>
      </c>
    </row>
    <row r="484" spans="1:60" ht="17.25" thickTop="1" thickBot="1" x14ac:dyDescent="0.3">
      <c r="A484" s="602">
        <v>477</v>
      </c>
      <c r="B484" s="603">
        <f t="shared" ca="1" si="127"/>
        <v>43134</v>
      </c>
      <c r="C484" s="29" t="s">
        <v>615</v>
      </c>
      <c r="D484" s="59" t="s">
        <v>2658</v>
      </c>
      <c r="E484" s="22" t="s">
        <v>148</v>
      </c>
      <c r="F484" s="295" t="s">
        <v>887</v>
      </c>
      <c r="G484" s="567">
        <v>42630</v>
      </c>
      <c r="H484" s="609">
        <f t="shared" si="140"/>
        <v>17</v>
      </c>
      <c r="I484" s="620">
        <v>10</v>
      </c>
      <c r="J484" s="620">
        <v>10</v>
      </c>
      <c r="K484" s="620">
        <v>8</v>
      </c>
      <c r="L484" s="611">
        <f t="shared" si="128"/>
        <v>28</v>
      </c>
      <c r="M484" s="621"/>
      <c r="N484" s="621"/>
      <c r="O484" s="621"/>
      <c r="P484" s="622">
        <f t="shared" si="129"/>
        <v>11</v>
      </c>
      <c r="Q484" s="609">
        <f t="shared" si="141"/>
        <v>0</v>
      </c>
      <c r="R484" s="620">
        <v>5.5</v>
      </c>
      <c r="S484" s="620">
        <v>6</v>
      </c>
      <c r="T484" s="620">
        <v>5.5</v>
      </c>
      <c r="U484" s="611">
        <f t="shared" si="130"/>
        <v>17</v>
      </c>
      <c r="V484" s="621"/>
      <c r="W484" s="621"/>
      <c r="X484" s="621"/>
      <c r="Y484" s="622">
        <f t="shared" si="131"/>
        <v>17</v>
      </c>
      <c r="Z484" s="609">
        <f t="shared" si="142"/>
        <v>0</v>
      </c>
      <c r="AA484" s="620"/>
      <c r="AB484" s="620"/>
      <c r="AC484" s="620"/>
      <c r="AD484" s="611">
        <f t="shared" si="132"/>
        <v>0</v>
      </c>
      <c r="AE484" s="621"/>
      <c r="AF484" s="621"/>
      <c r="AG484" s="621"/>
      <c r="AH484" s="622">
        <f t="shared" si="133"/>
        <v>0</v>
      </c>
      <c r="AI484" s="609">
        <f t="shared" si="143"/>
        <v>19</v>
      </c>
      <c r="AJ484" s="620"/>
      <c r="AK484" s="620"/>
      <c r="AL484" s="620"/>
      <c r="AM484" s="623">
        <f t="shared" si="134"/>
        <v>0</v>
      </c>
      <c r="AN484" s="621"/>
      <c r="AO484" s="621"/>
      <c r="AP484" s="621"/>
      <c r="AQ484" s="622">
        <f t="shared" si="135"/>
        <v>-19</v>
      </c>
      <c r="AR484" s="615">
        <f t="shared" si="144"/>
        <v>31.6</v>
      </c>
      <c r="AS484" s="620">
        <v>9.5</v>
      </c>
      <c r="AT484" s="620"/>
      <c r="AU484" s="620">
        <v>9.5</v>
      </c>
      <c r="AV484" s="623">
        <f t="shared" si="136"/>
        <v>19</v>
      </c>
      <c r="AW484" s="621">
        <v>5.0199999999999996</v>
      </c>
      <c r="AX484" s="621">
        <v>3.43</v>
      </c>
      <c r="AY484" s="621">
        <v>90</v>
      </c>
      <c r="AZ484" s="624">
        <f t="shared" si="137"/>
        <v>-12.600000000000001</v>
      </c>
      <c r="BA484" s="623">
        <v>31.6</v>
      </c>
      <c r="BB484" s="620">
        <v>16</v>
      </c>
      <c r="BC484" s="620">
        <v>12.4</v>
      </c>
      <c r="BD484" s="623">
        <f t="shared" si="138"/>
        <v>28.4</v>
      </c>
      <c r="BE484" s="621"/>
      <c r="BF484" s="621"/>
      <c r="BG484" s="621"/>
      <c r="BH484" s="621">
        <f t="shared" si="139"/>
        <v>3.2000000000000028</v>
      </c>
    </row>
    <row r="485" spans="1:60" ht="17.25" thickTop="1" thickBot="1" x14ac:dyDescent="0.3">
      <c r="A485" s="77">
        <v>478</v>
      </c>
      <c r="B485" s="603">
        <f t="shared" ca="1" si="127"/>
        <v>43134</v>
      </c>
      <c r="C485" s="29" t="s">
        <v>615</v>
      </c>
      <c r="D485" s="59" t="s">
        <v>2658</v>
      </c>
      <c r="E485" s="22" t="s">
        <v>91</v>
      </c>
      <c r="F485" s="295" t="s">
        <v>291</v>
      </c>
      <c r="G485" s="567">
        <v>42737</v>
      </c>
      <c r="H485" s="609">
        <f t="shared" si="140"/>
        <v>19</v>
      </c>
      <c r="I485" s="620">
        <v>9.6</v>
      </c>
      <c r="J485" s="620"/>
      <c r="K485" s="620">
        <v>8</v>
      </c>
      <c r="L485" s="611">
        <f t="shared" si="128"/>
        <v>17.600000000000001</v>
      </c>
      <c r="M485" s="621"/>
      <c r="N485" s="621"/>
      <c r="O485" s="621"/>
      <c r="P485" s="622">
        <f t="shared" si="129"/>
        <v>-1.3999999999999986</v>
      </c>
      <c r="Q485" s="609">
        <f t="shared" si="141"/>
        <v>18.600000000000001</v>
      </c>
      <c r="R485" s="620">
        <v>7</v>
      </c>
      <c r="S485" s="620">
        <v>7</v>
      </c>
      <c r="T485" s="620">
        <v>5</v>
      </c>
      <c r="U485" s="611">
        <f t="shared" si="130"/>
        <v>19</v>
      </c>
      <c r="V485" s="621"/>
      <c r="W485" s="621"/>
      <c r="X485" s="621"/>
      <c r="Y485" s="622">
        <f t="shared" si="131"/>
        <v>0.39999999999999858</v>
      </c>
      <c r="Z485" s="609">
        <f t="shared" si="142"/>
        <v>18.600000000000001</v>
      </c>
      <c r="AA485" s="620">
        <v>12.5</v>
      </c>
      <c r="AB485" s="620"/>
      <c r="AC485" s="620">
        <v>18</v>
      </c>
      <c r="AD485" s="611">
        <f t="shared" si="132"/>
        <v>30.5</v>
      </c>
      <c r="AE485" s="621"/>
      <c r="AF485" s="621"/>
      <c r="AG485" s="621"/>
      <c r="AH485" s="622">
        <f t="shared" si="133"/>
        <v>11.899999999999999</v>
      </c>
      <c r="AI485" s="609">
        <f t="shared" si="143"/>
        <v>21.4</v>
      </c>
      <c r="AJ485" s="620">
        <v>5.2</v>
      </c>
      <c r="AK485" s="620"/>
      <c r="AL485" s="620">
        <v>13.4</v>
      </c>
      <c r="AM485" s="623">
        <f t="shared" si="134"/>
        <v>18.600000000000001</v>
      </c>
      <c r="AN485" s="621"/>
      <c r="AO485" s="621"/>
      <c r="AP485" s="621"/>
      <c r="AQ485" s="622">
        <f t="shared" si="135"/>
        <v>-2.7999999999999972</v>
      </c>
      <c r="AR485" s="615">
        <f t="shared" si="144"/>
        <v>27.8</v>
      </c>
      <c r="AS485" s="620">
        <v>11</v>
      </c>
      <c r="AT485" s="620"/>
      <c r="AU485" s="620">
        <v>10.4</v>
      </c>
      <c r="AV485" s="623">
        <f t="shared" si="136"/>
        <v>21.4</v>
      </c>
      <c r="AW485" s="621">
        <v>6.12</v>
      </c>
      <c r="AX485" s="621">
        <v>3.73</v>
      </c>
      <c r="AY485" s="621">
        <v>90</v>
      </c>
      <c r="AZ485" s="624">
        <f t="shared" si="137"/>
        <v>-6.4000000000000021</v>
      </c>
      <c r="BA485" s="623">
        <v>27.8</v>
      </c>
      <c r="BB485" s="620">
        <v>22</v>
      </c>
      <c r="BC485" s="620">
        <v>14</v>
      </c>
      <c r="BD485" s="623">
        <f t="shared" si="138"/>
        <v>36</v>
      </c>
      <c r="BE485" s="621"/>
      <c r="BF485" s="621"/>
      <c r="BG485" s="621"/>
      <c r="BH485" s="621">
        <f t="shared" si="139"/>
        <v>-8.1999999999999993</v>
      </c>
    </row>
    <row r="486" spans="1:60" ht="17.25" thickTop="1" thickBot="1" x14ac:dyDescent="0.3">
      <c r="A486" s="602">
        <v>479</v>
      </c>
      <c r="B486" s="603">
        <f t="shared" ca="1" si="127"/>
        <v>43134</v>
      </c>
      <c r="C486" s="29" t="s">
        <v>615</v>
      </c>
      <c r="D486" s="59" t="s">
        <v>2658</v>
      </c>
      <c r="E486" s="22" t="s">
        <v>241</v>
      </c>
      <c r="F486" s="295" t="s">
        <v>242</v>
      </c>
      <c r="G486" s="567">
        <v>42732</v>
      </c>
      <c r="H486" s="609">
        <f t="shared" si="140"/>
        <v>25.2</v>
      </c>
      <c r="I486" s="620">
        <v>9</v>
      </c>
      <c r="J486" s="620"/>
      <c r="K486" s="620">
        <v>9</v>
      </c>
      <c r="L486" s="611">
        <f t="shared" si="128"/>
        <v>18</v>
      </c>
      <c r="M486" s="621"/>
      <c r="N486" s="621"/>
      <c r="O486" s="621"/>
      <c r="P486" s="622">
        <f t="shared" si="129"/>
        <v>-7.1999999999999993</v>
      </c>
      <c r="Q486" s="609">
        <f t="shared" si="141"/>
        <v>20</v>
      </c>
      <c r="R486" s="620">
        <v>13.2</v>
      </c>
      <c r="S486" s="620"/>
      <c r="T486" s="620">
        <v>12</v>
      </c>
      <c r="U486" s="611">
        <f t="shared" si="130"/>
        <v>25.2</v>
      </c>
      <c r="V486" s="621"/>
      <c r="W486" s="621"/>
      <c r="X486" s="621"/>
      <c r="Y486" s="622">
        <f t="shared" si="131"/>
        <v>5.1999999999999993</v>
      </c>
      <c r="Z486" s="609">
        <f t="shared" si="142"/>
        <v>20</v>
      </c>
      <c r="AA486" s="620">
        <v>11.8</v>
      </c>
      <c r="AB486" s="620"/>
      <c r="AC486" s="620">
        <v>15</v>
      </c>
      <c r="AD486" s="611">
        <f t="shared" si="132"/>
        <v>26.8</v>
      </c>
      <c r="AE486" s="621"/>
      <c r="AF486" s="621"/>
      <c r="AG486" s="621"/>
      <c r="AH486" s="622">
        <f t="shared" si="133"/>
        <v>6.8000000000000007</v>
      </c>
      <c r="AI486" s="609">
        <f t="shared" si="143"/>
        <v>26.5</v>
      </c>
      <c r="AJ486" s="620">
        <v>6.3</v>
      </c>
      <c r="AK486" s="620">
        <v>6.2</v>
      </c>
      <c r="AL486" s="620">
        <v>7.5</v>
      </c>
      <c r="AM486" s="623">
        <f t="shared" si="134"/>
        <v>20</v>
      </c>
      <c r="AN486" s="621"/>
      <c r="AO486" s="621"/>
      <c r="AP486" s="621"/>
      <c r="AQ486" s="622">
        <f t="shared" si="135"/>
        <v>-6.5</v>
      </c>
      <c r="AR486" s="615">
        <f t="shared" si="144"/>
        <v>15</v>
      </c>
      <c r="AS486" s="620">
        <v>16</v>
      </c>
      <c r="AT486" s="620"/>
      <c r="AU486" s="620">
        <v>10.5</v>
      </c>
      <c r="AV486" s="623">
        <f t="shared" si="136"/>
        <v>26.5</v>
      </c>
      <c r="AW486" s="621">
        <v>4.8600000000000003</v>
      </c>
      <c r="AX486" s="621">
        <v>3.49</v>
      </c>
      <c r="AY486" s="621">
        <v>90</v>
      </c>
      <c r="AZ486" s="624">
        <f t="shared" si="137"/>
        <v>11.5</v>
      </c>
      <c r="BA486" s="623">
        <v>15</v>
      </c>
      <c r="BB486" s="620">
        <v>12.8</v>
      </c>
      <c r="BC486" s="620">
        <v>17.8</v>
      </c>
      <c r="BD486" s="623">
        <f t="shared" si="138"/>
        <v>30.6</v>
      </c>
      <c r="BE486" s="621"/>
      <c r="BF486" s="621"/>
      <c r="BG486" s="621"/>
      <c r="BH486" s="621">
        <f t="shared" si="139"/>
        <v>-15.600000000000001</v>
      </c>
    </row>
    <row r="487" spans="1:60" ht="17.25" thickTop="1" thickBot="1" x14ac:dyDescent="0.3">
      <c r="A487" s="77">
        <v>480</v>
      </c>
      <c r="B487" s="603">
        <f t="shared" ca="1" si="127"/>
        <v>43134</v>
      </c>
      <c r="C487" s="29" t="s">
        <v>615</v>
      </c>
      <c r="D487" s="59" t="s">
        <v>2658</v>
      </c>
      <c r="E487" s="22" t="s">
        <v>1421</v>
      </c>
      <c r="F487" s="295" t="s">
        <v>1422</v>
      </c>
      <c r="G487" s="567">
        <v>42829</v>
      </c>
      <c r="H487" s="609">
        <f t="shared" si="140"/>
        <v>22</v>
      </c>
      <c r="I487" s="620">
        <v>10</v>
      </c>
      <c r="J487" s="620"/>
      <c r="K487" s="620">
        <v>8</v>
      </c>
      <c r="L487" s="611">
        <f t="shared" si="128"/>
        <v>18</v>
      </c>
      <c r="M487" s="621"/>
      <c r="N487" s="621"/>
      <c r="O487" s="621"/>
      <c r="P487" s="622">
        <f t="shared" si="129"/>
        <v>-4</v>
      </c>
      <c r="Q487" s="609">
        <f t="shared" si="141"/>
        <v>22.6</v>
      </c>
      <c r="R487" s="620">
        <v>13</v>
      </c>
      <c r="S487" s="620"/>
      <c r="T487" s="620">
        <v>9</v>
      </c>
      <c r="U487" s="611">
        <f t="shared" si="130"/>
        <v>22</v>
      </c>
      <c r="V487" s="621"/>
      <c r="W487" s="621"/>
      <c r="X487" s="621"/>
      <c r="Y487" s="622">
        <f t="shared" si="131"/>
        <v>-0.60000000000000142</v>
      </c>
      <c r="Z487" s="609">
        <f t="shared" si="142"/>
        <v>22.6</v>
      </c>
      <c r="AA487" s="620">
        <v>7.4</v>
      </c>
      <c r="AB487" s="620">
        <v>7.3</v>
      </c>
      <c r="AC487" s="620">
        <v>6.5</v>
      </c>
      <c r="AD487" s="611">
        <f t="shared" si="132"/>
        <v>21.2</v>
      </c>
      <c r="AE487" s="621"/>
      <c r="AF487" s="621"/>
      <c r="AG487" s="621"/>
      <c r="AH487" s="622">
        <f t="shared" si="133"/>
        <v>-1.4000000000000021</v>
      </c>
      <c r="AI487" s="609">
        <f t="shared" si="143"/>
        <v>28.5</v>
      </c>
      <c r="AJ487" s="620">
        <v>7.8</v>
      </c>
      <c r="AK487" s="620">
        <v>6.8</v>
      </c>
      <c r="AL487" s="620">
        <v>8</v>
      </c>
      <c r="AM487" s="623">
        <f t="shared" si="134"/>
        <v>22.6</v>
      </c>
      <c r="AN487" s="621"/>
      <c r="AO487" s="621"/>
      <c r="AP487" s="621"/>
      <c r="AQ487" s="622">
        <f t="shared" si="135"/>
        <v>-5.8999999999999986</v>
      </c>
      <c r="AR487" s="615">
        <f t="shared" si="144"/>
        <v>28.3</v>
      </c>
      <c r="AS487" s="620">
        <v>17</v>
      </c>
      <c r="AT487" s="620"/>
      <c r="AU487" s="620">
        <v>11.5</v>
      </c>
      <c r="AV487" s="623">
        <f t="shared" si="136"/>
        <v>28.5</v>
      </c>
      <c r="AW487" s="621">
        <v>2.97</v>
      </c>
      <c r="AX487" s="621">
        <v>3.11</v>
      </c>
      <c r="AY487" s="621">
        <v>90</v>
      </c>
      <c r="AZ487" s="624">
        <f t="shared" si="137"/>
        <v>0.19999999999999929</v>
      </c>
      <c r="BA487" s="623">
        <v>28.3</v>
      </c>
      <c r="BB487" s="620">
        <v>17</v>
      </c>
      <c r="BC487" s="620">
        <v>15.6</v>
      </c>
      <c r="BD487" s="623">
        <f t="shared" si="138"/>
        <v>32.6</v>
      </c>
      <c r="BE487" s="621"/>
      <c r="BF487" s="621"/>
      <c r="BG487" s="621"/>
      <c r="BH487" s="621">
        <f t="shared" si="139"/>
        <v>-4.3000000000000007</v>
      </c>
    </row>
    <row r="488" spans="1:60" ht="17.25" thickTop="1" thickBot="1" x14ac:dyDescent="0.3">
      <c r="A488" s="602">
        <v>481</v>
      </c>
      <c r="B488" s="603">
        <f t="shared" ca="1" si="127"/>
        <v>43134</v>
      </c>
      <c r="C488" s="29" t="s">
        <v>615</v>
      </c>
      <c r="D488" s="59" t="s">
        <v>2658</v>
      </c>
      <c r="E488" s="22" t="s">
        <v>279</v>
      </c>
      <c r="F488" s="295" t="s">
        <v>280</v>
      </c>
      <c r="G488" s="567">
        <v>42687</v>
      </c>
      <c r="H488" s="609">
        <f t="shared" si="140"/>
        <v>0</v>
      </c>
      <c r="I488" s="620">
        <v>9.3000000000000007</v>
      </c>
      <c r="J488" s="620">
        <v>8.1999999999999993</v>
      </c>
      <c r="K488" s="620">
        <v>10.8</v>
      </c>
      <c r="L488" s="611">
        <f t="shared" si="128"/>
        <v>28.3</v>
      </c>
      <c r="M488" s="621"/>
      <c r="N488" s="621"/>
      <c r="O488" s="621"/>
      <c r="P488" s="622">
        <f t="shared" si="129"/>
        <v>28.3</v>
      </c>
      <c r="Q488" s="609">
        <f t="shared" si="141"/>
        <v>27.4</v>
      </c>
      <c r="R488" s="620"/>
      <c r="S488" s="620"/>
      <c r="T488" s="620"/>
      <c r="U488" s="611">
        <f t="shared" si="130"/>
        <v>0</v>
      </c>
      <c r="V488" s="621"/>
      <c r="W488" s="621"/>
      <c r="X488" s="621"/>
      <c r="Y488" s="622">
        <f t="shared" si="131"/>
        <v>-27.4</v>
      </c>
      <c r="Z488" s="609">
        <f t="shared" si="142"/>
        <v>27.4</v>
      </c>
      <c r="AA488" s="620"/>
      <c r="AB488" s="620"/>
      <c r="AC488" s="620"/>
      <c r="AD488" s="611">
        <f t="shared" si="132"/>
        <v>0</v>
      </c>
      <c r="AE488" s="621"/>
      <c r="AF488" s="621"/>
      <c r="AG488" s="621"/>
      <c r="AH488" s="622">
        <f t="shared" si="133"/>
        <v>-27.4</v>
      </c>
      <c r="AI488" s="609">
        <f t="shared" si="143"/>
        <v>19.3</v>
      </c>
      <c r="AJ488" s="620">
        <v>14.4</v>
      </c>
      <c r="AK488" s="620"/>
      <c r="AL488" s="620">
        <v>13</v>
      </c>
      <c r="AM488" s="623">
        <f t="shared" si="134"/>
        <v>27.4</v>
      </c>
      <c r="AN488" s="621"/>
      <c r="AO488" s="621"/>
      <c r="AP488" s="621"/>
      <c r="AQ488" s="622">
        <f t="shared" si="135"/>
        <v>8.0999999999999979</v>
      </c>
      <c r="AR488" s="615">
        <f t="shared" si="144"/>
        <v>29</v>
      </c>
      <c r="AS488" s="620">
        <v>11</v>
      </c>
      <c r="AT488" s="620"/>
      <c r="AU488" s="620">
        <v>8.3000000000000007</v>
      </c>
      <c r="AV488" s="623">
        <f t="shared" si="136"/>
        <v>19.3</v>
      </c>
      <c r="AW488" s="621">
        <v>4.2</v>
      </c>
      <c r="AX488" s="621">
        <v>3.27</v>
      </c>
      <c r="AY488" s="621">
        <v>90</v>
      </c>
      <c r="AZ488" s="624">
        <f t="shared" si="137"/>
        <v>-9.6999999999999993</v>
      </c>
      <c r="BA488" s="623">
        <v>29</v>
      </c>
      <c r="BB488" s="620">
        <v>15</v>
      </c>
      <c r="BC488" s="620">
        <v>14</v>
      </c>
      <c r="BD488" s="623">
        <f t="shared" si="138"/>
        <v>29</v>
      </c>
      <c r="BE488" s="621"/>
      <c r="BF488" s="621"/>
      <c r="BG488" s="621"/>
      <c r="BH488" s="621">
        <f t="shared" si="139"/>
        <v>0</v>
      </c>
    </row>
    <row r="489" spans="1:60" ht="17.25" thickTop="1" thickBot="1" x14ac:dyDescent="0.3">
      <c r="A489" s="77">
        <v>482</v>
      </c>
      <c r="B489" s="603">
        <f t="shared" ca="1" si="127"/>
        <v>43134</v>
      </c>
      <c r="C489" s="29" t="s">
        <v>615</v>
      </c>
      <c r="D489" s="59" t="s">
        <v>2658</v>
      </c>
      <c r="E489" s="22" t="s">
        <v>697</v>
      </c>
      <c r="F489" s="295" t="s">
        <v>698</v>
      </c>
      <c r="G489" s="567">
        <v>42749</v>
      </c>
      <c r="H489" s="609">
        <f t="shared" si="140"/>
        <v>15.6</v>
      </c>
      <c r="I489" s="620">
        <v>4</v>
      </c>
      <c r="J489" s="620"/>
      <c r="K489" s="620">
        <v>6</v>
      </c>
      <c r="L489" s="611">
        <f t="shared" si="128"/>
        <v>10</v>
      </c>
      <c r="M489" s="621"/>
      <c r="N489" s="621"/>
      <c r="O489" s="621"/>
      <c r="P489" s="622">
        <f t="shared" si="129"/>
        <v>-5.6</v>
      </c>
      <c r="Q489" s="609">
        <f t="shared" si="141"/>
        <v>24</v>
      </c>
      <c r="R489" s="620">
        <v>7</v>
      </c>
      <c r="S489" s="620"/>
      <c r="T489" s="620">
        <v>8.6</v>
      </c>
      <c r="U489" s="611">
        <f t="shared" si="130"/>
        <v>15.6</v>
      </c>
      <c r="V489" s="621"/>
      <c r="W489" s="621"/>
      <c r="X489" s="621"/>
      <c r="Y489" s="622">
        <f t="shared" si="131"/>
        <v>-8.4</v>
      </c>
      <c r="Z489" s="609">
        <f t="shared" si="142"/>
        <v>24</v>
      </c>
      <c r="AA489" s="620">
        <v>10.4</v>
      </c>
      <c r="AB489" s="620"/>
      <c r="AC489" s="620">
        <v>7.2</v>
      </c>
      <c r="AD489" s="611">
        <f t="shared" si="132"/>
        <v>17.600000000000001</v>
      </c>
      <c r="AE489" s="621"/>
      <c r="AF489" s="621"/>
      <c r="AG489" s="621"/>
      <c r="AH489" s="622">
        <f t="shared" si="133"/>
        <v>-6.3999999999999986</v>
      </c>
      <c r="AI489" s="609">
        <f t="shared" si="143"/>
        <v>19</v>
      </c>
      <c r="AJ489" s="620">
        <v>9</v>
      </c>
      <c r="AK489" s="620"/>
      <c r="AL489" s="620">
        <v>15</v>
      </c>
      <c r="AM489" s="623">
        <f t="shared" si="134"/>
        <v>24</v>
      </c>
      <c r="AN489" s="621"/>
      <c r="AO489" s="621"/>
      <c r="AP489" s="621"/>
      <c r="AQ489" s="622">
        <f t="shared" si="135"/>
        <v>5</v>
      </c>
      <c r="AR489" s="615">
        <f t="shared" si="144"/>
        <v>11</v>
      </c>
      <c r="AS489" s="620">
        <v>10</v>
      </c>
      <c r="AT489" s="620"/>
      <c r="AU489" s="620">
        <v>9</v>
      </c>
      <c r="AV489" s="623">
        <f t="shared" si="136"/>
        <v>19</v>
      </c>
      <c r="AW489" s="621">
        <v>4.6500000000000004</v>
      </c>
      <c r="AX489" s="621">
        <v>2.85</v>
      </c>
      <c r="AY489" s="621">
        <v>90</v>
      </c>
      <c r="AZ489" s="624">
        <f t="shared" si="137"/>
        <v>8</v>
      </c>
      <c r="BA489" s="623">
        <v>11</v>
      </c>
      <c r="BB489" s="620">
        <v>13.8</v>
      </c>
      <c r="BC489" s="620">
        <v>16</v>
      </c>
      <c r="BD489" s="623">
        <f t="shared" si="138"/>
        <v>29.8</v>
      </c>
      <c r="BE489" s="621"/>
      <c r="BF489" s="621"/>
      <c r="BG489" s="621"/>
      <c r="BH489" s="621">
        <f t="shared" si="139"/>
        <v>-18.8</v>
      </c>
    </row>
    <row r="490" spans="1:60" ht="17.25" thickTop="1" thickBot="1" x14ac:dyDescent="0.3">
      <c r="A490" s="602">
        <v>483</v>
      </c>
      <c r="B490" s="603">
        <f t="shared" ca="1" si="127"/>
        <v>43134</v>
      </c>
      <c r="C490" s="29" t="s">
        <v>615</v>
      </c>
      <c r="D490" s="59" t="s">
        <v>2658</v>
      </c>
      <c r="E490" s="22" t="s">
        <v>631</v>
      </c>
      <c r="F490" s="295" t="s">
        <v>632</v>
      </c>
      <c r="G490" s="567">
        <v>42830</v>
      </c>
      <c r="H490" s="609">
        <f t="shared" si="140"/>
        <v>15.5</v>
      </c>
      <c r="I490" s="620">
        <v>9</v>
      </c>
      <c r="J490" s="620"/>
      <c r="K490" s="620">
        <v>10</v>
      </c>
      <c r="L490" s="611">
        <f t="shared" si="128"/>
        <v>19</v>
      </c>
      <c r="M490" s="621"/>
      <c r="N490" s="621"/>
      <c r="O490" s="621"/>
      <c r="P490" s="622">
        <f t="shared" si="129"/>
        <v>3.5</v>
      </c>
      <c r="Q490" s="609">
        <f t="shared" si="141"/>
        <v>20</v>
      </c>
      <c r="R490" s="620">
        <v>5</v>
      </c>
      <c r="S490" s="620">
        <v>6</v>
      </c>
      <c r="T490" s="620">
        <v>4.5</v>
      </c>
      <c r="U490" s="611">
        <f t="shared" si="130"/>
        <v>15.5</v>
      </c>
      <c r="V490" s="621"/>
      <c r="W490" s="621"/>
      <c r="X490" s="621"/>
      <c r="Y490" s="622">
        <f t="shared" si="131"/>
        <v>-4.5</v>
      </c>
      <c r="Z490" s="609">
        <f t="shared" si="142"/>
        <v>20</v>
      </c>
      <c r="AA490" s="620">
        <v>18</v>
      </c>
      <c r="AB490" s="620"/>
      <c r="AC490" s="620">
        <v>12</v>
      </c>
      <c r="AD490" s="611">
        <f t="shared" si="132"/>
        <v>30</v>
      </c>
      <c r="AE490" s="621"/>
      <c r="AF490" s="621"/>
      <c r="AG490" s="621"/>
      <c r="AH490" s="622">
        <f t="shared" si="133"/>
        <v>10</v>
      </c>
      <c r="AI490" s="609">
        <f t="shared" si="143"/>
        <v>24</v>
      </c>
      <c r="AJ490" s="620">
        <v>7</v>
      </c>
      <c r="AK490" s="620">
        <v>8.6</v>
      </c>
      <c r="AL490" s="620">
        <v>4.4000000000000004</v>
      </c>
      <c r="AM490" s="623">
        <f t="shared" si="134"/>
        <v>20</v>
      </c>
      <c r="AN490" s="621"/>
      <c r="AO490" s="621"/>
      <c r="AP490" s="621"/>
      <c r="AQ490" s="622">
        <f t="shared" si="135"/>
        <v>-4</v>
      </c>
      <c r="AR490" s="615">
        <f t="shared" si="144"/>
        <v>26.5</v>
      </c>
      <c r="AS490" s="620">
        <v>13</v>
      </c>
      <c r="AT490" s="620"/>
      <c r="AU490" s="620">
        <v>11</v>
      </c>
      <c r="AV490" s="623">
        <f t="shared" si="136"/>
        <v>24</v>
      </c>
      <c r="AW490" s="621">
        <v>5.19</v>
      </c>
      <c r="AX490" s="621">
        <v>3.42</v>
      </c>
      <c r="AY490" s="621">
        <v>90</v>
      </c>
      <c r="AZ490" s="624">
        <f t="shared" si="137"/>
        <v>-2.5</v>
      </c>
      <c r="BA490" s="623">
        <v>26.5</v>
      </c>
      <c r="BB490" s="620">
        <v>16.399999999999999</v>
      </c>
      <c r="BC490" s="620">
        <v>14.6</v>
      </c>
      <c r="BD490" s="623">
        <f t="shared" si="138"/>
        <v>31</v>
      </c>
      <c r="BE490" s="621"/>
      <c r="BF490" s="621"/>
      <c r="BG490" s="621"/>
      <c r="BH490" s="621">
        <f t="shared" si="139"/>
        <v>-4.5</v>
      </c>
    </row>
    <row r="491" spans="1:60" ht="17.25" thickTop="1" thickBot="1" x14ac:dyDescent="0.3">
      <c r="A491" s="77">
        <v>484</v>
      </c>
      <c r="B491" s="603">
        <f t="shared" ca="1" si="127"/>
        <v>43134</v>
      </c>
      <c r="C491" s="29" t="s">
        <v>615</v>
      </c>
      <c r="D491" s="59" t="s">
        <v>2658</v>
      </c>
      <c r="E491" s="22" t="s">
        <v>701</v>
      </c>
      <c r="F491" s="295" t="s">
        <v>702</v>
      </c>
      <c r="G491" s="567">
        <v>42718</v>
      </c>
      <c r="H491" s="609">
        <f t="shared" si="140"/>
        <v>0</v>
      </c>
      <c r="I491" s="620"/>
      <c r="J491" s="620"/>
      <c r="K491" s="620"/>
      <c r="L491" s="611">
        <f t="shared" si="128"/>
        <v>0</v>
      </c>
      <c r="M491" s="621"/>
      <c r="N491" s="621"/>
      <c r="O491" s="621"/>
      <c r="P491" s="622">
        <f t="shared" si="129"/>
        <v>0</v>
      </c>
      <c r="Q491" s="609">
        <f t="shared" si="141"/>
        <v>16.2</v>
      </c>
      <c r="R491" s="620"/>
      <c r="S491" s="620"/>
      <c r="T491" s="620"/>
      <c r="U491" s="611">
        <f t="shared" si="130"/>
        <v>0</v>
      </c>
      <c r="V491" s="621"/>
      <c r="W491" s="621"/>
      <c r="X491" s="621"/>
      <c r="Y491" s="622">
        <f t="shared" si="131"/>
        <v>-16.2</v>
      </c>
      <c r="Z491" s="609">
        <f t="shared" si="142"/>
        <v>16.2</v>
      </c>
      <c r="AA491" s="620">
        <v>5</v>
      </c>
      <c r="AB491" s="620"/>
      <c r="AC491" s="620">
        <v>5</v>
      </c>
      <c r="AD491" s="611">
        <f t="shared" si="132"/>
        <v>10</v>
      </c>
      <c r="AE491" s="621"/>
      <c r="AF491" s="621"/>
      <c r="AG491" s="621"/>
      <c r="AH491" s="622">
        <f t="shared" si="133"/>
        <v>-6.1999999999999993</v>
      </c>
      <c r="AI491" s="609">
        <f t="shared" si="143"/>
        <v>24</v>
      </c>
      <c r="AJ491" s="620">
        <v>6.2</v>
      </c>
      <c r="AK491" s="620"/>
      <c r="AL491" s="620">
        <v>10</v>
      </c>
      <c r="AM491" s="623">
        <f t="shared" si="134"/>
        <v>16.2</v>
      </c>
      <c r="AN491" s="621"/>
      <c r="AO491" s="621"/>
      <c r="AP491" s="621"/>
      <c r="AQ491" s="622">
        <f t="shared" si="135"/>
        <v>-7.8000000000000007</v>
      </c>
      <c r="AR491" s="615">
        <f t="shared" si="144"/>
        <v>33.200000000000003</v>
      </c>
      <c r="AS491" s="620">
        <v>13</v>
      </c>
      <c r="AT491" s="620"/>
      <c r="AU491" s="620">
        <v>11</v>
      </c>
      <c r="AV491" s="623">
        <f t="shared" si="136"/>
        <v>24</v>
      </c>
      <c r="AW491" s="621">
        <v>4.83</v>
      </c>
      <c r="AX491" s="621">
        <v>3.6</v>
      </c>
      <c r="AY491" s="621">
        <v>90</v>
      </c>
      <c r="AZ491" s="624">
        <f t="shared" si="137"/>
        <v>-9.2000000000000028</v>
      </c>
      <c r="BA491" s="623">
        <v>33.200000000000003</v>
      </c>
      <c r="BB491" s="620">
        <v>16</v>
      </c>
      <c r="BC491" s="620">
        <v>12.2</v>
      </c>
      <c r="BD491" s="623">
        <f t="shared" si="138"/>
        <v>28.2</v>
      </c>
      <c r="BE491" s="621"/>
      <c r="BF491" s="621"/>
      <c r="BG491" s="621"/>
      <c r="BH491" s="621">
        <f t="shared" si="139"/>
        <v>5.0000000000000036</v>
      </c>
    </row>
    <row r="492" spans="1:60" ht="17.25" thickTop="1" thickBot="1" x14ac:dyDescent="0.3">
      <c r="A492" s="602">
        <v>485</v>
      </c>
      <c r="B492" s="603">
        <f t="shared" ca="1" si="127"/>
        <v>43134</v>
      </c>
      <c r="C492" s="29" t="s">
        <v>615</v>
      </c>
      <c r="D492" s="59" t="s">
        <v>2658</v>
      </c>
      <c r="E492" s="22" t="s">
        <v>501</v>
      </c>
      <c r="F492" s="295" t="s">
        <v>502</v>
      </c>
      <c r="G492" s="567">
        <v>42809</v>
      </c>
      <c r="H492" s="609">
        <f t="shared" si="140"/>
        <v>14</v>
      </c>
      <c r="I492" s="620">
        <v>4.4000000000000004</v>
      </c>
      <c r="J492" s="620"/>
      <c r="K492" s="620">
        <v>4</v>
      </c>
      <c r="L492" s="611">
        <f t="shared" si="128"/>
        <v>8.4</v>
      </c>
      <c r="M492" s="621"/>
      <c r="N492" s="621"/>
      <c r="O492" s="621"/>
      <c r="P492" s="622">
        <f t="shared" si="129"/>
        <v>-5.6</v>
      </c>
      <c r="Q492" s="609">
        <f t="shared" si="141"/>
        <v>17.600000000000001</v>
      </c>
      <c r="R492" s="620">
        <v>9</v>
      </c>
      <c r="S492" s="620"/>
      <c r="T492" s="620">
        <v>5</v>
      </c>
      <c r="U492" s="611">
        <f t="shared" si="130"/>
        <v>14</v>
      </c>
      <c r="V492" s="621"/>
      <c r="W492" s="621"/>
      <c r="X492" s="621"/>
      <c r="Y492" s="622">
        <f t="shared" si="131"/>
        <v>-3.6000000000000014</v>
      </c>
      <c r="Z492" s="609">
        <f t="shared" si="142"/>
        <v>17.600000000000001</v>
      </c>
      <c r="AA492" s="620">
        <v>11.4</v>
      </c>
      <c r="AB492" s="620"/>
      <c r="AC492" s="620">
        <v>10</v>
      </c>
      <c r="AD492" s="611">
        <f t="shared" si="132"/>
        <v>21.4</v>
      </c>
      <c r="AE492" s="621"/>
      <c r="AF492" s="621"/>
      <c r="AG492" s="621"/>
      <c r="AH492" s="622">
        <f t="shared" si="133"/>
        <v>3.7999999999999972</v>
      </c>
      <c r="AI492" s="609">
        <f t="shared" si="143"/>
        <v>15.5</v>
      </c>
      <c r="AJ492" s="620">
        <v>6.5</v>
      </c>
      <c r="AK492" s="620">
        <v>5.5</v>
      </c>
      <c r="AL492" s="620">
        <v>5.6</v>
      </c>
      <c r="AM492" s="623">
        <f t="shared" si="134"/>
        <v>17.600000000000001</v>
      </c>
      <c r="AN492" s="621"/>
      <c r="AO492" s="621"/>
      <c r="AP492" s="621"/>
      <c r="AQ492" s="622">
        <f t="shared" si="135"/>
        <v>2.1000000000000014</v>
      </c>
      <c r="AR492" s="615">
        <f t="shared" si="144"/>
        <v>27.5</v>
      </c>
      <c r="AS492" s="620">
        <v>7.5</v>
      </c>
      <c r="AT492" s="620"/>
      <c r="AU492" s="620">
        <v>8</v>
      </c>
      <c r="AV492" s="623">
        <f t="shared" si="136"/>
        <v>15.5</v>
      </c>
      <c r="AW492" s="621">
        <v>3.52</v>
      </c>
      <c r="AX492" s="621">
        <v>2.87</v>
      </c>
      <c r="AY492" s="621">
        <v>90</v>
      </c>
      <c r="AZ492" s="624">
        <f t="shared" si="137"/>
        <v>-12</v>
      </c>
      <c r="BA492" s="623">
        <v>27.5</v>
      </c>
      <c r="BB492" s="620">
        <v>12</v>
      </c>
      <c r="BC492" s="620">
        <v>11.2</v>
      </c>
      <c r="BD492" s="623">
        <f t="shared" si="138"/>
        <v>23.2</v>
      </c>
      <c r="BE492" s="621"/>
      <c r="BF492" s="621"/>
      <c r="BG492" s="621"/>
      <c r="BH492" s="621">
        <f t="shared" si="139"/>
        <v>4.3000000000000007</v>
      </c>
    </row>
    <row r="493" spans="1:60" ht="17.25" thickTop="1" thickBot="1" x14ac:dyDescent="0.3">
      <c r="A493" s="77">
        <v>486</v>
      </c>
      <c r="B493" s="603">
        <f t="shared" ca="1" si="127"/>
        <v>43134</v>
      </c>
      <c r="C493" s="29" t="s">
        <v>615</v>
      </c>
      <c r="D493" s="59" t="s">
        <v>2658</v>
      </c>
      <c r="E493" s="22" t="s">
        <v>1436</v>
      </c>
      <c r="F493" s="295" t="s">
        <v>1243</v>
      </c>
      <c r="G493" s="567">
        <v>42818</v>
      </c>
      <c r="H493" s="609">
        <f t="shared" si="140"/>
        <v>20.6</v>
      </c>
      <c r="I493" s="620">
        <v>8</v>
      </c>
      <c r="J493" s="620"/>
      <c r="K493" s="620">
        <v>9</v>
      </c>
      <c r="L493" s="611">
        <f t="shared" si="128"/>
        <v>17</v>
      </c>
      <c r="M493" s="621"/>
      <c r="N493" s="621"/>
      <c r="O493" s="621"/>
      <c r="P493" s="622">
        <f t="shared" si="129"/>
        <v>-3.6000000000000014</v>
      </c>
      <c r="Q493" s="609">
        <f t="shared" si="141"/>
        <v>25.2</v>
      </c>
      <c r="R493" s="620">
        <v>8.6</v>
      </c>
      <c r="S493" s="620"/>
      <c r="T493" s="620">
        <v>12</v>
      </c>
      <c r="U493" s="611">
        <f t="shared" si="130"/>
        <v>20.6</v>
      </c>
      <c r="V493" s="621"/>
      <c r="W493" s="621"/>
      <c r="X493" s="621"/>
      <c r="Y493" s="622">
        <f t="shared" si="131"/>
        <v>-4.5999999999999979</v>
      </c>
      <c r="Z493" s="609">
        <f t="shared" si="142"/>
        <v>25.2</v>
      </c>
      <c r="AA493" s="620">
        <v>12.5</v>
      </c>
      <c r="AB493" s="620">
        <v>6.5</v>
      </c>
      <c r="AC493" s="620">
        <v>5.5</v>
      </c>
      <c r="AD493" s="611">
        <f t="shared" si="132"/>
        <v>24.5</v>
      </c>
      <c r="AE493" s="621"/>
      <c r="AF493" s="621"/>
      <c r="AG493" s="621"/>
      <c r="AH493" s="622">
        <f t="shared" si="133"/>
        <v>-0.69999999999999929</v>
      </c>
      <c r="AI493" s="609">
        <f t="shared" si="143"/>
        <v>24.8</v>
      </c>
      <c r="AJ493" s="620">
        <v>11</v>
      </c>
      <c r="AK493" s="620">
        <v>9</v>
      </c>
      <c r="AL493" s="620">
        <v>5.2</v>
      </c>
      <c r="AM493" s="623">
        <f t="shared" si="134"/>
        <v>25.2</v>
      </c>
      <c r="AN493" s="621"/>
      <c r="AO493" s="621"/>
      <c r="AP493" s="621"/>
      <c r="AQ493" s="622">
        <f t="shared" si="135"/>
        <v>0.39999999999999858</v>
      </c>
      <c r="AR493" s="615">
        <f t="shared" si="144"/>
        <v>40</v>
      </c>
      <c r="AS493" s="620">
        <v>12.8</v>
      </c>
      <c r="AT493" s="620"/>
      <c r="AU493" s="620">
        <v>12</v>
      </c>
      <c r="AV493" s="623">
        <f t="shared" si="136"/>
        <v>24.8</v>
      </c>
      <c r="AW493" s="621">
        <v>4.21</v>
      </c>
      <c r="AX493" s="621">
        <v>3.16</v>
      </c>
      <c r="AY493" s="621">
        <v>90</v>
      </c>
      <c r="AZ493" s="624">
        <f t="shared" si="137"/>
        <v>-15.2</v>
      </c>
      <c r="BA493" s="623">
        <v>40</v>
      </c>
      <c r="BB493" s="620">
        <v>18</v>
      </c>
      <c r="BC493" s="620">
        <v>19.2</v>
      </c>
      <c r="BD493" s="623">
        <f t="shared" si="138"/>
        <v>37.200000000000003</v>
      </c>
      <c r="BE493" s="621"/>
      <c r="BF493" s="621"/>
      <c r="BG493" s="621"/>
      <c r="BH493" s="621">
        <f t="shared" si="139"/>
        <v>2.7999999999999972</v>
      </c>
    </row>
    <row r="494" spans="1:60" ht="17.25" thickTop="1" thickBot="1" x14ac:dyDescent="0.3">
      <c r="A494" s="602">
        <v>487</v>
      </c>
      <c r="B494" s="603">
        <f t="shared" ca="1" si="127"/>
        <v>43134</v>
      </c>
      <c r="C494" s="29" t="s">
        <v>615</v>
      </c>
      <c r="D494" s="59" t="s">
        <v>2658</v>
      </c>
      <c r="E494" s="22" t="s">
        <v>941</v>
      </c>
      <c r="F494" s="295" t="s">
        <v>942</v>
      </c>
      <c r="G494" s="567">
        <v>42831</v>
      </c>
      <c r="H494" s="609">
        <f t="shared" si="140"/>
        <v>27.8</v>
      </c>
      <c r="I494" s="620">
        <v>8.6</v>
      </c>
      <c r="J494" s="620"/>
      <c r="K494" s="620">
        <v>7</v>
      </c>
      <c r="L494" s="611">
        <f t="shared" si="128"/>
        <v>15.6</v>
      </c>
      <c r="M494" s="621"/>
      <c r="N494" s="621"/>
      <c r="O494" s="621"/>
      <c r="P494" s="622">
        <f t="shared" si="129"/>
        <v>-12.200000000000001</v>
      </c>
      <c r="Q494" s="609">
        <f t="shared" si="141"/>
        <v>22</v>
      </c>
      <c r="R494" s="620">
        <v>13.8</v>
      </c>
      <c r="S494" s="620"/>
      <c r="T494" s="620">
        <v>14</v>
      </c>
      <c r="U494" s="611">
        <f t="shared" si="130"/>
        <v>27.8</v>
      </c>
      <c r="V494" s="621"/>
      <c r="W494" s="621"/>
      <c r="X494" s="621"/>
      <c r="Y494" s="622">
        <f t="shared" si="131"/>
        <v>5.8000000000000007</v>
      </c>
      <c r="Z494" s="609">
        <f t="shared" si="142"/>
        <v>22</v>
      </c>
      <c r="AA494" s="620">
        <v>8</v>
      </c>
      <c r="AB494" s="620"/>
      <c r="AC494" s="620">
        <v>13</v>
      </c>
      <c r="AD494" s="611">
        <f t="shared" si="132"/>
        <v>21</v>
      </c>
      <c r="AE494" s="621"/>
      <c r="AF494" s="621"/>
      <c r="AG494" s="621"/>
      <c r="AH494" s="622">
        <f t="shared" si="133"/>
        <v>-1</v>
      </c>
      <c r="AI494" s="609">
        <f t="shared" si="143"/>
        <v>25.5</v>
      </c>
      <c r="AJ494" s="620">
        <v>8</v>
      </c>
      <c r="AK494" s="620">
        <v>7</v>
      </c>
      <c r="AL494" s="620">
        <v>7</v>
      </c>
      <c r="AM494" s="623">
        <f t="shared" si="134"/>
        <v>22</v>
      </c>
      <c r="AN494" s="621"/>
      <c r="AO494" s="621"/>
      <c r="AP494" s="621"/>
      <c r="AQ494" s="622">
        <f t="shared" si="135"/>
        <v>-3.5</v>
      </c>
      <c r="AR494" s="615">
        <f t="shared" si="144"/>
        <v>0</v>
      </c>
      <c r="AS494" s="620">
        <v>14</v>
      </c>
      <c r="AT494" s="620"/>
      <c r="AU494" s="620">
        <v>11.5</v>
      </c>
      <c r="AV494" s="623">
        <f t="shared" si="136"/>
        <v>25.5</v>
      </c>
      <c r="AW494" s="621">
        <v>4.07</v>
      </c>
      <c r="AX494" s="621">
        <v>3.2</v>
      </c>
      <c r="AY494" s="621">
        <v>90</v>
      </c>
      <c r="AZ494" s="624">
        <f t="shared" si="137"/>
        <v>25.5</v>
      </c>
      <c r="BA494" s="623"/>
      <c r="BB494" s="620">
        <v>18</v>
      </c>
      <c r="BC494" s="620">
        <v>16</v>
      </c>
      <c r="BD494" s="623">
        <f t="shared" si="138"/>
        <v>34</v>
      </c>
      <c r="BE494" s="621"/>
      <c r="BF494" s="621"/>
      <c r="BG494" s="621"/>
      <c r="BH494" s="621">
        <f t="shared" si="139"/>
        <v>-34</v>
      </c>
    </row>
    <row r="495" spans="1:60" ht="17.25" thickTop="1" thickBot="1" x14ac:dyDescent="0.3">
      <c r="A495" s="77">
        <v>488</v>
      </c>
      <c r="B495" s="603">
        <f t="shared" ca="1" si="127"/>
        <v>43134</v>
      </c>
      <c r="C495" s="29" t="s">
        <v>615</v>
      </c>
      <c r="D495" s="59" t="s">
        <v>2658</v>
      </c>
      <c r="E495" s="22" t="s">
        <v>932</v>
      </c>
      <c r="F495" s="295" t="s">
        <v>933</v>
      </c>
      <c r="G495" s="567">
        <v>42842</v>
      </c>
      <c r="H495" s="609">
        <f t="shared" si="140"/>
        <v>27.6</v>
      </c>
      <c r="I495" s="620">
        <v>11.6</v>
      </c>
      <c r="J495" s="620"/>
      <c r="K495" s="620">
        <v>6</v>
      </c>
      <c r="L495" s="611">
        <f t="shared" si="128"/>
        <v>17.600000000000001</v>
      </c>
      <c r="M495" s="621"/>
      <c r="N495" s="621"/>
      <c r="O495" s="621"/>
      <c r="P495" s="622">
        <f t="shared" si="129"/>
        <v>-10</v>
      </c>
      <c r="Q495" s="609">
        <f t="shared" si="141"/>
        <v>26.2</v>
      </c>
      <c r="R495" s="620">
        <v>14.6</v>
      </c>
      <c r="S495" s="620"/>
      <c r="T495" s="620">
        <v>13</v>
      </c>
      <c r="U495" s="611">
        <f t="shared" si="130"/>
        <v>27.6</v>
      </c>
      <c r="V495" s="621"/>
      <c r="W495" s="621"/>
      <c r="X495" s="621"/>
      <c r="Y495" s="622">
        <f t="shared" si="131"/>
        <v>1.4000000000000021</v>
      </c>
      <c r="Z495" s="609">
        <f t="shared" si="142"/>
        <v>26.2</v>
      </c>
      <c r="AA495" s="620">
        <v>9.1999999999999993</v>
      </c>
      <c r="AB495" s="620">
        <v>8</v>
      </c>
      <c r="AC495" s="620">
        <v>6.2</v>
      </c>
      <c r="AD495" s="611">
        <f t="shared" si="132"/>
        <v>23.4</v>
      </c>
      <c r="AE495" s="621"/>
      <c r="AF495" s="621"/>
      <c r="AG495" s="621"/>
      <c r="AH495" s="622">
        <f t="shared" si="133"/>
        <v>-2.8000000000000007</v>
      </c>
      <c r="AI495" s="609">
        <f t="shared" si="143"/>
        <v>19.2</v>
      </c>
      <c r="AJ495" s="620">
        <v>10</v>
      </c>
      <c r="AK495" s="620">
        <v>8.1999999999999993</v>
      </c>
      <c r="AL495" s="620">
        <v>8</v>
      </c>
      <c r="AM495" s="623">
        <f t="shared" si="134"/>
        <v>26.2</v>
      </c>
      <c r="AN495" s="621"/>
      <c r="AO495" s="621"/>
      <c r="AP495" s="621"/>
      <c r="AQ495" s="622">
        <f t="shared" si="135"/>
        <v>7</v>
      </c>
      <c r="AR495" s="615">
        <f t="shared" si="144"/>
        <v>0</v>
      </c>
      <c r="AS495" s="620">
        <v>6</v>
      </c>
      <c r="AT495" s="620"/>
      <c r="AU495" s="620">
        <v>13.2</v>
      </c>
      <c r="AV495" s="623">
        <f t="shared" si="136"/>
        <v>19.2</v>
      </c>
      <c r="AW495" s="621">
        <v>5.46</v>
      </c>
      <c r="AX495" s="621">
        <v>3.07</v>
      </c>
      <c r="AY495" s="621">
        <v>90</v>
      </c>
      <c r="AZ495" s="624">
        <f t="shared" si="137"/>
        <v>19.2</v>
      </c>
      <c r="BA495" s="623"/>
      <c r="BB495" s="620">
        <v>20</v>
      </c>
      <c r="BC495" s="620">
        <v>16</v>
      </c>
      <c r="BD495" s="623">
        <f t="shared" si="138"/>
        <v>36</v>
      </c>
      <c r="BE495" s="621"/>
      <c r="BF495" s="621"/>
      <c r="BG495" s="621"/>
      <c r="BH495" s="621">
        <f t="shared" si="139"/>
        <v>-36</v>
      </c>
    </row>
    <row r="496" spans="1:60" ht="17.25" thickTop="1" thickBot="1" x14ac:dyDescent="0.3">
      <c r="A496" s="602">
        <v>489</v>
      </c>
      <c r="B496" s="603">
        <f t="shared" ca="1" si="127"/>
        <v>43134</v>
      </c>
      <c r="C496" s="29" t="s">
        <v>615</v>
      </c>
      <c r="D496" s="59" t="s">
        <v>2658</v>
      </c>
      <c r="E496" s="22" t="s">
        <v>431</v>
      </c>
      <c r="F496" s="295" t="s">
        <v>432</v>
      </c>
      <c r="G496" s="567">
        <v>42836</v>
      </c>
      <c r="H496" s="609">
        <f t="shared" si="140"/>
        <v>25.8</v>
      </c>
      <c r="I496" s="620">
        <v>9</v>
      </c>
      <c r="J496" s="620"/>
      <c r="K496" s="620">
        <v>7</v>
      </c>
      <c r="L496" s="611">
        <f t="shared" si="128"/>
        <v>16</v>
      </c>
      <c r="M496" s="621"/>
      <c r="N496" s="621"/>
      <c r="O496" s="621"/>
      <c r="P496" s="622">
        <f t="shared" si="129"/>
        <v>-9.8000000000000007</v>
      </c>
      <c r="Q496" s="609">
        <f t="shared" si="141"/>
        <v>26.9</v>
      </c>
      <c r="R496" s="620">
        <v>13.8</v>
      </c>
      <c r="S496" s="620"/>
      <c r="T496" s="620">
        <v>12</v>
      </c>
      <c r="U496" s="611">
        <f t="shared" si="130"/>
        <v>25.8</v>
      </c>
      <c r="V496" s="621"/>
      <c r="W496" s="621"/>
      <c r="X496" s="621"/>
      <c r="Y496" s="622">
        <f t="shared" si="131"/>
        <v>-1.0999999999999979</v>
      </c>
      <c r="Z496" s="609">
        <f t="shared" si="142"/>
        <v>26.9</v>
      </c>
      <c r="AA496" s="620">
        <v>9.5</v>
      </c>
      <c r="AB496" s="620">
        <v>8</v>
      </c>
      <c r="AC496" s="620">
        <v>4.7</v>
      </c>
      <c r="AD496" s="611">
        <f t="shared" si="132"/>
        <v>22.2</v>
      </c>
      <c r="AE496" s="621"/>
      <c r="AF496" s="621"/>
      <c r="AG496" s="621"/>
      <c r="AH496" s="622">
        <f t="shared" si="133"/>
        <v>-4.6999999999999993</v>
      </c>
      <c r="AI496" s="609">
        <f t="shared" si="143"/>
        <v>23.5</v>
      </c>
      <c r="AJ496" s="620">
        <v>11.3</v>
      </c>
      <c r="AK496" s="620">
        <v>7.2</v>
      </c>
      <c r="AL496" s="620">
        <v>8.4</v>
      </c>
      <c r="AM496" s="623">
        <f t="shared" si="134"/>
        <v>26.9</v>
      </c>
      <c r="AN496" s="621"/>
      <c r="AO496" s="621"/>
      <c r="AP496" s="621"/>
      <c r="AQ496" s="622">
        <f t="shared" si="135"/>
        <v>3.3999999999999986</v>
      </c>
      <c r="AR496" s="615">
        <f t="shared" si="144"/>
        <v>29</v>
      </c>
      <c r="AS496" s="620">
        <v>14.5</v>
      </c>
      <c r="AT496" s="620"/>
      <c r="AU496" s="620">
        <v>9</v>
      </c>
      <c r="AV496" s="623">
        <f t="shared" si="136"/>
        <v>23.5</v>
      </c>
      <c r="AW496" s="621">
        <v>5.0599999999999996</v>
      </c>
      <c r="AX496" s="621">
        <v>3.09</v>
      </c>
      <c r="AY496" s="621">
        <v>90</v>
      </c>
      <c r="AZ496" s="624">
        <f t="shared" si="137"/>
        <v>-5.5</v>
      </c>
      <c r="BA496" s="623">
        <v>29</v>
      </c>
      <c r="BB496" s="620">
        <v>19</v>
      </c>
      <c r="BC496" s="620">
        <v>16.8</v>
      </c>
      <c r="BD496" s="623">
        <f t="shared" si="138"/>
        <v>35.799999999999997</v>
      </c>
      <c r="BE496" s="621"/>
      <c r="BF496" s="621"/>
      <c r="BG496" s="621"/>
      <c r="BH496" s="621">
        <f t="shared" si="139"/>
        <v>-6.7999999999999972</v>
      </c>
    </row>
    <row r="497" spans="1:60" ht="17.25" thickTop="1" thickBot="1" x14ac:dyDescent="0.3">
      <c r="A497" s="77">
        <v>490</v>
      </c>
      <c r="B497" s="603">
        <f t="shared" ca="1" si="127"/>
        <v>43134</v>
      </c>
      <c r="C497" s="29" t="s">
        <v>615</v>
      </c>
      <c r="D497" s="59" t="s">
        <v>2658</v>
      </c>
      <c r="E497" s="22" t="s">
        <v>558</v>
      </c>
      <c r="F497" s="295" t="s">
        <v>559</v>
      </c>
      <c r="G497" s="567">
        <v>42824</v>
      </c>
      <c r="H497" s="609">
        <f t="shared" si="140"/>
        <v>13</v>
      </c>
      <c r="I497" s="620">
        <v>5</v>
      </c>
      <c r="J497" s="620">
        <v>4</v>
      </c>
      <c r="K497" s="620">
        <v>4</v>
      </c>
      <c r="L497" s="611">
        <f t="shared" si="128"/>
        <v>13</v>
      </c>
      <c r="M497" s="621"/>
      <c r="N497" s="621"/>
      <c r="O497" s="621"/>
      <c r="P497" s="622">
        <f t="shared" si="129"/>
        <v>0</v>
      </c>
      <c r="Q497" s="609">
        <f t="shared" si="141"/>
        <v>15.9</v>
      </c>
      <c r="R497" s="620">
        <v>8.5</v>
      </c>
      <c r="S497" s="620">
        <v>3.5</v>
      </c>
      <c r="T497" s="620">
        <v>1</v>
      </c>
      <c r="U497" s="611">
        <f t="shared" si="130"/>
        <v>13</v>
      </c>
      <c r="V497" s="621"/>
      <c r="W497" s="621"/>
      <c r="X497" s="621"/>
      <c r="Y497" s="622">
        <f t="shared" si="131"/>
        <v>-2.9000000000000004</v>
      </c>
      <c r="Z497" s="609">
        <f t="shared" si="142"/>
        <v>15.9</v>
      </c>
      <c r="AA497" s="620">
        <v>12</v>
      </c>
      <c r="AB497" s="620"/>
      <c r="AC497" s="620">
        <v>11</v>
      </c>
      <c r="AD497" s="611">
        <f t="shared" si="132"/>
        <v>23</v>
      </c>
      <c r="AE497" s="621"/>
      <c r="AF497" s="621"/>
      <c r="AG497" s="621"/>
      <c r="AH497" s="622">
        <f t="shared" si="133"/>
        <v>7.1</v>
      </c>
      <c r="AI497" s="609">
        <f t="shared" si="143"/>
        <v>19.5</v>
      </c>
      <c r="AJ497" s="620">
        <v>5.4</v>
      </c>
      <c r="AK497" s="620">
        <v>6</v>
      </c>
      <c r="AL497" s="620">
        <v>4.5</v>
      </c>
      <c r="AM497" s="623">
        <f t="shared" si="134"/>
        <v>15.9</v>
      </c>
      <c r="AN497" s="621"/>
      <c r="AO497" s="621"/>
      <c r="AP497" s="621"/>
      <c r="AQ497" s="622">
        <f t="shared" si="135"/>
        <v>-3.5999999999999996</v>
      </c>
      <c r="AR497" s="615">
        <f t="shared" si="144"/>
        <v>25</v>
      </c>
      <c r="AS497" s="620">
        <v>11</v>
      </c>
      <c r="AT497" s="620"/>
      <c r="AU497" s="620">
        <v>8.5</v>
      </c>
      <c r="AV497" s="623">
        <f t="shared" si="136"/>
        <v>19.5</v>
      </c>
      <c r="AW497" s="621">
        <v>4.13</v>
      </c>
      <c r="AX497" s="621">
        <v>3.47</v>
      </c>
      <c r="AY497" s="621">
        <v>90</v>
      </c>
      <c r="AZ497" s="624">
        <f t="shared" si="137"/>
        <v>-5.5</v>
      </c>
      <c r="BA497" s="623">
        <v>25</v>
      </c>
      <c r="BB497" s="620">
        <v>11.2</v>
      </c>
      <c r="BC497" s="620">
        <v>14</v>
      </c>
      <c r="BD497" s="623">
        <f t="shared" si="138"/>
        <v>25.2</v>
      </c>
      <c r="BE497" s="621"/>
      <c r="BF497" s="621"/>
      <c r="BG497" s="621"/>
      <c r="BH497" s="621">
        <f t="shared" si="139"/>
        <v>-0.19999999999999929</v>
      </c>
    </row>
    <row r="498" spans="1:60" ht="17.25" thickTop="1" thickBot="1" x14ac:dyDescent="0.3">
      <c r="A498" s="602">
        <v>491</v>
      </c>
      <c r="B498" s="603">
        <f t="shared" ca="1" si="127"/>
        <v>43134</v>
      </c>
      <c r="C498" s="29" t="s">
        <v>615</v>
      </c>
      <c r="D498" s="59" t="s">
        <v>2658</v>
      </c>
      <c r="E498" s="22" t="s">
        <v>646</v>
      </c>
      <c r="F498" s="295" t="s">
        <v>647</v>
      </c>
      <c r="G498" s="567">
        <v>42819</v>
      </c>
      <c r="H498" s="609">
        <f t="shared" si="140"/>
        <v>20</v>
      </c>
      <c r="I498" s="620">
        <v>9</v>
      </c>
      <c r="J498" s="620"/>
      <c r="K498" s="620">
        <v>8</v>
      </c>
      <c r="L498" s="611">
        <f t="shared" si="128"/>
        <v>17</v>
      </c>
      <c r="M498" s="621"/>
      <c r="N498" s="621"/>
      <c r="O498" s="621"/>
      <c r="P498" s="622">
        <f t="shared" si="129"/>
        <v>-3</v>
      </c>
      <c r="Q498" s="609">
        <f t="shared" si="141"/>
        <v>21.4</v>
      </c>
      <c r="R498" s="620">
        <v>11</v>
      </c>
      <c r="S498" s="620"/>
      <c r="T498" s="620">
        <v>9</v>
      </c>
      <c r="U498" s="611">
        <f t="shared" si="130"/>
        <v>20</v>
      </c>
      <c r="V498" s="621"/>
      <c r="W498" s="621"/>
      <c r="X498" s="621"/>
      <c r="Y498" s="622">
        <f t="shared" si="131"/>
        <v>-1.3999999999999986</v>
      </c>
      <c r="Z498" s="609">
        <f t="shared" si="142"/>
        <v>21.4</v>
      </c>
      <c r="AA498" s="620">
        <v>11</v>
      </c>
      <c r="AB498" s="620"/>
      <c r="AC498" s="620">
        <v>13</v>
      </c>
      <c r="AD498" s="611">
        <f t="shared" si="132"/>
        <v>24</v>
      </c>
      <c r="AE498" s="621"/>
      <c r="AF498" s="621"/>
      <c r="AG498" s="621"/>
      <c r="AH498" s="622">
        <f t="shared" si="133"/>
        <v>2.6000000000000014</v>
      </c>
      <c r="AI498" s="609">
        <f t="shared" si="143"/>
        <v>23.8</v>
      </c>
      <c r="AJ498" s="620">
        <v>6.2</v>
      </c>
      <c r="AK498" s="620">
        <v>8</v>
      </c>
      <c r="AL498" s="620">
        <v>7.2</v>
      </c>
      <c r="AM498" s="623">
        <f t="shared" si="134"/>
        <v>21.4</v>
      </c>
      <c r="AN498" s="621"/>
      <c r="AO498" s="621"/>
      <c r="AP498" s="621"/>
      <c r="AQ498" s="622">
        <f t="shared" si="135"/>
        <v>-2.4000000000000021</v>
      </c>
      <c r="AR498" s="615">
        <f t="shared" si="144"/>
        <v>34.4</v>
      </c>
      <c r="AS498" s="620">
        <v>13</v>
      </c>
      <c r="AT498" s="620"/>
      <c r="AU498" s="620">
        <v>10.8</v>
      </c>
      <c r="AV498" s="623">
        <f t="shared" si="136"/>
        <v>23.8</v>
      </c>
      <c r="AW498" s="621">
        <v>3.39</v>
      </c>
      <c r="AX498" s="621">
        <v>3.18</v>
      </c>
      <c r="AY498" s="621">
        <v>90</v>
      </c>
      <c r="AZ498" s="624">
        <f t="shared" si="137"/>
        <v>-10.599999999999998</v>
      </c>
      <c r="BA498" s="623">
        <v>34.4</v>
      </c>
      <c r="BB498" s="620">
        <v>20</v>
      </c>
      <c r="BC498" s="620">
        <v>15.1</v>
      </c>
      <c r="BD498" s="623">
        <f t="shared" si="138"/>
        <v>35.1</v>
      </c>
      <c r="BE498" s="621"/>
      <c r="BF498" s="621"/>
      <c r="BG498" s="621"/>
      <c r="BH498" s="621">
        <f t="shared" si="139"/>
        <v>-0.70000000000000284</v>
      </c>
    </row>
    <row r="499" spans="1:60" ht="17.25" thickTop="1" thickBot="1" x14ac:dyDescent="0.3">
      <c r="A499" s="77">
        <v>492</v>
      </c>
      <c r="B499" s="603">
        <f t="shared" ca="1" si="127"/>
        <v>43134</v>
      </c>
      <c r="C499" s="29" t="s">
        <v>615</v>
      </c>
      <c r="D499" s="59" t="s">
        <v>2658</v>
      </c>
      <c r="E499" s="22" t="s">
        <v>1371</v>
      </c>
      <c r="F499" s="295" t="s">
        <v>1257</v>
      </c>
      <c r="G499" s="567">
        <v>42802</v>
      </c>
      <c r="H499" s="609">
        <f t="shared" si="140"/>
        <v>22</v>
      </c>
      <c r="I499" s="620">
        <v>8</v>
      </c>
      <c r="J499" s="620"/>
      <c r="K499" s="620">
        <v>8</v>
      </c>
      <c r="L499" s="611">
        <f t="shared" si="128"/>
        <v>16</v>
      </c>
      <c r="M499" s="621"/>
      <c r="N499" s="621"/>
      <c r="O499" s="621"/>
      <c r="P499" s="622">
        <f t="shared" si="129"/>
        <v>-6</v>
      </c>
      <c r="Q499" s="609">
        <f t="shared" si="141"/>
        <v>21.5</v>
      </c>
      <c r="R499" s="620">
        <v>12</v>
      </c>
      <c r="S499" s="620"/>
      <c r="T499" s="620">
        <v>10</v>
      </c>
      <c r="U499" s="611">
        <f t="shared" si="130"/>
        <v>22</v>
      </c>
      <c r="V499" s="621"/>
      <c r="W499" s="621"/>
      <c r="X499" s="621"/>
      <c r="Y499" s="622">
        <f t="shared" si="131"/>
        <v>0.5</v>
      </c>
      <c r="Z499" s="609">
        <f t="shared" si="142"/>
        <v>21.5</v>
      </c>
      <c r="AA499" s="620">
        <v>10</v>
      </c>
      <c r="AB499" s="620"/>
      <c r="AC499" s="620">
        <v>10</v>
      </c>
      <c r="AD499" s="611">
        <f t="shared" si="132"/>
        <v>20</v>
      </c>
      <c r="AE499" s="621"/>
      <c r="AF499" s="621"/>
      <c r="AG499" s="621"/>
      <c r="AH499" s="622">
        <f t="shared" si="133"/>
        <v>-1.5</v>
      </c>
      <c r="AI499" s="609">
        <f t="shared" si="143"/>
        <v>18.8</v>
      </c>
      <c r="AJ499" s="620">
        <v>8</v>
      </c>
      <c r="AK499" s="620">
        <v>6.5</v>
      </c>
      <c r="AL499" s="620">
        <v>7</v>
      </c>
      <c r="AM499" s="623">
        <f t="shared" si="134"/>
        <v>21.5</v>
      </c>
      <c r="AN499" s="621"/>
      <c r="AO499" s="621"/>
      <c r="AP499" s="621"/>
      <c r="AQ499" s="622">
        <f t="shared" si="135"/>
        <v>2.6999999999999993</v>
      </c>
      <c r="AR499" s="615">
        <f t="shared" si="144"/>
        <v>31.2</v>
      </c>
      <c r="AS499" s="620">
        <v>10.5</v>
      </c>
      <c r="AT499" s="620"/>
      <c r="AU499" s="620">
        <v>8.3000000000000007</v>
      </c>
      <c r="AV499" s="623">
        <f t="shared" si="136"/>
        <v>18.8</v>
      </c>
      <c r="AW499" s="621">
        <v>3.97</v>
      </c>
      <c r="AX499" s="621">
        <v>3.42</v>
      </c>
      <c r="AY499" s="621">
        <v>90</v>
      </c>
      <c r="AZ499" s="624">
        <f t="shared" si="137"/>
        <v>-12.399999999999999</v>
      </c>
      <c r="BA499" s="623">
        <v>31.2</v>
      </c>
      <c r="BB499" s="620">
        <v>14</v>
      </c>
      <c r="BC499" s="620">
        <v>14</v>
      </c>
      <c r="BD499" s="623">
        <f t="shared" si="138"/>
        <v>28</v>
      </c>
      <c r="BE499" s="621"/>
      <c r="BF499" s="621"/>
      <c r="BG499" s="621"/>
      <c r="BH499" s="621">
        <f t="shared" si="139"/>
        <v>3.1999999999999993</v>
      </c>
    </row>
    <row r="500" spans="1:60" ht="17.25" thickTop="1" thickBot="1" x14ac:dyDescent="0.3">
      <c r="A500" s="602">
        <v>493</v>
      </c>
      <c r="B500" s="603">
        <f t="shared" ca="1" si="127"/>
        <v>43134</v>
      </c>
      <c r="C500" s="29" t="s">
        <v>615</v>
      </c>
      <c r="D500" s="59" t="s">
        <v>2658</v>
      </c>
      <c r="E500" s="22" t="s">
        <v>1373</v>
      </c>
      <c r="F500" s="295" t="s">
        <v>1260</v>
      </c>
      <c r="G500" s="567">
        <v>42825</v>
      </c>
      <c r="H500" s="609">
        <f t="shared" si="140"/>
        <v>23.8</v>
      </c>
      <c r="I500" s="620">
        <v>11</v>
      </c>
      <c r="J500" s="620"/>
      <c r="K500" s="620">
        <v>8.3000000000000007</v>
      </c>
      <c r="L500" s="611">
        <f t="shared" si="128"/>
        <v>19.3</v>
      </c>
      <c r="M500" s="621"/>
      <c r="N500" s="621"/>
      <c r="O500" s="621"/>
      <c r="P500" s="622">
        <f t="shared" si="129"/>
        <v>-4.5</v>
      </c>
      <c r="Q500" s="609">
        <f t="shared" si="141"/>
        <v>22.3</v>
      </c>
      <c r="R500" s="620">
        <v>14</v>
      </c>
      <c r="S500" s="620"/>
      <c r="T500" s="620">
        <v>9.8000000000000007</v>
      </c>
      <c r="U500" s="611">
        <f t="shared" si="130"/>
        <v>23.8</v>
      </c>
      <c r="V500" s="621"/>
      <c r="W500" s="621"/>
      <c r="X500" s="621"/>
      <c r="Y500" s="622">
        <f t="shared" si="131"/>
        <v>1.5</v>
      </c>
      <c r="Z500" s="609">
        <f t="shared" si="142"/>
        <v>22.3</v>
      </c>
      <c r="AA500" s="620">
        <v>9</v>
      </c>
      <c r="AB500" s="620"/>
      <c r="AC500" s="620">
        <v>10</v>
      </c>
      <c r="AD500" s="611">
        <f t="shared" si="132"/>
        <v>19</v>
      </c>
      <c r="AE500" s="621"/>
      <c r="AF500" s="621"/>
      <c r="AG500" s="621"/>
      <c r="AH500" s="622">
        <f t="shared" si="133"/>
        <v>-3.3000000000000007</v>
      </c>
      <c r="AI500" s="609">
        <f t="shared" si="143"/>
        <v>23.5</v>
      </c>
      <c r="AJ500" s="620">
        <v>8.3000000000000007</v>
      </c>
      <c r="AK500" s="620">
        <v>6.2</v>
      </c>
      <c r="AL500" s="620">
        <v>7.8</v>
      </c>
      <c r="AM500" s="623">
        <f t="shared" si="134"/>
        <v>22.3</v>
      </c>
      <c r="AN500" s="621"/>
      <c r="AO500" s="621"/>
      <c r="AP500" s="621"/>
      <c r="AQ500" s="622">
        <f t="shared" si="135"/>
        <v>-1.1999999999999993</v>
      </c>
      <c r="AR500" s="615">
        <f t="shared" si="144"/>
        <v>32</v>
      </c>
      <c r="AS500" s="620">
        <v>13</v>
      </c>
      <c r="AT500" s="620"/>
      <c r="AU500" s="620">
        <v>10.5</v>
      </c>
      <c r="AV500" s="623">
        <f t="shared" si="136"/>
        <v>23.5</v>
      </c>
      <c r="AW500" s="621">
        <v>4.99</v>
      </c>
      <c r="AX500" s="621">
        <v>3.29</v>
      </c>
      <c r="AY500" s="621">
        <v>90</v>
      </c>
      <c r="AZ500" s="624">
        <f t="shared" si="137"/>
        <v>-8.5</v>
      </c>
      <c r="BA500" s="623">
        <v>32</v>
      </c>
      <c r="BB500" s="620">
        <v>18</v>
      </c>
      <c r="BC500" s="620">
        <v>12.4</v>
      </c>
      <c r="BD500" s="623">
        <f t="shared" si="138"/>
        <v>30.4</v>
      </c>
      <c r="BE500" s="621"/>
      <c r="BF500" s="621"/>
      <c r="BG500" s="621"/>
      <c r="BH500" s="621">
        <f t="shared" si="139"/>
        <v>1.6000000000000014</v>
      </c>
    </row>
    <row r="501" spans="1:60" ht="17.25" thickTop="1" thickBot="1" x14ac:dyDescent="0.3">
      <c r="A501" s="77">
        <v>494</v>
      </c>
      <c r="B501" s="603">
        <f t="shared" ca="1" si="127"/>
        <v>43134</v>
      </c>
      <c r="C501" s="29" t="s">
        <v>615</v>
      </c>
      <c r="D501" s="59" t="s">
        <v>2658</v>
      </c>
      <c r="E501" s="22" t="s">
        <v>1374</v>
      </c>
      <c r="F501" s="295" t="s">
        <v>1261</v>
      </c>
      <c r="G501" s="567">
        <v>42829</v>
      </c>
      <c r="H501" s="609">
        <f t="shared" si="140"/>
        <v>23</v>
      </c>
      <c r="I501" s="620">
        <v>11.4</v>
      </c>
      <c r="J501" s="620"/>
      <c r="K501" s="620">
        <v>13</v>
      </c>
      <c r="L501" s="611">
        <f t="shared" si="128"/>
        <v>24.4</v>
      </c>
      <c r="M501" s="621"/>
      <c r="N501" s="621"/>
      <c r="O501" s="621"/>
      <c r="P501" s="622">
        <f t="shared" si="129"/>
        <v>1.3999999999999986</v>
      </c>
      <c r="Q501" s="609">
        <f t="shared" si="141"/>
        <v>22.1</v>
      </c>
      <c r="R501" s="620">
        <v>14</v>
      </c>
      <c r="S501" s="620"/>
      <c r="T501" s="620">
        <v>9</v>
      </c>
      <c r="U501" s="611">
        <f t="shared" si="130"/>
        <v>23</v>
      </c>
      <c r="V501" s="621"/>
      <c r="W501" s="621"/>
      <c r="X501" s="621"/>
      <c r="Y501" s="622">
        <f t="shared" si="131"/>
        <v>0.89999999999999858</v>
      </c>
      <c r="Z501" s="609">
        <f t="shared" si="142"/>
        <v>22.1</v>
      </c>
      <c r="AA501" s="620">
        <v>8</v>
      </c>
      <c r="AB501" s="620"/>
      <c r="AC501" s="620">
        <v>12</v>
      </c>
      <c r="AD501" s="611">
        <f t="shared" si="132"/>
        <v>20</v>
      </c>
      <c r="AE501" s="621"/>
      <c r="AF501" s="621"/>
      <c r="AG501" s="621"/>
      <c r="AH501" s="622">
        <f t="shared" si="133"/>
        <v>-2.1000000000000014</v>
      </c>
      <c r="AI501" s="609">
        <f t="shared" si="143"/>
        <v>26</v>
      </c>
      <c r="AJ501" s="620">
        <v>8.1999999999999993</v>
      </c>
      <c r="AK501" s="620">
        <v>7</v>
      </c>
      <c r="AL501" s="620">
        <v>6.9</v>
      </c>
      <c r="AM501" s="623">
        <f t="shared" si="134"/>
        <v>22.1</v>
      </c>
      <c r="AN501" s="621"/>
      <c r="AO501" s="621"/>
      <c r="AP501" s="621"/>
      <c r="AQ501" s="622">
        <f t="shared" si="135"/>
        <v>-3.8999999999999986</v>
      </c>
      <c r="AR501" s="615">
        <f t="shared" si="144"/>
        <v>31.5</v>
      </c>
      <c r="AS501" s="620">
        <v>14.5</v>
      </c>
      <c r="AT501" s="620"/>
      <c r="AU501" s="620">
        <v>11.5</v>
      </c>
      <c r="AV501" s="623">
        <f t="shared" si="136"/>
        <v>26</v>
      </c>
      <c r="AW501" s="621">
        <v>4.8499999999999996</v>
      </c>
      <c r="AX501" s="621">
        <v>3.02</v>
      </c>
      <c r="AY501" s="621">
        <v>90</v>
      </c>
      <c r="AZ501" s="624">
        <f t="shared" si="137"/>
        <v>-5.5</v>
      </c>
      <c r="BA501" s="623">
        <v>31.5</v>
      </c>
      <c r="BB501" s="620">
        <v>14.2</v>
      </c>
      <c r="BC501" s="620">
        <v>18</v>
      </c>
      <c r="BD501" s="623">
        <f t="shared" si="138"/>
        <v>32.200000000000003</v>
      </c>
      <c r="BE501" s="621"/>
      <c r="BF501" s="621"/>
      <c r="BG501" s="621"/>
      <c r="BH501" s="621">
        <f t="shared" si="139"/>
        <v>-0.70000000000000284</v>
      </c>
    </row>
    <row r="502" spans="1:60" ht="17.25" thickTop="1" thickBot="1" x14ac:dyDescent="0.3">
      <c r="A502" s="602">
        <v>495</v>
      </c>
      <c r="B502" s="603">
        <f t="shared" ca="1" si="127"/>
        <v>43134</v>
      </c>
      <c r="C502" s="29" t="s">
        <v>615</v>
      </c>
      <c r="D502" s="59" t="s">
        <v>2658</v>
      </c>
      <c r="E502" s="22" t="s">
        <v>1279</v>
      </c>
      <c r="F502" s="295" t="s">
        <v>1152</v>
      </c>
      <c r="G502" s="567">
        <v>42830</v>
      </c>
      <c r="H502" s="609">
        <f t="shared" si="140"/>
        <v>30</v>
      </c>
      <c r="I502" s="620">
        <v>4</v>
      </c>
      <c r="J502" s="620"/>
      <c r="K502" s="620">
        <v>9</v>
      </c>
      <c r="L502" s="611">
        <f t="shared" si="128"/>
        <v>13</v>
      </c>
      <c r="M502" s="621"/>
      <c r="N502" s="621"/>
      <c r="O502" s="621"/>
      <c r="P502" s="622">
        <f t="shared" si="129"/>
        <v>-17</v>
      </c>
      <c r="Q502" s="609">
        <f t="shared" si="141"/>
        <v>19.7</v>
      </c>
      <c r="R502" s="620">
        <v>12</v>
      </c>
      <c r="S502" s="620"/>
      <c r="T502" s="620">
        <v>18</v>
      </c>
      <c r="U502" s="611">
        <f t="shared" si="130"/>
        <v>30</v>
      </c>
      <c r="V502" s="621"/>
      <c r="W502" s="621"/>
      <c r="X502" s="621"/>
      <c r="Y502" s="622">
        <f t="shared" si="131"/>
        <v>10.3</v>
      </c>
      <c r="Z502" s="609">
        <f t="shared" si="142"/>
        <v>19.7</v>
      </c>
      <c r="AA502" s="620">
        <v>12.2</v>
      </c>
      <c r="AB502" s="620"/>
      <c r="AC502" s="620">
        <v>9.6</v>
      </c>
      <c r="AD502" s="611">
        <f t="shared" si="132"/>
        <v>21.799999999999997</v>
      </c>
      <c r="AE502" s="621"/>
      <c r="AF502" s="621"/>
      <c r="AG502" s="621"/>
      <c r="AH502" s="622">
        <f t="shared" si="133"/>
        <v>2.0999999999999979</v>
      </c>
      <c r="AI502" s="609">
        <f t="shared" si="143"/>
        <v>25</v>
      </c>
      <c r="AJ502" s="620">
        <v>6.7</v>
      </c>
      <c r="AK502" s="620">
        <v>5</v>
      </c>
      <c r="AL502" s="620">
        <v>8</v>
      </c>
      <c r="AM502" s="623">
        <f t="shared" si="134"/>
        <v>19.7</v>
      </c>
      <c r="AN502" s="621"/>
      <c r="AO502" s="621"/>
      <c r="AP502" s="621"/>
      <c r="AQ502" s="622">
        <f t="shared" si="135"/>
        <v>-5.3000000000000007</v>
      </c>
      <c r="AR502" s="615">
        <f t="shared" si="144"/>
        <v>30</v>
      </c>
      <c r="AS502" s="620">
        <v>14</v>
      </c>
      <c r="AT502" s="620"/>
      <c r="AU502" s="620">
        <v>11</v>
      </c>
      <c r="AV502" s="623">
        <f t="shared" si="136"/>
        <v>25</v>
      </c>
      <c r="AW502" s="621">
        <v>3.49</v>
      </c>
      <c r="AX502" s="621">
        <v>3.15</v>
      </c>
      <c r="AY502" s="621">
        <v>90</v>
      </c>
      <c r="AZ502" s="624">
        <f t="shared" si="137"/>
        <v>-5</v>
      </c>
      <c r="BA502" s="623">
        <v>30</v>
      </c>
      <c r="BB502" s="620">
        <v>18</v>
      </c>
      <c r="BC502" s="620">
        <v>16.8</v>
      </c>
      <c r="BD502" s="623">
        <f t="shared" si="138"/>
        <v>34.799999999999997</v>
      </c>
      <c r="BE502" s="621"/>
      <c r="BF502" s="621"/>
      <c r="BG502" s="621"/>
      <c r="BH502" s="621">
        <f t="shared" si="139"/>
        <v>-4.7999999999999972</v>
      </c>
    </row>
    <row r="503" spans="1:60" ht="17.25" thickTop="1" thickBot="1" x14ac:dyDescent="0.3">
      <c r="A503" s="77">
        <v>496</v>
      </c>
      <c r="B503" s="603">
        <f t="shared" ca="1" si="127"/>
        <v>43134</v>
      </c>
      <c r="C503" s="29" t="s">
        <v>615</v>
      </c>
      <c r="D503" s="59" t="s">
        <v>2658</v>
      </c>
      <c r="E503" s="22" t="s">
        <v>1111</v>
      </c>
      <c r="F503" s="295" t="s">
        <v>1428</v>
      </c>
      <c r="G503" s="567">
        <v>42812</v>
      </c>
      <c r="H503" s="609">
        <f t="shared" si="140"/>
        <v>17.5</v>
      </c>
      <c r="I503" s="620">
        <v>11</v>
      </c>
      <c r="J503" s="620"/>
      <c r="K503" s="620">
        <v>10</v>
      </c>
      <c r="L503" s="611">
        <f t="shared" si="128"/>
        <v>21</v>
      </c>
      <c r="M503" s="621"/>
      <c r="N503" s="621"/>
      <c r="O503" s="621"/>
      <c r="P503" s="622">
        <f t="shared" si="129"/>
        <v>3.5</v>
      </c>
      <c r="Q503" s="609">
        <f t="shared" si="141"/>
        <v>24.5</v>
      </c>
      <c r="R503" s="620">
        <v>5</v>
      </c>
      <c r="S503" s="620">
        <v>5</v>
      </c>
      <c r="T503" s="620">
        <v>7.5</v>
      </c>
      <c r="U503" s="611">
        <f t="shared" si="130"/>
        <v>17.5</v>
      </c>
      <c r="V503" s="621"/>
      <c r="W503" s="621"/>
      <c r="X503" s="621"/>
      <c r="Y503" s="622">
        <f t="shared" si="131"/>
        <v>-7</v>
      </c>
      <c r="Z503" s="609">
        <f t="shared" si="142"/>
        <v>24.5</v>
      </c>
      <c r="AA503" s="620">
        <v>6.7</v>
      </c>
      <c r="AB503" s="620">
        <v>6.4</v>
      </c>
      <c r="AC503" s="620">
        <v>6.6</v>
      </c>
      <c r="AD503" s="611">
        <f t="shared" si="132"/>
        <v>19.700000000000003</v>
      </c>
      <c r="AE503" s="621"/>
      <c r="AF503" s="621"/>
      <c r="AG503" s="621"/>
      <c r="AH503" s="622">
        <f t="shared" si="133"/>
        <v>-4.7999999999999972</v>
      </c>
      <c r="AI503" s="609">
        <f t="shared" si="143"/>
        <v>29.3</v>
      </c>
      <c r="AJ503" s="620">
        <v>8.3000000000000007</v>
      </c>
      <c r="AK503" s="620">
        <v>7</v>
      </c>
      <c r="AL503" s="620">
        <v>9.1999999999999993</v>
      </c>
      <c r="AM503" s="623">
        <f t="shared" si="134"/>
        <v>24.5</v>
      </c>
      <c r="AN503" s="621"/>
      <c r="AO503" s="621"/>
      <c r="AP503" s="621"/>
      <c r="AQ503" s="622">
        <f t="shared" si="135"/>
        <v>-4.8000000000000007</v>
      </c>
      <c r="AR503" s="615">
        <f t="shared" si="144"/>
        <v>37</v>
      </c>
      <c r="AS503" s="620">
        <v>16.5</v>
      </c>
      <c r="AT503" s="620"/>
      <c r="AU503" s="620">
        <v>12.8</v>
      </c>
      <c r="AV503" s="623">
        <f t="shared" si="136"/>
        <v>29.3</v>
      </c>
      <c r="AW503" s="621">
        <v>4.1100000000000003</v>
      </c>
      <c r="AX503" s="621">
        <v>3.52</v>
      </c>
      <c r="AY503" s="621">
        <v>90</v>
      </c>
      <c r="AZ503" s="624">
        <f t="shared" si="137"/>
        <v>-7.6999999999999993</v>
      </c>
      <c r="BA503" s="623">
        <v>37</v>
      </c>
      <c r="BB503" s="620">
        <v>14</v>
      </c>
      <c r="BC503" s="620">
        <v>17</v>
      </c>
      <c r="BD503" s="623">
        <f t="shared" si="138"/>
        <v>31</v>
      </c>
      <c r="BE503" s="621"/>
      <c r="BF503" s="621"/>
      <c r="BG503" s="621"/>
      <c r="BH503" s="621">
        <f t="shared" si="139"/>
        <v>6</v>
      </c>
    </row>
    <row r="504" spans="1:60" ht="17.25" thickTop="1" thickBot="1" x14ac:dyDescent="0.3">
      <c r="A504" s="602">
        <v>497</v>
      </c>
      <c r="B504" s="603">
        <f t="shared" ca="1" si="127"/>
        <v>43134</v>
      </c>
      <c r="C504" s="29" t="s">
        <v>615</v>
      </c>
      <c r="D504" s="59" t="s">
        <v>2658</v>
      </c>
      <c r="E504" s="22" t="s">
        <v>1289</v>
      </c>
      <c r="F504" s="295" t="s">
        <v>1165</v>
      </c>
      <c r="G504" s="567">
        <v>42846</v>
      </c>
      <c r="H504" s="609">
        <f t="shared" si="140"/>
        <v>19</v>
      </c>
      <c r="I504" s="620">
        <v>4.4000000000000004</v>
      </c>
      <c r="J504" s="620"/>
      <c r="K504" s="620">
        <v>9</v>
      </c>
      <c r="L504" s="611">
        <f t="shared" si="128"/>
        <v>13.4</v>
      </c>
      <c r="M504" s="621"/>
      <c r="N504" s="621"/>
      <c r="O504" s="621"/>
      <c r="P504" s="622">
        <f t="shared" si="129"/>
        <v>-5.6</v>
      </c>
      <c r="Q504" s="609">
        <f t="shared" si="141"/>
        <v>14</v>
      </c>
      <c r="R504" s="620">
        <v>6</v>
      </c>
      <c r="S504" s="620"/>
      <c r="T504" s="620">
        <v>13</v>
      </c>
      <c r="U504" s="611">
        <f t="shared" si="130"/>
        <v>19</v>
      </c>
      <c r="V504" s="621"/>
      <c r="W504" s="621"/>
      <c r="X504" s="621"/>
      <c r="Y504" s="622">
        <f t="shared" si="131"/>
        <v>5</v>
      </c>
      <c r="Z504" s="609">
        <f t="shared" si="142"/>
        <v>14</v>
      </c>
      <c r="AA504" s="620">
        <v>7.5</v>
      </c>
      <c r="AB504" s="620"/>
      <c r="AC504" s="620">
        <v>7</v>
      </c>
      <c r="AD504" s="611">
        <f t="shared" si="132"/>
        <v>14.5</v>
      </c>
      <c r="AE504" s="621"/>
      <c r="AF504" s="621"/>
      <c r="AG504" s="621"/>
      <c r="AH504" s="622">
        <f t="shared" si="133"/>
        <v>0.5</v>
      </c>
      <c r="AI504" s="609">
        <f t="shared" si="143"/>
        <v>12</v>
      </c>
      <c r="AJ504" s="620">
        <v>6</v>
      </c>
      <c r="AK504" s="620">
        <v>4</v>
      </c>
      <c r="AL504" s="620">
        <v>4</v>
      </c>
      <c r="AM504" s="623">
        <f t="shared" si="134"/>
        <v>14</v>
      </c>
      <c r="AN504" s="621"/>
      <c r="AO504" s="621"/>
      <c r="AP504" s="621"/>
      <c r="AQ504" s="622">
        <f t="shared" si="135"/>
        <v>2</v>
      </c>
      <c r="AR504" s="615">
        <f t="shared" si="144"/>
        <v>29.5</v>
      </c>
      <c r="AS504" s="620">
        <v>6.5</v>
      </c>
      <c r="AT504" s="620"/>
      <c r="AU504" s="620">
        <v>5.5</v>
      </c>
      <c r="AV504" s="623">
        <f t="shared" si="136"/>
        <v>12</v>
      </c>
      <c r="AW504" s="621">
        <v>4</v>
      </c>
      <c r="AX504" s="621">
        <v>3.73</v>
      </c>
      <c r="AY504" s="621">
        <v>692</v>
      </c>
      <c r="AZ504" s="624">
        <f t="shared" si="137"/>
        <v>-17.5</v>
      </c>
      <c r="BA504" s="623">
        <v>29.5</v>
      </c>
      <c r="BB504" s="620">
        <v>16</v>
      </c>
      <c r="BC504" s="620">
        <v>17</v>
      </c>
      <c r="BD504" s="623">
        <f t="shared" si="138"/>
        <v>33</v>
      </c>
      <c r="BE504" s="621"/>
      <c r="BF504" s="621"/>
      <c r="BG504" s="621"/>
      <c r="BH504" s="621">
        <f t="shared" si="139"/>
        <v>-3.5</v>
      </c>
    </row>
    <row r="505" spans="1:60" ht="17.25" thickTop="1" thickBot="1" x14ac:dyDescent="0.3">
      <c r="A505" s="77">
        <v>498</v>
      </c>
      <c r="B505" s="603">
        <f t="shared" ca="1" si="127"/>
        <v>43134</v>
      </c>
      <c r="C505" s="29" t="s">
        <v>615</v>
      </c>
      <c r="D505" s="59" t="s">
        <v>2658</v>
      </c>
      <c r="E505" s="22" t="s">
        <v>1310</v>
      </c>
      <c r="F505" s="295" t="s">
        <v>1191</v>
      </c>
      <c r="G505" s="567">
        <v>42821</v>
      </c>
      <c r="H505" s="609">
        <f t="shared" si="140"/>
        <v>18</v>
      </c>
      <c r="I505" s="620">
        <v>10</v>
      </c>
      <c r="J505" s="620"/>
      <c r="K505" s="620">
        <v>9.4</v>
      </c>
      <c r="L505" s="611">
        <f t="shared" si="128"/>
        <v>19.399999999999999</v>
      </c>
      <c r="M505" s="621"/>
      <c r="N505" s="621"/>
      <c r="O505" s="621"/>
      <c r="P505" s="622">
        <f t="shared" si="129"/>
        <v>1.3999999999999986</v>
      </c>
      <c r="Q505" s="609">
        <f t="shared" si="141"/>
        <v>20.5</v>
      </c>
      <c r="R505" s="620">
        <v>7</v>
      </c>
      <c r="S505" s="620">
        <v>5.5</v>
      </c>
      <c r="T505" s="620">
        <v>5.5</v>
      </c>
      <c r="U505" s="611">
        <f t="shared" si="130"/>
        <v>18</v>
      </c>
      <c r="V505" s="621"/>
      <c r="W505" s="621"/>
      <c r="X505" s="621"/>
      <c r="Y505" s="622">
        <f t="shared" si="131"/>
        <v>-2.5</v>
      </c>
      <c r="Z505" s="609">
        <f t="shared" si="142"/>
        <v>20.5</v>
      </c>
      <c r="AA505" s="620">
        <v>13</v>
      </c>
      <c r="AB505" s="620"/>
      <c r="AC505" s="620">
        <v>12</v>
      </c>
      <c r="AD505" s="611">
        <f t="shared" si="132"/>
        <v>25</v>
      </c>
      <c r="AE505" s="621"/>
      <c r="AF505" s="621"/>
      <c r="AG505" s="621"/>
      <c r="AH505" s="622">
        <f t="shared" si="133"/>
        <v>4.5</v>
      </c>
      <c r="AI505" s="609">
        <f t="shared" si="143"/>
        <v>24.8</v>
      </c>
      <c r="AJ505" s="620">
        <v>7</v>
      </c>
      <c r="AK505" s="620">
        <v>6.5</v>
      </c>
      <c r="AL505" s="620">
        <v>7</v>
      </c>
      <c r="AM505" s="623">
        <f t="shared" si="134"/>
        <v>20.5</v>
      </c>
      <c r="AN505" s="621"/>
      <c r="AO505" s="621"/>
      <c r="AP505" s="621"/>
      <c r="AQ505" s="622">
        <f t="shared" si="135"/>
        <v>-4.3000000000000007</v>
      </c>
      <c r="AR505" s="615">
        <f t="shared" si="144"/>
        <v>33</v>
      </c>
      <c r="AS505" s="620">
        <v>13.5</v>
      </c>
      <c r="AT505" s="620"/>
      <c r="AU505" s="620">
        <v>11.3</v>
      </c>
      <c r="AV505" s="623">
        <f t="shared" si="136"/>
        <v>24.8</v>
      </c>
      <c r="AW505" s="621">
        <v>3.68</v>
      </c>
      <c r="AX505" s="621">
        <v>3.14</v>
      </c>
      <c r="AY505" s="621">
        <v>253</v>
      </c>
      <c r="AZ505" s="624">
        <f t="shared" si="137"/>
        <v>-8.1999999999999993</v>
      </c>
      <c r="BA505" s="623">
        <v>33</v>
      </c>
      <c r="BB505" s="620">
        <v>17.399999999999999</v>
      </c>
      <c r="BC505" s="620">
        <v>17.600000000000001</v>
      </c>
      <c r="BD505" s="623">
        <f t="shared" si="138"/>
        <v>35</v>
      </c>
      <c r="BE505" s="621"/>
      <c r="BF505" s="621"/>
      <c r="BG505" s="621"/>
      <c r="BH505" s="621">
        <f t="shared" si="139"/>
        <v>-2</v>
      </c>
    </row>
    <row r="506" spans="1:60" ht="17.25" thickTop="1" thickBot="1" x14ac:dyDescent="0.3">
      <c r="A506" s="602">
        <v>499</v>
      </c>
      <c r="B506" s="603">
        <f t="shared" ca="1" si="127"/>
        <v>43134</v>
      </c>
      <c r="C506" s="29" t="s">
        <v>615</v>
      </c>
      <c r="D506" s="59" t="s">
        <v>2658</v>
      </c>
      <c r="E506" s="22" t="s">
        <v>1114</v>
      </c>
      <c r="F506" s="295" t="s">
        <v>1192</v>
      </c>
      <c r="G506" s="567">
        <v>42559</v>
      </c>
      <c r="H506" s="609">
        <f t="shared" si="140"/>
        <v>20.5</v>
      </c>
      <c r="I506" s="620">
        <v>13</v>
      </c>
      <c r="J506" s="620">
        <v>9</v>
      </c>
      <c r="K506" s="620">
        <v>10</v>
      </c>
      <c r="L506" s="611">
        <f t="shared" si="128"/>
        <v>32</v>
      </c>
      <c r="M506" s="621"/>
      <c r="N506" s="621"/>
      <c r="O506" s="621"/>
      <c r="P506" s="622">
        <f t="shared" si="129"/>
        <v>11.5</v>
      </c>
      <c r="Q506" s="609">
        <f t="shared" si="141"/>
        <v>21.3</v>
      </c>
      <c r="R506" s="620">
        <v>10</v>
      </c>
      <c r="S506" s="620">
        <v>5.5</v>
      </c>
      <c r="T506" s="620">
        <v>5</v>
      </c>
      <c r="U506" s="611">
        <f t="shared" si="130"/>
        <v>20.5</v>
      </c>
      <c r="V506" s="621"/>
      <c r="W506" s="621"/>
      <c r="X506" s="621"/>
      <c r="Y506" s="622">
        <f t="shared" si="131"/>
        <v>-0.80000000000000071</v>
      </c>
      <c r="Z506" s="609">
        <f t="shared" si="142"/>
        <v>21.3</v>
      </c>
      <c r="AA506" s="620">
        <v>12.5</v>
      </c>
      <c r="AB506" s="620">
        <v>5.8</v>
      </c>
      <c r="AC506" s="620">
        <v>5.8</v>
      </c>
      <c r="AD506" s="611">
        <f t="shared" si="132"/>
        <v>24.1</v>
      </c>
      <c r="AE506" s="621"/>
      <c r="AF506" s="621"/>
      <c r="AG506" s="621"/>
      <c r="AH506" s="622">
        <f t="shared" si="133"/>
        <v>2.8000000000000007</v>
      </c>
      <c r="AI506" s="609">
        <f t="shared" si="143"/>
        <v>24</v>
      </c>
      <c r="AJ506" s="620">
        <v>8</v>
      </c>
      <c r="AK506" s="620">
        <v>5.6</v>
      </c>
      <c r="AL506" s="620">
        <v>7.7</v>
      </c>
      <c r="AM506" s="623">
        <f t="shared" si="134"/>
        <v>21.3</v>
      </c>
      <c r="AN506" s="621"/>
      <c r="AO506" s="621"/>
      <c r="AP506" s="621"/>
      <c r="AQ506" s="622">
        <f t="shared" si="135"/>
        <v>-2.6999999999999993</v>
      </c>
      <c r="AR506" s="615">
        <f t="shared" si="144"/>
        <v>0</v>
      </c>
      <c r="AS506" s="620">
        <v>12</v>
      </c>
      <c r="AT506" s="620"/>
      <c r="AU506" s="620">
        <v>12</v>
      </c>
      <c r="AV506" s="623">
        <f t="shared" si="136"/>
        <v>24</v>
      </c>
      <c r="AW506" s="621">
        <v>5.15</v>
      </c>
      <c r="AX506" s="621">
        <v>2.8</v>
      </c>
      <c r="AY506" s="621">
        <v>90</v>
      </c>
      <c r="AZ506" s="624">
        <f t="shared" si="137"/>
        <v>24</v>
      </c>
      <c r="BA506" s="623"/>
      <c r="BB506" s="620"/>
      <c r="BC506" s="620"/>
      <c r="BD506" s="623">
        <f t="shared" si="138"/>
        <v>0</v>
      </c>
      <c r="BE506" s="621"/>
      <c r="BF506" s="621"/>
      <c r="BG506" s="621"/>
      <c r="BH506" s="621">
        <f t="shared" si="139"/>
        <v>0</v>
      </c>
    </row>
    <row r="507" spans="1:60" ht="17.25" thickTop="1" thickBot="1" x14ac:dyDescent="0.3">
      <c r="A507" s="77">
        <v>500</v>
      </c>
      <c r="B507" s="603">
        <f t="shared" ca="1" si="127"/>
        <v>43134</v>
      </c>
      <c r="C507" s="29" t="s">
        <v>615</v>
      </c>
      <c r="D507" s="59" t="s">
        <v>2658</v>
      </c>
      <c r="E507" s="22" t="s">
        <v>1058</v>
      </c>
      <c r="F507" s="295" t="s">
        <v>953</v>
      </c>
      <c r="G507" s="567">
        <v>42688</v>
      </c>
      <c r="H507" s="609">
        <f t="shared" si="140"/>
        <v>27</v>
      </c>
      <c r="I507" s="620">
        <v>10</v>
      </c>
      <c r="J507" s="620"/>
      <c r="K507" s="620">
        <v>8</v>
      </c>
      <c r="L507" s="611">
        <f t="shared" si="128"/>
        <v>18</v>
      </c>
      <c r="M507" s="621"/>
      <c r="N507" s="621"/>
      <c r="O507" s="621"/>
      <c r="P507" s="622">
        <f t="shared" si="129"/>
        <v>-9</v>
      </c>
      <c r="Q507" s="609">
        <f t="shared" si="141"/>
        <v>27.1</v>
      </c>
      <c r="R507" s="620">
        <v>14</v>
      </c>
      <c r="S507" s="620"/>
      <c r="T507" s="620">
        <v>13</v>
      </c>
      <c r="U507" s="611">
        <f t="shared" si="130"/>
        <v>27</v>
      </c>
      <c r="V507" s="621"/>
      <c r="W507" s="621"/>
      <c r="X507" s="621"/>
      <c r="Y507" s="622">
        <f t="shared" si="131"/>
        <v>-0.10000000000000142</v>
      </c>
      <c r="Z507" s="609">
        <f t="shared" si="142"/>
        <v>27.1</v>
      </c>
      <c r="AA507" s="620">
        <v>10.5</v>
      </c>
      <c r="AB507" s="620"/>
      <c r="AC507" s="620">
        <v>10</v>
      </c>
      <c r="AD507" s="611">
        <f t="shared" si="132"/>
        <v>20.5</v>
      </c>
      <c r="AE507" s="621"/>
      <c r="AF507" s="621"/>
      <c r="AG507" s="621"/>
      <c r="AH507" s="622">
        <f t="shared" si="133"/>
        <v>-6.6000000000000014</v>
      </c>
      <c r="AI507" s="609">
        <f t="shared" si="143"/>
        <v>25</v>
      </c>
      <c r="AJ507" s="620">
        <v>13.5</v>
      </c>
      <c r="AK507" s="620"/>
      <c r="AL507" s="620">
        <v>13.6</v>
      </c>
      <c r="AM507" s="623">
        <f t="shared" si="134"/>
        <v>27.1</v>
      </c>
      <c r="AN507" s="621"/>
      <c r="AO507" s="621"/>
      <c r="AP507" s="621"/>
      <c r="AQ507" s="622">
        <f t="shared" si="135"/>
        <v>2.1000000000000014</v>
      </c>
      <c r="AR507" s="615">
        <f t="shared" si="144"/>
        <v>32.200000000000003</v>
      </c>
      <c r="AS507" s="620">
        <v>15</v>
      </c>
      <c r="AT507" s="620"/>
      <c r="AU507" s="620">
        <v>10</v>
      </c>
      <c r="AV507" s="623">
        <f t="shared" si="136"/>
        <v>25</v>
      </c>
      <c r="AW507" s="621">
        <v>4.09</v>
      </c>
      <c r="AX507" s="621">
        <v>3.45</v>
      </c>
      <c r="AY507" s="621">
        <v>90</v>
      </c>
      <c r="AZ507" s="624">
        <f t="shared" si="137"/>
        <v>-7.2000000000000028</v>
      </c>
      <c r="BA507" s="623">
        <v>32.200000000000003</v>
      </c>
      <c r="BB507" s="620">
        <v>16.7</v>
      </c>
      <c r="BC507" s="620">
        <v>13.4</v>
      </c>
      <c r="BD507" s="623">
        <f t="shared" si="138"/>
        <v>30.1</v>
      </c>
      <c r="BE507" s="621"/>
      <c r="BF507" s="621"/>
      <c r="BG507" s="621"/>
      <c r="BH507" s="621">
        <f t="shared" si="139"/>
        <v>2.1000000000000014</v>
      </c>
    </row>
    <row r="508" spans="1:60" ht="17.25" thickTop="1" thickBot="1" x14ac:dyDescent="0.3">
      <c r="A508" s="602">
        <v>501</v>
      </c>
      <c r="B508" s="603">
        <f t="shared" ca="1" si="127"/>
        <v>43134</v>
      </c>
      <c r="C508" s="29" t="s">
        <v>615</v>
      </c>
      <c r="D508" s="59" t="s">
        <v>2658</v>
      </c>
      <c r="E508" s="22" t="s">
        <v>1329</v>
      </c>
      <c r="F508" s="295" t="s">
        <v>1212</v>
      </c>
      <c r="G508" s="567">
        <v>42818</v>
      </c>
      <c r="H508" s="609">
        <f t="shared" si="140"/>
        <v>16</v>
      </c>
      <c r="I508" s="620">
        <v>6</v>
      </c>
      <c r="J508" s="620"/>
      <c r="K508" s="620">
        <v>8</v>
      </c>
      <c r="L508" s="611">
        <f t="shared" si="128"/>
        <v>14</v>
      </c>
      <c r="M508" s="621"/>
      <c r="N508" s="621"/>
      <c r="O508" s="621"/>
      <c r="P508" s="622">
        <f t="shared" si="129"/>
        <v>-2</v>
      </c>
      <c r="Q508" s="609">
        <f t="shared" si="141"/>
        <v>17.399999999999999</v>
      </c>
      <c r="R508" s="620">
        <v>7.5</v>
      </c>
      <c r="S508" s="620">
        <v>4</v>
      </c>
      <c r="T508" s="620">
        <v>4.5</v>
      </c>
      <c r="U508" s="611">
        <f t="shared" si="130"/>
        <v>16</v>
      </c>
      <c r="V508" s="621"/>
      <c r="W508" s="621"/>
      <c r="X508" s="621"/>
      <c r="Y508" s="622">
        <f t="shared" si="131"/>
        <v>-1.3999999999999986</v>
      </c>
      <c r="Z508" s="609">
        <f t="shared" si="142"/>
        <v>17.399999999999999</v>
      </c>
      <c r="AA508" s="620">
        <v>15</v>
      </c>
      <c r="AB508" s="620"/>
      <c r="AC508" s="620">
        <v>8</v>
      </c>
      <c r="AD508" s="611">
        <f t="shared" si="132"/>
        <v>23</v>
      </c>
      <c r="AE508" s="621"/>
      <c r="AF508" s="621"/>
      <c r="AG508" s="621"/>
      <c r="AH508" s="622">
        <f t="shared" si="133"/>
        <v>5.6000000000000014</v>
      </c>
      <c r="AI508" s="609">
        <f t="shared" si="143"/>
        <v>21.5</v>
      </c>
      <c r="AJ508" s="620">
        <v>5</v>
      </c>
      <c r="AK508" s="620">
        <v>6</v>
      </c>
      <c r="AL508" s="620">
        <v>6.4</v>
      </c>
      <c r="AM508" s="623">
        <f t="shared" si="134"/>
        <v>17.399999999999999</v>
      </c>
      <c r="AN508" s="621"/>
      <c r="AO508" s="621"/>
      <c r="AP508" s="621"/>
      <c r="AQ508" s="622">
        <f t="shared" si="135"/>
        <v>-4.1000000000000014</v>
      </c>
      <c r="AR508" s="615">
        <f t="shared" si="144"/>
        <v>44.2</v>
      </c>
      <c r="AS508" s="620">
        <v>12</v>
      </c>
      <c r="AT508" s="620"/>
      <c r="AU508" s="620">
        <v>9.5</v>
      </c>
      <c r="AV508" s="623">
        <f t="shared" si="136"/>
        <v>21.5</v>
      </c>
      <c r="AW508" s="621">
        <v>3.25</v>
      </c>
      <c r="AX508" s="621">
        <v>3.2</v>
      </c>
      <c r="AY508" s="621">
        <v>90</v>
      </c>
      <c r="AZ508" s="624">
        <f t="shared" si="137"/>
        <v>-22.700000000000003</v>
      </c>
      <c r="BA508" s="623">
        <v>44.2</v>
      </c>
      <c r="BB508" s="620">
        <v>15.4</v>
      </c>
      <c r="BC508" s="620" t="s">
        <v>2826</v>
      </c>
      <c r="BD508" s="623">
        <f t="shared" si="138"/>
        <v>15.4</v>
      </c>
      <c r="BE508" s="621"/>
      <c r="BF508" s="621"/>
      <c r="BG508" s="621"/>
      <c r="BH508" s="621">
        <f t="shared" si="139"/>
        <v>28.800000000000004</v>
      </c>
    </row>
    <row r="509" spans="1:60" ht="17.25" thickTop="1" thickBot="1" x14ac:dyDescent="0.3">
      <c r="A509" s="77">
        <v>502</v>
      </c>
      <c r="B509" s="603">
        <f t="shared" ca="1" si="127"/>
        <v>43134</v>
      </c>
      <c r="C509" s="29" t="s">
        <v>615</v>
      </c>
      <c r="D509" s="59" t="s">
        <v>2658</v>
      </c>
      <c r="E509" s="22" t="s">
        <v>1053</v>
      </c>
      <c r="F509" s="295" t="s">
        <v>961</v>
      </c>
      <c r="G509" s="567">
        <v>42728</v>
      </c>
      <c r="H509" s="609">
        <f t="shared" si="140"/>
        <v>18</v>
      </c>
      <c r="I509" s="620">
        <v>8</v>
      </c>
      <c r="J509" s="620"/>
      <c r="K509" s="620">
        <v>7</v>
      </c>
      <c r="L509" s="611">
        <f t="shared" si="128"/>
        <v>15</v>
      </c>
      <c r="M509" s="621"/>
      <c r="N509" s="621"/>
      <c r="O509" s="621"/>
      <c r="P509" s="622">
        <f t="shared" si="129"/>
        <v>-3</v>
      </c>
      <c r="Q509" s="609">
        <f t="shared" si="141"/>
        <v>21.6</v>
      </c>
      <c r="R509" s="620">
        <v>9</v>
      </c>
      <c r="S509" s="620"/>
      <c r="T509" s="620">
        <v>9</v>
      </c>
      <c r="U509" s="611">
        <f t="shared" si="130"/>
        <v>18</v>
      </c>
      <c r="V509" s="621"/>
      <c r="W509" s="621"/>
      <c r="X509" s="621"/>
      <c r="Y509" s="622">
        <f t="shared" si="131"/>
        <v>-3.6000000000000014</v>
      </c>
      <c r="Z509" s="609">
        <f t="shared" si="142"/>
        <v>21.6</v>
      </c>
      <c r="AA509" s="620">
        <v>11.2</v>
      </c>
      <c r="AB509" s="620"/>
      <c r="AC509" s="620">
        <v>12</v>
      </c>
      <c r="AD509" s="611">
        <f t="shared" si="132"/>
        <v>23.2</v>
      </c>
      <c r="AE509" s="621"/>
      <c r="AF509" s="621"/>
      <c r="AG509" s="621"/>
      <c r="AH509" s="622">
        <f t="shared" si="133"/>
        <v>1.5999999999999979</v>
      </c>
      <c r="AI509" s="609">
        <f t="shared" si="143"/>
        <v>16.8</v>
      </c>
      <c r="AJ509" s="620">
        <v>7.6</v>
      </c>
      <c r="AK509" s="620"/>
      <c r="AL509" s="620">
        <v>14</v>
      </c>
      <c r="AM509" s="623">
        <f t="shared" si="134"/>
        <v>21.6</v>
      </c>
      <c r="AN509" s="621"/>
      <c r="AO509" s="621"/>
      <c r="AP509" s="621"/>
      <c r="AQ509" s="622">
        <f t="shared" si="135"/>
        <v>4.8000000000000007</v>
      </c>
      <c r="AR509" s="615">
        <f t="shared" si="144"/>
        <v>27</v>
      </c>
      <c r="AS509" s="620">
        <v>9</v>
      </c>
      <c r="AT509" s="620"/>
      <c r="AU509" s="620">
        <v>7.8</v>
      </c>
      <c r="AV509" s="623">
        <f t="shared" si="136"/>
        <v>16.8</v>
      </c>
      <c r="AW509" s="621">
        <v>4.96</v>
      </c>
      <c r="AX509" s="621">
        <v>3.65</v>
      </c>
      <c r="AY509" s="621">
        <v>90</v>
      </c>
      <c r="AZ509" s="624">
        <f t="shared" si="137"/>
        <v>-10.199999999999999</v>
      </c>
      <c r="BA509" s="623">
        <v>27</v>
      </c>
      <c r="BB509" s="620">
        <v>13.4</v>
      </c>
      <c r="BC509" s="620">
        <v>13</v>
      </c>
      <c r="BD509" s="623">
        <f t="shared" si="138"/>
        <v>26.4</v>
      </c>
      <c r="BE509" s="621"/>
      <c r="BF509" s="621"/>
      <c r="BG509" s="621"/>
      <c r="BH509" s="621">
        <f t="shared" si="139"/>
        <v>0.60000000000000142</v>
      </c>
    </row>
    <row r="510" spans="1:60" ht="17.25" thickTop="1" thickBot="1" x14ac:dyDescent="0.3">
      <c r="A510" s="602">
        <v>503</v>
      </c>
      <c r="B510" s="603">
        <f t="shared" ca="1" si="127"/>
        <v>43134</v>
      </c>
      <c r="C510" s="29" t="s">
        <v>615</v>
      </c>
      <c r="D510" s="59" t="s">
        <v>2658</v>
      </c>
      <c r="E510" s="22" t="s">
        <v>1085</v>
      </c>
      <c r="F510" s="295" t="s">
        <v>990</v>
      </c>
      <c r="G510" s="567">
        <v>42759</v>
      </c>
      <c r="H510" s="609">
        <f t="shared" si="140"/>
        <v>28</v>
      </c>
      <c r="I510" s="620">
        <v>10</v>
      </c>
      <c r="J510" s="620"/>
      <c r="K510" s="620"/>
      <c r="L510" s="611">
        <f t="shared" si="128"/>
        <v>10</v>
      </c>
      <c r="M510" s="621"/>
      <c r="N510" s="621"/>
      <c r="O510" s="621"/>
      <c r="P510" s="622">
        <f t="shared" si="129"/>
        <v>-18</v>
      </c>
      <c r="Q510" s="609">
        <f t="shared" si="141"/>
        <v>30</v>
      </c>
      <c r="R510" s="620">
        <v>15</v>
      </c>
      <c r="S510" s="620"/>
      <c r="T510" s="620">
        <v>13</v>
      </c>
      <c r="U510" s="611">
        <f t="shared" si="130"/>
        <v>28</v>
      </c>
      <c r="V510" s="621"/>
      <c r="W510" s="621"/>
      <c r="X510" s="621"/>
      <c r="Y510" s="622">
        <f t="shared" si="131"/>
        <v>-2</v>
      </c>
      <c r="Z510" s="609">
        <f t="shared" si="142"/>
        <v>30</v>
      </c>
      <c r="AA510" s="620">
        <v>13.5</v>
      </c>
      <c r="AB510" s="620"/>
      <c r="AC510" s="620">
        <v>13</v>
      </c>
      <c r="AD510" s="611">
        <f t="shared" si="132"/>
        <v>26.5</v>
      </c>
      <c r="AE510" s="621"/>
      <c r="AF510" s="621"/>
      <c r="AG510" s="621"/>
      <c r="AH510" s="622">
        <f t="shared" si="133"/>
        <v>-3.5</v>
      </c>
      <c r="AI510" s="609">
        <f t="shared" si="143"/>
        <v>23.2</v>
      </c>
      <c r="AJ510" s="620">
        <v>17</v>
      </c>
      <c r="AK510" s="620"/>
      <c r="AL510" s="620">
        <v>13</v>
      </c>
      <c r="AM510" s="623">
        <f t="shared" si="134"/>
        <v>30</v>
      </c>
      <c r="AN510" s="621"/>
      <c r="AO510" s="621"/>
      <c r="AP510" s="621"/>
      <c r="AQ510" s="622">
        <f t="shared" si="135"/>
        <v>6.8000000000000007</v>
      </c>
      <c r="AR510" s="615">
        <f t="shared" si="144"/>
        <v>33</v>
      </c>
      <c r="AS510" s="620">
        <v>14</v>
      </c>
      <c r="AT510" s="620"/>
      <c r="AU510" s="620">
        <v>9.1999999999999993</v>
      </c>
      <c r="AV510" s="623">
        <f t="shared" si="136"/>
        <v>23.2</v>
      </c>
      <c r="AW510" s="621">
        <v>4.58</v>
      </c>
      <c r="AX510" s="621">
        <v>3.29</v>
      </c>
      <c r="AY510" s="621">
        <v>90</v>
      </c>
      <c r="AZ510" s="624">
        <f t="shared" si="137"/>
        <v>-9.8000000000000007</v>
      </c>
      <c r="BA510" s="623">
        <v>33</v>
      </c>
      <c r="BB510" s="620">
        <v>15</v>
      </c>
      <c r="BC510" s="620">
        <v>14</v>
      </c>
      <c r="BD510" s="623">
        <f t="shared" si="138"/>
        <v>29</v>
      </c>
      <c r="BE510" s="621"/>
      <c r="BF510" s="621"/>
      <c r="BG510" s="621"/>
      <c r="BH510" s="621">
        <f t="shared" si="139"/>
        <v>4</v>
      </c>
    </row>
    <row r="511" spans="1:60" ht="17.25" thickTop="1" thickBot="1" x14ac:dyDescent="0.3">
      <c r="A511" s="77">
        <v>504</v>
      </c>
      <c r="B511" s="603">
        <f t="shared" ca="1" si="127"/>
        <v>43134</v>
      </c>
      <c r="C511" s="29" t="s">
        <v>615</v>
      </c>
      <c r="D511" s="59" t="s">
        <v>2658</v>
      </c>
      <c r="E511" s="22" t="s">
        <v>1082</v>
      </c>
      <c r="F511" s="295" t="s">
        <v>992</v>
      </c>
      <c r="G511" s="567">
        <v>42823</v>
      </c>
      <c r="H511" s="609">
        <f t="shared" si="140"/>
        <v>18.5</v>
      </c>
      <c r="I511" s="620">
        <v>10</v>
      </c>
      <c r="J511" s="620"/>
      <c r="K511" s="620">
        <v>9</v>
      </c>
      <c r="L511" s="611">
        <f t="shared" si="128"/>
        <v>19</v>
      </c>
      <c r="M511" s="621"/>
      <c r="N511" s="621"/>
      <c r="O511" s="621"/>
      <c r="P511" s="622">
        <f t="shared" si="129"/>
        <v>0.5</v>
      </c>
      <c r="Q511" s="609">
        <f t="shared" si="141"/>
        <v>17.7</v>
      </c>
      <c r="R511" s="620">
        <v>6</v>
      </c>
      <c r="S511" s="620">
        <v>6</v>
      </c>
      <c r="T511" s="620">
        <v>6.5</v>
      </c>
      <c r="U511" s="611">
        <f t="shared" si="130"/>
        <v>18.5</v>
      </c>
      <c r="V511" s="621"/>
      <c r="W511" s="621"/>
      <c r="X511" s="621"/>
      <c r="Y511" s="622">
        <f t="shared" si="131"/>
        <v>0.80000000000000071</v>
      </c>
      <c r="Z511" s="609">
        <f t="shared" si="142"/>
        <v>17.7</v>
      </c>
      <c r="AA511" s="620">
        <v>14.5</v>
      </c>
      <c r="AB511" s="620"/>
      <c r="AC511" s="620">
        <v>14</v>
      </c>
      <c r="AD511" s="611">
        <f t="shared" si="132"/>
        <v>28.5</v>
      </c>
      <c r="AE511" s="621"/>
      <c r="AF511" s="621"/>
      <c r="AG511" s="621"/>
      <c r="AH511" s="622">
        <f t="shared" si="133"/>
        <v>10.8</v>
      </c>
      <c r="AI511" s="609">
        <f t="shared" si="143"/>
        <v>21.5</v>
      </c>
      <c r="AJ511" s="620">
        <v>5.5</v>
      </c>
      <c r="AK511" s="620">
        <v>5.5</v>
      </c>
      <c r="AL511" s="620">
        <v>6.7</v>
      </c>
      <c r="AM511" s="623">
        <f t="shared" si="134"/>
        <v>17.7</v>
      </c>
      <c r="AN511" s="621"/>
      <c r="AO511" s="621"/>
      <c r="AP511" s="621"/>
      <c r="AQ511" s="622">
        <f t="shared" si="135"/>
        <v>-3.8000000000000007</v>
      </c>
      <c r="AR511" s="615">
        <f t="shared" si="144"/>
        <v>26.2</v>
      </c>
      <c r="AS511" s="620">
        <v>11.5</v>
      </c>
      <c r="AT511" s="620"/>
      <c r="AU511" s="620">
        <v>10</v>
      </c>
      <c r="AV511" s="623">
        <f t="shared" si="136"/>
        <v>21.5</v>
      </c>
      <c r="AW511" s="621">
        <v>3.94</v>
      </c>
      <c r="AX511" s="621">
        <v>3.06</v>
      </c>
      <c r="AY511" s="621">
        <v>90</v>
      </c>
      <c r="AZ511" s="624">
        <f t="shared" si="137"/>
        <v>-4.6999999999999993</v>
      </c>
      <c r="BA511" s="623">
        <v>26.2</v>
      </c>
      <c r="BB511" s="620">
        <v>14</v>
      </c>
      <c r="BC511" s="620">
        <v>12</v>
      </c>
      <c r="BD511" s="623">
        <f t="shared" si="138"/>
        <v>26</v>
      </c>
      <c r="BE511" s="621"/>
      <c r="BF511" s="621"/>
      <c r="BG511" s="621"/>
      <c r="BH511" s="621">
        <f t="shared" si="139"/>
        <v>0.19999999999999929</v>
      </c>
    </row>
    <row r="512" spans="1:60" ht="17.25" thickTop="1" thickBot="1" x14ac:dyDescent="0.3">
      <c r="A512" s="602">
        <v>505</v>
      </c>
      <c r="B512" s="603">
        <f t="shared" ca="1" si="127"/>
        <v>43134</v>
      </c>
      <c r="C512" s="29" t="s">
        <v>615</v>
      </c>
      <c r="D512" s="59" t="s">
        <v>2658</v>
      </c>
      <c r="E512" s="22" t="s">
        <v>1119</v>
      </c>
      <c r="F512" s="295" t="s">
        <v>1035</v>
      </c>
      <c r="G512" s="567">
        <v>42754</v>
      </c>
      <c r="H512" s="609">
        <f t="shared" si="140"/>
        <v>28</v>
      </c>
      <c r="I512" s="620"/>
      <c r="J512" s="620"/>
      <c r="K512" s="620"/>
      <c r="L512" s="611">
        <f t="shared" si="128"/>
        <v>0</v>
      </c>
      <c r="M512" s="621"/>
      <c r="N512" s="621"/>
      <c r="O512" s="621"/>
      <c r="P512" s="622">
        <f t="shared" si="129"/>
        <v>-28</v>
      </c>
      <c r="Q512" s="609">
        <f t="shared" si="141"/>
        <v>24</v>
      </c>
      <c r="R512" s="620">
        <v>16</v>
      </c>
      <c r="S512" s="620"/>
      <c r="T512" s="620">
        <v>12</v>
      </c>
      <c r="U512" s="611">
        <f t="shared" si="130"/>
        <v>28</v>
      </c>
      <c r="V512" s="621"/>
      <c r="W512" s="621"/>
      <c r="X512" s="621"/>
      <c r="Y512" s="622">
        <f t="shared" si="131"/>
        <v>4</v>
      </c>
      <c r="Z512" s="609">
        <f t="shared" si="142"/>
        <v>24</v>
      </c>
      <c r="AA512" s="620">
        <v>8</v>
      </c>
      <c r="AB512" s="620"/>
      <c r="AC512" s="620">
        <v>12</v>
      </c>
      <c r="AD512" s="611">
        <f t="shared" si="132"/>
        <v>20</v>
      </c>
      <c r="AE512" s="621"/>
      <c r="AF512" s="621"/>
      <c r="AG512" s="621"/>
      <c r="AH512" s="622">
        <f t="shared" si="133"/>
        <v>-4</v>
      </c>
      <c r="AI512" s="609">
        <f t="shared" si="143"/>
        <v>13</v>
      </c>
      <c r="AJ512" s="620">
        <v>12</v>
      </c>
      <c r="AK512" s="620"/>
      <c r="AL512" s="620">
        <v>12</v>
      </c>
      <c r="AM512" s="623">
        <f t="shared" si="134"/>
        <v>24</v>
      </c>
      <c r="AN512" s="621"/>
      <c r="AO512" s="621"/>
      <c r="AP512" s="621"/>
      <c r="AQ512" s="622">
        <f t="shared" si="135"/>
        <v>11</v>
      </c>
      <c r="AR512" s="615">
        <f t="shared" si="144"/>
        <v>11</v>
      </c>
      <c r="AS512" s="620">
        <v>6</v>
      </c>
      <c r="AT512" s="620"/>
      <c r="AU512" s="620">
        <v>7</v>
      </c>
      <c r="AV512" s="623">
        <f t="shared" si="136"/>
        <v>13</v>
      </c>
      <c r="AW512" s="621">
        <v>6.67</v>
      </c>
      <c r="AX512" s="621">
        <v>3.66</v>
      </c>
      <c r="AY512" s="621">
        <v>181</v>
      </c>
      <c r="AZ512" s="624">
        <f t="shared" si="137"/>
        <v>2</v>
      </c>
      <c r="BA512" s="623">
        <v>11</v>
      </c>
      <c r="BB512" s="620">
        <v>11</v>
      </c>
      <c r="BC512" s="620">
        <v>15.8</v>
      </c>
      <c r="BD512" s="623">
        <f t="shared" si="138"/>
        <v>26.8</v>
      </c>
      <c r="BE512" s="621"/>
      <c r="BF512" s="621"/>
      <c r="BG512" s="621"/>
      <c r="BH512" s="621">
        <f t="shared" si="139"/>
        <v>-15.8</v>
      </c>
    </row>
    <row r="513" spans="1:60" ht="17.25" thickTop="1" thickBot="1" x14ac:dyDescent="0.3">
      <c r="A513" s="77">
        <v>506</v>
      </c>
      <c r="B513" s="603">
        <f t="shared" ca="1" si="127"/>
        <v>43134</v>
      </c>
      <c r="C513" s="29" t="s">
        <v>615</v>
      </c>
      <c r="D513" s="59" t="s">
        <v>2658</v>
      </c>
      <c r="E513" s="22" t="s">
        <v>720</v>
      </c>
      <c r="F513" s="295" t="s">
        <v>1466</v>
      </c>
      <c r="G513" s="567">
        <v>42806</v>
      </c>
      <c r="H513" s="609">
        <f t="shared" si="140"/>
        <v>13.5</v>
      </c>
      <c r="I513" s="620">
        <v>1</v>
      </c>
      <c r="J513" s="620"/>
      <c r="K513" s="620">
        <v>8</v>
      </c>
      <c r="L513" s="611">
        <f t="shared" si="128"/>
        <v>9</v>
      </c>
      <c r="M513" s="621"/>
      <c r="N513" s="621"/>
      <c r="O513" s="621"/>
      <c r="P513" s="622">
        <f t="shared" si="129"/>
        <v>-4.5</v>
      </c>
      <c r="Q513" s="609">
        <f t="shared" si="141"/>
        <v>26</v>
      </c>
      <c r="R513" s="620">
        <v>5</v>
      </c>
      <c r="S513" s="620">
        <v>5</v>
      </c>
      <c r="T513" s="620">
        <v>3.5</v>
      </c>
      <c r="U513" s="611">
        <f t="shared" si="130"/>
        <v>13.5</v>
      </c>
      <c r="V513" s="621"/>
      <c r="W513" s="621"/>
      <c r="X513" s="621"/>
      <c r="Y513" s="622">
        <f t="shared" si="131"/>
        <v>-12.5</v>
      </c>
      <c r="Z513" s="609">
        <f t="shared" si="142"/>
        <v>26</v>
      </c>
      <c r="AA513" s="620">
        <v>10</v>
      </c>
      <c r="AB513" s="620"/>
      <c r="AC513" s="620">
        <v>13</v>
      </c>
      <c r="AD513" s="611">
        <f t="shared" si="132"/>
        <v>23</v>
      </c>
      <c r="AE513" s="621"/>
      <c r="AF513" s="621"/>
      <c r="AG513" s="621"/>
      <c r="AH513" s="622">
        <f t="shared" si="133"/>
        <v>-3</v>
      </c>
      <c r="AI513" s="609">
        <f t="shared" si="143"/>
        <v>7</v>
      </c>
      <c r="AJ513" s="620">
        <v>14</v>
      </c>
      <c r="AK513" s="620"/>
      <c r="AL513" s="620">
        <v>12</v>
      </c>
      <c r="AM513" s="623">
        <f t="shared" si="134"/>
        <v>26</v>
      </c>
      <c r="AN513" s="621"/>
      <c r="AO513" s="621"/>
      <c r="AP513" s="621"/>
      <c r="AQ513" s="622">
        <f t="shared" si="135"/>
        <v>19</v>
      </c>
      <c r="AR513" s="615">
        <f t="shared" si="144"/>
        <v>26.2</v>
      </c>
      <c r="AS513" s="620" t="s">
        <v>2900</v>
      </c>
      <c r="AT513" s="620"/>
      <c r="AU513" s="620">
        <v>7</v>
      </c>
      <c r="AV513" s="623">
        <f t="shared" si="136"/>
        <v>7</v>
      </c>
      <c r="AW513" s="621">
        <v>4.3899999999999997</v>
      </c>
      <c r="AX513" s="621">
        <v>3.46</v>
      </c>
      <c r="AY513" s="621">
        <v>90</v>
      </c>
      <c r="AZ513" s="624">
        <f t="shared" si="137"/>
        <v>-19.2</v>
      </c>
      <c r="BA513" s="623">
        <v>26.2</v>
      </c>
      <c r="BB513" s="620">
        <v>11.8</v>
      </c>
      <c r="BC513" s="620">
        <v>12.8</v>
      </c>
      <c r="BD513" s="623">
        <f t="shared" si="138"/>
        <v>24.6</v>
      </c>
      <c r="BE513" s="621"/>
      <c r="BF513" s="621"/>
      <c r="BG513" s="621"/>
      <c r="BH513" s="621">
        <f t="shared" si="139"/>
        <v>1.5999999999999979</v>
      </c>
    </row>
    <row r="514" spans="1:60" ht="17.25" thickTop="1" thickBot="1" x14ac:dyDescent="0.3">
      <c r="A514" s="602">
        <v>507</v>
      </c>
      <c r="B514" s="603">
        <f t="shared" ca="1" si="127"/>
        <v>43134</v>
      </c>
      <c r="C514" s="29" t="s">
        <v>615</v>
      </c>
      <c r="D514" s="59" t="s">
        <v>2658</v>
      </c>
      <c r="E514" s="22" t="s">
        <v>1489</v>
      </c>
      <c r="F514" s="295" t="s">
        <v>1467</v>
      </c>
      <c r="G514" s="567">
        <v>42793</v>
      </c>
      <c r="H514" s="609">
        <f t="shared" si="140"/>
        <v>25</v>
      </c>
      <c r="I514" s="620">
        <v>11</v>
      </c>
      <c r="J514" s="620"/>
      <c r="K514" s="620">
        <v>1.5</v>
      </c>
      <c r="L514" s="611">
        <f t="shared" si="128"/>
        <v>12.5</v>
      </c>
      <c r="M514" s="621"/>
      <c r="N514" s="621"/>
      <c r="O514" s="621"/>
      <c r="P514" s="622">
        <f t="shared" si="129"/>
        <v>-12.5</v>
      </c>
      <c r="Q514" s="609">
        <f t="shared" si="141"/>
        <v>30</v>
      </c>
      <c r="R514" s="620">
        <v>12</v>
      </c>
      <c r="S514" s="620"/>
      <c r="T514" s="620">
        <v>13</v>
      </c>
      <c r="U514" s="611">
        <f t="shared" si="130"/>
        <v>25</v>
      </c>
      <c r="V514" s="621"/>
      <c r="W514" s="621"/>
      <c r="X514" s="621"/>
      <c r="Y514" s="622">
        <f t="shared" si="131"/>
        <v>-5</v>
      </c>
      <c r="Z514" s="609">
        <f t="shared" si="142"/>
        <v>30</v>
      </c>
      <c r="AA514" s="620">
        <v>10</v>
      </c>
      <c r="AB514" s="620"/>
      <c r="AC514" s="620">
        <v>12</v>
      </c>
      <c r="AD514" s="611">
        <f t="shared" si="132"/>
        <v>22</v>
      </c>
      <c r="AE514" s="621"/>
      <c r="AF514" s="621"/>
      <c r="AG514" s="621"/>
      <c r="AH514" s="622">
        <f t="shared" si="133"/>
        <v>-8</v>
      </c>
      <c r="AI514" s="609">
        <f t="shared" si="143"/>
        <v>23.1</v>
      </c>
      <c r="AJ514" s="620">
        <v>13</v>
      </c>
      <c r="AK514" s="620"/>
      <c r="AL514" s="620">
        <v>17</v>
      </c>
      <c r="AM514" s="623">
        <f t="shared" si="134"/>
        <v>30</v>
      </c>
      <c r="AN514" s="621"/>
      <c r="AO514" s="621"/>
      <c r="AP514" s="621"/>
      <c r="AQ514" s="622">
        <f t="shared" si="135"/>
        <v>6.8999999999999986</v>
      </c>
      <c r="AR514" s="615">
        <f t="shared" si="144"/>
        <v>31</v>
      </c>
      <c r="AS514" s="620">
        <v>13.5</v>
      </c>
      <c r="AT514" s="620"/>
      <c r="AU514" s="620">
        <v>9.6</v>
      </c>
      <c r="AV514" s="623">
        <f t="shared" si="136"/>
        <v>23.1</v>
      </c>
      <c r="AW514" s="621">
        <v>3.49</v>
      </c>
      <c r="AX514" s="621">
        <v>2.93</v>
      </c>
      <c r="AY514" s="621">
        <v>90</v>
      </c>
      <c r="AZ514" s="624">
        <f t="shared" si="137"/>
        <v>-7.8999999999999986</v>
      </c>
      <c r="BA514" s="623">
        <v>31</v>
      </c>
      <c r="BB514" s="620">
        <v>14</v>
      </c>
      <c r="BC514" s="620">
        <v>13.1</v>
      </c>
      <c r="BD514" s="623">
        <f t="shared" si="138"/>
        <v>27.1</v>
      </c>
      <c r="BE514" s="621"/>
      <c r="BF514" s="621"/>
      <c r="BG514" s="621"/>
      <c r="BH514" s="621">
        <f t="shared" si="139"/>
        <v>3.8999999999999986</v>
      </c>
    </row>
    <row r="515" spans="1:60" ht="17.25" thickTop="1" thickBot="1" x14ac:dyDescent="0.3">
      <c r="A515" s="77">
        <v>508</v>
      </c>
      <c r="B515" s="603">
        <f t="shared" ca="1" si="127"/>
        <v>43134</v>
      </c>
      <c r="C515" s="29" t="s">
        <v>615</v>
      </c>
      <c r="D515" s="59" t="s">
        <v>2658</v>
      </c>
      <c r="E515" s="22" t="s">
        <v>1490</v>
      </c>
      <c r="F515" s="295" t="s">
        <v>1471</v>
      </c>
      <c r="G515" s="567">
        <v>42847</v>
      </c>
      <c r="H515" s="609">
        <f t="shared" si="140"/>
        <v>18.5</v>
      </c>
      <c r="I515" s="620">
        <v>9</v>
      </c>
      <c r="J515" s="620">
        <v>7</v>
      </c>
      <c r="K515" s="620">
        <v>6</v>
      </c>
      <c r="L515" s="611">
        <f t="shared" si="128"/>
        <v>22</v>
      </c>
      <c r="M515" s="621"/>
      <c r="N515" s="621"/>
      <c r="O515" s="621"/>
      <c r="P515" s="622">
        <f t="shared" si="129"/>
        <v>3.5</v>
      </c>
      <c r="Q515" s="609">
        <f t="shared" si="141"/>
        <v>17.8</v>
      </c>
      <c r="R515" s="620">
        <v>7</v>
      </c>
      <c r="S515" s="620">
        <v>5</v>
      </c>
      <c r="T515" s="620">
        <v>6.5</v>
      </c>
      <c r="U515" s="611">
        <f t="shared" si="130"/>
        <v>18.5</v>
      </c>
      <c r="V515" s="621"/>
      <c r="W515" s="621"/>
      <c r="X515" s="621"/>
      <c r="Y515" s="622">
        <f t="shared" si="131"/>
        <v>0.69999999999999929</v>
      </c>
      <c r="Z515" s="609">
        <f t="shared" si="142"/>
        <v>17.8</v>
      </c>
      <c r="AA515" s="620">
        <v>12</v>
      </c>
      <c r="AB515" s="620"/>
      <c r="AC515" s="620">
        <v>11</v>
      </c>
      <c r="AD515" s="611">
        <f t="shared" si="132"/>
        <v>23</v>
      </c>
      <c r="AE515" s="621"/>
      <c r="AF515" s="621"/>
      <c r="AG515" s="621"/>
      <c r="AH515" s="622">
        <f t="shared" si="133"/>
        <v>5.1999999999999993</v>
      </c>
      <c r="AI515" s="609">
        <f t="shared" si="143"/>
        <v>24</v>
      </c>
      <c r="AJ515" s="620">
        <v>7.4</v>
      </c>
      <c r="AK515" s="620">
        <v>4.5</v>
      </c>
      <c r="AL515" s="620">
        <v>5.9</v>
      </c>
      <c r="AM515" s="623">
        <f t="shared" si="134"/>
        <v>17.8</v>
      </c>
      <c r="AN515" s="621"/>
      <c r="AO515" s="621"/>
      <c r="AP515" s="621"/>
      <c r="AQ515" s="622">
        <f t="shared" si="135"/>
        <v>-6.1999999999999993</v>
      </c>
      <c r="AR515" s="615">
        <f t="shared" si="144"/>
        <v>25</v>
      </c>
      <c r="AS515" s="620">
        <v>14</v>
      </c>
      <c r="AT515" s="620"/>
      <c r="AU515" s="620">
        <v>10</v>
      </c>
      <c r="AV515" s="623">
        <f t="shared" si="136"/>
        <v>24</v>
      </c>
      <c r="AW515" s="621">
        <v>3.88</v>
      </c>
      <c r="AX515" s="621">
        <v>3.05</v>
      </c>
      <c r="AY515" s="621">
        <v>90</v>
      </c>
      <c r="AZ515" s="624">
        <f t="shared" si="137"/>
        <v>-1</v>
      </c>
      <c r="BA515" s="623">
        <v>25</v>
      </c>
      <c r="BB515" s="620">
        <v>14.2</v>
      </c>
      <c r="BC515" s="620">
        <v>11.6</v>
      </c>
      <c r="BD515" s="623">
        <f t="shared" si="138"/>
        <v>25.799999999999997</v>
      </c>
      <c r="BE515" s="621"/>
      <c r="BF515" s="621"/>
      <c r="BG515" s="621"/>
      <c r="BH515" s="621">
        <f t="shared" si="139"/>
        <v>-0.79999999999999716</v>
      </c>
    </row>
    <row r="516" spans="1:60" ht="17.25" thickTop="1" thickBot="1" x14ac:dyDescent="0.3">
      <c r="A516" s="602">
        <v>509</v>
      </c>
      <c r="B516" s="603">
        <f t="shared" ca="1" si="127"/>
        <v>43134</v>
      </c>
      <c r="C516" s="29" t="s">
        <v>615</v>
      </c>
      <c r="D516" s="59" t="s">
        <v>2658</v>
      </c>
      <c r="E516" s="22" t="s">
        <v>1275</v>
      </c>
      <c r="F516" s="295" t="s">
        <v>1511</v>
      </c>
      <c r="G516" s="567">
        <v>42816</v>
      </c>
      <c r="H516" s="609">
        <f t="shared" si="140"/>
        <v>4</v>
      </c>
      <c r="I516" s="620">
        <v>0</v>
      </c>
      <c r="J516" s="620"/>
      <c r="K516" s="620">
        <v>0</v>
      </c>
      <c r="L516" s="611">
        <f t="shared" si="128"/>
        <v>0</v>
      </c>
      <c r="M516" s="621"/>
      <c r="N516" s="621"/>
      <c r="O516" s="621"/>
      <c r="P516" s="622">
        <f t="shared" si="129"/>
        <v>-4</v>
      </c>
      <c r="Q516" s="609">
        <f t="shared" si="141"/>
        <v>12.6</v>
      </c>
      <c r="R516" s="620">
        <v>1</v>
      </c>
      <c r="S516" s="620"/>
      <c r="T516" s="620">
        <v>3</v>
      </c>
      <c r="U516" s="611">
        <f t="shared" si="130"/>
        <v>4</v>
      </c>
      <c r="V516" s="621"/>
      <c r="W516" s="621"/>
      <c r="X516" s="621"/>
      <c r="Y516" s="622">
        <f t="shared" si="131"/>
        <v>-8.6</v>
      </c>
      <c r="Z516" s="609">
        <f t="shared" si="142"/>
        <v>12.6</v>
      </c>
      <c r="AA516" s="620">
        <v>7</v>
      </c>
      <c r="AB516" s="620"/>
      <c r="AC516" s="620">
        <v>7</v>
      </c>
      <c r="AD516" s="611">
        <f t="shared" si="132"/>
        <v>14</v>
      </c>
      <c r="AE516" s="621"/>
      <c r="AF516" s="621"/>
      <c r="AG516" s="621"/>
      <c r="AH516" s="622">
        <f t="shared" si="133"/>
        <v>1.4000000000000004</v>
      </c>
      <c r="AI516" s="609">
        <f t="shared" si="143"/>
        <v>5</v>
      </c>
      <c r="AJ516" s="620">
        <v>7.6</v>
      </c>
      <c r="AK516" s="620"/>
      <c r="AL516" s="620">
        <v>5</v>
      </c>
      <c r="AM516" s="623">
        <f t="shared" si="134"/>
        <v>12.6</v>
      </c>
      <c r="AN516" s="621"/>
      <c r="AO516" s="621"/>
      <c r="AP516" s="621"/>
      <c r="AQ516" s="622">
        <f t="shared" si="135"/>
        <v>7.6</v>
      </c>
      <c r="AR516" s="615">
        <f t="shared" si="144"/>
        <v>28</v>
      </c>
      <c r="AS516" s="620">
        <v>2.5</v>
      </c>
      <c r="AT516" s="620"/>
      <c r="AU516" s="620">
        <v>2.5</v>
      </c>
      <c r="AV516" s="623">
        <f t="shared" si="136"/>
        <v>5</v>
      </c>
      <c r="AW516" s="621">
        <v>5.05</v>
      </c>
      <c r="AX516" s="621">
        <v>2.84</v>
      </c>
      <c r="AY516" s="621">
        <v>90</v>
      </c>
      <c r="AZ516" s="624">
        <f t="shared" si="137"/>
        <v>-23</v>
      </c>
      <c r="BA516" s="623">
        <v>28</v>
      </c>
      <c r="BB516" s="620">
        <v>13</v>
      </c>
      <c r="BC516" s="620">
        <v>11.6</v>
      </c>
      <c r="BD516" s="623">
        <f t="shared" si="138"/>
        <v>24.6</v>
      </c>
      <c r="BE516" s="621"/>
      <c r="BF516" s="621"/>
      <c r="BG516" s="621"/>
      <c r="BH516" s="621">
        <f t="shared" si="139"/>
        <v>3.3999999999999986</v>
      </c>
    </row>
    <row r="517" spans="1:60" ht="17.25" thickTop="1" thickBot="1" x14ac:dyDescent="0.3">
      <c r="A517" s="77">
        <v>510</v>
      </c>
      <c r="B517" s="603">
        <f t="shared" ca="1" si="127"/>
        <v>43134</v>
      </c>
      <c r="C517" s="29" t="s">
        <v>615</v>
      </c>
      <c r="D517" s="59" t="s">
        <v>2658</v>
      </c>
      <c r="E517" s="22" t="s">
        <v>1495</v>
      </c>
      <c r="F517" s="295" t="s">
        <v>1464</v>
      </c>
      <c r="G517" s="567">
        <v>42793</v>
      </c>
      <c r="H517" s="609">
        <f t="shared" si="140"/>
        <v>18</v>
      </c>
      <c r="I517" s="620">
        <v>9.8000000000000007</v>
      </c>
      <c r="J517" s="620"/>
      <c r="K517" s="620">
        <v>9.3000000000000007</v>
      </c>
      <c r="L517" s="611">
        <f t="shared" si="128"/>
        <v>19.100000000000001</v>
      </c>
      <c r="M517" s="621"/>
      <c r="N517" s="621"/>
      <c r="O517" s="621"/>
      <c r="P517" s="622">
        <f t="shared" si="129"/>
        <v>1.1000000000000014</v>
      </c>
      <c r="Q517" s="609">
        <f t="shared" si="141"/>
        <v>23</v>
      </c>
      <c r="R517" s="620">
        <v>11</v>
      </c>
      <c r="S517" s="620"/>
      <c r="T517" s="620">
        <v>7</v>
      </c>
      <c r="U517" s="611">
        <f t="shared" si="130"/>
        <v>18</v>
      </c>
      <c r="V517" s="621"/>
      <c r="W517" s="621"/>
      <c r="X517" s="621"/>
      <c r="Y517" s="622">
        <f t="shared" si="131"/>
        <v>-5</v>
      </c>
      <c r="Z517" s="609">
        <f t="shared" si="142"/>
        <v>23</v>
      </c>
      <c r="AA517" s="620">
        <v>8</v>
      </c>
      <c r="AB517" s="620"/>
      <c r="AC517" s="620">
        <v>13</v>
      </c>
      <c r="AD517" s="611">
        <f t="shared" si="132"/>
        <v>21</v>
      </c>
      <c r="AE517" s="621"/>
      <c r="AF517" s="621"/>
      <c r="AG517" s="621"/>
      <c r="AH517" s="622">
        <f t="shared" si="133"/>
        <v>-2</v>
      </c>
      <c r="AI517" s="609">
        <f t="shared" si="143"/>
        <v>17.8</v>
      </c>
      <c r="AJ517" s="620">
        <v>8</v>
      </c>
      <c r="AK517" s="620">
        <v>9</v>
      </c>
      <c r="AL517" s="620">
        <v>6</v>
      </c>
      <c r="AM517" s="623">
        <f t="shared" si="134"/>
        <v>23</v>
      </c>
      <c r="AN517" s="621"/>
      <c r="AO517" s="621"/>
      <c r="AP517" s="621"/>
      <c r="AQ517" s="622">
        <f t="shared" si="135"/>
        <v>5.1999999999999993</v>
      </c>
      <c r="AR517" s="615">
        <f t="shared" si="144"/>
        <v>14</v>
      </c>
      <c r="AS517" s="620">
        <v>9.5</v>
      </c>
      <c r="AT517" s="620"/>
      <c r="AU517" s="620">
        <v>8.3000000000000007</v>
      </c>
      <c r="AV517" s="623">
        <f t="shared" si="136"/>
        <v>17.8</v>
      </c>
      <c r="AW517" s="621">
        <v>4.82</v>
      </c>
      <c r="AX517" s="621">
        <v>3.47</v>
      </c>
      <c r="AY517" s="621">
        <v>135</v>
      </c>
      <c r="AZ517" s="624">
        <f t="shared" si="137"/>
        <v>3.8000000000000007</v>
      </c>
      <c r="BA517" s="623">
        <v>14</v>
      </c>
      <c r="BB517" s="620">
        <v>12</v>
      </c>
      <c r="BC517" s="620">
        <v>12.5</v>
      </c>
      <c r="BD517" s="623">
        <f t="shared" si="138"/>
        <v>24.5</v>
      </c>
      <c r="BE517" s="621"/>
      <c r="BF517" s="621"/>
      <c r="BG517" s="621"/>
      <c r="BH517" s="621">
        <f t="shared" si="139"/>
        <v>-10.5</v>
      </c>
    </row>
    <row r="518" spans="1:60" ht="17.25" thickTop="1" thickBot="1" x14ac:dyDescent="0.3">
      <c r="A518" s="602">
        <v>511</v>
      </c>
      <c r="B518" s="603">
        <f t="shared" ca="1" si="127"/>
        <v>43134</v>
      </c>
      <c r="C518" s="29" t="s">
        <v>615</v>
      </c>
      <c r="D518" s="59" t="s">
        <v>2658</v>
      </c>
      <c r="E518" s="22" t="s">
        <v>899</v>
      </c>
      <c r="F518" s="295" t="s">
        <v>900</v>
      </c>
      <c r="G518" s="567">
        <v>42718</v>
      </c>
      <c r="H518" s="609">
        <f t="shared" si="140"/>
        <v>15</v>
      </c>
      <c r="I518" s="620">
        <v>7.6</v>
      </c>
      <c r="J518" s="620"/>
      <c r="K518" s="620">
        <v>5</v>
      </c>
      <c r="L518" s="611">
        <f t="shared" si="128"/>
        <v>12.6</v>
      </c>
      <c r="M518" s="621"/>
      <c r="N518" s="621"/>
      <c r="O518" s="621"/>
      <c r="P518" s="622">
        <f t="shared" si="129"/>
        <v>-2.4000000000000004</v>
      </c>
      <c r="Q518" s="609">
        <f t="shared" si="141"/>
        <v>21.5</v>
      </c>
      <c r="R518" s="620">
        <v>5</v>
      </c>
      <c r="S518" s="620">
        <v>6</v>
      </c>
      <c r="T518" s="620">
        <v>4</v>
      </c>
      <c r="U518" s="611">
        <f t="shared" si="130"/>
        <v>15</v>
      </c>
      <c r="V518" s="621"/>
      <c r="W518" s="621"/>
      <c r="X518" s="621"/>
      <c r="Y518" s="622">
        <f t="shared" si="131"/>
        <v>-6.5</v>
      </c>
      <c r="Z518" s="609">
        <f t="shared" si="142"/>
        <v>21.5</v>
      </c>
      <c r="AA518" s="620">
        <v>15</v>
      </c>
      <c r="AB518" s="620"/>
      <c r="AC518" s="620">
        <v>13</v>
      </c>
      <c r="AD518" s="611">
        <f t="shared" si="132"/>
        <v>28</v>
      </c>
      <c r="AE518" s="621"/>
      <c r="AF518" s="621"/>
      <c r="AG518" s="621"/>
      <c r="AH518" s="622">
        <f t="shared" si="133"/>
        <v>6.5</v>
      </c>
      <c r="AI518" s="609">
        <f t="shared" si="143"/>
        <v>31</v>
      </c>
      <c r="AJ518" s="620">
        <v>7</v>
      </c>
      <c r="AK518" s="620">
        <v>6.5</v>
      </c>
      <c r="AL518" s="620">
        <v>8</v>
      </c>
      <c r="AM518" s="623">
        <f t="shared" si="134"/>
        <v>21.5</v>
      </c>
      <c r="AN518" s="621"/>
      <c r="AO518" s="621"/>
      <c r="AP518" s="621"/>
      <c r="AQ518" s="622">
        <f t="shared" si="135"/>
        <v>-9.5</v>
      </c>
      <c r="AR518" s="615">
        <f t="shared" si="144"/>
        <v>30.2</v>
      </c>
      <c r="AS518" s="620">
        <v>22</v>
      </c>
      <c r="AT518" s="620"/>
      <c r="AU518" s="620">
        <v>9</v>
      </c>
      <c r="AV518" s="623">
        <f t="shared" si="136"/>
        <v>31</v>
      </c>
      <c r="AW518" s="621">
        <v>4.4000000000000004</v>
      </c>
      <c r="AX518" s="621">
        <v>3.74</v>
      </c>
      <c r="AY518" s="621">
        <v>90</v>
      </c>
      <c r="AZ518" s="624">
        <f t="shared" si="137"/>
        <v>0.80000000000000071</v>
      </c>
      <c r="BA518" s="623">
        <v>30.2</v>
      </c>
      <c r="BB518" s="620">
        <v>14.8</v>
      </c>
      <c r="BC518" s="620">
        <v>12</v>
      </c>
      <c r="BD518" s="623">
        <f t="shared" si="138"/>
        <v>26.8</v>
      </c>
      <c r="BE518" s="621"/>
      <c r="BF518" s="621"/>
      <c r="BG518" s="621"/>
      <c r="BH518" s="621">
        <f t="shared" si="139"/>
        <v>3.3999999999999986</v>
      </c>
    </row>
    <row r="519" spans="1:60" ht="17.25" thickTop="1" thickBot="1" x14ac:dyDescent="0.3">
      <c r="A519" s="77">
        <v>512</v>
      </c>
      <c r="B519" s="603">
        <f t="shared" ca="1" si="127"/>
        <v>43134</v>
      </c>
      <c r="C519" s="29" t="s">
        <v>615</v>
      </c>
      <c r="D519" s="59" t="s">
        <v>2658</v>
      </c>
      <c r="E519" s="22" t="s">
        <v>831</v>
      </c>
      <c r="F519" s="295" t="s">
        <v>1407</v>
      </c>
      <c r="G519" s="567">
        <v>42837</v>
      </c>
      <c r="H519" s="609">
        <f t="shared" si="140"/>
        <v>15.7</v>
      </c>
      <c r="I519" s="620">
        <v>8</v>
      </c>
      <c r="J519" s="620"/>
      <c r="K519" s="620">
        <v>9</v>
      </c>
      <c r="L519" s="611">
        <f t="shared" si="128"/>
        <v>17</v>
      </c>
      <c r="M519" s="621"/>
      <c r="N519" s="621"/>
      <c r="O519" s="621"/>
      <c r="P519" s="622">
        <f t="shared" si="129"/>
        <v>1.3000000000000007</v>
      </c>
      <c r="Q519" s="609">
        <f t="shared" si="141"/>
        <v>22.4</v>
      </c>
      <c r="R519" s="620">
        <v>4.5</v>
      </c>
      <c r="S519" s="620">
        <v>7.2</v>
      </c>
      <c r="T519" s="620">
        <v>4</v>
      </c>
      <c r="U519" s="611">
        <f t="shared" si="130"/>
        <v>15.7</v>
      </c>
      <c r="V519" s="621"/>
      <c r="W519" s="621"/>
      <c r="X519" s="621"/>
      <c r="Y519" s="622">
        <f t="shared" si="131"/>
        <v>-6.6999999999999993</v>
      </c>
      <c r="Z519" s="609">
        <f t="shared" si="142"/>
        <v>22.4</v>
      </c>
      <c r="AA519" s="620">
        <v>17.5</v>
      </c>
      <c r="AB519" s="620"/>
      <c r="AC519" s="620">
        <v>12</v>
      </c>
      <c r="AD519" s="611">
        <f t="shared" si="132"/>
        <v>29.5</v>
      </c>
      <c r="AE519" s="621"/>
      <c r="AF519" s="621"/>
      <c r="AG519" s="621"/>
      <c r="AH519" s="622">
        <f t="shared" si="133"/>
        <v>7.1000000000000014</v>
      </c>
      <c r="AI519" s="609">
        <f t="shared" si="143"/>
        <v>23</v>
      </c>
      <c r="AJ519" s="620">
        <v>5.4</v>
      </c>
      <c r="AK519" s="620">
        <v>9</v>
      </c>
      <c r="AL519" s="620">
        <v>8</v>
      </c>
      <c r="AM519" s="623">
        <f t="shared" si="134"/>
        <v>22.4</v>
      </c>
      <c r="AN519" s="621"/>
      <c r="AO519" s="621"/>
      <c r="AP519" s="621"/>
      <c r="AQ519" s="622">
        <f t="shared" si="135"/>
        <v>-0.60000000000000142</v>
      </c>
      <c r="AR519" s="615">
        <f t="shared" si="144"/>
        <v>34.299999999999997</v>
      </c>
      <c r="AS519" s="620">
        <v>13</v>
      </c>
      <c r="AT519" s="620"/>
      <c r="AU519" s="620">
        <v>10</v>
      </c>
      <c r="AV519" s="623">
        <f t="shared" si="136"/>
        <v>23</v>
      </c>
      <c r="AW519" s="621">
        <v>2.4300000000000002</v>
      </c>
      <c r="AX519" s="621">
        <v>3.28</v>
      </c>
      <c r="AY519" s="621">
        <v>90</v>
      </c>
      <c r="AZ519" s="624">
        <f t="shared" si="137"/>
        <v>-11.299999999999997</v>
      </c>
      <c r="BA519" s="623">
        <v>34.299999999999997</v>
      </c>
      <c r="BB519" s="620">
        <v>21</v>
      </c>
      <c r="BC519" s="620">
        <v>17.399999999999999</v>
      </c>
      <c r="BD519" s="623">
        <f t="shared" si="138"/>
        <v>38.4</v>
      </c>
      <c r="BE519" s="621"/>
      <c r="BF519" s="621"/>
      <c r="BG519" s="621"/>
      <c r="BH519" s="621">
        <f t="shared" si="139"/>
        <v>-4.1000000000000014</v>
      </c>
    </row>
    <row r="520" spans="1:60" ht="17.25" thickTop="1" thickBot="1" x14ac:dyDescent="0.3">
      <c r="A520" s="602">
        <v>513</v>
      </c>
      <c r="B520" s="603">
        <f t="shared" ref="B520:B577" ca="1" si="145">TODAY()</f>
        <v>43134</v>
      </c>
      <c r="C520" s="29" t="s">
        <v>615</v>
      </c>
      <c r="D520" s="59" t="s">
        <v>2658</v>
      </c>
      <c r="E520" s="22" t="s">
        <v>529</v>
      </c>
      <c r="F520" s="295" t="s">
        <v>530</v>
      </c>
      <c r="G520" s="567">
        <v>42833</v>
      </c>
      <c r="H520" s="609">
        <f t="shared" si="140"/>
        <v>22</v>
      </c>
      <c r="I520" s="620">
        <v>10</v>
      </c>
      <c r="J520" s="620"/>
      <c r="K520" s="620">
        <v>10</v>
      </c>
      <c r="L520" s="611">
        <f t="shared" ref="L520:L577" si="146">SUM(I520:K520)</f>
        <v>20</v>
      </c>
      <c r="M520" s="621"/>
      <c r="N520" s="621"/>
      <c r="O520" s="621"/>
      <c r="P520" s="622">
        <f t="shared" ref="P520:P548" si="147">L520-H520</f>
        <v>-2</v>
      </c>
      <c r="Q520" s="609">
        <f t="shared" si="141"/>
        <v>22.5</v>
      </c>
      <c r="R520" s="620">
        <v>10</v>
      </c>
      <c r="S520" s="620"/>
      <c r="T520" s="620">
        <v>12</v>
      </c>
      <c r="U520" s="611">
        <f t="shared" ref="U520:U569" si="148">SUM(R520:T520)</f>
        <v>22</v>
      </c>
      <c r="V520" s="621"/>
      <c r="W520" s="621"/>
      <c r="X520" s="621"/>
      <c r="Y520" s="622">
        <f t="shared" ref="Y520:Y548" si="149">U520-Q520</f>
        <v>-0.5</v>
      </c>
      <c r="Z520" s="609">
        <f t="shared" si="142"/>
        <v>22.5</v>
      </c>
      <c r="AA520" s="620">
        <v>9</v>
      </c>
      <c r="AB520" s="620"/>
      <c r="AC520" s="620">
        <v>14</v>
      </c>
      <c r="AD520" s="611">
        <f t="shared" ref="AD520:AD553" si="150">SUM(AA520:AC520)</f>
        <v>23</v>
      </c>
      <c r="AE520" s="621"/>
      <c r="AF520" s="621"/>
      <c r="AG520" s="621"/>
      <c r="AH520" s="622">
        <f t="shared" ref="AH520:AH548" si="151">AD520-Z520</f>
        <v>0.5</v>
      </c>
      <c r="AI520" s="609">
        <f t="shared" si="143"/>
        <v>21.8</v>
      </c>
      <c r="AJ520" s="620">
        <v>8.1999999999999993</v>
      </c>
      <c r="AK520" s="620">
        <v>7</v>
      </c>
      <c r="AL520" s="620">
        <v>7.3</v>
      </c>
      <c r="AM520" s="623">
        <f t="shared" ref="AM520:AM548" si="152">SUM(AJ520:AL520)</f>
        <v>22.5</v>
      </c>
      <c r="AN520" s="621"/>
      <c r="AO520" s="621"/>
      <c r="AP520" s="621"/>
      <c r="AQ520" s="622">
        <f t="shared" ref="AQ520:AQ548" si="153">AM520-AI520</f>
        <v>0.69999999999999929</v>
      </c>
      <c r="AR520" s="615">
        <f t="shared" si="144"/>
        <v>21.3</v>
      </c>
      <c r="AS520" s="620">
        <v>11.5</v>
      </c>
      <c r="AT520" s="620"/>
      <c r="AU520" s="620">
        <v>10.3</v>
      </c>
      <c r="AV520" s="623">
        <f t="shared" ref="AV520:AV544" si="154">SUM(AS520:AU520)</f>
        <v>21.8</v>
      </c>
      <c r="AW520" s="621">
        <v>3.52</v>
      </c>
      <c r="AX520" s="621">
        <v>3.17</v>
      </c>
      <c r="AY520" s="621">
        <v>90</v>
      </c>
      <c r="AZ520" s="624">
        <f t="shared" ref="AZ520:AZ544" si="155">AV520-AR520</f>
        <v>0.5</v>
      </c>
      <c r="BA520" s="623">
        <v>21.3</v>
      </c>
      <c r="BB520" s="620">
        <v>12.8</v>
      </c>
      <c r="BC520" s="620">
        <v>12</v>
      </c>
      <c r="BD520" s="623">
        <f t="shared" ref="BD520:BD541" si="156">SUM(BB520:BC520)</f>
        <v>24.8</v>
      </c>
      <c r="BE520" s="621"/>
      <c r="BF520" s="621"/>
      <c r="BG520" s="621"/>
      <c r="BH520" s="621">
        <f t="shared" ref="BH520:BH541" si="157">BA520-BD520</f>
        <v>-3.5</v>
      </c>
    </row>
    <row r="521" spans="1:60" ht="17.25" thickTop="1" thickBot="1" x14ac:dyDescent="0.3">
      <c r="A521" s="77">
        <v>514</v>
      </c>
      <c r="B521" s="603">
        <f t="shared" ca="1" si="145"/>
        <v>43134</v>
      </c>
      <c r="C521" s="29" t="s">
        <v>615</v>
      </c>
      <c r="D521" s="59" t="s">
        <v>2658</v>
      </c>
      <c r="E521" s="628" t="s">
        <v>1395</v>
      </c>
      <c r="F521" s="295" t="s">
        <v>677</v>
      </c>
      <c r="G521" s="567">
        <v>42841</v>
      </c>
      <c r="H521" s="609">
        <f t="shared" ref="H521:H584" si="158">U521</f>
        <v>16</v>
      </c>
      <c r="I521" s="620">
        <v>5</v>
      </c>
      <c r="J521" s="620"/>
      <c r="K521" s="620">
        <v>7</v>
      </c>
      <c r="L521" s="611">
        <f t="shared" si="146"/>
        <v>12</v>
      </c>
      <c r="M521" s="621"/>
      <c r="N521" s="621"/>
      <c r="O521" s="621"/>
      <c r="P521" s="622">
        <f t="shared" si="147"/>
        <v>-4</v>
      </c>
      <c r="Q521" s="609">
        <f t="shared" ref="Q521:Q548" si="159">AM521</f>
        <v>27.4</v>
      </c>
      <c r="R521" s="620">
        <v>8</v>
      </c>
      <c r="S521" s="620"/>
      <c r="T521" s="620">
        <v>8</v>
      </c>
      <c r="U521" s="611">
        <f t="shared" si="148"/>
        <v>16</v>
      </c>
      <c r="V521" s="621"/>
      <c r="W521" s="621"/>
      <c r="X521" s="621"/>
      <c r="Y521" s="622">
        <f t="shared" si="149"/>
        <v>-11.399999999999999</v>
      </c>
      <c r="Z521" s="609">
        <f t="shared" ref="Z521:Z548" si="160">AM521</f>
        <v>27.4</v>
      </c>
      <c r="AA521" s="620">
        <v>9.4</v>
      </c>
      <c r="AB521" s="620">
        <v>9</v>
      </c>
      <c r="AC521" s="620">
        <v>7.5</v>
      </c>
      <c r="AD521" s="611">
        <f t="shared" si="150"/>
        <v>25.9</v>
      </c>
      <c r="AE521" s="621"/>
      <c r="AF521" s="621"/>
      <c r="AG521" s="621"/>
      <c r="AH521" s="622">
        <f t="shared" si="151"/>
        <v>-1.5</v>
      </c>
      <c r="AI521" s="609">
        <f t="shared" ref="AI521:AI548" si="161">AV521</f>
        <v>24.5</v>
      </c>
      <c r="AJ521" s="620">
        <v>9.8000000000000007</v>
      </c>
      <c r="AK521" s="620">
        <v>7.6</v>
      </c>
      <c r="AL521" s="620">
        <v>10</v>
      </c>
      <c r="AM521" s="623">
        <f t="shared" si="152"/>
        <v>27.4</v>
      </c>
      <c r="AN521" s="621"/>
      <c r="AO521" s="621"/>
      <c r="AP521" s="621"/>
      <c r="AQ521" s="622">
        <f t="shared" si="153"/>
        <v>2.8999999999999986</v>
      </c>
      <c r="AR521" s="615">
        <f t="shared" ref="AR521:AR546" si="162">BA521</f>
        <v>35.5</v>
      </c>
      <c r="AS521" s="620">
        <v>15</v>
      </c>
      <c r="AT521" s="620"/>
      <c r="AU521" s="620">
        <v>9.5</v>
      </c>
      <c r="AV521" s="623">
        <f t="shared" si="154"/>
        <v>24.5</v>
      </c>
      <c r="AW521" s="621">
        <v>4.57</v>
      </c>
      <c r="AX521" s="621">
        <v>3.07</v>
      </c>
      <c r="AY521" s="621">
        <v>90</v>
      </c>
      <c r="AZ521" s="624">
        <f t="shared" si="155"/>
        <v>-11</v>
      </c>
      <c r="BA521" s="623">
        <v>35.5</v>
      </c>
      <c r="BB521" s="620">
        <v>15</v>
      </c>
      <c r="BC521" s="620">
        <v>15.2</v>
      </c>
      <c r="BD521" s="623">
        <f t="shared" si="156"/>
        <v>30.2</v>
      </c>
      <c r="BE521" s="621"/>
      <c r="BF521" s="621"/>
      <c r="BG521" s="621"/>
      <c r="BH521" s="621">
        <f t="shared" si="157"/>
        <v>5.3000000000000007</v>
      </c>
    </row>
    <row r="522" spans="1:60" ht="17.25" thickTop="1" thickBot="1" x14ac:dyDescent="0.3">
      <c r="A522" s="602">
        <v>515</v>
      </c>
      <c r="B522" s="603">
        <f t="shared" ca="1" si="145"/>
        <v>43134</v>
      </c>
      <c r="C522" s="29" t="s">
        <v>615</v>
      </c>
      <c r="D522" s="59" t="s">
        <v>2658</v>
      </c>
      <c r="E522" s="628" t="s">
        <v>667</v>
      </c>
      <c r="F522" s="629" t="s">
        <v>534</v>
      </c>
      <c r="G522" s="567">
        <v>42796</v>
      </c>
      <c r="H522" s="609">
        <f t="shared" si="158"/>
        <v>15</v>
      </c>
      <c r="I522" s="620">
        <v>5</v>
      </c>
      <c r="J522" s="620"/>
      <c r="K522" s="620">
        <v>4</v>
      </c>
      <c r="L522" s="611">
        <f t="shared" si="146"/>
        <v>9</v>
      </c>
      <c r="M522" s="621"/>
      <c r="N522" s="621"/>
      <c r="O522" s="621"/>
      <c r="P522" s="622">
        <f t="shared" si="147"/>
        <v>-6</v>
      </c>
      <c r="Q522" s="609">
        <f t="shared" si="159"/>
        <v>19</v>
      </c>
      <c r="R522" s="620">
        <v>7</v>
      </c>
      <c r="S522" s="620"/>
      <c r="T522" s="620">
        <v>8</v>
      </c>
      <c r="U522" s="611">
        <f t="shared" si="148"/>
        <v>15</v>
      </c>
      <c r="V522" s="621"/>
      <c r="W522" s="621"/>
      <c r="X522" s="621"/>
      <c r="Y522" s="622">
        <f t="shared" si="149"/>
        <v>-4</v>
      </c>
      <c r="Z522" s="609">
        <f t="shared" si="160"/>
        <v>19</v>
      </c>
      <c r="AA522" s="620">
        <v>8</v>
      </c>
      <c r="AB522" s="620"/>
      <c r="AC522" s="620">
        <v>8</v>
      </c>
      <c r="AD522" s="611">
        <f t="shared" si="150"/>
        <v>16</v>
      </c>
      <c r="AE522" s="621"/>
      <c r="AF522" s="621"/>
      <c r="AG522" s="621"/>
      <c r="AH522" s="622">
        <f t="shared" si="151"/>
        <v>-3</v>
      </c>
      <c r="AI522" s="609">
        <f t="shared" si="161"/>
        <v>18.5</v>
      </c>
      <c r="AJ522" s="620">
        <v>9</v>
      </c>
      <c r="AK522" s="620"/>
      <c r="AL522" s="620">
        <v>10</v>
      </c>
      <c r="AM522" s="623">
        <f t="shared" si="152"/>
        <v>19</v>
      </c>
      <c r="AN522" s="621"/>
      <c r="AO522" s="621"/>
      <c r="AP522" s="621"/>
      <c r="AQ522" s="622">
        <f t="shared" si="153"/>
        <v>0.5</v>
      </c>
      <c r="AR522" s="615">
        <f t="shared" si="162"/>
        <v>23</v>
      </c>
      <c r="AS522" s="620">
        <v>9</v>
      </c>
      <c r="AT522" s="620"/>
      <c r="AU522" s="620">
        <v>9.5</v>
      </c>
      <c r="AV522" s="623">
        <f t="shared" si="154"/>
        <v>18.5</v>
      </c>
      <c r="AW522" s="621">
        <v>4.2</v>
      </c>
      <c r="AX522" s="621">
        <v>3.35</v>
      </c>
      <c r="AY522" s="621">
        <v>90</v>
      </c>
      <c r="AZ522" s="624">
        <f t="shared" si="155"/>
        <v>-4.5</v>
      </c>
      <c r="BA522" s="623">
        <v>23</v>
      </c>
      <c r="BB522" s="620">
        <v>15</v>
      </c>
      <c r="BC522" s="620">
        <v>11</v>
      </c>
      <c r="BD522" s="623">
        <f t="shared" si="156"/>
        <v>26</v>
      </c>
      <c r="BE522" s="621"/>
      <c r="BF522" s="621"/>
      <c r="BG522" s="621"/>
      <c r="BH522" s="621">
        <f t="shared" si="157"/>
        <v>-3</v>
      </c>
    </row>
    <row r="523" spans="1:60" ht="17.25" thickTop="1" thickBot="1" x14ac:dyDescent="0.3">
      <c r="A523" s="77">
        <v>516</v>
      </c>
      <c r="B523" s="603">
        <f t="shared" ca="1" si="145"/>
        <v>43134</v>
      </c>
      <c r="C523" s="29" t="s">
        <v>615</v>
      </c>
      <c r="D523" s="59" t="s">
        <v>2658</v>
      </c>
      <c r="E523" s="22" t="s">
        <v>678</v>
      </c>
      <c r="F523" s="295" t="s">
        <v>679</v>
      </c>
      <c r="G523" s="567">
        <v>42752</v>
      </c>
      <c r="H523" s="609">
        <f t="shared" si="158"/>
        <v>14.5</v>
      </c>
      <c r="I523" s="620"/>
      <c r="J523" s="620"/>
      <c r="K523" s="620"/>
      <c r="L523" s="611">
        <f t="shared" si="146"/>
        <v>0</v>
      </c>
      <c r="M523" s="621"/>
      <c r="N523" s="621"/>
      <c r="O523" s="621"/>
      <c r="P523" s="622">
        <f t="shared" si="147"/>
        <v>-14.5</v>
      </c>
      <c r="Q523" s="609">
        <f t="shared" si="159"/>
        <v>27.2</v>
      </c>
      <c r="R523" s="620">
        <v>5</v>
      </c>
      <c r="S523" s="620"/>
      <c r="T523" s="620">
        <v>9.5</v>
      </c>
      <c r="U523" s="611">
        <f t="shared" si="148"/>
        <v>14.5</v>
      </c>
      <c r="V523" s="621"/>
      <c r="W523" s="621"/>
      <c r="X523" s="621"/>
      <c r="Y523" s="622">
        <f t="shared" si="149"/>
        <v>-12.7</v>
      </c>
      <c r="Z523" s="609">
        <f t="shared" si="160"/>
        <v>27.2</v>
      </c>
      <c r="AA523" s="620">
        <v>9</v>
      </c>
      <c r="AB523" s="620"/>
      <c r="AC523" s="620">
        <v>9</v>
      </c>
      <c r="AD523" s="611">
        <f t="shared" si="150"/>
        <v>18</v>
      </c>
      <c r="AE523" s="621"/>
      <c r="AF523" s="621"/>
      <c r="AG523" s="621"/>
      <c r="AH523" s="622">
        <f t="shared" si="151"/>
        <v>-9.1999999999999993</v>
      </c>
      <c r="AI523" s="609">
        <f t="shared" si="161"/>
        <v>24</v>
      </c>
      <c r="AJ523" s="620">
        <v>14.2</v>
      </c>
      <c r="AK523" s="620"/>
      <c r="AL523" s="620">
        <v>13</v>
      </c>
      <c r="AM523" s="623">
        <f t="shared" si="152"/>
        <v>27.2</v>
      </c>
      <c r="AN523" s="621"/>
      <c r="AO523" s="621"/>
      <c r="AP523" s="621"/>
      <c r="AQ523" s="622">
        <f t="shared" si="153"/>
        <v>3.1999999999999993</v>
      </c>
      <c r="AR523" s="615">
        <f t="shared" si="162"/>
        <v>30</v>
      </c>
      <c r="AS523" s="620">
        <v>11</v>
      </c>
      <c r="AT523" s="620"/>
      <c r="AU523" s="620">
        <v>13</v>
      </c>
      <c r="AV523" s="623">
        <f t="shared" si="154"/>
        <v>24</v>
      </c>
      <c r="AW523" s="621">
        <v>4.38</v>
      </c>
      <c r="AX523" s="621">
        <v>3.39</v>
      </c>
      <c r="AY523" s="621">
        <v>90</v>
      </c>
      <c r="AZ523" s="624">
        <f t="shared" si="155"/>
        <v>-6</v>
      </c>
      <c r="BA523" s="623">
        <v>30</v>
      </c>
      <c r="BB523" s="620">
        <v>17.8</v>
      </c>
      <c r="BC523" s="620">
        <v>13</v>
      </c>
      <c r="BD523" s="623">
        <f t="shared" si="156"/>
        <v>30.8</v>
      </c>
      <c r="BE523" s="621"/>
      <c r="BF523" s="621"/>
      <c r="BG523" s="621"/>
      <c r="BH523" s="621">
        <f t="shared" si="157"/>
        <v>-0.80000000000000071</v>
      </c>
    </row>
    <row r="524" spans="1:60" ht="17.25" thickTop="1" thickBot="1" x14ac:dyDescent="0.3">
      <c r="A524" s="602">
        <v>517</v>
      </c>
      <c r="B524" s="603">
        <f t="shared" ca="1" si="145"/>
        <v>43134</v>
      </c>
      <c r="C524" s="29" t="s">
        <v>615</v>
      </c>
      <c r="D524" s="59" t="s">
        <v>2658</v>
      </c>
      <c r="E524" s="22" t="s">
        <v>1402</v>
      </c>
      <c r="F524" s="295" t="s">
        <v>1403</v>
      </c>
      <c r="G524" s="567">
        <v>42812</v>
      </c>
      <c r="H524" s="609">
        <f t="shared" si="158"/>
        <v>20.399999999999999</v>
      </c>
      <c r="I524" s="620">
        <v>10.6</v>
      </c>
      <c r="J524" s="620"/>
      <c r="K524" s="620">
        <v>7</v>
      </c>
      <c r="L524" s="611">
        <f t="shared" si="146"/>
        <v>17.600000000000001</v>
      </c>
      <c r="M524" s="621"/>
      <c r="N524" s="621"/>
      <c r="O524" s="621"/>
      <c r="P524" s="622">
        <f t="shared" si="147"/>
        <v>-2.7999999999999972</v>
      </c>
      <c r="Q524" s="609">
        <f t="shared" si="159"/>
        <v>26.5</v>
      </c>
      <c r="R524" s="620">
        <v>6</v>
      </c>
      <c r="S524" s="620"/>
      <c r="T524" s="620">
        <v>14.4</v>
      </c>
      <c r="U524" s="611">
        <f t="shared" si="148"/>
        <v>20.399999999999999</v>
      </c>
      <c r="V524" s="621"/>
      <c r="W524" s="621"/>
      <c r="X524" s="621"/>
      <c r="Y524" s="622">
        <f t="shared" si="149"/>
        <v>-6.1000000000000014</v>
      </c>
      <c r="Z524" s="609">
        <f t="shared" si="160"/>
        <v>26.5</v>
      </c>
      <c r="AA524" s="620">
        <v>9.1999999999999993</v>
      </c>
      <c r="AB524" s="620">
        <v>7.8</v>
      </c>
      <c r="AC524" s="620">
        <v>8.1</v>
      </c>
      <c r="AD524" s="611">
        <f t="shared" si="150"/>
        <v>25.1</v>
      </c>
      <c r="AE524" s="621"/>
      <c r="AF524" s="621"/>
      <c r="AG524" s="621"/>
      <c r="AH524" s="622">
        <f t="shared" si="151"/>
        <v>-1.3999999999999986</v>
      </c>
      <c r="AI524" s="609">
        <f t="shared" si="161"/>
        <v>24</v>
      </c>
      <c r="AJ524" s="620">
        <v>10.7</v>
      </c>
      <c r="AK524" s="620">
        <v>6.5</v>
      </c>
      <c r="AL524" s="620">
        <v>9.3000000000000007</v>
      </c>
      <c r="AM524" s="623">
        <f t="shared" si="152"/>
        <v>26.5</v>
      </c>
      <c r="AN524" s="621"/>
      <c r="AO524" s="621"/>
      <c r="AP524" s="621"/>
      <c r="AQ524" s="622">
        <f t="shared" si="153"/>
        <v>2.5</v>
      </c>
      <c r="AR524" s="615">
        <f t="shared" si="162"/>
        <v>36</v>
      </c>
      <c r="AS524" s="620">
        <v>13.5</v>
      </c>
      <c r="AT524" s="620"/>
      <c r="AU524" s="620">
        <v>10.5</v>
      </c>
      <c r="AV524" s="623">
        <f t="shared" si="154"/>
        <v>24</v>
      </c>
      <c r="AW524" s="621">
        <v>4.0199999999999996</v>
      </c>
      <c r="AX524" s="621">
        <v>3.4</v>
      </c>
      <c r="AY524" s="621">
        <v>90</v>
      </c>
      <c r="AZ524" s="624">
        <f t="shared" si="155"/>
        <v>-12</v>
      </c>
      <c r="BA524" s="623">
        <v>36</v>
      </c>
      <c r="BB524" s="620">
        <v>16</v>
      </c>
      <c r="BC524" s="620">
        <v>14.4</v>
      </c>
      <c r="BD524" s="623">
        <f t="shared" si="156"/>
        <v>30.4</v>
      </c>
      <c r="BE524" s="621"/>
      <c r="BF524" s="621"/>
      <c r="BG524" s="621"/>
      <c r="BH524" s="621">
        <f t="shared" si="157"/>
        <v>5.6000000000000014</v>
      </c>
    </row>
    <row r="525" spans="1:60" ht="17.25" thickTop="1" thickBot="1" x14ac:dyDescent="0.3">
      <c r="A525" s="77">
        <v>518</v>
      </c>
      <c r="B525" s="603">
        <f t="shared" ca="1" si="145"/>
        <v>43134</v>
      </c>
      <c r="C525" s="29" t="s">
        <v>615</v>
      </c>
      <c r="D525" s="59" t="s">
        <v>2658</v>
      </c>
      <c r="E525" s="22" t="s">
        <v>1392</v>
      </c>
      <c r="F525" s="295" t="s">
        <v>1393</v>
      </c>
      <c r="G525" s="567">
        <v>42816</v>
      </c>
      <c r="H525" s="609">
        <f t="shared" si="158"/>
        <v>17</v>
      </c>
      <c r="I525" s="620">
        <v>2</v>
      </c>
      <c r="J525" s="620"/>
      <c r="K525" s="620">
        <v>9</v>
      </c>
      <c r="L525" s="611">
        <f t="shared" si="146"/>
        <v>11</v>
      </c>
      <c r="M525" s="621"/>
      <c r="N525" s="621"/>
      <c r="O525" s="621"/>
      <c r="P525" s="622">
        <f t="shared" si="147"/>
        <v>-6</v>
      </c>
      <c r="Q525" s="609">
        <f t="shared" si="159"/>
        <v>23.6</v>
      </c>
      <c r="R525" s="620">
        <v>6</v>
      </c>
      <c r="S525" s="620">
        <v>5</v>
      </c>
      <c r="T525" s="620">
        <v>6</v>
      </c>
      <c r="U525" s="611">
        <f t="shared" si="148"/>
        <v>17</v>
      </c>
      <c r="V525" s="621"/>
      <c r="W525" s="621"/>
      <c r="X525" s="621"/>
      <c r="Y525" s="622">
        <f t="shared" si="149"/>
        <v>-6.6000000000000014</v>
      </c>
      <c r="Z525" s="609">
        <f t="shared" si="160"/>
        <v>23.6</v>
      </c>
      <c r="AA525" s="620">
        <v>11.5</v>
      </c>
      <c r="AB525" s="620"/>
      <c r="AC525" s="620">
        <v>15</v>
      </c>
      <c r="AD525" s="611">
        <f t="shared" si="150"/>
        <v>26.5</v>
      </c>
      <c r="AE525" s="621"/>
      <c r="AF525" s="621"/>
      <c r="AG525" s="621"/>
      <c r="AH525" s="622">
        <f t="shared" si="151"/>
        <v>2.8999999999999986</v>
      </c>
      <c r="AI525" s="609">
        <f t="shared" si="161"/>
        <v>22.5</v>
      </c>
      <c r="AJ525" s="620">
        <v>8.8000000000000007</v>
      </c>
      <c r="AK525" s="620">
        <v>6.5</v>
      </c>
      <c r="AL525" s="620">
        <v>8.3000000000000007</v>
      </c>
      <c r="AM525" s="623">
        <f t="shared" si="152"/>
        <v>23.6</v>
      </c>
      <c r="AN525" s="621"/>
      <c r="AO525" s="621"/>
      <c r="AP525" s="621"/>
      <c r="AQ525" s="622">
        <f t="shared" si="153"/>
        <v>1.1000000000000014</v>
      </c>
      <c r="AR525" s="615">
        <f t="shared" si="162"/>
        <v>32</v>
      </c>
      <c r="AS525" s="620">
        <v>12.5</v>
      </c>
      <c r="AT525" s="620"/>
      <c r="AU525" s="620">
        <v>10</v>
      </c>
      <c r="AV525" s="623">
        <f t="shared" si="154"/>
        <v>22.5</v>
      </c>
      <c r="AW525" s="621">
        <v>5.71</v>
      </c>
      <c r="AX525" s="621">
        <v>3.36</v>
      </c>
      <c r="AY525" s="621">
        <v>90</v>
      </c>
      <c r="AZ525" s="624">
        <f t="shared" si="155"/>
        <v>-9.5</v>
      </c>
      <c r="BA525" s="623">
        <v>32</v>
      </c>
      <c r="BB525" s="620">
        <v>14</v>
      </c>
      <c r="BC525" s="620">
        <v>14</v>
      </c>
      <c r="BD525" s="623">
        <f t="shared" si="156"/>
        <v>28</v>
      </c>
      <c r="BE525" s="621"/>
      <c r="BF525" s="621"/>
      <c r="BG525" s="621"/>
      <c r="BH525" s="621">
        <f t="shared" si="157"/>
        <v>4</v>
      </c>
    </row>
    <row r="526" spans="1:60" ht="17.25" thickTop="1" thickBot="1" x14ac:dyDescent="0.3">
      <c r="A526" s="602">
        <v>519</v>
      </c>
      <c r="B526" s="603">
        <f t="shared" ca="1" si="145"/>
        <v>43134</v>
      </c>
      <c r="C526" s="29" t="s">
        <v>615</v>
      </c>
      <c r="D526" s="59" t="s">
        <v>2658</v>
      </c>
      <c r="E526" s="22" t="s">
        <v>454</v>
      </c>
      <c r="F526" s="295" t="s">
        <v>455</v>
      </c>
      <c r="G526" s="567">
        <v>42700</v>
      </c>
      <c r="H526" s="609">
        <f t="shared" si="158"/>
        <v>16.899999999999999</v>
      </c>
      <c r="I526" s="620">
        <v>6</v>
      </c>
      <c r="J526" s="620"/>
      <c r="K526" s="620">
        <v>7</v>
      </c>
      <c r="L526" s="611">
        <f t="shared" si="146"/>
        <v>13</v>
      </c>
      <c r="M526" s="621"/>
      <c r="N526" s="621"/>
      <c r="O526" s="621"/>
      <c r="P526" s="622">
        <f t="shared" si="147"/>
        <v>-3.8999999999999986</v>
      </c>
      <c r="Q526" s="609">
        <f t="shared" si="159"/>
        <v>30.6</v>
      </c>
      <c r="R526" s="620">
        <v>7.4</v>
      </c>
      <c r="S526" s="620">
        <v>4</v>
      </c>
      <c r="T526" s="620">
        <v>5.5</v>
      </c>
      <c r="U526" s="611">
        <f t="shared" si="148"/>
        <v>16.899999999999999</v>
      </c>
      <c r="V526" s="621"/>
      <c r="W526" s="621"/>
      <c r="X526" s="621"/>
      <c r="Y526" s="622">
        <f t="shared" si="149"/>
        <v>-13.700000000000003</v>
      </c>
      <c r="Z526" s="609">
        <f t="shared" si="160"/>
        <v>30.6</v>
      </c>
      <c r="AA526" s="620">
        <v>11.5</v>
      </c>
      <c r="AB526" s="620"/>
      <c r="AC526" s="620">
        <v>14</v>
      </c>
      <c r="AD526" s="611">
        <f t="shared" si="150"/>
        <v>25.5</v>
      </c>
      <c r="AE526" s="621"/>
      <c r="AF526" s="621"/>
      <c r="AG526" s="621"/>
      <c r="AH526" s="622">
        <f t="shared" si="151"/>
        <v>-5.1000000000000014</v>
      </c>
      <c r="AI526" s="609">
        <f t="shared" si="161"/>
        <v>22.7</v>
      </c>
      <c r="AJ526" s="620">
        <v>18.600000000000001</v>
      </c>
      <c r="AK526" s="620"/>
      <c r="AL526" s="620">
        <v>12</v>
      </c>
      <c r="AM526" s="623">
        <f t="shared" si="152"/>
        <v>30.6</v>
      </c>
      <c r="AN526" s="621"/>
      <c r="AO526" s="621"/>
      <c r="AP526" s="621"/>
      <c r="AQ526" s="622">
        <f t="shared" si="153"/>
        <v>7.9000000000000021</v>
      </c>
      <c r="AR526" s="615">
        <f t="shared" si="162"/>
        <v>29.4</v>
      </c>
      <c r="AS526" s="620">
        <v>13.5</v>
      </c>
      <c r="AT526" s="620"/>
      <c r="AU526" s="620">
        <v>9.1999999999999993</v>
      </c>
      <c r="AV526" s="623">
        <f t="shared" si="154"/>
        <v>22.7</v>
      </c>
      <c r="AW526" s="621">
        <v>4.12</v>
      </c>
      <c r="AX526" s="621">
        <v>3.6</v>
      </c>
      <c r="AY526" s="621">
        <v>90</v>
      </c>
      <c r="AZ526" s="624">
        <f t="shared" si="155"/>
        <v>-6.6999999999999993</v>
      </c>
      <c r="BA526" s="623">
        <v>29.4</v>
      </c>
      <c r="BB526" s="620">
        <v>17.600000000000001</v>
      </c>
      <c r="BC526" s="620">
        <v>15</v>
      </c>
      <c r="BD526" s="623">
        <f t="shared" si="156"/>
        <v>32.6</v>
      </c>
      <c r="BE526" s="621"/>
      <c r="BF526" s="621"/>
      <c r="BG526" s="621"/>
      <c r="BH526" s="621">
        <f t="shared" si="157"/>
        <v>-3.2000000000000028</v>
      </c>
    </row>
    <row r="527" spans="1:60" ht="17.25" thickTop="1" thickBot="1" x14ac:dyDescent="0.3">
      <c r="A527" s="77">
        <v>520</v>
      </c>
      <c r="B527" s="603">
        <f t="shared" ca="1" si="145"/>
        <v>43134</v>
      </c>
      <c r="C527" s="29" t="s">
        <v>615</v>
      </c>
      <c r="D527" s="59" t="s">
        <v>2658</v>
      </c>
      <c r="E527" s="22" t="s">
        <v>456</v>
      </c>
      <c r="F527" s="295" t="s">
        <v>457</v>
      </c>
      <c r="G527" s="567">
        <v>42728</v>
      </c>
      <c r="H527" s="609">
        <f t="shared" si="158"/>
        <v>29.5</v>
      </c>
      <c r="I527" s="620">
        <v>13</v>
      </c>
      <c r="J527" s="620">
        <v>11</v>
      </c>
      <c r="K527" s="620">
        <v>13</v>
      </c>
      <c r="L527" s="611">
        <f t="shared" si="146"/>
        <v>37</v>
      </c>
      <c r="M527" s="621"/>
      <c r="N527" s="621"/>
      <c r="O527" s="621"/>
      <c r="P527" s="622">
        <f t="shared" si="147"/>
        <v>7.5</v>
      </c>
      <c r="Q527" s="609">
        <f t="shared" si="159"/>
        <v>28.7</v>
      </c>
      <c r="R527" s="620">
        <v>11</v>
      </c>
      <c r="S527" s="620">
        <v>10</v>
      </c>
      <c r="T527" s="620">
        <v>8.5</v>
      </c>
      <c r="U527" s="611">
        <f t="shared" si="148"/>
        <v>29.5</v>
      </c>
      <c r="V527" s="621"/>
      <c r="W527" s="621"/>
      <c r="X527" s="621"/>
      <c r="Y527" s="622">
        <f t="shared" si="149"/>
        <v>0.80000000000000071</v>
      </c>
      <c r="Z527" s="609">
        <f t="shared" si="160"/>
        <v>28.7</v>
      </c>
      <c r="AA527" s="620">
        <v>13</v>
      </c>
      <c r="AB527" s="620">
        <v>8.8000000000000007</v>
      </c>
      <c r="AC527" s="620">
        <v>8.8000000000000007</v>
      </c>
      <c r="AD527" s="611">
        <f t="shared" si="150"/>
        <v>30.6</v>
      </c>
      <c r="AE527" s="621"/>
      <c r="AF527" s="621"/>
      <c r="AG527" s="621"/>
      <c r="AH527" s="622">
        <f t="shared" si="151"/>
        <v>1.9000000000000021</v>
      </c>
      <c r="AI527" s="609">
        <f t="shared" si="161"/>
        <v>28.8</v>
      </c>
      <c r="AJ527" s="620">
        <v>10.199999999999999</v>
      </c>
      <c r="AK527" s="620">
        <v>8</v>
      </c>
      <c r="AL527" s="620">
        <v>10.5</v>
      </c>
      <c r="AM527" s="623">
        <f t="shared" si="152"/>
        <v>28.7</v>
      </c>
      <c r="AN527" s="621"/>
      <c r="AO527" s="621"/>
      <c r="AP527" s="621"/>
      <c r="AQ527" s="622">
        <f t="shared" si="153"/>
        <v>-0.10000000000000142</v>
      </c>
      <c r="AR527" s="615">
        <f t="shared" si="162"/>
        <v>54</v>
      </c>
      <c r="AS527" s="620">
        <v>16</v>
      </c>
      <c r="AT527" s="620"/>
      <c r="AU527" s="620">
        <v>12.8</v>
      </c>
      <c r="AV527" s="623">
        <f t="shared" si="154"/>
        <v>28.8</v>
      </c>
      <c r="AW527" s="621">
        <v>4.22</v>
      </c>
      <c r="AX527" s="621">
        <v>3.08</v>
      </c>
      <c r="AY527" s="621">
        <v>90</v>
      </c>
      <c r="AZ527" s="624">
        <f t="shared" si="155"/>
        <v>-25.2</v>
      </c>
      <c r="BA527" s="623">
        <v>54</v>
      </c>
      <c r="BB527" s="620">
        <v>22</v>
      </c>
      <c r="BC527" s="620">
        <v>17</v>
      </c>
      <c r="BD527" s="623">
        <f t="shared" si="156"/>
        <v>39</v>
      </c>
      <c r="BE527" s="621"/>
      <c r="BF527" s="621"/>
      <c r="BG527" s="621"/>
      <c r="BH527" s="621">
        <f t="shared" si="157"/>
        <v>15</v>
      </c>
    </row>
    <row r="528" spans="1:60" ht="17.25" thickTop="1" thickBot="1" x14ac:dyDescent="0.3">
      <c r="A528" s="602">
        <v>521</v>
      </c>
      <c r="B528" s="603">
        <f t="shared" ca="1" si="145"/>
        <v>43134</v>
      </c>
      <c r="C528" s="29" t="s">
        <v>615</v>
      </c>
      <c r="D528" s="59" t="s">
        <v>2658</v>
      </c>
      <c r="E528" s="22" t="s">
        <v>461</v>
      </c>
      <c r="F528" s="295" t="s">
        <v>462</v>
      </c>
      <c r="G528" s="567">
        <v>42801</v>
      </c>
      <c r="H528" s="609">
        <f t="shared" si="158"/>
        <v>26</v>
      </c>
      <c r="I528" s="620">
        <v>11</v>
      </c>
      <c r="J528" s="620">
        <v>9</v>
      </c>
      <c r="K528" s="620">
        <v>10</v>
      </c>
      <c r="L528" s="611">
        <f t="shared" si="146"/>
        <v>30</v>
      </c>
      <c r="M528" s="621"/>
      <c r="N528" s="621"/>
      <c r="O528" s="621"/>
      <c r="P528" s="622">
        <f t="shared" si="147"/>
        <v>4</v>
      </c>
      <c r="Q528" s="609">
        <f t="shared" si="159"/>
        <v>27.9</v>
      </c>
      <c r="R528" s="620">
        <v>9.5</v>
      </c>
      <c r="S528" s="620">
        <v>8</v>
      </c>
      <c r="T528" s="620">
        <v>8.5</v>
      </c>
      <c r="U528" s="611">
        <f t="shared" si="148"/>
        <v>26</v>
      </c>
      <c r="V528" s="621"/>
      <c r="W528" s="621"/>
      <c r="X528" s="621"/>
      <c r="Y528" s="622">
        <f t="shared" si="149"/>
        <v>-1.8999999999999986</v>
      </c>
      <c r="Z528" s="609">
        <f t="shared" si="160"/>
        <v>27.9</v>
      </c>
      <c r="AA528" s="620">
        <v>12</v>
      </c>
      <c r="AB528" s="620">
        <v>8.9</v>
      </c>
      <c r="AC528" s="620">
        <v>10</v>
      </c>
      <c r="AD528" s="611">
        <f t="shared" si="150"/>
        <v>30.9</v>
      </c>
      <c r="AE528" s="621"/>
      <c r="AF528" s="621"/>
      <c r="AG528" s="621"/>
      <c r="AH528" s="622">
        <f t="shared" si="151"/>
        <v>3</v>
      </c>
      <c r="AI528" s="609">
        <f t="shared" si="161"/>
        <v>26</v>
      </c>
      <c r="AJ528" s="620">
        <v>11</v>
      </c>
      <c r="AK528" s="620">
        <v>7.5</v>
      </c>
      <c r="AL528" s="620">
        <v>9.4</v>
      </c>
      <c r="AM528" s="623">
        <f t="shared" si="152"/>
        <v>27.9</v>
      </c>
      <c r="AN528" s="621"/>
      <c r="AO528" s="621"/>
      <c r="AP528" s="621"/>
      <c r="AQ528" s="622">
        <f t="shared" si="153"/>
        <v>1.8999999999999986</v>
      </c>
      <c r="AR528" s="615">
        <f t="shared" si="162"/>
        <v>29</v>
      </c>
      <c r="AS528" s="620">
        <v>14.5</v>
      </c>
      <c r="AT528" s="620"/>
      <c r="AU528" s="620">
        <v>11.5</v>
      </c>
      <c r="AV528" s="623">
        <f t="shared" si="154"/>
        <v>26</v>
      </c>
      <c r="AW528" s="621">
        <v>4.17</v>
      </c>
      <c r="AX528" s="621">
        <v>3.01</v>
      </c>
      <c r="AY528" s="621">
        <v>90</v>
      </c>
      <c r="AZ528" s="624">
        <f t="shared" si="155"/>
        <v>-3</v>
      </c>
      <c r="BA528" s="623">
        <v>29</v>
      </c>
      <c r="BB528" s="620">
        <v>16</v>
      </c>
      <c r="BC528" s="620">
        <v>14.6</v>
      </c>
      <c r="BD528" s="623">
        <f t="shared" si="156"/>
        <v>30.6</v>
      </c>
      <c r="BE528" s="621"/>
      <c r="BF528" s="621"/>
      <c r="BG528" s="621"/>
      <c r="BH528" s="621">
        <f t="shared" si="157"/>
        <v>-1.6000000000000014</v>
      </c>
    </row>
    <row r="529" spans="1:60" ht="17.25" thickTop="1" thickBot="1" x14ac:dyDescent="0.3">
      <c r="A529" s="77">
        <v>522</v>
      </c>
      <c r="B529" s="603">
        <f t="shared" ca="1" si="145"/>
        <v>43134</v>
      </c>
      <c r="C529" s="29" t="s">
        <v>615</v>
      </c>
      <c r="D529" s="59" t="s">
        <v>2658</v>
      </c>
      <c r="E529" s="22" t="s">
        <v>1449</v>
      </c>
      <c r="F529" s="295" t="s">
        <v>1450</v>
      </c>
      <c r="G529" s="567">
        <v>42839</v>
      </c>
      <c r="H529" s="609">
        <f t="shared" si="158"/>
        <v>19</v>
      </c>
      <c r="I529" s="620">
        <v>11.2</v>
      </c>
      <c r="J529" s="620"/>
      <c r="K529" s="620">
        <v>8</v>
      </c>
      <c r="L529" s="611">
        <f t="shared" si="146"/>
        <v>19.2</v>
      </c>
      <c r="M529" s="621"/>
      <c r="N529" s="621"/>
      <c r="O529" s="621"/>
      <c r="P529" s="622">
        <f t="shared" si="147"/>
        <v>0.19999999999999929</v>
      </c>
      <c r="Q529" s="609">
        <f t="shared" si="159"/>
        <v>24.1</v>
      </c>
      <c r="R529" s="620">
        <v>10</v>
      </c>
      <c r="S529" s="620"/>
      <c r="T529" s="620">
        <v>9</v>
      </c>
      <c r="U529" s="611">
        <f t="shared" si="148"/>
        <v>19</v>
      </c>
      <c r="V529" s="621"/>
      <c r="W529" s="621"/>
      <c r="X529" s="621"/>
      <c r="Y529" s="622">
        <f t="shared" si="149"/>
        <v>-5.1000000000000014</v>
      </c>
      <c r="Z529" s="609">
        <f t="shared" si="160"/>
        <v>24.1</v>
      </c>
      <c r="AA529" s="620">
        <v>7</v>
      </c>
      <c r="AB529" s="620"/>
      <c r="AC529" s="620">
        <v>9.1999999999999993</v>
      </c>
      <c r="AD529" s="611">
        <f t="shared" si="150"/>
        <v>16.2</v>
      </c>
      <c r="AE529" s="621"/>
      <c r="AF529" s="621"/>
      <c r="AG529" s="621"/>
      <c r="AH529" s="622">
        <f t="shared" si="151"/>
        <v>-7.9000000000000021</v>
      </c>
      <c r="AI529" s="609">
        <f t="shared" si="161"/>
        <v>23.2</v>
      </c>
      <c r="AJ529" s="620">
        <v>9.5</v>
      </c>
      <c r="AK529" s="620">
        <v>6.6</v>
      </c>
      <c r="AL529" s="620">
        <v>8</v>
      </c>
      <c r="AM529" s="623">
        <f t="shared" si="152"/>
        <v>24.1</v>
      </c>
      <c r="AN529" s="621"/>
      <c r="AO529" s="621"/>
      <c r="AP529" s="621"/>
      <c r="AQ529" s="622">
        <f t="shared" si="153"/>
        <v>0.90000000000000213</v>
      </c>
      <c r="AR529" s="615">
        <f t="shared" si="162"/>
        <v>38.799999999999997</v>
      </c>
      <c r="AS529" s="620">
        <v>13.2</v>
      </c>
      <c r="AT529" s="620"/>
      <c r="AU529" s="620">
        <v>10</v>
      </c>
      <c r="AV529" s="623">
        <f t="shared" si="154"/>
        <v>23.2</v>
      </c>
      <c r="AW529" s="621">
        <v>4.01</v>
      </c>
      <c r="AX529" s="621">
        <v>3.18</v>
      </c>
      <c r="AY529" s="621">
        <v>90</v>
      </c>
      <c r="AZ529" s="624">
        <f t="shared" si="155"/>
        <v>-15.599999999999998</v>
      </c>
      <c r="BA529" s="623">
        <v>38.799999999999997</v>
      </c>
      <c r="BB529" s="620">
        <v>20</v>
      </c>
      <c r="BC529" s="620">
        <v>19.600000000000001</v>
      </c>
      <c r="BD529" s="623">
        <f t="shared" si="156"/>
        <v>39.6</v>
      </c>
      <c r="BE529" s="621"/>
      <c r="BF529" s="621"/>
      <c r="BG529" s="621"/>
      <c r="BH529" s="621">
        <f t="shared" si="157"/>
        <v>-0.80000000000000426</v>
      </c>
    </row>
    <row r="530" spans="1:60" ht="17.25" thickTop="1" thickBot="1" x14ac:dyDescent="0.3">
      <c r="A530" s="602">
        <v>523</v>
      </c>
      <c r="B530" s="603">
        <f t="shared" ca="1" si="145"/>
        <v>43134</v>
      </c>
      <c r="C530" s="29" t="s">
        <v>615</v>
      </c>
      <c r="D530" s="59" t="s">
        <v>2658</v>
      </c>
      <c r="E530" s="22" t="s">
        <v>1388</v>
      </c>
      <c r="F530" s="295" t="s">
        <v>1387</v>
      </c>
      <c r="G530" s="567">
        <v>42825</v>
      </c>
      <c r="H530" s="609">
        <f t="shared" si="158"/>
        <v>19</v>
      </c>
      <c r="I530" s="620">
        <v>7</v>
      </c>
      <c r="J530" s="620"/>
      <c r="K530" s="620">
        <v>13</v>
      </c>
      <c r="L530" s="611">
        <f t="shared" si="146"/>
        <v>20</v>
      </c>
      <c r="M530" s="621"/>
      <c r="N530" s="621"/>
      <c r="O530" s="621"/>
      <c r="P530" s="622">
        <f t="shared" si="147"/>
        <v>1</v>
      </c>
      <c r="Q530" s="609">
        <f t="shared" si="159"/>
        <v>14.6</v>
      </c>
      <c r="R530" s="620">
        <v>11</v>
      </c>
      <c r="S530" s="620"/>
      <c r="T530" s="620">
        <v>8</v>
      </c>
      <c r="U530" s="611">
        <f t="shared" si="148"/>
        <v>19</v>
      </c>
      <c r="V530" s="621"/>
      <c r="W530" s="621"/>
      <c r="X530" s="621"/>
      <c r="Y530" s="622">
        <f t="shared" si="149"/>
        <v>4.4000000000000004</v>
      </c>
      <c r="Z530" s="609">
        <f t="shared" si="160"/>
        <v>14.6</v>
      </c>
      <c r="AA530" s="620">
        <v>7</v>
      </c>
      <c r="AB530" s="620"/>
      <c r="AC530" s="620">
        <v>14</v>
      </c>
      <c r="AD530" s="611">
        <f t="shared" si="150"/>
        <v>21</v>
      </c>
      <c r="AE530" s="621"/>
      <c r="AF530" s="621"/>
      <c r="AG530" s="621"/>
      <c r="AH530" s="622">
        <f t="shared" si="151"/>
        <v>6.4</v>
      </c>
      <c r="AI530" s="609">
        <f t="shared" si="161"/>
        <v>18</v>
      </c>
      <c r="AJ530" s="620">
        <v>4.5</v>
      </c>
      <c r="AK530" s="620">
        <v>5.5</v>
      </c>
      <c r="AL530" s="620">
        <v>4.5999999999999996</v>
      </c>
      <c r="AM530" s="623">
        <f t="shared" si="152"/>
        <v>14.6</v>
      </c>
      <c r="AN530" s="621"/>
      <c r="AO530" s="621"/>
      <c r="AP530" s="621"/>
      <c r="AQ530" s="622">
        <f t="shared" si="153"/>
        <v>-3.4000000000000004</v>
      </c>
      <c r="AR530" s="615">
        <f t="shared" si="162"/>
        <v>31</v>
      </c>
      <c r="AS530" s="620">
        <v>10.5</v>
      </c>
      <c r="AT530" s="620"/>
      <c r="AU530" s="620">
        <v>7.5</v>
      </c>
      <c r="AV530" s="623">
        <f t="shared" si="154"/>
        <v>18</v>
      </c>
      <c r="AW530" s="621">
        <v>4.8600000000000003</v>
      </c>
      <c r="AX530" s="621">
        <v>3.46</v>
      </c>
      <c r="AY530" s="621">
        <v>90</v>
      </c>
      <c r="AZ530" s="624">
        <f t="shared" si="155"/>
        <v>-13</v>
      </c>
      <c r="BA530" s="623">
        <v>31</v>
      </c>
      <c r="BB530" s="620">
        <v>11.2</v>
      </c>
      <c r="BC530" s="620">
        <v>13</v>
      </c>
      <c r="BD530" s="623">
        <f t="shared" si="156"/>
        <v>24.2</v>
      </c>
      <c r="BE530" s="621"/>
      <c r="BF530" s="621"/>
      <c r="BG530" s="621"/>
      <c r="BH530" s="621">
        <f t="shared" si="157"/>
        <v>6.8000000000000007</v>
      </c>
    </row>
    <row r="531" spans="1:60" ht="17.25" thickTop="1" thickBot="1" x14ac:dyDescent="0.3">
      <c r="A531" s="77">
        <v>524</v>
      </c>
      <c r="B531" s="603">
        <f t="shared" ca="1" si="145"/>
        <v>43134</v>
      </c>
      <c r="C531" s="29" t="s">
        <v>613</v>
      </c>
      <c r="D531" s="59" t="s">
        <v>2180</v>
      </c>
      <c r="E531" s="22" t="s">
        <v>829</v>
      </c>
      <c r="F531" s="295" t="s">
        <v>830</v>
      </c>
      <c r="G531" s="567">
        <v>42619</v>
      </c>
      <c r="H531" s="609">
        <f t="shared" si="158"/>
        <v>20.8</v>
      </c>
      <c r="I531" s="620">
        <v>10.199999999999999</v>
      </c>
      <c r="J531" s="620">
        <v>8</v>
      </c>
      <c r="K531" s="620">
        <v>8</v>
      </c>
      <c r="L531" s="611">
        <f t="shared" si="146"/>
        <v>26.2</v>
      </c>
      <c r="M531" s="621"/>
      <c r="N531" s="621"/>
      <c r="O531" s="621"/>
      <c r="P531" s="622">
        <f t="shared" si="147"/>
        <v>5.3999999999999986</v>
      </c>
      <c r="Q531" s="609">
        <f t="shared" si="159"/>
        <v>0</v>
      </c>
      <c r="R531" s="620">
        <v>7.8</v>
      </c>
      <c r="S531" s="620">
        <v>7</v>
      </c>
      <c r="T531" s="620">
        <v>6</v>
      </c>
      <c r="U531" s="611">
        <f t="shared" si="148"/>
        <v>20.8</v>
      </c>
      <c r="V531" s="621"/>
      <c r="W531" s="621"/>
      <c r="X531" s="621"/>
      <c r="Y531" s="622">
        <f t="shared" si="149"/>
        <v>20.8</v>
      </c>
      <c r="Z531" s="609">
        <f t="shared" si="160"/>
        <v>0</v>
      </c>
      <c r="AA531" s="620">
        <v>10.1</v>
      </c>
      <c r="AB531" s="620">
        <v>8.3000000000000007</v>
      </c>
      <c r="AC531" s="620">
        <v>8.1</v>
      </c>
      <c r="AD531" s="611">
        <f t="shared" si="150"/>
        <v>26.5</v>
      </c>
      <c r="AE531" s="621"/>
      <c r="AF531" s="621"/>
      <c r="AG531" s="621"/>
      <c r="AH531" s="622">
        <f t="shared" si="151"/>
        <v>26.5</v>
      </c>
      <c r="AI531" s="609">
        <f t="shared" si="161"/>
        <v>0</v>
      </c>
      <c r="AJ531" s="620"/>
      <c r="AK531" s="620"/>
      <c r="AL531" s="620"/>
      <c r="AM531" s="623">
        <f t="shared" si="152"/>
        <v>0</v>
      </c>
      <c r="AN531" s="621"/>
      <c r="AO531" s="621"/>
      <c r="AP531" s="621"/>
      <c r="AQ531" s="622">
        <f t="shared" si="153"/>
        <v>0</v>
      </c>
      <c r="AR531" s="615">
        <f t="shared" si="162"/>
        <v>16</v>
      </c>
      <c r="AS531" s="620"/>
      <c r="AT531" s="620"/>
      <c r="AU531" s="620"/>
      <c r="AV531" s="623">
        <f t="shared" si="154"/>
        <v>0</v>
      </c>
      <c r="AW531" s="621"/>
      <c r="AX531" s="621"/>
      <c r="AY531" s="621"/>
      <c r="AZ531" s="624">
        <f t="shared" si="155"/>
        <v>-16</v>
      </c>
      <c r="BA531" s="623">
        <v>16</v>
      </c>
      <c r="BB531" s="620">
        <v>8</v>
      </c>
      <c r="BC531" s="620">
        <v>5.2</v>
      </c>
      <c r="BD531" s="623">
        <f t="shared" si="156"/>
        <v>13.2</v>
      </c>
      <c r="BE531" s="621"/>
      <c r="BF531" s="621"/>
      <c r="BG531" s="621"/>
      <c r="BH531" s="621">
        <f t="shared" si="157"/>
        <v>2.8000000000000007</v>
      </c>
    </row>
    <row r="532" spans="1:60" ht="17.25" thickTop="1" thickBot="1" x14ac:dyDescent="0.3">
      <c r="A532" s="602">
        <v>525</v>
      </c>
      <c r="B532" s="603">
        <f t="shared" ca="1" si="145"/>
        <v>43134</v>
      </c>
      <c r="C532" s="29" t="s">
        <v>613</v>
      </c>
      <c r="D532" s="59" t="s">
        <v>2180</v>
      </c>
      <c r="E532" s="22" t="s">
        <v>209</v>
      </c>
      <c r="F532" s="295" t="s">
        <v>210</v>
      </c>
      <c r="G532" s="567">
        <v>42590</v>
      </c>
      <c r="H532" s="609">
        <f t="shared" si="158"/>
        <v>17.100000000000001</v>
      </c>
      <c r="I532" s="620">
        <v>7</v>
      </c>
      <c r="J532" s="620">
        <v>6</v>
      </c>
      <c r="K532" s="620">
        <v>6</v>
      </c>
      <c r="L532" s="611">
        <f t="shared" si="146"/>
        <v>19</v>
      </c>
      <c r="M532" s="621"/>
      <c r="N532" s="621"/>
      <c r="O532" s="621"/>
      <c r="P532" s="622">
        <f t="shared" si="147"/>
        <v>1.8999999999999986</v>
      </c>
      <c r="Q532" s="609">
        <f t="shared" si="159"/>
        <v>21.4</v>
      </c>
      <c r="R532" s="620">
        <v>5.6</v>
      </c>
      <c r="S532" s="620">
        <v>6</v>
      </c>
      <c r="T532" s="620">
        <v>5.5</v>
      </c>
      <c r="U532" s="611">
        <f t="shared" si="148"/>
        <v>17.100000000000001</v>
      </c>
      <c r="V532" s="621"/>
      <c r="W532" s="621"/>
      <c r="X532" s="621"/>
      <c r="Y532" s="622">
        <f t="shared" si="149"/>
        <v>-4.2999999999999972</v>
      </c>
      <c r="Z532" s="609">
        <f t="shared" si="160"/>
        <v>21.4</v>
      </c>
      <c r="AA532" s="620">
        <v>8.3000000000000007</v>
      </c>
      <c r="AB532" s="620">
        <v>8.5</v>
      </c>
      <c r="AC532" s="620">
        <v>6.8</v>
      </c>
      <c r="AD532" s="611">
        <f t="shared" si="150"/>
        <v>23.6</v>
      </c>
      <c r="AE532" s="621"/>
      <c r="AF532" s="621"/>
      <c r="AG532" s="621"/>
      <c r="AH532" s="622">
        <f t="shared" si="151"/>
        <v>2.2000000000000028</v>
      </c>
      <c r="AI532" s="609">
        <f t="shared" si="161"/>
        <v>0</v>
      </c>
      <c r="AJ532" s="620">
        <v>6.1</v>
      </c>
      <c r="AK532" s="620">
        <v>7.5</v>
      </c>
      <c r="AL532" s="620">
        <v>7.8</v>
      </c>
      <c r="AM532" s="623">
        <f t="shared" si="152"/>
        <v>21.4</v>
      </c>
      <c r="AN532" s="621"/>
      <c r="AO532" s="621"/>
      <c r="AP532" s="621"/>
      <c r="AQ532" s="622">
        <f t="shared" si="153"/>
        <v>21.4</v>
      </c>
      <c r="AR532" s="615">
        <f t="shared" si="162"/>
        <v>10</v>
      </c>
      <c r="AS532" s="620"/>
      <c r="AT532" s="620"/>
      <c r="AU532" s="620"/>
      <c r="AV532" s="623">
        <f t="shared" si="154"/>
        <v>0</v>
      </c>
      <c r="AW532" s="621"/>
      <c r="AX532" s="621"/>
      <c r="AY532" s="621"/>
      <c r="AZ532" s="624">
        <f t="shared" si="155"/>
        <v>-10</v>
      </c>
      <c r="BA532" s="623">
        <v>10</v>
      </c>
      <c r="BB532" s="620">
        <v>5</v>
      </c>
      <c r="BC532" s="620">
        <v>5.3</v>
      </c>
      <c r="BD532" s="623">
        <f t="shared" si="156"/>
        <v>10.3</v>
      </c>
      <c r="BE532" s="621"/>
      <c r="BF532" s="621"/>
      <c r="BG532" s="621"/>
      <c r="BH532" s="621">
        <f t="shared" si="157"/>
        <v>-0.30000000000000071</v>
      </c>
    </row>
    <row r="533" spans="1:60" ht="17.25" thickTop="1" thickBot="1" x14ac:dyDescent="0.3">
      <c r="A533" s="77">
        <v>526</v>
      </c>
      <c r="B533" s="603">
        <f t="shared" ca="1" si="145"/>
        <v>43134</v>
      </c>
      <c r="C533" s="29" t="s">
        <v>613</v>
      </c>
      <c r="D533" s="59" t="s">
        <v>2180</v>
      </c>
      <c r="E533" s="22" t="s">
        <v>227</v>
      </c>
      <c r="F533" s="27" t="s">
        <v>228</v>
      </c>
      <c r="G533" s="567">
        <v>42585</v>
      </c>
      <c r="H533" s="609">
        <f t="shared" si="158"/>
        <v>30.2</v>
      </c>
      <c r="I533" s="620">
        <v>10</v>
      </c>
      <c r="J533" s="620">
        <v>9</v>
      </c>
      <c r="K533" s="620">
        <v>8.1999999999999993</v>
      </c>
      <c r="L533" s="611">
        <f t="shared" si="146"/>
        <v>27.2</v>
      </c>
      <c r="M533" s="621"/>
      <c r="N533" s="621"/>
      <c r="O533" s="621"/>
      <c r="P533" s="622">
        <f t="shared" si="147"/>
        <v>-3</v>
      </c>
      <c r="Q533" s="609">
        <f t="shared" si="159"/>
        <v>30.700000000000003</v>
      </c>
      <c r="R533" s="620">
        <v>11</v>
      </c>
      <c r="S533" s="620">
        <v>10</v>
      </c>
      <c r="T533" s="620">
        <v>9.1999999999999993</v>
      </c>
      <c r="U533" s="611">
        <f t="shared" si="148"/>
        <v>30.2</v>
      </c>
      <c r="V533" s="621"/>
      <c r="W533" s="621"/>
      <c r="X533" s="621"/>
      <c r="Y533" s="622">
        <f t="shared" si="149"/>
        <v>-0.50000000000000355</v>
      </c>
      <c r="Z533" s="609">
        <f t="shared" si="160"/>
        <v>30.700000000000003</v>
      </c>
      <c r="AA533" s="620">
        <v>19.399999999999999</v>
      </c>
      <c r="AB533" s="620">
        <v>12.2</v>
      </c>
      <c r="AC533" s="620">
        <v>9</v>
      </c>
      <c r="AD533" s="611">
        <f t="shared" si="150"/>
        <v>40.599999999999994</v>
      </c>
      <c r="AE533" s="621"/>
      <c r="AF533" s="621"/>
      <c r="AG533" s="621"/>
      <c r="AH533" s="622">
        <f t="shared" si="151"/>
        <v>9.8999999999999915</v>
      </c>
      <c r="AI533" s="609">
        <f t="shared" si="161"/>
        <v>0</v>
      </c>
      <c r="AJ533" s="620">
        <v>9.3000000000000007</v>
      </c>
      <c r="AK533" s="620">
        <v>11</v>
      </c>
      <c r="AL533" s="620">
        <v>10.4</v>
      </c>
      <c r="AM533" s="623">
        <f t="shared" si="152"/>
        <v>30.700000000000003</v>
      </c>
      <c r="AN533" s="621"/>
      <c r="AO533" s="621"/>
      <c r="AP533" s="621"/>
      <c r="AQ533" s="622">
        <f t="shared" si="153"/>
        <v>30.700000000000003</v>
      </c>
      <c r="AR533" s="615">
        <f t="shared" si="162"/>
        <v>23.5</v>
      </c>
      <c r="AS533" s="620"/>
      <c r="AT533" s="620"/>
      <c r="AU533" s="620"/>
      <c r="AV533" s="623">
        <f t="shared" si="154"/>
        <v>0</v>
      </c>
      <c r="AW533" s="621"/>
      <c r="AX533" s="621"/>
      <c r="AY533" s="621"/>
      <c r="AZ533" s="624">
        <f t="shared" si="155"/>
        <v>-23.5</v>
      </c>
      <c r="BA533" s="623">
        <v>23.5</v>
      </c>
      <c r="BB533" s="620">
        <v>9.1999999999999993</v>
      </c>
      <c r="BC533" s="620">
        <v>8.6</v>
      </c>
      <c r="BD533" s="623">
        <f t="shared" si="156"/>
        <v>17.799999999999997</v>
      </c>
      <c r="BE533" s="621"/>
      <c r="BF533" s="621"/>
      <c r="BG533" s="621"/>
      <c r="BH533" s="621">
        <f t="shared" si="157"/>
        <v>5.7000000000000028</v>
      </c>
    </row>
    <row r="534" spans="1:60" ht="17.25" thickTop="1" thickBot="1" x14ac:dyDescent="0.3">
      <c r="A534" s="602">
        <v>527</v>
      </c>
      <c r="B534" s="603">
        <f t="shared" ca="1" si="145"/>
        <v>43134</v>
      </c>
      <c r="C534" s="29" t="s">
        <v>613</v>
      </c>
      <c r="D534" s="59" t="s">
        <v>2180</v>
      </c>
      <c r="E534" s="22" t="s">
        <v>96</v>
      </c>
      <c r="F534" s="27" t="s">
        <v>498</v>
      </c>
      <c r="G534" s="567">
        <v>42584</v>
      </c>
      <c r="H534" s="609">
        <f t="shared" si="158"/>
        <v>20.5</v>
      </c>
      <c r="I534" s="620">
        <v>9</v>
      </c>
      <c r="J534" s="620">
        <v>8.4</v>
      </c>
      <c r="K534" s="620">
        <v>7</v>
      </c>
      <c r="L534" s="611">
        <f t="shared" si="146"/>
        <v>24.4</v>
      </c>
      <c r="M534" s="621"/>
      <c r="N534" s="621"/>
      <c r="O534" s="621"/>
      <c r="P534" s="622">
        <f t="shared" si="147"/>
        <v>3.8999999999999986</v>
      </c>
      <c r="Q534" s="609">
        <f t="shared" si="159"/>
        <v>13</v>
      </c>
      <c r="R534" s="620">
        <v>6.5</v>
      </c>
      <c r="S534" s="620">
        <v>7</v>
      </c>
      <c r="T534" s="620">
        <v>7</v>
      </c>
      <c r="U534" s="611">
        <f t="shared" si="148"/>
        <v>20.5</v>
      </c>
      <c r="V534" s="621"/>
      <c r="W534" s="621"/>
      <c r="X534" s="621"/>
      <c r="Y534" s="622">
        <f t="shared" si="149"/>
        <v>7.5</v>
      </c>
      <c r="Z534" s="609">
        <f t="shared" si="160"/>
        <v>13</v>
      </c>
      <c r="AA534" s="620">
        <v>11</v>
      </c>
      <c r="AB534" s="620">
        <v>9.6</v>
      </c>
      <c r="AC534" s="620">
        <v>9</v>
      </c>
      <c r="AD534" s="611">
        <f t="shared" si="150"/>
        <v>29.6</v>
      </c>
      <c r="AE534" s="621"/>
      <c r="AF534" s="621"/>
      <c r="AG534" s="621"/>
      <c r="AH534" s="622">
        <f t="shared" si="151"/>
        <v>16.600000000000001</v>
      </c>
      <c r="AI534" s="609">
        <f t="shared" si="161"/>
        <v>0</v>
      </c>
      <c r="AJ534" s="620">
        <v>3</v>
      </c>
      <c r="AK534" s="620">
        <v>5</v>
      </c>
      <c r="AL534" s="620">
        <v>5</v>
      </c>
      <c r="AM534" s="623">
        <f t="shared" si="152"/>
        <v>13</v>
      </c>
      <c r="AN534" s="621"/>
      <c r="AO534" s="621"/>
      <c r="AP534" s="621"/>
      <c r="AQ534" s="622">
        <f t="shared" si="153"/>
        <v>13</v>
      </c>
      <c r="AR534" s="615">
        <f t="shared" si="162"/>
        <v>11.9</v>
      </c>
      <c r="AS534" s="620"/>
      <c r="AT534" s="620"/>
      <c r="AU534" s="620"/>
      <c r="AV534" s="623">
        <f t="shared" si="154"/>
        <v>0</v>
      </c>
      <c r="AW534" s="621"/>
      <c r="AX534" s="621"/>
      <c r="AY534" s="621"/>
      <c r="AZ534" s="624">
        <f t="shared" si="155"/>
        <v>-11.9</v>
      </c>
      <c r="BA534" s="623">
        <v>11.9</v>
      </c>
      <c r="BB534" s="620">
        <v>4.2</v>
      </c>
      <c r="BC534" s="620">
        <v>5</v>
      </c>
      <c r="BD534" s="623">
        <f t="shared" si="156"/>
        <v>9.1999999999999993</v>
      </c>
      <c r="BE534" s="621"/>
      <c r="BF534" s="621"/>
      <c r="BG534" s="621"/>
      <c r="BH534" s="621">
        <f t="shared" si="157"/>
        <v>2.7000000000000011</v>
      </c>
    </row>
    <row r="535" spans="1:60" ht="17.25" thickTop="1" thickBot="1" x14ac:dyDescent="0.3">
      <c r="A535" s="77">
        <v>528</v>
      </c>
      <c r="B535" s="603">
        <f t="shared" ca="1" si="145"/>
        <v>43134</v>
      </c>
      <c r="C535" s="29" t="s">
        <v>613</v>
      </c>
      <c r="D535" s="59" t="s">
        <v>2180</v>
      </c>
      <c r="E535" s="22" t="s">
        <v>1338</v>
      </c>
      <c r="F535" s="295" t="s">
        <v>1222</v>
      </c>
      <c r="G535" s="567">
        <v>42571</v>
      </c>
      <c r="H535" s="609">
        <f t="shared" si="158"/>
        <v>28.5</v>
      </c>
      <c r="I535" s="620">
        <v>13</v>
      </c>
      <c r="J535" s="620">
        <v>11</v>
      </c>
      <c r="K535" s="620">
        <v>9</v>
      </c>
      <c r="L535" s="611">
        <f t="shared" si="146"/>
        <v>33</v>
      </c>
      <c r="M535" s="621"/>
      <c r="N535" s="621"/>
      <c r="O535" s="621"/>
      <c r="P535" s="622">
        <f t="shared" si="147"/>
        <v>4.5</v>
      </c>
      <c r="Q535" s="609">
        <f t="shared" si="159"/>
        <v>0</v>
      </c>
      <c r="R535" s="620">
        <v>11</v>
      </c>
      <c r="S535" s="620">
        <v>9.5</v>
      </c>
      <c r="T535" s="620">
        <v>8</v>
      </c>
      <c r="U535" s="611">
        <f t="shared" si="148"/>
        <v>28.5</v>
      </c>
      <c r="V535" s="621"/>
      <c r="W535" s="621"/>
      <c r="X535" s="621"/>
      <c r="Y535" s="622">
        <f t="shared" si="149"/>
        <v>28.5</v>
      </c>
      <c r="Z535" s="609">
        <f t="shared" si="160"/>
        <v>0</v>
      </c>
      <c r="AA535" s="620">
        <v>7.5</v>
      </c>
      <c r="AB535" s="620">
        <v>11.4</v>
      </c>
      <c r="AC535" s="620">
        <v>10.199999999999999</v>
      </c>
      <c r="AD535" s="611">
        <f t="shared" si="150"/>
        <v>29.099999999999998</v>
      </c>
      <c r="AE535" s="621"/>
      <c r="AF535" s="621"/>
      <c r="AG535" s="621"/>
      <c r="AH535" s="622">
        <f t="shared" si="151"/>
        <v>29.099999999999998</v>
      </c>
      <c r="AI535" s="609">
        <f t="shared" si="161"/>
        <v>0</v>
      </c>
      <c r="AJ535" s="620"/>
      <c r="AK535" s="620"/>
      <c r="AL535" s="620"/>
      <c r="AM535" s="623">
        <f t="shared" si="152"/>
        <v>0</v>
      </c>
      <c r="AN535" s="621"/>
      <c r="AO535" s="621"/>
      <c r="AP535" s="621"/>
      <c r="AQ535" s="622">
        <f t="shared" si="153"/>
        <v>0</v>
      </c>
      <c r="AR535" s="615">
        <f t="shared" si="162"/>
        <v>26.2</v>
      </c>
      <c r="AS535" s="620"/>
      <c r="AT535" s="620"/>
      <c r="AU535" s="620"/>
      <c r="AV535" s="623">
        <f t="shared" si="154"/>
        <v>0</v>
      </c>
      <c r="AW535" s="621"/>
      <c r="AX535" s="621"/>
      <c r="AY535" s="621"/>
      <c r="AZ535" s="624">
        <f t="shared" si="155"/>
        <v>-26.2</v>
      </c>
      <c r="BA535" s="623">
        <v>26.2</v>
      </c>
      <c r="BB535" s="620">
        <v>16</v>
      </c>
      <c r="BC535" s="620">
        <v>11.2</v>
      </c>
      <c r="BD535" s="623">
        <f t="shared" si="156"/>
        <v>27.2</v>
      </c>
      <c r="BE535" s="621"/>
      <c r="BF535" s="621"/>
      <c r="BG535" s="621"/>
      <c r="BH535" s="621">
        <f t="shared" si="157"/>
        <v>-1</v>
      </c>
    </row>
    <row r="536" spans="1:60" ht="17.25" thickTop="1" thickBot="1" x14ac:dyDescent="0.3">
      <c r="A536" s="602">
        <v>529</v>
      </c>
      <c r="B536" s="603">
        <f t="shared" ca="1" si="145"/>
        <v>43134</v>
      </c>
      <c r="C536" s="29" t="s">
        <v>613</v>
      </c>
      <c r="D536" s="59" t="s">
        <v>904</v>
      </c>
      <c r="E536" s="22" t="s">
        <v>73</v>
      </c>
      <c r="F536" s="295" t="s">
        <v>74</v>
      </c>
      <c r="G536" s="567">
        <v>42528</v>
      </c>
      <c r="H536" s="609">
        <f t="shared" si="158"/>
        <v>12</v>
      </c>
      <c r="I536" s="620">
        <v>10</v>
      </c>
      <c r="J536" s="620">
        <v>5</v>
      </c>
      <c r="K536" s="620">
        <v>6</v>
      </c>
      <c r="L536" s="611">
        <f t="shared" si="146"/>
        <v>21</v>
      </c>
      <c r="M536" s="621"/>
      <c r="N536" s="621"/>
      <c r="O536" s="621"/>
      <c r="P536" s="622">
        <f t="shared" si="147"/>
        <v>9</v>
      </c>
      <c r="Q536" s="609">
        <f t="shared" si="159"/>
        <v>0</v>
      </c>
      <c r="R536" s="620">
        <v>5</v>
      </c>
      <c r="S536" s="620">
        <v>4</v>
      </c>
      <c r="T536" s="620">
        <v>3</v>
      </c>
      <c r="U536" s="611">
        <f t="shared" si="148"/>
        <v>12</v>
      </c>
      <c r="V536" s="621"/>
      <c r="W536" s="621"/>
      <c r="X536" s="621"/>
      <c r="Y536" s="622">
        <f t="shared" si="149"/>
        <v>12</v>
      </c>
      <c r="Z536" s="609">
        <f t="shared" si="160"/>
        <v>0</v>
      </c>
      <c r="AA536" s="620">
        <v>7.7</v>
      </c>
      <c r="AB536" s="620">
        <v>11.5</v>
      </c>
      <c r="AC536" s="620">
        <v>11.6</v>
      </c>
      <c r="AD536" s="611">
        <f t="shared" si="150"/>
        <v>30.799999999999997</v>
      </c>
      <c r="AE536" s="621"/>
      <c r="AF536" s="621"/>
      <c r="AG536" s="621"/>
      <c r="AH536" s="622">
        <f t="shared" si="151"/>
        <v>30.799999999999997</v>
      </c>
      <c r="AI536" s="609">
        <f t="shared" si="161"/>
        <v>0</v>
      </c>
      <c r="AJ536" s="620"/>
      <c r="AK536" s="620"/>
      <c r="AL536" s="620"/>
      <c r="AM536" s="623">
        <f t="shared" si="152"/>
        <v>0</v>
      </c>
      <c r="AN536" s="621"/>
      <c r="AO536" s="621"/>
      <c r="AP536" s="621"/>
      <c r="AQ536" s="622">
        <f t="shared" si="153"/>
        <v>0</v>
      </c>
      <c r="AR536" s="615">
        <f t="shared" si="162"/>
        <v>12.1</v>
      </c>
      <c r="AS536" s="620"/>
      <c r="AT536" s="620"/>
      <c r="AU536" s="620"/>
      <c r="AV536" s="623">
        <f t="shared" si="154"/>
        <v>0</v>
      </c>
      <c r="AW536" s="621"/>
      <c r="AX536" s="621"/>
      <c r="AY536" s="621"/>
      <c r="AZ536" s="624">
        <f t="shared" si="155"/>
        <v>-12.1</v>
      </c>
      <c r="BA536" s="623">
        <v>12.1</v>
      </c>
      <c r="BB536" s="620">
        <v>7</v>
      </c>
      <c r="BC536" s="620">
        <v>1</v>
      </c>
      <c r="BD536" s="623">
        <f t="shared" si="156"/>
        <v>8</v>
      </c>
      <c r="BE536" s="621"/>
      <c r="BF536" s="621"/>
      <c r="BG536" s="621"/>
      <c r="BH536" s="621">
        <f t="shared" si="157"/>
        <v>4.0999999999999996</v>
      </c>
    </row>
    <row r="537" spans="1:60" ht="17.25" thickTop="1" thickBot="1" x14ac:dyDescent="0.3">
      <c r="A537" s="77">
        <v>530</v>
      </c>
      <c r="B537" s="603">
        <f t="shared" ca="1" si="145"/>
        <v>43134</v>
      </c>
      <c r="C537" s="29" t="s">
        <v>613</v>
      </c>
      <c r="D537" s="59" t="s">
        <v>904</v>
      </c>
      <c r="E537" s="22" t="s">
        <v>1093</v>
      </c>
      <c r="F537" s="295" t="s">
        <v>1147</v>
      </c>
      <c r="G537" s="567">
        <v>42557</v>
      </c>
      <c r="H537" s="609">
        <f t="shared" si="158"/>
        <v>17.100000000000001</v>
      </c>
      <c r="I537" s="620">
        <v>10</v>
      </c>
      <c r="J537" s="620">
        <v>9</v>
      </c>
      <c r="K537" s="620">
        <v>6</v>
      </c>
      <c r="L537" s="611">
        <f t="shared" si="146"/>
        <v>25</v>
      </c>
      <c r="M537" s="621"/>
      <c r="N537" s="621"/>
      <c r="O537" s="621"/>
      <c r="P537" s="622">
        <f t="shared" si="147"/>
        <v>7.8999999999999986</v>
      </c>
      <c r="Q537" s="609">
        <f t="shared" si="159"/>
        <v>0</v>
      </c>
      <c r="R537" s="620">
        <v>5.6</v>
      </c>
      <c r="S537" s="620">
        <v>6.5</v>
      </c>
      <c r="T537" s="620">
        <v>5</v>
      </c>
      <c r="U537" s="611">
        <f t="shared" si="148"/>
        <v>17.100000000000001</v>
      </c>
      <c r="V537" s="621"/>
      <c r="W537" s="621"/>
      <c r="X537" s="621"/>
      <c r="Y537" s="622">
        <f t="shared" si="149"/>
        <v>17.100000000000001</v>
      </c>
      <c r="Z537" s="609">
        <f t="shared" si="160"/>
        <v>0</v>
      </c>
      <c r="AA537" s="620">
        <v>12.5</v>
      </c>
      <c r="AB537" s="620">
        <v>8.1999999999999993</v>
      </c>
      <c r="AC537" s="620">
        <v>10</v>
      </c>
      <c r="AD537" s="611">
        <f t="shared" si="150"/>
        <v>30.7</v>
      </c>
      <c r="AE537" s="621"/>
      <c r="AF537" s="621"/>
      <c r="AG537" s="621"/>
      <c r="AH537" s="622">
        <f t="shared" si="151"/>
        <v>30.7</v>
      </c>
      <c r="AI537" s="609">
        <f t="shared" si="161"/>
        <v>0</v>
      </c>
      <c r="AJ537" s="620"/>
      <c r="AK537" s="620"/>
      <c r="AL537" s="620"/>
      <c r="AM537" s="623">
        <f t="shared" si="152"/>
        <v>0</v>
      </c>
      <c r="AN537" s="621"/>
      <c r="AO537" s="621"/>
      <c r="AP537" s="621"/>
      <c r="AQ537" s="622">
        <f t="shared" si="153"/>
        <v>0</v>
      </c>
      <c r="AR537" s="615">
        <f t="shared" si="162"/>
        <v>22</v>
      </c>
      <c r="AS537" s="620"/>
      <c r="AT537" s="620"/>
      <c r="AU537" s="620"/>
      <c r="AV537" s="623">
        <f t="shared" si="154"/>
        <v>0</v>
      </c>
      <c r="AW537" s="621"/>
      <c r="AX537" s="621"/>
      <c r="AY537" s="621"/>
      <c r="AZ537" s="624">
        <f t="shared" si="155"/>
        <v>-22</v>
      </c>
      <c r="BA537" s="623">
        <v>22</v>
      </c>
      <c r="BB537" s="620">
        <v>10</v>
      </c>
      <c r="BC537" s="620">
        <v>9</v>
      </c>
      <c r="BD537" s="623">
        <f t="shared" si="156"/>
        <v>19</v>
      </c>
      <c r="BE537" s="621"/>
      <c r="BF537" s="621"/>
      <c r="BG537" s="621"/>
      <c r="BH537" s="621">
        <f t="shared" si="157"/>
        <v>3</v>
      </c>
    </row>
    <row r="538" spans="1:60" ht="17.25" thickTop="1" thickBot="1" x14ac:dyDescent="0.3">
      <c r="A538" s="602">
        <v>531</v>
      </c>
      <c r="B538" s="603">
        <f t="shared" ca="1" si="145"/>
        <v>43134</v>
      </c>
      <c r="C538" s="29" t="s">
        <v>613</v>
      </c>
      <c r="D538" s="59" t="s">
        <v>904</v>
      </c>
      <c r="E538" s="22" t="s">
        <v>1349</v>
      </c>
      <c r="F538" s="295" t="s">
        <v>1233</v>
      </c>
      <c r="G538" s="567">
        <v>42626</v>
      </c>
      <c r="H538" s="609">
        <f t="shared" si="158"/>
        <v>25</v>
      </c>
      <c r="I538" s="620">
        <v>12</v>
      </c>
      <c r="J538" s="620">
        <v>10</v>
      </c>
      <c r="K538" s="620">
        <v>8</v>
      </c>
      <c r="L538" s="611">
        <f t="shared" si="146"/>
        <v>30</v>
      </c>
      <c r="M538" s="621"/>
      <c r="N538" s="621"/>
      <c r="O538" s="621"/>
      <c r="P538" s="622">
        <f t="shared" si="147"/>
        <v>5</v>
      </c>
      <c r="Q538" s="609">
        <f t="shared" si="159"/>
        <v>0</v>
      </c>
      <c r="R538" s="620">
        <v>10</v>
      </c>
      <c r="S538" s="620">
        <v>9</v>
      </c>
      <c r="T538" s="620">
        <v>6</v>
      </c>
      <c r="U538" s="611">
        <f t="shared" si="148"/>
        <v>25</v>
      </c>
      <c r="V538" s="621"/>
      <c r="W538" s="621"/>
      <c r="X538" s="621"/>
      <c r="Y538" s="622">
        <f t="shared" si="149"/>
        <v>25</v>
      </c>
      <c r="Z538" s="609">
        <f t="shared" si="160"/>
        <v>0</v>
      </c>
      <c r="AA538" s="620">
        <v>12.1</v>
      </c>
      <c r="AB538" s="620">
        <v>13.1</v>
      </c>
      <c r="AC538" s="620">
        <v>14.7</v>
      </c>
      <c r="AD538" s="611">
        <f t="shared" si="150"/>
        <v>39.9</v>
      </c>
      <c r="AE538" s="621"/>
      <c r="AF538" s="621"/>
      <c r="AG538" s="621"/>
      <c r="AH538" s="622">
        <f t="shared" si="151"/>
        <v>39.9</v>
      </c>
      <c r="AI538" s="609">
        <f t="shared" si="161"/>
        <v>0</v>
      </c>
      <c r="AJ538" s="620"/>
      <c r="AK538" s="620"/>
      <c r="AL538" s="620"/>
      <c r="AM538" s="623">
        <f t="shared" si="152"/>
        <v>0</v>
      </c>
      <c r="AN538" s="621"/>
      <c r="AO538" s="621"/>
      <c r="AP538" s="621"/>
      <c r="AQ538" s="622">
        <f t="shared" si="153"/>
        <v>0</v>
      </c>
      <c r="AR538" s="615">
        <f t="shared" si="162"/>
        <v>33</v>
      </c>
      <c r="AS538" s="620"/>
      <c r="AT538" s="620"/>
      <c r="AU538" s="620"/>
      <c r="AV538" s="623">
        <f t="shared" si="154"/>
        <v>0</v>
      </c>
      <c r="AW538" s="621"/>
      <c r="AX538" s="621"/>
      <c r="AY538" s="621"/>
      <c r="AZ538" s="624">
        <f t="shared" si="155"/>
        <v>-33</v>
      </c>
      <c r="BA538" s="623">
        <v>33</v>
      </c>
      <c r="BB538" s="620">
        <v>13</v>
      </c>
      <c r="BC538" s="620">
        <v>10</v>
      </c>
      <c r="BD538" s="623">
        <f t="shared" si="156"/>
        <v>23</v>
      </c>
      <c r="BE538" s="621"/>
      <c r="BF538" s="621"/>
      <c r="BG538" s="621"/>
      <c r="BH538" s="621">
        <f t="shared" si="157"/>
        <v>10</v>
      </c>
    </row>
    <row r="539" spans="1:60" ht="17.25" thickTop="1" thickBot="1" x14ac:dyDescent="0.3">
      <c r="A539" s="77">
        <v>532</v>
      </c>
      <c r="B539" s="603">
        <f t="shared" ca="1" si="145"/>
        <v>43134</v>
      </c>
      <c r="C539" s="29" t="s">
        <v>613</v>
      </c>
      <c r="D539" s="59" t="s">
        <v>904</v>
      </c>
      <c r="E539" s="22" t="s">
        <v>840</v>
      </c>
      <c r="F539" s="295" t="s">
        <v>841</v>
      </c>
      <c r="G539" s="567">
        <v>42543</v>
      </c>
      <c r="H539" s="609">
        <f t="shared" si="158"/>
        <v>21.6</v>
      </c>
      <c r="I539" s="620">
        <v>7</v>
      </c>
      <c r="J539" s="620">
        <v>6</v>
      </c>
      <c r="K539" s="620">
        <v>8</v>
      </c>
      <c r="L539" s="611">
        <f t="shared" si="146"/>
        <v>21</v>
      </c>
      <c r="M539" s="621"/>
      <c r="N539" s="621"/>
      <c r="O539" s="621"/>
      <c r="P539" s="622">
        <f t="shared" si="147"/>
        <v>-0.60000000000000142</v>
      </c>
      <c r="Q539" s="609">
        <f t="shared" si="159"/>
        <v>0</v>
      </c>
      <c r="R539" s="620">
        <v>7.6</v>
      </c>
      <c r="S539" s="620">
        <v>7</v>
      </c>
      <c r="T539" s="620">
        <v>7</v>
      </c>
      <c r="U539" s="611">
        <f t="shared" si="148"/>
        <v>21.6</v>
      </c>
      <c r="V539" s="621"/>
      <c r="W539" s="621"/>
      <c r="X539" s="621"/>
      <c r="Y539" s="622">
        <f t="shared" si="149"/>
        <v>21.6</v>
      </c>
      <c r="Z539" s="609">
        <f t="shared" si="160"/>
        <v>0</v>
      </c>
      <c r="AA539" s="620">
        <v>6.2</v>
      </c>
      <c r="AB539" s="620">
        <v>10.8</v>
      </c>
      <c r="AC539" s="620">
        <v>10.199999999999999</v>
      </c>
      <c r="AD539" s="611">
        <f t="shared" si="150"/>
        <v>27.2</v>
      </c>
      <c r="AE539" s="621"/>
      <c r="AF539" s="621"/>
      <c r="AG539" s="621"/>
      <c r="AH539" s="622">
        <f t="shared" si="151"/>
        <v>27.2</v>
      </c>
      <c r="AI539" s="609">
        <f t="shared" si="161"/>
        <v>0</v>
      </c>
      <c r="AJ539" s="620"/>
      <c r="AK539" s="620"/>
      <c r="AL539" s="620"/>
      <c r="AM539" s="623">
        <f t="shared" si="152"/>
        <v>0</v>
      </c>
      <c r="AN539" s="621"/>
      <c r="AO539" s="621"/>
      <c r="AP539" s="621"/>
      <c r="AQ539" s="622">
        <f t="shared" si="153"/>
        <v>0</v>
      </c>
      <c r="AR539" s="615">
        <f t="shared" si="162"/>
        <v>17.2</v>
      </c>
      <c r="AS539" s="620"/>
      <c r="AT539" s="620"/>
      <c r="AU539" s="620"/>
      <c r="AV539" s="623">
        <f t="shared" si="154"/>
        <v>0</v>
      </c>
      <c r="AW539" s="621"/>
      <c r="AX539" s="621"/>
      <c r="AY539" s="621"/>
      <c r="AZ539" s="624">
        <f t="shared" si="155"/>
        <v>-17.2</v>
      </c>
      <c r="BA539" s="623">
        <v>17.2</v>
      </c>
      <c r="BB539" s="620">
        <v>5</v>
      </c>
      <c r="BC539" s="620">
        <v>3</v>
      </c>
      <c r="BD539" s="623">
        <f t="shared" si="156"/>
        <v>8</v>
      </c>
      <c r="BE539" s="621"/>
      <c r="BF539" s="621"/>
      <c r="BG539" s="621"/>
      <c r="BH539" s="621">
        <f t="shared" si="157"/>
        <v>9.1999999999999993</v>
      </c>
    </row>
    <row r="540" spans="1:60" ht="17.25" thickTop="1" thickBot="1" x14ac:dyDescent="0.3">
      <c r="A540" s="602">
        <v>533</v>
      </c>
      <c r="B540" s="603">
        <f t="shared" ca="1" si="145"/>
        <v>43134</v>
      </c>
      <c r="C540" s="29" t="s">
        <v>613</v>
      </c>
      <c r="D540" s="59" t="s">
        <v>903</v>
      </c>
      <c r="E540" s="22" t="s">
        <v>519</v>
      </c>
      <c r="F540" s="27" t="s">
        <v>520</v>
      </c>
      <c r="G540" s="567">
        <v>42593</v>
      </c>
      <c r="H540" s="609">
        <f t="shared" si="158"/>
        <v>21.8</v>
      </c>
      <c r="I540" s="620"/>
      <c r="J540" s="620"/>
      <c r="K540" s="620"/>
      <c r="L540" s="611">
        <f t="shared" si="146"/>
        <v>0</v>
      </c>
      <c r="M540" s="621"/>
      <c r="N540" s="621"/>
      <c r="O540" s="621"/>
      <c r="P540" s="622">
        <f t="shared" si="147"/>
        <v>-21.8</v>
      </c>
      <c r="Q540" s="609">
        <f t="shared" si="159"/>
        <v>0</v>
      </c>
      <c r="R540" s="620">
        <v>7.2</v>
      </c>
      <c r="S540" s="620"/>
      <c r="T540" s="620">
        <v>14.6</v>
      </c>
      <c r="U540" s="611">
        <f t="shared" si="148"/>
        <v>21.8</v>
      </c>
      <c r="V540" s="621"/>
      <c r="W540" s="621"/>
      <c r="X540" s="621"/>
      <c r="Y540" s="622">
        <f t="shared" si="149"/>
        <v>21.8</v>
      </c>
      <c r="Z540" s="609">
        <f t="shared" si="160"/>
        <v>0</v>
      </c>
      <c r="AA540" s="620">
        <v>8.1</v>
      </c>
      <c r="AB540" s="620">
        <v>11.6</v>
      </c>
      <c r="AC540" s="620">
        <v>9.6999999999999993</v>
      </c>
      <c r="AD540" s="611">
        <f t="shared" si="150"/>
        <v>29.4</v>
      </c>
      <c r="AE540" s="621"/>
      <c r="AF540" s="621"/>
      <c r="AG540" s="621"/>
      <c r="AH540" s="622">
        <f t="shared" si="151"/>
        <v>29.4</v>
      </c>
      <c r="AI540" s="609">
        <f t="shared" si="161"/>
        <v>0</v>
      </c>
      <c r="AJ540" s="620"/>
      <c r="AK540" s="620"/>
      <c r="AL540" s="620"/>
      <c r="AM540" s="623">
        <f t="shared" si="152"/>
        <v>0</v>
      </c>
      <c r="AN540" s="621"/>
      <c r="AO540" s="621"/>
      <c r="AP540" s="621"/>
      <c r="AQ540" s="622">
        <f t="shared" si="153"/>
        <v>0</v>
      </c>
      <c r="AR540" s="615">
        <f t="shared" si="162"/>
        <v>25</v>
      </c>
      <c r="AS540" s="620"/>
      <c r="AT540" s="620"/>
      <c r="AU540" s="620"/>
      <c r="AV540" s="623">
        <f t="shared" si="154"/>
        <v>0</v>
      </c>
      <c r="AW540" s="621"/>
      <c r="AX540" s="621"/>
      <c r="AY540" s="621"/>
      <c r="AZ540" s="624">
        <f t="shared" si="155"/>
        <v>-25</v>
      </c>
      <c r="BA540" s="623">
        <v>25</v>
      </c>
      <c r="BB540" s="620">
        <v>10.5</v>
      </c>
      <c r="BC540" s="620">
        <v>11</v>
      </c>
      <c r="BD540" s="623">
        <f t="shared" si="156"/>
        <v>21.5</v>
      </c>
      <c r="BE540" s="621"/>
      <c r="BF540" s="621"/>
      <c r="BG540" s="621"/>
      <c r="BH540" s="621">
        <f t="shared" si="157"/>
        <v>3.5</v>
      </c>
    </row>
    <row r="541" spans="1:60" ht="17.25" thickTop="1" thickBot="1" x14ac:dyDescent="0.3">
      <c r="A541" s="77">
        <v>534</v>
      </c>
      <c r="B541" s="603">
        <f t="shared" ca="1" si="145"/>
        <v>43134</v>
      </c>
      <c r="C541" s="29" t="s">
        <v>613</v>
      </c>
      <c r="D541" s="59" t="s">
        <v>903</v>
      </c>
      <c r="E541" s="22" t="s">
        <v>1054</v>
      </c>
      <c r="F541" s="27" t="s">
        <v>949</v>
      </c>
      <c r="G541" s="567">
        <v>42632</v>
      </c>
      <c r="H541" s="609">
        <f t="shared" si="158"/>
        <v>24.5</v>
      </c>
      <c r="I541" s="620">
        <v>7.5</v>
      </c>
      <c r="J541" s="620">
        <v>9.4</v>
      </c>
      <c r="K541" s="620">
        <v>6.8</v>
      </c>
      <c r="L541" s="611">
        <f t="shared" si="146"/>
        <v>23.7</v>
      </c>
      <c r="M541" s="621"/>
      <c r="N541" s="621"/>
      <c r="O541" s="621"/>
      <c r="P541" s="622">
        <f t="shared" si="147"/>
        <v>-0.80000000000000071</v>
      </c>
      <c r="Q541" s="609">
        <f t="shared" si="159"/>
        <v>0</v>
      </c>
      <c r="R541" s="620">
        <v>9.5</v>
      </c>
      <c r="S541" s="620">
        <v>7</v>
      </c>
      <c r="T541" s="620">
        <v>8</v>
      </c>
      <c r="U541" s="611">
        <f t="shared" si="148"/>
        <v>24.5</v>
      </c>
      <c r="V541" s="621"/>
      <c r="W541" s="621"/>
      <c r="X541" s="621"/>
      <c r="Y541" s="622">
        <f t="shared" si="149"/>
        <v>24.5</v>
      </c>
      <c r="Z541" s="609">
        <f t="shared" si="160"/>
        <v>0</v>
      </c>
      <c r="AA541" s="620"/>
      <c r="AB541" s="620"/>
      <c r="AC541" s="620"/>
      <c r="AD541" s="611">
        <f t="shared" si="150"/>
        <v>0</v>
      </c>
      <c r="AE541" s="621"/>
      <c r="AF541" s="621"/>
      <c r="AG541" s="621"/>
      <c r="AH541" s="622">
        <f t="shared" si="151"/>
        <v>0</v>
      </c>
      <c r="AI541" s="609">
        <f t="shared" si="161"/>
        <v>0</v>
      </c>
      <c r="AJ541" s="620"/>
      <c r="AK541" s="620"/>
      <c r="AL541" s="620"/>
      <c r="AM541" s="623">
        <f t="shared" si="152"/>
        <v>0</v>
      </c>
      <c r="AN541" s="621"/>
      <c r="AO541" s="621"/>
      <c r="AP541" s="621"/>
      <c r="AQ541" s="622">
        <f t="shared" si="153"/>
        <v>0</v>
      </c>
      <c r="AR541" s="615">
        <f t="shared" si="162"/>
        <v>16</v>
      </c>
      <c r="AS541" s="620"/>
      <c r="AT541" s="620"/>
      <c r="AU541" s="620"/>
      <c r="AV541" s="623">
        <f t="shared" si="154"/>
        <v>0</v>
      </c>
      <c r="AW541" s="621"/>
      <c r="AX541" s="621"/>
      <c r="AY541" s="621"/>
      <c r="AZ541" s="624">
        <f t="shared" si="155"/>
        <v>-16</v>
      </c>
      <c r="BA541" s="623">
        <v>16</v>
      </c>
      <c r="BB541" s="620">
        <v>8</v>
      </c>
      <c r="BC541" s="620">
        <v>7</v>
      </c>
      <c r="BD541" s="623">
        <f t="shared" si="156"/>
        <v>15</v>
      </c>
      <c r="BE541" s="621"/>
      <c r="BF541" s="621"/>
      <c r="BG541" s="621"/>
      <c r="BH541" s="621">
        <f t="shared" si="157"/>
        <v>1</v>
      </c>
    </row>
    <row r="542" spans="1:60" ht="17.25" thickTop="1" thickBot="1" x14ac:dyDescent="0.3">
      <c r="A542" s="602">
        <v>535</v>
      </c>
      <c r="B542" s="603">
        <f t="shared" ca="1" si="145"/>
        <v>43134</v>
      </c>
      <c r="C542" s="29" t="s">
        <v>2404</v>
      </c>
      <c r="D542" s="59" t="s">
        <v>1456</v>
      </c>
      <c r="E542" s="22" t="s">
        <v>556</v>
      </c>
      <c r="F542" s="27" t="s">
        <v>1544</v>
      </c>
      <c r="G542" s="567">
        <v>42910</v>
      </c>
      <c r="H542" s="609">
        <f t="shared" si="158"/>
        <v>24.8</v>
      </c>
      <c r="I542" s="568">
        <v>6.6</v>
      </c>
      <c r="J542" s="568">
        <v>6</v>
      </c>
      <c r="K542" s="568">
        <v>5</v>
      </c>
      <c r="L542" s="611">
        <f t="shared" si="146"/>
        <v>17.600000000000001</v>
      </c>
      <c r="M542" s="32"/>
      <c r="N542" s="32"/>
      <c r="O542" s="32"/>
      <c r="P542" s="622">
        <f t="shared" si="147"/>
        <v>-7.1999999999999993</v>
      </c>
      <c r="Q542" s="609">
        <f t="shared" si="159"/>
        <v>29</v>
      </c>
      <c r="R542" s="568">
        <v>9</v>
      </c>
      <c r="S542" s="568">
        <v>8.8000000000000007</v>
      </c>
      <c r="T542" s="568">
        <v>7</v>
      </c>
      <c r="U542" s="611">
        <f t="shared" si="148"/>
        <v>24.8</v>
      </c>
      <c r="V542" s="32"/>
      <c r="W542" s="32"/>
      <c r="X542" s="32"/>
      <c r="Y542" s="622">
        <f t="shared" si="149"/>
        <v>-4.1999999999999993</v>
      </c>
      <c r="Z542" s="609">
        <f t="shared" si="160"/>
        <v>29</v>
      </c>
      <c r="AA542" s="568">
        <v>9.1999999999999993</v>
      </c>
      <c r="AB542" s="568">
        <v>9.6</v>
      </c>
      <c r="AC542" s="568">
        <v>9</v>
      </c>
      <c r="AD542" s="611">
        <f t="shared" si="150"/>
        <v>27.799999999999997</v>
      </c>
      <c r="AE542" s="32"/>
      <c r="AF542" s="32"/>
      <c r="AG542" s="32"/>
      <c r="AH542" s="622">
        <f t="shared" si="151"/>
        <v>-1.2000000000000028</v>
      </c>
      <c r="AI542" s="609">
        <f t="shared" si="161"/>
        <v>33.1</v>
      </c>
      <c r="AJ542" s="568">
        <v>9</v>
      </c>
      <c r="AK542" s="568">
        <v>10</v>
      </c>
      <c r="AL542" s="568">
        <v>10</v>
      </c>
      <c r="AM542" s="623">
        <f t="shared" si="152"/>
        <v>29</v>
      </c>
      <c r="AN542" s="32"/>
      <c r="AO542" s="32"/>
      <c r="AP542" s="32"/>
      <c r="AQ542" s="622">
        <f t="shared" si="153"/>
        <v>-4.1000000000000014</v>
      </c>
      <c r="AR542" s="615">
        <f t="shared" si="162"/>
        <v>0</v>
      </c>
      <c r="AS542" s="568">
        <v>15.2</v>
      </c>
      <c r="AT542" s="568">
        <v>9.9</v>
      </c>
      <c r="AU542" s="568">
        <v>8</v>
      </c>
      <c r="AV542" s="623">
        <f t="shared" si="154"/>
        <v>33.1</v>
      </c>
      <c r="AW542" s="32"/>
      <c r="AX542" s="32"/>
      <c r="AY542" s="32"/>
      <c r="AZ542" s="624">
        <f t="shared" si="155"/>
        <v>33.1</v>
      </c>
      <c r="BA542" s="32"/>
      <c r="BB542" s="568"/>
      <c r="BC542" s="568"/>
      <c r="BD542" s="568"/>
      <c r="BE542" s="32"/>
      <c r="BF542" s="32"/>
      <c r="BG542" s="32"/>
      <c r="BH542" s="32"/>
    </row>
    <row r="543" spans="1:60" ht="17.25" thickTop="1" thickBot="1" x14ac:dyDescent="0.3">
      <c r="A543" s="77">
        <v>536</v>
      </c>
      <c r="B543" s="603">
        <f t="shared" ca="1" si="145"/>
        <v>43134</v>
      </c>
      <c r="C543" s="29" t="s">
        <v>2404</v>
      </c>
      <c r="D543" s="59" t="s">
        <v>1456</v>
      </c>
      <c r="E543" s="22" t="s">
        <v>1288</v>
      </c>
      <c r="F543" s="27" t="s">
        <v>1899</v>
      </c>
      <c r="G543" s="567">
        <v>42911</v>
      </c>
      <c r="H543" s="609">
        <f t="shared" si="158"/>
        <v>32.799999999999997</v>
      </c>
      <c r="I543" s="568">
        <v>9</v>
      </c>
      <c r="J543" s="568">
        <v>9</v>
      </c>
      <c r="K543" s="568">
        <v>7</v>
      </c>
      <c r="L543" s="611">
        <f t="shared" si="146"/>
        <v>25</v>
      </c>
      <c r="M543" s="32"/>
      <c r="N543" s="32"/>
      <c r="O543" s="32"/>
      <c r="P543" s="622">
        <f t="shared" si="147"/>
        <v>-7.7999999999999972</v>
      </c>
      <c r="Q543" s="609">
        <f t="shared" si="159"/>
        <v>34</v>
      </c>
      <c r="R543" s="568">
        <v>10</v>
      </c>
      <c r="S543" s="568">
        <v>15</v>
      </c>
      <c r="T543" s="568">
        <v>7.8</v>
      </c>
      <c r="U543" s="611">
        <f t="shared" si="148"/>
        <v>32.799999999999997</v>
      </c>
      <c r="V543" s="32"/>
      <c r="W543" s="32"/>
      <c r="X543" s="32"/>
      <c r="Y543" s="622">
        <f t="shared" si="149"/>
        <v>-1.2000000000000028</v>
      </c>
      <c r="Z543" s="609">
        <f t="shared" si="160"/>
        <v>34</v>
      </c>
      <c r="AA543" s="568">
        <v>15</v>
      </c>
      <c r="AB543" s="568">
        <v>9.5</v>
      </c>
      <c r="AC543" s="568">
        <v>8</v>
      </c>
      <c r="AD543" s="611">
        <f t="shared" si="150"/>
        <v>32.5</v>
      </c>
      <c r="AE543" s="32"/>
      <c r="AF543" s="32"/>
      <c r="AG543" s="32"/>
      <c r="AH543" s="622">
        <f t="shared" si="151"/>
        <v>-1.5</v>
      </c>
      <c r="AI543" s="609">
        <f t="shared" si="161"/>
        <v>26.400000000000002</v>
      </c>
      <c r="AJ543" s="568">
        <v>16</v>
      </c>
      <c r="AK543" s="568">
        <v>8</v>
      </c>
      <c r="AL543" s="568">
        <v>10</v>
      </c>
      <c r="AM543" s="623">
        <f t="shared" si="152"/>
        <v>34</v>
      </c>
      <c r="AN543" s="32"/>
      <c r="AO543" s="32"/>
      <c r="AP543" s="32"/>
      <c r="AQ543" s="622">
        <f t="shared" si="153"/>
        <v>7.5999999999999979</v>
      </c>
      <c r="AR543" s="615">
        <f t="shared" si="162"/>
        <v>0</v>
      </c>
      <c r="AS543" s="568">
        <v>12.4</v>
      </c>
      <c r="AT543" s="568">
        <v>7.7</v>
      </c>
      <c r="AU543" s="568">
        <v>6.3</v>
      </c>
      <c r="AV543" s="623">
        <f t="shared" si="154"/>
        <v>26.400000000000002</v>
      </c>
      <c r="AW543" s="32"/>
      <c r="AX543" s="32"/>
      <c r="AY543" s="32"/>
      <c r="AZ543" s="624">
        <f t="shared" si="155"/>
        <v>26.400000000000002</v>
      </c>
      <c r="BA543" s="32"/>
      <c r="BB543" s="568"/>
      <c r="BC543" s="568"/>
      <c r="BD543" s="568"/>
      <c r="BE543" s="32"/>
      <c r="BF543" s="32"/>
      <c r="BG543" s="32"/>
      <c r="BH543" s="32"/>
    </row>
    <row r="544" spans="1:60" ht="17.25" thickTop="1" thickBot="1" x14ac:dyDescent="0.3">
      <c r="A544" s="602">
        <v>537</v>
      </c>
      <c r="B544" s="603">
        <f t="shared" ca="1" si="145"/>
        <v>43134</v>
      </c>
      <c r="C544" s="29" t="s">
        <v>2404</v>
      </c>
      <c r="D544" s="59" t="s">
        <v>1456</v>
      </c>
      <c r="E544" s="22" t="s">
        <v>1060</v>
      </c>
      <c r="F544" s="27" t="s">
        <v>1905</v>
      </c>
      <c r="G544" s="567">
        <v>42910</v>
      </c>
      <c r="H544" s="609">
        <f t="shared" si="158"/>
        <v>27.6</v>
      </c>
      <c r="I544" s="568"/>
      <c r="J544" s="568"/>
      <c r="K544" s="568"/>
      <c r="L544" s="611">
        <f t="shared" si="146"/>
        <v>0</v>
      </c>
      <c r="M544" s="32"/>
      <c r="N544" s="32"/>
      <c r="O544" s="32"/>
      <c r="P544" s="622">
        <f t="shared" si="147"/>
        <v>-27.6</v>
      </c>
      <c r="Q544" s="609">
        <f t="shared" si="159"/>
        <v>21.4</v>
      </c>
      <c r="R544" s="568">
        <v>14.6</v>
      </c>
      <c r="S544" s="568"/>
      <c r="T544" s="568">
        <v>13</v>
      </c>
      <c r="U544" s="611">
        <f t="shared" si="148"/>
        <v>27.6</v>
      </c>
      <c r="V544" s="32"/>
      <c r="W544" s="32"/>
      <c r="X544" s="32"/>
      <c r="Y544" s="622">
        <f t="shared" si="149"/>
        <v>6.2000000000000028</v>
      </c>
      <c r="Z544" s="609">
        <f t="shared" si="160"/>
        <v>21.4</v>
      </c>
      <c r="AA544" s="568">
        <v>8.5</v>
      </c>
      <c r="AB544" s="568">
        <v>7</v>
      </c>
      <c r="AC544" s="568">
        <v>6</v>
      </c>
      <c r="AD544" s="611">
        <f t="shared" si="150"/>
        <v>21.5</v>
      </c>
      <c r="AE544" s="32"/>
      <c r="AF544" s="32"/>
      <c r="AG544" s="32"/>
      <c r="AH544" s="622">
        <f t="shared" si="151"/>
        <v>0.10000000000000142</v>
      </c>
      <c r="AI544" s="609">
        <f t="shared" si="161"/>
        <v>18.3</v>
      </c>
      <c r="AJ544" s="568">
        <v>7</v>
      </c>
      <c r="AK544" s="568">
        <v>7.2</v>
      </c>
      <c r="AL544" s="568">
        <v>7.2</v>
      </c>
      <c r="AM544" s="623">
        <f t="shared" si="152"/>
        <v>21.4</v>
      </c>
      <c r="AN544" s="32"/>
      <c r="AO544" s="32"/>
      <c r="AP544" s="32"/>
      <c r="AQ544" s="622">
        <f t="shared" si="153"/>
        <v>3.0999999999999979</v>
      </c>
      <c r="AR544" s="615">
        <f t="shared" si="162"/>
        <v>0</v>
      </c>
      <c r="AS544" s="568">
        <v>9.1999999999999993</v>
      </c>
      <c r="AT544" s="568">
        <v>4.9000000000000004</v>
      </c>
      <c r="AU544" s="568">
        <v>4.2</v>
      </c>
      <c r="AV544" s="623">
        <f t="shared" si="154"/>
        <v>18.3</v>
      </c>
      <c r="AW544" s="32"/>
      <c r="AX544" s="32"/>
      <c r="AY544" s="32"/>
      <c r="AZ544" s="624">
        <f t="shared" si="155"/>
        <v>18.3</v>
      </c>
      <c r="BA544" s="32"/>
      <c r="BB544" s="568"/>
      <c r="BC544" s="568"/>
      <c r="BD544" s="568"/>
      <c r="BE544" s="32"/>
      <c r="BF544" s="32"/>
      <c r="BG544" s="32"/>
      <c r="BH544" s="32"/>
    </row>
    <row r="545" spans="1:60" ht="17.25" thickTop="1" thickBot="1" x14ac:dyDescent="0.3">
      <c r="A545" s="77">
        <v>538</v>
      </c>
      <c r="B545" s="603">
        <f t="shared" ca="1" si="145"/>
        <v>43134</v>
      </c>
      <c r="C545" s="29" t="s">
        <v>2404</v>
      </c>
      <c r="D545" s="59" t="s">
        <v>1456</v>
      </c>
      <c r="E545" s="22" t="s">
        <v>1074</v>
      </c>
      <c r="F545" s="27" t="s">
        <v>996</v>
      </c>
      <c r="G545" s="567">
        <v>42938</v>
      </c>
      <c r="H545" s="609">
        <f t="shared" si="158"/>
        <v>25</v>
      </c>
      <c r="I545" s="568">
        <v>9.6</v>
      </c>
      <c r="J545" s="568">
        <v>8</v>
      </c>
      <c r="K545" s="568">
        <v>7.8</v>
      </c>
      <c r="L545" s="611">
        <f t="shared" si="146"/>
        <v>25.400000000000002</v>
      </c>
      <c r="M545" s="32"/>
      <c r="N545" s="32"/>
      <c r="O545" s="32"/>
      <c r="P545" s="622">
        <f t="shared" si="147"/>
        <v>0.40000000000000213</v>
      </c>
      <c r="Q545" s="609">
        <f t="shared" si="159"/>
        <v>27.6</v>
      </c>
      <c r="R545" s="568">
        <v>9</v>
      </c>
      <c r="S545" s="568">
        <v>8</v>
      </c>
      <c r="T545" s="568">
        <v>8</v>
      </c>
      <c r="U545" s="611">
        <f t="shared" si="148"/>
        <v>25</v>
      </c>
      <c r="V545" s="32"/>
      <c r="W545" s="32"/>
      <c r="X545" s="32"/>
      <c r="Y545" s="622">
        <f t="shared" si="149"/>
        <v>-2.6000000000000014</v>
      </c>
      <c r="Z545" s="609">
        <f t="shared" si="160"/>
        <v>27.6</v>
      </c>
      <c r="AA545" s="568">
        <v>10.811</v>
      </c>
      <c r="AB545" s="568">
        <v>11</v>
      </c>
      <c r="AC545" s="568">
        <v>13</v>
      </c>
      <c r="AD545" s="611">
        <f t="shared" si="150"/>
        <v>34.811</v>
      </c>
      <c r="AE545" s="32"/>
      <c r="AF545" s="32"/>
      <c r="AG545" s="32"/>
      <c r="AH545" s="622">
        <f t="shared" si="151"/>
        <v>7.2109999999999985</v>
      </c>
      <c r="AI545" s="609">
        <f t="shared" si="161"/>
        <v>0</v>
      </c>
      <c r="AJ545" s="568">
        <v>9</v>
      </c>
      <c r="AK545" s="568">
        <v>9.1999999999999993</v>
      </c>
      <c r="AL545" s="568">
        <v>9.4</v>
      </c>
      <c r="AM545" s="623">
        <f t="shared" si="152"/>
        <v>27.6</v>
      </c>
      <c r="AN545" s="32"/>
      <c r="AO545" s="32"/>
      <c r="AP545" s="32"/>
      <c r="AQ545" s="622">
        <f t="shared" si="153"/>
        <v>27.6</v>
      </c>
      <c r="AR545" s="615">
        <f t="shared" si="162"/>
        <v>0</v>
      </c>
      <c r="AS545" s="568"/>
      <c r="AT545" s="568"/>
      <c r="AU545" s="568"/>
      <c r="AV545" s="623"/>
      <c r="AW545" s="32"/>
      <c r="AX545" s="32"/>
      <c r="AY545" s="32"/>
      <c r="AZ545" s="624"/>
      <c r="BA545" s="32"/>
      <c r="BB545" s="568"/>
      <c r="BC545" s="568"/>
      <c r="BD545" s="568"/>
      <c r="BE545" s="32"/>
      <c r="BF545" s="32"/>
      <c r="BG545" s="32"/>
      <c r="BH545" s="32"/>
    </row>
    <row r="546" spans="1:60" ht="17.25" thickTop="1" thickBot="1" x14ac:dyDescent="0.3">
      <c r="A546" s="602">
        <v>539</v>
      </c>
      <c r="B546" s="603">
        <f t="shared" ca="1" si="145"/>
        <v>43134</v>
      </c>
      <c r="C546" s="29" t="s">
        <v>2404</v>
      </c>
      <c r="D546" s="59" t="s">
        <v>1456</v>
      </c>
      <c r="E546" s="22" t="s">
        <v>1490</v>
      </c>
      <c r="F546" s="27" t="s">
        <v>1543</v>
      </c>
      <c r="G546" s="567">
        <v>42927</v>
      </c>
      <c r="H546" s="609">
        <f t="shared" si="158"/>
        <v>23</v>
      </c>
      <c r="I546" s="568">
        <v>9.4</v>
      </c>
      <c r="J546" s="568">
        <v>6.4</v>
      </c>
      <c r="K546" s="568">
        <v>5.4</v>
      </c>
      <c r="L546" s="611">
        <f t="shared" si="146"/>
        <v>21.200000000000003</v>
      </c>
      <c r="M546" s="32"/>
      <c r="N546" s="32"/>
      <c r="O546" s="32"/>
      <c r="P546" s="622">
        <f t="shared" si="147"/>
        <v>-1.7999999999999972</v>
      </c>
      <c r="Q546" s="609">
        <f t="shared" si="159"/>
        <v>24.299999999999997</v>
      </c>
      <c r="R546" s="568">
        <v>7.6</v>
      </c>
      <c r="S546" s="568">
        <v>7.4</v>
      </c>
      <c r="T546" s="568">
        <v>8</v>
      </c>
      <c r="U546" s="611">
        <f t="shared" si="148"/>
        <v>23</v>
      </c>
      <c r="V546" s="32"/>
      <c r="W546" s="32"/>
      <c r="X546" s="32"/>
      <c r="Y546" s="622">
        <f t="shared" si="149"/>
        <v>-1.2999999999999972</v>
      </c>
      <c r="Z546" s="609">
        <f t="shared" si="160"/>
        <v>24.299999999999997</v>
      </c>
      <c r="AA546" s="568">
        <v>8.8000000000000007</v>
      </c>
      <c r="AB546" s="568">
        <v>6.5</v>
      </c>
      <c r="AC546" s="568">
        <v>8.3000000000000007</v>
      </c>
      <c r="AD546" s="611">
        <f t="shared" si="150"/>
        <v>23.6</v>
      </c>
      <c r="AE546" s="32"/>
      <c r="AF546" s="32"/>
      <c r="AG546" s="32"/>
      <c r="AH546" s="622">
        <f t="shared" si="151"/>
        <v>-0.69999999999999574</v>
      </c>
      <c r="AI546" s="609">
        <f t="shared" si="161"/>
        <v>0</v>
      </c>
      <c r="AJ546" s="568">
        <v>7.8</v>
      </c>
      <c r="AK546" s="568">
        <v>6.3</v>
      </c>
      <c r="AL546" s="568">
        <v>10.199999999999999</v>
      </c>
      <c r="AM546" s="623">
        <f t="shared" si="152"/>
        <v>24.299999999999997</v>
      </c>
      <c r="AN546" s="32"/>
      <c r="AO546" s="32"/>
      <c r="AP546" s="32"/>
      <c r="AQ546" s="622">
        <f t="shared" si="153"/>
        <v>24.299999999999997</v>
      </c>
      <c r="AR546" s="615">
        <f t="shared" si="162"/>
        <v>0</v>
      </c>
      <c r="AS546" s="568"/>
      <c r="AT546" s="568"/>
      <c r="AU546" s="568"/>
      <c r="AV546" s="623"/>
      <c r="AW546" s="32"/>
      <c r="AX546" s="32"/>
      <c r="AY546" s="32"/>
      <c r="AZ546" s="624"/>
      <c r="BA546" s="32"/>
      <c r="BB546" s="568"/>
      <c r="BC546" s="568"/>
      <c r="BD546" s="568"/>
      <c r="BE546" s="32"/>
      <c r="BF546" s="32"/>
      <c r="BG546" s="32"/>
      <c r="BH546" s="32"/>
    </row>
    <row r="547" spans="1:60" ht="17.25" thickTop="1" thickBot="1" x14ac:dyDescent="0.3">
      <c r="A547" s="77">
        <v>540</v>
      </c>
      <c r="B547" s="603">
        <f t="shared" ca="1" si="145"/>
        <v>43134</v>
      </c>
      <c r="C547" s="29" t="s">
        <v>2404</v>
      </c>
      <c r="D547" s="59" t="s">
        <v>1456</v>
      </c>
      <c r="E547" s="22" t="s">
        <v>1860</v>
      </c>
      <c r="F547" s="27" t="s">
        <v>1859</v>
      </c>
      <c r="G547" s="567">
        <v>42931</v>
      </c>
      <c r="H547" s="609">
        <f t="shared" si="158"/>
        <v>26.4</v>
      </c>
      <c r="I547" s="568">
        <v>8.6</v>
      </c>
      <c r="J547" s="568">
        <v>8</v>
      </c>
      <c r="K547" s="568">
        <v>8</v>
      </c>
      <c r="L547" s="611">
        <f t="shared" si="146"/>
        <v>24.6</v>
      </c>
      <c r="M547" s="32"/>
      <c r="N547" s="32"/>
      <c r="O547" s="32"/>
      <c r="P547" s="622">
        <f t="shared" si="147"/>
        <v>-1.7999999999999972</v>
      </c>
      <c r="Q547" s="609">
        <f t="shared" si="159"/>
        <v>27.5</v>
      </c>
      <c r="R547" s="568">
        <v>9</v>
      </c>
      <c r="S547" s="568">
        <v>8.4</v>
      </c>
      <c r="T547" s="568">
        <v>9</v>
      </c>
      <c r="U547" s="611">
        <f t="shared" si="148"/>
        <v>26.4</v>
      </c>
      <c r="V547" s="32"/>
      <c r="W547" s="32"/>
      <c r="X547" s="32"/>
      <c r="Y547" s="622">
        <f t="shared" si="149"/>
        <v>-1.1000000000000014</v>
      </c>
      <c r="Z547" s="609">
        <f t="shared" si="160"/>
        <v>27.5</v>
      </c>
      <c r="AA547" s="568">
        <v>6.5</v>
      </c>
      <c r="AB547" s="568">
        <v>9</v>
      </c>
      <c r="AC547" s="568">
        <v>9</v>
      </c>
      <c r="AD547" s="611">
        <f t="shared" si="150"/>
        <v>24.5</v>
      </c>
      <c r="AE547" s="32"/>
      <c r="AF547" s="32"/>
      <c r="AG547" s="32"/>
      <c r="AH547" s="622">
        <f t="shared" si="151"/>
        <v>-3</v>
      </c>
      <c r="AI547" s="609">
        <f t="shared" si="161"/>
        <v>0</v>
      </c>
      <c r="AJ547" s="568">
        <v>7.7</v>
      </c>
      <c r="AK547" s="568">
        <v>11.7</v>
      </c>
      <c r="AL547" s="568">
        <v>8.1</v>
      </c>
      <c r="AM547" s="568">
        <f t="shared" si="152"/>
        <v>27.5</v>
      </c>
      <c r="AN547" s="32"/>
      <c r="AO547" s="32"/>
      <c r="AP547" s="32"/>
      <c r="AQ547" s="622">
        <f t="shared" si="153"/>
        <v>27.5</v>
      </c>
      <c r="AR547" s="615">
        <f>BA547</f>
        <v>0</v>
      </c>
      <c r="AS547" s="568"/>
      <c r="AT547" s="568"/>
      <c r="AU547" s="568"/>
      <c r="AV547" s="568"/>
      <c r="AW547" s="32"/>
      <c r="AX547" s="32"/>
      <c r="AY547" s="32"/>
      <c r="AZ547" s="32"/>
      <c r="BA547" s="32"/>
      <c r="BB547" s="568"/>
      <c r="BC547" s="568"/>
      <c r="BD547" s="568"/>
      <c r="BE547" s="32"/>
      <c r="BF547" s="32"/>
      <c r="BG547" s="32"/>
      <c r="BH547" s="32"/>
    </row>
    <row r="548" spans="1:60" ht="17.25" thickTop="1" thickBot="1" x14ac:dyDescent="0.3">
      <c r="A548" s="602">
        <v>541</v>
      </c>
      <c r="B548" s="603">
        <f t="shared" ca="1" si="145"/>
        <v>43134</v>
      </c>
      <c r="C548" s="29" t="s">
        <v>614</v>
      </c>
      <c r="D548" s="59" t="s">
        <v>3018</v>
      </c>
      <c r="E548" s="22" t="s">
        <v>1862</v>
      </c>
      <c r="F548" s="27" t="s">
        <v>1856</v>
      </c>
      <c r="G548" s="567">
        <v>42917</v>
      </c>
      <c r="H548" s="609">
        <f t="shared" si="158"/>
        <v>20.100000000000001</v>
      </c>
      <c r="I548" s="568">
        <v>7</v>
      </c>
      <c r="J548" s="568">
        <v>7</v>
      </c>
      <c r="K548" s="568">
        <v>8</v>
      </c>
      <c r="L548" s="611">
        <f t="shared" si="146"/>
        <v>22</v>
      </c>
      <c r="M548" s="32"/>
      <c r="N548" s="32"/>
      <c r="O548" s="32"/>
      <c r="P548" s="622">
        <f t="shared" si="147"/>
        <v>1.8999999999999986</v>
      </c>
      <c r="Q548" s="609">
        <f t="shared" si="159"/>
        <v>22.4</v>
      </c>
      <c r="R548" s="568">
        <v>6.6</v>
      </c>
      <c r="S548" s="568">
        <v>6</v>
      </c>
      <c r="T548" s="568">
        <v>7.5</v>
      </c>
      <c r="U548" s="611">
        <f t="shared" si="148"/>
        <v>20.100000000000001</v>
      </c>
      <c r="V548" s="32"/>
      <c r="W548" s="32"/>
      <c r="X548" s="32"/>
      <c r="Y548" s="622">
        <f t="shared" si="149"/>
        <v>-2.2999999999999972</v>
      </c>
      <c r="Z548" s="609">
        <f t="shared" si="160"/>
        <v>22.4</v>
      </c>
      <c r="AA548" s="568">
        <v>9</v>
      </c>
      <c r="AB548" s="568">
        <v>9</v>
      </c>
      <c r="AC548" s="568">
        <v>6</v>
      </c>
      <c r="AD548" s="611">
        <f t="shared" si="150"/>
        <v>24</v>
      </c>
      <c r="AE548" s="32"/>
      <c r="AF548" s="32"/>
      <c r="AG548" s="32"/>
      <c r="AH548" s="622">
        <f t="shared" si="151"/>
        <v>1.6000000000000014</v>
      </c>
      <c r="AI548" s="609">
        <f t="shared" si="161"/>
        <v>0</v>
      </c>
      <c r="AJ548" s="568">
        <v>8.6</v>
      </c>
      <c r="AK548" s="568">
        <v>6</v>
      </c>
      <c r="AL548" s="568">
        <v>7.8</v>
      </c>
      <c r="AM548" s="568">
        <f t="shared" si="152"/>
        <v>22.4</v>
      </c>
      <c r="AN548" s="32"/>
      <c r="AO548" s="32"/>
      <c r="AP548" s="32"/>
      <c r="AQ548" s="622">
        <f t="shared" si="153"/>
        <v>22.4</v>
      </c>
      <c r="AR548" s="615">
        <f>BA548</f>
        <v>0</v>
      </c>
      <c r="AS548" s="568"/>
      <c r="AT548" s="568"/>
      <c r="AU548" s="568"/>
      <c r="AV548" s="568"/>
      <c r="AW548" s="32"/>
      <c r="AX548" s="32"/>
      <c r="AY548" s="32"/>
      <c r="AZ548" s="32"/>
      <c r="BA548" s="32"/>
      <c r="BB548" s="568"/>
      <c r="BC548" s="568"/>
      <c r="BD548" s="568"/>
      <c r="BE548" s="32"/>
      <c r="BF548" s="32"/>
      <c r="BG548" s="32"/>
      <c r="BH548" s="32"/>
    </row>
    <row r="549" spans="1:60" ht="16.5" thickTop="1" x14ac:dyDescent="0.25">
      <c r="A549" s="77">
        <v>542</v>
      </c>
      <c r="B549" s="603">
        <f t="shared" ca="1" si="145"/>
        <v>43134</v>
      </c>
      <c r="C549" s="29" t="s">
        <v>613</v>
      </c>
      <c r="D549" s="59"/>
      <c r="E549" s="22" t="s">
        <v>1911</v>
      </c>
      <c r="F549" s="27" t="s">
        <v>1907</v>
      </c>
      <c r="G549" s="567">
        <v>42949</v>
      </c>
      <c r="H549" s="609">
        <f t="shared" si="158"/>
        <v>20.700000000000003</v>
      </c>
      <c r="I549" s="568">
        <v>7</v>
      </c>
      <c r="J549" s="568">
        <v>7.2</v>
      </c>
      <c r="K549" s="568">
        <v>6</v>
      </c>
      <c r="L549" s="568">
        <f t="shared" si="146"/>
        <v>20.2</v>
      </c>
      <c r="M549" s="32"/>
      <c r="N549" s="32"/>
      <c r="O549" s="32"/>
      <c r="P549" s="630"/>
      <c r="Q549" s="609">
        <f>AM549</f>
        <v>0</v>
      </c>
      <c r="R549" s="568">
        <v>5.8</v>
      </c>
      <c r="S549" s="568">
        <v>7.5</v>
      </c>
      <c r="T549" s="568">
        <v>7.4</v>
      </c>
      <c r="U549" s="568">
        <f t="shared" si="148"/>
        <v>20.700000000000003</v>
      </c>
      <c r="V549" s="32"/>
      <c r="W549" s="32"/>
      <c r="X549" s="32"/>
      <c r="Y549" s="630"/>
      <c r="Z549" s="609">
        <f>AM549</f>
        <v>0</v>
      </c>
      <c r="AA549" s="568">
        <v>7.2</v>
      </c>
      <c r="AB549" s="568">
        <v>4</v>
      </c>
      <c r="AC549" s="568">
        <v>9</v>
      </c>
      <c r="AD549" s="568">
        <f t="shared" si="150"/>
        <v>20.2</v>
      </c>
      <c r="AE549" s="32"/>
      <c r="AF549" s="32"/>
      <c r="AG549" s="32"/>
      <c r="AH549" s="630"/>
      <c r="AI549" s="609">
        <f>AV549</f>
        <v>0</v>
      </c>
      <c r="AJ549" s="568"/>
      <c r="AK549" s="568"/>
      <c r="AL549" s="568"/>
      <c r="AM549" s="568"/>
      <c r="AN549" s="32"/>
      <c r="AO549" s="32"/>
      <c r="AP549" s="32"/>
      <c r="AQ549" s="630"/>
      <c r="AR549" s="631"/>
      <c r="AS549" s="568"/>
      <c r="AT549" s="568"/>
      <c r="AU549" s="568"/>
      <c r="AV549" s="568"/>
      <c r="AW549" s="32"/>
      <c r="AX549" s="32"/>
      <c r="AY549" s="32"/>
      <c r="AZ549" s="32"/>
      <c r="BA549" s="32"/>
      <c r="BB549" s="568"/>
      <c r="BC549" s="568"/>
      <c r="BD549" s="568"/>
      <c r="BE549" s="32"/>
      <c r="BF549" s="32"/>
      <c r="BG549" s="32"/>
      <c r="BH549" s="32"/>
    </row>
    <row r="550" spans="1:60" x14ac:dyDescent="0.25">
      <c r="A550" s="602">
        <v>543</v>
      </c>
      <c r="B550" s="603">
        <f t="shared" ca="1" si="145"/>
        <v>43134</v>
      </c>
      <c r="C550" s="29" t="s">
        <v>2404</v>
      </c>
      <c r="D550" s="59"/>
      <c r="E550" s="22" t="s">
        <v>75</v>
      </c>
      <c r="F550" s="27" t="s">
        <v>1473</v>
      </c>
      <c r="G550" s="567">
        <v>42970</v>
      </c>
      <c r="H550" s="609">
        <f t="shared" si="158"/>
        <v>23</v>
      </c>
      <c r="I550" s="568">
        <v>10</v>
      </c>
      <c r="J550" s="568">
        <v>12</v>
      </c>
      <c r="K550" s="568">
        <v>9</v>
      </c>
      <c r="L550" s="568">
        <f t="shared" si="146"/>
        <v>31</v>
      </c>
      <c r="M550" s="32"/>
      <c r="N550" s="32"/>
      <c r="O550" s="32"/>
      <c r="P550" s="630"/>
      <c r="Q550" s="609">
        <f t="shared" ref="Q550:Q613" si="163">AM550</f>
        <v>0</v>
      </c>
      <c r="R550" s="568">
        <v>8</v>
      </c>
      <c r="S550" s="568">
        <v>8</v>
      </c>
      <c r="T550" s="568">
        <v>7</v>
      </c>
      <c r="U550" s="568">
        <f t="shared" si="148"/>
        <v>23</v>
      </c>
      <c r="V550" s="32"/>
      <c r="W550" s="32"/>
      <c r="X550" s="32"/>
      <c r="Y550" s="630"/>
      <c r="Z550" s="609">
        <f t="shared" ref="Z550:Z613" si="164">AM550</f>
        <v>0</v>
      </c>
      <c r="AA550" s="568">
        <v>7</v>
      </c>
      <c r="AB550" s="568">
        <v>6.9</v>
      </c>
      <c r="AC550" s="568">
        <v>7.5</v>
      </c>
      <c r="AD550" s="568">
        <f t="shared" si="150"/>
        <v>21.4</v>
      </c>
      <c r="AE550" s="32"/>
      <c r="AF550" s="32"/>
      <c r="AG550" s="32"/>
      <c r="AH550" s="630"/>
      <c r="AI550" s="609">
        <f t="shared" ref="AI550:AI613" si="165">AV550</f>
        <v>0</v>
      </c>
      <c r="AJ550" s="568"/>
      <c r="AK550" s="568"/>
      <c r="AL550" s="568"/>
      <c r="AM550" s="568"/>
      <c r="AN550" s="32"/>
      <c r="AO550" s="32"/>
      <c r="AP550" s="32"/>
      <c r="AQ550" s="630"/>
      <c r="AR550" s="631"/>
      <c r="AS550" s="568"/>
      <c r="AT550" s="568"/>
      <c r="AU550" s="568"/>
      <c r="AV550" s="568"/>
      <c r="AW550" s="32"/>
      <c r="AX550" s="32"/>
      <c r="AY550" s="32"/>
      <c r="AZ550" s="32"/>
      <c r="BA550" s="32"/>
      <c r="BB550" s="568"/>
      <c r="BC550" s="568"/>
      <c r="BD550" s="568"/>
      <c r="BE550" s="32"/>
      <c r="BF550" s="32"/>
      <c r="BG550" s="32"/>
      <c r="BH550" s="32"/>
    </row>
    <row r="551" spans="1:60" x14ac:dyDescent="0.25">
      <c r="A551" s="77">
        <v>544</v>
      </c>
      <c r="B551" s="603">
        <f t="shared" ca="1" si="145"/>
        <v>43134</v>
      </c>
      <c r="C551" s="29" t="s">
        <v>2404</v>
      </c>
      <c r="D551" s="59"/>
      <c r="E551" s="22" t="s">
        <v>1525</v>
      </c>
      <c r="F551" s="27" t="s">
        <v>1518</v>
      </c>
      <c r="G551" s="567">
        <v>42954</v>
      </c>
      <c r="H551" s="609">
        <f t="shared" si="158"/>
        <v>13.600000000000001</v>
      </c>
      <c r="I551" s="568">
        <v>4</v>
      </c>
      <c r="J551" s="568">
        <v>4.5</v>
      </c>
      <c r="K551" s="568">
        <v>3.5</v>
      </c>
      <c r="L551" s="568">
        <f t="shared" si="146"/>
        <v>12</v>
      </c>
      <c r="M551" s="32"/>
      <c r="N551" s="32"/>
      <c r="O551" s="32"/>
      <c r="P551" s="630"/>
      <c r="Q551" s="609">
        <f t="shared" si="163"/>
        <v>0</v>
      </c>
      <c r="R551" s="568">
        <v>6</v>
      </c>
      <c r="S551" s="568">
        <v>3.8</v>
      </c>
      <c r="T551" s="568">
        <v>3.8</v>
      </c>
      <c r="U551" s="568">
        <f t="shared" si="148"/>
        <v>13.600000000000001</v>
      </c>
      <c r="V551" s="32"/>
      <c r="W551" s="32"/>
      <c r="X551" s="32"/>
      <c r="Y551" s="630"/>
      <c r="Z551" s="609">
        <f t="shared" si="164"/>
        <v>0</v>
      </c>
      <c r="AA551" s="568">
        <v>2.9</v>
      </c>
      <c r="AB551" s="568">
        <v>2</v>
      </c>
      <c r="AC551" s="568">
        <v>3.8</v>
      </c>
      <c r="AD551" s="568">
        <f t="shared" si="150"/>
        <v>8.6999999999999993</v>
      </c>
      <c r="AE551" s="32"/>
      <c r="AF551" s="32"/>
      <c r="AG551" s="32"/>
      <c r="AH551" s="630"/>
      <c r="AI551" s="609">
        <f t="shared" si="165"/>
        <v>0</v>
      </c>
      <c r="AJ551" s="568"/>
      <c r="AK551" s="568"/>
      <c r="AL551" s="568"/>
      <c r="AM551" s="568"/>
      <c r="AN551" s="32"/>
      <c r="AO551" s="32"/>
      <c r="AP551" s="32"/>
      <c r="AQ551" s="630"/>
      <c r="AR551" s="631"/>
      <c r="AS551" s="568"/>
      <c r="AT551" s="568"/>
      <c r="AU551" s="568"/>
      <c r="AV551" s="568"/>
      <c r="AW551" s="32"/>
      <c r="AX551" s="32"/>
      <c r="AY551" s="32"/>
      <c r="AZ551" s="32"/>
      <c r="BA551" s="32"/>
      <c r="BB551" s="568"/>
      <c r="BC551" s="568"/>
      <c r="BD551" s="568"/>
      <c r="BE551" s="32"/>
      <c r="BF551" s="32"/>
      <c r="BG551" s="32"/>
      <c r="BH551" s="32"/>
    </row>
    <row r="552" spans="1:60" x14ac:dyDescent="0.25">
      <c r="A552" s="602">
        <v>545</v>
      </c>
      <c r="B552" s="603">
        <f t="shared" ca="1" si="145"/>
        <v>43134</v>
      </c>
      <c r="C552" s="29" t="s">
        <v>2404</v>
      </c>
      <c r="D552" s="59"/>
      <c r="E552" s="22" t="s">
        <v>1912</v>
      </c>
      <c r="F552" s="27" t="s">
        <v>1909</v>
      </c>
      <c r="G552" s="567">
        <v>42968</v>
      </c>
      <c r="H552" s="609">
        <f t="shared" si="158"/>
        <v>21.8</v>
      </c>
      <c r="I552" s="568">
        <v>8</v>
      </c>
      <c r="J552" s="568">
        <v>7.2</v>
      </c>
      <c r="K552" s="568">
        <v>8.1999999999999993</v>
      </c>
      <c r="L552" s="568">
        <f t="shared" si="146"/>
        <v>23.4</v>
      </c>
      <c r="M552" s="32"/>
      <c r="N552" s="32"/>
      <c r="O552" s="32"/>
      <c r="P552" s="630"/>
      <c r="Q552" s="609">
        <f t="shared" si="163"/>
        <v>0</v>
      </c>
      <c r="R552" s="568">
        <v>7</v>
      </c>
      <c r="S552" s="568">
        <v>7</v>
      </c>
      <c r="T552" s="568">
        <v>7.8</v>
      </c>
      <c r="U552" s="568">
        <f t="shared" si="148"/>
        <v>21.8</v>
      </c>
      <c r="V552" s="32"/>
      <c r="W552" s="32"/>
      <c r="X552" s="32"/>
      <c r="Y552" s="630"/>
      <c r="Z552" s="609">
        <f t="shared" si="164"/>
        <v>0</v>
      </c>
      <c r="AA552" s="568">
        <v>7.1</v>
      </c>
      <c r="AB552" s="568">
        <v>6.5</v>
      </c>
      <c r="AC552" s="568">
        <v>8.5</v>
      </c>
      <c r="AD552" s="568">
        <f t="shared" si="150"/>
        <v>22.1</v>
      </c>
      <c r="AE552" s="32"/>
      <c r="AF552" s="32"/>
      <c r="AG552" s="32"/>
      <c r="AH552" s="630"/>
      <c r="AI552" s="609">
        <f t="shared" si="165"/>
        <v>0</v>
      </c>
      <c r="AJ552" s="568"/>
      <c r="AK552" s="568"/>
      <c r="AL552" s="568"/>
      <c r="AM552" s="568"/>
      <c r="AN552" s="32"/>
      <c r="AO552" s="32"/>
      <c r="AP552" s="32"/>
      <c r="AQ552" s="630"/>
      <c r="AR552" s="631"/>
      <c r="AS552" s="568"/>
      <c r="AT552" s="568"/>
      <c r="AU552" s="568"/>
      <c r="AV552" s="568"/>
      <c r="AW552" s="32"/>
      <c r="AX552" s="32"/>
      <c r="AY552" s="32"/>
      <c r="AZ552" s="32"/>
      <c r="BA552" s="32"/>
      <c r="BB552" s="568"/>
      <c r="BC552" s="568"/>
      <c r="BD552" s="568"/>
      <c r="BE552" s="32"/>
      <c r="BF552" s="32"/>
      <c r="BG552" s="32"/>
      <c r="BH552" s="32"/>
    </row>
    <row r="553" spans="1:60" x14ac:dyDescent="0.25">
      <c r="A553" s="77">
        <v>546</v>
      </c>
      <c r="B553" s="603">
        <f t="shared" ca="1" si="145"/>
        <v>43134</v>
      </c>
      <c r="C553" s="29" t="s">
        <v>2404</v>
      </c>
      <c r="D553" s="59"/>
      <c r="E553" s="22" t="s">
        <v>2225</v>
      </c>
      <c r="F553" s="27" t="s">
        <v>2096</v>
      </c>
      <c r="G553" s="567">
        <v>42976</v>
      </c>
      <c r="H553" s="609">
        <f t="shared" si="158"/>
        <v>25</v>
      </c>
      <c r="I553" s="568">
        <v>5</v>
      </c>
      <c r="J553" s="568">
        <v>7.4</v>
      </c>
      <c r="K553" s="568">
        <v>5.6</v>
      </c>
      <c r="L553" s="568">
        <f t="shared" si="146"/>
        <v>18</v>
      </c>
      <c r="M553" s="32"/>
      <c r="N553" s="32"/>
      <c r="O553" s="32"/>
      <c r="P553" s="630"/>
      <c r="Q553" s="609">
        <f t="shared" si="163"/>
        <v>0</v>
      </c>
      <c r="R553" s="568">
        <v>9</v>
      </c>
      <c r="S553" s="568">
        <v>7</v>
      </c>
      <c r="T553" s="568">
        <v>9</v>
      </c>
      <c r="U553" s="568">
        <f t="shared" si="148"/>
        <v>25</v>
      </c>
      <c r="V553" s="32"/>
      <c r="W553" s="32"/>
      <c r="X553" s="32"/>
      <c r="Y553" s="630"/>
      <c r="Z553" s="609">
        <f t="shared" si="164"/>
        <v>0</v>
      </c>
      <c r="AA553" s="568">
        <v>4</v>
      </c>
      <c r="AB553" s="568">
        <v>4</v>
      </c>
      <c r="AC553" s="568">
        <v>8.5</v>
      </c>
      <c r="AD553" s="568">
        <f t="shared" si="150"/>
        <v>16.5</v>
      </c>
      <c r="AE553" s="32"/>
      <c r="AF553" s="32"/>
      <c r="AG553" s="32"/>
      <c r="AH553" s="630"/>
      <c r="AI553" s="609">
        <f t="shared" si="165"/>
        <v>0</v>
      </c>
      <c r="AJ553" s="568"/>
      <c r="AK553" s="568"/>
      <c r="AL553" s="568"/>
      <c r="AM553" s="568"/>
      <c r="AN553" s="32"/>
      <c r="AO553" s="32"/>
      <c r="AP553" s="32"/>
      <c r="AQ553" s="630"/>
      <c r="AR553" s="631"/>
      <c r="AS553" s="568"/>
      <c r="AT553" s="568"/>
      <c r="AU553" s="568"/>
      <c r="AV553" s="568"/>
      <c r="AW553" s="32"/>
      <c r="AX553" s="32"/>
      <c r="AY553" s="32"/>
      <c r="AZ553" s="32"/>
      <c r="BA553" s="32"/>
      <c r="BB553" s="568"/>
      <c r="BC553" s="568"/>
      <c r="BD553" s="568"/>
      <c r="BE553" s="32"/>
      <c r="BF553" s="32"/>
      <c r="BG553" s="32"/>
      <c r="BH553" s="32"/>
    </row>
    <row r="554" spans="1:60" x14ac:dyDescent="0.25">
      <c r="A554" s="602">
        <v>547</v>
      </c>
      <c r="B554" s="603">
        <f t="shared" ca="1" si="145"/>
        <v>43134</v>
      </c>
      <c r="C554" s="29" t="s">
        <v>614</v>
      </c>
      <c r="D554" s="59"/>
      <c r="E554" s="22" t="s">
        <v>1827</v>
      </c>
      <c r="F554" s="27" t="s">
        <v>2098</v>
      </c>
      <c r="G554" s="567">
        <v>42983</v>
      </c>
      <c r="H554" s="609">
        <f t="shared" si="158"/>
        <v>23.299999999999997</v>
      </c>
      <c r="I554" s="568">
        <v>8.1999999999999993</v>
      </c>
      <c r="J554" s="568">
        <v>7.2</v>
      </c>
      <c r="K554" s="568">
        <v>8.1999999999999993</v>
      </c>
      <c r="L554" s="568">
        <f t="shared" si="146"/>
        <v>23.599999999999998</v>
      </c>
      <c r="M554" s="32"/>
      <c r="N554" s="32"/>
      <c r="O554" s="32"/>
      <c r="P554" s="630"/>
      <c r="Q554" s="609">
        <f t="shared" si="163"/>
        <v>0</v>
      </c>
      <c r="R554" s="568">
        <v>8.1999999999999993</v>
      </c>
      <c r="S554" s="568">
        <v>9.5</v>
      </c>
      <c r="T554" s="568">
        <v>5.6</v>
      </c>
      <c r="U554" s="568">
        <f t="shared" si="148"/>
        <v>23.299999999999997</v>
      </c>
      <c r="V554" s="32"/>
      <c r="W554" s="32"/>
      <c r="X554" s="32"/>
      <c r="Y554" s="630"/>
      <c r="Z554" s="609">
        <f t="shared" si="164"/>
        <v>0</v>
      </c>
      <c r="AA554" s="568"/>
      <c r="AB554" s="568"/>
      <c r="AC554" s="568"/>
      <c r="AD554" s="568"/>
      <c r="AE554" s="32"/>
      <c r="AF554" s="32"/>
      <c r="AG554" s="32"/>
      <c r="AH554" s="630"/>
      <c r="AI554" s="609">
        <f t="shared" si="165"/>
        <v>0</v>
      </c>
      <c r="AJ554" s="568"/>
      <c r="AK554" s="568"/>
      <c r="AL554" s="568"/>
      <c r="AM554" s="568"/>
      <c r="AN554" s="32"/>
      <c r="AO554" s="32"/>
      <c r="AP554" s="32"/>
      <c r="AQ554" s="630"/>
      <c r="AR554" s="631"/>
      <c r="AS554" s="568"/>
      <c r="AT554" s="568"/>
      <c r="AU554" s="568"/>
      <c r="AV554" s="568"/>
      <c r="AW554" s="32"/>
      <c r="AX554" s="32"/>
      <c r="AY554" s="32"/>
      <c r="AZ554" s="32"/>
      <c r="BA554" s="32"/>
      <c r="BB554" s="568"/>
      <c r="BC554" s="568"/>
      <c r="BD554" s="568"/>
      <c r="BE554" s="32"/>
      <c r="BF554" s="32"/>
      <c r="BG554" s="32"/>
      <c r="BH554" s="32"/>
    </row>
    <row r="555" spans="1:60" x14ac:dyDescent="0.25">
      <c r="A555" s="77">
        <v>548</v>
      </c>
      <c r="B555" s="603">
        <f t="shared" ca="1" si="145"/>
        <v>43134</v>
      </c>
      <c r="C555" s="29" t="s">
        <v>614</v>
      </c>
      <c r="D555" s="59"/>
      <c r="E555" s="22" t="s">
        <v>1276</v>
      </c>
      <c r="F555" s="27" t="s">
        <v>2085</v>
      </c>
      <c r="G555" s="567">
        <v>42986</v>
      </c>
      <c r="H555" s="609">
        <f t="shared" si="158"/>
        <v>24.400000000000002</v>
      </c>
      <c r="I555" s="568">
        <v>9.5</v>
      </c>
      <c r="J555" s="568">
        <v>5.2</v>
      </c>
      <c r="K555" s="568">
        <v>7</v>
      </c>
      <c r="L555" s="568">
        <f t="shared" si="146"/>
        <v>21.7</v>
      </c>
      <c r="M555" s="32"/>
      <c r="N555" s="32"/>
      <c r="O555" s="32"/>
      <c r="P555" s="630"/>
      <c r="Q555" s="609">
        <f t="shared" si="163"/>
        <v>0</v>
      </c>
      <c r="R555" s="568">
        <v>11.2</v>
      </c>
      <c r="S555" s="568">
        <v>5.4</v>
      </c>
      <c r="T555" s="568">
        <v>7.8</v>
      </c>
      <c r="U555" s="568">
        <f t="shared" si="148"/>
        <v>24.400000000000002</v>
      </c>
      <c r="V555" s="32"/>
      <c r="W555" s="32"/>
      <c r="X555" s="32"/>
      <c r="Y555" s="630"/>
      <c r="Z555" s="609">
        <f t="shared" si="164"/>
        <v>0</v>
      </c>
      <c r="AA555" s="568"/>
      <c r="AB555" s="568"/>
      <c r="AC555" s="568"/>
      <c r="AD555" s="568"/>
      <c r="AE555" s="32"/>
      <c r="AF555" s="32"/>
      <c r="AG555" s="32"/>
      <c r="AH555" s="630"/>
      <c r="AI555" s="609">
        <f t="shared" si="165"/>
        <v>0</v>
      </c>
      <c r="AJ555" s="568"/>
      <c r="AK555" s="568"/>
      <c r="AL555" s="568"/>
      <c r="AM555" s="568"/>
      <c r="AN555" s="32"/>
      <c r="AO555" s="32"/>
      <c r="AP555" s="32"/>
      <c r="AQ555" s="630"/>
      <c r="AR555" s="631"/>
      <c r="AS555" s="568"/>
      <c r="AT555" s="568"/>
      <c r="AU555" s="568"/>
      <c r="AV555" s="568"/>
      <c r="AW555" s="32"/>
      <c r="AX555" s="32"/>
      <c r="AY555" s="32"/>
      <c r="AZ555" s="32"/>
      <c r="BA555" s="32"/>
      <c r="BB555" s="568"/>
      <c r="BC555" s="568"/>
      <c r="BD555" s="568"/>
      <c r="BE555" s="32"/>
      <c r="BF555" s="32"/>
      <c r="BG555" s="32"/>
      <c r="BH555" s="32"/>
    </row>
    <row r="556" spans="1:60" x14ac:dyDescent="0.25">
      <c r="A556" s="602">
        <v>549</v>
      </c>
      <c r="B556" s="603">
        <f t="shared" ca="1" si="145"/>
        <v>43134</v>
      </c>
      <c r="C556" s="29" t="s">
        <v>614</v>
      </c>
      <c r="D556" s="59"/>
      <c r="E556" s="22" t="s">
        <v>2296</v>
      </c>
      <c r="F556" s="27" t="s">
        <v>2082</v>
      </c>
      <c r="G556" s="567">
        <v>42988</v>
      </c>
      <c r="H556" s="609">
        <f t="shared" si="158"/>
        <v>24</v>
      </c>
      <c r="I556" s="568">
        <v>11.2</v>
      </c>
      <c r="J556" s="568">
        <v>9</v>
      </c>
      <c r="K556" s="568">
        <v>12</v>
      </c>
      <c r="L556" s="568">
        <f t="shared" si="146"/>
        <v>32.200000000000003</v>
      </c>
      <c r="M556" s="32"/>
      <c r="N556" s="32"/>
      <c r="O556" s="32"/>
      <c r="P556" s="630"/>
      <c r="Q556" s="609">
        <f t="shared" si="163"/>
        <v>0</v>
      </c>
      <c r="R556" s="568">
        <v>8</v>
      </c>
      <c r="S556" s="568">
        <v>8</v>
      </c>
      <c r="T556" s="568">
        <v>8</v>
      </c>
      <c r="U556" s="568">
        <f t="shared" si="148"/>
        <v>24</v>
      </c>
      <c r="V556" s="32"/>
      <c r="W556" s="32"/>
      <c r="X556" s="32"/>
      <c r="Y556" s="630"/>
      <c r="Z556" s="609">
        <f t="shared" si="164"/>
        <v>0</v>
      </c>
      <c r="AA556" s="568"/>
      <c r="AB556" s="568"/>
      <c r="AC556" s="568"/>
      <c r="AD556" s="568"/>
      <c r="AE556" s="32"/>
      <c r="AF556" s="32"/>
      <c r="AG556" s="32"/>
      <c r="AH556" s="630"/>
      <c r="AI556" s="609">
        <f t="shared" si="165"/>
        <v>0</v>
      </c>
      <c r="AJ556" s="568"/>
      <c r="AK556" s="568"/>
      <c r="AL556" s="568"/>
      <c r="AM556" s="568"/>
      <c r="AN556" s="32"/>
      <c r="AO556" s="32"/>
      <c r="AP556" s="32"/>
      <c r="AQ556" s="630"/>
      <c r="AR556" s="631"/>
      <c r="AS556" s="568"/>
      <c r="AT556" s="568"/>
      <c r="AU556" s="568"/>
      <c r="AV556" s="568"/>
      <c r="AW556" s="32"/>
      <c r="AX556" s="32"/>
      <c r="AY556" s="32"/>
      <c r="AZ556" s="32"/>
      <c r="BA556" s="32"/>
      <c r="BB556" s="568"/>
      <c r="BC556" s="568"/>
      <c r="BD556" s="568"/>
      <c r="BE556" s="32"/>
      <c r="BF556" s="32"/>
      <c r="BG556" s="32"/>
      <c r="BH556" s="32"/>
    </row>
    <row r="557" spans="1:60" x14ac:dyDescent="0.25">
      <c r="A557" s="77">
        <v>550</v>
      </c>
      <c r="B557" s="603">
        <f t="shared" ca="1" si="145"/>
        <v>43134</v>
      </c>
      <c r="C557" s="29" t="s">
        <v>2404</v>
      </c>
      <c r="D557" s="59"/>
      <c r="E557" s="22" t="s">
        <v>235</v>
      </c>
      <c r="F557" s="27" t="s">
        <v>2081</v>
      </c>
      <c r="G557" s="567">
        <v>42992</v>
      </c>
      <c r="H557" s="609">
        <f t="shared" si="158"/>
        <v>13</v>
      </c>
      <c r="I557" s="568">
        <v>7</v>
      </c>
      <c r="J557" s="568">
        <v>5.8</v>
      </c>
      <c r="K557" s="568">
        <v>5.2</v>
      </c>
      <c r="L557" s="568">
        <f t="shared" si="146"/>
        <v>18</v>
      </c>
      <c r="M557" s="32"/>
      <c r="N557" s="32"/>
      <c r="O557" s="32"/>
      <c r="P557" s="630"/>
      <c r="Q557" s="609">
        <f t="shared" si="163"/>
        <v>0</v>
      </c>
      <c r="R557" s="568">
        <v>4</v>
      </c>
      <c r="S557" s="568">
        <v>2</v>
      </c>
      <c r="T557" s="568">
        <v>7</v>
      </c>
      <c r="U557" s="568">
        <f t="shared" si="148"/>
        <v>13</v>
      </c>
      <c r="V557" s="32"/>
      <c r="W557" s="32"/>
      <c r="X557" s="32"/>
      <c r="Y557" s="630"/>
      <c r="Z557" s="609">
        <f t="shared" si="164"/>
        <v>0</v>
      </c>
      <c r="AA557" s="568"/>
      <c r="AB557" s="568"/>
      <c r="AC557" s="568"/>
      <c r="AD557" s="568"/>
      <c r="AE557" s="32"/>
      <c r="AF557" s="32"/>
      <c r="AG557" s="32"/>
      <c r="AH557" s="630"/>
      <c r="AI557" s="609">
        <f t="shared" si="165"/>
        <v>0</v>
      </c>
      <c r="AJ557" s="568"/>
      <c r="AK557" s="568"/>
      <c r="AL557" s="568"/>
      <c r="AM557" s="568"/>
      <c r="AN557" s="32"/>
      <c r="AO557" s="32"/>
      <c r="AP557" s="32"/>
      <c r="AQ557" s="630"/>
      <c r="AR557" s="631"/>
      <c r="AS557" s="568"/>
      <c r="AT557" s="568"/>
      <c r="AU557" s="568"/>
      <c r="AV557" s="568"/>
      <c r="AW557" s="32"/>
      <c r="AX557" s="32"/>
      <c r="AY557" s="32"/>
      <c r="AZ557" s="32"/>
      <c r="BA557" s="32"/>
      <c r="BB557" s="568"/>
      <c r="BC557" s="568"/>
      <c r="BD557" s="568"/>
      <c r="BE557" s="32"/>
      <c r="BF557" s="32"/>
      <c r="BG557" s="32"/>
      <c r="BH557" s="32"/>
    </row>
    <row r="558" spans="1:60" x14ac:dyDescent="0.25">
      <c r="A558" s="602">
        <v>551</v>
      </c>
      <c r="B558" s="603">
        <f t="shared" ca="1" si="145"/>
        <v>43134</v>
      </c>
      <c r="C558" s="29" t="s">
        <v>2404</v>
      </c>
      <c r="D558" s="59"/>
      <c r="E558" s="22" t="s">
        <v>861</v>
      </c>
      <c r="F558" s="27" t="s">
        <v>2084</v>
      </c>
      <c r="G558" s="567">
        <v>42993</v>
      </c>
      <c r="H558" s="609">
        <f t="shared" si="158"/>
        <v>32.700000000000003</v>
      </c>
      <c r="I558" s="568">
        <v>10.8</v>
      </c>
      <c r="J558" s="568">
        <v>9.5</v>
      </c>
      <c r="K558" s="568">
        <v>11</v>
      </c>
      <c r="L558" s="568">
        <f t="shared" si="146"/>
        <v>31.3</v>
      </c>
      <c r="M558" s="32"/>
      <c r="N558" s="32"/>
      <c r="O558" s="32"/>
      <c r="P558" s="630"/>
      <c r="Q558" s="609">
        <f t="shared" si="163"/>
        <v>0</v>
      </c>
      <c r="R558" s="568">
        <v>10.7</v>
      </c>
      <c r="S558" s="568">
        <v>10.8</v>
      </c>
      <c r="T558" s="568">
        <v>11.2</v>
      </c>
      <c r="U558" s="568">
        <f t="shared" si="148"/>
        <v>32.700000000000003</v>
      </c>
      <c r="V558" s="32"/>
      <c r="W558" s="32"/>
      <c r="X558" s="32"/>
      <c r="Y558" s="630"/>
      <c r="Z558" s="609">
        <f t="shared" si="164"/>
        <v>0</v>
      </c>
      <c r="AA558" s="568"/>
      <c r="AB558" s="568"/>
      <c r="AC558" s="568"/>
      <c r="AD558" s="568"/>
      <c r="AE558" s="32"/>
      <c r="AF558" s="32"/>
      <c r="AG558" s="32"/>
      <c r="AH558" s="630"/>
      <c r="AI558" s="609">
        <f t="shared" si="165"/>
        <v>0</v>
      </c>
      <c r="AJ558" s="568"/>
      <c r="AK558" s="568"/>
      <c r="AL558" s="568"/>
      <c r="AM558" s="568"/>
      <c r="AN558" s="32"/>
      <c r="AO558" s="32"/>
      <c r="AP558" s="32"/>
      <c r="AQ558" s="630"/>
      <c r="AR558" s="631"/>
      <c r="AS558" s="568"/>
      <c r="AT558" s="568"/>
      <c r="AU558" s="568"/>
      <c r="AV558" s="568"/>
      <c r="AW558" s="32"/>
      <c r="AX558" s="32"/>
      <c r="AY558" s="32"/>
      <c r="AZ558" s="32"/>
      <c r="BA558" s="32"/>
      <c r="BB558" s="568"/>
      <c r="BC558" s="568"/>
      <c r="BD558" s="568"/>
      <c r="BE558" s="32"/>
      <c r="BF558" s="32"/>
      <c r="BG558" s="32"/>
      <c r="BH558" s="32"/>
    </row>
    <row r="559" spans="1:60" x14ac:dyDescent="0.25">
      <c r="A559" s="77">
        <v>552</v>
      </c>
      <c r="B559" s="603">
        <f t="shared" ca="1" si="145"/>
        <v>43134</v>
      </c>
      <c r="C559" s="29" t="s">
        <v>2404</v>
      </c>
      <c r="D559" s="59"/>
      <c r="E559" s="22" t="s">
        <v>2224</v>
      </c>
      <c r="F559" s="27" t="s">
        <v>2092</v>
      </c>
      <c r="G559" s="567">
        <v>42994</v>
      </c>
      <c r="H559" s="609">
        <f t="shared" si="158"/>
        <v>22.4</v>
      </c>
      <c r="I559" s="568">
        <v>3</v>
      </c>
      <c r="J559" s="568">
        <v>4.2</v>
      </c>
      <c r="K559" s="568">
        <v>2</v>
      </c>
      <c r="L559" s="568">
        <f t="shared" si="146"/>
        <v>9.1999999999999993</v>
      </c>
      <c r="M559" s="32"/>
      <c r="N559" s="32"/>
      <c r="O559" s="32"/>
      <c r="P559" s="630"/>
      <c r="Q559" s="609">
        <f t="shared" si="163"/>
        <v>0</v>
      </c>
      <c r="R559" s="568">
        <v>6.6</v>
      </c>
      <c r="S559" s="568">
        <v>7.5</v>
      </c>
      <c r="T559" s="568">
        <v>8.3000000000000007</v>
      </c>
      <c r="U559" s="568">
        <f t="shared" si="148"/>
        <v>22.4</v>
      </c>
      <c r="V559" s="32"/>
      <c r="W559" s="32"/>
      <c r="X559" s="32"/>
      <c r="Y559" s="630"/>
      <c r="Z559" s="609">
        <f t="shared" si="164"/>
        <v>0</v>
      </c>
      <c r="AA559" s="568"/>
      <c r="AB559" s="568"/>
      <c r="AC559" s="568"/>
      <c r="AD559" s="568"/>
      <c r="AE559" s="32"/>
      <c r="AF559" s="32"/>
      <c r="AG559" s="32"/>
      <c r="AH559" s="630"/>
      <c r="AI559" s="609">
        <f t="shared" si="165"/>
        <v>0</v>
      </c>
      <c r="AJ559" s="568"/>
      <c r="AK559" s="568"/>
      <c r="AL559" s="568"/>
      <c r="AM559" s="568"/>
      <c r="AN559" s="32"/>
      <c r="AO559" s="32"/>
      <c r="AP559" s="32"/>
      <c r="AQ559" s="630"/>
      <c r="AR559" s="631"/>
      <c r="AS559" s="568"/>
      <c r="AT559" s="568"/>
      <c r="AU559" s="568"/>
      <c r="AV559" s="568"/>
      <c r="AW559" s="32"/>
      <c r="AX559" s="32"/>
      <c r="AY559" s="32"/>
      <c r="AZ559" s="32"/>
      <c r="BA559" s="32"/>
      <c r="BB559" s="568"/>
      <c r="BC559" s="568"/>
      <c r="BD559" s="568"/>
      <c r="BE559" s="32"/>
      <c r="BF559" s="32"/>
      <c r="BG559" s="32"/>
      <c r="BH559" s="32"/>
    </row>
    <row r="560" spans="1:60" x14ac:dyDescent="0.25">
      <c r="A560" s="602">
        <v>553</v>
      </c>
      <c r="B560" s="603">
        <f t="shared" ca="1" si="145"/>
        <v>43134</v>
      </c>
      <c r="C560" s="29" t="s">
        <v>2404</v>
      </c>
      <c r="D560" s="59"/>
      <c r="E560" s="22" t="s">
        <v>1523</v>
      </c>
      <c r="F560" s="27" t="s">
        <v>1521</v>
      </c>
      <c r="G560" s="567">
        <v>42996</v>
      </c>
      <c r="H560" s="609">
        <f t="shared" si="158"/>
        <v>13.2</v>
      </c>
      <c r="I560" s="568">
        <v>6</v>
      </c>
      <c r="J560" s="568">
        <v>6</v>
      </c>
      <c r="K560" s="568">
        <v>5</v>
      </c>
      <c r="L560" s="568">
        <f t="shared" si="146"/>
        <v>17</v>
      </c>
      <c r="M560" s="32"/>
      <c r="N560" s="32"/>
      <c r="O560" s="32"/>
      <c r="P560" s="630"/>
      <c r="Q560" s="609">
        <f t="shared" si="163"/>
        <v>0</v>
      </c>
      <c r="R560" s="568">
        <v>4.5999999999999996</v>
      </c>
      <c r="S560" s="568">
        <v>4.0999999999999996</v>
      </c>
      <c r="T560" s="568">
        <v>4.5</v>
      </c>
      <c r="U560" s="568">
        <f t="shared" si="148"/>
        <v>13.2</v>
      </c>
      <c r="V560" s="32"/>
      <c r="W560" s="32"/>
      <c r="X560" s="32"/>
      <c r="Y560" s="630"/>
      <c r="Z560" s="609">
        <f t="shared" si="164"/>
        <v>0</v>
      </c>
      <c r="AA560" s="568"/>
      <c r="AB560" s="568"/>
      <c r="AC560" s="568"/>
      <c r="AD560" s="568"/>
      <c r="AE560" s="32"/>
      <c r="AF560" s="32"/>
      <c r="AG560" s="32"/>
      <c r="AH560" s="630"/>
      <c r="AI560" s="609">
        <f t="shared" si="165"/>
        <v>0</v>
      </c>
      <c r="AJ560" s="568"/>
      <c r="AK560" s="568"/>
      <c r="AL560" s="568"/>
      <c r="AM560" s="568"/>
      <c r="AN560" s="32"/>
      <c r="AO560" s="32"/>
      <c r="AP560" s="32"/>
      <c r="AQ560" s="630"/>
      <c r="AR560" s="631"/>
      <c r="AS560" s="568"/>
      <c r="AT560" s="568"/>
      <c r="AU560" s="568"/>
      <c r="AV560" s="568"/>
      <c r="AW560" s="32"/>
      <c r="AX560" s="32"/>
      <c r="AY560" s="32"/>
      <c r="AZ560" s="32"/>
      <c r="BA560" s="32"/>
      <c r="BB560" s="568"/>
      <c r="BC560" s="568"/>
      <c r="BD560" s="568"/>
      <c r="BE560" s="32"/>
      <c r="BF560" s="32"/>
      <c r="BG560" s="32"/>
      <c r="BH560" s="32"/>
    </row>
    <row r="561" spans="1:60" x14ac:dyDescent="0.25">
      <c r="A561" s="77">
        <v>554</v>
      </c>
      <c r="B561" s="603">
        <f t="shared" ca="1" si="145"/>
        <v>43134</v>
      </c>
      <c r="C561" s="29" t="s">
        <v>2404</v>
      </c>
      <c r="D561" s="59"/>
      <c r="E561" s="22" t="s">
        <v>2226</v>
      </c>
      <c r="F561" s="27" t="s">
        <v>2087</v>
      </c>
      <c r="G561" s="567">
        <v>42996</v>
      </c>
      <c r="H561" s="609">
        <f t="shared" si="158"/>
        <v>11.9</v>
      </c>
      <c r="I561" s="568">
        <v>3.2</v>
      </c>
      <c r="J561" s="568">
        <v>5.2</v>
      </c>
      <c r="K561" s="568">
        <v>3.4</v>
      </c>
      <c r="L561" s="568">
        <f t="shared" si="146"/>
        <v>11.8</v>
      </c>
      <c r="M561" s="32"/>
      <c r="N561" s="32"/>
      <c r="O561" s="32"/>
      <c r="P561" s="630"/>
      <c r="Q561" s="609">
        <f t="shared" si="163"/>
        <v>0</v>
      </c>
      <c r="R561" s="568">
        <v>11.9</v>
      </c>
      <c r="S561" s="568">
        <v>0</v>
      </c>
      <c r="T561" s="568">
        <v>0</v>
      </c>
      <c r="U561" s="568">
        <f t="shared" si="148"/>
        <v>11.9</v>
      </c>
      <c r="V561" s="32"/>
      <c r="W561" s="32"/>
      <c r="X561" s="32"/>
      <c r="Y561" s="630"/>
      <c r="Z561" s="609">
        <f t="shared" si="164"/>
        <v>0</v>
      </c>
      <c r="AA561" s="568"/>
      <c r="AB561" s="568"/>
      <c r="AC561" s="568"/>
      <c r="AD561" s="568"/>
      <c r="AE561" s="32"/>
      <c r="AF561" s="32"/>
      <c r="AG561" s="32"/>
      <c r="AH561" s="630"/>
      <c r="AI561" s="609">
        <f t="shared" si="165"/>
        <v>0</v>
      </c>
      <c r="AJ561" s="568"/>
      <c r="AK561" s="568"/>
      <c r="AL561" s="568"/>
      <c r="AM561" s="568"/>
      <c r="AN561" s="32"/>
      <c r="AO561" s="32"/>
      <c r="AP561" s="32"/>
      <c r="AQ561" s="630"/>
      <c r="AR561" s="631"/>
      <c r="AS561" s="568"/>
      <c r="AT561" s="568"/>
      <c r="AU561" s="568"/>
      <c r="AV561" s="568"/>
      <c r="AW561" s="32"/>
      <c r="AX561" s="32"/>
      <c r="AY561" s="32"/>
      <c r="AZ561" s="32"/>
      <c r="BA561" s="32"/>
      <c r="BB561" s="568"/>
      <c r="BC561" s="568"/>
      <c r="BD561" s="568"/>
      <c r="BE561" s="32"/>
      <c r="BF561" s="32"/>
      <c r="BG561" s="32"/>
      <c r="BH561" s="32"/>
    </row>
    <row r="562" spans="1:60" x14ac:dyDescent="0.25">
      <c r="A562" s="602">
        <v>555</v>
      </c>
      <c r="B562" s="603">
        <f t="shared" ca="1" si="145"/>
        <v>43134</v>
      </c>
      <c r="C562" s="29" t="s">
        <v>2404</v>
      </c>
      <c r="D562" s="59"/>
      <c r="E562" s="22" t="s">
        <v>710</v>
      </c>
      <c r="F562" s="27" t="s">
        <v>1857</v>
      </c>
      <c r="G562" s="567">
        <v>42998</v>
      </c>
      <c r="H562" s="609">
        <f t="shared" si="158"/>
        <v>20</v>
      </c>
      <c r="I562" s="568">
        <v>9.1999999999999993</v>
      </c>
      <c r="J562" s="568">
        <v>15</v>
      </c>
      <c r="K562" s="568">
        <v>15</v>
      </c>
      <c r="L562" s="568">
        <f t="shared" si="146"/>
        <v>39.200000000000003</v>
      </c>
      <c r="M562" s="32"/>
      <c r="N562" s="32"/>
      <c r="O562" s="32"/>
      <c r="P562" s="630"/>
      <c r="Q562" s="609">
        <f t="shared" si="163"/>
        <v>0</v>
      </c>
      <c r="R562" s="568">
        <v>7</v>
      </c>
      <c r="S562" s="568">
        <v>5.9</v>
      </c>
      <c r="T562" s="568">
        <v>7.1</v>
      </c>
      <c r="U562" s="568">
        <f t="shared" si="148"/>
        <v>20</v>
      </c>
      <c r="V562" s="32"/>
      <c r="W562" s="32"/>
      <c r="X562" s="32"/>
      <c r="Y562" s="630"/>
      <c r="Z562" s="609">
        <f t="shared" si="164"/>
        <v>0</v>
      </c>
      <c r="AA562" s="568"/>
      <c r="AB562" s="568"/>
      <c r="AC562" s="568"/>
      <c r="AD562" s="568"/>
      <c r="AE562" s="32"/>
      <c r="AF562" s="32"/>
      <c r="AG562" s="32"/>
      <c r="AH562" s="630"/>
      <c r="AI562" s="609">
        <f t="shared" si="165"/>
        <v>0</v>
      </c>
      <c r="AJ562" s="568"/>
      <c r="AK562" s="568"/>
      <c r="AL562" s="568"/>
      <c r="AM562" s="568"/>
      <c r="AN562" s="32"/>
      <c r="AO562" s="32"/>
      <c r="AP562" s="32"/>
      <c r="AQ562" s="630"/>
      <c r="AR562" s="631"/>
      <c r="AS562" s="568"/>
      <c r="AT562" s="568"/>
      <c r="AU562" s="568"/>
      <c r="AV562" s="568"/>
      <c r="AW562" s="32"/>
      <c r="AX562" s="32"/>
      <c r="AY562" s="32"/>
      <c r="AZ562" s="32"/>
      <c r="BA562" s="32"/>
      <c r="BB562" s="568"/>
      <c r="BC562" s="568"/>
      <c r="BD562" s="568"/>
      <c r="BE562" s="32"/>
      <c r="BF562" s="32"/>
      <c r="BG562" s="32"/>
      <c r="BH562" s="32"/>
    </row>
    <row r="563" spans="1:60" x14ac:dyDescent="0.25">
      <c r="A563" s="77">
        <v>556</v>
      </c>
      <c r="B563" s="603">
        <f t="shared" ca="1" si="145"/>
        <v>43134</v>
      </c>
      <c r="C563" s="29" t="s">
        <v>2404</v>
      </c>
      <c r="D563" s="59"/>
      <c r="E563" s="22" t="s">
        <v>1487</v>
      </c>
      <c r="F563" s="27" t="s">
        <v>1906</v>
      </c>
      <c r="G563" s="567">
        <v>43000</v>
      </c>
      <c r="H563" s="609">
        <f t="shared" si="158"/>
        <v>22.3</v>
      </c>
      <c r="I563" s="568">
        <v>4.8</v>
      </c>
      <c r="J563" s="568">
        <v>7</v>
      </c>
      <c r="K563" s="568">
        <v>5.4</v>
      </c>
      <c r="L563" s="568">
        <f t="shared" si="146"/>
        <v>17.200000000000003</v>
      </c>
      <c r="M563" s="32"/>
      <c r="N563" s="32"/>
      <c r="O563" s="32"/>
      <c r="P563" s="630"/>
      <c r="Q563" s="609">
        <f t="shared" si="163"/>
        <v>0</v>
      </c>
      <c r="R563" s="568">
        <v>7.2</v>
      </c>
      <c r="S563" s="568">
        <v>7.8</v>
      </c>
      <c r="T563" s="568">
        <v>7.3</v>
      </c>
      <c r="U563" s="568">
        <f t="shared" si="148"/>
        <v>22.3</v>
      </c>
      <c r="V563" s="32"/>
      <c r="W563" s="32"/>
      <c r="X563" s="32"/>
      <c r="Y563" s="630"/>
      <c r="Z563" s="609">
        <f t="shared" si="164"/>
        <v>0</v>
      </c>
      <c r="AA563" s="568"/>
      <c r="AB563" s="568"/>
      <c r="AC563" s="568"/>
      <c r="AD563" s="568"/>
      <c r="AE563" s="32"/>
      <c r="AF563" s="32"/>
      <c r="AG563" s="32"/>
      <c r="AH563" s="630"/>
      <c r="AI563" s="609">
        <f t="shared" si="165"/>
        <v>0</v>
      </c>
      <c r="AJ563" s="568"/>
      <c r="AK563" s="568"/>
      <c r="AL563" s="568"/>
      <c r="AM563" s="568"/>
      <c r="AN563" s="32"/>
      <c r="AO563" s="32"/>
      <c r="AP563" s="32"/>
      <c r="AQ563" s="630"/>
      <c r="AR563" s="631"/>
      <c r="AS563" s="568"/>
      <c r="AT563" s="568"/>
      <c r="AU563" s="568"/>
      <c r="AV563" s="568"/>
      <c r="AW563" s="32"/>
      <c r="AX563" s="32"/>
      <c r="AY563" s="32"/>
      <c r="AZ563" s="32"/>
      <c r="BA563" s="32"/>
      <c r="BB563" s="568"/>
      <c r="BC563" s="568"/>
      <c r="BD563" s="568"/>
      <c r="BE563" s="32"/>
      <c r="BF563" s="32"/>
      <c r="BG563" s="32"/>
      <c r="BH563" s="32"/>
    </row>
    <row r="564" spans="1:60" x14ac:dyDescent="0.25">
      <c r="A564" s="602">
        <v>557</v>
      </c>
      <c r="B564" s="603">
        <f t="shared" ca="1" si="145"/>
        <v>43134</v>
      </c>
      <c r="C564" s="29" t="s">
        <v>2404</v>
      </c>
      <c r="D564" s="59"/>
      <c r="E564" s="22" t="s">
        <v>2227</v>
      </c>
      <c r="F564" s="27" t="s">
        <v>2102</v>
      </c>
      <c r="G564" s="567" t="s">
        <v>3216</v>
      </c>
      <c r="H564" s="609">
        <f t="shared" si="158"/>
        <v>3.1999999999999997</v>
      </c>
      <c r="I564" s="568">
        <v>3</v>
      </c>
      <c r="J564" s="568">
        <v>4.2</v>
      </c>
      <c r="K564" s="568">
        <v>3</v>
      </c>
      <c r="L564" s="568">
        <f t="shared" si="146"/>
        <v>10.199999999999999</v>
      </c>
      <c r="M564" s="32"/>
      <c r="N564" s="32"/>
      <c r="O564" s="32"/>
      <c r="P564" s="630"/>
      <c r="Q564" s="609">
        <f t="shared" si="163"/>
        <v>0</v>
      </c>
      <c r="R564" s="568">
        <v>1.4</v>
      </c>
      <c r="S564" s="568">
        <v>0.9</v>
      </c>
      <c r="T564" s="568">
        <v>0.9</v>
      </c>
      <c r="U564" s="568">
        <f t="shared" si="148"/>
        <v>3.1999999999999997</v>
      </c>
      <c r="V564" s="32"/>
      <c r="W564" s="32"/>
      <c r="X564" s="32"/>
      <c r="Y564" s="630"/>
      <c r="Z564" s="609">
        <f t="shared" si="164"/>
        <v>0</v>
      </c>
      <c r="AA564" s="568"/>
      <c r="AB564" s="568"/>
      <c r="AC564" s="568"/>
      <c r="AD564" s="568"/>
      <c r="AE564" s="32"/>
      <c r="AF564" s="32"/>
      <c r="AG564" s="32"/>
      <c r="AH564" s="630"/>
      <c r="AI564" s="609">
        <f t="shared" si="165"/>
        <v>0</v>
      </c>
      <c r="AJ564" s="568"/>
      <c r="AK564" s="568"/>
      <c r="AL564" s="568"/>
      <c r="AM564" s="568"/>
      <c r="AN564" s="32"/>
      <c r="AO564" s="32"/>
      <c r="AP564" s="32"/>
      <c r="AQ564" s="630"/>
      <c r="AR564" s="631"/>
      <c r="AS564" s="568"/>
      <c r="AT564" s="568"/>
      <c r="AU564" s="568"/>
      <c r="AV564" s="568"/>
      <c r="AW564" s="32"/>
      <c r="AX564" s="32"/>
      <c r="AY564" s="32"/>
      <c r="AZ564" s="32"/>
      <c r="BA564" s="32"/>
      <c r="BB564" s="568"/>
      <c r="BC564" s="568"/>
      <c r="BD564" s="568"/>
      <c r="BE564" s="32"/>
      <c r="BF564" s="32"/>
      <c r="BG564" s="32"/>
      <c r="BH564" s="32"/>
    </row>
    <row r="565" spans="1:60" x14ac:dyDescent="0.25">
      <c r="A565" s="77">
        <v>558</v>
      </c>
      <c r="B565" s="603">
        <f t="shared" ca="1" si="145"/>
        <v>43134</v>
      </c>
      <c r="C565" s="29" t="s">
        <v>2404</v>
      </c>
      <c r="D565" s="59"/>
      <c r="E565" s="22" t="s">
        <v>2809</v>
      </c>
      <c r="F565" s="27" t="s">
        <v>2101</v>
      </c>
      <c r="G565" s="567">
        <v>43002</v>
      </c>
      <c r="H565" s="609">
        <f t="shared" si="158"/>
        <v>19.899999999999999</v>
      </c>
      <c r="I565" s="568">
        <v>6.4</v>
      </c>
      <c r="J565" s="568">
        <v>6</v>
      </c>
      <c r="K565" s="568">
        <v>5.2</v>
      </c>
      <c r="L565" s="568">
        <f t="shared" si="146"/>
        <v>17.600000000000001</v>
      </c>
      <c r="M565" s="32"/>
      <c r="N565" s="32"/>
      <c r="O565" s="32"/>
      <c r="P565" s="630"/>
      <c r="Q565" s="609">
        <f t="shared" si="163"/>
        <v>0</v>
      </c>
      <c r="R565" s="568">
        <v>5.9</v>
      </c>
      <c r="S565" s="568">
        <v>7</v>
      </c>
      <c r="T565" s="568">
        <v>7</v>
      </c>
      <c r="U565" s="568">
        <f t="shared" si="148"/>
        <v>19.899999999999999</v>
      </c>
      <c r="V565" s="32"/>
      <c r="W565" s="32"/>
      <c r="X565" s="32"/>
      <c r="Y565" s="630"/>
      <c r="Z565" s="609">
        <f t="shared" si="164"/>
        <v>0</v>
      </c>
      <c r="AA565" s="568"/>
      <c r="AB565" s="568"/>
      <c r="AC565" s="568"/>
      <c r="AD565" s="568"/>
      <c r="AE565" s="32"/>
      <c r="AF565" s="32"/>
      <c r="AG565" s="32"/>
      <c r="AH565" s="630"/>
      <c r="AI565" s="609">
        <f t="shared" si="165"/>
        <v>0</v>
      </c>
      <c r="AJ565" s="568"/>
      <c r="AK565" s="568"/>
      <c r="AL565" s="568"/>
      <c r="AM565" s="568"/>
      <c r="AN565" s="32"/>
      <c r="AO565" s="32"/>
      <c r="AP565" s="32"/>
      <c r="AQ565" s="630"/>
      <c r="AR565" s="631"/>
      <c r="AS565" s="568"/>
      <c r="AT565" s="568"/>
      <c r="AU565" s="568"/>
      <c r="AV565" s="568"/>
      <c r="AW565" s="32"/>
      <c r="AX565" s="32"/>
      <c r="AY565" s="32"/>
      <c r="AZ565" s="32"/>
      <c r="BA565" s="32"/>
      <c r="BB565" s="568"/>
      <c r="BC565" s="568"/>
      <c r="BD565" s="568"/>
      <c r="BE565" s="32"/>
      <c r="BF565" s="32"/>
      <c r="BG565" s="32"/>
      <c r="BH565" s="32"/>
    </row>
    <row r="566" spans="1:60" x14ac:dyDescent="0.25">
      <c r="A566" s="602">
        <v>559</v>
      </c>
      <c r="B566" s="603">
        <f t="shared" ca="1" si="145"/>
        <v>43134</v>
      </c>
      <c r="C566" s="29" t="s">
        <v>2404</v>
      </c>
      <c r="D566" s="59"/>
      <c r="E566" s="22" t="s">
        <v>2798</v>
      </c>
      <c r="F566" s="27" t="s">
        <v>1520</v>
      </c>
      <c r="G566" s="567">
        <v>43005</v>
      </c>
      <c r="H566" s="609">
        <f t="shared" si="158"/>
        <v>18.8</v>
      </c>
      <c r="I566" s="568">
        <v>8</v>
      </c>
      <c r="J566" s="568">
        <v>9</v>
      </c>
      <c r="K566" s="568">
        <v>9</v>
      </c>
      <c r="L566" s="568">
        <f t="shared" si="146"/>
        <v>26</v>
      </c>
      <c r="M566" s="32"/>
      <c r="N566" s="32"/>
      <c r="O566" s="32"/>
      <c r="P566" s="630"/>
      <c r="Q566" s="609">
        <f t="shared" si="163"/>
        <v>0</v>
      </c>
      <c r="R566" s="568">
        <v>5</v>
      </c>
      <c r="S566" s="568">
        <v>7</v>
      </c>
      <c r="T566" s="568">
        <v>6.8</v>
      </c>
      <c r="U566" s="568">
        <f t="shared" si="148"/>
        <v>18.8</v>
      </c>
      <c r="V566" s="32"/>
      <c r="W566" s="32"/>
      <c r="X566" s="32"/>
      <c r="Y566" s="630"/>
      <c r="Z566" s="609">
        <f t="shared" si="164"/>
        <v>0</v>
      </c>
      <c r="AA566" s="568"/>
      <c r="AB566" s="568"/>
      <c r="AC566" s="568"/>
      <c r="AD566" s="568"/>
      <c r="AE566" s="32"/>
      <c r="AF566" s="32"/>
      <c r="AG566" s="32"/>
      <c r="AH566" s="630"/>
      <c r="AI566" s="609">
        <f t="shared" si="165"/>
        <v>0</v>
      </c>
      <c r="AJ566" s="568"/>
      <c r="AK566" s="568"/>
      <c r="AL566" s="568"/>
      <c r="AM566" s="568"/>
      <c r="AN566" s="32"/>
      <c r="AO566" s="32"/>
      <c r="AP566" s="32"/>
      <c r="AQ566" s="630"/>
      <c r="AR566" s="631"/>
      <c r="AS566" s="568"/>
      <c r="AT566" s="568"/>
      <c r="AU566" s="568"/>
      <c r="AV566" s="568"/>
      <c r="AW566" s="32"/>
      <c r="AX566" s="32"/>
      <c r="AY566" s="32"/>
      <c r="AZ566" s="32"/>
      <c r="BA566" s="32"/>
      <c r="BB566" s="568"/>
      <c r="BC566" s="568"/>
      <c r="BD566" s="568"/>
      <c r="BE566" s="32"/>
      <c r="BF566" s="32"/>
      <c r="BG566" s="32"/>
      <c r="BH566" s="32"/>
    </row>
    <row r="567" spans="1:60" x14ac:dyDescent="0.25">
      <c r="A567" s="77">
        <v>560</v>
      </c>
      <c r="B567" s="603">
        <f t="shared" ca="1" si="145"/>
        <v>43134</v>
      </c>
      <c r="C567" s="29" t="s">
        <v>2404</v>
      </c>
      <c r="D567" s="59"/>
      <c r="E567" s="22" t="s">
        <v>1317</v>
      </c>
      <c r="F567" s="27" t="s">
        <v>1787</v>
      </c>
      <c r="G567" s="567">
        <v>43006</v>
      </c>
      <c r="H567" s="609">
        <f t="shared" si="158"/>
        <v>20</v>
      </c>
      <c r="I567" s="568">
        <v>11.6</v>
      </c>
      <c r="J567" s="568">
        <v>10</v>
      </c>
      <c r="K567" s="568">
        <v>9</v>
      </c>
      <c r="L567" s="568">
        <f t="shared" si="146"/>
        <v>30.6</v>
      </c>
      <c r="M567" s="32"/>
      <c r="N567" s="32"/>
      <c r="O567" s="32"/>
      <c r="P567" s="630"/>
      <c r="Q567" s="609">
        <f t="shared" si="163"/>
        <v>0</v>
      </c>
      <c r="R567" s="568">
        <v>6.4</v>
      </c>
      <c r="S567" s="568">
        <v>6.7</v>
      </c>
      <c r="T567" s="568">
        <v>6.9</v>
      </c>
      <c r="U567" s="568">
        <f t="shared" si="148"/>
        <v>20</v>
      </c>
      <c r="V567" s="32"/>
      <c r="W567" s="32"/>
      <c r="X567" s="32"/>
      <c r="Y567" s="630"/>
      <c r="Z567" s="609">
        <f t="shared" si="164"/>
        <v>0</v>
      </c>
      <c r="AA567" s="568"/>
      <c r="AB567" s="568"/>
      <c r="AC567" s="568"/>
      <c r="AD567" s="568"/>
      <c r="AE567" s="32"/>
      <c r="AF567" s="32"/>
      <c r="AG567" s="32"/>
      <c r="AH567" s="630"/>
      <c r="AI567" s="609">
        <f t="shared" si="165"/>
        <v>0</v>
      </c>
      <c r="AJ567" s="568"/>
      <c r="AK567" s="568"/>
      <c r="AL567" s="568"/>
      <c r="AM567" s="568"/>
      <c r="AN567" s="32"/>
      <c r="AO567" s="32"/>
      <c r="AP567" s="32"/>
      <c r="AQ567" s="630"/>
      <c r="AR567" s="631"/>
      <c r="AS567" s="568"/>
      <c r="AT567" s="568"/>
      <c r="AU567" s="568"/>
      <c r="AV567" s="568"/>
      <c r="AW567" s="32"/>
      <c r="AX567" s="32"/>
      <c r="AY567" s="32"/>
      <c r="AZ567" s="32"/>
      <c r="BA567" s="32"/>
      <c r="BB567" s="568"/>
      <c r="BC567" s="568"/>
      <c r="BD567" s="568"/>
      <c r="BE567" s="32"/>
      <c r="BF567" s="32"/>
      <c r="BG567" s="32"/>
      <c r="BH567" s="32"/>
    </row>
    <row r="568" spans="1:60" x14ac:dyDescent="0.25">
      <c r="A568" s="602">
        <v>561</v>
      </c>
      <c r="B568" s="603">
        <f t="shared" ca="1" si="145"/>
        <v>43134</v>
      </c>
      <c r="C568" s="29" t="s">
        <v>2404</v>
      </c>
      <c r="D568" s="59"/>
      <c r="E568" s="22" t="s">
        <v>2813</v>
      </c>
      <c r="F568" s="27" t="s">
        <v>2108</v>
      </c>
      <c r="G568" s="567">
        <v>43011</v>
      </c>
      <c r="H568" s="609">
        <f t="shared" si="158"/>
        <v>0</v>
      </c>
      <c r="I568" s="568">
        <v>7</v>
      </c>
      <c r="J568" s="568">
        <v>7</v>
      </c>
      <c r="K568" s="568">
        <v>8</v>
      </c>
      <c r="L568" s="568">
        <f t="shared" si="146"/>
        <v>22</v>
      </c>
      <c r="M568" s="32"/>
      <c r="N568" s="32"/>
      <c r="O568" s="32"/>
      <c r="P568" s="630"/>
      <c r="Q568" s="609">
        <f t="shared" si="163"/>
        <v>0</v>
      </c>
      <c r="R568" s="568"/>
      <c r="S568" s="568"/>
      <c r="T568" s="568"/>
      <c r="U568" s="568">
        <f t="shared" si="148"/>
        <v>0</v>
      </c>
      <c r="V568" s="32"/>
      <c r="W568" s="32"/>
      <c r="X568" s="32"/>
      <c r="Y568" s="630"/>
      <c r="Z568" s="609">
        <f t="shared" si="164"/>
        <v>0</v>
      </c>
      <c r="AA568" s="568"/>
      <c r="AB568" s="568"/>
      <c r="AC568" s="568"/>
      <c r="AD568" s="568"/>
      <c r="AE568" s="32"/>
      <c r="AF568" s="32"/>
      <c r="AG568" s="32"/>
      <c r="AH568" s="630"/>
      <c r="AI568" s="609">
        <f t="shared" si="165"/>
        <v>0</v>
      </c>
      <c r="AJ568" s="568"/>
      <c r="AK568" s="568"/>
      <c r="AL568" s="568"/>
      <c r="AM568" s="568"/>
      <c r="AN568" s="32"/>
      <c r="AO568" s="32"/>
      <c r="AP568" s="32"/>
      <c r="AQ568" s="630"/>
      <c r="AR568" s="631"/>
      <c r="AS568" s="568"/>
      <c r="AT568" s="568"/>
      <c r="AU568" s="568"/>
      <c r="AV568" s="568"/>
      <c r="AW568" s="32"/>
      <c r="AX568" s="32"/>
      <c r="AY568" s="32"/>
      <c r="AZ568" s="32"/>
      <c r="BA568" s="32"/>
      <c r="BB568" s="568"/>
      <c r="BC568" s="568"/>
      <c r="BD568" s="568"/>
      <c r="BE568" s="32"/>
      <c r="BF568" s="32"/>
      <c r="BG568" s="32"/>
      <c r="BH568" s="32"/>
    </row>
    <row r="569" spans="1:60" x14ac:dyDescent="0.25">
      <c r="A569" s="77">
        <v>562</v>
      </c>
      <c r="B569" s="603">
        <f t="shared" ca="1" si="145"/>
        <v>43134</v>
      </c>
      <c r="C569" s="29" t="s">
        <v>2404</v>
      </c>
      <c r="D569" s="59"/>
      <c r="E569" s="22" t="s">
        <v>2807</v>
      </c>
      <c r="F569" s="27" t="s">
        <v>2091</v>
      </c>
      <c r="G569" s="567">
        <v>43013</v>
      </c>
      <c r="H569" s="609">
        <f t="shared" si="158"/>
        <v>0</v>
      </c>
      <c r="I569" s="568">
        <v>7.9</v>
      </c>
      <c r="J569" s="568">
        <v>6.5</v>
      </c>
      <c r="K569" s="568">
        <v>6.8</v>
      </c>
      <c r="L569" s="568">
        <f t="shared" si="146"/>
        <v>21.2</v>
      </c>
      <c r="M569" s="32"/>
      <c r="N569" s="32"/>
      <c r="O569" s="32"/>
      <c r="P569" s="630"/>
      <c r="Q569" s="609">
        <f t="shared" si="163"/>
        <v>0</v>
      </c>
      <c r="R569" s="568"/>
      <c r="S569" s="568"/>
      <c r="T569" s="568"/>
      <c r="U569" s="568">
        <f t="shared" si="148"/>
        <v>0</v>
      </c>
      <c r="V569" s="32"/>
      <c r="W569" s="32"/>
      <c r="X569" s="32"/>
      <c r="Y569" s="630"/>
      <c r="Z569" s="609">
        <f t="shared" si="164"/>
        <v>0</v>
      </c>
      <c r="AA569" s="568"/>
      <c r="AB569" s="568"/>
      <c r="AC569" s="568"/>
      <c r="AD569" s="568"/>
      <c r="AE569" s="32"/>
      <c r="AF569" s="32"/>
      <c r="AG569" s="32"/>
      <c r="AH569" s="630"/>
      <c r="AI569" s="609">
        <f t="shared" si="165"/>
        <v>0</v>
      </c>
      <c r="AJ569" s="568"/>
      <c r="AK569" s="568"/>
      <c r="AL569" s="568"/>
      <c r="AM569" s="568"/>
      <c r="AN569" s="32"/>
      <c r="AO569" s="32"/>
      <c r="AP569" s="32"/>
      <c r="AQ569" s="630"/>
      <c r="AR569" s="631"/>
      <c r="AS569" s="568"/>
      <c r="AT569" s="568"/>
      <c r="AU569" s="568"/>
      <c r="AV569" s="568"/>
      <c r="AW569" s="32"/>
      <c r="AX569" s="32"/>
      <c r="AY569" s="32"/>
      <c r="AZ569" s="32"/>
      <c r="BA569" s="32"/>
      <c r="BB569" s="568"/>
      <c r="BC569" s="568"/>
      <c r="BD569" s="568"/>
      <c r="BE569" s="32"/>
      <c r="BF569" s="32"/>
      <c r="BG569" s="32"/>
      <c r="BH569" s="32"/>
    </row>
    <row r="570" spans="1:60" x14ac:dyDescent="0.25">
      <c r="A570" s="602">
        <v>563</v>
      </c>
      <c r="B570" s="603">
        <f t="shared" ca="1" si="145"/>
        <v>43134</v>
      </c>
      <c r="C570" s="29" t="s">
        <v>2404</v>
      </c>
      <c r="D570" s="59"/>
      <c r="E570" s="22" t="s">
        <v>2799</v>
      </c>
      <c r="F570" s="27" t="s">
        <v>1548</v>
      </c>
      <c r="G570" s="567"/>
      <c r="H570" s="609">
        <f t="shared" si="158"/>
        <v>0</v>
      </c>
      <c r="I570" s="568">
        <v>8.5</v>
      </c>
      <c r="J570" s="568">
        <v>7.6</v>
      </c>
      <c r="K570" s="568">
        <v>7.8</v>
      </c>
      <c r="L570" s="568">
        <f t="shared" si="146"/>
        <v>23.900000000000002</v>
      </c>
      <c r="M570" s="32"/>
      <c r="N570" s="32"/>
      <c r="O570" s="32"/>
      <c r="P570" s="630"/>
      <c r="Q570" s="609">
        <f t="shared" si="163"/>
        <v>0</v>
      </c>
      <c r="R570" s="568"/>
      <c r="S570" s="568"/>
      <c r="T570" s="568"/>
      <c r="U570" s="568"/>
      <c r="V570" s="32"/>
      <c r="W570" s="32"/>
      <c r="X570" s="32"/>
      <c r="Y570" s="630"/>
      <c r="Z570" s="609">
        <f t="shared" si="164"/>
        <v>0</v>
      </c>
      <c r="AA570" s="568"/>
      <c r="AB570" s="568"/>
      <c r="AC570" s="568"/>
      <c r="AD570" s="568"/>
      <c r="AE570" s="32"/>
      <c r="AF570" s="32"/>
      <c r="AG570" s="32"/>
      <c r="AH570" s="630"/>
      <c r="AI570" s="609">
        <f t="shared" si="165"/>
        <v>0</v>
      </c>
      <c r="AJ570" s="568"/>
      <c r="AK570" s="568"/>
      <c r="AL570" s="568"/>
      <c r="AM570" s="568"/>
      <c r="AN570" s="32"/>
      <c r="AO570" s="32"/>
      <c r="AP570" s="32"/>
      <c r="AQ570" s="630"/>
      <c r="AR570" s="631"/>
      <c r="AS570" s="568"/>
      <c r="AT570" s="568"/>
      <c r="AU570" s="568"/>
      <c r="AV570" s="568"/>
      <c r="AW570" s="32"/>
      <c r="AX570" s="32"/>
      <c r="AY570" s="32"/>
      <c r="AZ570" s="32"/>
      <c r="BA570" s="32"/>
      <c r="BB570" s="568"/>
      <c r="BC570" s="568"/>
      <c r="BD570" s="568"/>
      <c r="BE570" s="32"/>
      <c r="BF570" s="32"/>
      <c r="BG570" s="32"/>
      <c r="BH570" s="32"/>
    </row>
    <row r="571" spans="1:60" x14ac:dyDescent="0.25">
      <c r="A571" s="77">
        <v>564</v>
      </c>
      <c r="B571" s="603">
        <f t="shared" ca="1" si="145"/>
        <v>43134</v>
      </c>
      <c r="C571" s="29" t="s">
        <v>2404</v>
      </c>
      <c r="D571" s="59"/>
      <c r="E571" s="22" t="s">
        <v>2801</v>
      </c>
      <c r="F571" s="27" t="s">
        <v>1910</v>
      </c>
      <c r="G571" s="567"/>
      <c r="H571" s="609">
        <f t="shared" si="158"/>
        <v>0</v>
      </c>
      <c r="I571" s="568">
        <v>9.6999999999999993</v>
      </c>
      <c r="J571" s="568">
        <v>8.9</v>
      </c>
      <c r="K571" s="568">
        <v>9.6999999999999993</v>
      </c>
      <c r="L571" s="568">
        <f t="shared" si="146"/>
        <v>28.3</v>
      </c>
      <c r="M571" s="32"/>
      <c r="N571" s="32"/>
      <c r="O571" s="32"/>
      <c r="P571" s="630"/>
      <c r="Q571" s="609">
        <f t="shared" si="163"/>
        <v>0</v>
      </c>
      <c r="R571" s="568"/>
      <c r="S571" s="568"/>
      <c r="T571" s="568"/>
      <c r="U571" s="568"/>
      <c r="V571" s="32"/>
      <c r="W571" s="32"/>
      <c r="X571" s="32"/>
      <c r="Y571" s="630"/>
      <c r="Z571" s="609">
        <f t="shared" si="164"/>
        <v>0</v>
      </c>
      <c r="AA571" s="568"/>
      <c r="AB571" s="568"/>
      <c r="AC571" s="568"/>
      <c r="AD571" s="568"/>
      <c r="AE571" s="32"/>
      <c r="AF571" s="32"/>
      <c r="AG571" s="32"/>
      <c r="AH571" s="630"/>
      <c r="AI571" s="609">
        <f t="shared" si="165"/>
        <v>0</v>
      </c>
      <c r="AJ571" s="568"/>
      <c r="AK571" s="568"/>
      <c r="AL571" s="568"/>
      <c r="AM571" s="568"/>
      <c r="AN571" s="32"/>
      <c r="AO571" s="32"/>
      <c r="AP571" s="32"/>
      <c r="AQ571" s="630"/>
      <c r="AR571" s="631"/>
      <c r="AS571" s="568"/>
      <c r="AT571" s="568"/>
      <c r="AU571" s="568"/>
      <c r="AV571" s="568"/>
      <c r="AW571" s="32"/>
      <c r="AX571" s="32"/>
      <c r="AY571" s="32"/>
      <c r="AZ571" s="32"/>
      <c r="BA571" s="32"/>
      <c r="BB571" s="568"/>
      <c r="BC571" s="568"/>
      <c r="BD571" s="568"/>
      <c r="BE571" s="32"/>
      <c r="BF571" s="32"/>
      <c r="BG571" s="32"/>
      <c r="BH571" s="32"/>
    </row>
    <row r="572" spans="1:60" x14ac:dyDescent="0.25">
      <c r="A572" s="602">
        <v>565</v>
      </c>
      <c r="B572" s="603">
        <f t="shared" ca="1" si="145"/>
        <v>43134</v>
      </c>
      <c r="C572" s="29" t="s">
        <v>2404</v>
      </c>
      <c r="D572" s="59"/>
      <c r="E572" s="22" t="s">
        <v>2803</v>
      </c>
      <c r="F572" s="27" t="s">
        <v>2086</v>
      </c>
      <c r="G572" s="567"/>
      <c r="H572" s="609">
        <f t="shared" si="158"/>
        <v>0</v>
      </c>
      <c r="I572" s="568">
        <v>4.8</v>
      </c>
      <c r="J572" s="568">
        <v>4.0999999999999996</v>
      </c>
      <c r="K572" s="568">
        <v>4.5</v>
      </c>
      <c r="L572" s="568">
        <f t="shared" si="146"/>
        <v>13.399999999999999</v>
      </c>
      <c r="M572" s="32"/>
      <c r="N572" s="32"/>
      <c r="O572" s="32"/>
      <c r="P572" s="630"/>
      <c r="Q572" s="609">
        <f t="shared" si="163"/>
        <v>0</v>
      </c>
      <c r="R572" s="568"/>
      <c r="S572" s="568"/>
      <c r="T572" s="568"/>
      <c r="U572" s="568"/>
      <c r="V572" s="32"/>
      <c r="W572" s="32"/>
      <c r="X572" s="32"/>
      <c r="Y572" s="630"/>
      <c r="Z572" s="609">
        <f t="shared" si="164"/>
        <v>0</v>
      </c>
      <c r="AA572" s="568"/>
      <c r="AB572" s="568"/>
      <c r="AC572" s="568"/>
      <c r="AD572" s="568"/>
      <c r="AE572" s="32"/>
      <c r="AF572" s="32"/>
      <c r="AG572" s="32"/>
      <c r="AH572" s="630"/>
      <c r="AI572" s="609">
        <f t="shared" si="165"/>
        <v>0</v>
      </c>
      <c r="AJ572" s="568"/>
      <c r="AK572" s="568"/>
      <c r="AL572" s="568"/>
      <c r="AM572" s="568"/>
      <c r="AN572" s="32"/>
      <c r="AO572" s="32"/>
      <c r="AP572" s="32"/>
      <c r="AQ572" s="630"/>
      <c r="AR572" s="631"/>
      <c r="AS572" s="568"/>
      <c r="AT572" s="568"/>
      <c r="AU572" s="568"/>
      <c r="AV572" s="568"/>
      <c r="AW572" s="32"/>
      <c r="AX572" s="32"/>
      <c r="AY572" s="32"/>
      <c r="AZ572" s="32"/>
      <c r="BA572" s="32"/>
      <c r="BB572" s="568"/>
      <c r="BC572" s="568"/>
      <c r="BD572" s="568"/>
      <c r="BE572" s="32"/>
      <c r="BF572" s="32"/>
      <c r="BG572" s="32"/>
      <c r="BH572" s="32"/>
    </row>
    <row r="573" spans="1:60" x14ac:dyDescent="0.25">
      <c r="A573" s="77">
        <v>566</v>
      </c>
      <c r="B573" s="603">
        <f t="shared" ca="1" si="145"/>
        <v>43134</v>
      </c>
      <c r="C573" s="29" t="s">
        <v>2404</v>
      </c>
      <c r="D573" s="59"/>
      <c r="E573" s="22" t="s">
        <v>1086</v>
      </c>
      <c r="F573" s="27" t="s">
        <v>2104</v>
      </c>
      <c r="G573" s="567"/>
      <c r="H573" s="609">
        <v>9.6</v>
      </c>
      <c r="I573" s="568">
        <v>9.3000000000000007</v>
      </c>
      <c r="J573" s="568">
        <v>9.6</v>
      </c>
      <c r="K573" s="568">
        <v>8.3000000000000007</v>
      </c>
      <c r="L573" s="568">
        <f t="shared" si="146"/>
        <v>27.2</v>
      </c>
      <c r="M573" s="32"/>
      <c r="N573" s="32"/>
      <c r="O573" s="32"/>
      <c r="P573" s="630"/>
      <c r="Q573" s="609">
        <f t="shared" si="163"/>
        <v>0</v>
      </c>
      <c r="R573" s="568"/>
      <c r="S573" s="568"/>
      <c r="T573" s="568"/>
      <c r="U573" s="568"/>
      <c r="V573" s="32"/>
      <c r="W573" s="32"/>
      <c r="X573" s="32"/>
      <c r="Y573" s="630"/>
      <c r="Z573" s="609">
        <f t="shared" si="164"/>
        <v>0</v>
      </c>
      <c r="AA573" s="568"/>
      <c r="AB573" s="568"/>
      <c r="AC573" s="568"/>
      <c r="AD573" s="568"/>
      <c r="AE573" s="32"/>
      <c r="AF573" s="32"/>
      <c r="AG573" s="32"/>
      <c r="AH573" s="630"/>
      <c r="AI573" s="609">
        <f t="shared" si="165"/>
        <v>0</v>
      </c>
      <c r="AJ573" s="568"/>
      <c r="AK573" s="568"/>
      <c r="AL573" s="568"/>
      <c r="AM573" s="568"/>
      <c r="AN573" s="32"/>
      <c r="AO573" s="32"/>
      <c r="AP573" s="32"/>
      <c r="AQ573" s="630"/>
      <c r="AR573" s="631"/>
      <c r="AS573" s="568"/>
      <c r="AT573" s="568"/>
      <c r="AU573" s="568"/>
      <c r="AV573" s="568"/>
      <c r="AW573" s="32"/>
      <c r="AX573" s="32"/>
      <c r="AY573" s="32"/>
      <c r="AZ573" s="32"/>
      <c r="BA573" s="32"/>
      <c r="BB573" s="568"/>
      <c r="BC573" s="568"/>
      <c r="BD573" s="568"/>
      <c r="BE573" s="32"/>
      <c r="BF573" s="32"/>
      <c r="BG573" s="32"/>
      <c r="BH573" s="32"/>
    </row>
    <row r="574" spans="1:60" x14ac:dyDescent="0.25">
      <c r="A574" s="602">
        <v>567</v>
      </c>
      <c r="B574" s="603">
        <f t="shared" ca="1" si="145"/>
        <v>43134</v>
      </c>
      <c r="C574" s="29" t="s">
        <v>2404</v>
      </c>
      <c r="D574" s="59"/>
      <c r="E574" s="22" t="s">
        <v>1095</v>
      </c>
      <c r="F574" s="27" t="s">
        <v>2103</v>
      </c>
      <c r="G574" s="567"/>
      <c r="H574" s="609">
        <f t="shared" si="158"/>
        <v>0</v>
      </c>
      <c r="I574" s="568">
        <v>10.6</v>
      </c>
      <c r="J574" s="568">
        <v>7.9</v>
      </c>
      <c r="K574" s="568">
        <v>10.1</v>
      </c>
      <c r="L574" s="568">
        <f t="shared" si="146"/>
        <v>28.6</v>
      </c>
      <c r="M574" s="32"/>
      <c r="N574" s="32"/>
      <c r="O574" s="32"/>
      <c r="P574" s="630"/>
      <c r="Q574" s="609">
        <f t="shared" si="163"/>
        <v>0</v>
      </c>
      <c r="R574" s="568"/>
      <c r="S574" s="568"/>
      <c r="T574" s="568"/>
      <c r="U574" s="568"/>
      <c r="V574" s="32"/>
      <c r="W574" s="32"/>
      <c r="X574" s="32"/>
      <c r="Y574" s="630"/>
      <c r="Z574" s="609">
        <f t="shared" si="164"/>
        <v>0</v>
      </c>
      <c r="AA574" s="568"/>
      <c r="AB574" s="568"/>
      <c r="AC574" s="568"/>
      <c r="AD574" s="568"/>
      <c r="AE574" s="32"/>
      <c r="AF574" s="32"/>
      <c r="AG574" s="32"/>
      <c r="AH574" s="630"/>
      <c r="AI574" s="609">
        <f t="shared" si="165"/>
        <v>0</v>
      </c>
      <c r="AJ574" s="568"/>
      <c r="AK574" s="568"/>
      <c r="AL574" s="568"/>
      <c r="AM574" s="568"/>
      <c r="AN574" s="32"/>
      <c r="AO574" s="32"/>
      <c r="AP574" s="32"/>
      <c r="AQ574" s="630"/>
      <c r="AR574" s="631"/>
      <c r="AS574" s="568"/>
      <c r="AT574" s="568"/>
      <c r="AU574" s="568"/>
      <c r="AV574" s="568"/>
      <c r="AW574" s="32"/>
      <c r="AX574" s="32"/>
      <c r="AY574" s="32"/>
      <c r="AZ574" s="32"/>
      <c r="BA574" s="32"/>
      <c r="BB574" s="568"/>
      <c r="BC574" s="568"/>
      <c r="BD574" s="568"/>
      <c r="BE574" s="32"/>
      <c r="BF574" s="32"/>
      <c r="BG574" s="32"/>
      <c r="BH574" s="32"/>
    </row>
    <row r="575" spans="1:60" x14ac:dyDescent="0.25">
      <c r="A575" s="77">
        <v>568</v>
      </c>
      <c r="B575" s="603">
        <f t="shared" ca="1" si="145"/>
        <v>43134</v>
      </c>
      <c r="C575" s="29" t="s">
        <v>2404</v>
      </c>
      <c r="D575" s="59"/>
      <c r="E575" s="22" t="s">
        <v>2815</v>
      </c>
      <c r="F575" s="27" t="s">
        <v>2110</v>
      </c>
      <c r="G575" s="567"/>
      <c r="H575" s="609">
        <f t="shared" si="158"/>
        <v>0</v>
      </c>
      <c r="I575" s="568">
        <v>7.6</v>
      </c>
      <c r="J575" s="568">
        <v>5.3</v>
      </c>
      <c r="K575" s="568">
        <v>8</v>
      </c>
      <c r="L575" s="568">
        <f t="shared" si="146"/>
        <v>20.9</v>
      </c>
      <c r="M575" s="32"/>
      <c r="N575" s="32"/>
      <c r="O575" s="32"/>
      <c r="P575" s="630"/>
      <c r="Q575" s="609">
        <f t="shared" si="163"/>
        <v>0</v>
      </c>
      <c r="R575" s="568"/>
      <c r="S575" s="568"/>
      <c r="T575" s="568"/>
      <c r="U575" s="568"/>
      <c r="V575" s="32"/>
      <c r="W575" s="32"/>
      <c r="X575" s="32"/>
      <c r="Y575" s="630"/>
      <c r="Z575" s="609">
        <f t="shared" si="164"/>
        <v>0</v>
      </c>
      <c r="AA575" s="568"/>
      <c r="AB575" s="568"/>
      <c r="AC575" s="568"/>
      <c r="AD575" s="568"/>
      <c r="AE575" s="32"/>
      <c r="AF575" s="32"/>
      <c r="AG575" s="32"/>
      <c r="AH575" s="630"/>
      <c r="AI575" s="609">
        <f t="shared" si="165"/>
        <v>0</v>
      </c>
      <c r="AJ575" s="568"/>
      <c r="AK575" s="568"/>
      <c r="AL575" s="568"/>
      <c r="AM575" s="568"/>
      <c r="AN575" s="32"/>
      <c r="AO575" s="32"/>
      <c r="AP575" s="32"/>
      <c r="AQ575" s="630"/>
      <c r="AR575" s="631"/>
      <c r="AS575" s="568"/>
      <c r="AT575" s="568"/>
      <c r="AU575" s="568"/>
      <c r="AV575" s="568"/>
      <c r="AW575" s="32"/>
      <c r="AX575" s="32"/>
      <c r="AY575" s="32"/>
      <c r="AZ575" s="32"/>
      <c r="BA575" s="32"/>
      <c r="BB575" s="568"/>
      <c r="BC575" s="568"/>
      <c r="BD575" s="568"/>
      <c r="BE575" s="32"/>
      <c r="BF575" s="32"/>
      <c r="BG575" s="32"/>
      <c r="BH575" s="32"/>
    </row>
    <row r="576" spans="1:60" x14ac:dyDescent="0.25">
      <c r="A576" s="602">
        <v>569</v>
      </c>
      <c r="B576" s="603">
        <f t="shared" ca="1" si="145"/>
        <v>43134</v>
      </c>
      <c r="C576" s="29" t="s">
        <v>2404</v>
      </c>
      <c r="D576" s="59"/>
      <c r="E576" s="22" t="s">
        <v>673</v>
      </c>
      <c r="F576" s="27" t="s">
        <v>2112</v>
      </c>
      <c r="G576" s="567"/>
      <c r="H576" s="609">
        <f t="shared" si="158"/>
        <v>0</v>
      </c>
      <c r="I576" s="568">
        <v>8.4</v>
      </c>
      <c r="J576" s="568">
        <v>7.3</v>
      </c>
      <c r="K576" s="568">
        <v>9</v>
      </c>
      <c r="L576" s="568">
        <f t="shared" si="146"/>
        <v>24.7</v>
      </c>
      <c r="M576" s="32"/>
      <c r="N576" s="32"/>
      <c r="O576" s="32"/>
      <c r="P576" s="630"/>
      <c r="Q576" s="609">
        <f t="shared" si="163"/>
        <v>0</v>
      </c>
      <c r="R576" s="568"/>
      <c r="S576" s="568"/>
      <c r="T576" s="568"/>
      <c r="U576" s="568"/>
      <c r="V576" s="32"/>
      <c r="W576" s="32"/>
      <c r="X576" s="32"/>
      <c r="Y576" s="630"/>
      <c r="Z576" s="609">
        <f t="shared" si="164"/>
        <v>0</v>
      </c>
      <c r="AA576" s="568"/>
      <c r="AB576" s="568"/>
      <c r="AC576" s="568"/>
      <c r="AD576" s="568"/>
      <c r="AE576" s="32"/>
      <c r="AF576" s="32"/>
      <c r="AG576" s="32"/>
      <c r="AH576" s="630"/>
      <c r="AI576" s="609">
        <f t="shared" si="165"/>
        <v>0</v>
      </c>
      <c r="AJ576" s="568"/>
      <c r="AK576" s="568"/>
      <c r="AL576" s="568"/>
      <c r="AM576" s="568"/>
      <c r="AN576" s="32"/>
      <c r="AO576" s="32"/>
      <c r="AP576" s="32"/>
      <c r="AQ576" s="630"/>
      <c r="AR576" s="631"/>
      <c r="AS576" s="568"/>
      <c r="AT576" s="568"/>
      <c r="AU576" s="568"/>
      <c r="AV576" s="568"/>
      <c r="AW576" s="32"/>
      <c r="AX576" s="32"/>
      <c r="AY576" s="32"/>
      <c r="AZ576" s="32"/>
      <c r="BA576" s="32"/>
      <c r="BB576" s="568"/>
      <c r="BC576" s="568"/>
      <c r="BD576" s="568"/>
      <c r="BE576" s="32"/>
      <c r="BF576" s="32"/>
      <c r="BG576" s="32"/>
      <c r="BH576" s="32"/>
    </row>
    <row r="577" spans="1:60" x14ac:dyDescent="0.25">
      <c r="A577" s="77">
        <v>570</v>
      </c>
      <c r="B577" s="603">
        <f t="shared" ca="1" si="145"/>
        <v>43134</v>
      </c>
      <c r="C577" s="29" t="s">
        <v>2404</v>
      </c>
      <c r="D577" s="59"/>
      <c r="E577" s="22" t="s">
        <v>305</v>
      </c>
      <c r="F577" s="27" t="s">
        <v>1720</v>
      </c>
      <c r="G577" s="567"/>
      <c r="H577" s="609">
        <f t="shared" si="158"/>
        <v>0</v>
      </c>
      <c r="I577" s="568">
        <v>6.2</v>
      </c>
      <c r="J577" s="568">
        <v>7.3</v>
      </c>
      <c r="K577" s="568">
        <v>7.2</v>
      </c>
      <c r="L577" s="568">
        <f t="shared" si="146"/>
        <v>20.7</v>
      </c>
      <c r="M577" s="32"/>
      <c r="N577" s="32"/>
      <c r="O577" s="32"/>
      <c r="P577" s="630"/>
      <c r="Q577" s="609">
        <f t="shared" si="163"/>
        <v>0</v>
      </c>
      <c r="R577" s="568"/>
      <c r="S577" s="568"/>
      <c r="T577" s="568"/>
      <c r="U577" s="568"/>
      <c r="V577" s="32"/>
      <c r="W577" s="32"/>
      <c r="X577" s="32"/>
      <c r="Y577" s="630"/>
      <c r="Z577" s="609">
        <f t="shared" si="164"/>
        <v>0</v>
      </c>
      <c r="AA577" s="568"/>
      <c r="AB577" s="568"/>
      <c r="AC577" s="568"/>
      <c r="AD577" s="568"/>
      <c r="AE577" s="32"/>
      <c r="AF577" s="32"/>
      <c r="AG577" s="32"/>
      <c r="AH577" s="630"/>
      <c r="AI577" s="609">
        <f t="shared" si="165"/>
        <v>0</v>
      </c>
      <c r="AJ577" s="568"/>
      <c r="AK577" s="568"/>
      <c r="AL577" s="568"/>
      <c r="AM577" s="568"/>
      <c r="AN577" s="32"/>
      <c r="AO577" s="32"/>
      <c r="AP577" s="32"/>
      <c r="AQ577" s="630"/>
      <c r="AR577" s="631"/>
      <c r="AS577" s="568"/>
      <c r="AT577" s="568"/>
      <c r="AU577" s="568"/>
      <c r="AV577" s="568"/>
      <c r="AW577" s="32"/>
      <c r="AX577" s="32"/>
      <c r="AY577" s="32"/>
      <c r="AZ577" s="32"/>
      <c r="BA577" s="32"/>
      <c r="BB577" s="568"/>
      <c r="BC577" s="568"/>
      <c r="BD577" s="568"/>
      <c r="BE577" s="32"/>
      <c r="BF577" s="32"/>
      <c r="BG577" s="32"/>
      <c r="BH577" s="32"/>
    </row>
    <row r="578" spans="1:60" x14ac:dyDescent="0.25">
      <c r="A578" s="77"/>
      <c r="B578" s="84"/>
      <c r="C578" s="29"/>
      <c r="D578" s="59"/>
      <c r="E578" s="22"/>
      <c r="F578" s="27"/>
      <c r="G578" s="567"/>
      <c r="H578" s="609">
        <f t="shared" si="158"/>
        <v>0</v>
      </c>
      <c r="I578" s="568"/>
      <c r="J578" s="568"/>
      <c r="K578" s="568"/>
      <c r="L578" s="568"/>
      <c r="M578" s="32"/>
      <c r="N578" s="32"/>
      <c r="O578" s="32"/>
      <c r="P578" s="630"/>
      <c r="Q578" s="609">
        <f t="shared" si="163"/>
        <v>0</v>
      </c>
      <c r="R578" s="568"/>
      <c r="S578" s="568"/>
      <c r="T578" s="568"/>
      <c r="U578" s="568"/>
      <c r="V578" s="32"/>
      <c r="W578" s="32"/>
      <c r="X578" s="32"/>
      <c r="Y578" s="630"/>
      <c r="Z578" s="609">
        <f t="shared" si="164"/>
        <v>0</v>
      </c>
      <c r="AA578" s="568"/>
      <c r="AB578" s="568"/>
      <c r="AC578" s="568"/>
      <c r="AD578" s="568"/>
      <c r="AE578" s="32"/>
      <c r="AF578" s="32"/>
      <c r="AG578" s="32"/>
      <c r="AH578" s="630"/>
      <c r="AI578" s="609">
        <f t="shared" si="165"/>
        <v>0</v>
      </c>
      <c r="AJ578" s="568"/>
      <c r="AK578" s="568"/>
      <c r="AL578" s="568"/>
      <c r="AM578" s="568"/>
      <c r="AN578" s="32"/>
      <c r="AO578" s="32"/>
      <c r="AP578" s="32"/>
      <c r="AQ578" s="630"/>
      <c r="AR578" s="631"/>
      <c r="AS578" s="568"/>
      <c r="AT578" s="568"/>
      <c r="AU578" s="568"/>
      <c r="AV578" s="568"/>
      <c r="AW578" s="32"/>
      <c r="AX578" s="32"/>
      <c r="AY578" s="32"/>
      <c r="AZ578" s="32"/>
      <c r="BA578" s="32"/>
      <c r="BB578" s="568"/>
      <c r="BC578" s="568"/>
      <c r="BD578" s="568"/>
      <c r="BE578" s="32"/>
      <c r="BF578" s="32"/>
      <c r="BG578" s="32"/>
      <c r="BH578" s="32"/>
    </row>
    <row r="579" spans="1:60" x14ac:dyDescent="0.25">
      <c r="A579" s="77"/>
      <c r="B579" s="84"/>
      <c r="C579" s="29"/>
      <c r="D579" s="59"/>
      <c r="E579" s="22"/>
      <c r="F579" s="27"/>
      <c r="G579" s="567"/>
      <c r="H579" s="609">
        <f t="shared" si="158"/>
        <v>0</v>
      </c>
      <c r="I579" s="568"/>
      <c r="J579" s="568"/>
      <c r="K579" s="568"/>
      <c r="L579" s="568"/>
      <c r="M579" s="32"/>
      <c r="N579" s="32"/>
      <c r="O579" s="32"/>
      <c r="P579" s="630"/>
      <c r="Q579" s="609">
        <f t="shared" si="163"/>
        <v>0</v>
      </c>
      <c r="R579" s="568"/>
      <c r="S579" s="568"/>
      <c r="T579" s="568"/>
      <c r="U579" s="568"/>
      <c r="V579" s="32"/>
      <c r="W579" s="32"/>
      <c r="X579" s="32"/>
      <c r="Y579" s="630"/>
      <c r="Z579" s="609">
        <f t="shared" si="164"/>
        <v>0</v>
      </c>
      <c r="AA579" s="568"/>
      <c r="AB579" s="568"/>
      <c r="AC579" s="568"/>
      <c r="AD579" s="568"/>
      <c r="AE579" s="32"/>
      <c r="AF579" s="32"/>
      <c r="AG579" s="32"/>
      <c r="AH579" s="630"/>
      <c r="AI579" s="609">
        <f t="shared" si="165"/>
        <v>0</v>
      </c>
      <c r="AJ579" s="568"/>
      <c r="AK579" s="568"/>
      <c r="AL579" s="568"/>
      <c r="AM579" s="568"/>
      <c r="AN579" s="32"/>
      <c r="AO579" s="32"/>
      <c r="AP579" s="32"/>
      <c r="AQ579" s="630"/>
      <c r="AR579" s="631"/>
      <c r="AS579" s="568"/>
      <c r="AT579" s="568"/>
      <c r="AU579" s="568"/>
      <c r="AV579" s="568"/>
      <c r="AW579" s="32"/>
      <c r="AX579" s="32"/>
      <c r="AY579" s="32"/>
      <c r="AZ579" s="32"/>
      <c r="BA579" s="32"/>
      <c r="BB579" s="568"/>
      <c r="BC579" s="568"/>
      <c r="BD579" s="568"/>
      <c r="BE579" s="32"/>
      <c r="BF579" s="32"/>
      <c r="BG579" s="32"/>
      <c r="BH579" s="32"/>
    </row>
    <row r="580" spans="1:60" x14ac:dyDescent="0.25">
      <c r="A580" s="77"/>
      <c r="B580" s="84"/>
      <c r="C580" s="29"/>
      <c r="D580" s="59"/>
      <c r="E580" s="22"/>
      <c r="F580" s="27"/>
      <c r="G580" s="567"/>
      <c r="H580" s="609">
        <f t="shared" si="158"/>
        <v>0</v>
      </c>
      <c r="I580" s="568"/>
      <c r="J580" s="568"/>
      <c r="K580" s="568"/>
      <c r="L580" s="568"/>
      <c r="M580" s="32"/>
      <c r="N580" s="32"/>
      <c r="O580" s="32"/>
      <c r="P580" s="630"/>
      <c r="Q580" s="609">
        <f t="shared" si="163"/>
        <v>0</v>
      </c>
      <c r="R580" s="568"/>
      <c r="S580" s="568"/>
      <c r="T580" s="568"/>
      <c r="U580" s="568"/>
      <c r="V580" s="32"/>
      <c r="W580" s="32"/>
      <c r="X580" s="32"/>
      <c r="Y580" s="630"/>
      <c r="Z580" s="609">
        <f t="shared" si="164"/>
        <v>0</v>
      </c>
      <c r="AA580" s="568"/>
      <c r="AB580" s="568"/>
      <c r="AC580" s="568"/>
      <c r="AD580" s="568"/>
      <c r="AE580" s="32"/>
      <c r="AF580" s="32"/>
      <c r="AG580" s="32"/>
      <c r="AH580" s="630"/>
      <c r="AI580" s="609">
        <f t="shared" si="165"/>
        <v>0</v>
      </c>
      <c r="AJ580" s="568"/>
      <c r="AK580" s="568"/>
      <c r="AL580" s="568"/>
      <c r="AM580" s="568"/>
      <c r="AN580" s="32"/>
      <c r="AO580" s="32"/>
      <c r="AP580" s="32"/>
      <c r="AQ580" s="630"/>
      <c r="AR580" s="631"/>
      <c r="AS580" s="568"/>
      <c r="AT580" s="568"/>
      <c r="AU580" s="568"/>
      <c r="AV580" s="568"/>
      <c r="AW580" s="32"/>
      <c r="AX580" s="32"/>
      <c r="AY580" s="32"/>
      <c r="AZ580" s="32"/>
      <c r="BA580" s="32"/>
      <c r="BB580" s="568"/>
      <c r="BC580" s="568"/>
      <c r="BD580" s="568"/>
      <c r="BE580" s="32"/>
      <c r="BF580" s="32"/>
      <c r="BG580" s="32"/>
      <c r="BH580" s="32"/>
    </row>
    <row r="581" spans="1:60" x14ac:dyDescent="0.25">
      <c r="A581" s="77"/>
      <c r="B581" s="84"/>
      <c r="C581" s="29"/>
      <c r="D581" s="59"/>
      <c r="E581" s="22"/>
      <c r="F581" s="27"/>
      <c r="G581" s="567"/>
      <c r="H581" s="609">
        <f t="shared" si="158"/>
        <v>0</v>
      </c>
      <c r="I581" s="568"/>
      <c r="J581" s="568"/>
      <c r="K581" s="568"/>
      <c r="L581" s="568"/>
      <c r="M581" s="32"/>
      <c r="N581" s="32"/>
      <c r="O581" s="32"/>
      <c r="P581" s="630"/>
      <c r="Q581" s="609">
        <f t="shared" si="163"/>
        <v>0</v>
      </c>
      <c r="R581" s="568"/>
      <c r="S581" s="568"/>
      <c r="T581" s="568"/>
      <c r="U581" s="568"/>
      <c r="V581" s="32"/>
      <c r="W581" s="32"/>
      <c r="X581" s="32"/>
      <c r="Y581" s="630"/>
      <c r="Z581" s="609">
        <f t="shared" si="164"/>
        <v>0</v>
      </c>
      <c r="AA581" s="568"/>
      <c r="AB581" s="568"/>
      <c r="AC581" s="568"/>
      <c r="AD581" s="568"/>
      <c r="AE581" s="32"/>
      <c r="AF581" s="32"/>
      <c r="AG581" s="32"/>
      <c r="AH581" s="630"/>
      <c r="AI581" s="609">
        <f t="shared" si="165"/>
        <v>0</v>
      </c>
      <c r="AJ581" s="568"/>
      <c r="AK581" s="568"/>
      <c r="AL581" s="568"/>
      <c r="AM581" s="568"/>
      <c r="AN581" s="32"/>
      <c r="AO581" s="32"/>
      <c r="AP581" s="32"/>
      <c r="AQ581" s="630"/>
      <c r="AR581" s="631"/>
      <c r="AS581" s="568"/>
      <c r="AT581" s="568"/>
      <c r="AU581" s="568"/>
      <c r="AV581" s="568"/>
      <c r="AW581" s="32"/>
      <c r="AX581" s="32"/>
      <c r="AY581" s="32"/>
      <c r="AZ581" s="32"/>
      <c r="BA581" s="32"/>
      <c r="BB581" s="568"/>
      <c r="BC581" s="568"/>
      <c r="BD581" s="568"/>
      <c r="BE581" s="32"/>
      <c r="BF581" s="32"/>
      <c r="BG581" s="32"/>
      <c r="BH581" s="32"/>
    </row>
    <row r="582" spans="1:60" x14ac:dyDescent="0.25">
      <c r="A582" s="77"/>
      <c r="B582" s="84"/>
      <c r="C582" s="29"/>
      <c r="D582" s="59"/>
      <c r="E582" s="22"/>
      <c r="F582" s="27"/>
      <c r="G582" s="567"/>
      <c r="H582" s="609">
        <f t="shared" si="158"/>
        <v>0</v>
      </c>
      <c r="I582" s="568"/>
      <c r="J582" s="568"/>
      <c r="K582" s="568"/>
      <c r="L582" s="568"/>
      <c r="M582" s="32"/>
      <c r="N582" s="32"/>
      <c r="O582" s="32"/>
      <c r="P582" s="630"/>
      <c r="Q582" s="609">
        <f t="shared" si="163"/>
        <v>0</v>
      </c>
      <c r="R582" s="568"/>
      <c r="S582" s="568"/>
      <c r="T582" s="568"/>
      <c r="U582" s="568"/>
      <c r="V582" s="32"/>
      <c r="W582" s="32"/>
      <c r="X582" s="32"/>
      <c r="Y582" s="630"/>
      <c r="Z582" s="609">
        <f t="shared" si="164"/>
        <v>0</v>
      </c>
      <c r="AA582" s="568"/>
      <c r="AB582" s="568"/>
      <c r="AC582" s="568"/>
      <c r="AD582" s="568"/>
      <c r="AE582" s="32"/>
      <c r="AF582" s="32"/>
      <c r="AG582" s="32"/>
      <c r="AH582" s="630"/>
      <c r="AI582" s="609">
        <f t="shared" si="165"/>
        <v>0</v>
      </c>
      <c r="AJ582" s="568"/>
      <c r="AK582" s="568"/>
      <c r="AL582" s="568"/>
      <c r="AM582" s="568"/>
      <c r="AN582" s="32"/>
      <c r="AO582" s="32"/>
      <c r="AP582" s="32"/>
      <c r="AQ582" s="630"/>
      <c r="AR582" s="631"/>
      <c r="AS582" s="568"/>
      <c r="AT582" s="568"/>
      <c r="AU582" s="568"/>
      <c r="AV582" s="568"/>
      <c r="AW582" s="32"/>
      <c r="AX582" s="32"/>
      <c r="AY582" s="32"/>
      <c r="AZ582" s="32"/>
      <c r="BA582" s="32"/>
      <c r="BB582" s="568"/>
      <c r="BC582" s="568"/>
      <c r="BD582" s="568"/>
      <c r="BE582" s="32"/>
      <c r="BF582" s="32"/>
      <c r="BG582" s="32"/>
      <c r="BH582" s="32"/>
    </row>
    <row r="583" spans="1:60" x14ac:dyDescent="0.25">
      <c r="A583" s="77"/>
      <c r="B583" s="84"/>
      <c r="C583" s="29"/>
      <c r="D583" s="59"/>
      <c r="E583" s="22"/>
      <c r="F583" s="27"/>
      <c r="G583" s="567"/>
      <c r="H583" s="609">
        <f t="shared" si="158"/>
        <v>0</v>
      </c>
      <c r="I583" s="568"/>
      <c r="J583" s="568"/>
      <c r="K583" s="568"/>
      <c r="L583" s="568"/>
      <c r="M583" s="32"/>
      <c r="N583" s="32"/>
      <c r="O583" s="32"/>
      <c r="P583" s="630"/>
      <c r="Q583" s="609">
        <f t="shared" si="163"/>
        <v>0</v>
      </c>
      <c r="R583" s="568"/>
      <c r="S583" s="568"/>
      <c r="T583" s="568"/>
      <c r="U583" s="568"/>
      <c r="V583" s="32"/>
      <c r="W583" s="32"/>
      <c r="X583" s="32"/>
      <c r="Y583" s="630"/>
      <c r="Z583" s="609">
        <f t="shared" si="164"/>
        <v>0</v>
      </c>
      <c r="AA583" s="568"/>
      <c r="AB583" s="568"/>
      <c r="AC583" s="568"/>
      <c r="AD583" s="568"/>
      <c r="AE583" s="32"/>
      <c r="AF583" s="32"/>
      <c r="AG583" s="32"/>
      <c r="AH583" s="630"/>
      <c r="AI583" s="609">
        <f t="shared" si="165"/>
        <v>0</v>
      </c>
      <c r="AJ583" s="568"/>
      <c r="AK583" s="568"/>
      <c r="AL583" s="568"/>
      <c r="AM583" s="568"/>
      <c r="AN583" s="32"/>
      <c r="AO583" s="32"/>
      <c r="AP583" s="32"/>
      <c r="AQ583" s="630"/>
      <c r="AR583" s="631"/>
      <c r="AS583" s="568"/>
      <c r="AT583" s="568"/>
      <c r="AU583" s="568"/>
      <c r="AV583" s="568"/>
      <c r="AW583" s="32"/>
      <c r="AX583" s="32"/>
      <c r="AY583" s="32"/>
      <c r="AZ583" s="32"/>
      <c r="BA583" s="32"/>
      <c r="BB583" s="568"/>
      <c r="BC583" s="568"/>
      <c r="BD583" s="568"/>
      <c r="BE583" s="32"/>
      <c r="BF583" s="32"/>
      <c r="BG583" s="32"/>
      <c r="BH583" s="32"/>
    </row>
    <row r="584" spans="1:60" x14ac:dyDescent="0.25">
      <c r="A584" s="77"/>
      <c r="B584" s="84"/>
      <c r="C584" s="29"/>
      <c r="D584" s="59"/>
      <c r="E584" s="22"/>
      <c r="F584" s="27"/>
      <c r="G584" s="567"/>
      <c r="H584" s="609">
        <f t="shared" si="158"/>
        <v>0</v>
      </c>
      <c r="I584" s="568"/>
      <c r="J584" s="568"/>
      <c r="K584" s="568"/>
      <c r="L584" s="568"/>
      <c r="M584" s="32"/>
      <c r="N584" s="32"/>
      <c r="O584" s="32"/>
      <c r="P584" s="630"/>
      <c r="Q584" s="609">
        <f t="shared" si="163"/>
        <v>0</v>
      </c>
      <c r="R584" s="568"/>
      <c r="S584" s="568"/>
      <c r="T584" s="568"/>
      <c r="U584" s="568"/>
      <c r="V584" s="32"/>
      <c r="W584" s="32"/>
      <c r="X584" s="32"/>
      <c r="Y584" s="630"/>
      <c r="Z584" s="609">
        <f t="shared" si="164"/>
        <v>0</v>
      </c>
      <c r="AA584" s="568"/>
      <c r="AB584" s="568"/>
      <c r="AC584" s="568"/>
      <c r="AD584" s="568"/>
      <c r="AE584" s="32"/>
      <c r="AF584" s="32"/>
      <c r="AG584" s="32"/>
      <c r="AH584" s="630"/>
      <c r="AI584" s="609">
        <f t="shared" si="165"/>
        <v>0</v>
      </c>
      <c r="AJ584" s="568"/>
      <c r="AK584" s="568"/>
      <c r="AL584" s="568"/>
      <c r="AM584" s="568"/>
      <c r="AN584" s="32"/>
      <c r="AO584" s="32"/>
      <c r="AP584" s="32"/>
      <c r="AQ584" s="630"/>
      <c r="AR584" s="631"/>
      <c r="AS584" s="568"/>
      <c r="AT584" s="568"/>
      <c r="AU584" s="568"/>
      <c r="AV584" s="568"/>
      <c r="AW584" s="32"/>
      <c r="AX584" s="32"/>
      <c r="AY584" s="32"/>
      <c r="AZ584" s="32"/>
      <c r="BA584" s="32"/>
      <c r="BB584" s="568"/>
      <c r="BC584" s="568"/>
      <c r="BD584" s="568"/>
      <c r="BE584" s="32"/>
      <c r="BF584" s="32"/>
      <c r="BG584" s="32"/>
      <c r="BH584" s="32"/>
    </row>
    <row r="585" spans="1:60" x14ac:dyDescent="0.25">
      <c r="A585" s="77"/>
      <c r="B585" s="84"/>
      <c r="C585" s="29"/>
      <c r="D585" s="59"/>
      <c r="E585" s="22"/>
      <c r="F585" s="27"/>
      <c r="G585" s="567"/>
      <c r="H585" s="609">
        <f t="shared" ref="H585:H648" si="166">U585</f>
        <v>0</v>
      </c>
      <c r="I585" s="568"/>
      <c r="J585" s="568"/>
      <c r="K585" s="568"/>
      <c r="L585" s="568"/>
      <c r="M585" s="32"/>
      <c r="N585" s="32"/>
      <c r="O585" s="32"/>
      <c r="P585" s="630"/>
      <c r="Q585" s="609">
        <f t="shared" si="163"/>
        <v>0</v>
      </c>
      <c r="R585" s="568"/>
      <c r="S585" s="568"/>
      <c r="T585" s="568"/>
      <c r="U585" s="568"/>
      <c r="V585" s="32"/>
      <c r="W585" s="32"/>
      <c r="X585" s="32"/>
      <c r="Y585" s="630"/>
      <c r="Z585" s="609">
        <f t="shared" si="164"/>
        <v>0</v>
      </c>
      <c r="AA585" s="568"/>
      <c r="AB585" s="568"/>
      <c r="AC585" s="568"/>
      <c r="AD585" s="568"/>
      <c r="AE585" s="32"/>
      <c r="AF585" s="32"/>
      <c r="AG585" s="32"/>
      <c r="AH585" s="630"/>
      <c r="AI585" s="609">
        <f t="shared" si="165"/>
        <v>0</v>
      </c>
      <c r="AJ585" s="568"/>
      <c r="AK585" s="568"/>
      <c r="AL585" s="568"/>
      <c r="AM585" s="568"/>
      <c r="AN585" s="32"/>
      <c r="AO585" s="32"/>
      <c r="AP585" s="32"/>
      <c r="AQ585" s="630"/>
      <c r="AR585" s="631"/>
      <c r="AS585" s="568"/>
      <c r="AT585" s="568"/>
      <c r="AU585" s="568"/>
      <c r="AV585" s="568"/>
      <c r="AW585" s="32"/>
      <c r="AX585" s="32"/>
      <c r="AY585" s="32"/>
      <c r="AZ585" s="32"/>
      <c r="BA585" s="32"/>
      <c r="BB585" s="568"/>
      <c r="BC585" s="568"/>
      <c r="BD585" s="568"/>
      <c r="BE585" s="32"/>
      <c r="BF585" s="32"/>
      <c r="BG585" s="32"/>
      <c r="BH585" s="32"/>
    </row>
    <row r="586" spans="1:60" x14ac:dyDescent="0.25">
      <c r="A586" s="77"/>
      <c r="B586" s="84"/>
      <c r="C586" s="29"/>
      <c r="D586" s="59"/>
      <c r="E586" s="22"/>
      <c r="F586" s="27"/>
      <c r="G586" s="567"/>
      <c r="H586" s="609">
        <f t="shared" si="166"/>
        <v>0</v>
      </c>
      <c r="I586" s="568"/>
      <c r="J586" s="568"/>
      <c r="K586" s="568"/>
      <c r="L586" s="568"/>
      <c r="M586" s="32"/>
      <c r="N586" s="32"/>
      <c r="O586" s="32"/>
      <c r="P586" s="630"/>
      <c r="Q586" s="609">
        <f t="shared" si="163"/>
        <v>0</v>
      </c>
      <c r="R586" s="568"/>
      <c r="S586" s="568"/>
      <c r="T586" s="568"/>
      <c r="U586" s="568"/>
      <c r="V586" s="32"/>
      <c r="W586" s="32"/>
      <c r="X586" s="32"/>
      <c r="Y586" s="630"/>
      <c r="Z586" s="609">
        <f t="shared" si="164"/>
        <v>0</v>
      </c>
      <c r="AA586" s="568"/>
      <c r="AB586" s="568"/>
      <c r="AC586" s="568"/>
      <c r="AD586" s="568"/>
      <c r="AE586" s="32"/>
      <c r="AF586" s="32"/>
      <c r="AG586" s="32"/>
      <c r="AH586" s="630"/>
      <c r="AI586" s="609">
        <f t="shared" si="165"/>
        <v>0</v>
      </c>
      <c r="AJ586" s="568"/>
      <c r="AK586" s="568"/>
      <c r="AL586" s="568"/>
      <c r="AM586" s="568"/>
      <c r="AN586" s="32"/>
      <c r="AO586" s="32"/>
      <c r="AP586" s="32"/>
      <c r="AQ586" s="630"/>
      <c r="AR586" s="631"/>
      <c r="AS586" s="568"/>
      <c r="AT586" s="568"/>
      <c r="AU586" s="568"/>
      <c r="AV586" s="568"/>
      <c r="AW586" s="32"/>
      <c r="AX586" s="32"/>
      <c r="AY586" s="32"/>
      <c r="AZ586" s="32"/>
      <c r="BA586" s="32"/>
      <c r="BB586" s="568"/>
      <c r="BC586" s="568"/>
      <c r="BD586" s="568"/>
      <c r="BE586" s="32"/>
      <c r="BF586" s="32"/>
      <c r="BG586" s="32"/>
      <c r="BH586" s="32"/>
    </row>
    <row r="587" spans="1:60" x14ac:dyDescent="0.25">
      <c r="A587" s="77"/>
      <c r="B587" s="84"/>
      <c r="C587" s="29"/>
      <c r="D587" s="59"/>
      <c r="E587" s="22"/>
      <c r="F587" s="27"/>
      <c r="G587" s="567"/>
      <c r="H587" s="609">
        <f t="shared" si="166"/>
        <v>0</v>
      </c>
      <c r="I587" s="568"/>
      <c r="J587" s="568"/>
      <c r="K587" s="568"/>
      <c r="L587" s="568"/>
      <c r="M587" s="32"/>
      <c r="N587" s="32"/>
      <c r="O587" s="32"/>
      <c r="P587" s="630"/>
      <c r="Q587" s="609">
        <f t="shared" si="163"/>
        <v>0</v>
      </c>
      <c r="R587" s="568"/>
      <c r="S587" s="568"/>
      <c r="T587" s="568"/>
      <c r="U587" s="568"/>
      <c r="V587" s="32"/>
      <c r="W587" s="32"/>
      <c r="X587" s="32"/>
      <c r="Y587" s="630"/>
      <c r="Z587" s="609">
        <f t="shared" si="164"/>
        <v>0</v>
      </c>
      <c r="AA587" s="568"/>
      <c r="AB587" s="568"/>
      <c r="AC587" s="568"/>
      <c r="AD587" s="568"/>
      <c r="AE587" s="32"/>
      <c r="AF587" s="32"/>
      <c r="AG587" s="32"/>
      <c r="AH587" s="630"/>
      <c r="AI587" s="609">
        <f t="shared" si="165"/>
        <v>0</v>
      </c>
      <c r="AJ587" s="568"/>
      <c r="AK587" s="568"/>
      <c r="AL587" s="568"/>
      <c r="AM587" s="568"/>
      <c r="AN587" s="32"/>
      <c r="AO587" s="32"/>
      <c r="AP587" s="32"/>
      <c r="AQ587" s="630"/>
      <c r="AR587" s="631"/>
      <c r="AS587" s="568"/>
      <c r="AT587" s="568"/>
      <c r="AU587" s="568"/>
      <c r="AV587" s="568"/>
      <c r="AW587" s="32"/>
      <c r="AX587" s="32"/>
      <c r="AY587" s="32"/>
      <c r="AZ587" s="32"/>
      <c r="BA587" s="32"/>
      <c r="BB587" s="568"/>
      <c r="BC587" s="568"/>
      <c r="BD587" s="568"/>
      <c r="BE587" s="32"/>
      <c r="BF587" s="32"/>
      <c r="BG587" s="32"/>
      <c r="BH587" s="32"/>
    </row>
    <row r="588" spans="1:60" x14ac:dyDescent="0.25">
      <c r="A588" s="77"/>
      <c r="B588" s="84"/>
      <c r="C588" s="29"/>
      <c r="D588" s="59"/>
      <c r="E588" s="22"/>
      <c r="F588" s="27"/>
      <c r="G588" s="567"/>
      <c r="H588" s="609">
        <f t="shared" si="166"/>
        <v>0</v>
      </c>
      <c r="I588" s="568"/>
      <c r="J588" s="568"/>
      <c r="K588" s="568"/>
      <c r="L588" s="568"/>
      <c r="M588" s="32"/>
      <c r="N588" s="32"/>
      <c r="O588" s="32"/>
      <c r="P588" s="630"/>
      <c r="Q588" s="609">
        <f t="shared" si="163"/>
        <v>0</v>
      </c>
      <c r="R588" s="568"/>
      <c r="S588" s="568"/>
      <c r="T588" s="568"/>
      <c r="U588" s="568"/>
      <c r="V588" s="32"/>
      <c r="W588" s="32"/>
      <c r="X588" s="32"/>
      <c r="Y588" s="630"/>
      <c r="Z588" s="609">
        <f t="shared" si="164"/>
        <v>0</v>
      </c>
      <c r="AA588" s="568"/>
      <c r="AB588" s="568"/>
      <c r="AC588" s="568"/>
      <c r="AD588" s="568"/>
      <c r="AE588" s="32"/>
      <c r="AF588" s="32"/>
      <c r="AG588" s="32"/>
      <c r="AH588" s="630"/>
      <c r="AI588" s="609">
        <f t="shared" si="165"/>
        <v>0</v>
      </c>
      <c r="AJ588" s="568"/>
      <c r="AK588" s="568"/>
      <c r="AL588" s="568"/>
      <c r="AM588" s="568"/>
      <c r="AN588" s="32"/>
      <c r="AO588" s="32"/>
      <c r="AP588" s="32"/>
      <c r="AQ588" s="630"/>
      <c r="AR588" s="631"/>
      <c r="AS588" s="568"/>
      <c r="AT588" s="568"/>
      <c r="AU588" s="568"/>
      <c r="AV588" s="568"/>
      <c r="AW588" s="32"/>
      <c r="AX588" s="32"/>
      <c r="AY588" s="32"/>
      <c r="AZ588" s="32"/>
      <c r="BA588" s="32"/>
      <c r="BB588" s="568"/>
      <c r="BC588" s="568"/>
      <c r="BD588" s="568"/>
      <c r="BE588" s="32"/>
      <c r="BF588" s="32"/>
      <c r="BG588" s="32"/>
      <c r="BH588" s="32"/>
    </row>
    <row r="589" spans="1:60" x14ac:dyDescent="0.25">
      <c r="A589" s="77"/>
      <c r="B589" s="84"/>
      <c r="C589" s="29"/>
      <c r="D589" s="59"/>
      <c r="E589" s="22"/>
      <c r="F589" s="27"/>
      <c r="G589" s="567"/>
      <c r="H589" s="609">
        <f t="shared" si="166"/>
        <v>0</v>
      </c>
      <c r="I589" s="568"/>
      <c r="J589" s="568"/>
      <c r="K589" s="568"/>
      <c r="L589" s="568"/>
      <c r="M589" s="32"/>
      <c r="N589" s="32"/>
      <c r="O589" s="32"/>
      <c r="P589" s="630"/>
      <c r="Q589" s="609">
        <f t="shared" si="163"/>
        <v>0</v>
      </c>
      <c r="R589" s="568"/>
      <c r="S589" s="568"/>
      <c r="T589" s="568"/>
      <c r="U589" s="568"/>
      <c r="V589" s="32"/>
      <c r="W589" s="32"/>
      <c r="X589" s="32"/>
      <c r="Y589" s="630"/>
      <c r="Z589" s="609">
        <f t="shared" si="164"/>
        <v>0</v>
      </c>
      <c r="AA589" s="568"/>
      <c r="AB589" s="568"/>
      <c r="AC589" s="568"/>
      <c r="AD589" s="568"/>
      <c r="AE589" s="32"/>
      <c r="AF589" s="32"/>
      <c r="AG589" s="32"/>
      <c r="AH589" s="630"/>
      <c r="AI589" s="609">
        <f t="shared" si="165"/>
        <v>0</v>
      </c>
      <c r="AJ589" s="568"/>
      <c r="AK589" s="568"/>
      <c r="AL589" s="568"/>
      <c r="AM589" s="568"/>
      <c r="AN589" s="32"/>
      <c r="AO589" s="32"/>
      <c r="AP589" s="32"/>
      <c r="AQ589" s="630"/>
      <c r="AR589" s="631"/>
      <c r="AS589" s="568"/>
      <c r="AT589" s="568"/>
      <c r="AU589" s="568"/>
      <c r="AV589" s="568"/>
      <c r="AW589" s="32"/>
      <c r="AX589" s="32"/>
      <c r="AY589" s="32"/>
      <c r="AZ589" s="32"/>
      <c r="BA589" s="32"/>
      <c r="BB589" s="568"/>
      <c r="BC589" s="568"/>
      <c r="BD589" s="568"/>
      <c r="BE589" s="32"/>
      <c r="BF589" s="32"/>
      <c r="BG589" s="32"/>
      <c r="BH589" s="32"/>
    </row>
    <row r="590" spans="1:60" x14ac:dyDescent="0.25">
      <c r="A590" s="77"/>
      <c r="B590" s="84"/>
      <c r="C590" s="29"/>
      <c r="D590" s="59"/>
      <c r="E590" s="22"/>
      <c r="F590" s="27"/>
      <c r="G590" s="567"/>
      <c r="H590" s="609">
        <f t="shared" si="166"/>
        <v>0</v>
      </c>
      <c r="I590" s="568"/>
      <c r="J590" s="568"/>
      <c r="K590" s="568"/>
      <c r="L590" s="568"/>
      <c r="M590" s="32"/>
      <c r="N590" s="32"/>
      <c r="O590" s="32"/>
      <c r="P590" s="630"/>
      <c r="Q590" s="609">
        <f t="shared" si="163"/>
        <v>0</v>
      </c>
      <c r="R590" s="568"/>
      <c r="S590" s="568"/>
      <c r="T590" s="568"/>
      <c r="U590" s="568"/>
      <c r="V590" s="32"/>
      <c r="W590" s="32"/>
      <c r="X590" s="32"/>
      <c r="Y590" s="630"/>
      <c r="Z590" s="609">
        <f t="shared" si="164"/>
        <v>0</v>
      </c>
      <c r="AA590" s="568"/>
      <c r="AB590" s="568"/>
      <c r="AC590" s="568"/>
      <c r="AD590" s="568"/>
      <c r="AE590" s="32"/>
      <c r="AF590" s="32"/>
      <c r="AG590" s="32"/>
      <c r="AH590" s="630"/>
      <c r="AI590" s="609">
        <f t="shared" si="165"/>
        <v>0</v>
      </c>
      <c r="AJ590" s="568"/>
      <c r="AK590" s="568"/>
      <c r="AL590" s="568"/>
      <c r="AM590" s="568"/>
      <c r="AN590" s="32"/>
      <c r="AO590" s="32"/>
      <c r="AP590" s="32"/>
      <c r="AQ590" s="630"/>
      <c r="AR590" s="631"/>
      <c r="AS590" s="568"/>
      <c r="AT590" s="568"/>
      <c r="AU590" s="568"/>
      <c r="AV590" s="568"/>
      <c r="AW590" s="32"/>
      <c r="AX590" s="32"/>
      <c r="AY590" s="32"/>
      <c r="AZ590" s="32"/>
      <c r="BA590" s="32"/>
      <c r="BB590" s="568"/>
      <c r="BC590" s="568"/>
      <c r="BD590" s="568"/>
      <c r="BE590" s="32"/>
      <c r="BF590" s="32"/>
      <c r="BG590" s="32"/>
      <c r="BH590" s="32"/>
    </row>
    <row r="591" spans="1:60" x14ac:dyDescent="0.25">
      <c r="A591" s="77"/>
      <c r="B591" s="84"/>
      <c r="C591" s="29"/>
      <c r="D591" s="59"/>
      <c r="E591" s="22"/>
      <c r="F591" s="27"/>
      <c r="G591" s="567"/>
      <c r="H591" s="609">
        <f t="shared" si="166"/>
        <v>0</v>
      </c>
      <c r="I591" s="568"/>
      <c r="J591" s="568"/>
      <c r="K591" s="568"/>
      <c r="L591" s="568"/>
      <c r="M591" s="32"/>
      <c r="N591" s="32"/>
      <c r="O591" s="32"/>
      <c r="P591" s="630"/>
      <c r="Q591" s="609">
        <f t="shared" si="163"/>
        <v>0</v>
      </c>
      <c r="R591" s="568"/>
      <c r="S591" s="568"/>
      <c r="T591" s="568"/>
      <c r="U591" s="568"/>
      <c r="V591" s="32"/>
      <c r="W591" s="32"/>
      <c r="X591" s="32"/>
      <c r="Y591" s="630"/>
      <c r="Z591" s="609">
        <f t="shared" si="164"/>
        <v>0</v>
      </c>
      <c r="AA591" s="568"/>
      <c r="AB591" s="568"/>
      <c r="AC591" s="568"/>
      <c r="AD591" s="568"/>
      <c r="AE591" s="32"/>
      <c r="AF591" s="32"/>
      <c r="AG591" s="32"/>
      <c r="AH591" s="630"/>
      <c r="AI591" s="609">
        <f t="shared" si="165"/>
        <v>0</v>
      </c>
      <c r="AJ591" s="568"/>
      <c r="AK591" s="568"/>
      <c r="AL591" s="568"/>
      <c r="AM591" s="568"/>
      <c r="AN591" s="32"/>
      <c r="AO591" s="32"/>
      <c r="AP591" s="32"/>
      <c r="AQ591" s="630"/>
      <c r="AR591" s="631"/>
      <c r="AS591" s="568"/>
      <c r="AT591" s="568"/>
      <c r="AU591" s="568"/>
      <c r="AV591" s="568"/>
      <c r="AW591" s="32"/>
      <c r="AX591" s="32"/>
      <c r="AY591" s="32"/>
      <c r="AZ591" s="32"/>
      <c r="BA591" s="32"/>
      <c r="BB591" s="568"/>
      <c r="BC591" s="568"/>
      <c r="BD591" s="568"/>
      <c r="BE591" s="32"/>
      <c r="BF591" s="32"/>
      <c r="BG591" s="32"/>
      <c r="BH591" s="32"/>
    </row>
    <row r="592" spans="1:60" x14ac:dyDescent="0.25">
      <c r="A592" s="77"/>
      <c r="B592" s="84"/>
      <c r="C592" s="29"/>
      <c r="D592" s="59"/>
      <c r="E592" s="22"/>
      <c r="F592" s="27"/>
      <c r="G592" s="567"/>
      <c r="H592" s="609">
        <f t="shared" si="166"/>
        <v>0</v>
      </c>
      <c r="I592" s="568"/>
      <c r="J592" s="568"/>
      <c r="K592" s="568"/>
      <c r="L592" s="568"/>
      <c r="M592" s="32"/>
      <c r="N592" s="32"/>
      <c r="O592" s="32"/>
      <c r="P592" s="630"/>
      <c r="Q592" s="609">
        <f t="shared" si="163"/>
        <v>0</v>
      </c>
      <c r="R592" s="568"/>
      <c r="S592" s="568"/>
      <c r="T592" s="568"/>
      <c r="U592" s="568"/>
      <c r="V592" s="32"/>
      <c r="W592" s="32"/>
      <c r="X592" s="32"/>
      <c r="Y592" s="630"/>
      <c r="Z592" s="609">
        <f t="shared" si="164"/>
        <v>0</v>
      </c>
      <c r="AA592" s="568"/>
      <c r="AB592" s="568"/>
      <c r="AC592" s="568"/>
      <c r="AD592" s="568"/>
      <c r="AE592" s="32"/>
      <c r="AF592" s="32"/>
      <c r="AG592" s="32"/>
      <c r="AH592" s="630"/>
      <c r="AI592" s="609">
        <f t="shared" si="165"/>
        <v>0</v>
      </c>
      <c r="AJ592" s="568"/>
      <c r="AK592" s="568"/>
      <c r="AL592" s="568"/>
      <c r="AM592" s="568"/>
      <c r="AN592" s="32"/>
      <c r="AO592" s="32"/>
      <c r="AP592" s="32"/>
      <c r="AQ592" s="630"/>
      <c r="AR592" s="631"/>
      <c r="AS592" s="568"/>
      <c r="AT592" s="568"/>
      <c r="AU592" s="568"/>
      <c r="AV592" s="568"/>
      <c r="AW592" s="32"/>
      <c r="AX592" s="32"/>
      <c r="AY592" s="32"/>
      <c r="AZ592" s="32"/>
      <c r="BA592" s="32"/>
      <c r="BB592" s="568"/>
      <c r="BC592" s="568"/>
      <c r="BD592" s="568"/>
      <c r="BE592" s="32"/>
      <c r="BF592" s="32"/>
      <c r="BG592" s="32"/>
      <c r="BH592" s="32"/>
    </row>
    <row r="593" spans="1:60" x14ac:dyDescent="0.25">
      <c r="A593" s="77"/>
      <c r="B593" s="84"/>
      <c r="C593" s="29"/>
      <c r="D593" s="59"/>
      <c r="E593" s="22"/>
      <c r="F593" s="27"/>
      <c r="G593" s="567"/>
      <c r="H593" s="609">
        <f t="shared" si="166"/>
        <v>0</v>
      </c>
      <c r="I593" s="568"/>
      <c r="J593" s="568"/>
      <c r="K593" s="568"/>
      <c r="L593" s="568"/>
      <c r="M593" s="32"/>
      <c r="N593" s="32"/>
      <c r="O593" s="32"/>
      <c r="P593" s="630"/>
      <c r="Q593" s="609">
        <f t="shared" si="163"/>
        <v>0</v>
      </c>
      <c r="R593" s="568"/>
      <c r="S593" s="568"/>
      <c r="T593" s="568"/>
      <c r="U593" s="568"/>
      <c r="V593" s="32"/>
      <c r="W593" s="32"/>
      <c r="X593" s="32"/>
      <c r="Y593" s="630"/>
      <c r="Z593" s="609">
        <f t="shared" si="164"/>
        <v>0</v>
      </c>
      <c r="AA593" s="568"/>
      <c r="AB593" s="568"/>
      <c r="AC593" s="568"/>
      <c r="AD593" s="568"/>
      <c r="AE593" s="32"/>
      <c r="AF593" s="32"/>
      <c r="AG593" s="32"/>
      <c r="AH593" s="630"/>
      <c r="AI593" s="609">
        <f t="shared" si="165"/>
        <v>0</v>
      </c>
      <c r="AJ593" s="568"/>
      <c r="AK593" s="568"/>
      <c r="AL593" s="568"/>
      <c r="AM593" s="568"/>
      <c r="AN593" s="32"/>
      <c r="AO593" s="32"/>
      <c r="AP593" s="32"/>
      <c r="AQ593" s="630"/>
      <c r="AR593" s="631"/>
      <c r="AS593" s="568"/>
      <c r="AT593" s="568"/>
      <c r="AU593" s="568"/>
      <c r="AV593" s="568"/>
      <c r="AW593" s="32"/>
      <c r="AX593" s="32"/>
      <c r="AY593" s="32"/>
      <c r="AZ593" s="32"/>
      <c r="BA593" s="32"/>
      <c r="BB593" s="568"/>
      <c r="BC593" s="568"/>
      <c r="BD593" s="568"/>
      <c r="BE593" s="32"/>
      <c r="BF593" s="32"/>
      <c r="BG593" s="32"/>
      <c r="BH593" s="32"/>
    </row>
    <row r="594" spans="1:60" x14ac:dyDescent="0.25">
      <c r="A594" s="77"/>
      <c r="B594" s="84"/>
      <c r="C594" s="29"/>
      <c r="D594" s="59"/>
      <c r="E594" s="22"/>
      <c r="F594" s="27"/>
      <c r="G594" s="567"/>
      <c r="H594" s="609">
        <f t="shared" si="166"/>
        <v>0</v>
      </c>
      <c r="I594" s="568"/>
      <c r="J594" s="568"/>
      <c r="K594" s="568"/>
      <c r="L594" s="568"/>
      <c r="M594" s="32"/>
      <c r="N594" s="32"/>
      <c r="O594" s="32"/>
      <c r="P594" s="630"/>
      <c r="Q594" s="609">
        <f t="shared" si="163"/>
        <v>0</v>
      </c>
      <c r="R594" s="568"/>
      <c r="S594" s="568"/>
      <c r="T594" s="568"/>
      <c r="U594" s="568"/>
      <c r="V594" s="32"/>
      <c r="W594" s="32"/>
      <c r="X594" s="32"/>
      <c r="Y594" s="630"/>
      <c r="Z594" s="609">
        <f t="shared" si="164"/>
        <v>0</v>
      </c>
      <c r="AA594" s="568"/>
      <c r="AB594" s="568"/>
      <c r="AC594" s="568"/>
      <c r="AD594" s="568"/>
      <c r="AE594" s="32"/>
      <c r="AF594" s="32"/>
      <c r="AG594" s="32"/>
      <c r="AH594" s="630"/>
      <c r="AI594" s="609">
        <f t="shared" si="165"/>
        <v>0</v>
      </c>
      <c r="AJ594" s="568"/>
      <c r="AK594" s="568"/>
      <c r="AL594" s="568"/>
      <c r="AM594" s="568"/>
      <c r="AN594" s="32"/>
      <c r="AO594" s="32"/>
      <c r="AP594" s="32"/>
      <c r="AQ594" s="630"/>
      <c r="AR594" s="631"/>
      <c r="AS594" s="568"/>
      <c r="AT594" s="568"/>
      <c r="AU594" s="568"/>
      <c r="AV594" s="568"/>
      <c r="AW594" s="32"/>
      <c r="AX594" s="32"/>
      <c r="AY594" s="32"/>
      <c r="AZ594" s="32"/>
      <c r="BA594" s="32"/>
      <c r="BB594" s="568"/>
      <c r="BC594" s="568"/>
      <c r="BD594" s="568"/>
      <c r="BE594" s="32"/>
      <c r="BF594" s="32"/>
      <c r="BG594" s="32"/>
      <c r="BH594" s="32"/>
    </row>
    <row r="595" spans="1:60" x14ac:dyDescent="0.25">
      <c r="A595" s="77"/>
      <c r="B595" s="84"/>
      <c r="C595" s="29"/>
      <c r="D595" s="59"/>
      <c r="E595" s="22"/>
      <c r="F595" s="27"/>
      <c r="G595" s="567"/>
      <c r="H595" s="609">
        <f t="shared" si="166"/>
        <v>0</v>
      </c>
      <c r="I595" s="568"/>
      <c r="J595" s="568"/>
      <c r="K595" s="568"/>
      <c r="L595" s="568"/>
      <c r="M595" s="32"/>
      <c r="N595" s="32"/>
      <c r="O595" s="32"/>
      <c r="P595" s="630"/>
      <c r="Q595" s="609">
        <f t="shared" si="163"/>
        <v>0</v>
      </c>
      <c r="R595" s="568"/>
      <c r="S595" s="568"/>
      <c r="T595" s="568"/>
      <c r="U595" s="568"/>
      <c r="V595" s="32"/>
      <c r="W595" s="32"/>
      <c r="X595" s="32"/>
      <c r="Y595" s="630"/>
      <c r="Z595" s="609">
        <f t="shared" si="164"/>
        <v>0</v>
      </c>
      <c r="AA595" s="568"/>
      <c r="AB595" s="568"/>
      <c r="AC595" s="568"/>
      <c r="AD595" s="568"/>
      <c r="AE595" s="32"/>
      <c r="AF595" s="32"/>
      <c r="AG595" s="32"/>
      <c r="AH595" s="630"/>
      <c r="AI595" s="609">
        <f t="shared" si="165"/>
        <v>0</v>
      </c>
      <c r="AJ595" s="568"/>
      <c r="AK595" s="568"/>
      <c r="AL595" s="568"/>
      <c r="AM595" s="568"/>
      <c r="AN595" s="32"/>
      <c r="AO595" s="32"/>
      <c r="AP595" s="32"/>
      <c r="AQ595" s="630"/>
      <c r="AR595" s="631"/>
      <c r="AS595" s="568"/>
      <c r="AT595" s="568"/>
      <c r="AU595" s="568"/>
      <c r="AV595" s="568"/>
      <c r="AW595" s="32"/>
      <c r="AX595" s="32"/>
      <c r="AY595" s="32"/>
      <c r="AZ595" s="32"/>
      <c r="BA595" s="32"/>
      <c r="BB595" s="568"/>
      <c r="BC595" s="568"/>
      <c r="BD595" s="568"/>
      <c r="BE595" s="32"/>
      <c r="BF595" s="32"/>
      <c r="BG595" s="32"/>
      <c r="BH595" s="32"/>
    </row>
    <row r="596" spans="1:60" x14ac:dyDescent="0.25">
      <c r="A596" s="77"/>
      <c r="B596" s="84"/>
      <c r="C596" s="29"/>
      <c r="D596" s="59"/>
      <c r="E596" s="22"/>
      <c r="F596" s="27"/>
      <c r="G596" s="567"/>
      <c r="H596" s="609">
        <f t="shared" si="166"/>
        <v>0</v>
      </c>
      <c r="I596" s="568"/>
      <c r="J596" s="568"/>
      <c r="K596" s="568"/>
      <c r="L596" s="568"/>
      <c r="M596" s="32"/>
      <c r="N596" s="32"/>
      <c r="O596" s="32"/>
      <c r="P596" s="630"/>
      <c r="Q596" s="609">
        <f t="shared" si="163"/>
        <v>0</v>
      </c>
      <c r="R596" s="568"/>
      <c r="S596" s="568"/>
      <c r="T596" s="568"/>
      <c r="U596" s="568"/>
      <c r="V596" s="32"/>
      <c r="W596" s="32"/>
      <c r="X596" s="32"/>
      <c r="Y596" s="630"/>
      <c r="Z596" s="609">
        <f t="shared" si="164"/>
        <v>0</v>
      </c>
      <c r="AA596" s="568"/>
      <c r="AB596" s="568"/>
      <c r="AC596" s="568"/>
      <c r="AD596" s="568"/>
      <c r="AE596" s="32"/>
      <c r="AF596" s="32"/>
      <c r="AG596" s="32"/>
      <c r="AH596" s="630"/>
      <c r="AI596" s="609">
        <f t="shared" si="165"/>
        <v>0</v>
      </c>
      <c r="AJ596" s="568"/>
      <c r="AK596" s="568"/>
      <c r="AL596" s="568"/>
      <c r="AM596" s="568"/>
      <c r="AN596" s="32"/>
      <c r="AO596" s="32"/>
      <c r="AP596" s="32"/>
      <c r="AQ596" s="630"/>
      <c r="AR596" s="631"/>
      <c r="AS596" s="568"/>
      <c r="AT596" s="568"/>
      <c r="AU596" s="568"/>
      <c r="AV596" s="568"/>
      <c r="AW596" s="32"/>
      <c r="AX596" s="32"/>
      <c r="AY596" s="32"/>
      <c r="AZ596" s="32"/>
      <c r="BA596" s="32"/>
      <c r="BB596" s="568"/>
      <c r="BC596" s="568"/>
      <c r="BD596" s="568"/>
      <c r="BE596" s="32"/>
      <c r="BF596" s="32"/>
      <c r="BG596" s="32"/>
      <c r="BH596" s="32"/>
    </row>
    <row r="597" spans="1:60" x14ac:dyDescent="0.25">
      <c r="A597" s="77"/>
      <c r="B597" s="84"/>
      <c r="C597" s="29"/>
      <c r="D597" s="59"/>
      <c r="E597" s="22"/>
      <c r="F597" s="27"/>
      <c r="G597" s="567"/>
      <c r="H597" s="609">
        <f t="shared" si="166"/>
        <v>0</v>
      </c>
      <c r="I597" s="568"/>
      <c r="J597" s="568"/>
      <c r="K597" s="568"/>
      <c r="L597" s="568"/>
      <c r="M597" s="32"/>
      <c r="N597" s="32"/>
      <c r="O597" s="32"/>
      <c r="P597" s="630"/>
      <c r="Q597" s="609">
        <f t="shared" si="163"/>
        <v>0</v>
      </c>
      <c r="R597" s="568"/>
      <c r="S597" s="568"/>
      <c r="T597" s="568"/>
      <c r="U597" s="568"/>
      <c r="V597" s="32"/>
      <c r="W597" s="32"/>
      <c r="X597" s="32"/>
      <c r="Y597" s="630"/>
      <c r="Z597" s="609">
        <f t="shared" si="164"/>
        <v>0</v>
      </c>
      <c r="AA597" s="568"/>
      <c r="AB597" s="568"/>
      <c r="AC597" s="568"/>
      <c r="AD597" s="568"/>
      <c r="AE597" s="32"/>
      <c r="AF597" s="32"/>
      <c r="AG597" s="32"/>
      <c r="AH597" s="630"/>
      <c r="AI597" s="609">
        <f t="shared" si="165"/>
        <v>0</v>
      </c>
      <c r="AJ597" s="568"/>
      <c r="AK597" s="568"/>
      <c r="AL597" s="568"/>
      <c r="AM597" s="568"/>
      <c r="AN597" s="32"/>
      <c r="AO597" s="32"/>
      <c r="AP597" s="32"/>
      <c r="AQ597" s="630"/>
      <c r="AR597" s="631"/>
      <c r="AS597" s="568"/>
      <c r="AT597" s="568"/>
      <c r="AU597" s="568"/>
      <c r="AV597" s="568"/>
      <c r="AW597" s="32"/>
      <c r="AX597" s="32"/>
      <c r="AY597" s="32"/>
      <c r="AZ597" s="32"/>
      <c r="BA597" s="32"/>
      <c r="BB597" s="568"/>
      <c r="BC597" s="568"/>
      <c r="BD597" s="568"/>
      <c r="BE597" s="32"/>
      <c r="BF597" s="32"/>
      <c r="BG597" s="32"/>
      <c r="BH597" s="32"/>
    </row>
    <row r="598" spans="1:60" x14ac:dyDescent="0.25">
      <c r="A598" s="77"/>
      <c r="B598" s="84"/>
      <c r="C598" s="29"/>
      <c r="D598" s="59"/>
      <c r="E598" s="22"/>
      <c r="F598" s="27"/>
      <c r="G598" s="567"/>
      <c r="H598" s="609">
        <f t="shared" si="166"/>
        <v>0</v>
      </c>
      <c r="I598" s="568"/>
      <c r="J598" s="568"/>
      <c r="K598" s="568"/>
      <c r="L598" s="568"/>
      <c r="M598" s="32"/>
      <c r="N598" s="32"/>
      <c r="O598" s="32"/>
      <c r="P598" s="630"/>
      <c r="Q598" s="609">
        <f t="shared" si="163"/>
        <v>0</v>
      </c>
      <c r="R598" s="568"/>
      <c r="S598" s="568"/>
      <c r="T598" s="568"/>
      <c r="U598" s="568"/>
      <c r="V598" s="32"/>
      <c r="W598" s="32"/>
      <c r="X598" s="32"/>
      <c r="Y598" s="630"/>
      <c r="Z598" s="609">
        <f t="shared" si="164"/>
        <v>0</v>
      </c>
      <c r="AA598" s="568"/>
      <c r="AB598" s="568"/>
      <c r="AC598" s="568"/>
      <c r="AD598" s="568"/>
      <c r="AE598" s="32"/>
      <c r="AF598" s="32"/>
      <c r="AG598" s="32"/>
      <c r="AH598" s="630"/>
      <c r="AI598" s="609">
        <f t="shared" si="165"/>
        <v>0</v>
      </c>
      <c r="AJ598" s="568"/>
      <c r="AK598" s="568"/>
      <c r="AL598" s="568"/>
      <c r="AM598" s="568"/>
      <c r="AN598" s="32"/>
      <c r="AO598" s="32"/>
      <c r="AP598" s="32"/>
      <c r="AQ598" s="630"/>
      <c r="AR598" s="631"/>
      <c r="AS598" s="568"/>
      <c r="AT598" s="568"/>
      <c r="AU598" s="568"/>
      <c r="AV598" s="568"/>
      <c r="AW598" s="32"/>
      <c r="AX598" s="32"/>
      <c r="AY598" s="32"/>
      <c r="AZ598" s="32"/>
      <c r="BA598" s="32"/>
      <c r="BB598" s="568"/>
      <c r="BC598" s="568"/>
      <c r="BD598" s="568"/>
      <c r="BE598" s="32"/>
      <c r="BF598" s="32"/>
      <c r="BG598" s="32"/>
      <c r="BH598" s="32"/>
    </row>
    <row r="599" spans="1:60" x14ac:dyDescent="0.25">
      <c r="A599" s="77"/>
      <c r="B599" s="84"/>
      <c r="C599" s="29"/>
      <c r="D599" s="59"/>
      <c r="E599" s="22"/>
      <c r="F599" s="27"/>
      <c r="G599" s="567"/>
      <c r="H599" s="609">
        <f t="shared" si="166"/>
        <v>0</v>
      </c>
      <c r="I599" s="568"/>
      <c r="J599" s="568"/>
      <c r="K599" s="568"/>
      <c r="L599" s="568"/>
      <c r="M599" s="32"/>
      <c r="N599" s="32"/>
      <c r="O599" s="32"/>
      <c r="P599" s="630"/>
      <c r="Q599" s="609">
        <f t="shared" si="163"/>
        <v>0</v>
      </c>
      <c r="R599" s="568"/>
      <c r="S599" s="568"/>
      <c r="T599" s="568"/>
      <c r="U599" s="568"/>
      <c r="V599" s="32"/>
      <c r="W599" s="32"/>
      <c r="X599" s="32"/>
      <c r="Y599" s="630"/>
      <c r="Z599" s="609">
        <f t="shared" si="164"/>
        <v>0</v>
      </c>
      <c r="AA599" s="568"/>
      <c r="AB599" s="568"/>
      <c r="AC599" s="568"/>
      <c r="AD599" s="568"/>
      <c r="AE599" s="32"/>
      <c r="AF599" s="32"/>
      <c r="AG599" s="32"/>
      <c r="AH599" s="630"/>
      <c r="AI599" s="609">
        <f t="shared" si="165"/>
        <v>0</v>
      </c>
      <c r="AJ599" s="568"/>
      <c r="AK599" s="568"/>
      <c r="AL599" s="568"/>
      <c r="AM599" s="568"/>
      <c r="AN599" s="32"/>
      <c r="AO599" s="32"/>
      <c r="AP599" s="32"/>
      <c r="AQ599" s="630"/>
      <c r="AR599" s="631"/>
      <c r="AS599" s="568"/>
      <c r="AT599" s="568"/>
      <c r="AU599" s="568"/>
      <c r="AV599" s="568"/>
      <c r="AW599" s="32"/>
      <c r="AX599" s="32"/>
      <c r="AY599" s="32"/>
      <c r="AZ599" s="32"/>
      <c r="BA599" s="32"/>
      <c r="BB599" s="568"/>
      <c r="BC599" s="568"/>
      <c r="BD599" s="568"/>
      <c r="BE599" s="32"/>
      <c r="BF599" s="32"/>
      <c r="BG599" s="32"/>
      <c r="BH599" s="32"/>
    </row>
    <row r="600" spans="1:60" x14ac:dyDescent="0.25">
      <c r="A600" s="77"/>
      <c r="B600" s="84"/>
      <c r="C600" s="29"/>
      <c r="D600" s="59"/>
      <c r="E600" s="22"/>
      <c r="F600" s="27"/>
      <c r="G600" s="567"/>
      <c r="H600" s="609">
        <f t="shared" si="166"/>
        <v>0</v>
      </c>
      <c r="I600" s="568"/>
      <c r="J600" s="568"/>
      <c r="K600" s="568"/>
      <c r="L600" s="568"/>
      <c r="M600" s="32"/>
      <c r="N600" s="32"/>
      <c r="O600" s="32"/>
      <c r="P600" s="630"/>
      <c r="Q600" s="609">
        <f t="shared" si="163"/>
        <v>0</v>
      </c>
      <c r="R600" s="568"/>
      <c r="S600" s="568"/>
      <c r="T600" s="568"/>
      <c r="U600" s="568"/>
      <c r="V600" s="32"/>
      <c r="W600" s="32"/>
      <c r="X600" s="32"/>
      <c r="Y600" s="630"/>
      <c r="Z600" s="609">
        <f t="shared" si="164"/>
        <v>0</v>
      </c>
      <c r="AA600" s="568"/>
      <c r="AB600" s="568"/>
      <c r="AC600" s="568"/>
      <c r="AD600" s="568"/>
      <c r="AE600" s="32"/>
      <c r="AF600" s="32"/>
      <c r="AG600" s="32"/>
      <c r="AH600" s="630"/>
      <c r="AI600" s="609">
        <f t="shared" si="165"/>
        <v>0</v>
      </c>
      <c r="AJ600" s="568"/>
      <c r="AK600" s="568"/>
      <c r="AL600" s="568"/>
      <c r="AM600" s="568"/>
      <c r="AN600" s="32"/>
      <c r="AO600" s="32"/>
      <c r="AP600" s="32"/>
      <c r="AQ600" s="630"/>
      <c r="AR600" s="631"/>
      <c r="AS600" s="568"/>
      <c r="AT600" s="568"/>
      <c r="AU600" s="568"/>
      <c r="AV600" s="568"/>
      <c r="AW600" s="32"/>
      <c r="AX600" s="32"/>
      <c r="AY600" s="32"/>
      <c r="AZ600" s="32"/>
      <c r="BA600" s="32"/>
      <c r="BB600" s="568"/>
      <c r="BC600" s="568"/>
      <c r="BD600" s="568"/>
      <c r="BE600" s="32"/>
      <c r="BF600" s="32"/>
      <c r="BG600" s="32"/>
      <c r="BH600" s="32"/>
    </row>
    <row r="601" spans="1:60" x14ac:dyDescent="0.25">
      <c r="A601" s="77"/>
      <c r="B601" s="84"/>
      <c r="C601" s="29"/>
      <c r="D601" s="59"/>
      <c r="E601" s="22"/>
      <c r="F601" s="27"/>
      <c r="G601" s="567"/>
      <c r="H601" s="609">
        <f t="shared" si="166"/>
        <v>0</v>
      </c>
      <c r="I601" s="568"/>
      <c r="J601" s="568"/>
      <c r="K601" s="568"/>
      <c r="L601" s="568"/>
      <c r="M601" s="32"/>
      <c r="N601" s="32"/>
      <c r="O601" s="32"/>
      <c r="P601" s="630"/>
      <c r="Q601" s="609">
        <f t="shared" si="163"/>
        <v>0</v>
      </c>
      <c r="R601" s="568"/>
      <c r="S601" s="568"/>
      <c r="T601" s="568"/>
      <c r="U601" s="568"/>
      <c r="V601" s="32"/>
      <c r="W601" s="32"/>
      <c r="X601" s="32"/>
      <c r="Y601" s="630"/>
      <c r="Z601" s="609">
        <f t="shared" si="164"/>
        <v>0</v>
      </c>
      <c r="AA601" s="568"/>
      <c r="AB601" s="568"/>
      <c r="AC601" s="568"/>
      <c r="AD601" s="568"/>
      <c r="AE601" s="32"/>
      <c r="AF601" s="32"/>
      <c r="AG601" s="32"/>
      <c r="AH601" s="630"/>
      <c r="AI601" s="609">
        <f t="shared" si="165"/>
        <v>0</v>
      </c>
      <c r="AJ601" s="568"/>
      <c r="AK601" s="568"/>
      <c r="AL601" s="568"/>
      <c r="AM601" s="568"/>
      <c r="AN601" s="32"/>
      <c r="AO601" s="32"/>
      <c r="AP601" s="32"/>
      <c r="AQ601" s="630"/>
      <c r="AR601" s="631"/>
      <c r="AS601" s="568"/>
      <c r="AT601" s="568"/>
      <c r="AU601" s="568"/>
      <c r="AV601" s="568"/>
      <c r="AW601" s="32"/>
      <c r="AX601" s="32"/>
      <c r="AY601" s="32"/>
      <c r="AZ601" s="32"/>
      <c r="BA601" s="32"/>
      <c r="BB601" s="568"/>
      <c r="BC601" s="568"/>
      <c r="BD601" s="568"/>
      <c r="BE601" s="32"/>
      <c r="BF601" s="32"/>
      <c r="BG601" s="32"/>
      <c r="BH601" s="32"/>
    </row>
    <row r="602" spans="1:60" x14ac:dyDescent="0.25">
      <c r="A602" s="77"/>
      <c r="B602" s="84"/>
      <c r="C602" s="29"/>
      <c r="D602" s="59"/>
      <c r="E602" s="22"/>
      <c r="F602" s="27"/>
      <c r="G602" s="567"/>
      <c r="H602" s="609">
        <f t="shared" si="166"/>
        <v>0</v>
      </c>
      <c r="I602" s="568"/>
      <c r="J602" s="568"/>
      <c r="K602" s="568"/>
      <c r="L602" s="568"/>
      <c r="M602" s="32"/>
      <c r="N602" s="32"/>
      <c r="O602" s="32"/>
      <c r="P602" s="630"/>
      <c r="Q602" s="609">
        <f t="shared" si="163"/>
        <v>0</v>
      </c>
      <c r="R602" s="568"/>
      <c r="S602" s="568"/>
      <c r="T602" s="568"/>
      <c r="U602" s="568"/>
      <c r="V602" s="32"/>
      <c r="W602" s="32"/>
      <c r="X602" s="32"/>
      <c r="Y602" s="630"/>
      <c r="Z602" s="609">
        <f t="shared" si="164"/>
        <v>0</v>
      </c>
      <c r="AA602" s="568"/>
      <c r="AB602" s="568"/>
      <c r="AC602" s="568"/>
      <c r="AD602" s="568"/>
      <c r="AE602" s="32"/>
      <c r="AF602" s="32"/>
      <c r="AG602" s="32"/>
      <c r="AH602" s="630"/>
      <c r="AI602" s="609">
        <f t="shared" si="165"/>
        <v>0</v>
      </c>
      <c r="AJ602" s="568"/>
      <c r="AK602" s="568"/>
      <c r="AL602" s="568"/>
      <c r="AM602" s="568"/>
      <c r="AN602" s="32"/>
      <c r="AO602" s="32"/>
      <c r="AP602" s="32"/>
      <c r="AQ602" s="630"/>
      <c r="AR602" s="631"/>
      <c r="AS602" s="568"/>
      <c r="AT602" s="568"/>
      <c r="AU602" s="568"/>
      <c r="AV602" s="568"/>
      <c r="AW602" s="32"/>
      <c r="AX602" s="32"/>
      <c r="AY602" s="32"/>
      <c r="AZ602" s="32"/>
      <c r="BA602" s="32"/>
      <c r="BB602" s="568"/>
      <c r="BC602" s="568"/>
      <c r="BD602" s="568"/>
      <c r="BE602" s="32"/>
      <c r="BF602" s="32"/>
      <c r="BG602" s="32"/>
      <c r="BH602" s="32"/>
    </row>
    <row r="603" spans="1:60" x14ac:dyDescent="0.25">
      <c r="A603" s="77"/>
      <c r="B603" s="84"/>
      <c r="C603" s="29"/>
      <c r="D603" s="59"/>
      <c r="E603" s="22"/>
      <c r="F603" s="27"/>
      <c r="G603" s="567"/>
      <c r="H603" s="609">
        <f t="shared" si="166"/>
        <v>0</v>
      </c>
      <c r="I603" s="568"/>
      <c r="J603" s="568"/>
      <c r="K603" s="568"/>
      <c r="L603" s="568"/>
      <c r="M603" s="32"/>
      <c r="N603" s="32"/>
      <c r="O603" s="32"/>
      <c r="P603" s="630"/>
      <c r="Q603" s="609">
        <f t="shared" si="163"/>
        <v>0</v>
      </c>
      <c r="R603" s="568"/>
      <c r="S603" s="568"/>
      <c r="T603" s="568"/>
      <c r="U603" s="568"/>
      <c r="V603" s="32"/>
      <c r="W603" s="32"/>
      <c r="X603" s="32"/>
      <c r="Y603" s="630"/>
      <c r="Z603" s="609">
        <f t="shared" si="164"/>
        <v>0</v>
      </c>
      <c r="AA603" s="568"/>
      <c r="AB603" s="568"/>
      <c r="AC603" s="568"/>
      <c r="AD603" s="568"/>
      <c r="AE603" s="32"/>
      <c r="AF603" s="32"/>
      <c r="AG603" s="32"/>
      <c r="AH603" s="630"/>
      <c r="AI603" s="609">
        <f t="shared" si="165"/>
        <v>0</v>
      </c>
      <c r="AJ603" s="568"/>
      <c r="AK603" s="568"/>
      <c r="AL603" s="568"/>
      <c r="AM603" s="568"/>
      <c r="AN603" s="32"/>
      <c r="AO603" s="32"/>
      <c r="AP603" s="32"/>
      <c r="AQ603" s="630"/>
      <c r="AR603" s="631"/>
      <c r="AS603" s="568"/>
      <c r="AT603" s="568"/>
      <c r="AU603" s="568"/>
      <c r="AV603" s="568"/>
      <c r="AW603" s="32"/>
      <c r="AX603" s="32"/>
      <c r="AY603" s="32"/>
      <c r="AZ603" s="32"/>
      <c r="BA603" s="32"/>
      <c r="BB603" s="568"/>
      <c r="BC603" s="568"/>
      <c r="BD603" s="568"/>
      <c r="BE603" s="32"/>
      <c r="BF603" s="32"/>
      <c r="BG603" s="32"/>
      <c r="BH603" s="32"/>
    </row>
    <row r="604" spans="1:60" x14ac:dyDescent="0.25">
      <c r="A604" s="77"/>
      <c r="B604" s="84"/>
      <c r="C604" s="29"/>
      <c r="D604" s="59"/>
      <c r="E604" s="22"/>
      <c r="F604" s="27"/>
      <c r="G604" s="567"/>
      <c r="H604" s="609">
        <f t="shared" si="166"/>
        <v>0</v>
      </c>
      <c r="I604" s="568"/>
      <c r="J604" s="568"/>
      <c r="K604" s="568"/>
      <c r="L604" s="568"/>
      <c r="M604" s="32"/>
      <c r="N604" s="32"/>
      <c r="O604" s="32"/>
      <c r="P604" s="630"/>
      <c r="Q604" s="609">
        <f t="shared" si="163"/>
        <v>0</v>
      </c>
      <c r="R604" s="568"/>
      <c r="S604" s="568"/>
      <c r="T604" s="568"/>
      <c r="U604" s="568"/>
      <c r="V604" s="32"/>
      <c r="W604" s="32"/>
      <c r="X604" s="32"/>
      <c r="Y604" s="630"/>
      <c r="Z604" s="609">
        <f t="shared" si="164"/>
        <v>0</v>
      </c>
      <c r="AA604" s="568"/>
      <c r="AB604" s="568"/>
      <c r="AC604" s="568"/>
      <c r="AD604" s="568"/>
      <c r="AE604" s="32"/>
      <c r="AF604" s="32"/>
      <c r="AG604" s="32"/>
      <c r="AH604" s="630"/>
      <c r="AI604" s="609">
        <f t="shared" si="165"/>
        <v>0</v>
      </c>
      <c r="AJ604" s="568"/>
      <c r="AK604" s="568"/>
      <c r="AL604" s="568"/>
      <c r="AM604" s="568"/>
      <c r="AN604" s="32"/>
      <c r="AO604" s="32"/>
      <c r="AP604" s="32"/>
      <c r="AQ604" s="630"/>
      <c r="AR604" s="631"/>
      <c r="AS604" s="568"/>
      <c r="AT604" s="568"/>
      <c r="AU604" s="568"/>
      <c r="AV604" s="568"/>
      <c r="AW604" s="32"/>
      <c r="AX604" s="32"/>
      <c r="AY604" s="32"/>
      <c r="AZ604" s="32"/>
      <c r="BA604" s="32"/>
      <c r="BB604" s="568"/>
      <c r="BC604" s="568"/>
      <c r="BD604" s="568"/>
      <c r="BE604" s="32"/>
      <c r="BF604" s="32"/>
      <c r="BG604" s="32"/>
      <c r="BH604" s="32"/>
    </row>
    <row r="605" spans="1:60" x14ac:dyDescent="0.25">
      <c r="A605" s="77"/>
      <c r="B605" s="84"/>
      <c r="C605" s="29"/>
      <c r="D605" s="59"/>
      <c r="E605" s="22"/>
      <c r="F605" s="27"/>
      <c r="G605" s="567"/>
      <c r="H605" s="609">
        <f t="shared" si="166"/>
        <v>0</v>
      </c>
      <c r="I605" s="568"/>
      <c r="J605" s="568"/>
      <c r="K605" s="568"/>
      <c r="L605" s="568"/>
      <c r="M605" s="32"/>
      <c r="N605" s="32"/>
      <c r="O605" s="32"/>
      <c r="P605" s="630"/>
      <c r="Q605" s="609">
        <f t="shared" si="163"/>
        <v>0</v>
      </c>
      <c r="R605" s="568"/>
      <c r="S605" s="568"/>
      <c r="T605" s="568"/>
      <c r="U605" s="568"/>
      <c r="V605" s="32"/>
      <c r="W605" s="32"/>
      <c r="X605" s="32"/>
      <c r="Y605" s="630"/>
      <c r="Z605" s="609">
        <f t="shared" si="164"/>
        <v>0</v>
      </c>
      <c r="AA605" s="568"/>
      <c r="AB605" s="568"/>
      <c r="AC605" s="568"/>
      <c r="AD605" s="568"/>
      <c r="AE605" s="32"/>
      <c r="AF605" s="32"/>
      <c r="AG605" s="32"/>
      <c r="AH605" s="630"/>
      <c r="AI605" s="609">
        <f t="shared" si="165"/>
        <v>0</v>
      </c>
      <c r="AJ605" s="568"/>
      <c r="AK605" s="568"/>
      <c r="AL605" s="568"/>
      <c r="AM605" s="568"/>
      <c r="AN605" s="32"/>
      <c r="AO605" s="32"/>
      <c r="AP605" s="32"/>
      <c r="AQ605" s="630"/>
      <c r="AR605" s="631"/>
      <c r="AS605" s="568"/>
      <c r="AT605" s="568"/>
      <c r="AU605" s="568"/>
      <c r="AV605" s="568"/>
      <c r="AW605" s="32"/>
      <c r="AX605" s="32"/>
      <c r="AY605" s="32"/>
      <c r="AZ605" s="32"/>
      <c r="BA605" s="32"/>
      <c r="BB605" s="568"/>
      <c r="BC605" s="568"/>
      <c r="BD605" s="568"/>
      <c r="BE605" s="32"/>
      <c r="BF605" s="32"/>
      <c r="BG605" s="32"/>
      <c r="BH605" s="32"/>
    </row>
    <row r="606" spans="1:60" x14ac:dyDescent="0.25">
      <c r="A606" s="77"/>
      <c r="B606" s="84"/>
      <c r="C606" s="29"/>
      <c r="D606" s="59"/>
      <c r="E606" s="22"/>
      <c r="F606" s="27"/>
      <c r="G606" s="567"/>
      <c r="H606" s="609">
        <f t="shared" si="166"/>
        <v>0</v>
      </c>
      <c r="I606" s="568"/>
      <c r="J606" s="568"/>
      <c r="K606" s="568"/>
      <c r="L606" s="568"/>
      <c r="M606" s="32"/>
      <c r="N606" s="32"/>
      <c r="O606" s="32"/>
      <c r="P606" s="630"/>
      <c r="Q606" s="609">
        <f t="shared" si="163"/>
        <v>0</v>
      </c>
      <c r="R606" s="568"/>
      <c r="S606" s="568"/>
      <c r="T606" s="568"/>
      <c r="U606" s="568"/>
      <c r="V606" s="32"/>
      <c r="W606" s="32"/>
      <c r="X606" s="32"/>
      <c r="Y606" s="630"/>
      <c r="Z606" s="609">
        <f t="shared" si="164"/>
        <v>0</v>
      </c>
      <c r="AA606" s="568"/>
      <c r="AB606" s="568"/>
      <c r="AC606" s="568"/>
      <c r="AD606" s="568"/>
      <c r="AE606" s="32"/>
      <c r="AF606" s="32"/>
      <c r="AG606" s="32"/>
      <c r="AH606" s="630"/>
      <c r="AI606" s="609">
        <f t="shared" si="165"/>
        <v>0</v>
      </c>
      <c r="AJ606" s="568"/>
      <c r="AK606" s="568"/>
      <c r="AL606" s="568"/>
      <c r="AM606" s="568"/>
      <c r="AN606" s="32"/>
      <c r="AO606" s="32"/>
      <c r="AP606" s="32"/>
      <c r="AQ606" s="630"/>
      <c r="AR606" s="631"/>
      <c r="AS606" s="568"/>
      <c r="AT606" s="568"/>
      <c r="AU606" s="568"/>
      <c r="AV606" s="568"/>
      <c r="AW606" s="32"/>
      <c r="AX606" s="32"/>
      <c r="AY606" s="32"/>
      <c r="AZ606" s="32"/>
      <c r="BA606" s="32"/>
      <c r="BB606" s="568"/>
      <c r="BC606" s="568"/>
      <c r="BD606" s="568"/>
      <c r="BE606" s="32"/>
      <c r="BF606" s="32"/>
      <c r="BG606" s="32"/>
      <c r="BH606" s="32"/>
    </row>
    <row r="607" spans="1:60" x14ac:dyDescent="0.25">
      <c r="A607" s="77"/>
      <c r="B607" s="84"/>
      <c r="C607" s="29"/>
      <c r="D607" s="59"/>
      <c r="E607" s="22"/>
      <c r="F607" s="27"/>
      <c r="G607" s="567"/>
      <c r="H607" s="609">
        <f t="shared" si="166"/>
        <v>0</v>
      </c>
      <c r="I607" s="568"/>
      <c r="J607" s="568"/>
      <c r="K607" s="568"/>
      <c r="L607" s="568"/>
      <c r="M607" s="32"/>
      <c r="N607" s="32"/>
      <c r="O607" s="32"/>
      <c r="P607" s="630"/>
      <c r="Q607" s="609">
        <f t="shared" si="163"/>
        <v>0</v>
      </c>
      <c r="R607" s="568"/>
      <c r="S607" s="568"/>
      <c r="T607" s="568"/>
      <c r="U607" s="568"/>
      <c r="V607" s="32"/>
      <c r="W607" s="32"/>
      <c r="X607" s="32"/>
      <c r="Y607" s="630"/>
      <c r="Z607" s="609">
        <f t="shared" si="164"/>
        <v>0</v>
      </c>
      <c r="AA607" s="568"/>
      <c r="AB607" s="568"/>
      <c r="AC607" s="568"/>
      <c r="AD607" s="568"/>
      <c r="AE607" s="32"/>
      <c r="AF607" s="32"/>
      <c r="AG607" s="32"/>
      <c r="AH607" s="630"/>
      <c r="AI607" s="609">
        <f t="shared" si="165"/>
        <v>0</v>
      </c>
      <c r="AJ607" s="568"/>
      <c r="AK607" s="568"/>
      <c r="AL607" s="568"/>
      <c r="AM607" s="568"/>
      <c r="AN607" s="32"/>
      <c r="AO607" s="32"/>
      <c r="AP607" s="32"/>
      <c r="AQ607" s="630"/>
      <c r="AR607" s="631"/>
      <c r="AS607" s="568"/>
      <c r="AT607" s="568"/>
      <c r="AU607" s="568"/>
      <c r="AV607" s="568"/>
      <c r="AW607" s="32"/>
      <c r="AX607" s="32"/>
      <c r="AY607" s="32"/>
      <c r="AZ607" s="32"/>
      <c r="BA607" s="32"/>
      <c r="BB607" s="568"/>
      <c r="BC607" s="568"/>
      <c r="BD607" s="568"/>
      <c r="BE607" s="32"/>
      <c r="BF607" s="32"/>
      <c r="BG607" s="32"/>
      <c r="BH607" s="32"/>
    </row>
    <row r="608" spans="1:60" x14ac:dyDescent="0.25">
      <c r="A608" s="77"/>
      <c r="B608" s="84"/>
      <c r="C608" s="29"/>
      <c r="D608" s="59"/>
      <c r="E608" s="22"/>
      <c r="F608" s="27"/>
      <c r="G608" s="567"/>
      <c r="H608" s="609">
        <f t="shared" si="166"/>
        <v>0</v>
      </c>
      <c r="I608" s="568"/>
      <c r="J608" s="568"/>
      <c r="K608" s="568"/>
      <c r="L608" s="568"/>
      <c r="M608" s="32"/>
      <c r="N608" s="32"/>
      <c r="O608" s="32"/>
      <c r="P608" s="630"/>
      <c r="Q608" s="609">
        <f t="shared" si="163"/>
        <v>0</v>
      </c>
      <c r="R608" s="568"/>
      <c r="S608" s="568"/>
      <c r="T608" s="568"/>
      <c r="U608" s="568"/>
      <c r="V608" s="32"/>
      <c r="W608" s="32"/>
      <c r="X608" s="32"/>
      <c r="Y608" s="630"/>
      <c r="Z608" s="609">
        <f t="shared" si="164"/>
        <v>0</v>
      </c>
      <c r="AA608" s="568"/>
      <c r="AB608" s="568"/>
      <c r="AC608" s="568"/>
      <c r="AD608" s="568"/>
      <c r="AE608" s="32"/>
      <c r="AF608" s="32"/>
      <c r="AG608" s="32"/>
      <c r="AH608" s="630"/>
      <c r="AI608" s="609">
        <f t="shared" si="165"/>
        <v>0</v>
      </c>
      <c r="AJ608" s="568"/>
      <c r="AK608" s="568"/>
      <c r="AL608" s="568"/>
      <c r="AM608" s="568"/>
      <c r="AN608" s="32"/>
      <c r="AO608" s="32"/>
      <c r="AP608" s="32"/>
      <c r="AQ608" s="630"/>
      <c r="AR608" s="631"/>
      <c r="AS608" s="568"/>
      <c r="AT608" s="568"/>
      <c r="AU608" s="568"/>
      <c r="AV608" s="568"/>
      <c r="AW608" s="32"/>
      <c r="AX608" s="32"/>
      <c r="AY608" s="32"/>
      <c r="AZ608" s="32"/>
      <c r="BA608" s="32"/>
      <c r="BB608" s="568"/>
      <c r="BC608" s="568"/>
      <c r="BD608" s="568"/>
      <c r="BE608" s="32"/>
      <c r="BF608" s="32"/>
      <c r="BG608" s="32"/>
      <c r="BH608" s="32"/>
    </row>
    <row r="609" spans="1:60" x14ac:dyDescent="0.25">
      <c r="A609" s="77"/>
      <c r="B609" s="84"/>
      <c r="C609" s="29"/>
      <c r="D609" s="59"/>
      <c r="E609" s="22"/>
      <c r="F609" s="27"/>
      <c r="G609" s="567"/>
      <c r="H609" s="609">
        <f t="shared" si="166"/>
        <v>0</v>
      </c>
      <c r="I609" s="568"/>
      <c r="J609" s="568"/>
      <c r="K609" s="568"/>
      <c r="L609" s="568"/>
      <c r="M609" s="32"/>
      <c r="N609" s="32"/>
      <c r="O609" s="32"/>
      <c r="P609" s="630"/>
      <c r="Q609" s="609">
        <f t="shared" si="163"/>
        <v>0</v>
      </c>
      <c r="R609" s="568"/>
      <c r="S609" s="568"/>
      <c r="T609" s="568"/>
      <c r="U609" s="568"/>
      <c r="V609" s="32"/>
      <c r="W609" s="32"/>
      <c r="X609" s="32"/>
      <c r="Y609" s="630"/>
      <c r="Z609" s="609">
        <f t="shared" si="164"/>
        <v>0</v>
      </c>
      <c r="AA609" s="568"/>
      <c r="AB609" s="568"/>
      <c r="AC609" s="568"/>
      <c r="AD609" s="568"/>
      <c r="AE609" s="32"/>
      <c r="AF609" s="32"/>
      <c r="AG609" s="32"/>
      <c r="AH609" s="630"/>
      <c r="AI609" s="609">
        <f t="shared" si="165"/>
        <v>0</v>
      </c>
      <c r="AJ609" s="568"/>
      <c r="AK609" s="568"/>
      <c r="AL609" s="568"/>
      <c r="AM609" s="568"/>
      <c r="AN609" s="32"/>
      <c r="AO609" s="32"/>
      <c r="AP609" s="32"/>
      <c r="AQ609" s="630"/>
      <c r="AR609" s="631"/>
      <c r="AS609" s="568"/>
      <c r="AT609" s="568"/>
      <c r="AU609" s="568"/>
      <c r="AV609" s="568"/>
      <c r="AW609" s="32"/>
      <c r="AX609" s="32"/>
      <c r="AY609" s="32"/>
      <c r="AZ609" s="32"/>
      <c r="BA609" s="32"/>
      <c r="BB609" s="568"/>
      <c r="BC609" s="568"/>
      <c r="BD609" s="568"/>
      <c r="BE609" s="32"/>
      <c r="BF609" s="32"/>
      <c r="BG609" s="32"/>
      <c r="BH609" s="32"/>
    </row>
    <row r="610" spans="1:60" x14ac:dyDescent="0.25">
      <c r="A610" s="77"/>
      <c r="B610" s="84"/>
      <c r="C610" s="29"/>
      <c r="D610" s="59"/>
      <c r="E610" s="22"/>
      <c r="F610" s="27"/>
      <c r="G610" s="567"/>
      <c r="H610" s="609">
        <f t="shared" si="166"/>
        <v>0</v>
      </c>
      <c r="I610" s="568"/>
      <c r="J610" s="568"/>
      <c r="K610" s="568"/>
      <c r="L610" s="568"/>
      <c r="M610" s="32"/>
      <c r="N610" s="32"/>
      <c r="O610" s="32"/>
      <c r="P610" s="630"/>
      <c r="Q610" s="609">
        <f t="shared" si="163"/>
        <v>0</v>
      </c>
      <c r="R610" s="568"/>
      <c r="S610" s="568"/>
      <c r="T610" s="568"/>
      <c r="U610" s="568"/>
      <c r="V610" s="32"/>
      <c r="W610" s="32"/>
      <c r="X610" s="32"/>
      <c r="Y610" s="630"/>
      <c r="Z610" s="609">
        <f t="shared" si="164"/>
        <v>0</v>
      </c>
      <c r="AA610" s="568"/>
      <c r="AB610" s="568"/>
      <c r="AC610" s="568"/>
      <c r="AD610" s="568"/>
      <c r="AE610" s="32"/>
      <c r="AF610" s="32"/>
      <c r="AG610" s="32"/>
      <c r="AH610" s="630"/>
      <c r="AI610" s="609">
        <f t="shared" si="165"/>
        <v>0</v>
      </c>
      <c r="AJ610" s="568"/>
      <c r="AK610" s="568"/>
      <c r="AL610" s="568"/>
      <c r="AM610" s="568"/>
      <c r="AN610" s="32"/>
      <c r="AO610" s="32"/>
      <c r="AP610" s="32"/>
      <c r="AQ610" s="630"/>
      <c r="AR610" s="631"/>
      <c r="AS610" s="568"/>
      <c r="AT610" s="568"/>
      <c r="AU610" s="568"/>
      <c r="AV610" s="568"/>
      <c r="AW610" s="32"/>
      <c r="AX610" s="32"/>
      <c r="AY610" s="32"/>
      <c r="AZ610" s="32"/>
      <c r="BA610" s="32"/>
      <c r="BB610" s="568"/>
      <c r="BC610" s="568"/>
      <c r="BD610" s="568"/>
      <c r="BE610" s="32"/>
      <c r="BF610" s="32"/>
      <c r="BG610" s="32"/>
      <c r="BH610" s="32"/>
    </row>
    <row r="611" spans="1:60" x14ac:dyDescent="0.25">
      <c r="A611" s="77"/>
      <c r="B611" s="84"/>
      <c r="C611" s="29"/>
      <c r="D611" s="59"/>
      <c r="E611" s="22"/>
      <c r="F611" s="27"/>
      <c r="G611" s="567"/>
      <c r="H611" s="609">
        <f t="shared" si="166"/>
        <v>0</v>
      </c>
      <c r="I611" s="568"/>
      <c r="J611" s="568"/>
      <c r="K611" s="568"/>
      <c r="L611" s="568"/>
      <c r="M611" s="32"/>
      <c r="N611" s="32"/>
      <c r="O611" s="32"/>
      <c r="P611" s="630"/>
      <c r="Q611" s="609">
        <f t="shared" si="163"/>
        <v>0</v>
      </c>
      <c r="R611" s="568"/>
      <c r="S611" s="568"/>
      <c r="T611" s="568"/>
      <c r="U611" s="568"/>
      <c r="V611" s="32"/>
      <c r="W611" s="32"/>
      <c r="X611" s="32"/>
      <c r="Y611" s="630"/>
      <c r="Z611" s="609">
        <f t="shared" si="164"/>
        <v>0</v>
      </c>
      <c r="AA611" s="568"/>
      <c r="AB611" s="568"/>
      <c r="AC611" s="568"/>
      <c r="AD611" s="568"/>
      <c r="AE611" s="32"/>
      <c r="AF611" s="32"/>
      <c r="AG611" s="32"/>
      <c r="AH611" s="630"/>
      <c r="AI611" s="609">
        <f t="shared" si="165"/>
        <v>0</v>
      </c>
      <c r="AJ611" s="568"/>
      <c r="AK611" s="568"/>
      <c r="AL611" s="568"/>
      <c r="AM611" s="568"/>
      <c r="AN611" s="32"/>
      <c r="AO611" s="32"/>
      <c r="AP611" s="32"/>
      <c r="AQ611" s="630"/>
      <c r="AR611" s="631"/>
      <c r="AS611" s="568"/>
      <c r="AT611" s="568"/>
      <c r="AU611" s="568"/>
      <c r="AV611" s="568"/>
      <c r="AW611" s="32"/>
      <c r="AX611" s="32"/>
      <c r="AY611" s="32"/>
      <c r="AZ611" s="32"/>
      <c r="BA611" s="32"/>
      <c r="BB611" s="568"/>
      <c r="BC611" s="568"/>
      <c r="BD611" s="568"/>
      <c r="BE611" s="32"/>
      <c r="BF611" s="32"/>
      <c r="BG611" s="32"/>
      <c r="BH611" s="32"/>
    </row>
    <row r="612" spans="1:60" x14ac:dyDescent="0.25">
      <c r="A612" s="77"/>
      <c r="B612" s="84"/>
      <c r="C612" s="29"/>
      <c r="D612" s="59"/>
      <c r="E612" s="22"/>
      <c r="F612" s="27"/>
      <c r="G612" s="567"/>
      <c r="H612" s="609">
        <f t="shared" si="166"/>
        <v>0</v>
      </c>
      <c r="I612" s="568"/>
      <c r="J612" s="568"/>
      <c r="K612" s="568"/>
      <c r="L612" s="568"/>
      <c r="M612" s="32"/>
      <c r="N612" s="32"/>
      <c r="O612" s="32"/>
      <c r="P612" s="630"/>
      <c r="Q612" s="609">
        <f t="shared" si="163"/>
        <v>0</v>
      </c>
      <c r="R612" s="568"/>
      <c r="S612" s="568"/>
      <c r="T612" s="568"/>
      <c r="U612" s="568"/>
      <c r="V612" s="32"/>
      <c r="W612" s="32"/>
      <c r="X612" s="32"/>
      <c r="Y612" s="630"/>
      <c r="Z612" s="609">
        <f t="shared" si="164"/>
        <v>0</v>
      </c>
      <c r="AA612" s="568"/>
      <c r="AB612" s="568"/>
      <c r="AC612" s="568"/>
      <c r="AD612" s="568"/>
      <c r="AE612" s="32"/>
      <c r="AF612" s="32"/>
      <c r="AG612" s="32"/>
      <c r="AH612" s="630"/>
      <c r="AI612" s="609">
        <f t="shared" si="165"/>
        <v>0</v>
      </c>
      <c r="AJ612" s="568"/>
      <c r="AK612" s="568"/>
      <c r="AL612" s="568"/>
      <c r="AM612" s="568"/>
      <c r="AN612" s="32"/>
      <c r="AO612" s="32"/>
      <c r="AP612" s="32"/>
      <c r="AQ612" s="630"/>
      <c r="AR612" s="631"/>
      <c r="AS612" s="568"/>
      <c r="AT612" s="568"/>
      <c r="AU612" s="568"/>
      <c r="AV612" s="568"/>
      <c r="AW612" s="32"/>
      <c r="AX612" s="32"/>
      <c r="AY612" s="32"/>
      <c r="AZ612" s="32"/>
      <c r="BA612" s="32"/>
      <c r="BB612" s="568"/>
      <c r="BC612" s="568"/>
      <c r="BD612" s="568"/>
      <c r="BE612" s="32"/>
      <c r="BF612" s="32"/>
      <c r="BG612" s="32"/>
      <c r="BH612" s="32"/>
    </row>
    <row r="613" spans="1:60" x14ac:dyDescent="0.25">
      <c r="A613" s="77"/>
      <c r="B613" s="84"/>
      <c r="C613" s="29"/>
      <c r="D613" s="59"/>
      <c r="E613" s="22"/>
      <c r="F613" s="27"/>
      <c r="G613" s="567"/>
      <c r="H613" s="609">
        <f t="shared" si="166"/>
        <v>0</v>
      </c>
      <c r="I613" s="568"/>
      <c r="J613" s="568"/>
      <c r="K613" s="568"/>
      <c r="L613" s="568"/>
      <c r="M613" s="32"/>
      <c r="N613" s="32"/>
      <c r="O613" s="32"/>
      <c r="P613" s="630"/>
      <c r="Q613" s="609">
        <f t="shared" si="163"/>
        <v>0</v>
      </c>
      <c r="R613" s="568"/>
      <c r="S613" s="568"/>
      <c r="T613" s="568"/>
      <c r="U613" s="568"/>
      <c r="V613" s="32"/>
      <c r="W613" s="32"/>
      <c r="X613" s="32"/>
      <c r="Y613" s="630"/>
      <c r="Z613" s="609">
        <f t="shared" si="164"/>
        <v>0</v>
      </c>
      <c r="AA613" s="568"/>
      <c r="AB613" s="568"/>
      <c r="AC613" s="568"/>
      <c r="AD613" s="568"/>
      <c r="AE613" s="32"/>
      <c r="AF613" s="32"/>
      <c r="AG613" s="32"/>
      <c r="AH613" s="630"/>
      <c r="AI613" s="609">
        <f t="shared" si="165"/>
        <v>0</v>
      </c>
      <c r="AJ613" s="568"/>
      <c r="AK613" s="568"/>
      <c r="AL613" s="568"/>
      <c r="AM613" s="568"/>
      <c r="AN613" s="32"/>
      <c r="AO613" s="32"/>
      <c r="AP613" s="32"/>
      <c r="AQ613" s="630"/>
      <c r="AR613" s="631"/>
      <c r="AS613" s="568"/>
      <c r="AT613" s="568"/>
      <c r="AU613" s="568"/>
      <c r="AV613" s="568"/>
      <c r="AW613" s="32"/>
      <c r="AX613" s="32"/>
      <c r="AY613" s="32"/>
      <c r="AZ613" s="32"/>
      <c r="BA613" s="32"/>
      <c r="BB613" s="568"/>
      <c r="BC613" s="568"/>
      <c r="BD613" s="568"/>
      <c r="BE613" s="32"/>
      <c r="BF613" s="32"/>
      <c r="BG613" s="32"/>
      <c r="BH613" s="32"/>
    </row>
    <row r="614" spans="1:60" x14ac:dyDescent="0.25">
      <c r="A614" s="77"/>
      <c r="B614" s="84"/>
      <c r="C614" s="29"/>
      <c r="D614" s="59"/>
      <c r="E614" s="22"/>
      <c r="F614" s="27"/>
      <c r="G614" s="567"/>
      <c r="H614" s="609">
        <f t="shared" si="166"/>
        <v>0</v>
      </c>
      <c r="I614" s="568"/>
      <c r="J614" s="568"/>
      <c r="K614" s="568"/>
      <c r="L614" s="568"/>
      <c r="M614" s="32"/>
      <c r="N614" s="32"/>
      <c r="O614" s="32"/>
      <c r="P614" s="630"/>
      <c r="Q614" s="609">
        <f t="shared" ref="Q614:Q677" si="167">AM614</f>
        <v>0</v>
      </c>
      <c r="R614" s="568"/>
      <c r="S614" s="568"/>
      <c r="T614" s="568"/>
      <c r="U614" s="568"/>
      <c r="V614" s="32"/>
      <c r="W614" s="32"/>
      <c r="X614" s="32"/>
      <c r="Y614" s="630"/>
      <c r="Z614" s="609">
        <f t="shared" ref="Z614:Z677" si="168">AM614</f>
        <v>0</v>
      </c>
      <c r="AA614" s="568"/>
      <c r="AB614" s="568"/>
      <c r="AC614" s="568"/>
      <c r="AD614" s="568"/>
      <c r="AE614" s="32"/>
      <c r="AF614" s="32"/>
      <c r="AG614" s="32"/>
      <c r="AH614" s="630"/>
      <c r="AI614" s="609">
        <f t="shared" ref="AI614:AI677" si="169">AV614</f>
        <v>0</v>
      </c>
      <c r="AJ614" s="568"/>
      <c r="AK614" s="568"/>
      <c r="AL614" s="568"/>
      <c r="AM614" s="568"/>
      <c r="AN614" s="32"/>
      <c r="AO614" s="32"/>
      <c r="AP614" s="32"/>
      <c r="AQ614" s="630"/>
      <c r="AR614" s="631"/>
      <c r="AS614" s="568"/>
      <c r="AT614" s="568"/>
      <c r="AU614" s="568"/>
      <c r="AV614" s="568"/>
      <c r="AW614" s="32"/>
      <c r="AX614" s="32"/>
      <c r="AY614" s="32"/>
      <c r="AZ614" s="32"/>
      <c r="BA614" s="32"/>
      <c r="BB614" s="568"/>
      <c r="BC614" s="568"/>
      <c r="BD614" s="568"/>
      <c r="BE614" s="32"/>
      <c r="BF614" s="32"/>
      <c r="BG614" s="32"/>
      <c r="BH614" s="32"/>
    </row>
    <row r="615" spans="1:60" x14ac:dyDescent="0.25">
      <c r="A615" s="77"/>
      <c r="B615" s="84"/>
      <c r="C615" s="29"/>
      <c r="D615" s="59"/>
      <c r="E615" s="22"/>
      <c r="F615" s="27"/>
      <c r="G615" s="567"/>
      <c r="H615" s="609">
        <f t="shared" si="166"/>
        <v>0</v>
      </c>
      <c r="I615" s="568"/>
      <c r="J615" s="568"/>
      <c r="K615" s="568"/>
      <c r="L615" s="568"/>
      <c r="M615" s="32"/>
      <c r="N615" s="32"/>
      <c r="O615" s="32"/>
      <c r="P615" s="630"/>
      <c r="Q615" s="609">
        <f t="shared" si="167"/>
        <v>0</v>
      </c>
      <c r="R615" s="568"/>
      <c r="S615" s="568"/>
      <c r="T615" s="568"/>
      <c r="U615" s="568"/>
      <c r="V615" s="32"/>
      <c r="W615" s="32"/>
      <c r="X615" s="32"/>
      <c r="Y615" s="630"/>
      <c r="Z615" s="609">
        <f t="shared" si="168"/>
        <v>0</v>
      </c>
      <c r="AA615" s="568"/>
      <c r="AB615" s="568"/>
      <c r="AC615" s="568"/>
      <c r="AD615" s="568"/>
      <c r="AE615" s="32"/>
      <c r="AF615" s="32"/>
      <c r="AG615" s="32"/>
      <c r="AH615" s="630"/>
      <c r="AI615" s="609">
        <f t="shared" si="169"/>
        <v>0</v>
      </c>
      <c r="AJ615" s="568"/>
      <c r="AK615" s="568"/>
      <c r="AL615" s="568"/>
      <c r="AM615" s="568"/>
      <c r="AN615" s="32"/>
      <c r="AO615" s="32"/>
      <c r="AP615" s="32"/>
      <c r="AQ615" s="630"/>
      <c r="AR615" s="631"/>
      <c r="AS615" s="568"/>
      <c r="AT615" s="568"/>
      <c r="AU615" s="568"/>
      <c r="AV615" s="568"/>
      <c r="AW615" s="32"/>
      <c r="AX615" s="32"/>
      <c r="AY615" s="32"/>
      <c r="AZ615" s="32"/>
      <c r="BA615" s="32"/>
      <c r="BB615" s="568"/>
      <c r="BC615" s="568"/>
      <c r="BD615" s="568"/>
      <c r="BE615" s="32"/>
      <c r="BF615" s="32"/>
      <c r="BG615" s="32"/>
      <c r="BH615" s="32"/>
    </row>
    <row r="616" spans="1:60" x14ac:dyDescent="0.25">
      <c r="A616" s="77"/>
      <c r="B616" s="84"/>
      <c r="C616" s="29"/>
      <c r="D616" s="59"/>
      <c r="E616" s="22"/>
      <c r="F616" s="27"/>
      <c r="G616" s="567"/>
      <c r="H616" s="609">
        <f t="shared" si="166"/>
        <v>0</v>
      </c>
      <c r="I616" s="568"/>
      <c r="J616" s="568"/>
      <c r="K616" s="568"/>
      <c r="L616" s="568"/>
      <c r="M616" s="32"/>
      <c r="N616" s="32"/>
      <c r="O616" s="32"/>
      <c r="P616" s="630"/>
      <c r="Q616" s="609">
        <f t="shared" si="167"/>
        <v>0</v>
      </c>
      <c r="R616" s="568"/>
      <c r="S616" s="568"/>
      <c r="T616" s="568"/>
      <c r="U616" s="568"/>
      <c r="V616" s="32"/>
      <c r="W616" s="32"/>
      <c r="X616" s="32"/>
      <c r="Y616" s="630"/>
      <c r="Z616" s="609">
        <f t="shared" si="168"/>
        <v>0</v>
      </c>
      <c r="AA616" s="568"/>
      <c r="AB616" s="568"/>
      <c r="AC616" s="568"/>
      <c r="AD616" s="568"/>
      <c r="AE616" s="32"/>
      <c r="AF616" s="32"/>
      <c r="AG616" s="32"/>
      <c r="AH616" s="630"/>
      <c r="AI616" s="609">
        <f t="shared" si="169"/>
        <v>0</v>
      </c>
      <c r="AJ616" s="568"/>
      <c r="AK616" s="568"/>
      <c r="AL616" s="568"/>
      <c r="AM616" s="568"/>
      <c r="AN616" s="32"/>
      <c r="AO616" s="32"/>
      <c r="AP616" s="32"/>
      <c r="AQ616" s="630"/>
      <c r="AR616" s="631"/>
      <c r="AS616" s="568"/>
      <c r="AT616" s="568"/>
      <c r="AU616" s="568"/>
      <c r="AV616" s="568"/>
      <c r="AW616" s="32"/>
      <c r="AX616" s="32"/>
      <c r="AY616" s="32"/>
      <c r="AZ616" s="32"/>
      <c r="BA616" s="32"/>
      <c r="BB616" s="568"/>
      <c r="BC616" s="568"/>
      <c r="BD616" s="568"/>
      <c r="BE616" s="32"/>
      <c r="BF616" s="32"/>
      <c r="BG616" s="32"/>
      <c r="BH616" s="32"/>
    </row>
    <row r="617" spans="1:60" x14ac:dyDescent="0.25">
      <c r="A617" s="77"/>
      <c r="B617" s="84"/>
      <c r="C617" s="29"/>
      <c r="D617" s="59"/>
      <c r="E617" s="22"/>
      <c r="F617" s="27"/>
      <c r="G617" s="567"/>
      <c r="H617" s="609">
        <f t="shared" si="166"/>
        <v>0</v>
      </c>
      <c r="I617" s="568"/>
      <c r="J617" s="568"/>
      <c r="K617" s="568"/>
      <c r="L617" s="568"/>
      <c r="M617" s="32"/>
      <c r="N617" s="32"/>
      <c r="O617" s="32"/>
      <c r="P617" s="630"/>
      <c r="Q617" s="609">
        <f t="shared" si="167"/>
        <v>0</v>
      </c>
      <c r="R617" s="568"/>
      <c r="S617" s="568"/>
      <c r="T617" s="568"/>
      <c r="U617" s="568"/>
      <c r="V617" s="32"/>
      <c r="W617" s="32"/>
      <c r="X617" s="32"/>
      <c r="Y617" s="630"/>
      <c r="Z617" s="609">
        <f t="shared" si="168"/>
        <v>0</v>
      </c>
      <c r="AA617" s="568"/>
      <c r="AB617" s="568"/>
      <c r="AC617" s="568"/>
      <c r="AD617" s="568"/>
      <c r="AE617" s="32"/>
      <c r="AF617" s="32"/>
      <c r="AG617" s="32"/>
      <c r="AH617" s="630"/>
      <c r="AI617" s="609">
        <f t="shared" si="169"/>
        <v>0</v>
      </c>
      <c r="AJ617" s="568"/>
      <c r="AK617" s="568"/>
      <c r="AL617" s="568"/>
      <c r="AM617" s="568"/>
      <c r="AN617" s="32"/>
      <c r="AO617" s="32"/>
      <c r="AP617" s="32"/>
      <c r="AQ617" s="630"/>
      <c r="AR617" s="631"/>
      <c r="AS617" s="568"/>
      <c r="AT617" s="568"/>
      <c r="AU617" s="568"/>
      <c r="AV617" s="568"/>
      <c r="AW617" s="32"/>
      <c r="AX617" s="32"/>
      <c r="AY617" s="32"/>
      <c r="AZ617" s="32"/>
      <c r="BA617" s="32"/>
      <c r="BB617" s="568"/>
      <c r="BC617" s="568"/>
      <c r="BD617" s="568"/>
      <c r="BE617" s="32"/>
      <c r="BF617" s="32"/>
      <c r="BG617" s="32"/>
      <c r="BH617" s="32"/>
    </row>
    <row r="618" spans="1:60" x14ac:dyDescent="0.25">
      <c r="A618" s="77"/>
      <c r="B618" s="84"/>
      <c r="C618" s="29"/>
      <c r="D618" s="59"/>
      <c r="E618" s="22"/>
      <c r="F618" s="27"/>
      <c r="G618" s="567"/>
      <c r="H618" s="609">
        <f t="shared" si="166"/>
        <v>0</v>
      </c>
      <c r="I618" s="568"/>
      <c r="J618" s="568"/>
      <c r="K618" s="568"/>
      <c r="L618" s="568"/>
      <c r="M618" s="32"/>
      <c r="N618" s="32"/>
      <c r="O618" s="32"/>
      <c r="P618" s="630"/>
      <c r="Q618" s="609">
        <f t="shared" si="167"/>
        <v>0</v>
      </c>
      <c r="R618" s="568"/>
      <c r="S618" s="568"/>
      <c r="T618" s="568"/>
      <c r="U618" s="568"/>
      <c r="V618" s="32"/>
      <c r="W618" s="32"/>
      <c r="X618" s="32"/>
      <c r="Y618" s="630"/>
      <c r="Z618" s="609">
        <f t="shared" si="168"/>
        <v>0</v>
      </c>
      <c r="AA618" s="568"/>
      <c r="AB618" s="568"/>
      <c r="AC618" s="568"/>
      <c r="AD618" s="568"/>
      <c r="AE618" s="32"/>
      <c r="AF618" s="32"/>
      <c r="AG618" s="32"/>
      <c r="AH618" s="630"/>
      <c r="AI618" s="609">
        <f t="shared" si="169"/>
        <v>0</v>
      </c>
      <c r="AJ618" s="568"/>
      <c r="AK618" s="568"/>
      <c r="AL618" s="568"/>
      <c r="AM618" s="568"/>
      <c r="AN618" s="32"/>
      <c r="AO618" s="32"/>
      <c r="AP618" s="32"/>
      <c r="AQ618" s="630"/>
      <c r="AR618" s="631"/>
      <c r="AS618" s="568"/>
      <c r="AT618" s="568"/>
      <c r="AU618" s="568"/>
      <c r="AV618" s="568"/>
      <c r="AW618" s="32"/>
      <c r="AX618" s="32"/>
      <c r="AY618" s="32"/>
      <c r="AZ618" s="32"/>
      <c r="BA618" s="32"/>
      <c r="BB618" s="568"/>
      <c r="BC618" s="568"/>
      <c r="BD618" s="568"/>
      <c r="BE618" s="32"/>
      <c r="BF618" s="32"/>
      <c r="BG618" s="32"/>
      <c r="BH618" s="32"/>
    </row>
    <row r="619" spans="1:60" x14ac:dyDescent="0.25">
      <c r="A619" s="77"/>
      <c r="B619" s="84"/>
      <c r="C619" s="29"/>
      <c r="D619" s="59"/>
      <c r="E619" s="22"/>
      <c r="F619" s="27"/>
      <c r="G619" s="567"/>
      <c r="H619" s="609">
        <f t="shared" si="166"/>
        <v>0</v>
      </c>
      <c r="I619" s="568"/>
      <c r="J619" s="568"/>
      <c r="K619" s="568"/>
      <c r="L619" s="568"/>
      <c r="M619" s="32"/>
      <c r="N619" s="32"/>
      <c r="O619" s="32"/>
      <c r="P619" s="630"/>
      <c r="Q619" s="609">
        <f t="shared" si="167"/>
        <v>0</v>
      </c>
      <c r="R619" s="568"/>
      <c r="S619" s="568"/>
      <c r="T619" s="568"/>
      <c r="U619" s="568"/>
      <c r="V619" s="32"/>
      <c r="W619" s="32"/>
      <c r="X619" s="32"/>
      <c r="Y619" s="630"/>
      <c r="Z619" s="609">
        <f t="shared" si="168"/>
        <v>0</v>
      </c>
      <c r="AA619" s="568"/>
      <c r="AB619" s="568"/>
      <c r="AC619" s="568"/>
      <c r="AD619" s="568"/>
      <c r="AE619" s="32"/>
      <c r="AF619" s="32"/>
      <c r="AG619" s="32"/>
      <c r="AH619" s="630"/>
      <c r="AI619" s="609">
        <f t="shared" si="169"/>
        <v>0</v>
      </c>
      <c r="AJ619" s="568"/>
      <c r="AK619" s="568"/>
      <c r="AL619" s="568"/>
      <c r="AM619" s="568"/>
      <c r="AN619" s="32"/>
      <c r="AO619" s="32"/>
      <c r="AP619" s="32"/>
      <c r="AQ619" s="630"/>
      <c r="AR619" s="631"/>
      <c r="AS619" s="568"/>
      <c r="AT619" s="568"/>
      <c r="AU619" s="568"/>
      <c r="AV619" s="568"/>
      <c r="AW619" s="32"/>
      <c r="AX619" s="32"/>
      <c r="AY619" s="32"/>
      <c r="AZ619" s="32"/>
      <c r="BA619" s="32"/>
      <c r="BB619" s="568"/>
      <c r="BC619" s="568"/>
      <c r="BD619" s="568"/>
      <c r="BE619" s="32"/>
      <c r="BF619" s="32"/>
      <c r="BG619" s="32"/>
      <c r="BH619" s="32"/>
    </row>
    <row r="620" spans="1:60" x14ac:dyDescent="0.25">
      <c r="A620" s="77"/>
      <c r="B620" s="84"/>
      <c r="C620" s="29"/>
      <c r="D620" s="59"/>
      <c r="E620" s="22"/>
      <c r="F620" s="27"/>
      <c r="G620" s="567"/>
      <c r="H620" s="609">
        <f t="shared" si="166"/>
        <v>0</v>
      </c>
      <c r="I620" s="568"/>
      <c r="J620" s="568"/>
      <c r="K620" s="568"/>
      <c r="L620" s="568"/>
      <c r="M620" s="32"/>
      <c r="N620" s="32"/>
      <c r="O620" s="32"/>
      <c r="P620" s="630"/>
      <c r="Q620" s="609">
        <f t="shared" si="167"/>
        <v>0</v>
      </c>
      <c r="R620" s="568"/>
      <c r="S620" s="568"/>
      <c r="T620" s="568"/>
      <c r="U620" s="568"/>
      <c r="V620" s="32"/>
      <c r="W620" s="32"/>
      <c r="X620" s="32"/>
      <c r="Y620" s="630"/>
      <c r="Z620" s="609">
        <f t="shared" si="168"/>
        <v>0</v>
      </c>
      <c r="AA620" s="568"/>
      <c r="AB620" s="568"/>
      <c r="AC620" s="568"/>
      <c r="AD620" s="568"/>
      <c r="AE620" s="32"/>
      <c r="AF620" s="32"/>
      <c r="AG620" s="32"/>
      <c r="AH620" s="630"/>
      <c r="AI620" s="609">
        <f t="shared" si="169"/>
        <v>0</v>
      </c>
      <c r="AJ620" s="568"/>
      <c r="AK620" s="568"/>
      <c r="AL620" s="568"/>
      <c r="AM620" s="568"/>
      <c r="AN620" s="32"/>
      <c r="AO620" s="32"/>
      <c r="AP620" s="32"/>
      <c r="AQ620" s="630"/>
      <c r="AR620" s="631"/>
      <c r="AS620" s="568"/>
      <c r="AT620" s="568"/>
      <c r="AU620" s="568"/>
      <c r="AV620" s="568"/>
      <c r="AW620" s="32"/>
      <c r="AX620" s="32"/>
      <c r="AY620" s="32"/>
      <c r="AZ620" s="32"/>
      <c r="BA620" s="32"/>
      <c r="BB620" s="568"/>
      <c r="BC620" s="568"/>
      <c r="BD620" s="568"/>
      <c r="BE620" s="32"/>
      <c r="BF620" s="32"/>
      <c r="BG620" s="32"/>
      <c r="BH620" s="32"/>
    </row>
    <row r="621" spans="1:60" x14ac:dyDescent="0.25">
      <c r="A621" s="77"/>
      <c r="B621" s="84"/>
      <c r="C621" s="29"/>
      <c r="D621" s="59"/>
      <c r="E621" s="22"/>
      <c r="F621" s="27"/>
      <c r="G621" s="567"/>
      <c r="H621" s="609">
        <f t="shared" si="166"/>
        <v>0</v>
      </c>
      <c r="I621" s="568"/>
      <c r="J621" s="568"/>
      <c r="K621" s="568"/>
      <c r="L621" s="568"/>
      <c r="M621" s="32"/>
      <c r="N621" s="32"/>
      <c r="O621" s="32"/>
      <c r="P621" s="630"/>
      <c r="Q621" s="609">
        <f t="shared" si="167"/>
        <v>0</v>
      </c>
      <c r="R621" s="568"/>
      <c r="S621" s="568"/>
      <c r="T621" s="568"/>
      <c r="U621" s="568"/>
      <c r="V621" s="32"/>
      <c r="W621" s="32"/>
      <c r="X621" s="32"/>
      <c r="Y621" s="630"/>
      <c r="Z621" s="609">
        <f t="shared" si="168"/>
        <v>0</v>
      </c>
      <c r="AA621" s="568"/>
      <c r="AB621" s="568"/>
      <c r="AC621" s="568"/>
      <c r="AD621" s="568"/>
      <c r="AE621" s="32"/>
      <c r="AF621" s="32"/>
      <c r="AG621" s="32"/>
      <c r="AH621" s="630"/>
      <c r="AI621" s="609">
        <f t="shared" si="169"/>
        <v>0</v>
      </c>
      <c r="AJ621" s="568"/>
      <c r="AK621" s="568"/>
      <c r="AL621" s="568"/>
      <c r="AM621" s="568"/>
      <c r="AN621" s="32"/>
      <c r="AO621" s="32"/>
      <c r="AP621" s="32"/>
      <c r="AQ621" s="630"/>
      <c r="AR621" s="631"/>
      <c r="AS621" s="568"/>
      <c r="AT621" s="568"/>
      <c r="AU621" s="568"/>
      <c r="AV621" s="568"/>
      <c r="AW621" s="32"/>
      <c r="AX621" s="32"/>
      <c r="AY621" s="32"/>
      <c r="AZ621" s="32"/>
      <c r="BA621" s="32"/>
      <c r="BB621" s="568"/>
      <c r="BC621" s="568"/>
      <c r="BD621" s="568"/>
      <c r="BE621" s="32"/>
      <c r="BF621" s="32"/>
      <c r="BG621" s="32"/>
      <c r="BH621" s="32"/>
    </row>
    <row r="622" spans="1:60" x14ac:dyDescent="0.25">
      <c r="A622" s="77"/>
      <c r="B622" s="84"/>
      <c r="C622" s="29"/>
      <c r="D622" s="59"/>
      <c r="E622" s="22"/>
      <c r="F622" s="27"/>
      <c r="G622" s="567"/>
      <c r="H622" s="609">
        <f t="shared" si="166"/>
        <v>0</v>
      </c>
      <c r="I622" s="568"/>
      <c r="J622" s="568"/>
      <c r="K622" s="568"/>
      <c r="L622" s="568"/>
      <c r="M622" s="32"/>
      <c r="N622" s="32"/>
      <c r="O622" s="32"/>
      <c r="P622" s="630"/>
      <c r="Q622" s="609">
        <f t="shared" si="167"/>
        <v>0</v>
      </c>
      <c r="R622" s="568"/>
      <c r="S622" s="568"/>
      <c r="T622" s="568"/>
      <c r="U622" s="568"/>
      <c r="V622" s="32"/>
      <c r="W622" s="32"/>
      <c r="X622" s="32"/>
      <c r="Y622" s="630"/>
      <c r="Z622" s="609">
        <f t="shared" si="168"/>
        <v>0</v>
      </c>
      <c r="AA622" s="568"/>
      <c r="AB622" s="568"/>
      <c r="AC622" s="568"/>
      <c r="AD622" s="568"/>
      <c r="AE622" s="32"/>
      <c r="AF622" s="32"/>
      <c r="AG622" s="32"/>
      <c r="AH622" s="630"/>
      <c r="AI622" s="609">
        <f t="shared" si="169"/>
        <v>0</v>
      </c>
      <c r="AJ622" s="568"/>
      <c r="AK622" s="568"/>
      <c r="AL622" s="568"/>
      <c r="AM622" s="568"/>
      <c r="AN622" s="32"/>
      <c r="AO622" s="32"/>
      <c r="AP622" s="32"/>
      <c r="AQ622" s="630"/>
      <c r="AR622" s="631"/>
      <c r="AS622" s="568"/>
      <c r="AT622" s="568"/>
      <c r="AU622" s="568"/>
      <c r="AV622" s="568"/>
      <c r="AW622" s="32"/>
      <c r="AX622" s="32"/>
      <c r="AY622" s="32"/>
      <c r="AZ622" s="32"/>
      <c r="BA622" s="32"/>
      <c r="BB622" s="568"/>
      <c r="BC622" s="568"/>
      <c r="BD622" s="568"/>
      <c r="BE622" s="32"/>
      <c r="BF622" s="32"/>
      <c r="BG622" s="32"/>
      <c r="BH622" s="32"/>
    </row>
    <row r="623" spans="1:60" x14ac:dyDescent="0.25">
      <c r="A623" s="77"/>
      <c r="B623" s="84"/>
      <c r="C623" s="29"/>
      <c r="D623" s="59"/>
      <c r="E623" s="22"/>
      <c r="F623" s="27"/>
      <c r="G623" s="567"/>
      <c r="H623" s="609">
        <f t="shared" si="166"/>
        <v>0</v>
      </c>
      <c r="I623" s="568"/>
      <c r="J623" s="568"/>
      <c r="K623" s="568"/>
      <c r="L623" s="568"/>
      <c r="M623" s="32"/>
      <c r="N623" s="32"/>
      <c r="O623" s="32"/>
      <c r="P623" s="630"/>
      <c r="Q623" s="609">
        <f t="shared" si="167"/>
        <v>0</v>
      </c>
      <c r="R623" s="568"/>
      <c r="S623" s="568"/>
      <c r="T623" s="568"/>
      <c r="U623" s="568"/>
      <c r="V623" s="32"/>
      <c r="W623" s="32"/>
      <c r="X623" s="32"/>
      <c r="Y623" s="630"/>
      <c r="Z623" s="609">
        <f t="shared" si="168"/>
        <v>0</v>
      </c>
      <c r="AA623" s="568"/>
      <c r="AB623" s="568"/>
      <c r="AC623" s="568"/>
      <c r="AD623" s="568"/>
      <c r="AE623" s="32"/>
      <c r="AF623" s="32"/>
      <c r="AG623" s="32"/>
      <c r="AH623" s="630"/>
      <c r="AI623" s="609">
        <f t="shared" si="169"/>
        <v>0</v>
      </c>
      <c r="AJ623" s="568"/>
      <c r="AK623" s="568"/>
      <c r="AL623" s="568"/>
      <c r="AM623" s="568"/>
      <c r="AN623" s="32"/>
      <c r="AO623" s="32"/>
      <c r="AP623" s="32"/>
      <c r="AQ623" s="630"/>
      <c r="AR623" s="631"/>
      <c r="AS623" s="568"/>
      <c r="AT623" s="568"/>
      <c r="AU623" s="568"/>
      <c r="AV623" s="568"/>
      <c r="AW623" s="32"/>
      <c r="AX623" s="32"/>
      <c r="AY623" s="32"/>
      <c r="AZ623" s="32"/>
      <c r="BA623" s="32"/>
      <c r="BB623" s="568"/>
      <c r="BC623" s="568"/>
      <c r="BD623" s="568"/>
      <c r="BE623" s="32"/>
      <c r="BF623" s="32"/>
      <c r="BG623" s="32"/>
      <c r="BH623" s="32"/>
    </row>
    <row r="624" spans="1:60" x14ac:dyDescent="0.25">
      <c r="A624" s="77"/>
      <c r="B624" s="84"/>
      <c r="C624" s="29"/>
      <c r="D624" s="59"/>
      <c r="E624" s="22"/>
      <c r="F624" s="27"/>
      <c r="G624" s="567"/>
      <c r="H624" s="609">
        <f t="shared" si="166"/>
        <v>0</v>
      </c>
      <c r="I624" s="568"/>
      <c r="J624" s="568"/>
      <c r="K624" s="568"/>
      <c r="L624" s="568"/>
      <c r="M624" s="32"/>
      <c r="N624" s="32"/>
      <c r="O624" s="32"/>
      <c r="P624" s="630"/>
      <c r="Q624" s="609">
        <f t="shared" si="167"/>
        <v>0</v>
      </c>
      <c r="R624" s="568"/>
      <c r="S624" s="568"/>
      <c r="T624" s="568"/>
      <c r="U624" s="568"/>
      <c r="V624" s="32"/>
      <c r="W624" s="32"/>
      <c r="X624" s="32"/>
      <c r="Y624" s="630"/>
      <c r="Z624" s="609">
        <f t="shared" si="168"/>
        <v>0</v>
      </c>
      <c r="AA624" s="568"/>
      <c r="AB624" s="568"/>
      <c r="AC624" s="568"/>
      <c r="AD624" s="568"/>
      <c r="AE624" s="32"/>
      <c r="AF624" s="32"/>
      <c r="AG624" s="32"/>
      <c r="AH624" s="630"/>
      <c r="AI624" s="609">
        <f t="shared" si="169"/>
        <v>0</v>
      </c>
      <c r="AJ624" s="568"/>
      <c r="AK624" s="568"/>
      <c r="AL624" s="568"/>
      <c r="AM624" s="568"/>
      <c r="AN624" s="32"/>
      <c r="AO624" s="32"/>
      <c r="AP624" s="32"/>
      <c r="AQ624" s="630"/>
      <c r="AR624" s="631"/>
      <c r="AS624" s="568"/>
      <c r="AT624" s="568"/>
      <c r="AU624" s="568"/>
      <c r="AV624" s="568"/>
      <c r="AW624" s="32"/>
      <c r="AX624" s="32"/>
      <c r="AY624" s="32"/>
      <c r="AZ624" s="32"/>
      <c r="BA624" s="32"/>
      <c r="BB624" s="568"/>
      <c r="BC624" s="568"/>
      <c r="BD624" s="568"/>
      <c r="BE624" s="32"/>
      <c r="BF624" s="32"/>
      <c r="BG624" s="32"/>
      <c r="BH624" s="32"/>
    </row>
    <row r="625" spans="1:60" x14ac:dyDescent="0.25">
      <c r="A625" s="77"/>
      <c r="B625" s="84"/>
      <c r="C625" s="29"/>
      <c r="D625" s="59"/>
      <c r="E625" s="22"/>
      <c r="F625" s="27"/>
      <c r="G625" s="567"/>
      <c r="H625" s="609">
        <f t="shared" si="166"/>
        <v>0</v>
      </c>
      <c r="I625" s="568"/>
      <c r="J625" s="568"/>
      <c r="K625" s="568"/>
      <c r="L625" s="568"/>
      <c r="M625" s="32"/>
      <c r="N625" s="32"/>
      <c r="O625" s="32"/>
      <c r="P625" s="630"/>
      <c r="Q625" s="609">
        <f t="shared" si="167"/>
        <v>0</v>
      </c>
      <c r="R625" s="568"/>
      <c r="S625" s="568"/>
      <c r="T625" s="568"/>
      <c r="U625" s="568"/>
      <c r="V625" s="32"/>
      <c r="W625" s="32"/>
      <c r="X625" s="32"/>
      <c r="Y625" s="630"/>
      <c r="Z625" s="609">
        <f t="shared" si="168"/>
        <v>0</v>
      </c>
      <c r="AA625" s="568"/>
      <c r="AB625" s="568"/>
      <c r="AC625" s="568"/>
      <c r="AD625" s="568"/>
      <c r="AE625" s="32"/>
      <c r="AF625" s="32"/>
      <c r="AG625" s="32"/>
      <c r="AH625" s="630"/>
      <c r="AI625" s="609">
        <f t="shared" si="169"/>
        <v>0</v>
      </c>
      <c r="AJ625" s="568"/>
      <c r="AK625" s="568"/>
      <c r="AL625" s="568"/>
      <c r="AM625" s="568"/>
      <c r="AN625" s="32"/>
      <c r="AO625" s="32"/>
      <c r="AP625" s="32"/>
      <c r="AQ625" s="630"/>
      <c r="AR625" s="631"/>
      <c r="AS625" s="568"/>
      <c r="AT625" s="568"/>
      <c r="AU625" s="568"/>
      <c r="AV625" s="568"/>
      <c r="AW625" s="32"/>
      <c r="AX625" s="32"/>
      <c r="AY625" s="32"/>
      <c r="AZ625" s="32"/>
      <c r="BA625" s="32"/>
      <c r="BB625" s="568"/>
      <c r="BC625" s="568"/>
      <c r="BD625" s="568"/>
      <c r="BE625" s="32"/>
      <c r="BF625" s="32"/>
      <c r="BG625" s="32"/>
      <c r="BH625" s="32"/>
    </row>
    <row r="626" spans="1:60" x14ac:dyDescent="0.25">
      <c r="A626" s="77"/>
      <c r="B626" s="84"/>
      <c r="C626" s="29"/>
      <c r="D626" s="59"/>
      <c r="E626" s="22"/>
      <c r="F626" s="27"/>
      <c r="G626" s="567"/>
      <c r="H626" s="609">
        <f t="shared" si="166"/>
        <v>0</v>
      </c>
      <c r="I626" s="568"/>
      <c r="J626" s="568"/>
      <c r="K626" s="568"/>
      <c r="L626" s="568"/>
      <c r="M626" s="32"/>
      <c r="N626" s="32"/>
      <c r="O626" s="32"/>
      <c r="P626" s="630"/>
      <c r="Q626" s="609">
        <f t="shared" si="167"/>
        <v>0</v>
      </c>
      <c r="R626" s="568"/>
      <c r="S626" s="568"/>
      <c r="T626" s="568"/>
      <c r="U626" s="568"/>
      <c r="V626" s="32"/>
      <c r="W626" s="32"/>
      <c r="X626" s="32"/>
      <c r="Y626" s="630"/>
      <c r="Z626" s="609">
        <f t="shared" si="168"/>
        <v>0</v>
      </c>
      <c r="AA626" s="568"/>
      <c r="AB626" s="568"/>
      <c r="AC626" s="568"/>
      <c r="AD626" s="568"/>
      <c r="AE626" s="32"/>
      <c r="AF626" s="32"/>
      <c r="AG626" s="32"/>
      <c r="AH626" s="630"/>
      <c r="AI626" s="609">
        <f t="shared" si="169"/>
        <v>0</v>
      </c>
      <c r="AJ626" s="568"/>
      <c r="AK626" s="568"/>
      <c r="AL626" s="568"/>
      <c r="AM626" s="568"/>
      <c r="AN626" s="32"/>
      <c r="AO626" s="32"/>
      <c r="AP626" s="32"/>
      <c r="AQ626" s="630"/>
      <c r="AR626" s="631"/>
      <c r="AS626" s="568"/>
      <c r="AT626" s="568"/>
      <c r="AU626" s="568"/>
      <c r="AV626" s="568"/>
      <c r="AW626" s="32"/>
      <c r="AX626" s="32"/>
      <c r="AY626" s="32"/>
      <c r="AZ626" s="32"/>
      <c r="BA626" s="32"/>
      <c r="BB626" s="568"/>
      <c r="BC626" s="568"/>
      <c r="BD626" s="568"/>
      <c r="BE626" s="32"/>
      <c r="BF626" s="32"/>
      <c r="BG626" s="32"/>
      <c r="BH626" s="32"/>
    </row>
    <row r="627" spans="1:60" x14ac:dyDescent="0.25">
      <c r="A627" s="77"/>
      <c r="B627" s="84"/>
      <c r="C627" s="29"/>
      <c r="D627" s="59"/>
      <c r="E627" s="22"/>
      <c r="F627" s="27"/>
      <c r="G627" s="567"/>
      <c r="H627" s="609">
        <f t="shared" si="166"/>
        <v>0</v>
      </c>
      <c r="I627" s="568"/>
      <c r="J627" s="568"/>
      <c r="K627" s="568"/>
      <c r="L627" s="568"/>
      <c r="M627" s="32"/>
      <c r="N627" s="32"/>
      <c r="O627" s="32"/>
      <c r="P627" s="630"/>
      <c r="Q627" s="609">
        <f t="shared" si="167"/>
        <v>0</v>
      </c>
      <c r="R627" s="568"/>
      <c r="S627" s="568"/>
      <c r="T627" s="568"/>
      <c r="U627" s="568"/>
      <c r="V627" s="32"/>
      <c r="W627" s="32"/>
      <c r="X627" s="32"/>
      <c r="Y627" s="630"/>
      <c r="Z627" s="609">
        <f t="shared" si="168"/>
        <v>0</v>
      </c>
      <c r="AA627" s="568"/>
      <c r="AB627" s="568"/>
      <c r="AC627" s="568"/>
      <c r="AD627" s="568"/>
      <c r="AE627" s="32"/>
      <c r="AF627" s="32"/>
      <c r="AG627" s="32"/>
      <c r="AH627" s="630"/>
      <c r="AI627" s="609">
        <f t="shared" si="169"/>
        <v>0</v>
      </c>
      <c r="AJ627" s="568"/>
      <c r="AK627" s="568"/>
      <c r="AL627" s="568"/>
      <c r="AM627" s="568"/>
      <c r="AN627" s="32"/>
      <c r="AO627" s="32"/>
      <c r="AP627" s="32"/>
      <c r="AQ627" s="630"/>
      <c r="AR627" s="631"/>
      <c r="AS627" s="568"/>
      <c r="AT627" s="568"/>
      <c r="AU627" s="568"/>
      <c r="AV627" s="568"/>
      <c r="AW627" s="32"/>
      <c r="AX627" s="32"/>
      <c r="AY627" s="32"/>
      <c r="AZ627" s="32"/>
      <c r="BA627" s="32"/>
      <c r="BB627" s="568"/>
      <c r="BC627" s="568"/>
      <c r="BD627" s="568"/>
      <c r="BE627" s="32"/>
      <c r="BF627" s="32"/>
      <c r="BG627" s="32"/>
      <c r="BH627" s="32"/>
    </row>
    <row r="628" spans="1:60" x14ac:dyDescent="0.25">
      <c r="A628" s="77"/>
      <c r="B628" s="84"/>
      <c r="C628" s="29"/>
      <c r="D628" s="59"/>
      <c r="E628" s="22"/>
      <c r="F628" s="27"/>
      <c r="G628" s="567"/>
      <c r="H628" s="609">
        <f t="shared" si="166"/>
        <v>0</v>
      </c>
      <c r="I628" s="568"/>
      <c r="J628" s="568"/>
      <c r="K628" s="568"/>
      <c r="L628" s="568"/>
      <c r="M628" s="32"/>
      <c r="N628" s="32"/>
      <c r="O628" s="32"/>
      <c r="P628" s="630"/>
      <c r="Q628" s="609">
        <f t="shared" si="167"/>
        <v>0</v>
      </c>
      <c r="R628" s="568"/>
      <c r="S628" s="568"/>
      <c r="T628" s="568"/>
      <c r="U628" s="568"/>
      <c r="V628" s="32"/>
      <c r="W628" s="32"/>
      <c r="X628" s="32"/>
      <c r="Y628" s="630"/>
      <c r="Z628" s="609">
        <f t="shared" si="168"/>
        <v>0</v>
      </c>
      <c r="AA628" s="568"/>
      <c r="AB628" s="568"/>
      <c r="AC628" s="568"/>
      <c r="AD628" s="568"/>
      <c r="AE628" s="32"/>
      <c r="AF628" s="32"/>
      <c r="AG628" s="32"/>
      <c r="AH628" s="630"/>
      <c r="AI628" s="609">
        <f t="shared" si="169"/>
        <v>0</v>
      </c>
      <c r="AJ628" s="568"/>
      <c r="AK628" s="568"/>
      <c r="AL628" s="568"/>
      <c r="AM628" s="568"/>
      <c r="AN628" s="32"/>
      <c r="AO628" s="32"/>
      <c r="AP628" s="32"/>
      <c r="AQ628" s="630"/>
      <c r="AR628" s="631"/>
      <c r="AS628" s="568"/>
      <c r="AT628" s="568"/>
      <c r="AU628" s="568"/>
      <c r="AV628" s="568"/>
      <c r="AW628" s="32"/>
      <c r="AX628" s="32"/>
      <c r="AY628" s="32"/>
      <c r="AZ628" s="32"/>
      <c r="BA628" s="32"/>
      <c r="BB628" s="568"/>
      <c r="BC628" s="568"/>
      <c r="BD628" s="568"/>
      <c r="BE628" s="32"/>
      <c r="BF628" s="32"/>
      <c r="BG628" s="32"/>
      <c r="BH628" s="32"/>
    </row>
    <row r="629" spans="1:60" x14ac:dyDescent="0.25">
      <c r="A629" s="77"/>
      <c r="B629" s="84"/>
      <c r="C629" s="29"/>
      <c r="D629" s="59"/>
      <c r="E629" s="22"/>
      <c r="F629" s="27"/>
      <c r="G629" s="567"/>
      <c r="H629" s="609">
        <f t="shared" si="166"/>
        <v>0</v>
      </c>
      <c r="I629" s="568"/>
      <c r="J629" s="568"/>
      <c r="K629" s="568"/>
      <c r="L629" s="568"/>
      <c r="M629" s="32"/>
      <c r="N629" s="32"/>
      <c r="O629" s="32"/>
      <c r="P629" s="630"/>
      <c r="Q629" s="609">
        <f t="shared" si="167"/>
        <v>0</v>
      </c>
      <c r="R629" s="568"/>
      <c r="S629" s="568"/>
      <c r="T629" s="568"/>
      <c r="U629" s="568"/>
      <c r="V629" s="32"/>
      <c r="W629" s="32"/>
      <c r="X629" s="32"/>
      <c r="Y629" s="630"/>
      <c r="Z629" s="609">
        <f t="shared" si="168"/>
        <v>0</v>
      </c>
      <c r="AA629" s="568"/>
      <c r="AB629" s="568"/>
      <c r="AC629" s="568"/>
      <c r="AD629" s="568"/>
      <c r="AE629" s="32"/>
      <c r="AF629" s="32"/>
      <c r="AG629" s="32"/>
      <c r="AH629" s="630"/>
      <c r="AI629" s="609">
        <f t="shared" si="169"/>
        <v>0</v>
      </c>
      <c r="AJ629" s="568"/>
      <c r="AK629" s="568"/>
      <c r="AL629" s="568"/>
      <c r="AM629" s="568"/>
      <c r="AN629" s="32"/>
      <c r="AO629" s="32"/>
      <c r="AP629" s="32"/>
      <c r="AQ629" s="630"/>
      <c r="AR629" s="631"/>
      <c r="AS629" s="568"/>
      <c r="AT629" s="568"/>
      <c r="AU629" s="568"/>
      <c r="AV629" s="568"/>
      <c r="AW629" s="32"/>
      <c r="AX629" s="32"/>
      <c r="AY629" s="32"/>
      <c r="AZ629" s="32"/>
      <c r="BA629" s="32"/>
      <c r="BB629" s="568"/>
      <c r="BC629" s="568"/>
      <c r="BD629" s="568"/>
      <c r="BE629" s="32"/>
      <c r="BF629" s="32"/>
      <c r="BG629" s="32"/>
      <c r="BH629" s="32"/>
    </row>
    <row r="630" spans="1:60" x14ac:dyDescent="0.25">
      <c r="A630" s="77"/>
      <c r="B630" s="84"/>
      <c r="C630" s="29"/>
      <c r="D630" s="59"/>
      <c r="E630" s="22"/>
      <c r="F630" s="27"/>
      <c r="G630" s="567"/>
      <c r="H630" s="609">
        <f t="shared" si="166"/>
        <v>0</v>
      </c>
      <c r="I630" s="568"/>
      <c r="J630" s="568"/>
      <c r="K630" s="568"/>
      <c r="L630" s="568"/>
      <c r="M630" s="32"/>
      <c r="N630" s="32"/>
      <c r="O630" s="32"/>
      <c r="P630" s="630"/>
      <c r="Q630" s="609">
        <f t="shared" si="167"/>
        <v>0</v>
      </c>
      <c r="R630" s="568"/>
      <c r="S630" s="568"/>
      <c r="T630" s="568"/>
      <c r="U630" s="568"/>
      <c r="V630" s="32"/>
      <c r="W630" s="32"/>
      <c r="X630" s="32"/>
      <c r="Y630" s="630"/>
      <c r="Z630" s="609">
        <f t="shared" si="168"/>
        <v>0</v>
      </c>
      <c r="AA630" s="568"/>
      <c r="AB630" s="568"/>
      <c r="AC630" s="568"/>
      <c r="AD630" s="568"/>
      <c r="AE630" s="32"/>
      <c r="AF630" s="32"/>
      <c r="AG630" s="32"/>
      <c r="AH630" s="630"/>
      <c r="AI630" s="609">
        <f t="shared" si="169"/>
        <v>0</v>
      </c>
      <c r="AJ630" s="568"/>
      <c r="AK630" s="568"/>
      <c r="AL630" s="568"/>
      <c r="AM630" s="568"/>
      <c r="AN630" s="32"/>
      <c r="AO630" s="32"/>
      <c r="AP630" s="32"/>
      <c r="AQ630" s="630"/>
      <c r="AR630" s="631"/>
      <c r="AS630" s="568"/>
      <c r="AT630" s="568"/>
      <c r="AU630" s="568"/>
      <c r="AV630" s="568"/>
      <c r="AW630" s="32"/>
      <c r="AX630" s="32"/>
      <c r="AY630" s="32"/>
      <c r="AZ630" s="32"/>
      <c r="BA630" s="32"/>
      <c r="BB630" s="568"/>
      <c r="BC630" s="568"/>
      <c r="BD630" s="568"/>
      <c r="BE630" s="32"/>
      <c r="BF630" s="32"/>
      <c r="BG630" s="32"/>
      <c r="BH630" s="32"/>
    </row>
    <row r="631" spans="1:60" x14ac:dyDescent="0.25">
      <c r="A631" s="77"/>
      <c r="B631" s="84"/>
      <c r="C631" s="29"/>
      <c r="D631" s="59"/>
      <c r="E631" s="22"/>
      <c r="F631" s="27"/>
      <c r="G631" s="567"/>
      <c r="H631" s="609">
        <f t="shared" si="166"/>
        <v>0</v>
      </c>
      <c r="I631" s="568"/>
      <c r="J631" s="568"/>
      <c r="K631" s="568"/>
      <c r="L631" s="568"/>
      <c r="M631" s="32"/>
      <c r="N631" s="32"/>
      <c r="O631" s="32"/>
      <c r="P631" s="630"/>
      <c r="Q631" s="609">
        <f t="shared" si="167"/>
        <v>0</v>
      </c>
      <c r="R631" s="568"/>
      <c r="S631" s="568"/>
      <c r="T631" s="568"/>
      <c r="U631" s="568"/>
      <c r="V631" s="32"/>
      <c r="W631" s="32"/>
      <c r="X631" s="32"/>
      <c r="Y631" s="630"/>
      <c r="Z631" s="609">
        <f t="shared" si="168"/>
        <v>0</v>
      </c>
      <c r="AA631" s="568"/>
      <c r="AB631" s="568"/>
      <c r="AC631" s="568"/>
      <c r="AD631" s="568"/>
      <c r="AE631" s="32"/>
      <c r="AF631" s="32"/>
      <c r="AG631" s="32"/>
      <c r="AH631" s="630"/>
      <c r="AI631" s="609">
        <f t="shared" si="169"/>
        <v>0</v>
      </c>
      <c r="AJ631" s="568"/>
      <c r="AK631" s="568"/>
      <c r="AL631" s="568"/>
      <c r="AM631" s="568"/>
      <c r="AN631" s="32"/>
      <c r="AO631" s="32"/>
      <c r="AP631" s="32"/>
      <c r="AQ631" s="630"/>
      <c r="AR631" s="631"/>
      <c r="AS631" s="568"/>
      <c r="AT631" s="568"/>
      <c r="AU631" s="568"/>
      <c r="AV631" s="568"/>
      <c r="AW631" s="32"/>
      <c r="AX631" s="32"/>
      <c r="AY631" s="32"/>
      <c r="AZ631" s="32"/>
      <c r="BA631" s="32"/>
      <c r="BB631" s="568"/>
      <c r="BC631" s="568"/>
      <c r="BD631" s="568"/>
      <c r="BE631" s="32"/>
      <c r="BF631" s="32"/>
      <c r="BG631" s="32"/>
      <c r="BH631" s="32"/>
    </row>
    <row r="632" spans="1:60" x14ac:dyDescent="0.25">
      <c r="A632" s="77"/>
      <c r="B632" s="84"/>
      <c r="C632" s="29"/>
      <c r="D632" s="59"/>
      <c r="E632" s="22"/>
      <c r="F632" s="27"/>
      <c r="G632" s="567"/>
      <c r="H632" s="609">
        <f t="shared" si="166"/>
        <v>0</v>
      </c>
      <c r="I632" s="568"/>
      <c r="J632" s="568"/>
      <c r="K632" s="568"/>
      <c r="L632" s="568"/>
      <c r="M632" s="32"/>
      <c r="N632" s="32"/>
      <c r="O632" s="32"/>
      <c r="P632" s="630"/>
      <c r="Q632" s="609">
        <f t="shared" si="167"/>
        <v>0</v>
      </c>
      <c r="R632" s="568"/>
      <c r="S632" s="568"/>
      <c r="T632" s="568"/>
      <c r="U632" s="568"/>
      <c r="V632" s="32"/>
      <c r="W632" s="32"/>
      <c r="X632" s="32"/>
      <c r="Y632" s="630"/>
      <c r="Z632" s="609">
        <f t="shared" si="168"/>
        <v>0</v>
      </c>
      <c r="AA632" s="568"/>
      <c r="AB632" s="568"/>
      <c r="AC632" s="568"/>
      <c r="AD632" s="568"/>
      <c r="AE632" s="32"/>
      <c r="AF632" s="32"/>
      <c r="AG632" s="32"/>
      <c r="AH632" s="630"/>
      <c r="AI632" s="609">
        <f t="shared" si="169"/>
        <v>0</v>
      </c>
      <c r="AJ632" s="568"/>
      <c r="AK632" s="568"/>
      <c r="AL632" s="568"/>
      <c r="AM632" s="568"/>
      <c r="AN632" s="32"/>
      <c r="AO632" s="32"/>
      <c r="AP632" s="32"/>
      <c r="AQ632" s="630"/>
      <c r="AR632" s="631"/>
      <c r="AS632" s="568"/>
      <c r="AT632" s="568"/>
      <c r="AU632" s="568"/>
      <c r="AV632" s="568"/>
      <c r="AW632" s="32"/>
      <c r="AX632" s="32"/>
      <c r="AY632" s="32"/>
      <c r="AZ632" s="32"/>
      <c r="BA632" s="32"/>
      <c r="BB632" s="568"/>
      <c r="BC632" s="568"/>
      <c r="BD632" s="568"/>
      <c r="BE632" s="32"/>
      <c r="BF632" s="32"/>
      <c r="BG632" s="32"/>
      <c r="BH632" s="32"/>
    </row>
    <row r="633" spans="1:60" x14ac:dyDescent="0.25">
      <c r="A633" s="77"/>
      <c r="B633" s="84"/>
      <c r="C633" s="29"/>
      <c r="D633" s="59"/>
      <c r="E633" s="22"/>
      <c r="F633" s="27"/>
      <c r="G633" s="567"/>
      <c r="H633" s="609">
        <f t="shared" si="166"/>
        <v>0</v>
      </c>
      <c r="I633" s="568"/>
      <c r="J633" s="568"/>
      <c r="K633" s="568"/>
      <c r="L633" s="568"/>
      <c r="M633" s="32"/>
      <c r="N633" s="32"/>
      <c r="O633" s="32"/>
      <c r="P633" s="630"/>
      <c r="Q633" s="609">
        <f t="shared" si="167"/>
        <v>0</v>
      </c>
      <c r="R633" s="568"/>
      <c r="S633" s="568"/>
      <c r="T633" s="568"/>
      <c r="U633" s="568"/>
      <c r="V633" s="32"/>
      <c r="W633" s="32"/>
      <c r="X633" s="32"/>
      <c r="Y633" s="630"/>
      <c r="Z633" s="609">
        <f t="shared" si="168"/>
        <v>0</v>
      </c>
      <c r="AA633" s="568"/>
      <c r="AB633" s="568"/>
      <c r="AC633" s="568"/>
      <c r="AD633" s="568"/>
      <c r="AE633" s="32"/>
      <c r="AF633" s="32"/>
      <c r="AG633" s="32"/>
      <c r="AH633" s="630"/>
      <c r="AI633" s="609">
        <f t="shared" si="169"/>
        <v>0</v>
      </c>
      <c r="AJ633" s="568"/>
      <c r="AK633" s="568"/>
      <c r="AL633" s="568"/>
      <c r="AM633" s="568"/>
      <c r="AN633" s="32"/>
      <c r="AO633" s="32"/>
      <c r="AP633" s="32"/>
      <c r="AQ633" s="630"/>
      <c r="AR633" s="631"/>
      <c r="AS633" s="568"/>
      <c r="AT633" s="568"/>
      <c r="AU633" s="568"/>
      <c r="AV633" s="568"/>
      <c r="AW633" s="32"/>
      <c r="AX633" s="32"/>
      <c r="AY633" s="32"/>
      <c r="AZ633" s="32"/>
      <c r="BA633" s="32"/>
      <c r="BB633" s="568"/>
      <c r="BC633" s="568"/>
      <c r="BD633" s="568"/>
      <c r="BE633" s="32"/>
      <c r="BF633" s="32"/>
      <c r="BG633" s="32"/>
      <c r="BH633" s="32"/>
    </row>
    <row r="634" spans="1:60" x14ac:dyDescent="0.25">
      <c r="A634" s="77"/>
      <c r="B634" s="84"/>
      <c r="C634" s="29"/>
      <c r="D634" s="59"/>
      <c r="E634" s="22"/>
      <c r="F634" s="27"/>
      <c r="G634" s="567"/>
      <c r="H634" s="609">
        <f t="shared" si="166"/>
        <v>0</v>
      </c>
      <c r="I634" s="568"/>
      <c r="J634" s="568"/>
      <c r="K634" s="568"/>
      <c r="L634" s="568"/>
      <c r="M634" s="32"/>
      <c r="N634" s="32"/>
      <c r="O634" s="32"/>
      <c r="P634" s="630"/>
      <c r="Q634" s="609">
        <f t="shared" si="167"/>
        <v>0</v>
      </c>
      <c r="R634" s="568"/>
      <c r="S634" s="568"/>
      <c r="T634" s="568"/>
      <c r="U634" s="568"/>
      <c r="V634" s="32"/>
      <c r="W634" s="32"/>
      <c r="X634" s="32"/>
      <c r="Y634" s="630"/>
      <c r="Z634" s="609">
        <f t="shared" si="168"/>
        <v>0</v>
      </c>
      <c r="AA634" s="568"/>
      <c r="AB634" s="568"/>
      <c r="AC634" s="568"/>
      <c r="AD634" s="568"/>
      <c r="AE634" s="32"/>
      <c r="AF634" s="32"/>
      <c r="AG634" s="32"/>
      <c r="AH634" s="630"/>
      <c r="AI634" s="609">
        <f t="shared" si="169"/>
        <v>0</v>
      </c>
      <c r="AJ634" s="568"/>
      <c r="AK634" s="568"/>
      <c r="AL634" s="568"/>
      <c r="AM634" s="568"/>
      <c r="AN634" s="32"/>
      <c r="AO634" s="32"/>
      <c r="AP634" s="32"/>
      <c r="AQ634" s="630"/>
      <c r="AR634" s="631"/>
      <c r="AS634" s="568"/>
      <c r="AT634" s="568"/>
      <c r="AU634" s="568"/>
      <c r="AV634" s="568"/>
      <c r="AW634" s="32"/>
      <c r="AX634" s="32"/>
      <c r="AY634" s="32"/>
      <c r="AZ634" s="32"/>
      <c r="BA634" s="32"/>
      <c r="BB634" s="568"/>
      <c r="BC634" s="568"/>
      <c r="BD634" s="568"/>
      <c r="BE634" s="32"/>
      <c r="BF634" s="32"/>
      <c r="BG634" s="32"/>
      <c r="BH634" s="32"/>
    </row>
    <row r="635" spans="1:60" x14ac:dyDescent="0.25">
      <c r="A635" s="77"/>
      <c r="B635" s="84"/>
      <c r="C635" s="29"/>
      <c r="D635" s="59"/>
      <c r="E635" s="22"/>
      <c r="F635" s="27"/>
      <c r="G635" s="567"/>
      <c r="H635" s="609">
        <f t="shared" si="166"/>
        <v>0</v>
      </c>
      <c r="I635" s="568"/>
      <c r="J635" s="568"/>
      <c r="K635" s="568"/>
      <c r="L635" s="568"/>
      <c r="M635" s="32"/>
      <c r="N635" s="32"/>
      <c r="O635" s="32"/>
      <c r="P635" s="630"/>
      <c r="Q635" s="609">
        <f t="shared" si="167"/>
        <v>0</v>
      </c>
      <c r="R635" s="568"/>
      <c r="S635" s="568"/>
      <c r="T635" s="568"/>
      <c r="U635" s="568"/>
      <c r="V635" s="32"/>
      <c r="W635" s="32"/>
      <c r="X635" s="32"/>
      <c r="Y635" s="630"/>
      <c r="Z635" s="609">
        <f t="shared" si="168"/>
        <v>0</v>
      </c>
      <c r="AA635" s="568"/>
      <c r="AB635" s="568"/>
      <c r="AC635" s="568"/>
      <c r="AD635" s="568"/>
      <c r="AE635" s="32"/>
      <c r="AF635" s="32"/>
      <c r="AG635" s="32"/>
      <c r="AH635" s="630"/>
      <c r="AI635" s="609">
        <f t="shared" si="169"/>
        <v>0</v>
      </c>
      <c r="AJ635" s="568"/>
      <c r="AK635" s="568"/>
      <c r="AL635" s="568"/>
      <c r="AM635" s="568"/>
      <c r="AN635" s="32"/>
      <c r="AO635" s="32"/>
      <c r="AP635" s="32"/>
      <c r="AQ635" s="630"/>
      <c r="AR635" s="631"/>
      <c r="AS635" s="568"/>
      <c r="AT635" s="568"/>
      <c r="AU635" s="568"/>
      <c r="AV635" s="568"/>
      <c r="AW635" s="32"/>
      <c r="AX635" s="32"/>
      <c r="AY635" s="32"/>
      <c r="AZ635" s="32"/>
      <c r="BA635" s="32"/>
      <c r="BB635" s="568"/>
      <c r="BC635" s="568"/>
      <c r="BD635" s="568"/>
      <c r="BE635" s="32"/>
      <c r="BF635" s="32"/>
      <c r="BG635" s="32"/>
      <c r="BH635" s="32"/>
    </row>
    <row r="636" spans="1:60" x14ac:dyDescent="0.25">
      <c r="A636" s="77"/>
      <c r="B636" s="84"/>
      <c r="C636" s="29"/>
      <c r="D636" s="59"/>
      <c r="E636" s="22"/>
      <c r="F636" s="27"/>
      <c r="G636" s="567"/>
      <c r="H636" s="609">
        <f t="shared" si="166"/>
        <v>0</v>
      </c>
      <c r="I636" s="568"/>
      <c r="J636" s="568"/>
      <c r="K636" s="568"/>
      <c r="L636" s="568"/>
      <c r="M636" s="32"/>
      <c r="N636" s="32"/>
      <c r="O636" s="32"/>
      <c r="P636" s="630"/>
      <c r="Q636" s="609">
        <f t="shared" si="167"/>
        <v>0</v>
      </c>
      <c r="R636" s="568"/>
      <c r="S636" s="568"/>
      <c r="T636" s="568"/>
      <c r="U636" s="568"/>
      <c r="V636" s="32"/>
      <c r="W636" s="32"/>
      <c r="X636" s="32"/>
      <c r="Y636" s="630"/>
      <c r="Z636" s="609">
        <f t="shared" si="168"/>
        <v>0</v>
      </c>
      <c r="AA636" s="568"/>
      <c r="AB636" s="568"/>
      <c r="AC636" s="568"/>
      <c r="AD636" s="568"/>
      <c r="AE636" s="32"/>
      <c r="AF636" s="32"/>
      <c r="AG636" s="32"/>
      <c r="AH636" s="630"/>
      <c r="AI636" s="609">
        <f t="shared" si="169"/>
        <v>0</v>
      </c>
      <c r="AJ636" s="568"/>
      <c r="AK636" s="568"/>
      <c r="AL636" s="568"/>
      <c r="AM636" s="568"/>
      <c r="AN636" s="32"/>
      <c r="AO636" s="32"/>
      <c r="AP636" s="32"/>
      <c r="AQ636" s="630"/>
      <c r="AR636" s="631"/>
      <c r="AS636" s="568"/>
      <c r="AT636" s="568"/>
      <c r="AU636" s="568"/>
      <c r="AV636" s="568"/>
      <c r="AW636" s="32"/>
      <c r="AX636" s="32"/>
      <c r="AY636" s="32"/>
      <c r="AZ636" s="32"/>
      <c r="BA636" s="32"/>
      <c r="BB636" s="568"/>
      <c r="BC636" s="568"/>
      <c r="BD636" s="568"/>
      <c r="BE636" s="32"/>
      <c r="BF636" s="32"/>
      <c r="BG636" s="32"/>
      <c r="BH636" s="32"/>
    </row>
    <row r="637" spans="1:60" x14ac:dyDescent="0.25">
      <c r="A637" s="77"/>
      <c r="B637" s="84"/>
      <c r="C637" s="29"/>
      <c r="D637" s="59"/>
      <c r="E637" s="22"/>
      <c r="F637" s="27"/>
      <c r="G637" s="567"/>
      <c r="H637" s="609">
        <f t="shared" si="166"/>
        <v>0</v>
      </c>
      <c r="I637" s="568"/>
      <c r="J637" s="568"/>
      <c r="K637" s="568"/>
      <c r="L637" s="568"/>
      <c r="M637" s="32"/>
      <c r="N637" s="32"/>
      <c r="O637" s="32"/>
      <c r="P637" s="630"/>
      <c r="Q637" s="609">
        <f t="shared" si="167"/>
        <v>0</v>
      </c>
      <c r="R637" s="568"/>
      <c r="S637" s="568"/>
      <c r="T637" s="568"/>
      <c r="U637" s="568"/>
      <c r="V637" s="32"/>
      <c r="W637" s="32"/>
      <c r="X637" s="32"/>
      <c r="Y637" s="630"/>
      <c r="Z637" s="609">
        <f t="shared" si="168"/>
        <v>0</v>
      </c>
      <c r="AA637" s="568"/>
      <c r="AB637" s="568"/>
      <c r="AC637" s="568"/>
      <c r="AD637" s="568"/>
      <c r="AE637" s="32"/>
      <c r="AF637" s="32"/>
      <c r="AG637" s="32"/>
      <c r="AH637" s="630"/>
      <c r="AI637" s="609">
        <f t="shared" si="169"/>
        <v>0</v>
      </c>
      <c r="AJ637" s="568"/>
      <c r="AK637" s="568"/>
      <c r="AL637" s="568"/>
      <c r="AM637" s="568"/>
      <c r="AN637" s="32"/>
      <c r="AO637" s="32"/>
      <c r="AP637" s="32"/>
      <c r="AQ637" s="630"/>
      <c r="AR637" s="631"/>
      <c r="AS637" s="568"/>
      <c r="AT637" s="568"/>
      <c r="AU637" s="568"/>
      <c r="AV637" s="568"/>
      <c r="AW637" s="32"/>
      <c r="AX637" s="32"/>
      <c r="AY637" s="32"/>
      <c r="AZ637" s="32"/>
      <c r="BA637" s="32"/>
      <c r="BB637" s="568"/>
      <c r="BC637" s="568"/>
      <c r="BD637" s="568"/>
      <c r="BE637" s="32"/>
      <c r="BF637" s="32"/>
      <c r="BG637" s="32"/>
      <c r="BH637" s="32"/>
    </row>
    <row r="638" spans="1:60" x14ac:dyDescent="0.25">
      <c r="A638" s="77"/>
      <c r="B638" s="84"/>
      <c r="C638" s="29"/>
      <c r="D638" s="59"/>
      <c r="E638" s="22"/>
      <c r="F638" s="27"/>
      <c r="G638" s="567"/>
      <c r="H638" s="609">
        <f t="shared" si="166"/>
        <v>0</v>
      </c>
      <c r="I638" s="568"/>
      <c r="J638" s="568"/>
      <c r="K638" s="568"/>
      <c r="L638" s="568"/>
      <c r="M638" s="32"/>
      <c r="N638" s="32"/>
      <c r="O638" s="32"/>
      <c r="P638" s="630"/>
      <c r="Q638" s="609">
        <f t="shared" si="167"/>
        <v>0</v>
      </c>
      <c r="R638" s="568"/>
      <c r="S638" s="568"/>
      <c r="T638" s="568"/>
      <c r="U638" s="568"/>
      <c r="V638" s="32"/>
      <c r="W638" s="32"/>
      <c r="X638" s="32"/>
      <c r="Y638" s="630"/>
      <c r="Z638" s="609">
        <f t="shared" si="168"/>
        <v>0</v>
      </c>
      <c r="AA638" s="568"/>
      <c r="AB638" s="568"/>
      <c r="AC638" s="568"/>
      <c r="AD638" s="568"/>
      <c r="AE638" s="32"/>
      <c r="AF638" s="32"/>
      <c r="AG638" s="32"/>
      <c r="AH638" s="630"/>
      <c r="AI638" s="609">
        <f t="shared" si="169"/>
        <v>0</v>
      </c>
      <c r="AJ638" s="568"/>
      <c r="AK638" s="568"/>
      <c r="AL638" s="568"/>
      <c r="AM638" s="568"/>
      <c r="AN638" s="32"/>
      <c r="AO638" s="32"/>
      <c r="AP638" s="32"/>
      <c r="AQ638" s="630"/>
      <c r="AR638" s="631"/>
      <c r="AS638" s="568"/>
      <c r="AT638" s="568"/>
      <c r="AU638" s="568"/>
      <c r="AV638" s="568"/>
      <c r="AW638" s="32"/>
      <c r="AX638" s="32"/>
      <c r="AY638" s="32"/>
      <c r="AZ638" s="32"/>
      <c r="BA638" s="32"/>
      <c r="BB638" s="568"/>
      <c r="BC638" s="568"/>
      <c r="BD638" s="568"/>
      <c r="BE638" s="32"/>
      <c r="BF638" s="32"/>
      <c r="BG638" s="32"/>
      <c r="BH638" s="32"/>
    </row>
    <row r="639" spans="1:60" x14ac:dyDescent="0.25">
      <c r="A639" s="77"/>
      <c r="B639" s="84"/>
      <c r="C639" s="29"/>
      <c r="D639" s="59"/>
      <c r="E639" s="22"/>
      <c r="F639" s="27"/>
      <c r="G639" s="567"/>
      <c r="H639" s="609">
        <f t="shared" si="166"/>
        <v>0</v>
      </c>
      <c r="I639" s="568"/>
      <c r="J639" s="568"/>
      <c r="K639" s="568"/>
      <c r="L639" s="568"/>
      <c r="M639" s="32"/>
      <c r="N639" s="32"/>
      <c r="O639" s="32"/>
      <c r="P639" s="630"/>
      <c r="Q639" s="609">
        <f t="shared" si="167"/>
        <v>0</v>
      </c>
      <c r="R639" s="568"/>
      <c r="S639" s="568"/>
      <c r="T639" s="568"/>
      <c r="U639" s="568"/>
      <c r="V639" s="32"/>
      <c r="W639" s="32"/>
      <c r="X639" s="32"/>
      <c r="Y639" s="630"/>
      <c r="Z639" s="609">
        <f t="shared" si="168"/>
        <v>0</v>
      </c>
      <c r="AA639" s="568"/>
      <c r="AB639" s="568"/>
      <c r="AC639" s="568"/>
      <c r="AD639" s="568"/>
      <c r="AE639" s="32"/>
      <c r="AF639" s="32"/>
      <c r="AG639" s="32"/>
      <c r="AH639" s="630"/>
      <c r="AI639" s="609">
        <f t="shared" si="169"/>
        <v>0</v>
      </c>
      <c r="AJ639" s="568"/>
      <c r="AK639" s="568"/>
      <c r="AL639" s="568"/>
      <c r="AM639" s="568"/>
      <c r="AN639" s="32"/>
      <c r="AO639" s="32"/>
      <c r="AP639" s="32"/>
      <c r="AQ639" s="630"/>
      <c r="AR639" s="631"/>
      <c r="AS639" s="568"/>
      <c r="AT639" s="568"/>
      <c r="AU639" s="568"/>
      <c r="AV639" s="568"/>
      <c r="AW639" s="32"/>
      <c r="AX639" s="32"/>
      <c r="AY639" s="32"/>
      <c r="AZ639" s="32"/>
      <c r="BA639" s="32"/>
      <c r="BB639" s="568"/>
      <c r="BC639" s="568"/>
      <c r="BD639" s="568"/>
      <c r="BE639" s="32"/>
      <c r="BF639" s="32"/>
      <c r="BG639" s="32"/>
      <c r="BH639" s="32"/>
    </row>
    <row r="640" spans="1:60" x14ac:dyDescent="0.25">
      <c r="A640" s="77"/>
      <c r="B640" s="84"/>
      <c r="C640" s="29"/>
      <c r="D640" s="59"/>
      <c r="E640" s="22"/>
      <c r="F640" s="27"/>
      <c r="G640" s="567"/>
      <c r="H640" s="609">
        <f t="shared" si="166"/>
        <v>0</v>
      </c>
      <c r="I640" s="568"/>
      <c r="J640" s="568"/>
      <c r="K640" s="568"/>
      <c r="L640" s="568"/>
      <c r="M640" s="32"/>
      <c r="N640" s="32"/>
      <c r="O640" s="32"/>
      <c r="P640" s="630"/>
      <c r="Q640" s="609">
        <f t="shared" si="167"/>
        <v>0</v>
      </c>
      <c r="R640" s="568"/>
      <c r="S640" s="568"/>
      <c r="T640" s="568"/>
      <c r="U640" s="568"/>
      <c r="V640" s="32"/>
      <c r="W640" s="32"/>
      <c r="X640" s="32"/>
      <c r="Y640" s="630"/>
      <c r="Z640" s="609">
        <f t="shared" si="168"/>
        <v>0</v>
      </c>
      <c r="AA640" s="568"/>
      <c r="AB640" s="568"/>
      <c r="AC640" s="568"/>
      <c r="AD640" s="568"/>
      <c r="AE640" s="32"/>
      <c r="AF640" s="32"/>
      <c r="AG640" s="32"/>
      <c r="AH640" s="630"/>
      <c r="AI640" s="609">
        <f t="shared" si="169"/>
        <v>0</v>
      </c>
      <c r="AJ640" s="568"/>
      <c r="AK640" s="568"/>
      <c r="AL640" s="568"/>
      <c r="AM640" s="568"/>
      <c r="AN640" s="32"/>
      <c r="AO640" s="32"/>
      <c r="AP640" s="32"/>
      <c r="AQ640" s="630"/>
      <c r="AR640" s="631"/>
      <c r="AS640" s="568"/>
      <c r="AT640" s="568"/>
      <c r="AU640" s="568"/>
      <c r="AV640" s="568"/>
      <c r="AW640" s="32"/>
      <c r="AX640" s="32"/>
      <c r="AY640" s="32"/>
      <c r="AZ640" s="32"/>
      <c r="BA640" s="32"/>
      <c r="BB640" s="568"/>
      <c r="BC640" s="568"/>
      <c r="BD640" s="568"/>
      <c r="BE640" s="32"/>
      <c r="BF640" s="32"/>
      <c r="BG640" s="32"/>
      <c r="BH640" s="32"/>
    </row>
    <row r="641" spans="1:60" x14ac:dyDescent="0.25">
      <c r="A641" s="77"/>
      <c r="B641" s="84"/>
      <c r="C641" s="29"/>
      <c r="D641" s="59"/>
      <c r="E641" s="22"/>
      <c r="F641" s="27"/>
      <c r="G641" s="567"/>
      <c r="H641" s="609">
        <f t="shared" si="166"/>
        <v>0</v>
      </c>
      <c r="I641" s="568"/>
      <c r="J641" s="568"/>
      <c r="K641" s="568"/>
      <c r="L641" s="568"/>
      <c r="M641" s="32"/>
      <c r="N641" s="32"/>
      <c r="O641" s="32"/>
      <c r="P641" s="630"/>
      <c r="Q641" s="609">
        <f t="shared" si="167"/>
        <v>0</v>
      </c>
      <c r="R641" s="568"/>
      <c r="S641" s="568"/>
      <c r="T641" s="568"/>
      <c r="U641" s="568"/>
      <c r="V641" s="32"/>
      <c r="W641" s="32"/>
      <c r="X641" s="32"/>
      <c r="Y641" s="630"/>
      <c r="Z641" s="609">
        <f t="shared" si="168"/>
        <v>0</v>
      </c>
      <c r="AA641" s="568"/>
      <c r="AB641" s="568"/>
      <c r="AC641" s="568"/>
      <c r="AD641" s="568"/>
      <c r="AE641" s="32"/>
      <c r="AF641" s="32"/>
      <c r="AG641" s="32"/>
      <c r="AH641" s="630"/>
      <c r="AI641" s="609">
        <f t="shared" si="169"/>
        <v>0</v>
      </c>
      <c r="AJ641" s="568"/>
      <c r="AK641" s="568"/>
      <c r="AL641" s="568"/>
      <c r="AM641" s="568"/>
      <c r="AN641" s="32"/>
      <c r="AO641" s="32"/>
      <c r="AP641" s="32"/>
      <c r="AQ641" s="630"/>
      <c r="AR641" s="631"/>
      <c r="AS641" s="568"/>
      <c r="AT641" s="568"/>
      <c r="AU641" s="568"/>
      <c r="AV641" s="568"/>
      <c r="AW641" s="32"/>
      <c r="AX641" s="32"/>
      <c r="AY641" s="32"/>
      <c r="AZ641" s="32"/>
      <c r="BA641" s="32"/>
      <c r="BB641" s="568"/>
      <c r="BC641" s="568"/>
      <c r="BD641" s="568"/>
      <c r="BE641" s="32"/>
      <c r="BF641" s="32"/>
      <c r="BG641" s="32"/>
      <c r="BH641" s="32"/>
    </row>
    <row r="642" spans="1:60" x14ac:dyDescent="0.25">
      <c r="A642" s="77"/>
      <c r="B642" s="84"/>
      <c r="C642" s="29"/>
      <c r="D642" s="59"/>
      <c r="E642" s="22"/>
      <c r="F642" s="27"/>
      <c r="G642" s="567"/>
      <c r="H642" s="609">
        <f t="shared" si="166"/>
        <v>0</v>
      </c>
      <c r="I642" s="568"/>
      <c r="J642" s="568"/>
      <c r="K642" s="568"/>
      <c r="L642" s="568"/>
      <c r="M642" s="32"/>
      <c r="N642" s="32"/>
      <c r="O642" s="32"/>
      <c r="P642" s="630"/>
      <c r="Q642" s="609">
        <f t="shared" si="167"/>
        <v>0</v>
      </c>
      <c r="R642" s="568"/>
      <c r="S642" s="568"/>
      <c r="T642" s="568"/>
      <c r="U642" s="568"/>
      <c r="V642" s="32"/>
      <c r="W642" s="32"/>
      <c r="X642" s="32"/>
      <c r="Y642" s="630"/>
      <c r="Z642" s="609">
        <f t="shared" si="168"/>
        <v>0</v>
      </c>
      <c r="AA642" s="568"/>
      <c r="AB642" s="568"/>
      <c r="AC642" s="568"/>
      <c r="AD642" s="568"/>
      <c r="AE642" s="32"/>
      <c r="AF642" s="32"/>
      <c r="AG642" s="32"/>
      <c r="AH642" s="630"/>
      <c r="AI642" s="609">
        <f t="shared" si="169"/>
        <v>0</v>
      </c>
      <c r="AJ642" s="568"/>
      <c r="AK642" s="568"/>
      <c r="AL642" s="568"/>
      <c r="AM642" s="568"/>
      <c r="AN642" s="32"/>
      <c r="AO642" s="32"/>
      <c r="AP642" s="32"/>
      <c r="AQ642" s="630"/>
      <c r="AR642" s="631"/>
      <c r="AS642" s="568"/>
      <c r="AT642" s="568"/>
      <c r="AU642" s="568"/>
      <c r="AV642" s="568"/>
      <c r="AW642" s="32"/>
      <c r="AX642" s="32"/>
      <c r="AY642" s="32"/>
      <c r="AZ642" s="32"/>
      <c r="BA642" s="32"/>
      <c r="BB642" s="568"/>
      <c r="BC642" s="568"/>
      <c r="BD642" s="568"/>
      <c r="BE642" s="32"/>
      <c r="BF642" s="32"/>
      <c r="BG642" s="32"/>
      <c r="BH642" s="32"/>
    </row>
    <row r="643" spans="1:60" x14ac:dyDescent="0.25">
      <c r="A643" s="77"/>
      <c r="B643" s="84"/>
      <c r="C643" s="29"/>
      <c r="D643" s="59"/>
      <c r="E643" s="22"/>
      <c r="F643" s="27"/>
      <c r="G643" s="567"/>
      <c r="H643" s="609">
        <f t="shared" si="166"/>
        <v>0</v>
      </c>
      <c r="I643" s="568"/>
      <c r="J643" s="568"/>
      <c r="K643" s="568"/>
      <c r="L643" s="568"/>
      <c r="M643" s="32"/>
      <c r="N643" s="32"/>
      <c r="O643" s="32"/>
      <c r="P643" s="630"/>
      <c r="Q643" s="609">
        <f t="shared" si="167"/>
        <v>0</v>
      </c>
      <c r="R643" s="568"/>
      <c r="S643" s="568"/>
      <c r="T643" s="568"/>
      <c r="U643" s="568"/>
      <c r="V643" s="32"/>
      <c r="W643" s="32"/>
      <c r="X643" s="32"/>
      <c r="Y643" s="630"/>
      <c r="Z643" s="609">
        <f t="shared" si="168"/>
        <v>0</v>
      </c>
      <c r="AA643" s="568"/>
      <c r="AB643" s="568"/>
      <c r="AC643" s="568"/>
      <c r="AD643" s="568"/>
      <c r="AE643" s="32"/>
      <c r="AF643" s="32"/>
      <c r="AG643" s="32"/>
      <c r="AH643" s="630"/>
      <c r="AI643" s="609">
        <f t="shared" si="169"/>
        <v>0</v>
      </c>
      <c r="AJ643" s="568"/>
      <c r="AK643" s="568"/>
      <c r="AL643" s="568"/>
      <c r="AM643" s="568"/>
      <c r="AN643" s="32"/>
      <c r="AO643" s="32"/>
      <c r="AP643" s="32"/>
      <c r="AQ643" s="630"/>
      <c r="AR643" s="631"/>
      <c r="AS643" s="568"/>
      <c r="AT643" s="568"/>
      <c r="AU643" s="568"/>
      <c r="AV643" s="568"/>
      <c r="AW643" s="32"/>
      <c r="AX643" s="32"/>
      <c r="AY643" s="32"/>
      <c r="AZ643" s="32"/>
      <c r="BA643" s="32"/>
      <c r="BB643" s="568"/>
      <c r="BC643" s="568"/>
      <c r="BD643" s="568"/>
      <c r="BE643" s="32"/>
      <c r="BF643" s="32"/>
      <c r="BG643" s="32"/>
      <c r="BH643" s="32"/>
    </row>
    <row r="644" spans="1:60" x14ac:dyDescent="0.25">
      <c r="A644" s="77"/>
      <c r="B644" s="84"/>
      <c r="C644" s="29"/>
      <c r="D644" s="59"/>
      <c r="E644" s="22"/>
      <c r="F644" s="27"/>
      <c r="G644" s="567"/>
      <c r="H644" s="609">
        <f t="shared" si="166"/>
        <v>0</v>
      </c>
      <c r="I644" s="568"/>
      <c r="J644" s="568"/>
      <c r="K644" s="568"/>
      <c r="L644" s="568"/>
      <c r="M644" s="32"/>
      <c r="N644" s="32"/>
      <c r="O644" s="32"/>
      <c r="P644" s="630"/>
      <c r="Q644" s="609">
        <f t="shared" si="167"/>
        <v>0</v>
      </c>
      <c r="R644" s="568"/>
      <c r="S644" s="568"/>
      <c r="T644" s="568"/>
      <c r="U644" s="568"/>
      <c r="V644" s="32"/>
      <c r="W644" s="32"/>
      <c r="X644" s="32"/>
      <c r="Y644" s="630"/>
      <c r="Z644" s="609">
        <f t="shared" si="168"/>
        <v>0</v>
      </c>
      <c r="AA644" s="568"/>
      <c r="AB644" s="568"/>
      <c r="AC644" s="568"/>
      <c r="AD644" s="568"/>
      <c r="AE644" s="32"/>
      <c r="AF644" s="32"/>
      <c r="AG644" s="32"/>
      <c r="AH644" s="630"/>
      <c r="AI644" s="609">
        <f t="shared" si="169"/>
        <v>0</v>
      </c>
      <c r="AJ644" s="568"/>
      <c r="AK644" s="568"/>
      <c r="AL644" s="568"/>
      <c r="AM644" s="568"/>
      <c r="AN644" s="32"/>
      <c r="AO644" s="32"/>
      <c r="AP644" s="32"/>
      <c r="AQ644" s="630"/>
      <c r="AR644" s="631"/>
      <c r="AS644" s="568"/>
      <c r="AT644" s="568"/>
      <c r="AU644" s="568"/>
      <c r="AV644" s="568"/>
      <c r="AW644" s="32"/>
      <c r="AX644" s="32"/>
      <c r="AY644" s="32"/>
      <c r="AZ644" s="32"/>
      <c r="BA644" s="32"/>
      <c r="BB644" s="568"/>
      <c r="BC644" s="568"/>
      <c r="BD644" s="568"/>
      <c r="BE644" s="32"/>
      <c r="BF644" s="32"/>
      <c r="BG644" s="32"/>
      <c r="BH644" s="32"/>
    </row>
    <row r="645" spans="1:60" x14ac:dyDescent="0.25">
      <c r="A645" s="77"/>
      <c r="B645" s="84"/>
      <c r="C645" s="29"/>
      <c r="D645" s="59"/>
      <c r="E645" s="22"/>
      <c r="F645" s="27"/>
      <c r="G645" s="567"/>
      <c r="H645" s="609">
        <f t="shared" si="166"/>
        <v>0</v>
      </c>
      <c r="I645" s="568"/>
      <c r="J645" s="568"/>
      <c r="K645" s="568"/>
      <c r="L645" s="568"/>
      <c r="M645" s="32"/>
      <c r="N645" s="32"/>
      <c r="O645" s="32"/>
      <c r="P645" s="630"/>
      <c r="Q645" s="609">
        <f t="shared" si="167"/>
        <v>0</v>
      </c>
      <c r="R645" s="568"/>
      <c r="S645" s="568"/>
      <c r="T645" s="568"/>
      <c r="U645" s="568"/>
      <c r="V645" s="32"/>
      <c r="W645" s="32"/>
      <c r="X645" s="32"/>
      <c r="Y645" s="630"/>
      <c r="Z645" s="609">
        <f t="shared" si="168"/>
        <v>0</v>
      </c>
      <c r="AA645" s="568"/>
      <c r="AB645" s="568"/>
      <c r="AC645" s="568"/>
      <c r="AD645" s="568"/>
      <c r="AE645" s="32"/>
      <c r="AF645" s="32"/>
      <c r="AG645" s="32"/>
      <c r="AH645" s="630"/>
      <c r="AI645" s="609">
        <f t="shared" si="169"/>
        <v>0</v>
      </c>
      <c r="AJ645" s="568"/>
      <c r="AK645" s="568"/>
      <c r="AL645" s="568"/>
      <c r="AM645" s="568"/>
      <c r="AN645" s="32"/>
      <c r="AO645" s="32"/>
      <c r="AP645" s="32"/>
      <c r="AQ645" s="630"/>
      <c r="AR645" s="631"/>
      <c r="AS645" s="568"/>
      <c r="AT645" s="568"/>
      <c r="AU645" s="568"/>
      <c r="AV645" s="568"/>
      <c r="AW645" s="32"/>
      <c r="AX645" s="32"/>
      <c r="AY645" s="32"/>
      <c r="AZ645" s="32"/>
      <c r="BA645" s="32"/>
      <c r="BB645" s="568"/>
      <c r="BC645" s="568"/>
      <c r="BD645" s="568"/>
      <c r="BE645" s="32"/>
      <c r="BF645" s="32"/>
      <c r="BG645" s="32"/>
      <c r="BH645" s="32"/>
    </row>
    <row r="646" spans="1:60" x14ac:dyDescent="0.25">
      <c r="A646" s="77"/>
      <c r="B646" s="84"/>
      <c r="C646" s="29"/>
      <c r="D646" s="59"/>
      <c r="E646" s="22"/>
      <c r="F646" s="27"/>
      <c r="G646" s="567"/>
      <c r="H646" s="609">
        <f t="shared" si="166"/>
        <v>0</v>
      </c>
      <c r="I646" s="568"/>
      <c r="J646" s="568"/>
      <c r="K646" s="568"/>
      <c r="L646" s="568"/>
      <c r="M646" s="32"/>
      <c r="N646" s="32"/>
      <c r="O646" s="32"/>
      <c r="P646" s="630"/>
      <c r="Q646" s="609">
        <f t="shared" si="167"/>
        <v>0</v>
      </c>
      <c r="R646" s="568"/>
      <c r="S646" s="568"/>
      <c r="T646" s="568"/>
      <c r="U646" s="568"/>
      <c r="V646" s="32"/>
      <c r="W646" s="32"/>
      <c r="X646" s="32"/>
      <c r="Y646" s="630"/>
      <c r="Z646" s="609">
        <f t="shared" si="168"/>
        <v>0</v>
      </c>
      <c r="AA646" s="568"/>
      <c r="AB646" s="568"/>
      <c r="AC646" s="568"/>
      <c r="AD646" s="568"/>
      <c r="AE646" s="32"/>
      <c r="AF646" s="32"/>
      <c r="AG646" s="32"/>
      <c r="AH646" s="630"/>
      <c r="AI646" s="609">
        <f t="shared" si="169"/>
        <v>0</v>
      </c>
      <c r="AJ646" s="568"/>
      <c r="AK646" s="568"/>
      <c r="AL646" s="568"/>
      <c r="AM646" s="568"/>
      <c r="AN646" s="32"/>
      <c r="AO646" s="32"/>
      <c r="AP646" s="32"/>
      <c r="AQ646" s="630"/>
      <c r="AR646" s="631"/>
      <c r="AS646" s="568"/>
      <c r="AT646" s="568"/>
      <c r="AU646" s="568"/>
      <c r="AV646" s="568"/>
      <c r="AW646" s="32"/>
      <c r="AX646" s="32"/>
      <c r="AY646" s="32"/>
      <c r="AZ646" s="32"/>
      <c r="BA646" s="32"/>
      <c r="BB646" s="568"/>
      <c r="BC646" s="568"/>
      <c r="BD646" s="568"/>
      <c r="BE646" s="32"/>
      <c r="BF646" s="32"/>
      <c r="BG646" s="32"/>
      <c r="BH646" s="32"/>
    </row>
    <row r="647" spans="1:60" x14ac:dyDescent="0.25">
      <c r="A647" s="77"/>
      <c r="B647" s="84"/>
      <c r="C647" s="29"/>
      <c r="D647" s="59"/>
      <c r="E647" s="22"/>
      <c r="F647" s="27"/>
      <c r="G647" s="567"/>
      <c r="H647" s="609">
        <f t="shared" si="166"/>
        <v>0</v>
      </c>
      <c r="I647" s="568"/>
      <c r="J647" s="568"/>
      <c r="K647" s="568"/>
      <c r="L647" s="568"/>
      <c r="M647" s="32"/>
      <c r="N647" s="32"/>
      <c r="O647" s="32"/>
      <c r="P647" s="630"/>
      <c r="Q647" s="609">
        <f t="shared" si="167"/>
        <v>0</v>
      </c>
      <c r="R647" s="568"/>
      <c r="S647" s="568"/>
      <c r="T647" s="568"/>
      <c r="U647" s="568"/>
      <c r="V647" s="32"/>
      <c r="W647" s="32"/>
      <c r="X647" s="32"/>
      <c r="Y647" s="630"/>
      <c r="Z647" s="609">
        <f t="shared" si="168"/>
        <v>0</v>
      </c>
      <c r="AA647" s="568"/>
      <c r="AB647" s="568"/>
      <c r="AC647" s="568"/>
      <c r="AD647" s="568"/>
      <c r="AE647" s="32"/>
      <c r="AF647" s="32"/>
      <c r="AG647" s="32"/>
      <c r="AH647" s="630"/>
      <c r="AI647" s="609">
        <f t="shared" si="169"/>
        <v>0</v>
      </c>
      <c r="AJ647" s="568"/>
      <c r="AK647" s="568"/>
      <c r="AL647" s="568"/>
      <c r="AM647" s="568"/>
      <c r="AN647" s="32"/>
      <c r="AO647" s="32"/>
      <c r="AP647" s="32"/>
      <c r="AQ647" s="630"/>
      <c r="AR647" s="631"/>
      <c r="AS647" s="568"/>
      <c r="AT647" s="568"/>
      <c r="AU647" s="568"/>
      <c r="AV647" s="568"/>
      <c r="AW647" s="32"/>
      <c r="AX647" s="32"/>
      <c r="AY647" s="32"/>
      <c r="AZ647" s="32"/>
      <c r="BA647" s="32"/>
      <c r="BB647" s="568"/>
      <c r="BC647" s="568"/>
      <c r="BD647" s="568"/>
      <c r="BE647" s="32"/>
      <c r="BF647" s="32"/>
      <c r="BG647" s="32"/>
      <c r="BH647" s="32"/>
    </row>
    <row r="648" spans="1:60" x14ac:dyDescent="0.25">
      <c r="A648" s="77"/>
      <c r="B648" s="84"/>
      <c r="C648" s="29"/>
      <c r="D648" s="59"/>
      <c r="E648" s="22"/>
      <c r="F648" s="27"/>
      <c r="G648" s="567"/>
      <c r="H648" s="609">
        <f t="shared" si="166"/>
        <v>0</v>
      </c>
      <c r="I648" s="568"/>
      <c r="J648" s="568"/>
      <c r="K648" s="568"/>
      <c r="L648" s="568"/>
      <c r="M648" s="32"/>
      <c r="N648" s="32"/>
      <c r="O648" s="32"/>
      <c r="P648" s="630"/>
      <c r="Q648" s="609">
        <f t="shared" si="167"/>
        <v>0</v>
      </c>
      <c r="R648" s="568"/>
      <c r="S648" s="568"/>
      <c r="T648" s="568"/>
      <c r="U648" s="568"/>
      <c r="V648" s="32"/>
      <c r="W648" s="32"/>
      <c r="X648" s="32"/>
      <c r="Y648" s="630"/>
      <c r="Z648" s="609">
        <f t="shared" si="168"/>
        <v>0</v>
      </c>
      <c r="AA648" s="568"/>
      <c r="AB648" s="568"/>
      <c r="AC648" s="568"/>
      <c r="AD648" s="568"/>
      <c r="AE648" s="32"/>
      <c r="AF648" s="32"/>
      <c r="AG648" s="32"/>
      <c r="AH648" s="630"/>
      <c r="AI648" s="609">
        <f t="shared" si="169"/>
        <v>0</v>
      </c>
      <c r="AJ648" s="568"/>
      <c r="AK648" s="568"/>
      <c r="AL648" s="568"/>
      <c r="AM648" s="568"/>
      <c r="AN648" s="32"/>
      <c r="AO648" s="32"/>
      <c r="AP648" s="32"/>
      <c r="AQ648" s="630"/>
      <c r="AR648" s="631"/>
      <c r="AS648" s="568"/>
      <c r="AT648" s="568"/>
      <c r="AU648" s="568"/>
      <c r="AV648" s="568"/>
      <c r="AW648" s="32"/>
      <c r="AX648" s="32"/>
      <c r="AY648" s="32"/>
      <c r="AZ648" s="32"/>
      <c r="BA648" s="32"/>
      <c r="BB648" s="568"/>
      <c r="BC648" s="568"/>
      <c r="BD648" s="568"/>
      <c r="BE648" s="32"/>
      <c r="BF648" s="32"/>
      <c r="BG648" s="32"/>
      <c r="BH648" s="32"/>
    </row>
    <row r="649" spans="1:60" x14ac:dyDescent="0.25">
      <c r="A649" s="77"/>
      <c r="B649" s="84"/>
      <c r="C649" s="29"/>
      <c r="D649" s="59"/>
      <c r="E649" s="22"/>
      <c r="F649" s="27"/>
      <c r="G649" s="567"/>
      <c r="H649" s="609">
        <f t="shared" ref="H649:H712" si="170">U649</f>
        <v>0</v>
      </c>
      <c r="I649" s="568"/>
      <c r="J649" s="568"/>
      <c r="K649" s="568"/>
      <c r="L649" s="568"/>
      <c r="M649" s="32"/>
      <c r="N649" s="32"/>
      <c r="O649" s="32"/>
      <c r="P649" s="630"/>
      <c r="Q649" s="609">
        <f t="shared" si="167"/>
        <v>0</v>
      </c>
      <c r="R649" s="568"/>
      <c r="S649" s="568"/>
      <c r="T649" s="568"/>
      <c r="U649" s="568"/>
      <c r="V649" s="32"/>
      <c r="W649" s="32"/>
      <c r="X649" s="32"/>
      <c r="Y649" s="630"/>
      <c r="Z649" s="609">
        <f t="shared" si="168"/>
        <v>0</v>
      </c>
      <c r="AA649" s="568"/>
      <c r="AB649" s="568"/>
      <c r="AC649" s="568"/>
      <c r="AD649" s="568"/>
      <c r="AE649" s="32"/>
      <c r="AF649" s="32"/>
      <c r="AG649" s="32"/>
      <c r="AH649" s="630"/>
      <c r="AI649" s="609">
        <f t="shared" si="169"/>
        <v>0</v>
      </c>
      <c r="AJ649" s="568"/>
      <c r="AK649" s="568"/>
      <c r="AL649" s="568"/>
      <c r="AM649" s="568"/>
      <c r="AN649" s="32"/>
      <c r="AO649" s="32"/>
      <c r="AP649" s="32"/>
      <c r="AQ649" s="630"/>
      <c r="AR649" s="631"/>
      <c r="AS649" s="568"/>
      <c r="AT649" s="568"/>
      <c r="AU649" s="568"/>
      <c r="AV649" s="568"/>
      <c r="AW649" s="32"/>
      <c r="AX649" s="32"/>
      <c r="AY649" s="32"/>
      <c r="AZ649" s="32"/>
      <c r="BA649" s="32"/>
      <c r="BB649" s="568"/>
      <c r="BC649" s="568"/>
      <c r="BD649" s="568"/>
      <c r="BE649" s="32"/>
      <c r="BF649" s="32"/>
      <c r="BG649" s="32"/>
      <c r="BH649" s="32"/>
    </row>
    <row r="650" spans="1:60" x14ac:dyDescent="0.25">
      <c r="A650" s="77"/>
      <c r="B650" s="84"/>
      <c r="C650" s="29"/>
      <c r="D650" s="59"/>
      <c r="E650" s="22"/>
      <c r="F650" s="27"/>
      <c r="G650" s="567"/>
      <c r="H650" s="609">
        <f t="shared" si="170"/>
        <v>0</v>
      </c>
      <c r="I650" s="568"/>
      <c r="J650" s="568"/>
      <c r="K650" s="568"/>
      <c r="L650" s="568"/>
      <c r="M650" s="32"/>
      <c r="N650" s="32"/>
      <c r="O650" s="32"/>
      <c r="P650" s="630"/>
      <c r="Q650" s="609">
        <f t="shared" si="167"/>
        <v>0</v>
      </c>
      <c r="R650" s="568"/>
      <c r="S650" s="568"/>
      <c r="T650" s="568"/>
      <c r="U650" s="568"/>
      <c r="V650" s="32"/>
      <c r="W650" s="32"/>
      <c r="X650" s="32"/>
      <c r="Y650" s="630"/>
      <c r="Z650" s="609">
        <f t="shared" si="168"/>
        <v>0</v>
      </c>
      <c r="AA650" s="568"/>
      <c r="AB650" s="568"/>
      <c r="AC650" s="568"/>
      <c r="AD650" s="568"/>
      <c r="AE650" s="32"/>
      <c r="AF650" s="32"/>
      <c r="AG650" s="32"/>
      <c r="AH650" s="630"/>
      <c r="AI650" s="609">
        <f t="shared" si="169"/>
        <v>0</v>
      </c>
      <c r="AJ650" s="568"/>
      <c r="AK650" s="568"/>
      <c r="AL650" s="568"/>
      <c r="AM650" s="568"/>
      <c r="AN650" s="32"/>
      <c r="AO650" s="32"/>
      <c r="AP650" s="32"/>
      <c r="AQ650" s="630"/>
      <c r="AR650" s="631"/>
      <c r="AS650" s="568"/>
      <c r="AT650" s="568"/>
      <c r="AU650" s="568"/>
      <c r="AV650" s="568"/>
      <c r="AW650" s="32"/>
      <c r="AX650" s="32"/>
      <c r="AY650" s="32"/>
      <c r="AZ650" s="32"/>
      <c r="BA650" s="32"/>
      <c r="BB650" s="568"/>
      <c r="BC650" s="568"/>
      <c r="BD650" s="568"/>
      <c r="BE650" s="32"/>
      <c r="BF650" s="32"/>
      <c r="BG650" s="32"/>
      <c r="BH650" s="32"/>
    </row>
    <row r="651" spans="1:60" x14ac:dyDescent="0.25">
      <c r="A651" s="77"/>
      <c r="B651" s="84"/>
      <c r="C651" s="29"/>
      <c r="D651" s="59"/>
      <c r="E651" s="22"/>
      <c r="F651" s="27"/>
      <c r="G651" s="567"/>
      <c r="H651" s="609">
        <f t="shared" si="170"/>
        <v>0</v>
      </c>
      <c r="I651" s="568"/>
      <c r="J651" s="568"/>
      <c r="K651" s="568"/>
      <c r="L651" s="568"/>
      <c r="M651" s="32"/>
      <c r="N651" s="32"/>
      <c r="O651" s="32"/>
      <c r="P651" s="630"/>
      <c r="Q651" s="609">
        <f t="shared" si="167"/>
        <v>0</v>
      </c>
      <c r="R651" s="568"/>
      <c r="S651" s="568"/>
      <c r="T651" s="568"/>
      <c r="U651" s="568"/>
      <c r="V651" s="32"/>
      <c r="W651" s="32"/>
      <c r="X651" s="32"/>
      <c r="Y651" s="630"/>
      <c r="Z651" s="609">
        <f t="shared" si="168"/>
        <v>0</v>
      </c>
      <c r="AA651" s="568"/>
      <c r="AB651" s="568"/>
      <c r="AC651" s="568"/>
      <c r="AD651" s="568"/>
      <c r="AE651" s="32"/>
      <c r="AF651" s="32"/>
      <c r="AG651" s="32"/>
      <c r="AH651" s="630"/>
      <c r="AI651" s="609">
        <f t="shared" si="169"/>
        <v>0</v>
      </c>
      <c r="AJ651" s="568"/>
      <c r="AK651" s="568"/>
      <c r="AL651" s="568"/>
      <c r="AM651" s="568"/>
      <c r="AN651" s="32"/>
      <c r="AO651" s="32"/>
      <c r="AP651" s="32"/>
      <c r="AQ651" s="630"/>
      <c r="AR651" s="631"/>
      <c r="AS651" s="568"/>
      <c r="AT651" s="568"/>
      <c r="AU651" s="568"/>
      <c r="AV651" s="568"/>
      <c r="AW651" s="32"/>
      <c r="AX651" s="32"/>
      <c r="AY651" s="32"/>
      <c r="AZ651" s="32"/>
      <c r="BA651" s="32"/>
      <c r="BB651" s="568"/>
      <c r="BC651" s="568"/>
      <c r="BD651" s="568"/>
      <c r="BE651" s="32"/>
      <c r="BF651" s="32"/>
      <c r="BG651" s="32"/>
      <c r="BH651" s="32"/>
    </row>
    <row r="652" spans="1:60" x14ac:dyDescent="0.25">
      <c r="A652" s="77"/>
      <c r="B652" s="84"/>
      <c r="C652" s="29"/>
      <c r="D652" s="59"/>
      <c r="E652" s="22"/>
      <c r="F652" s="27"/>
      <c r="G652" s="567"/>
      <c r="H652" s="609">
        <f t="shared" si="170"/>
        <v>0</v>
      </c>
      <c r="I652" s="568"/>
      <c r="J652" s="568"/>
      <c r="K652" s="568"/>
      <c r="L652" s="568"/>
      <c r="M652" s="32"/>
      <c r="N652" s="32"/>
      <c r="O652" s="32"/>
      <c r="P652" s="630"/>
      <c r="Q652" s="609">
        <f t="shared" si="167"/>
        <v>0</v>
      </c>
      <c r="R652" s="568"/>
      <c r="S652" s="568"/>
      <c r="T652" s="568"/>
      <c r="U652" s="568"/>
      <c r="V652" s="32"/>
      <c r="W652" s="32"/>
      <c r="X652" s="32"/>
      <c r="Y652" s="630"/>
      <c r="Z652" s="609">
        <f t="shared" si="168"/>
        <v>0</v>
      </c>
      <c r="AA652" s="568"/>
      <c r="AB652" s="568"/>
      <c r="AC652" s="568"/>
      <c r="AD652" s="568"/>
      <c r="AE652" s="32"/>
      <c r="AF652" s="32"/>
      <c r="AG652" s="32"/>
      <c r="AH652" s="630"/>
      <c r="AI652" s="609">
        <f t="shared" si="169"/>
        <v>0</v>
      </c>
      <c r="AJ652" s="568"/>
      <c r="AK652" s="568"/>
      <c r="AL652" s="568"/>
      <c r="AM652" s="568"/>
      <c r="AN652" s="32"/>
      <c r="AO652" s="32"/>
      <c r="AP652" s="32"/>
      <c r="AQ652" s="630"/>
      <c r="AR652" s="631"/>
      <c r="AS652" s="568"/>
      <c r="AT652" s="568"/>
      <c r="AU652" s="568"/>
      <c r="AV652" s="568"/>
      <c r="AW652" s="32"/>
      <c r="AX652" s="32"/>
      <c r="AY652" s="32"/>
      <c r="AZ652" s="32"/>
      <c r="BA652" s="32"/>
      <c r="BB652" s="568"/>
      <c r="BC652" s="568"/>
      <c r="BD652" s="568"/>
      <c r="BE652" s="32"/>
      <c r="BF652" s="32"/>
      <c r="BG652" s="32"/>
      <c r="BH652" s="32"/>
    </row>
    <row r="653" spans="1:60" x14ac:dyDescent="0.25">
      <c r="A653" s="77"/>
      <c r="B653" s="84"/>
      <c r="C653" s="29"/>
      <c r="D653" s="59"/>
      <c r="E653" s="22"/>
      <c r="F653" s="27"/>
      <c r="G653" s="567"/>
      <c r="H653" s="609">
        <f t="shared" si="170"/>
        <v>0</v>
      </c>
      <c r="I653" s="568"/>
      <c r="J653" s="568"/>
      <c r="K653" s="568"/>
      <c r="L653" s="568"/>
      <c r="M653" s="32"/>
      <c r="N653" s="32"/>
      <c r="O653" s="32"/>
      <c r="P653" s="630"/>
      <c r="Q653" s="609">
        <f t="shared" si="167"/>
        <v>0</v>
      </c>
      <c r="R653" s="568"/>
      <c r="S653" s="568"/>
      <c r="T653" s="568"/>
      <c r="U653" s="568"/>
      <c r="V653" s="32"/>
      <c r="W653" s="32"/>
      <c r="X653" s="32"/>
      <c r="Y653" s="630"/>
      <c r="Z653" s="609">
        <f t="shared" si="168"/>
        <v>0</v>
      </c>
      <c r="AA653" s="568"/>
      <c r="AB653" s="568"/>
      <c r="AC653" s="568"/>
      <c r="AD653" s="568"/>
      <c r="AE653" s="32"/>
      <c r="AF653" s="32"/>
      <c r="AG653" s="32"/>
      <c r="AH653" s="630"/>
      <c r="AI653" s="609">
        <f t="shared" si="169"/>
        <v>0</v>
      </c>
      <c r="AJ653" s="568"/>
      <c r="AK653" s="568"/>
      <c r="AL653" s="568"/>
      <c r="AM653" s="568"/>
      <c r="AN653" s="32"/>
      <c r="AO653" s="32"/>
      <c r="AP653" s="32"/>
      <c r="AQ653" s="630"/>
      <c r="AR653" s="631"/>
      <c r="AS653" s="568"/>
      <c r="AT653" s="568"/>
      <c r="AU653" s="568"/>
      <c r="AV653" s="568"/>
      <c r="AW653" s="32"/>
      <c r="AX653" s="32"/>
      <c r="AY653" s="32"/>
      <c r="AZ653" s="32"/>
      <c r="BA653" s="32"/>
      <c r="BB653" s="568"/>
      <c r="BC653" s="568"/>
      <c r="BD653" s="568"/>
      <c r="BE653" s="32"/>
      <c r="BF653" s="32"/>
      <c r="BG653" s="32"/>
      <c r="BH653" s="32"/>
    </row>
    <row r="654" spans="1:60" x14ac:dyDescent="0.25">
      <c r="A654" s="77"/>
      <c r="B654" s="84"/>
      <c r="C654" s="29"/>
      <c r="D654" s="59"/>
      <c r="E654" s="22"/>
      <c r="F654" s="27"/>
      <c r="G654" s="567"/>
      <c r="H654" s="609">
        <f t="shared" si="170"/>
        <v>0</v>
      </c>
      <c r="I654" s="568"/>
      <c r="J654" s="568"/>
      <c r="K654" s="568"/>
      <c r="L654" s="568"/>
      <c r="M654" s="32"/>
      <c r="N654" s="32"/>
      <c r="O654" s="32"/>
      <c r="P654" s="630"/>
      <c r="Q654" s="609">
        <f t="shared" si="167"/>
        <v>0</v>
      </c>
      <c r="R654" s="568"/>
      <c r="S654" s="568"/>
      <c r="T654" s="568"/>
      <c r="U654" s="568"/>
      <c r="V654" s="32"/>
      <c r="W654" s="32"/>
      <c r="X654" s="32"/>
      <c r="Y654" s="630"/>
      <c r="Z654" s="609">
        <f t="shared" si="168"/>
        <v>0</v>
      </c>
      <c r="AA654" s="568"/>
      <c r="AB654" s="568"/>
      <c r="AC654" s="568"/>
      <c r="AD654" s="568"/>
      <c r="AE654" s="32"/>
      <c r="AF654" s="32"/>
      <c r="AG654" s="32"/>
      <c r="AH654" s="630"/>
      <c r="AI654" s="609">
        <f t="shared" si="169"/>
        <v>0</v>
      </c>
      <c r="AJ654" s="568"/>
      <c r="AK654" s="568"/>
      <c r="AL654" s="568"/>
      <c r="AM654" s="568"/>
      <c r="AN654" s="32"/>
      <c r="AO654" s="32"/>
      <c r="AP654" s="32"/>
      <c r="AQ654" s="630"/>
      <c r="AR654" s="631"/>
      <c r="AS654" s="568"/>
      <c r="AT654" s="568"/>
      <c r="AU654" s="568"/>
      <c r="AV654" s="568"/>
      <c r="AW654" s="32"/>
      <c r="AX654" s="32"/>
      <c r="AY654" s="32"/>
      <c r="AZ654" s="32"/>
      <c r="BA654" s="32"/>
      <c r="BB654" s="568"/>
      <c r="BC654" s="568"/>
      <c r="BD654" s="568"/>
      <c r="BE654" s="32"/>
      <c r="BF654" s="32"/>
      <c r="BG654" s="32"/>
      <c r="BH654" s="32"/>
    </row>
    <row r="655" spans="1:60" x14ac:dyDescent="0.25">
      <c r="A655" s="77"/>
      <c r="B655" s="84"/>
      <c r="C655" s="29"/>
      <c r="D655" s="59"/>
      <c r="E655" s="22"/>
      <c r="F655" s="27"/>
      <c r="G655" s="567"/>
      <c r="H655" s="609">
        <f t="shared" si="170"/>
        <v>0</v>
      </c>
      <c r="I655" s="568"/>
      <c r="J655" s="568"/>
      <c r="K655" s="568"/>
      <c r="L655" s="568"/>
      <c r="M655" s="32"/>
      <c r="N655" s="32"/>
      <c r="O655" s="32"/>
      <c r="P655" s="630"/>
      <c r="Q655" s="609">
        <f t="shared" si="167"/>
        <v>0</v>
      </c>
      <c r="R655" s="568"/>
      <c r="S655" s="568"/>
      <c r="T655" s="568"/>
      <c r="U655" s="568"/>
      <c r="V655" s="32"/>
      <c r="W655" s="32"/>
      <c r="X655" s="32"/>
      <c r="Y655" s="630"/>
      <c r="Z655" s="609">
        <f t="shared" si="168"/>
        <v>0</v>
      </c>
      <c r="AA655" s="568"/>
      <c r="AB655" s="568"/>
      <c r="AC655" s="568"/>
      <c r="AD655" s="568"/>
      <c r="AE655" s="32"/>
      <c r="AF655" s="32"/>
      <c r="AG655" s="32"/>
      <c r="AH655" s="630"/>
      <c r="AI655" s="609">
        <f t="shared" si="169"/>
        <v>0</v>
      </c>
      <c r="AJ655" s="568"/>
      <c r="AK655" s="568"/>
      <c r="AL655" s="568"/>
      <c r="AM655" s="568"/>
      <c r="AN655" s="32"/>
      <c r="AO655" s="32"/>
      <c r="AP655" s="32"/>
      <c r="AQ655" s="630"/>
      <c r="AR655" s="631"/>
      <c r="AS655" s="568"/>
      <c r="AT655" s="568"/>
      <c r="AU655" s="568"/>
      <c r="AV655" s="568"/>
      <c r="AW655" s="32"/>
      <c r="AX655" s="32"/>
      <c r="AY655" s="32"/>
      <c r="AZ655" s="32"/>
      <c r="BA655" s="32"/>
      <c r="BB655" s="568"/>
      <c r="BC655" s="568"/>
      <c r="BD655" s="568"/>
      <c r="BE655" s="32"/>
      <c r="BF655" s="32"/>
      <c r="BG655" s="32"/>
      <c r="BH655" s="32"/>
    </row>
    <row r="656" spans="1:60" x14ac:dyDescent="0.25">
      <c r="A656" s="77"/>
      <c r="B656" s="84"/>
      <c r="C656" s="29"/>
      <c r="D656" s="59"/>
      <c r="E656" s="22"/>
      <c r="F656" s="27"/>
      <c r="G656" s="567"/>
      <c r="H656" s="609">
        <f t="shared" si="170"/>
        <v>0</v>
      </c>
      <c r="I656" s="568"/>
      <c r="J656" s="568"/>
      <c r="K656" s="568"/>
      <c r="L656" s="568"/>
      <c r="M656" s="32"/>
      <c r="N656" s="32"/>
      <c r="O656" s="32"/>
      <c r="P656" s="630"/>
      <c r="Q656" s="609">
        <f t="shared" si="167"/>
        <v>0</v>
      </c>
      <c r="R656" s="568"/>
      <c r="S656" s="568"/>
      <c r="T656" s="568"/>
      <c r="U656" s="568"/>
      <c r="V656" s="32"/>
      <c r="W656" s="32"/>
      <c r="X656" s="32"/>
      <c r="Y656" s="630"/>
      <c r="Z656" s="609">
        <f t="shared" si="168"/>
        <v>0</v>
      </c>
      <c r="AA656" s="568"/>
      <c r="AB656" s="568"/>
      <c r="AC656" s="568"/>
      <c r="AD656" s="568"/>
      <c r="AE656" s="32"/>
      <c r="AF656" s="32"/>
      <c r="AG656" s="32"/>
      <c r="AH656" s="630"/>
      <c r="AI656" s="609">
        <f t="shared" si="169"/>
        <v>0</v>
      </c>
      <c r="AJ656" s="568"/>
      <c r="AK656" s="568"/>
      <c r="AL656" s="568"/>
      <c r="AM656" s="568"/>
      <c r="AN656" s="32"/>
      <c r="AO656" s="32"/>
      <c r="AP656" s="32"/>
      <c r="AQ656" s="630"/>
      <c r="AR656" s="631"/>
      <c r="AS656" s="568"/>
      <c r="AT656" s="568"/>
      <c r="AU656" s="568"/>
      <c r="AV656" s="568"/>
      <c r="AW656" s="32"/>
      <c r="AX656" s="32"/>
      <c r="AY656" s="32"/>
      <c r="AZ656" s="32"/>
      <c r="BA656" s="32"/>
      <c r="BB656" s="568"/>
      <c r="BC656" s="568"/>
      <c r="BD656" s="568"/>
      <c r="BE656" s="32"/>
      <c r="BF656" s="32"/>
      <c r="BG656" s="32"/>
      <c r="BH656" s="32"/>
    </row>
    <row r="657" spans="1:60" x14ac:dyDescent="0.25">
      <c r="A657" s="77"/>
      <c r="B657" s="84"/>
      <c r="C657" s="29"/>
      <c r="D657" s="59"/>
      <c r="E657" s="22"/>
      <c r="F657" s="27"/>
      <c r="G657" s="567"/>
      <c r="H657" s="609">
        <f t="shared" si="170"/>
        <v>0</v>
      </c>
      <c r="I657" s="568"/>
      <c r="J657" s="568"/>
      <c r="K657" s="568"/>
      <c r="L657" s="568"/>
      <c r="M657" s="32"/>
      <c r="N657" s="32"/>
      <c r="O657" s="32"/>
      <c r="P657" s="630"/>
      <c r="Q657" s="609">
        <f t="shared" si="167"/>
        <v>0</v>
      </c>
      <c r="R657" s="568"/>
      <c r="S657" s="568"/>
      <c r="T657" s="568"/>
      <c r="U657" s="568"/>
      <c r="V657" s="32"/>
      <c r="W657" s="32"/>
      <c r="X657" s="32"/>
      <c r="Y657" s="630"/>
      <c r="Z657" s="609">
        <f t="shared" si="168"/>
        <v>0</v>
      </c>
      <c r="AA657" s="568"/>
      <c r="AB657" s="568"/>
      <c r="AC657" s="568"/>
      <c r="AD657" s="568"/>
      <c r="AE657" s="32"/>
      <c r="AF657" s="32"/>
      <c r="AG657" s="32"/>
      <c r="AH657" s="630"/>
      <c r="AI657" s="609">
        <f t="shared" si="169"/>
        <v>0</v>
      </c>
      <c r="AJ657" s="568"/>
      <c r="AK657" s="568"/>
      <c r="AL657" s="568"/>
      <c r="AM657" s="568"/>
      <c r="AN657" s="32"/>
      <c r="AO657" s="32"/>
      <c r="AP657" s="32"/>
      <c r="AQ657" s="630"/>
      <c r="AR657" s="631"/>
      <c r="AS657" s="568"/>
      <c r="AT657" s="568"/>
      <c r="AU657" s="568"/>
      <c r="AV657" s="568"/>
      <c r="AW657" s="32"/>
      <c r="AX657" s="32"/>
      <c r="AY657" s="32"/>
      <c r="AZ657" s="32"/>
      <c r="BA657" s="32"/>
      <c r="BB657" s="568"/>
      <c r="BC657" s="568"/>
      <c r="BD657" s="568"/>
      <c r="BE657" s="32"/>
      <c r="BF657" s="32"/>
      <c r="BG657" s="32"/>
      <c r="BH657" s="32"/>
    </row>
    <row r="658" spans="1:60" x14ac:dyDescent="0.25">
      <c r="A658" s="77"/>
      <c r="B658" s="84"/>
      <c r="C658" s="29"/>
      <c r="D658" s="59"/>
      <c r="E658" s="22"/>
      <c r="F658" s="27"/>
      <c r="G658" s="567"/>
      <c r="H658" s="609">
        <f t="shared" si="170"/>
        <v>0</v>
      </c>
      <c r="I658" s="568"/>
      <c r="J658" s="568"/>
      <c r="K658" s="568"/>
      <c r="L658" s="568"/>
      <c r="M658" s="32"/>
      <c r="N658" s="32"/>
      <c r="O658" s="32"/>
      <c r="P658" s="630"/>
      <c r="Q658" s="609">
        <f t="shared" si="167"/>
        <v>0</v>
      </c>
      <c r="R658" s="568"/>
      <c r="S658" s="568"/>
      <c r="T658" s="568"/>
      <c r="U658" s="568"/>
      <c r="V658" s="32"/>
      <c r="W658" s="32"/>
      <c r="X658" s="32"/>
      <c r="Y658" s="630"/>
      <c r="Z658" s="609">
        <f t="shared" si="168"/>
        <v>0</v>
      </c>
      <c r="AA658" s="568"/>
      <c r="AB658" s="568"/>
      <c r="AC658" s="568"/>
      <c r="AD658" s="568"/>
      <c r="AE658" s="32"/>
      <c r="AF658" s="32"/>
      <c r="AG658" s="32"/>
      <c r="AH658" s="630"/>
      <c r="AI658" s="609">
        <f t="shared" si="169"/>
        <v>0</v>
      </c>
      <c r="AJ658" s="568"/>
      <c r="AK658" s="568"/>
      <c r="AL658" s="568"/>
      <c r="AM658" s="568"/>
      <c r="AN658" s="32"/>
      <c r="AO658" s="32"/>
      <c r="AP658" s="32"/>
      <c r="AQ658" s="630"/>
      <c r="AR658" s="631"/>
      <c r="AS658" s="568"/>
      <c r="AT658" s="568"/>
      <c r="AU658" s="568"/>
      <c r="AV658" s="568"/>
      <c r="AW658" s="32"/>
      <c r="AX658" s="32"/>
      <c r="AY658" s="32"/>
      <c r="AZ658" s="32"/>
      <c r="BA658" s="32"/>
      <c r="BB658" s="568"/>
      <c r="BC658" s="568"/>
      <c r="BD658" s="568"/>
      <c r="BE658" s="32"/>
      <c r="BF658" s="32"/>
      <c r="BG658" s="32"/>
      <c r="BH658" s="32"/>
    </row>
    <row r="659" spans="1:60" x14ac:dyDescent="0.25">
      <c r="A659" s="77"/>
      <c r="B659" s="84"/>
      <c r="C659" s="29"/>
      <c r="D659" s="59"/>
      <c r="E659" s="22"/>
      <c r="F659" s="27"/>
      <c r="G659" s="567"/>
      <c r="H659" s="609">
        <f t="shared" si="170"/>
        <v>0</v>
      </c>
      <c r="I659" s="568"/>
      <c r="J659" s="568"/>
      <c r="K659" s="568"/>
      <c r="L659" s="568"/>
      <c r="M659" s="32"/>
      <c r="N659" s="32"/>
      <c r="O659" s="32"/>
      <c r="P659" s="630"/>
      <c r="Q659" s="609">
        <f t="shared" si="167"/>
        <v>0</v>
      </c>
      <c r="R659" s="568"/>
      <c r="S659" s="568"/>
      <c r="T659" s="568"/>
      <c r="U659" s="568"/>
      <c r="V659" s="32"/>
      <c r="W659" s="32"/>
      <c r="X659" s="32"/>
      <c r="Y659" s="630"/>
      <c r="Z659" s="609">
        <f t="shared" si="168"/>
        <v>0</v>
      </c>
      <c r="AA659" s="568"/>
      <c r="AB659" s="568"/>
      <c r="AC659" s="568"/>
      <c r="AD659" s="568"/>
      <c r="AE659" s="32"/>
      <c r="AF659" s="32"/>
      <c r="AG659" s="32"/>
      <c r="AH659" s="630"/>
      <c r="AI659" s="609">
        <f t="shared" si="169"/>
        <v>0</v>
      </c>
      <c r="AJ659" s="568"/>
      <c r="AK659" s="568"/>
      <c r="AL659" s="568"/>
      <c r="AM659" s="568"/>
      <c r="AN659" s="32"/>
      <c r="AO659" s="32"/>
      <c r="AP659" s="32"/>
      <c r="AQ659" s="630"/>
      <c r="AR659" s="631"/>
      <c r="AS659" s="568"/>
      <c r="AT659" s="568"/>
      <c r="AU659" s="568"/>
      <c r="AV659" s="568"/>
      <c r="AW659" s="32"/>
      <c r="AX659" s="32"/>
      <c r="AY659" s="32"/>
      <c r="AZ659" s="32"/>
      <c r="BA659" s="32"/>
      <c r="BB659" s="568"/>
      <c r="BC659" s="568"/>
      <c r="BD659" s="568"/>
      <c r="BE659" s="32"/>
      <c r="BF659" s="32"/>
      <c r="BG659" s="32"/>
      <c r="BH659" s="32"/>
    </row>
    <row r="660" spans="1:60" x14ac:dyDescent="0.25">
      <c r="A660" s="77"/>
      <c r="B660" s="84"/>
      <c r="C660" s="29"/>
      <c r="D660" s="59"/>
      <c r="E660" s="22"/>
      <c r="F660" s="27"/>
      <c r="G660" s="567"/>
      <c r="H660" s="609">
        <f t="shared" si="170"/>
        <v>0</v>
      </c>
      <c r="I660" s="568"/>
      <c r="J660" s="568"/>
      <c r="K660" s="568"/>
      <c r="L660" s="568"/>
      <c r="M660" s="32"/>
      <c r="N660" s="32"/>
      <c r="O660" s="32"/>
      <c r="P660" s="630"/>
      <c r="Q660" s="609">
        <f t="shared" si="167"/>
        <v>0</v>
      </c>
      <c r="R660" s="568"/>
      <c r="S660" s="568"/>
      <c r="T660" s="568"/>
      <c r="U660" s="568"/>
      <c r="V660" s="32"/>
      <c r="W660" s="32"/>
      <c r="X660" s="32"/>
      <c r="Y660" s="630"/>
      <c r="Z660" s="609">
        <f t="shared" si="168"/>
        <v>0</v>
      </c>
      <c r="AA660" s="568"/>
      <c r="AB660" s="568"/>
      <c r="AC660" s="568"/>
      <c r="AD660" s="568"/>
      <c r="AE660" s="32"/>
      <c r="AF660" s="32"/>
      <c r="AG660" s="32"/>
      <c r="AH660" s="630"/>
      <c r="AI660" s="609">
        <f t="shared" si="169"/>
        <v>0</v>
      </c>
      <c r="AJ660" s="568"/>
      <c r="AK660" s="568"/>
      <c r="AL660" s="568"/>
      <c r="AM660" s="568"/>
      <c r="AN660" s="32"/>
      <c r="AO660" s="32"/>
      <c r="AP660" s="32"/>
      <c r="AQ660" s="630"/>
      <c r="AR660" s="631"/>
      <c r="AS660" s="568"/>
      <c r="AT660" s="568"/>
      <c r="AU660" s="568"/>
      <c r="AV660" s="568"/>
      <c r="AW660" s="32"/>
      <c r="AX660" s="32"/>
      <c r="AY660" s="32"/>
      <c r="AZ660" s="32"/>
      <c r="BA660" s="32"/>
      <c r="BB660" s="568"/>
      <c r="BC660" s="568"/>
      <c r="BD660" s="568"/>
      <c r="BE660" s="32"/>
      <c r="BF660" s="32"/>
      <c r="BG660" s="32"/>
      <c r="BH660" s="32"/>
    </row>
    <row r="661" spans="1:60" x14ac:dyDescent="0.25">
      <c r="A661" s="77"/>
      <c r="B661" s="84"/>
      <c r="C661" s="29"/>
      <c r="D661" s="59"/>
      <c r="E661" s="22"/>
      <c r="F661" s="27"/>
      <c r="G661" s="567"/>
      <c r="H661" s="609">
        <f t="shared" si="170"/>
        <v>0</v>
      </c>
      <c r="I661" s="568"/>
      <c r="J661" s="568"/>
      <c r="K661" s="568"/>
      <c r="L661" s="568"/>
      <c r="M661" s="32"/>
      <c r="N661" s="32"/>
      <c r="O661" s="32"/>
      <c r="P661" s="630"/>
      <c r="Q661" s="609">
        <f t="shared" si="167"/>
        <v>0</v>
      </c>
      <c r="R661" s="568"/>
      <c r="S661" s="568"/>
      <c r="T661" s="568"/>
      <c r="U661" s="568"/>
      <c r="V661" s="32"/>
      <c r="W661" s="32"/>
      <c r="X661" s="32"/>
      <c r="Y661" s="630"/>
      <c r="Z661" s="609">
        <f t="shared" si="168"/>
        <v>0</v>
      </c>
      <c r="AA661" s="568"/>
      <c r="AB661" s="568"/>
      <c r="AC661" s="568"/>
      <c r="AD661" s="568"/>
      <c r="AE661" s="32"/>
      <c r="AF661" s="32"/>
      <c r="AG661" s="32"/>
      <c r="AH661" s="630"/>
      <c r="AI661" s="609">
        <f t="shared" si="169"/>
        <v>0</v>
      </c>
      <c r="AJ661" s="568"/>
      <c r="AK661" s="568"/>
      <c r="AL661" s="568"/>
      <c r="AM661" s="568"/>
      <c r="AN661" s="32"/>
      <c r="AO661" s="32"/>
      <c r="AP661" s="32"/>
      <c r="AQ661" s="630"/>
      <c r="AR661" s="631"/>
      <c r="AS661" s="568"/>
      <c r="AT661" s="568"/>
      <c r="AU661" s="568"/>
      <c r="AV661" s="568"/>
      <c r="AW661" s="32"/>
      <c r="AX661" s="32"/>
      <c r="AY661" s="32"/>
      <c r="AZ661" s="32"/>
      <c r="BA661" s="32"/>
      <c r="BB661" s="568"/>
      <c r="BC661" s="568"/>
      <c r="BD661" s="568"/>
      <c r="BE661" s="32"/>
      <c r="BF661" s="32"/>
      <c r="BG661" s="32"/>
      <c r="BH661" s="32"/>
    </row>
    <row r="662" spans="1:60" x14ac:dyDescent="0.25">
      <c r="A662" s="77"/>
      <c r="B662" s="84"/>
      <c r="C662" s="29"/>
      <c r="D662" s="59"/>
      <c r="E662" s="22"/>
      <c r="F662" s="27"/>
      <c r="G662" s="567"/>
      <c r="H662" s="609">
        <f t="shared" si="170"/>
        <v>0</v>
      </c>
      <c r="I662" s="568"/>
      <c r="J662" s="568"/>
      <c r="K662" s="568"/>
      <c r="L662" s="568"/>
      <c r="M662" s="32"/>
      <c r="N662" s="32"/>
      <c r="O662" s="32"/>
      <c r="P662" s="630"/>
      <c r="Q662" s="609">
        <f t="shared" si="167"/>
        <v>0</v>
      </c>
      <c r="R662" s="568"/>
      <c r="S662" s="568"/>
      <c r="T662" s="568"/>
      <c r="U662" s="568"/>
      <c r="V662" s="32"/>
      <c r="W662" s="32"/>
      <c r="X662" s="32"/>
      <c r="Y662" s="630"/>
      <c r="Z662" s="609">
        <f t="shared" si="168"/>
        <v>0</v>
      </c>
      <c r="AA662" s="568"/>
      <c r="AB662" s="568"/>
      <c r="AC662" s="568"/>
      <c r="AD662" s="568"/>
      <c r="AE662" s="32"/>
      <c r="AF662" s="32"/>
      <c r="AG662" s="32"/>
      <c r="AH662" s="630"/>
      <c r="AI662" s="609">
        <f t="shared" si="169"/>
        <v>0</v>
      </c>
      <c r="AJ662" s="568"/>
      <c r="AK662" s="568"/>
      <c r="AL662" s="568"/>
      <c r="AM662" s="568"/>
      <c r="AN662" s="32"/>
      <c r="AO662" s="32"/>
      <c r="AP662" s="32"/>
      <c r="AQ662" s="630"/>
      <c r="AR662" s="631"/>
      <c r="AS662" s="568"/>
      <c r="AT662" s="568"/>
      <c r="AU662" s="568"/>
      <c r="AV662" s="568"/>
      <c r="AW662" s="32"/>
      <c r="AX662" s="32"/>
      <c r="AY662" s="32"/>
      <c r="AZ662" s="32"/>
      <c r="BA662" s="32"/>
      <c r="BB662" s="568"/>
      <c r="BC662" s="568"/>
      <c r="BD662" s="568"/>
      <c r="BE662" s="32"/>
      <c r="BF662" s="32"/>
      <c r="BG662" s="32"/>
      <c r="BH662" s="32"/>
    </row>
    <row r="663" spans="1:60" x14ac:dyDescent="0.25">
      <c r="A663" s="77"/>
      <c r="B663" s="84"/>
      <c r="C663" s="29"/>
      <c r="D663" s="59"/>
      <c r="E663" s="22"/>
      <c r="F663" s="27"/>
      <c r="G663" s="567"/>
      <c r="H663" s="609">
        <f t="shared" si="170"/>
        <v>0</v>
      </c>
      <c r="I663" s="568"/>
      <c r="J663" s="568"/>
      <c r="K663" s="568"/>
      <c r="L663" s="568"/>
      <c r="M663" s="32"/>
      <c r="N663" s="32"/>
      <c r="O663" s="32"/>
      <c r="P663" s="630"/>
      <c r="Q663" s="609">
        <f t="shared" si="167"/>
        <v>0</v>
      </c>
      <c r="R663" s="568"/>
      <c r="S663" s="568"/>
      <c r="T663" s="568"/>
      <c r="U663" s="568"/>
      <c r="V663" s="32"/>
      <c r="W663" s="32"/>
      <c r="X663" s="32"/>
      <c r="Y663" s="630"/>
      <c r="Z663" s="609">
        <f t="shared" si="168"/>
        <v>0</v>
      </c>
      <c r="AA663" s="568"/>
      <c r="AB663" s="568"/>
      <c r="AC663" s="568"/>
      <c r="AD663" s="568"/>
      <c r="AE663" s="32"/>
      <c r="AF663" s="32"/>
      <c r="AG663" s="32"/>
      <c r="AH663" s="630"/>
      <c r="AI663" s="609">
        <f t="shared" si="169"/>
        <v>0</v>
      </c>
      <c r="AJ663" s="568"/>
      <c r="AK663" s="568"/>
      <c r="AL663" s="568"/>
      <c r="AM663" s="568"/>
      <c r="AN663" s="32"/>
      <c r="AO663" s="32"/>
      <c r="AP663" s="32"/>
      <c r="AQ663" s="630"/>
      <c r="AR663" s="631"/>
      <c r="AS663" s="568"/>
      <c r="AT663" s="568"/>
      <c r="AU663" s="568"/>
      <c r="AV663" s="568"/>
      <c r="AW663" s="32"/>
      <c r="AX663" s="32"/>
      <c r="AY663" s="32"/>
      <c r="AZ663" s="32"/>
      <c r="BA663" s="32"/>
      <c r="BB663" s="568"/>
      <c r="BC663" s="568"/>
      <c r="BD663" s="568"/>
      <c r="BE663" s="32"/>
      <c r="BF663" s="32"/>
      <c r="BG663" s="32"/>
      <c r="BH663" s="32"/>
    </row>
    <row r="664" spans="1:60" x14ac:dyDescent="0.25">
      <c r="A664" s="77"/>
      <c r="B664" s="84"/>
      <c r="C664" s="29"/>
      <c r="D664" s="59"/>
      <c r="E664" s="22"/>
      <c r="F664" s="27"/>
      <c r="G664" s="567"/>
      <c r="H664" s="609">
        <f t="shared" si="170"/>
        <v>0</v>
      </c>
      <c r="I664" s="568"/>
      <c r="J664" s="568"/>
      <c r="K664" s="568"/>
      <c r="L664" s="568"/>
      <c r="M664" s="32"/>
      <c r="N664" s="32"/>
      <c r="O664" s="32"/>
      <c r="P664" s="630"/>
      <c r="Q664" s="609">
        <f t="shared" si="167"/>
        <v>0</v>
      </c>
      <c r="R664" s="568"/>
      <c r="S664" s="568"/>
      <c r="T664" s="568"/>
      <c r="U664" s="568"/>
      <c r="V664" s="32"/>
      <c r="W664" s="32"/>
      <c r="X664" s="32"/>
      <c r="Y664" s="630"/>
      <c r="Z664" s="609">
        <f t="shared" si="168"/>
        <v>0</v>
      </c>
      <c r="AA664" s="568"/>
      <c r="AB664" s="568"/>
      <c r="AC664" s="568"/>
      <c r="AD664" s="568"/>
      <c r="AE664" s="32"/>
      <c r="AF664" s="32"/>
      <c r="AG664" s="32"/>
      <c r="AH664" s="630"/>
      <c r="AI664" s="609">
        <f t="shared" si="169"/>
        <v>0</v>
      </c>
      <c r="AJ664" s="568"/>
      <c r="AK664" s="568"/>
      <c r="AL664" s="568"/>
      <c r="AM664" s="568"/>
      <c r="AN664" s="32"/>
      <c r="AO664" s="32"/>
      <c r="AP664" s="32"/>
      <c r="AQ664" s="630"/>
      <c r="AR664" s="631"/>
      <c r="AS664" s="568"/>
      <c r="AT664" s="568"/>
      <c r="AU664" s="568"/>
      <c r="AV664" s="568"/>
      <c r="AW664" s="32"/>
      <c r="AX664" s="32"/>
      <c r="AY664" s="32"/>
      <c r="AZ664" s="32"/>
      <c r="BA664" s="32"/>
      <c r="BB664" s="568"/>
      <c r="BC664" s="568"/>
      <c r="BD664" s="568"/>
      <c r="BE664" s="32"/>
      <c r="BF664" s="32"/>
      <c r="BG664" s="32"/>
      <c r="BH664" s="32"/>
    </row>
    <row r="665" spans="1:60" x14ac:dyDescent="0.25">
      <c r="A665" s="77"/>
      <c r="B665" s="84"/>
      <c r="C665" s="29"/>
      <c r="D665" s="59"/>
      <c r="E665" s="22"/>
      <c r="F665" s="27"/>
      <c r="G665" s="567"/>
      <c r="H665" s="609">
        <f t="shared" si="170"/>
        <v>0</v>
      </c>
      <c r="I665" s="568"/>
      <c r="J665" s="568"/>
      <c r="K665" s="568"/>
      <c r="L665" s="568"/>
      <c r="M665" s="32"/>
      <c r="N665" s="32"/>
      <c r="O665" s="32"/>
      <c r="P665" s="630"/>
      <c r="Q665" s="609">
        <f t="shared" si="167"/>
        <v>0</v>
      </c>
      <c r="R665" s="568"/>
      <c r="S665" s="568"/>
      <c r="T665" s="568"/>
      <c r="U665" s="568"/>
      <c r="V665" s="32"/>
      <c r="W665" s="32"/>
      <c r="X665" s="32"/>
      <c r="Y665" s="630"/>
      <c r="Z665" s="609">
        <f t="shared" si="168"/>
        <v>0</v>
      </c>
      <c r="AA665" s="568"/>
      <c r="AB665" s="568"/>
      <c r="AC665" s="568"/>
      <c r="AD665" s="568"/>
      <c r="AE665" s="32"/>
      <c r="AF665" s="32"/>
      <c r="AG665" s="32"/>
      <c r="AH665" s="630"/>
      <c r="AI665" s="609">
        <f t="shared" si="169"/>
        <v>0</v>
      </c>
      <c r="AJ665" s="568"/>
      <c r="AK665" s="568"/>
      <c r="AL665" s="568"/>
      <c r="AM665" s="568"/>
      <c r="AN665" s="32"/>
      <c r="AO665" s="32"/>
      <c r="AP665" s="32"/>
      <c r="AQ665" s="630"/>
      <c r="AR665" s="631"/>
      <c r="AS665" s="568"/>
      <c r="AT665" s="568"/>
      <c r="AU665" s="568"/>
      <c r="AV665" s="568"/>
      <c r="AW665" s="32"/>
      <c r="AX665" s="32"/>
      <c r="AY665" s="32"/>
      <c r="AZ665" s="32"/>
      <c r="BA665" s="32"/>
      <c r="BB665" s="568"/>
      <c r="BC665" s="568"/>
      <c r="BD665" s="568"/>
      <c r="BE665" s="32"/>
      <c r="BF665" s="32"/>
      <c r="BG665" s="32"/>
      <c r="BH665" s="32"/>
    </row>
    <row r="666" spans="1:60" x14ac:dyDescent="0.25">
      <c r="A666" s="77"/>
      <c r="B666" s="84"/>
      <c r="C666" s="29"/>
      <c r="D666" s="59"/>
      <c r="E666" s="22"/>
      <c r="F666" s="27"/>
      <c r="G666" s="567"/>
      <c r="H666" s="609">
        <f t="shared" si="170"/>
        <v>0</v>
      </c>
      <c r="I666" s="568"/>
      <c r="J666" s="568"/>
      <c r="K666" s="568"/>
      <c r="L666" s="568"/>
      <c r="M666" s="32"/>
      <c r="N666" s="32"/>
      <c r="O666" s="32"/>
      <c r="P666" s="630"/>
      <c r="Q666" s="609">
        <f t="shared" si="167"/>
        <v>0</v>
      </c>
      <c r="R666" s="568"/>
      <c r="S666" s="568"/>
      <c r="T666" s="568"/>
      <c r="U666" s="568"/>
      <c r="V666" s="32"/>
      <c r="W666" s="32"/>
      <c r="X666" s="32"/>
      <c r="Y666" s="630"/>
      <c r="Z666" s="609">
        <f t="shared" si="168"/>
        <v>0</v>
      </c>
      <c r="AA666" s="568"/>
      <c r="AB666" s="568"/>
      <c r="AC666" s="568"/>
      <c r="AD666" s="568"/>
      <c r="AE666" s="32"/>
      <c r="AF666" s="32"/>
      <c r="AG666" s="32"/>
      <c r="AH666" s="630"/>
      <c r="AI666" s="609">
        <f t="shared" si="169"/>
        <v>0</v>
      </c>
      <c r="AJ666" s="568"/>
      <c r="AK666" s="568"/>
      <c r="AL666" s="568"/>
      <c r="AM666" s="568"/>
      <c r="AN666" s="32"/>
      <c r="AO666" s="32"/>
      <c r="AP666" s="32"/>
      <c r="AQ666" s="630"/>
      <c r="AR666" s="631"/>
      <c r="AS666" s="568"/>
      <c r="AT666" s="568"/>
      <c r="AU666" s="568"/>
      <c r="AV666" s="568"/>
      <c r="AW666" s="32"/>
      <c r="AX666" s="32"/>
      <c r="AY666" s="32"/>
      <c r="AZ666" s="32"/>
      <c r="BA666" s="32"/>
      <c r="BB666" s="568"/>
      <c r="BC666" s="568"/>
      <c r="BD666" s="568"/>
      <c r="BE666" s="32"/>
      <c r="BF666" s="32"/>
      <c r="BG666" s="32"/>
      <c r="BH666" s="32"/>
    </row>
    <row r="667" spans="1:60" x14ac:dyDescent="0.25">
      <c r="A667" s="77"/>
      <c r="B667" s="84"/>
      <c r="C667" s="29"/>
      <c r="D667" s="59"/>
      <c r="E667" s="22"/>
      <c r="F667" s="27"/>
      <c r="G667" s="567"/>
      <c r="H667" s="609">
        <f t="shared" si="170"/>
        <v>0</v>
      </c>
      <c r="I667" s="568"/>
      <c r="J667" s="568"/>
      <c r="K667" s="568"/>
      <c r="L667" s="568"/>
      <c r="M667" s="32"/>
      <c r="N667" s="32"/>
      <c r="O667" s="32"/>
      <c r="P667" s="630"/>
      <c r="Q667" s="609">
        <f t="shared" si="167"/>
        <v>0</v>
      </c>
      <c r="R667" s="568"/>
      <c r="S667" s="568"/>
      <c r="T667" s="568"/>
      <c r="U667" s="568"/>
      <c r="V667" s="32"/>
      <c r="W667" s="32"/>
      <c r="X667" s="32"/>
      <c r="Y667" s="630"/>
      <c r="Z667" s="609">
        <f t="shared" si="168"/>
        <v>0</v>
      </c>
      <c r="AA667" s="568"/>
      <c r="AB667" s="568"/>
      <c r="AC667" s="568"/>
      <c r="AD667" s="568"/>
      <c r="AE667" s="32"/>
      <c r="AF667" s="32"/>
      <c r="AG667" s="32"/>
      <c r="AH667" s="630"/>
      <c r="AI667" s="609">
        <f t="shared" si="169"/>
        <v>0</v>
      </c>
      <c r="AJ667" s="568"/>
      <c r="AK667" s="568"/>
      <c r="AL667" s="568"/>
      <c r="AM667" s="568"/>
      <c r="AN667" s="32"/>
      <c r="AO667" s="32"/>
      <c r="AP667" s="32"/>
      <c r="AQ667" s="630"/>
      <c r="AR667" s="631"/>
      <c r="AS667" s="568"/>
      <c r="AT667" s="568"/>
      <c r="AU667" s="568"/>
      <c r="AV667" s="568"/>
      <c r="AW667" s="32"/>
      <c r="AX667" s="32"/>
      <c r="AY667" s="32"/>
      <c r="AZ667" s="32"/>
      <c r="BA667" s="32"/>
      <c r="BB667" s="568"/>
      <c r="BC667" s="568"/>
      <c r="BD667" s="568"/>
      <c r="BE667" s="32"/>
      <c r="BF667" s="32"/>
      <c r="BG667" s="32"/>
      <c r="BH667" s="32"/>
    </row>
    <row r="668" spans="1:60" x14ac:dyDescent="0.25">
      <c r="A668" s="77"/>
      <c r="B668" s="84"/>
      <c r="C668" s="29"/>
      <c r="D668" s="59"/>
      <c r="E668" s="22"/>
      <c r="F668" s="27"/>
      <c r="G668" s="567"/>
      <c r="H668" s="609">
        <f t="shared" si="170"/>
        <v>0</v>
      </c>
      <c r="I668" s="568"/>
      <c r="J668" s="568"/>
      <c r="K668" s="568"/>
      <c r="L668" s="568"/>
      <c r="M668" s="32"/>
      <c r="N668" s="32"/>
      <c r="O668" s="32"/>
      <c r="P668" s="630"/>
      <c r="Q668" s="609">
        <f t="shared" si="167"/>
        <v>0</v>
      </c>
      <c r="R668" s="568"/>
      <c r="S668" s="568"/>
      <c r="T668" s="568"/>
      <c r="U668" s="568"/>
      <c r="V668" s="32"/>
      <c r="W668" s="32"/>
      <c r="X668" s="32"/>
      <c r="Y668" s="630"/>
      <c r="Z668" s="609">
        <f t="shared" si="168"/>
        <v>0</v>
      </c>
      <c r="AA668" s="568"/>
      <c r="AB668" s="568"/>
      <c r="AC668" s="568"/>
      <c r="AD668" s="568"/>
      <c r="AE668" s="32"/>
      <c r="AF668" s="32"/>
      <c r="AG668" s="32"/>
      <c r="AH668" s="630"/>
      <c r="AI668" s="609">
        <f t="shared" si="169"/>
        <v>0</v>
      </c>
      <c r="AJ668" s="568"/>
      <c r="AK668" s="568"/>
      <c r="AL668" s="568"/>
      <c r="AM668" s="568"/>
      <c r="AN668" s="32"/>
      <c r="AO668" s="32"/>
      <c r="AP668" s="32"/>
      <c r="AQ668" s="630"/>
      <c r="AR668" s="631"/>
      <c r="AS668" s="568"/>
      <c r="AT668" s="568"/>
      <c r="AU668" s="568"/>
      <c r="AV668" s="568"/>
      <c r="AW668" s="32"/>
      <c r="AX668" s="32"/>
      <c r="AY668" s="32"/>
      <c r="AZ668" s="32"/>
      <c r="BA668" s="32"/>
      <c r="BB668" s="568"/>
      <c r="BC668" s="568"/>
      <c r="BD668" s="568"/>
      <c r="BE668" s="32"/>
      <c r="BF668" s="32"/>
      <c r="BG668" s="32"/>
      <c r="BH668" s="32"/>
    </row>
    <row r="669" spans="1:60" x14ac:dyDescent="0.25">
      <c r="A669" s="77"/>
      <c r="B669" s="84"/>
      <c r="C669" s="29"/>
      <c r="D669" s="59"/>
      <c r="E669" s="22"/>
      <c r="F669" s="27"/>
      <c r="G669" s="567"/>
      <c r="H669" s="609">
        <f t="shared" si="170"/>
        <v>0</v>
      </c>
      <c r="I669" s="568"/>
      <c r="J669" s="568"/>
      <c r="K669" s="568"/>
      <c r="L669" s="568"/>
      <c r="M669" s="32"/>
      <c r="N669" s="32"/>
      <c r="O669" s="32"/>
      <c r="P669" s="630"/>
      <c r="Q669" s="609">
        <f t="shared" si="167"/>
        <v>0</v>
      </c>
      <c r="R669" s="568"/>
      <c r="S669" s="568"/>
      <c r="T669" s="568"/>
      <c r="U669" s="568"/>
      <c r="V669" s="32"/>
      <c r="W669" s="32"/>
      <c r="X669" s="32"/>
      <c r="Y669" s="630"/>
      <c r="Z669" s="609">
        <f t="shared" si="168"/>
        <v>0</v>
      </c>
      <c r="AA669" s="568"/>
      <c r="AB669" s="568"/>
      <c r="AC669" s="568"/>
      <c r="AD669" s="568"/>
      <c r="AE669" s="32"/>
      <c r="AF669" s="32"/>
      <c r="AG669" s="32"/>
      <c r="AH669" s="630"/>
      <c r="AI669" s="609">
        <f t="shared" si="169"/>
        <v>0</v>
      </c>
      <c r="AJ669" s="568"/>
      <c r="AK669" s="568"/>
      <c r="AL669" s="568"/>
      <c r="AM669" s="568"/>
      <c r="AN669" s="32"/>
      <c r="AO669" s="32"/>
      <c r="AP669" s="32"/>
      <c r="AQ669" s="630"/>
      <c r="AR669" s="631"/>
      <c r="AS669" s="568"/>
      <c r="AT669" s="568"/>
      <c r="AU669" s="568"/>
      <c r="AV669" s="568"/>
      <c r="AW669" s="32"/>
      <c r="AX669" s="32"/>
      <c r="AY669" s="32"/>
      <c r="AZ669" s="32"/>
      <c r="BA669" s="32"/>
      <c r="BB669" s="568"/>
      <c r="BC669" s="568"/>
      <c r="BD669" s="568"/>
      <c r="BE669" s="32"/>
      <c r="BF669" s="32"/>
      <c r="BG669" s="32"/>
      <c r="BH669" s="32"/>
    </row>
    <row r="670" spans="1:60" x14ac:dyDescent="0.25">
      <c r="A670" s="77"/>
      <c r="B670" s="84"/>
      <c r="C670" s="29"/>
      <c r="D670" s="59"/>
      <c r="E670" s="22"/>
      <c r="F670" s="27"/>
      <c r="G670" s="567"/>
      <c r="H670" s="609">
        <f t="shared" si="170"/>
        <v>0</v>
      </c>
      <c r="I670" s="568"/>
      <c r="J670" s="568"/>
      <c r="K670" s="568"/>
      <c r="L670" s="568"/>
      <c r="M670" s="32"/>
      <c r="N670" s="32"/>
      <c r="O670" s="32"/>
      <c r="P670" s="630"/>
      <c r="Q670" s="609">
        <f t="shared" si="167"/>
        <v>0</v>
      </c>
      <c r="R670" s="568"/>
      <c r="S670" s="568"/>
      <c r="T670" s="568"/>
      <c r="U670" s="568"/>
      <c r="V670" s="32"/>
      <c r="W670" s="32"/>
      <c r="X670" s="32"/>
      <c r="Y670" s="630"/>
      <c r="Z670" s="609">
        <f t="shared" si="168"/>
        <v>0</v>
      </c>
      <c r="AA670" s="568"/>
      <c r="AB670" s="568"/>
      <c r="AC670" s="568"/>
      <c r="AD670" s="568"/>
      <c r="AE670" s="32"/>
      <c r="AF670" s="32"/>
      <c r="AG670" s="32"/>
      <c r="AH670" s="630"/>
      <c r="AI670" s="609">
        <f t="shared" si="169"/>
        <v>0</v>
      </c>
      <c r="AJ670" s="568"/>
      <c r="AK670" s="568"/>
      <c r="AL670" s="568"/>
      <c r="AM670" s="568"/>
      <c r="AN670" s="32"/>
      <c r="AO670" s="32"/>
      <c r="AP670" s="32"/>
      <c r="AQ670" s="630"/>
      <c r="AR670" s="631"/>
      <c r="AS670" s="568"/>
      <c r="AT670" s="568"/>
      <c r="AU670" s="568"/>
      <c r="AV670" s="568"/>
      <c r="AW670" s="32"/>
      <c r="AX670" s="32"/>
      <c r="AY670" s="32"/>
      <c r="AZ670" s="32"/>
      <c r="BA670" s="32"/>
      <c r="BB670" s="568"/>
      <c r="BC670" s="568"/>
      <c r="BD670" s="568"/>
      <c r="BE670" s="32"/>
      <c r="BF670" s="32"/>
      <c r="BG670" s="32"/>
      <c r="BH670" s="32"/>
    </row>
    <row r="671" spans="1:60" x14ac:dyDescent="0.25">
      <c r="A671" s="77"/>
      <c r="B671" s="84"/>
      <c r="C671" s="29"/>
      <c r="D671" s="59"/>
      <c r="E671" s="22"/>
      <c r="F671" s="27"/>
      <c r="G671" s="567"/>
      <c r="H671" s="609">
        <f t="shared" si="170"/>
        <v>0</v>
      </c>
      <c r="I671" s="568"/>
      <c r="J671" s="568"/>
      <c r="K671" s="568"/>
      <c r="L671" s="568"/>
      <c r="M671" s="32"/>
      <c r="N671" s="32"/>
      <c r="O671" s="32"/>
      <c r="P671" s="630"/>
      <c r="Q671" s="609">
        <f t="shared" si="167"/>
        <v>0</v>
      </c>
      <c r="R671" s="568"/>
      <c r="S671" s="568"/>
      <c r="T671" s="568"/>
      <c r="U671" s="568"/>
      <c r="V671" s="32"/>
      <c r="W671" s="32"/>
      <c r="X671" s="32"/>
      <c r="Y671" s="630"/>
      <c r="Z671" s="609">
        <f t="shared" si="168"/>
        <v>0</v>
      </c>
      <c r="AA671" s="568"/>
      <c r="AB671" s="568"/>
      <c r="AC671" s="568"/>
      <c r="AD671" s="568"/>
      <c r="AE671" s="32"/>
      <c r="AF671" s="32"/>
      <c r="AG671" s="32"/>
      <c r="AH671" s="630"/>
      <c r="AI671" s="609">
        <f t="shared" si="169"/>
        <v>0</v>
      </c>
      <c r="AJ671" s="568"/>
      <c r="AK671" s="568"/>
      <c r="AL671" s="568"/>
      <c r="AM671" s="568"/>
      <c r="AN671" s="32"/>
      <c r="AO671" s="32"/>
      <c r="AP671" s="32"/>
      <c r="AQ671" s="630"/>
      <c r="AR671" s="631"/>
      <c r="AS671" s="568"/>
      <c r="AT671" s="568"/>
      <c r="AU671" s="568"/>
      <c r="AV671" s="568"/>
      <c r="AW671" s="32"/>
      <c r="AX671" s="32"/>
      <c r="AY671" s="32"/>
      <c r="AZ671" s="32"/>
      <c r="BA671" s="32"/>
      <c r="BB671" s="568"/>
      <c r="BC671" s="568"/>
      <c r="BD671" s="568"/>
      <c r="BE671" s="32"/>
      <c r="BF671" s="32"/>
      <c r="BG671" s="32"/>
      <c r="BH671" s="32"/>
    </row>
    <row r="672" spans="1:60" x14ac:dyDescent="0.25">
      <c r="A672" s="77"/>
      <c r="B672" s="84"/>
      <c r="C672" s="29"/>
      <c r="D672" s="59"/>
      <c r="E672" s="22"/>
      <c r="F672" s="27"/>
      <c r="G672" s="567"/>
      <c r="H672" s="609">
        <f t="shared" si="170"/>
        <v>0</v>
      </c>
      <c r="I672" s="568"/>
      <c r="J672" s="568"/>
      <c r="K672" s="568"/>
      <c r="L672" s="568"/>
      <c r="M672" s="32"/>
      <c r="N672" s="32"/>
      <c r="O672" s="32"/>
      <c r="P672" s="630"/>
      <c r="Q672" s="609">
        <f t="shared" si="167"/>
        <v>0</v>
      </c>
      <c r="R672" s="568"/>
      <c r="S672" s="568"/>
      <c r="T672" s="568"/>
      <c r="U672" s="568"/>
      <c r="V672" s="32"/>
      <c r="W672" s="32"/>
      <c r="X672" s="32"/>
      <c r="Y672" s="630"/>
      <c r="Z672" s="609">
        <f t="shared" si="168"/>
        <v>0</v>
      </c>
      <c r="AA672" s="568"/>
      <c r="AB672" s="568"/>
      <c r="AC672" s="568"/>
      <c r="AD672" s="568"/>
      <c r="AE672" s="32"/>
      <c r="AF672" s="32"/>
      <c r="AG672" s="32"/>
      <c r="AH672" s="630"/>
      <c r="AI672" s="609">
        <f t="shared" si="169"/>
        <v>0</v>
      </c>
      <c r="AJ672" s="568"/>
      <c r="AK672" s="568"/>
      <c r="AL672" s="568"/>
      <c r="AM672" s="568"/>
      <c r="AN672" s="32"/>
      <c r="AO672" s="32"/>
      <c r="AP672" s="32"/>
      <c r="AQ672" s="630"/>
      <c r="AR672" s="631"/>
      <c r="AS672" s="568"/>
      <c r="AT672" s="568"/>
      <c r="AU672" s="568"/>
      <c r="AV672" s="568"/>
      <c r="AW672" s="32"/>
      <c r="AX672" s="32"/>
      <c r="AY672" s="32"/>
      <c r="AZ672" s="32"/>
      <c r="BA672" s="32"/>
      <c r="BB672" s="568"/>
      <c r="BC672" s="568"/>
      <c r="BD672" s="568"/>
      <c r="BE672" s="32"/>
      <c r="BF672" s="32"/>
      <c r="BG672" s="32"/>
      <c r="BH672" s="32"/>
    </row>
    <row r="673" spans="1:60" x14ac:dyDescent="0.25">
      <c r="A673" s="77"/>
      <c r="B673" s="84"/>
      <c r="C673" s="29"/>
      <c r="D673" s="59"/>
      <c r="E673" s="22"/>
      <c r="F673" s="27"/>
      <c r="G673" s="567"/>
      <c r="H673" s="609">
        <f t="shared" si="170"/>
        <v>0</v>
      </c>
      <c r="I673" s="568"/>
      <c r="J673" s="568"/>
      <c r="K673" s="568"/>
      <c r="L673" s="568"/>
      <c r="M673" s="32"/>
      <c r="N673" s="32"/>
      <c r="O673" s="32"/>
      <c r="P673" s="630"/>
      <c r="Q673" s="609">
        <f t="shared" si="167"/>
        <v>0</v>
      </c>
      <c r="R673" s="568"/>
      <c r="S673" s="568"/>
      <c r="T673" s="568"/>
      <c r="U673" s="568"/>
      <c r="V673" s="32"/>
      <c r="W673" s="32"/>
      <c r="X673" s="32"/>
      <c r="Y673" s="630"/>
      <c r="Z673" s="609">
        <f t="shared" si="168"/>
        <v>0</v>
      </c>
      <c r="AA673" s="568"/>
      <c r="AB673" s="568"/>
      <c r="AC673" s="568"/>
      <c r="AD673" s="568"/>
      <c r="AE673" s="32"/>
      <c r="AF673" s="32"/>
      <c r="AG673" s="32"/>
      <c r="AH673" s="630"/>
      <c r="AI673" s="609">
        <f t="shared" si="169"/>
        <v>0</v>
      </c>
      <c r="AJ673" s="568"/>
      <c r="AK673" s="568"/>
      <c r="AL673" s="568"/>
      <c r="AM673" s="568"/>
      <c r="AN673" s="32"/>
      <c r="AO673" s="32"/>
      <c r="AP673" s="32"/>
      <c r="AQ673" s="630"/>
      <c r="AR673" s="631"/>
      <c r="AS673" s="568"/>
      <c r="AT673" s="568"/>
      <c r="AU673" s="568"/>
      <c r="AV673" s="568"/>
      <c r="AW673" s="32"/>
      <c r="AX673" s="32"/>
      <c r="AY673" s="32"/>
      <c r="AZ673" s="32"/>
      <c r="BA673" s="32"/>
      <c r="BB673" s="568"/>
      <c r="BC673" s="568"/>
      <c r="BD673" s="568"/>
      <c r="BE673" s="32"/>
      <c r="BF673" s="32"/>
      <c r="BG673" s="32"/>
      <c r="BH673" s="32"/>
    </row>
    <row r="674" spans="1:60" x14ac:dyDescent="0.25">
      <c r="A674" s="77"/>
      <c r="B674" s="84"/>
      <c r="C674" s="29"/>
      <c r="D674" s="59"/>
      <c r="E674" s="22"/>
      <c r="F674" s="27"/>
      <c r="G674" s="567"/>
      <c r="H674" s="609">
        <f t="shared" si="170"/>
        <v>0</v>
      </c>
      <c r="I674" s="568"/>
      <c r="J674" s="568"/>
      <c r="K674" s="568"/>
      <c r="L674" s="568"/>
      <c r="M674" s="32"/>
      <c r="N674" s="32"/>
      <c r="O674" s="32"/>
      <c r="P674" s="630"/>
      <c r="Q674" s="609">
        <f t="shared" si="167"/>
        <v>0</v>
      </c>
      <c r="R674" s="568"/>
      <c r="S674" s="568"/>
      <c r="T674" s="568"/>
      <c r="U674" s="568"/>
      <c r="V674" s="32"/>
      <c r="W674" s="32"/>
      <c r="X674" s="32"/>
      <c r="Y674" s="630"/>
      <c r="Z674" s="609">
        <f t="shared" si="168"/>
        <v>0</v>
      </c>
      <c r="AA674" s="568"/>
      <c r="AB674" s="568"/>
      <c r="AC674" s="568"/>
      <c r="AD674" s="568"/>
      <c r="AE674" s="32"/>
      <c r="AF674" s="32"/>
      <c r="AG674" s="32"/>
      <c r="AH674" s="630"/>
      <c r="AI674" s="609">
        <f t="shared" si="169"/>
        <v>0</v>
      </c>
      <c r="AJ674" s="568"/>
      <c r="AK674" s="568"/>
      <c r="AL674" s="568"/>
      <c r="AM674" s="568"/>
      <c r="AN674" s="32"/>
      <c r="AO674" s="32"/>
      <c r="AP674" s="32"/>
      <c r="AQ674" s="630"/>
      <c r="AR674" s="631"/>
      <c r="AS674" s="568"/>
      <c r="AT674" s="568"/>
      <c r="AU674" s="568"/>
      <c r="AV674" s="568"/>
      <c r="AW674" s="32"/>
      <c r="AX674" s="32"/>
      <c r="AY674" s="32"/>
      <c r="AZ674" s="32"/>
      <c r="BA674" s="32"/>
      <c r="BB674" s="568"/>
      <c r="BC674" s="568"/>
      <c r="BD674" s="568"/>
      <c r="BE674" s="32"/>
      <c r="BF674" s="32"/>
      <c r="BG674" s="32"/>
      <c r="BH674" s="32"/>
    </row>
    <row r="675" spans="1:60" x14ac:dyDescent="0.25">
      <c r="A675" s="77"/>
      <c r="B675" s="84"/>
      <c r="C675" s="29"/>
      <c r="D675" s="59"/>
      <c r="E675" s="22"/>
      <c r="F675" s="27"/>
      <c r="G675" s="567"/>
      <c r="H675" s="609">
        <f t="shared" si="170"/>
        <v>0</v>
      </c>
      <c r="I675" s="568"/>
      <c r="J675" s="568"/>
      <c r="K675" s="568"/>
      <c r="L675" s="568"/>
      <c r="M675" s="32"/>
      <c r="N675" s="32"/>
      <c r="O675" s="32"/>
      <c r="P675" s="630"/>
      <c r="Q675" s="609">
        <f t="shared" si="167"/>
        <v>0</v>
      </c>
      <c r="R675" s="568"/>
      <c r="S675" s="568"/>
      <c r="T675" s="568"/>
      <c r="U675" s="568"/>
      <c r="V675" s="32"/>
      <c r="W675" s="32"/>
      <c r="X675" s="32"/>
      <c r="Y675" s="630"/>
      <c r="Z675" s="609">
        <f t="shared" si="168"/>
        <v>0</v>
      </c>
      <c r="AA675" s="568"/>
      <c r="AB675" s="568"/>
      <c r="AC675" s="568"/>
      <c r="AD675" s="568"/>
      <c r="AE675" s="32"/>
      <c r="AF675" s="32"/>
      <c r="AG675" s="32"/>
      <c r="AH675" s="630"/>
      <c r="AI675" s="609">
        <f t="shared" si="169"/>
        <v>0</v>
      </c>
      <c r="AJ675" s="568"/>
      <c r="AK675" s="568"/>
      <c r="AL675" s="568"/>
      <c r="AM675" s="568"/>
      <c r="AN675" s="32"/>
      <c r="AO675" s="32"/>
      <c r="AP675" s="32"/>
      <c r="AQ675" s="630"/>
      <c r="AR675" s="631"/>
      <c r="AS675" s="568"/>
      <c r="AT675" s="568"/>
      <c r="AU675" s="568"/>
      <c r="AV675" s="568"/>
      <c r="AW675" s="32"/>
      <c r="AX675" s="32"/>
      <c r="AY675" s="32"/>
      <c r="AZ675" s="32"/>
      <c r="BA675" s="32"/>
      <c r="BB675" s="568"/>
      <c r="BC675" s="568"/>
      <c r="BD675" s="568"/>
      <c r="BE675" s="32"/>
      <c r="BF675" s="32"/>
      <c r="BG675" s="32"/>
      <c r="BH675" s="32"/>
    </row>
    <row r="676" spans="1:60" x14ac:dyDescent="0.25">
      <c r="A676" s="77"/>
      <c r="B676" s="84"/>
      <c r="C676" s="29"/>
      <c r="D676" s="59"/>
      <c r="E676" s="22"/>
      <c r="F676" s="27"/>
      <c r="G676" s="567"/>
      <c r="H676" s="609">
        <f t="shared" si="170"/>
        <v>0</v>
      </c>
      <c r="I676" s="568"/>
      <c r="J676" s="568"/>
      <c r="K676" s="568"/>
      <c r="L676" s="568"/>
      <c r="M676" s="32"/>
      <c r="N676" s="32"/>
      <c r="O676" s="32"/>
      <c r="P676" s="630"/>
      <c r="Q676" s="609">
        <f t="shared" si="167"/>
        <v>0</v>
      </c>
      <c r="R676" s="568"/>
      <c r="S676" s="568"/>
      <c r="T676" s="568"/>
      <c r="U676" s="568"/>
      <c r="V676" s="32"/>
      <c r="W676" s="32"/>
      <c r="X676" s="32"/>
      <c r="Y676" s="630"/>
      <c r="Z676" s="609">
        <f t="shared" si="168"/>
        <v>0</v>
      </c>
      <c r="AA676" s="568"/>
      <c r="AB676" s="568"/>
      <c r="AC676" s="568"/>
      <c r="AD676" s="568"/>
      <c r="AE676" s="32"/>
      <c r="AF676" s="32"/>
      <c r="AG676" s="32"/>
      <c r="AH676" s="630"/>
      <c r="AI676" s="609">
        <f t="shared" si="169"/>
        <v>0</v>
      </c>
      <c r="AJ676" s="568"/>
      <c r="AK676" s="568"/>
      <c r="AL676" s="568"/>
      <c r="AM676" s="568"/>
      <c r="AN676" s="32"/>
      <c r="AO676" s="32"/>
      <c r="AP676" s="32"/>
      <c r="AQ676" s="630"/>
      <c r="AR676" s="631"/>
      <c r="AS676" s="568"/>
      <c r="AT676" s="568"/>
      <c r="AU676" s="568"/>
      <c r="AV676" s="568"/>
      <c r="AW676" s="32"/>
      <c r="AX676" s="32"/>
      <c r="AY676" s="32"/>
      <c r="AZ676" s="32"/>
      <c r="BA676" s="32"/>
      <c r="BB676" s="568"/>
      <c r="BC676" s="568"/>
      <c r="BD676" s="568"/>
      <c r="BE676" s="32"/>
      <c r="BF676" s="32"/>
      <c r="BG676" s="32"/>
      <c r="BH676" s="32"/>
    </row>
    <row r="677" spans="1:60" x14ac:dyDescent="0.25">
      <c r="A677" s="77"/>
      <c r="B677" s="84"/>
      <c r="C677" s="29"/>
      <c r="D677" s="59"/>
      <c r="E677" s="22"/>
      <c r="F677" s="27"/>
      <c r="G677" s="567"/>
      <c r="H677" s="609">
        <f t="shared" si="170"/>
        <v>0</v>
      </c>
      <c r="I677" s="568"/>
      <c r="J677" s="568"/>
      <c r="K677" s="568"/>
      <c r="L677" s="568"/>
      <c r="M677" s="32"/>
      <c r="N677" s="32"/>
      <c r="O677" s="32"/>
      <c r="P677" s="630"/>
      <c r="Q677" s="609">
        <f t="shared" si="167"/>
        <v>0</v>
      </c>
      <c r="R677" s="568"/>
      <c r="S677" s="568"/>
      <c r="T677" s="568"/>
      <c r="U677" s="568"/>
      <c r="V677" s="32"/>
      <c r="W677" s="32"/>
      <c r="X677" s="32"/>
      <c r="Y677" s="630"/>
      <c r="Z677" s="609">
        <f t="shared" si="168"/>
        <v>0</v>
      </c>
      <c r="AA677" s="568"/>
      <c r="AB677" s="568"/>
      <c r="AC677" s="568"/>
      <c r="AD677" s="568"/>
      <c r="AE677" s="32"/>
      <c r="AF677" s="32"/>
      <c r="AG677" s="32"/>
      <c r="AH677" s="630"/>
      <c r="AI677" s="609">
        <f t="shared" si="169"/>
        <v>0</v>
      </c>
      <c r="AJ677" s="568"/>
      <c r="AK677" s="568"/>
      <c r="AL677" s="568"/>
      <c r="AM677" s="568"/>
      <c r="AN677" s="32"/>
      <c r="AO677" s="32"/>
      <c r="AP677" s="32"/>
      <c r="AQ677" s="630"/>
      <c r="AR677" s="631"/>
      <c r="AS677" s="568"/>
      <c r="AT677" s="568"/>
      <c r="AU677" s="568"/>
      <c r="AV677" s="568"/>
      <c r="AW677" s="32"/>
      <c r="AX677" s="32"/>
      <c r="AY677" s="32"/>
      <c r="AZ677" s="32"/>
      <c r="BA677" s="32"/>
      <c r="BB677" s="568"/>
      <c r="BC677" s="568"/>
      <c r="BD677" s="568"/>
      <c r="BE677" s="32"/>
      <c r="BF677" s="32"/>
      <c r="BG677" s="32"/>
      <c r="BH677" s="32"/>
    </row>
    <row r="678" spans="1:60" x14ac:dyDescent="0.25">
      <c r="A678" s="77"/>
      <c r="B678" s="84"/>
      <c r="C678" s="29"/>
      <c r="D678" s="59"/>
      <c r="E678" s="22"/>
      <c r="F678" s="27"/>
      <c r="G678" s="567"/>
      <c r="H678" s="609">
        <f t="shared" si="170"/>
        <v>0</v>
      </c>
      <c r="I678" s="568"/>
      <c r="J678" s="568"/>
      <c r="K678" s="568"/>
      <c r="L678" s="568"/>
      <c r="M678" s="32"/>
      <c r="N678" s="32"/>
      <c r="O678" s="32"/>
      <c r="P678" s="630"/>
      <c r="Q678" s="609">
        <f t="shared" ref="Q678:Q741" si="171">AM678</f>
        <v>0</v>
      </c>
      <c r="R678" s="568"/>
      <c r="S678" s="568"/>
      <c r="T678" s="568"/>
      <c r="U678" s="568"/>
      <c r="V678" s="32"/>
      <c r="W678" s="32"/>
      <c r="X678" s="32"/>
      <c r="Y678" s="630"/>
      <c r="Z678" s="609">
        <f t="shared" ref="Z678:Z741" si="172">AM678</f>
        <v>0</v>
      </c>
      <c r="AA678" s="568"/>
      <c r="AB678" s="568"/>
      <c r="AC678" s="568"/>
      <c r="AD678" s="568"/>
      <c r="AE678" s="32"/>
      <c r="AF678" s="32"/>
      <c r="AG678" s="32"/>
      <c r="AH678" s="630"/>
      <c r="AI678" s="609">
        <f t="shared" ref="AI678:AI741" si="173">AV678</f>
        <v>0</v>
      </c>
      <c r="AJ678" s="568"/>
      <c r="AK678" s="568"/>
      <c r="AL678" s="568"/>
      <c r="AM678" s="568"/>
      <c r="AN678" s="32"/>
      <c r="AO678" s="32"/>
      <c r="AP678" s="32"/>
      <c r="AQ678" s="630"/>
      <c r="AR678" s="631"/>
      <c r="AS678" s="568"/>
      <c r="AT678" s="568"/>
      <c r="AU678" s="568"/>
      <c r="AV678" s="568"/>
      <c r="AW678" s="32"/>
      <c r="AX678" s="32"/>
      <c r="AY678" s="32"/>
      <c r="AZ678" s="32"/>
      <c r="BA678" s="32"/>
      <c r="BB678" s="568"/>
      <c r="BC678" s="568"/>
      <c r="BD678" s="568"/>
      <c r="BE678" s="32"/>
      <c r="BF678" s="32"/>
      <c r="BG678" s="32"/>
      <c r="BH678" s="32"/>
    </row>
    <row r="679" spans="1:60" x14ac:dyDescent="0.25">
      <c r="A679" s="77"/>
      <c r="B679" s="84"/>
      <c r="C679" s="29"/>
      <c r="D679" s="59"/>
      <c r="E679" s="22"/>
      <c r="F679" s="27"/>
      <c r="G679" s="567"/>
      <c r="H679" s="609">
        <f t="shared" si="170"/>
        <v>0</v>
      </c>
      <c r="I679" s="568"/>
      <c r="J679" s="568"/>
      <c r="K679" s="568"/>
      <c r="L679" s="568"/>
      <c r="M679" s="32"/>
      <c r="N679" s="32"/>
      <c r="O679" s="32"/>
      <c r="P679" s="630"/>
      <c r="Q679" s="609">
        <f t="shared" si="171"/>
        <v>0</v>
      </c>
      <c r="R679" s="568"/>
      <c r="S679" s="568"/>
      <c r="T679" s="568"/>
      <c r="U679" s="568"/>
      <c r="V679" s="32"/>
      <c r="W679" s="32"/>
      <c r="X679" s="32"/>
      <c r="Y679" s="630"/>
      <c r="Z679" s="609">
        <f t="shared" si="172"/>
        <v>0</v>
      </c>
      <c r="AA679" s="568"/>
      <c r="AB679" s="568"/>
      <c r="AC679" s="568"/>
      <c r="AD679" s="568"/>
      <c r="AE679" s="32"/>
      <c r="AF679" s="32"/>
      <c r="AG679" s="32"/>
      <c r="AH679" s="630"/>
      <c r="AI679" s="609">
        <f t="shared" si="173"/>
        <v>0</v>
      </c>
      <c r="AJ679" s="568"/>
      <c r="AK679" s="568"/>
      <c r="AL679" s="568"/>
      <c r="AM679" s="568"/>
      <c r="AN679" s="32"/>
      <c r="AO679" s="32"/>
      <c r="AP679" s="32"/>
      <c r="AQ679" s="630"/>
      <c r="AR679" s="631"/>
      <c r="AS679" s="568"/>
      <c r="AT679" s="568"/>
      <c r="AU679" s="568"/>
      <c r="AV679" s="568"/>
      <c r="AW679" s="32"/>
      <c r="AX679" s="32"/>
      <c r="AY679" s="32"/>
      <c r="AZ679" s="32"/>
      <c r="BA679" s="32"/>
      <c r="BB679" s="568"/>
      <c r="BC679" s="568"/>
      <c r="BD679" s="568"/>
      <c r="BE679" s="32"/>
      <c r="BF679" s="32"/>
      <c r="BG679" s="32"/>
      <c r="BH679" s="32"/>
    </row>
    <row r="680" spans="1:60" x14ac:dyDescent="0.25">
      <c r="A680" s="77"/>
      <c r="B680" s="84"/>
      <c r="C680" s="29"/>
      <c r="D680" s="59"/>
      <c r="E680" s="22"/>
      <c r="F680" s="27"/>
      <c r="G680" s="567"/>
      <c r="H680" s="609">
        <f t="shared" si="170"/>
        <v>0</v>
      </c>
      <c r="I680" s="568"/>
      <c r="J680" s="568"/>
      <c r="K680" s="568"/>
      <c r="L680" s="568"/>
      <c r="M680" s="32"/>
      <c r="N680" s="32"/>
      <c r="O680" s="32"/>
      <c r="P680" s="630"/>
      <c r="Q680" s="609">
        <f t="shared" si="171"/>
        <v>0</v>
      </c>
      <c r="R680" s="568"/>
      <c r="S680" s="568"/>
      <c r="T680" s="568"/>
      <c r="U680" s="568"/>
      <c r="V680" s="32"/>
      <c r="W680" s="32"/>
      <c r="X680" s="32"/>
      <c r="Y680" s="630"/>
      <c r="Z680" s="609">
        <f t="shared" si="172"/>
        <v>0</v>
      </c>
      <c r="AA680" s="568"/>
      <c r="AB680" s="568"/>
      <c r="AC680" s="568"/>
      <c r="AD680" s="568"/>
      <c r="AE680" s="32"/>
      <c r="AF680" s="32"/>
      <c r="AG680" s="32"/>
      <c r="AH680" s="630"/>
      <c r="AI680" s="609">
        <f t="shared" si="173"/>
        <v>0</v>
      </c>
      <c r="AJ680" s="568"/>
      <c r="AK680" s="568"/>
      <c r="AL680" s="568"/>
      <c r="AM680" s="568"/>
      <c r="AN680" s="32"/>
      <c r="AO680" s="32"/>
      <c r="AP680" s="32"/>
      <c r="AQ680" s="630"/>
      <c r="AR680" s="631"/>
      <c r="AS680" s="568"/>
      <c r="AT680" s="568"/>
      <c r="AU680" s="568"/>
      <c r="AV680" s="568"/>
      <c r="AW680" s="32"/>
      <c r="AX680" s="32"/>
      <c r="AY680" s="32"/>
      <c r="AZ680" s="32"/>
      <c r="BA680" s="32"/>
      <c r="BB680" s="568"/>
      <c r="BC680" s="568"/>
      <c r="BD680" s="568"/>
      <c r="BE680" s="32"/>
      <c r="BF680" s="32"/>
      <c r="BG680" s="32"/>
      <c r="BH680" s="32"/>
    </row>
    <row r="681" spans="1:60" x14ac:dyDescent="0.25">
      <c r="A681" s="77"/>
      <c r="B681" s="84"/>
      <c r="C681" s="29"/>
      <c r="D681" s="59"/>
      <c r="E681" s="22"/>
      <c r="F681" s="27"/>
      <c r="G681" s="567"/>
      <c r="H681" s="609">
        <f t="shared" si="170"/>
        <v>0</v>
      </c>
      <c r="I681" s="568"/>
      <c r="J681" s="568"/>
      <c r="K681" s="568"/>
      <c r="L681" s="568"/>
      <c r="M681" s="32"/>
      <c r="N681" s="32"/>
      <c r="O681" s="32"/>
      <c r="P681" s="630"/>
      <c r="Q681" s="609">
        <f t="shared" si="171"/>
        <v>0</v>
      </c>
      <c r="R681" s="568"/>
      <c r="S681" s="568"/>
      <c r="T681" s="568"/>
      <c r="U681" s="568"/>
      <c r="V681" s="32"/>
      <c r="W681" s="32"/>
      <c r="X681" s="32"/>
      <c r="Y681" s="630"/>
      <c r="Z681" s="609">
        <f t="shared" si="172"/>
        <v>0</v>
      </c>
      <c r="AA681" s="568"/>
      <c r="AB681" s="568"/>
      <c r="AC681" s="568"/>
      <c r="AD681" s="568"/>
      <c r="AE681" s="32"/>
      <c r="AF681" s="32"/>
      <c r="AG681" s="32"/>
      <c r="AH681" s="630"/>
      <c r="AI681" s="609">
        <f t="shared" si="173"/>
        <v>0</v>
      </c>
      <c r="AJ681" s="568"/>
      <c r="AK681" s="568"/>
      <c r="AL681" s="568"/>
      <c r="AM681" s="568"/>
      <c r="AN681" s="32"/>
      <c r="AO681" s="32"/>
      <c r="AP681" s="32"/>
      <c r="AQ681" s="630"/>
      <c r="AR681" s="631"/>
      <c r="AS681" s="568"/>
      <c r="AT681" s="568"/>
      <c r="AU681" s="568"/>
      <c r="AV681" s="568"/>
      <c r="AW681" s="32"/>
      <c r="AX681" s="32"/>
      <c r="AY681" s="32"/>
      <c r="AZ681" s="32"/>
      <c r="BA681" s="32"/>
      <c r="BB681" s="568"/>
      <c r="BC681" s="568"/>
      <c r="BD681" s="568"/>
      <c r="BE681" s="32"/>
      <c r="BF681" s="32"/>
      <c r="BG681" s="32"/>
      <c r="BH681" s="32"/>
    </row>
    <row r="682" spans="1:60" x14ac:dyDescent="0.25">
      <c r="A682" s="77"/>
      <c r="B682" s="84"/>
      <c r="C682" s="29"/>
      <c r="D682" s="59"/>
      <c r="E682" s="22"/>
      <c r="F682" s="27"/>
      <c r="G682" s="567"/>
      <c r="H682" s="609">
        <f t="shared" si="170"/>
        <v>0</v>
      </c>
      <c r="I682" s="568"/>
      <c r="J682" s="568"/>
      <c r="K682" s="568"/>
      <c r="L682" s="568"/>
      <c r="M682" s="32"/>
      <c r="N682" s="32"/>
      <c r="O682" s="32"/>
      <c r="P682" s="630"/>
      <c r="Q682" s="609">
        <f t="shared" si="171"/>
        <v>0</v>
      </c>
      <c r="R682" s="568"/>
      <c r="S682" s="568"/>
      <c r="T682" s="568"/>
      <c r="U682" s="568"/>
      <c r="V682" s="32"/>
      <c r="W682" s="32"/>
      <c r="X682" s="32"/>
      <c r="Y682" s="630"/>
      <c r="Z682" s="609">
        <f t="shared" si="172"/>
        <v>0</v>
      </c>
      <c r="AA682" s="568"/>
      <c r="AB682" s="568"/>
      <c r="AC682" s="568"/>
      <c r="AD682" s="568"/>
      <c r="AE682" s="32"/>
      <c r="AF682" s="32"/>
      <c r="AG682" s="32"/>
      <c r="AH682" s="630"/>
      <c r="AI682" s="609">
        <f t="shared" si="173"/>
        <v>0</v>
      </c>
      <c r="AJ682" s="568"/>
      <c r="AK682" s="568"/>
      <c r="AL682" s="568"/>
      <c r="AM682" s="568"/>
      <c r="AN682" s="32"/>
      <c r="AO682" s="32"/>
      <c r="AP682" s="32"/>
      <c r="AQ682" s="630"/>
      <c r="AR682" s="631"/>
      <c r="AS682" s="568"/>
      <c r="AT682" s="568"/>
      <c r="AU682" s="568"/>
      <c r="AV682" s="568"/>
      <c r="AW682" s="32"/>
      <c r="AX682" s="32"/>
      <c r="AY682" s="32"/>
      <c r="AZ682" s="32"/>
      <c r="BA682" s="32"/>
      <c r="BB682" s="568"/>
      <c r="BC682" s="568"/>
      <c r="BD682" s="568"/>
      <c r="BE682" s="32"/>
      <c r="BF682" s="32"/>
      <c r="BG682" s="32"/>
      <c r="BH682" s="32"/>
    </row>
    <row r="683" spans="1:60" x14ac:dyDescent="0.25">
      <c r="A683" s="77"/>
      <c r="B683" s="84"/>
      <c r="C683" s="29"/>
      <c r="D683" s="59"/>
      <c r="E683" s="22"/>
      <c r="F683" s="27"/>
      <c r="G683" s="567"/>
      <c r="H683" s="609">
        <f t="shared" si="170"/>
        <v>0</v>
      </c>
      <c r="I683" s="568"/>
      <c r="J683" s="568"/>
      <c r="K683" s="568"/>
      <c r="L683" s="568"/>
      <c r="M683" s="32"/>
      <c r="N683" s="32"/>
      <c r="O683" s="32"/>
      <c r="P683" s="630"/>
      <c r="Q683" s="609">
        <f t="shared" si="171"/>
        <v>0</v>
      </c>
      <c r="R683" s="568"/>
      <c r="S683" s="568"/>
      <c r="T683" s="568"/>
      <c r="U683" s="568"/>
      <c r="V683" s="32"/>
      <c r="W683" s="32"/>
      <c r="X683" s="32"/>
      <c r="Y683" s="630"/>
      <c r="Z683" s="609">
        <f t="shared" si="172"/>
        <v>0</v>
      </c>
      <c r="AA683" s="568"/>
      <c r="AB683" s="568"/>
      <c r="AC683" s="568"/>
      <c r="AD683" s="568"/>
      <c r="AE683" s="32"/>
      <c r="AF683" s="32"/>
      <c r="AG683" s="32"/>
      <c r="AH683" s="630"/>
      <c r="AI683" s="609">
        <f t="shared" si="173"/>
        <v>0</v>
      </c>
      <c r="AJ683" s="568"/>
      <c r="AK683" s="568"/>
      <c r="AL683" s="568"/>
      <c r="AM683" s="568"/>
      <c r="AN683" s="32"/>
      <c r="AO683" s="32"/>
      <c r="AP683" s="32"/>
      <c r="AQ683" s="630"/>
      <c r="AR683" s="631"/>
      <c r="AS683" s="568"/>
      <c r="AT683" s="568"/>
      <c r="AU683" s="568"/>
      <c r="AV683" s="568"/>
      <c r="AW683" s="32"/>
      <c r="AX683" s="32"/>
      <c r="AY683" s="32"/>
      <c r="AZ683" s="32"/>
      <c r="BA683" s="32"/>
      <c r="BB683" s="568"/>
      <c r="BC683" s="568"/>
      <c r="BD683" s="568"/>
      <c r="BE683" s="32"/>
      <c r="BF683" s="32"/>
      <c r="BG683" s="32"/>
      <c r="BH683" s="32"/>
    </row>
    <row r="684" spans="1:60" x14ac:dyDescent="0.25">
      <c r="A684" s="77"/>
      <c r="B684" s="84"/>
      <c r="C684" s="29"/>
      <c r="D684" s="59"/>
      <c r="E684" s="22"/>
      <c r="F684" s="27"/>
      <c r="G684" s="567"/>
      <c r="H684" s="609">
        <f t="shared" si="170"/>
        <v>0</v>
      </c>
      <c r="I684" s="568"/>
      <c r="J684" s="568"/>
      <c r="K684" s="568"/>
      <c r="L684" s="568"/>
      <c r="M684" s="32"/>
      <c r="N684" s="32"/>
      <c r="O684" s="32"/>
      <c r="P684" s="630"/>
      <c r="Q684" s="609">
        <f t="shared" si="171"/>
        <v>0</v>
      </c>
      <c r="R684" s="568"/>
      <c r="S684" s="568"/>
      <c r="T684" s="568"/>
      <c r="U684" s="568"/>
      <c r="V684" s="32"/>
      <c r="W684" s="32"/>
      <c r="X684" s="32"/>
      <c r="Y684" s="630"/>
      <c r="Z684" s="609">
        <f t="shared" si="172"/>
        <v>0</v>
      </c>
      <c r="AA684" s="568"/>
      <c r="AB684" s="568"/>
      <c r="AC684" s="568"/>
      <c r="AD684" s="568"/>
      <c r="AE684" s="32"/>
      <c r="AF684" s="32"/>
      <c r="AG684" s="32"/>
      <c r="AH684" s="630"/>
      <c r="AI684" s="609">
        <f t="shared" si="173"/>
        <v>0</v>
      </c>
      <c r="AJ684" s="568"/>
      <c r="AK684" s="568"/>
      <c r="AL684" s="568"/>
      <c r="AM684" s="568"/>
      <c r="AN684" s="32"/>
      <c r="AO684" s="32"/>
      <c r="AP684" s="32"/>
      <c r="AQ684" s="630"/>
      <c r="AR684" s="631"/>
      <c r="AS684" s="568"/>
      <c r="AT684" s="568"/>
      <c r="AU684" s="568"/>
      <c r="AV684" s="568"/>
      <c r="AW684" s="32"/>
      <c r="AX684" s="32"/>
      <c r="AY684" s="32"/>
      <c r="AZ684" s="32"/>
      <c r="BA684" s="32"/>
      <c r="BB684" s="568"/>
      <c r="BC684" s="568"/>
      <c r="BD684" s="568"/>
      <c r="BE684" s="32"/>
      <c r="BF684" s="32"/>
      <c r="BG684" s="32"/>
      <c r="BH684" s="32"/>
    </row>
    <row r="685" spans="1:60" x14ac:dyDescent="0.25">
      <c r="A685" s="77"/>
      <c r="B685" s="84"/>
      <c r="C685" s="29"/>
      <c r="D685" s="59"/>
      <c r="E685" s="22"/>
      <c r="F685" s="27"/>
      <c r="G685" s="567"/>
      <c r="H685" s="609">
        <f t="shared" si="170"/>
        <v>0</v>
      </c>
      <c r="I685" s="568"/>
      <c r="J685" s="568"/>
      <c r="K685" s="568"/>
      <c r="L685" s="568"/>
      <c r="M685" s="32"/>
      <c r="N685" s="32"/>
      <c r="O685" s="32"/>
      <c r="P685" s="630"/>
      <c r="Q685" s="609">
        <f t="shared" si="171"/>
        <v>0</v>
      </c>
      <c r="R685" s="568"/>
      <c r="S685" s="568"/>
      <c r="T685" s="568"/>
      <c r="U685" s="568"/>
      <c r="V685" s="32"/>
      <c r="W685" s="32"/>
      <c r="X685" s="32"/>
      <c r="Y685" s="630"/>
      <c r="Z685" s="609">
        <f t="shared" si="172"/>
        <v>0</v>
      </c>
      <c r="AA685" s="568"/>
      <c r="AB685" s="568"/>
      <c r="AC685" s="568"/>
      <c r="AD685" s="568"/>
      <c r="AE685" s="32"/>
      <c r="AF685" s="32"/>
      <c r="AG685" s="32"/>
      <c r="AH685" s="630"/>
      <c r="AI685" s="609">
        <f t="shared" si="173"/>
        <v>0</v>
      </c>
      <c r="AJ685" s="568"/>
      <c r="AK685" s="568"/>
      <c r="AL685" s="568"/>
      <c r="AM685" s="568"/>
      <c r="AN685" s="32"/>
      <c r="AO685" s="32"/>
      <c r="AP685" s="32"/>
      <c r="AQ685" s="630"/>
      <c r="AR685" s="631"/>
      <c r="AS685" s="568"/>
      <c r="AT685" s="568"/>
      <c r="AU685" s="568"/>
      <c r="AV685" s="568"/>
      <c r="AW685" s="32"/>
      <c r="AX685" s="32"/>
      <c r="AY685" s="32"/>
      <c r="AZ685" s="32"/>
      <c r="BA685" s="32"/>
      <c r="BB685" s="568"/>
      <c r="BC685" s="568"/>
      <c r="BD685" s="568"/>
      <c r="BE685" s="32"/>
      <c r="BF685" s="32"/>
      <c r="BG685" s="32"/>
      <c r="BH685" s="32"/>
    </row>
    <row r="686" spans="1:60" x14ac:dyDescent="0.25">
      <c r="A686" s="77"/>
      <c r="B686" s="84"/>
      <c r="C686" s="29"/>
      <c r="D686" s="59"/>
      <c r="E686" s="22"/>
      <c r="F686" s="27"/>
      <c r="G686" s="567"/>
      <c r="H686" s="609">
        <f t="shared" si="170"/>
        <v>0</v>
      </c>
      <c r="I686" s="568"/>
      <c r="J686" s="568"/>
      <c r="K686" s="568"/>
      <c r="L686" s="568"/>
      <c r="M686" s="32"/>
      <c r="N686" s="32"/>
      <c r="O686" s="32"/>
      <c r="P686" s="630"/>
      <c r="Q686" s="609">
        <f t="shared" si="171"/>
        <v>0</v>
      </c>
      <c r="R686" s="568"/>
      <c r="S686" s="568"/>
      <c r="T686" s="568"/>
      <c r="U686" s="568"/>
      <c r="V686" s="32"/>
      <c r="W686" s="32"/>
      <c r="X686" s="32"/>
      <c r="Y686" s="630"/>
      <c r="Z686" s="609">
        <f t="shared" si="172"/>
        <v>0</v>
      </c>
      <c r="AA686" s="568"/>
      <c r="AB686" s="568"/>
      <c r="AC686" s="568"/>
      <c r="AD686" s="568"/>
      <c r="AE686" s="32"/>
      <c r="AF686" s="32"/>
      <c r="AG686" s="32"/>
      <c r="AH686" s="630"/>
      <c r="AI686" s="609">
        <f t="shared" si="173"/>
        <v>0</v>
      </c>
      <c r="AJ686" s="568"/>
      <c r="AK686" s="568"/>
      <c r="AL686" s="568"/>
      <c r="AM686" s="568"/>
      <c r="AN686" s="32"/>
      <c r="AO686" s="32"/>
      <c r="AP686" s="32"/>
      <c r="AQ686" s="630"/>
      <c r="AR686" s="631"/>
      <c r="AS686" s="568"/>
      <c r="AT686" s="568"/>
      <c r="AU686" s="568"/>
      <c r="AV686" s="568"/>
      <c r="AW686" s="32"/>
      <c r="AX686" s="32"/>
      <c r="AY686" s="32"/>
      <c r="AZ686" s="32"/>
      <c r="BA686" s="32"/>
      <c r="BB686" s="568"/>
      <c r="BC686" s="568"/>
      <c r="BD686" s="568"/>
      <c r="BE686" s="32"/>
      <c r="BF686" s="32"/>
      <c r="BG686" s="32"/>
      <c r="BH686" s="32"/>
    </row>
    <row r="687" spans="1:60" x14ac:dyDescent="0.25">
      <c r="A687" s="77"/>
      <c r="B687" s="84"/>
      <c r="C687" s="29"/>
      <c r="D687" s="59"/>
      <c r="E687" s="22"/>
      <c r="F687" s="27"/>
      <c r="G687" s="567"/>
      <c r="H687" s="609">
        <f t="shared" si="170"/>
        <v>0</v>
      </c>
      <c r="I687" s="568"/>
      <c r="J687" s="568"/>
      <c r="K687" s="568"/>
      <c r="L687" s="568"/>
      <c r="M687" s="32"/>
      <c r="N687" s="32"/>
      <c r="O687" s="32"/>
      <c r="P687" s="630"/>
      <c r="Q687" s="609">
        <f t="shared" si="171"/>
        <v>0</v>
      </c>
      <c r="R687" s="568"/>
      <c r="S687" s="568"/>
      <c r="T687" s="568"/>
      <c r="U687" s="568"/>
      <c r="V687" s="32"/>
      <c r="W687" s="32"/>
      <c r="X687" s="32"/>
      <c r="Y687" s="630"/>
      <c r="Z687" s="609">
        <f t="shared" si="172"/>
        <v>0</v>
      </c>
      <c r="AA687" s="568"/>
      <c r="AB687" s="568"/>
      <c r="AC687" s="568"/>
      <c r="AD687" s="568"/>
      <c r="AE687" s="32"/>
      <c r="AF687" s="32"/>
      <c r="AG687" s="32"/>
      <c r="AH687" s="630"/>
      <c r="AI687" s="609">
        <f t="shared" si="173"/>
        <v>0</v>
      </c>
      <c r="AJ687" s="568"/>
      <c r="AK687" s="568"/>
      <c r="AL687" s="568"/>
      <c r="AM687" s="568"/>
      <c r="AN687" s="32"/>
      <c r="AO687" s="32"/>
      <c r="AP687" s="32"/>
      <c r="AQ687" s="630"/>
      <c r="AR687" s="631"/>
      <c r="AS687" s="568"/>
      <c r="AT687" s="568"/>
      <c r="AU687" s="568"/>
      <c r="AV687" s="568"/>
      <c r="AW687" s="32"/>
      <c r="AX687" s="32"/>
      <c r="AY687" s="32"/>
      <c r="AZ687" s="32"/>
      <c r="BA687" s="32"/>
      <c r="BB687" s="568"/>
      <c r="BC687" s="568"/>
      <c r="BD687" s="568"/>
      <c r="BE687" s="32"/>
      <c r="BF687" s="32"/>
      <c r="BG687" s="32"/>
      <c r="BH687" s="32"/>
    </row>
    <row r="688" spans="1:60" x14ac:dyDescent="0.25">
      <c r="A688" s="77"/>
      <c r="B688" s="84"/>
      <c r="C688" s="29"/>
      <c r="D688" s="59"/>
      <c r="E688" s="22"/>
      <c r="F688" s="27"/>
      <c r="G688" s="567"/>
      <c r="H688" s="609">
        <f t="shared" si="170"/>
        <v>0</v>
      </c>
      <c r="I688" s="568"/>
      <c r="J688" s="568"/>
      <c r="K688" s="568"/>
      <c r="L688" s="568"/>
      <c r="M688" s="32"/>
      <c r="N688" s="32"/>
      <c r="O688" s="32"/>
      <c r="P688" s="630"/>
      <c r="Q688" s="609">
        <f t="shared" si="171"/>
        <v>0</v>
      </c>
      <c r="R688" s="568"/>
      <c r="S688" s="568"/>
      <c r="T688" s="568"/>
      <c r="U688" s="568"/>
      <c r="V688" s="32"/>
      <c r="W688" s="32"/>
      <c r="X688" s="32"/>
      <c r="Y688" s="630"/>
      <c r="Z688" s="609">
        <f t="shared" si="172"/>
        <v>0</v>
      </c>
      <c r="AA688" s="568"/>
      <c r="AB688" s="568"/>
      <c r="AC688" s="568"/>
      <c r="AD688" s="568"/>
      <c r="AE688" s="32"/>
      <c r="AF688" s="32"/>
      <c r="AG688" s="32"/>
      <c r="AH688" s="630"/>
      <c r="AI688" s="609">
        <f t="shared" si="173"/>
        <v>0</v>
      </c>
      <c r="AJ688" s="568"/>
      <c r="AK688" s="568"/>
      <c r="AL688" s="568"/>
      <c r="AM688" s="568"/>
      <c r="AN688" s="32"/>
      <c r="AO688" s="32"/>
      <c r="AP688" s="32"/>
      <c r="AQ688" s="630"/>
      <c r="AR688" s="631"/>
      <c r="AS688" s="568"/>
      <c r="AT688" s="568"/>
      <c r="AU688" s="568"/>
      <c r="AV688" s="568"/>
      <c r="AW688" s="32"/>
      <c r="AX688" s="32"/>
      <c r="AY688" s="32"/>
      <c r="AZ688" s="32"/>
      <c r="BA688" s="32"/>
      <c r="BB688" s="568"/>
      <c r="BC688" s="568"/>
      <c r="BD688" s="568"/>
      <c r="BE688" s="32"/>
      <c r="BF688" s="32"/>
      <c r="BG688" s="32"/>
      <c r="BH688" s="32"/>
    </row>
    <row r="689" spans="1:60" x14ac:dyDescent="0.25">
      <c r="A689" s="77"/>
      <c r="B689" s="84"/>
      <c r="C689" s="29"/>
      <c r="D689" s="59"/>
      <c r="E689" s="22"/>
      <c r="F689" s="27"/>
      <c r="G689" s="567"/>
      <c r="H689" s="609">
        <f t="shared" si="170"/>
        <v>0</v>
      </c>
      <c r="I689" s="568"/>
      <c r="J689" s="568"/>
      <c r="K689" s="568"/>
      <c r="L689" s="568"/>
      <c r="M689" s="32"/>
      <c r="N689" s="32"/>
      <c r="O689" s="32"/>
      <c r="P689" s="630"/>
      <c r="Q689" s="609">
        <f t="shared" si="171"/>
        <v>0</v>
      </c>
      <c r="R689" s="568"/>
      <c r="S689" s="568"/>
      <c r="T689" s="568"/>
      <c r="U689" s="568"/>
      <c r="V689" s="32"/>
      <c r="W689" s="32"/>
      <c r="X689" s="32"/>
      <c r="Y689" s="630"/>
      <c r="Z689" s="609">
        <f t="shared" si="172"/>
        <v>0</v>
      </c>
      <c r="AA689" s="568"/>
      <c r="AB689" s="568"/>
      <c r="AC689" s="568"/>
      <c r="AD689" s="568"/>
      <c r="AE689" s="32"/>
      <c r="AF689" s="32"/>
      <c r="AG689" s="32"/>
      <c r="AH689" s="630"/>
      <c r="AI689" s="609">
        <f t="shared" si="173"/>
        <v>0</v>
      </c>
      <c r="AJ689" s="568"/>
      <c r="AK689" s="568"/>
      <c r="AL689" s="568"/>
      <c r="AM689" s="568"/>
      <c r="AN689" s="32"/>
      <c r="AO689" s="32"/>
      <c r="AP689" s="32"/>
      <c r="AQ689" s="630"/>
      <c r="AR689" s="631"/>
      <c r="AS689" s="568"/>
      <c r="AT689" s="568"/>
      <c r="AU689" s="568"/>
      <c r="AV689" s="568"/>
      <c r="AW689" s="32"/>
      <c r="AX689" s="32"/>
      <c r="AY689" s="32"/>
      <c r="AZ689" s="32"/>
      <c r="BA689" s="32"/>
      <c r="BB689" s="568"/>
      <c r="BC689" s="568"/>
      <c r="BD689" s="568"/>
      <c r="BE689" s="32"/>
      <c r="BF689" s="32"/>
      <c r="BG689" s="32"/>
      <c r="BH689" s="32"/>
    </row>
    <row r="690" spans="1:60" x14ac:dyDescent="0.25">
      <c r="A690" s="77"/>
      <c r="B690" s="84"/>
      <c r="C690" s="29"/>
      <c r="D690" s="59"/>
      <c r="E690" s="22"/>
      <c r="F690" s="27"/>
      <c r="G690" s="567"/>
      <c r="H690" s="609">
        <f t="shared" si="170"/>
        <v>0</v>
      </c>
      <c r="I690" s="568"/>
      <c r="J690" s="568"/>
      <c r="K690" s="568"/>
      <c r="L690" s="568"/>
      <c r="M690" s="32"/>
      <c r="N690" s="32"/>
      <c r="O690" s="32"/>
      <c r="P690" s="630"/>
      <c r="Q690" s="609">
        <f t="shared" si="171"/>
        <v>0</v>
      </c>
      <c r="R690" s="568"/>
      <c r="S690" s="568"/>
      <c r="T690" s="568"/>
      <c r="U690" s="568"/>
      <c r="V690" s="32"/>
      <c r="W690" s="32"/>
      <c r="X690" s="32"/>
      <c r="Y690" s="630"/>
      <c r="Z690" s="609">
        <f t="shared" si="172"/>
        <v>0</v>
      </c>
      <c r="AA690" s="568"/>
      <c r="AB690" s="568"/>
      <c r="AC690" s="568"/>
      <c r="AD690" s="568"/>
      <c r="AE690" s="32"/>
      <c r="AF690" s="32"/>
      <c r="AG690" s="32"/>
      <c r="AH690" s="630"/>
      <c r="AI690" s="609">
        <f t="shared" si="173"/>
        <v>0</v>
      </c>
      <c r="AJ690" s="568"/>
      <c r="AK690" s="568"/>
      <c r="AL690" s="568"/>
      <c r="AM690" s="568"/>
      <c r="AN690" s="32"/>
      <c r="AO690" s="32"/>
      <c r="AP690" s="32"/>
      <c r="AQ690" s="630"/>
      <c r="AR690" s="631"/>
      <c r="AS690" s="568"/>
      <c r="AT690" s="568"/>
      <c r="AU690" s="568"/>
      <c r="AV690" s="568"/>
      <c r="AW690" s="32"/>
      <c r="AX690" s="32"/>
      <c r="AY690" s="32"/>
      <c r="AZ690" s="32"/>
      <c r="BA690" s="32"/>
      <c r="BB690" s="568"/>
      <c r="BC690" s="568"/>
      <c r="BD690" s="568"/>
      <c r="BE690" s="32"/>
      <c r="BF690" s="32"/>
      <c r="BG690" s="32"/>
      <c r="BH690" s="32"/>
    </row>
    <row r="691" spans="1:60" x14ac:dyDescent="0.25">
      <c r="A691" s="77"/>
      <c r="B691" s="84"/>
      <c r="C691" s="29"/>
      <c r="D691" s="59"/>
      <c r="E691" s="22"/>
      <c r="F691" s="27"/>
      <c r="G691" s="567"/>
      <c r="H691" s="609">
        <f t="shared" si="170"/>
        <v>0</v>
      </c>
      <c r="I691" s="568"/>
      <c r="J691" s="568"/>
      <c r="K691" s="568"/>
      <c r="L691" s="568"/>
      <c r="M691" s="32"/>
      <c r="N691" s="32"/>
      <c r="O691" s="32"/>
      <c r="P691" s="630"/>
      <c r="Q691" s="609">
        <f t="shared" si="171"/>
        <v>0</v>
      </c>
      <c r="R691" s="568"/>
      <c r="S691" s="568"/>
      <c r="T691" s="568"/>
      <c r="U691" s="568"/>
      <c r="V691" s="32"/>
      <c r="W691" s="32"/>
      <c r="X691" s="32"/>
      <c r="Y691" s="630"/>
      <c r="Z691" s="609">
        <f t="shared" si="172"/>
        <v>0</v>
      </c>
      <c r="AA691" s="568"/>
      <c r="AB691" s="568"/>
      <c r="AC691" s="568"/>
      <c r="AD691" s="568"/>
      <c r="AE691" s="32"/>
      <c r="AF691" s="32"/>
      <c r="AG691" s="32"/>
      <c r="AH691" s="630"/>
      <c r="AI691" s="609">
        <f t="shared" si="173"/>
        <v>0</v>
      </c>
      <c r="AJ691" s="568"/>
      <c r="AK691" s="568"/>
      <c r="AL691" s="568"/>
      <c r="AM691" s="568"/>
      <c r="AN691" s="32"/>
      <c r="AO691" s="32"/>
      <c r="AP691" s="32"/>
      <c r="AQ691" s="630"/>
      <c r="AR691" s="631"/>
      <c r="AS691" s="568"/>
      <c r="AT691" s="568"/>
      <c r="AU691" s="568"/>
      <c r="AV691" s="568"/>
      <c r="AW691" s="32"/>
      <c r="AX691" s="32"/>
      <c r="AY691" s="32"/>
      <c r="AZ691" s="32"/>
      <c r="BA691" s="32"/>
      <c r="BB691" s="568"/>
      <c r="BC691" s="568"/>
      <c r="BD691" s="568"/>
      <c r="BE691" s="32"/>
      <c r="BF691" s="32"/>
      <c r="BG691" s="32"/>
      <c r="BH691" s="32"/>
    </row>
    <row r="692" spans="1:60" x14ac:dyDescent="0.25">
      <c r="A692" s="77"/>
      <c r="B692" s="84"/>
      <c r="C692" s="29"/>
      <c r="D692" s="59"/>
      <c r="E692" s="22"/>
      <c r="F692" s="27"/>
      <c r="G692" s="567"/>
      <c r="H692" s="609">
        <f t="shared" si="170"/>
        <v>0</v>
      </c>
      <c r="I692" s="568"/>
      <c r="J692" s="568"/>
      <c r="K692" s="568"/>
      <c r="L692" s="568"/>
      <c r="M692" s="32"/>
      <c r="N692" s="32"/>
      <c r="O692" s="32"/>
      <c r="P692" s="630"/>
      <c r="Q692" s="609">
        <f t="shared" si="171"/>
        <v>0</v>
      </c>
      <c r="R692" s="568"/>
      <c r="S692" s="568"/>
      <c r="T692" s="568"/>
      <c r="U692" s="568"/>
      <c r="V692" s="32"/>
      <c r="W692" s="32"/>
      <c r="X692" s="32"/>
      <c r="Y692" s="630"/>
      <c r="Z692" s="609">
        <f t="shared" si="172"/>
        <v>0</v>
      </c>
      <c r="AA692" s="568"/>
      <c r="AB692" s="568"/>
      <c r="AC692" s="568"/>
      <c r="AD692" s="568"/>
      <c r="AE692" s="32"/>
      <c r="AF692" s="32"/>
      <c r="AG692" s="32"/>
      <c r="AH692" s="630"/>
      <c r="AI692" s="609">
        <f t="shared" si="173"/>
        <v>0</v>
      </c>
      <c r="AJ692" s="568"/>
      <c r="AK692" s="568"/>
      <c r="AL692" s="568"/>
      <c r="AM692" s="568"/>
      <c r="AN692" s="32"/>
      <c r="AO692" s="32"/>
      <c r="AP692" s="32"/>
      <c r="AQ692" s="630"/>
      <c r="AR692" s="631"/>
      <c r="AS692" s="568"/>
      <c r="AT692" s="568"/>
      <c r="AU692" s="568"/>
      <c r="AV692" s="568"/>
      <c r="AW692" s="32"/>
      <c r="AX692" s="32"/>
      <c r="AY692" s="32"/>
      <c r="AZ692" s="32"/>
      <c r="BA692" s="32"/>
      <c r="BB692" s="568"/>
      <c r="BC692" s="568"/>
      <c r="BD692" s="568"/>
      <c r="BE692" s="32"/>
      <c r="BF692" s="32"/>
      <c r="BG692" s="32"/>
      <c r="BH692" s="32"/>
    </row>
    <row r="693" spans="1:60" x14ac:dyDescent="0.25">
      <c r="A693" s="77"/>
      <c r="B693" s="84"/>
      <c r="C693" s="29"/>
      <c r="D693" s="59"/>
      <c r="E693" s="22"/>
      <c r="F693" s="27"/>
      <c r="G693" s="567"/>
      <c r="H693" s="609">
        <f t="shared" si="170"/>
        <v>0</v>
      </c>
      <c r="I693" s="568"/>
      <c r="J693" s="568"/>
      <c r="K693" s="568"/>
      <c r="L693" s="568"/>
      <c r="M693" s="32"/>
      <c r="N693" s="32"/>
      <c r="O693" s="32"/>
      <c r="P693" s="630"/>
      <c r="Q693" s="609">
        <f t="shared" si="171"/>
        <v>0</v>
      </c>
      <c r="R693" s="568"/>
      <c r="S693" s="568"/>
      <c r="T693" s="568"/>
      <c r="U693" s="568"/>
      <c r="V693" s="32"/>
      <c r="W693" s="32"/>
      <c r="X693" s="32"/>
      <c r="Y693" s="630"/>
      <c r="Z693" s="609">
        <f t="shared" si="172"/>
        <v>0</v>
      </c>
      <c r="AA693" s="568"/>
      <c r="AB693" s="568"/>
      <c r="AC693" s="568"/>
      <c r="AD693" s="568"/>
      <c r="AE693" s="32"/>
      <c r="AF693" s="32"/>
      <c r="AG693" s="32"/>
      <c r="AH693" s="630"/>
      <c r="AI693" s="609">
        <f t="shared" si="173"/>
        <v>0</v>
      </c>
      <c r="AJ693" s="568"/>
      <c r="AK693" s="568"/>
      <c r="AL693" s="568"/>
      <c r="AM693" s="568"/>
      <c r="AN693" s="32"/>
      <c r="AO693" s="32"/>
      <c r="AP693" s="32"/>
      <c r="AQ693" s="630"/>
      <c r="AR693" s="631"/>
      <c r="AS693" s="568"/>
      <c r="AT693" s="568"/>
      <c r="AU693" s="568"/>
      <c r="AV693" s="568"/>
      <c r="AW693" s="32"/>
      <c r="AX693" s="32"/>
      <c r="AY693" s="32"/>
      <c r="AZ693" s="32"/>
      <c r="BA693" s="32"/>
      <c r="BB693" s="568"/>
      <c r="BC693" s="568"/>
      <c r="BD693" s="568"/>
      <c r="BE693" s="32"/>
      <c r="BF693" s="32"/>
      <c r="BG693" s="32"/>
      <c r="BH693" s="32"/>
    </row>
    <row r="694" spans="1:60" x14ac:dyDescent="0.25">
      <c r="A694" s="77"/>
      <c r="B694" s="84"/>
      <c r="C694" s="29"/>
      <c r="D694" s="59"/>
      <c r="E694" s="22"/>
      <c r="F694" s="27"/>
      <c r="G694" s="567"/>
      <c r="H694" s="609">
        <f t="shared" si="170"/>
        <v>0</v>
      </c>
      <c r="I694" s="568"/>
      <c r="J694" s="568"/>
      <c r="K694" s="568"/>
      <c r="L694" s="568"/>
      <c r="M694" s="32"/>
      <c r="N694" s="32"/>
      <c r="O694" s="32"/>
      <c r="P694" s="630"/>
      <c r="Q694" s="609">
        <f t="shared" si="171"/>
        <v>0</v>
      </c>
      <c r="R694" s="568"/>
      <c r="S694" s="568"/>
      <c r="T694" s="568"/>
      <c r="U694" s="568"/>
      <c r="V694" s="32"/>
      <c r="W694" s="32"/>
      <c r="X694" s="32"/>
      <c r="Y694" s="630"/>
      <c r="Z694" s="609">
        <f t="shared" si="172"/>
        <v>0</v>
      </c>
      <c r="AA694" s="568"/>
      <c r="AB694" s="568"/>
      <c r="AC694" s="568"/>
      <c r="AD694" s="568"/>
      <c r="AE694" s="32"/>
      <c r="AF694" s="32"/>
      <c r="AG694" s="32"/>
      <c r="AH694" s="630"/>
      <c r="AI694" s="609">
        <f t="shared" si="173"/>
        <v>0</v>
      </c>
      <c r="AJ694" s="568"/>
      <c r="AK694" s="568"/>
      <c r="AL694" s="568"/>
      <c r="AM694" s="568"/>
      <c r="AN694" s="32"/>
      <c r="AO694" s="32"/>
      <c r="AP694" s="32"/>
      <c r="AQ694" s="630"/>
      <c r="AR694" s="631"/>
      <c r="AS694" s="568"/>
      <c r="AT694" s="568"/>
      <c r="AU694" s="568"/>
      <c r="AV694" s="568"/>
      <c r="AW694" s="32"/>
      <c r="AX694" s="32"/>
      <c r="AY694" s="32"/>
      <c r="AZ694" s="32"/>
      <c r="BA694" s="32"/>
      <c r="BB694" s="568"/>
      <c r="BC694" s="568"/>
      <c r="BD694" s="568"/>
      <c r="BE694" s="32"/>
      <c r="BF694" s="32"/>
      <c r="BG694" s="32"/>
      <c r="BH694" s="32"/>
    </row>
    <row r="695" spans="1:60" x14ac:dyDescent="0.25">
      <c r="A695" s="77"/>
      <c r="B695" s="84"/>
      <c r="C695" s="29"/>
      <c r="D695" s="59"/>
      <c r="E695" s="22"/>
      <c r="F695" s="27"/>
      <c r="G695" s="567"/>
      <c r="H695" s="609">
        <f t="shared" si="170"/>
        <v>0</v>
      </c>
      <c r="I695" s="568"/>
      <c r="J695" s="568"/>
      <c r="K695" s="568"/>
      <c r="L695" s="568"/>
      <c r="M695" s="32"/>
      <c r="N695" s="32"/>
      <c r="O695" s="32"/>
      <c r="P695" s="630"/>
      <c r="Q695" s="609">
        <f t="shared" si="171"/>
        <v>0</v>
      </c>
      <c r="R695" s="568"/>
      <c r="S695" s="568"/>
      <c r="T695" s="568"/>
      <c r="U695" s="568"/>
      <c r="V695" s="32"/>
      <c r="W695" s="32"/>
      <c r="X695" s="32"/>
      <c r="Y695" s="630"/>
      <c r="Z695" s="609">
        <f t="shared" si="172"/>
        <v>0</v>
      </c>
      <c r="AA695" s="568"/>
      <c r="AB695" s="568"/>
      <c r="AC695" s="568"/>
      <c r="AD695" s="568"/>
      <c r="AE695" s="32"/>
      <c r="AF695" s="32"/>
      <c r="AG695" s="32"/>
      <c r="AH695" s="630"/>
      <c r="AI695" s="609">
        <f t="shared" si="173"/>
        <v>0</v>
      </c>
      <c r="AJ695" s="568"/>
      <c r="AK695" s="568"/>
      <c r="AL695" s="568"/>
      <c r="AM695" s="568"/>
      <c r="AN695" s="32"/>
      <c r="AO695" s="32"/>
      <c r="AP695" s="32"/>
      <c r="AQ695" s="630"/>
      <c r="AR695" s="631"/>
      <c r="AS695" s="568"/>
      <c r="AT695" s="568"/>
      <c r="AU695" s="568"/>
      <c r="AV695" s="568"/>
      <c r="AW695" s="32"/>
      <c r="AX695" s="32"/>
      <c r="AY695" s="32"/>
      <c r="AZ695" s="32"/>
      <c r="BA695" s="32"/>
      <c r="BB695" s="568"/>
      <c r="BC695" s="568"/>
      <c r="BD695" s="568"/>
      <c r="BE695" s="32"/>
      <c r="BF695" s="32"/>
      <c r="BG695" s="32"/>
      <c r="BH695" s="32"/>
    </row>
    <row r="696" spans="1:60" x14ac:dyDescent="0.25">
      <c r="A696" s="77"/>
      <c r="B696" s="84"/>
      <c r="C696" s="29"/>
      <c r="D696" s="59"/>
      <c r="E696" s="22"/>
      <c r="F696" s="27"/>
      <c r="G696" s="567"/>
      <c r="H696" s="609">
        <f t="shared" si="170"/>
        <v>0</v>
      </c>
      <c r="I696" s="568"/>
      <c r="J696" s="568"/>
      <c r="K696" s="568"/>
      <c r="L696" s="568"/>
      <c r="M696" s="32"/>
      <c r="N696" s="32"/>
      <c r="O696" s="32"/>
      <c r="P696" s="630"/>
      <c r="Q696" s="609">
        <f t="shared" si="171"/>
        <v>0</v>
      </c>
      <c r="R696" s="568"/>
      <c r="S696" s="568"/>
      <c r="T696" s="568"/>
      <c r="U696" s="568"/>
      <c r="V696" s="32"/>
      <c r="W696" s="32"/>
      <c r="X696" s="32"/>
      <c r="Y696" s="630"/>
      <c r="Z696" s="609">
        <f t="shared" si="172"/>
        <v>0</v>
      </c>
      <c r="AA696" s="568"/>
      <c r="AB696" s="568"/>
      <c r="AC696" s="568"/>
      <c r="AD696" s="568"/>
      <c r="AE696" s="32"/>
      <c r="AF696" s="32"/>
      <c r="AG696" s="32"/>
      <c r="AH696" s="630"/>
      <c r="AI696" s="609">
        <f t="shared" si="173"/>
        <v>0</v>
      </c>
      <c r="AJ696" s="568"/>
      <c r="AK696" s="568"/>
      <c r="AL696" s="568"/>
      <c r="AM696" s="568"/>
      <c r="AN696" s="32"/>
      <c r="AO696" s="32"/>
      <c r="AP696" s="32"/>
      <c r="AQ696" s="630"/>
      <c r="AR696" s="631"/>
      <c r="AS696" s="568"/>
      <c r="AT696" s="568"/>
      <c r="AU696" s="568"/>
      <c r="AV696" s="568"/>
      <c r="AW696" s="32"/>
      <c r="AX696" s="32"/>
      <c r="AY696" s="32"/>
      <c r="AZ696" s="32"/>
      <c r="BA696" s="32"/>
      <c r="BB696" s="568"/>
      <c r="BC696" s="568"/>
      <c r="BD696" s="568"/>
      <c r="BE696" s="32"/>
      <c r="BF696" s="32"/>
      <c r="BG696" s="32"/>
      <c r="BH696" s="32"/>
    </row>
    <row r="697" spans="1:60" x14ac:dyDescent="0.25">
      <c r="A697" s="77"/>
      <c r="B697" s="84"/>
      <c r="C697" s="29"/>
      <c r="D697" s="59"/>
      <c r="E697" s="22"/>
      <c r="F697" s="27"/>
      <c r="G697" s="567"/>
      <c r="H697" s="609">
        <f t="shared" si="170"/>
        <v>0</v>
      </c>
      <c r="I697" s="568"/>
      <c r="J697" s="568"/>
      <c r="K697" s="568"/>
      <c r="L697" s="568"/>
      <c r="M697" s="32"/>
      <c r="N697" s="32"/>
      <c r="O697" s="32"/>
      <c r="P697" s="630"/>
      <c r="Q697" s="609">
        <f t="shared" si="171"/>
        <v>0</v>
      </c>
      <c r="R697" s="568"/>
      <c r="S697" s="568"/>
      <c r="T697" s="568"/>
      <c r="U697" s="568"/>
      <c r="V697" s="32"/>
      <c r="W697" s="32"/>
      <c r="X697" s="32"/>
      <c r="Y697" s="630"/>
      <c r="Z697" s="609">
        <f t="shared" si="172"/>
        <v>0</v>
      </c>
      <c r="AA697" s="568"/>
      <c r="AB697" s="568"/>
      <c r="AC697" s="568"/>
      <c r="AD697" s="568"/>
      <c r="AE697" s="32"/>
      <c r="AF697" s="32"/>
      <c r="AG697" s="32"/>
      <c r="AH697" s="630"/>
      <c r="AI697" s="609">
        <f t="shared" si="173"/>
        <v>0</v>
      </c>
      <c r="AJ697" s="568"/>
      <c r="AK697" s="568"/>
      <c r="AL697" s="568"/>
      <c r="AM697" s="568"/>
      <c r="AN697" s="32"/>
      <c r="AO697" s="32"/>
      <c r="AP697" s="32"/>
      <c r="AQ697" s="630"/>
      <c r="AR697" s="631"/>
      <c r="AS697" s="568"/>
      <c r="AT697" s="568"/>
      <c r="AU697" s="568"/>
      <c r="AV697" s="568"/>
      <c r="AW697" s="32"/>
      <c r="AX697" s="32"/>
      <c r="AY697" s="32"/>
      <c r="AZ697" s="32"/>
      <c r="BA697" s="32"/>
      <c r="BB697" s="568"/>
      <c r="BC697" s="568"/>
      <c r="BD697" s="568"/>
      <c r="BE697" s="32"/>
      <c r="BF697" s="32"/>
      <c r="BG697" s="32"/>
      <c r="BH697" s="32"/>
    </row>
    <row r="698" spans="1:60" x14ac:dyDescent="0.25">
      <c r="A698" s="77"/>
      <c r="B698" s="84"/>
      <c r="C698" s="29"/>
      <c r="D698" s="59"/>
      <c r="E698" s="22"/>
      <c r="F698" s="27"/>
      <c r="G698" s="567"/>
      <c r="H698" s="609">
        <f t="shared" si="170"/>
        <v>0</v>
      </c>
      <c r="I698" s="568"/>
      <c r="J698" s="568"/>
      <c r="K698" s="568"/>
      <c r="L698" s="568"/>
      <c r="M698" s="32"/>
      <c r="N698" s="32"/>
      <c r="O698" s="32"/>
      <c r="P698" s="630"/>
      <c r="Q698" s="609">
        <f t="shared" si="171"/>
        <v>0</v>
      </c>
      <c r="R698" s="568"/>
      <c r="S698" s="568"/>
      <c r="T698" s="568"/>
      <c r="U698" s="568"/>
      <c r="V698" s="32"/>
      <c r="W698" s="32"/>
      <c r="X698" s="32"/>
      <c r="Y698" s="630"/>
      <c r="Z698" s="609">
        <f t="shared" si="172"/>
        <v>0</v>
      </c>
      <c r="AA698" s="568"/>
      <c r="AB698" s="568"/>
      <c r="AC698" s="568"/>
      <c r="AD698" s="568"/>
      <c r="AE698" s="32"/>
      <c r="AF698" s="32"/>
      <c r="AG698" s="32"/>
      <c r="AH698" s="630"/>
      <c r="AI698" s="609">
        <f t="shared" si="173"/>
        <v>0</v>
      </c>
      <c r="AJ698" s="568"/>
      <c r="AK698" s="568"/>
      <c r="AL698" s="568"/>
      <c r="AM698" s="568"/>
      <c r="AN698" s="32"/>
      <c r="AO698" s="32"/>
      <c r="AP698" s="32"/>
      <c r="AQ698" s="630"/>
      <c r="AR698" s="631"/>
      <c r="AS698" s="568"/>
      <c r="AT698" s="568"/>
      <c r="AU698" s="568"/>
      <c r="AV698" s="568"/>
      <c r="AW698" s="32"/>
      <c r="AX698" s="32"/>
      <c r="AY698" s="32"/>
      <c r="AZ698" s="32"/>
      <c r="BA698" s="32"/>
      <c r="BB698" s="568"/>
      <c r="BC698" s="568"/>
      <c r="BD698" s="568"/>
      <c r="BE698" s="32"/>
      <c r="BF698" s="32"/>
      <c r="BG698" s="32"/>
      <c r="BH698" s="32"/>
    </row>
    <row r="699" spans="1:60" x14ac:dyDescent="0.25">
      <c r="A699" s="77"/>
      <c r="B699" s="84"/>
      <c r="C699" s="29"/>
      <c r="D699" s="59"/>
      <c r="E699" s="22"/>
      <c r="F699" s="27"/>
      <c r="G699" s="567"/>
      <c r="H699" s="609">
        <f t="shared" si="170"/>
        <v>0</v>
      </c>
      <c r="I699" s="568"/>
      <c r="J699" s="568"/>
      <c r="K699" s="568"/>
      <c r="L699" s="568"/>
      <c r="M699" s="32"/>
      <c r="N699" s="32"/>
      <c r="O699" s="32"/>
      <c r="P699" s="630"/>
      <c r="Q699" s="609">
        <f t="shared" si="171"/>
        <v>0</v>
      </c>
      <c r="R699" s="568"/>
      <c r="S699" s="568"/>
      <c r="T699" s="568"/>
      <c r="U699" s="568"/>
      <c r="V699" s="32"/>
      <c r="W699" s="32"/>
      <c r="X699" s="32"/>
      <c r="Y699" s="630"/>
      <c r="Z699" s="609">
        <f t="shared" si="172"/>
        <v>0</v>
      </c>
      <c r="AA699" s="568"/>
      <c r="AB699" s="568"/>
      <c r="AC699" s="568"/>
      <c r="AD699" s="568"/>
      <c r="AE699" s="32"/>
      <c r="AF699" s="32"/>
      <c r="AG699" s="32"/>
      <c r="AH699" s="630"/>
      <c r="AI699" s="609">
        <f t="shared" si="173"/>
        <v>0</v>
      </c>
      <c r="AJ699" s="568"/>
      <c r="AK699" s="568"/>
      <c r="AL699" s="568"/>
      <c r="AM699" s="568"/>
      <c r="AN699" s="32"/>
      <c r="AO699" s="32"/>
      <c r="AP699" s="32"/>
      <c r="AQ699" s="630"/>
      <c r="AR699" s="631"/>
      <c r="AS699" s="568"/>
      <c r="AT699" s="568"/>
      <c r="AU699" s="568"/>
      <c r="AV699" s="568"/>
      <c r="AW699" s="32"/>
      <c r="AX699" s="32"/>
      <c r="AY699" s="32"/>
      <c r="AZ699" s="32"/>
      <c r="BA699" s="32"/>
      <c r="BB699" s="568"/>
      <c r="BC699" s="568"/>
      <c r="BD699" s="568"/>
      <c r="BE699" s="32"/>
      <c r="BF699" s="32"/>
      <c r="BG699" s="32"/>
      <c r="BH699" s="32"/>
    </row>
    <row r="700" spans="1:60" x14ac:dyDescent="0.25">
      <c r="A700" s="77"/>
      <c r="B700" s="84"/>
      <c r="C700" s="29"/>
      <c r="D700" s="59"/>
      <c r="E700" s="22"/>
      <c r="F700" s="27"/>
      <c r="G700" s="567"/>
      <c r="H700" s="609">
        <f t="shared" si="170"/>
        <v>0</v>
      </c>
      <c r="I700" s="568"/>
      <c r="J700" s="568"/>
      <c r="K700" s="568"/>
      <c r="L700" s="568"/>
      <c r="M700" s="32"/>
      <c r="N700" s="32"/>
      <c r="O700" s="32"/>
      <c r="P700" s="630"/>
      <c r="Q700" s="609">
        <f t="shared" si="171"/>
        <v>0</v>
      </c>
      <c r="R700" s="568"/>
      <c r="S700" s="568"/>
      <c r="T700" s="568"/>
      <c r="U700" s="568"/>
      <c r="V700" s="32"/>
      <c r="W700" s="32"/>
      <c r="X700" s="32"/>
      <c r="Y700" s="630"/>
      <c r="Z700" s="609">
        <f t="shared" si="172"/>
        <v>0</v>
      </c>
      <c r="AA700" s="568"/>
      <c r="AB700" s="568"/>
      <c r="AC700" s="568"/>
      <c r="AD700" s="568"/>
      <c r="AE700" s="32"/>
      <c r="AF700" s="32"/>
      <c r="AG700" s="32"/>
      <c r="AH700" s="630"/>
      <c r="AI700" s="609">
        <f t="shared" si="173"/>
        <v>0</v>
      </c>
      <c r="AJ700" s="568"/>
      <c r="AK700" s="568"/>
      <c r="AL700" s="568"/>
      <c r="AM700" s="568"/>
      <c r="AN700" s="32"/>
      <c r="AO700" s="32"/>
      <c r="AP700" s="32"/>
      <c r="AQ700" s="630"/>
      <c r="AR700" s="631"/>
      <c r="AS700" s="568"/>
      <c r="AT700" s="568"/>
      <c r="AU700" s="568"/>
      <c r="AV700" s="568"/>
      <c r="AW700" s="32"/>
      <c r="AX700" s="32"/>
      <c r="AY700" s="32"/>
      <c r="AZ700" s="32"/>
      <c r="BA700" s="32"/>
      <c r="BB700" s="568"/>
      <c r="BC700" s="568"/>
      <c r="BD700" s="568"/>
      <c r="BE700" s="32"/>
      <c r="BF700" s="32"/>
      <c r="BG700" s="32"/>
      <c r="BH700" s="32"/>
    </row>
    <row r="701" spans="1:60" x14ac:dyDescent="0.25">
      <c r="A701" s="77"/>
      <c r="B701" s="84"/>
      <c r="C701" s="29"/>
      <c r="D701" s="59"/>
      <c r="E701" s="22"/>
      <c r="F701" s="27"/>
      <c r="G701" s="567"/>
      <c r="H701" s="609">
        <f t="shared" si="170"/>
        <v>0</v>
      </c>
      <c r="I701" s="568"/>
      <c r="J701" s="568"/>
      <c r="K701" s="568"/>
      <c r="L701" s="568"/>
      <c r="M701" s="32"/>
      <c r="N701" s="32"/>
      <c r="O701" s="32"/>
      <c r="P701" s="630"/>
      <c r="Q701" s="609">
        <f t="shared" si="171"/>
        <v>0</v>
      </c>
      <c r="R701" s="568"/>
      <c r="S701" s="568"/>
      <c r="T701" s="568"/>
      <c r="U701" s="568"/>
      <c r="V701" s="32"/>
      <c r="W701" s="32"/>
      <c r="X701" s="32"/>
      <c r="Y701" s="630"/>
      <c r="Z701" s="609">
        <f t="shared" si="172"/>
        <v>0</v>
      </c>
      <c r="AA701" s="568"/>
      <c r="AB701" s="568"/>
      <c r="AC701" s="568"/>
      <c r="AD701" s="568"/>
      <c r="AE701" s="32"/>
      <c r="AF701" s="32"/>
      <c r="AG701" s="32"/>
      <c r="AH701" s="630"/>
      <c r="AI701" s="609">
        <f t="shared" si="173"/>
        <v>0</v>
      </c>
      <c r="AJ701" s="568"/>
      <c r="AK701" s="568"/>
      <c r="AL701" s="568"/>
      <c r="AM701" s="568"/>
      <c r="AN701" s="32"/>
      <c r="AO701" s="32"/>
      <c r="AP701" s="32"/>
      <c r="AQ701" s="630"/>
      <c r="AR701" s="631"/>
      <c r="AS701" s="568"/>
      <c r="AT701" s="568"/>
      <c r="AU701" s="568"/>
      <c r="AV701" s="568"/>
      <c r="AW701" s="32"/>
      <c r="AX701" s="32"/>
      <c r="AY701" s="32"/>
      <c r="AZ701" s="32"/>
      <c r="BA701" s="32"/>
      <c r="BB701" s="568"/>
      <c r="BC701" s="568"/>
      <c r="BD701" s="568"/>
      <c r="BE701" s="32"/>
      <c r="BF701" s="32"/>
      <c r="BG701" s="32"/>
      <c r="BH701" s="32"/>
    </row>
    <row r="702" spans="1:60" x14ac:dyDescent="0.25">
      <c r="A702" s="77"/>
      <c r="B702" s="84"/>
      <c r="C702" s="29"/>
      <c r="D702" s="59"/>
      <c r="E702" s="22"/>
      <c r="F702" s="27"/>
      <c r="G702" s="567"/>
      <c r="H702" s="609">
        <f t="shared" si="170"/>
        <v>0</v>
      </c>
      <c r="I702" s="568"/>
      <c r="J702" s="568"/>
      <c r="K702" s="568"/>
      <c r="L702" s="568"/>
      <c r="M702" s="32"/>
      <c r="N702" s="32"/>
      <c r="O702" s="32"/>
      <c r="P702" s="630"/>
      <c r="Q702" s="609">
        <f t="shared" si="171"/>
        <v>0</v>
      </c>
      <c r="R702" s="568"/>
      <c r="S702" s="568"/>
      <c r="T702" s="568"/>
      <c r="U702" s="568"/>
      <c r="V702" s="32"/>
      <c r="W702" s="32"/>
      <c r="X702" s="32"/>
      <c r="Y702" s="630"/>
      <c r="Z702" s="609">
        <f t="shared" si="172"/>
        <v>0</v>
      </c>
      <c r="AA702" s="568"/>
      <c r="AB702" s="568"/>
      <c r="AC702" s="568"/>
      <c r="AD702" s="568"/>
      <c r="AE702" s="32"/>
      <c r="AF702" s="32"/>
      <c r="AG702" s="32"/>
      <c r="AH702" s="630"/>
      <c r="AI702" s="609">
        <f t="shared" si="173"/>
        <v>0</v>
      </c>
      <c r="AJ702" s="568"/>
      <c r="AK702" s="568"/>
      <c r="AL702" s="568"/>
      <c r="AM702" s="568"/>
      <c r="AN702" s="32"/>
      <c r="AO702" s="32"/>
      <c r="AP702" s="32"/>
      <c r="AQ702" s="630"/>
      <c r="AR702" s="631"/>
      <c r="AS702" s="568"/>
      <c r="AT702" s="568"/>
      <c r="AU702" s="568"/>
      <c r="AV702" s="568"/>
      <c r="AW702" s="32"/>
      <c r="AX702" s="32"/>
      <c r="AY702" s="32"/>
      <c r="AZ702" s="32"/>
      <c r="BA702" s="32"/>
      <c r="BB702" s="568"/>
      <c r="BC702" s="568"/>
      <c r="BD702" s="568"/>
      <c r="BE702" s="32"/>
      <c r="BF702" s="32"/>
      <c r="BG702" s="32"/>
      <c r="BH702" s="32"/>
    </row>
    <row r="703" spans="1:60" x14ac:dyDescent="0.25">
      <c r="A703" s="77"/>
      <c r="B703" s="84"/>
      <c r="C703" s="29"/>
      <c r="D703" s="59"/>
      <c r="E703" s="22"/>
      <c r="F703" s="27"/>
      <c r="G703" s="567"/>
      <c r="H703" s="609">
        <f t="shared" si="170"/>
        <v>0</v>
      </c>
      <c r="I703" s="568"/>
      <c r="J703" s="568"/>
      <c r="K703" s="568"/>
      <c r="L703" s="568"/>
      <c r="M703" s="32"/>
      <c r="N703" s="32"/>
      <c r="O703" s="32"/>
      <c r="P703" s="630"/>
      <c r="Q703" s="609">
        <f t="shared" si="171"/>
        <v>0</v>
      </c>
      <c r="R703" s="568"/>
      <c r="S703" s="568"/>
      <c r="T703" s="568"/>
      <c r="U703" s="568"/>
      <c r="V703" s="32"/>
      <c r="W703" s="32"/>
      <c r="X703" s="32"/>
      <c r="Y703" s="630"/>
      <c r="Z703" s="609">
        <f t="shared" si="172"/>
        <v>0</v>
      </c>
      <c r="AA703" s="568"/>
      <c r="AB703" s="568"/>
      <c r="AC703" s="568"/>
      <c r="AD703" s="568"/>
      <c r="AE703" s="32"/>
      <c r="AF703" s="32"/>
      <c r="AG703" s="32"/>
      <c r="AH703" s="630"/>
      <c r="AI703" s="609">
        <f t="shared" si="173"/>
        <v>0</v>
      </c>
      <c r="AJ703" s="568"/>
      <c r="AK703" s="568"/>
      <c r="AL703" s="568"/>
      <c r="AM703" s="568"/>
      <c r="AN703" s="32"/>
      <c r="AO703" s="32"/>
      <c r="AP703" s="32"/>
      <c r="AQ703" s="630"/>
      <c r="AR703" s="631"/>
      <c r="AS703" s="568"/>
      <c r="AT703" s="568"/>
      <c r="AU703" s="568"/>
      <c r="AV703" s="568"/>
      <c r="AW703" s="32"/>
      <c r="AX703" s="32"/>
      <c r="AY703" s="32"/>
      <c r="AZ703" s="32"/>
      <c r="BA703" s="32"/>
      <c r="BB703" s="568"/>
      <c r="BC703" s="568"/>
      <c r="BD703" s="568"/>
      <c r="BE703" s="32"/>
      <c r="BF703" s="32"/>
      <c r="BG703" s="32"/>
      <c r="BH703" s="32"/>
    </row>
    <row r="704" spans="1:60" x14ac:dyDescent="0.25">
      <c r="A704" s="77"/>
      <c r="B704" s="84"/>
      <c r="C704" s="29"/>
      <c r="D704" s="59"/>
      <c r="E704" s="22"/>
      <c r="F704" s="27"/>
      <c r="G704" s="567"/>
      <c r="H704" s="609">
        <f t="shared" si="170"/>
        <v>0</v>
      </c>
      <c r="I704" s="568"/>
      <c r="J704" s="568"/>
      <c r="K704" s="568"/>
      <c r="L704" s="568"/>
      <c r="M704" s="32"/>
      <c r="N704" s="32"/>
      <c r="O704" s="32"/>
      <c r="P704" s="630"/>
      <c r="Q704" s="609">
        <f t="shared" si="171"/>
        <v>0</v>
      </c>
      <c r="R704" s="568"/>
      <c r="S704" s="568"/>
      <c r="T704" s="568"/>
      <c r="U704" s="568"/>
      <c r="V704" s="32"/>
      <c r="W704" s="32"/>
      <c r="X704" s="32"/>
      <c r="Y704" s="630"/>
      <c r="Z704" s="609">
        <f t="shared" si="172"/>
        <v>0</v>
      </c>
      <c r="AA704" s="568"/>
      <c r="AB704" s="568"/>
      <c r="AC704" s="568"/>
      <c r="AD704" s="568"/>
      <c r="AE704" s="32"/>
      <c r="AF704" s="32"/>
      <c r="AG704" s="32"/>
      <c r="AH704" s="630"/>
      <c r="AI704" s="609">
        <f t="shared" si="173"/>
        <v>0</v>
      </c>
      <c r="AJ704" s="568"/>
      <c r="AK704" s="568"/>
      <c r="AL704" s="568"/>
      <c r="AM704" s="568"/>
      <c r="AN704" s="32"/>
      <c r="AO704" s="32"/>
      <c r="AP704" s="32"/>
      <c r="AQ704" s="630"/>
      <c r="AR704" s="631"/>
      <c r="AS704" s="568"/>
      <c r="AT704" s="568"/>
      <c r="AU704" s="568"/>
      <c r="AV704" s="568"/>
      <c r="AW704" s="32"/>
      <c r="AX704" s="32"/>
      <c r="AY704" s="32"/>
      <c r="AZ704" s="32"/>
      <c r="BA704" s="32"/>
      <c r="BB704" s="568"/>
      <c r="BC704" s="568"/>
      <c r="BD704" s="568"/>
      <c r="BE704" s="32"/>
      <c r="BF704" s="32"/>
      <c r="BG704" s="32"/>
      <c r="BH704" s="32"/>
    </row>
    <row r="705" spans="1:60" x14ac:dyDescent="0.25">
      <c r="A705" s="77"/>
      <c r="B705" s="84"/>
      <c r="C705" s="29"/>
      <c r="D705" s="59"/>
      <c r="E705" s="22"/>
      <c r="F705" s="27"/>
      <c r="G705" s="567"/>
      <c r="H705" s="609">
        <f t="shared" si="170"/>
        <v>0</v>
      </c>
      <c r="I705" s="568"/>
      <c r="J705" s="568"/>
      <c r="K705" s="568"/>
      <c r="L705" s="568"/>
      <c r="M705" s="32"/>
      <c r="N705" s="32"/>
      <c r="O705" s="32"/>
      <c r="P705" s="630"/>
      <c r="Q705" s="609">
        <f t="shared" si="171"/>
        <v>0</v>
      </c>
      <c r="R705" s="568"/>
      <c r="S705" s="568"/>
      <c r="T705" s="568"/>
      <c r="U705" s="568"/>
      <c r="V705" s="32"/>
      <c r="W705" s="32"/>
      <c r="X705" s="32"/>
      <c r="Y705" s="630"/>
      <c r="Z705" s="609">
        <f t="shared" si="172"/>
        <v>0</v>
      </c>
      <c r="AA705" s="568"/>
      <c r="AB705" s="568"/>
      <c r="AC705" s="568"/>
      <c r="AD705" s="568"/>
      <c r="AE705" s="32"/>
      <c r="AF705" s="32"/>
      <c r="AG705" s="32"/>
      <c r="AH705" s="630"/>
      <c r="AI705" s="609">
        <f t="shared" si="173"/>
        <v>0</v>
      </c>
      <c r="AJ705" s="568"/>
      <c r="AK705" s="568"/>
      <c r="AL705" s="568"/>
      <c r="AM705" s="568"/>
      <c r="AN705" s="32"/>
      <c r="AO705" s="32"/>
      <c r="AP705" s="32"/>
      <c r="AQ705" s="630"/>
      <c r="AR705" s="631"/>
      <c r="AS705" s="568"/>
      <c r="AT705" s="568"/>
      <c r="AU705" s="568"/>
      <c r="AV705" s="568"/>
      <c r="AW705" s="32"/>
      <c r="AX705" s="32"/>
      <c r="AY705" s="32"/>
      <c r="AZ705" s="32"/>
      <c r="BA705" s="32"/>
      <c r="BB705" s="568"/>
      <c r="BC705" s="568"/>
      <c r="BD705" s="568"/>
      <c r="BE705" s="32"/>
      <c r="BF705" s="32"/>
      <c r="BG705" s="32"/>
      <c r="BH705" s="32"/>
    </row>
    <row r="706" spans="1:60" x14ac:dyDescent="0.25">
      <c r="A706" s="77"/>
      <c r="B706" s="84"/>
      <c r="C706" s="29"/>
      <c r="D706" s="59"/>
      <c r="E706" s="22"/>
      <c r="F706" s="27"/>
      <c r="G706" s="567"/>
      <c r="H706" s="609">
        <f t="shared" si="170"/>
        <v>0</v>
      </c>
      <c r="I706" s="568"/>
      <c r="J706" s="568"/>
      <c r="K706" s="568"/>
      <c r="L706" s="568"/>
      <c r="M706" s="32"/>
      <c r="N706" s="32"/>
      <c r="O706" s="32"/>
      <c r="P706" s="630"/>
      <c r="Q706" s="609">
        <f t="shared" si="171"/>
        <v>0</v>
      </c>
      <c r="R706" s="568"/>
      <c r="S706" s="568"/>
      <c r="T706" s="568"/>
      <c r="U706" s="568"/>
      <c r="V706" s="32"/>
      <c r="W706" s="32"/>
      <c r="X706" s="32"/>
      <c r="Y706" s="630"/>
      <c r="Z706" s="609">
        <f t="shared" si="172"/>
        <v>0</v>
      </c>
      <c r="AA706" s="568"/>
      <c r="AB706" s="568"/>
      <c r="AC706" s="568"/>
      <c r="AD706" s="568"/>
      <c r="AE706" s="32"/>
      <c r="AF706" s="32"/>
      <c r="AG706" s="32"/>
      <c r="AH706" s="630"/>
      <c r="AI706" s="609">
        <f t="shared" si="173"/>
        <v>0</v>
      </c>
      <c r="AJ706" s="568"/>
      <c r="AK706" s="568"/>
      <c r="AL706" s="568"/>
      <c r="AM706" s="568"/>
      <c r="AN706" s="32"/>
      <c r="AO706" s="32"/>
      <c r="AP706" s="32"/>
      <c r="AQ706" s="630"/>
      <c r="AR706" s="631"/>
      <c r="AS706" s="568"/>
      <c r="AT706" s="568"/>
      <c r="AU706" s="568"/>
      <c r="AV706" s="568"/>
      <c r="AW706" s="32"/>
      <c r="AX706" s="32"/>
      <c r="AY706" s="32"/>
      <c r="AZ706" s="32"/>
      <c r="BA706" s="32"/>
      <c r="BB706" s="568"/>
      <c r="BC706" s="568"/>
      <c r="BD706" s="568"/>
      <c r="BE706" s="32"/>
      <c r="BF706" s="32"/>
      <c r="BG706" s="32"/>
      <c r="BH706" s="32"/>
    </row>
    <row r="707" spans="1:60" x14ac:dyDescent="0.25">
      <c r="A707" s="77"/>
      <c r="B707" s="84"/>
      <c r="C707" s="29"/>
      <c r="D707" s="59"/>
      <c r="E707" s="22"/>
      <c r="F707" s="27"/>
      <c r="G707" s="567"/>
      <c r="H707" s="609">
        <f t="shared" si="170"/>
        <v>0</v>
      </c>
      <c r="I707" s="568"/>
      <c r="J707" s="568"/>
      <c r="K707" s="568"/>
      <c r="L707" s="568"/>
      <c r="M707" s="32"/>
      <c r="N707" s="32"/>
      <c r="O707" s="32"/>
      <c r="P707" s="630"/>
      <c r="Q707" s="609">
        <f t="shared" si="171"/>
        <v>0</v>
      </c>
      <c r="R707" s="568"/>
      <c r="S707" s="568"/>
      <c r="T707" s="568"/>
      <c r="U707" s="568"/>
      <c r="V707" s="32"/>
      <c r="W707" s="32"/>
      <c r="X707" s="32"/>
      <c r="Y707" s="630"/>
      <c r="Z707" s="609">
        <f t="shared" si="172"/>
        <v>0</v>
      </c>
      <c r="AA707" s="568"/>
      <c r="AB707" s="568"/>
      <c r="AC707" s="568"/>
      <c r="AD707" s="568"/>
      <c r="AE707" s="32"/>
      <c r="AF707" s="32"/>
      <c r="AG707" s="32"/>
      <c r="AH707" s="630"/>
      <c r="AI707" s="609">
        <f t="shared" si="173"/>
        <v>0</v>
      </c>
      <c r="AJ707" s="568"/>
      <c r="AK707" s="568"/>
      <c r="AL707" s="568"/>
      <c r="AM707" s="568"/>
      <c r="AN707" s="32"/>
      <c r="AO707" s="32"/>
      <c r="AP707" s="32"/>
      <c r="AQ707" s="630"/>
      <c r="AR707" s="631"/>
      <c r="AS707" s="568"/>
      <c r="AT707" s="568"/>
      <c r="AU707" s="568"/>
      <c r="AV707" s="568"/>
      <c r="AW707" s="32"/>
      <c r="AX707" s="32"/>
      <c r="AY707" s="32"/>
      <c r="AZ707" s="32"/>
      <c r="BA707" s="32"/>
      <c r="BB707" s="568"/>
      <c r="BC707" s="568"/>
      <c r="BD707" s="568"/>
      <c r="BE707" s="32"/>
      <c r="BF707" s="32"/>
      <c r="BG707" s="32"/>
      <c r="BH707" s="32"/>
    </row>
    <row r="708" spans="1:60" x14ac:dyDescent="0.25">
      <c r="A708" s="77"/>
      <c r="B708" s="84"/>
      <c r="C708" s="29"/>
      <c r="D708" s="59"/>
      <c r="E708" s="22"/>
      <c r="F708" s="27"/>
      <c r="G708" s="567"/>
      <c r="H708" s="609">
        <f t="shared" si="170"/>
        <v>0</v>
      </c>
      <c r="I708" s="568"/>
      <c r="J708" s="568"/>
      <c r="K708" s="568"/>
      <c r="L708" s="568"/>
      <c r="M708" s="32"/>
      <c r="N708" s="32"/>
      <c r="O708" s="32"/>
      <c r="P708" s="630"/>
      <c r="Q708" s="609">
        <f t="shared" si="171"/>
        <v>0</v>
      </c>
      <c r="R708" s="568"/>
      <c r="S708" s="568"/>
      <c r="T708" s="568"/>
      <c r="U708" s="568"/>
      <c r="V708" s="32"/>
      <c r="W708" s="32"/>
      <c r="X708" s="32"/>
      <c r="Y708" s="630"/>
      <c r="Z708" s="609">
        <f t="shared" si="172"/>
        <v>0</v>
      </c>
      <c r="AA708" s="568"/>
      <c r="AB708" s="568"/>
      <c r="AC708" s="568"/>
      <c r="AD708" s="568"/>
      <c r="AE708" s="32"/>
      <c r="AF708" s="32"/>
      <c r="AG708" s="32"/>
      <c r="AH708" s="630"/>
      <c r="AI708" s="609">
        <f t="shared" si="173"/>
        <v>0</v>
      </c>
      <c r="AJ708" s="568"/>
      <c r="AK708" s="568"/>
      <c r="AL708" s="568"/>
      <c r="AM708" s="568"/>
      <c r="AN708" s="32"/>
      <c r="AO708" s="32"/>
      <c r="AP708" s="32"/>
      <c r="AQ708" s="630"/>
      <c r="AR708" s="631"/>
      <c r="AS708" s="568"/>
      <c r="AT708" s="568"/>
      <c r="AU708" s="568"/>
      <c r="AV708" s="568"/>
      <c r="AW708" s="32"/>
      <c r="AX708" s="32"/>
      <c r="AY708" s="32"/>
      <c r="AZ708" s="32"/>
      <c r="BA708" s="32"/>
      <c r="BB708" s="568"/>
      <c r="BC708" s="568"/>
      <c r="BD708" s="568"/>
      <c r="BE708" s="32"/>
      <c r="BF708" s="32"/>
      <c r="BG708" s="32"/>
      <c r="BH708" s="32"/>
    </row>
    <row r="709" spans="1:60" x14ac:dyDescent="0.25">
      <c r="A709" s="77"/>
      <c r="B709" s="84"/>
      <c r="C709" s="29"/>
      <c r="D709" s="59"/>
      <c r="E709" s="22"/>
      <c r="F709" s="27"/>
      <c r="G709" s="567"/>
      <c r="H709" s="609">
        <f t="shared" si="170"/>
        <v>0</v>
      </c>
      <c r="I709" s="568"/>
      <c r="J709" s="568"/>
      <c r="K709" s="568"/>
      <c r="L709" s="568"/>
      <c r="M709" s="32"/>
      <c r="N709" s="32"/>
      <c r="O709" s="32"/>
      <c r="P709" s="630"/>
      <c r="Q709" s="609">
        <f t="shared" si="171"/>
        <v>0</v>
      </c>
      <c r="R709" s="568"/>
      <c r="S709" s="568"/>
      <c r="T709" s="568"/>
      <c r="U709" s="568"/>
      <c r="V709" s="32"/>
      <c r="W709" s="32"/>
      <c r="X709" s="32"/>
      <c r="Y709" s="630"/>
      <c r="Z709" s="609">
        <f t="shared" si="172"/>
        <v>0</v>
      </c>
      <c r="AA709" s="568"/>
      <c r="AB709" s="568"/>
      <c r="AC709" s="568"/>
      <c r="AD709" s="568"/>
      <c r="AE709" s="32"/>
      <c r="AF709" s="32"/>
      <c r="AG709" s="32"/>
      <c r="AH709" s="630"/>
      <c r="AI709" s="609">
        <f t="shared" si="173"/>
        <v>0</v>
      </c>
      <c r="AJ709" s="568"/>
      <c r="AK709" s="568"/>
      <c r="AL709" s="568"/>
      <c r="AM709" s="568"/>
      <c r="AN709" s="32"/>
      <c r="AO709" s="32"/>
      <c r="AP709" s="32"/>
      <c r="AQ709" s="630"/>
      <c r="AR709" s="631"/>
      <c r="AS709" s="568"/>
      <c r="AT709" s="568"/>
      <c r="AU709" s="568"/>
      <c r="AV709" s="568"/>
      <c r="AW709" s="32"/>
      <c r="AX709" s="32"/>
      <c r="AY709" s="32"/>
      <c r="AZ709" s="32"/>
      <c r="BA709" s="32"/>
      <c r="BB709" s="568"/>
      <c r="BC709" s="568"/>
      <c r="BD709" s="568"/>
      <c r="BE709" s="32"/>
      <c r="BF709" s="32"/>
      <c r="BG709" s="32"/>
      <c r="BH709" s="32"/>
    </row>
    <row r="710" spans="1:60" x14ac:dyDescent="0.25">
      <c r="A710" s="77"/>
      <c r="B710" s="84"/>
      <c r="C710" s="29"/>
      <c r="D710" s="59"/>
      <c r="E710" s="22"/>
      <c r="F710" s="27"/>
      <c r="G710" s="567"/>
      <c r="H710" s="609">
        <f t="shared" si="170"/>
        <v>0</v>
      </c>
      <c r="I710" s="568"/>
      <c r="J710" s="568"/>
      <c r="K710" s="568"/>
      <c r="L710" s="568"/>
      <c r="M710" s="32"/>
      <c r="N710" s="32"/>
      <c r="O710" s="32"/>
      <c r="P710" s="630"/>
      <c r="Q710" s="609">
        <f t="shared" si="171"/>
        <v>0</v>
      </c>
      <c r="R710" s="568"/>
      <c r="S710" s="568"/>
      <c r="T710" s="568"/>
      <c r="U710" s="568"/>
      <c r="V710" s="32"/>
      <c r="W710" s="32"/>
      <c r="X710" s="32"/>
      <c r="Y710" s="630"/>
      <c r="Z710" s="609">
        <f t="shared" si="172"/>
        <v>0</v>
      </c>
      <c r="AA710" s="568"/>
      <c r="AB710" s="568"/>
      <c r="AC710" s="568"/>
      <c r="AD710" s="568"/>
      <c r="AE710" s="32"/>
      <c r="AF710" s="32"/>
      <c r="AG710" s="32"/>
      <c r="AH710" s="630"/>
      <c r="AI710" s="609">
        <f t="shared" si="173"/>
        <v>0</v>
      </c>
      <c r="AJ710" s="568"/>
      <c r="AK710" s="568"/>
      <c r="AL710" s="568"/>
      <c r="AM710" s="568"/>
      <c r="AN710" s="32"/>
      <c r="AO710" s="32"/>
      <c r="AP710" s="32"/>
      <c r="AQ710" s="630"/>
      <c r="AR710" s="631"/>
      <c r="AS710" s="568"/>
      <c r="AT710" s="568"/>
      <c r="AU710" s="568"/>
      <c r="AV710" s="568"/>
      <c r="AW710" s="32"/>
      <c r="AX710" s="32"/>
      <c r="AY710" s="32"/>
      <c r="AZ710" s="32"/>
      <c r="BA710" s="32"/>
      <c r="BB710" s="568"/>
      <c r="BC710" s="568"/>
      <c r="BD710" s="568"/>
      <c r="BE710" s="32"/>
      <c r="BF710" s="32"/>
      <c r="BG710" s="32"/>
      <c r="BH710" s="32"/>
    </row>
    <row r="711" spans="1:60" x14ac:dyDescent="0.25">
      <c r="A711" s="77"/>
      <c r="B711" s="84"/>
      <c r="C711" s="29"/>
      <c r="D711" s="59"/>
      <c r="E711" s="22"/>
      <c r="F711" s="27"/>
      <c r="G711" s="567"/>
      <c r="H711" s="609">
        <f t="shared" si="170"/>
        <v>0</v>
      </c>
      <c r="I711" s="568"/>
      <c r="J711" s="568"/>
      <c r="K711" s="568"/>
      <c r="L711" s="568"/>
      <c r="M711" s="32"/>
      <c r="N711" s="32"/>
      <c r="O711" s="32"/>
      <c r="P711" s="630"/>
      <c r="Q711" s="609">
        <f t="shared" si="171"/>
        <v>0</v>
      </c>
      <c r="R711" s="568"/>
      <c r="S711" s="568"/>
      <c r="T711" s="568"/>
      <c r="U711" s="568"/>
      <c r="V711" s="32"/>
      <c r="W711" s="32"/>
      <c r="X711" s="32"/>
      <c r="Y711" s="630"/>
      <c r="Z711" s="609">
        <f t="shared" si="172"/>
        <v>0</v>
      </c>
      <c r="AA711" s="568"/>
      <c r="AB711" s="568"/>
      <c r="AC711" s="568"/>
      <c r="AD711" s="568"/>
      <c r="AE711" s="32"/>
      <c r="AF711" s="32"/>
      <c r="AG711" s="32"/>
      <c r="AH711" s="630"/>
      <c r="AI711" s="609">
        <f t="shared" si="173"/>
        <v>0</v>
      </c>
      <c r="AJ711" s="568"/>
      <c r="AK711" s="568"/>
      <c r="AL711" s="568"/>
      <c r="AM711" s="568"/>
      <c r="AN711" s="32"/>
      <c r="AO711" s="32"/>
      <c r="AP711" s="32"/>
      <c r="AQ711" s="630"/>
      <c r="AR711" s="631"/>
      <c r="AS711" s="568"/>
      <c r="AT711" s="568"/>
      <c r="AU711" s="568"/>
      <c r="AV711" s="568"/>
      <c r="AW711" s="32"/>
      <c r="AX711" s="32"/>
      <c r="AY711" s="32"/>
      <c r="AZ711" s="32"/>
      <c r="BA711" s="32"/>
      <c r="BB711" s="568"/>
      <c r="BC711" s="568"/>
      <c r="BD711" s="568"/>
      <c r="BE711" s="32"/>
      <c r="BF711" s="32"/>
      <c r="BG711" s="32"/>
      <c r="BH711" s="32"/>
    </row>
    <row r="712" spans="1:60" x14ac:dyDescent="0.25">
      <c r="A712" s="77"/>
      <c r="B712" s="84"/>
      <c r="C712" s="29"/>
      <c r="D712" s="59"/>
      <c r="E712" s="22"/>
      <c r="F712" s="27"/>
      <c r="G712" s="567"/>
      <c r="H712" s="609">
        <f t="shared" si="170"/>
        <v>0</v>
      </c>
      <c r="I712" s="568"/>
      <c r="J712" s="568"/>
      <c r="K712" s="568"/>
      <c r="L712" s="568"/>
      <c r="M712" s="32"/>
      <c r="N712" s="32"/>
      <c r="O712" s="32"/>
      <c r="P712" s="630"/>
      <c r="Q712" s="609">
        <f t="shared" si="171"/>
        <v>0</v>
      </c>
      <c r="R712" s="568"/>
      <c r="S712" s="568"/>
      <c r="T712" s="568"/>
      <c r="U712" s="568"/>
      <c r="V712" s="32"/>
      <c r="W712" s="32"/>
      <c r="X712" s="32"/>
      <c r="Y712" s="630"/>
      <c r="Z712" s="609">
        <f t="shared" si="172"/>
        <v>0</v>
      </c>
      <c r="AA712" s="568"/>
      <c r="AB712" s="568"/>
      <c r="AC712" s="568"/>
      <c r="AD712" s="568"/>
      <c r="AE712" s="32"/>
      <c r="AF712" s="32"/>
      <c r="AG712" s="32"/>
      <c r="AH712" s="630"/>
      <c r="AI712" s="609">
        <f t="shared" si="173"/>
        <v>0</v>
      </c>
      <c r="AJ712" s="568"/>
      <c r="AK712" s="568"/>
      <c r="AL712" s="568"/>
      <c r="AM712" s="568"/>
      <c r="AN712" s="32"/>
      <c r="AO712" s="32"/>
      <c r="AP712" s="32"/>
      <c r="AQ712" s="630"/>
      <c r="AR712" s="631"/>
      <c r="AS712" s="568"/>
      <c r="AT712" s="568"/>
      <c r="AU712" s="568"/>
      <c r="AV712" s="568"/>
      <c r="AW712" s="32"/>
      <c r="AX712" s="32"/>
      <c r="AY712" s="32"/>
      <c r="AZ712" s="32"/>
      <c r="BA712" s="32"/>
      <c r="BB712" s="568"/>
      <c r="BC712" s="568"/>
      <c r="BD712" s="568"/>
      <c r="BE712" s="32"/>
      <c r="BF712" s="32"/>
      <c r="BG712" s="32"/>
      <c r="BH712" s="32"/>
    </row>
    <row r="713" spans="1:60" x14ac:dyDescent="0.25">
      <c r="A713" s="77"/>
      <c r="B713" s="84"/>
      <c r="C713" s="29"/>
      <c r="D713" s="59"/>
      <c r="E713" s="22"/>
      <c r="F713" s="27"/>
      <c r="G713" s="567"/>
      <c r="H713" s="609">
        <f t="shared" ref="H713:H776" si="174">U713</f>
        <v>0</v>
      </c>
      <c r="I713" s="568"/>
      <c r="J713" s="568"/>
      <c r="K713" s="568"/>
      <c r="L713" s="568"/>
      <c r="M713" s="32"/>
      <c r="N713" s="32"/>
      <c r="O713" s="32"/>
      <c r="P713" s="630"/>
      <c r="Q713" s="609">
        <f t="shared" si="171"/>
        <v>0</v>
      </c>
      <c r="R713" s="568"/>
      <c r="S713" s="568"/>
      <c r="T713" s="568"/>
      <c r="U713" s="568"/>
      <c r="V713" s="32"/>
      <c r="W713" s="32"/>
      <c r="X713" s="32"/>
      <c r="Y713" s="630"/>
      <c r="Z713" s="609">
        <f t="shared" si="172"/>
        <v>0</v>
      </c>
      <c r="AA713" s="568"/>
      <c r="AB713" s="568"/>
      <c r="AC713" s="568"/>
      <c r="AD713" s="568"/>
      <c r="AE713" s="32"/>
      <c r="AF713" s="32"/>
      <c r="AG713" s="32"/>
      <c r="AH713" s="630"/>
      <c r="AI713" s="609">
        <f t="shared" si="173"/>
        <v>0</v>
      </c>
      <c r="AJ713" s="568"/>
      <c r="AK713" s="568"/>
      <c r="AL713" s="568"/>
      <c r="AM713" s="568"/>
      <c r="AN713" s="32"/>
      <c r="AO713" s="32"/>
      <c r="AP713" s="32"/>
      <c r="AQ713" s="630"/>
      <c r="AR713" s="631"/>
      <c r="AS713" s="568"/>
      <c r="AT713" s="568"/>
      <c r="AU713" s="568"/>
      <c r="AV713" s="568"/>
      <c r="AW713" s="32"/>
      <c r="AX713" s="32"/>
      <c r="AY713" s="32"/>
      <c r="AZ713" s="32"/>
      <c r="BA713" s="32"/>
      <c r="BB713" s="568"/>
      <c r="BC713" s="568"/>
      <c r="BD713" s="568"/>
      <c r="BE713" s="32"/>
      <c r="BF713" s="32"/>
      <c r="BG713" s="32"/>
      <c r="BH713" s="32"/>
    </row>
    <row r="714" spans="1:60" x14ac:dyDescent="0.25">
      <c r="A714" s="77"/>
      <c r="B714" s="84"/>
      <c r="C714" s="29"/>
      <c r="D714" s="59"/>
      <c r="E714" s="22"/>
      <c r="F714" s="27"/>
      <c r="G714" s="567"/>
      <c r="H714" s="609">
        <f t="shared" si="174"/>
        <v>0</v>
      </c>
      <c r="I714" s="568"/>
      <c r="J714" s="568"/>
      <c r="K714" s="568"/>
      <c r="L714" s="568"/>
      <c r="M714" s="32"/>
      <c r="N714" s="32"/>
      <c r="O714" s="32"/>
      <c r="P714" s="630"/>
      <c r="Q714" s="609">
        <f t="shared" si="171"/>
        <v>0</v>
      </c>
      <c r="R714" s="568"/>
      <c r="S714" s="568"/>
      <c r="T714" s="568"/>
      <c r="U714" s="568"/>
      <c r="V714" s="32"/>
      <c r="W714" s="32"/>
      <c r="X714" s="32"/>
      <c r="Y714" s="630"/>
      <c r="Z714" s="609">
        <f t="shared" si="172"/>
        <v>0</v>
      </c>
      <c r="AA714" s="568"/>
      <c r="AB714" s="568"/>
      <c r="AC714" s="568"/>
      <c r="AD714" s="568"/>
      <c r="AE714" s="32"/>
      <c r="AF714" s="32"/>
      <c r="AG714" s="32"/>
      <c r="AH714" s="630"/>
      <c r="AI714" s="609">
        <f t="shared" si="173"/>
        <v>0</v>
      </c>
      <c r="AJ714" s="568"/>
      <c r="AK714" s="568"/>
      <c r="AL714" s="568"/>
      <c r="AM714" s="568"/>
      <c r="AN714" s="32"/>
      <c r="AO714" s="32"/>
      <c r="AP714" s="32"/>
      <c r="AQ714" s="630"/>
      <c r="AR714" s="631"/>
      <c r="AS714" s="568"/>
      <c r="AT714" s="568"/>
      <c r="AU714" s="568"/>
      <c r="AV714" s="568"/>
      <c r="AW714" s="32"/>
      <c r="AX714" s="32"/>
      <c r="AY714" s="32"/>
      <c r="AZ714" s="32"/>
      <c r="BA714" s="32"/>
      <c r="BB714" s="568"/>
      <c r="BC714" s="568"/>
      <c r="BD714" s="568"/>
      <c r="BE714" s="32"/>
      <c r="BF714" s="32"/>
      <c r="BG714" s="32"/>
      <c r="BH714" s="32"/>
    </row>
    <row r="715" spans="1:60" x14ac:dyDescent="0.25">
      <c r="A715" s="77"/>
      <c r="B715" s="84"/>
      <c r="C715" s="29"/>
      <c r="D715" s="59"/>
      <c r="E715" s="22"/>
      <c r="F715" s="27"/>
      <c r="G715" s="567"/>
      <c r="H715" s="609">
        <f t="shared" si="174"/>
        <v>0</v>
      </c>
      <c r="I715" s="568"/>
      <c r="J715" s="568"/>
      <c r="K715" s="568"/>
      <c r="L715" s="568"/>
      <c r="M715" s="32"/>
      <c r="N715" s="32"/>
      <c r="O715" s="32"/>
      <c r="P715" s="630"/>
      <c r="Q715" s="609">
        <f t="shared" si="171"/>
        <v>0</v>
      </c>
      <c r="R715" s="568"/>
      <c r="S715" s="568"/>
      <c r="T715" s="568"/>
      <c r="U715" s="568"/>
      <c r="V715" s="32"/>
      <c r="W715" s="32"/>
      <c r="X715" s="32"/>
      <c r="Y715" s="630"/>
      <c r="Z715" s="609">
        <f t="shared" si="172"/>
        <v>0</v>
      </c>
      <c r="AA715" s="568"/>
      <c r="AB715" s="568"/>
      <c r="AC715" s="568"/>
      <c r="AD715" s="568"/>
      <c r="AE715" s="32"/>
      <c r="AF715" s="32"/>
      <c r="AG715" s="32"/>
      <c r="AH715" s="630"/>
      <c r="AI715" s="609">
        <f t="shared" si="173"/>
        <v>0</v>
      </c>
      <c r="AJ715" s="568"/>
      <c r="AK715" s="568"/>
      <c r="AL715" s="568"/>
      <c r="AM715" s="568"/>
      <c r="AN715" s="32"/>
      <c r="AO715" s="32"/>
      <c r="AP715" s="32"/>
      <c r="AQ715" s="630"/>
      <c r="AR715" s="631"/>
      <c r="AS715" s="568"/>
      <c r="AT715" s="568"/>
      <c r="AU715" s="568"/>
      <c r="AV715" s="568"/>
      <c r="AW715" s="32"/>
      <c r="AX715" s="32"/>
      <c r="AY715" s="32"/>
      <c r="AZ715" s="32"/>
      <c r="BA715" s="32"/>
      <c r="BB715" s="568"/>
      <c r="BC715" s="568"/>
      <c r="BD715" s="568"/>
      <c r="BE715" s="32"/>
      <c r="BF715" s="32"/>
      <c r="BG715" s="32"/>
      <c r="BH715" s="32"/>
    </row>
    <row r="716" spans="1:60" x14ac:dyDescent="0.25">
      <c r="A716" s="77"/>
      <c r="B716" s="84"/>
      <c r="C716" s="29"/>
      <c r="D716" s="59"/>
      <c r="E716" s="22"/>
      <c r="F716" s="27"/>
      <c r="G716" s="567"/>
      <c r="H716" s="609">
        <f t="shared" si="174"/>
        <v>0</v>
      </c>
      <c r="I716" s="568"/>
      <c r="J716" s="568"/>
      <c r="K716" s="568"/>
      <c r="L716" s="568"/>
      <c r="M716" s="32"/>
      <c r="N716" s="32"/>
      <c r="O716" s="32"/>
      <c r="P716" s="630"/>
      <c r="Q716" s="609">
        <f t="shared" si="171"/>
        <v>0</v>
      </c>
      <c r="R716" s="568"/>
      <c r="S716" s="568"/>
      <c r="T716" s="568"/>
      <c r="U716" s="568"/>
      <c r="V716" s="32"/>
      <c r="W716" s="32"/>
      <c r="X716" s="32"/>
      <c r="Y716" s="630"/>
      <c r="Z716" s="609">
        <f t="shared" si="172"/>
        <v>0</v>
      </c>
      <c r="AA716" s="568"/>
      <c r="AB716" s="568"/>
      <c r="AC716" s="568"/>
      <c r="AD716" s="568"/>
      <c r="AE716" s="32"/>
      <c r="AF716" s="32"/>
      <c r="AG716" s="32"/>
      <c r="AH716" s="630"/>
      <c r="AI716" s="609">
        <f t="shared" si="173"/>
        <v>0</v>
      </c>
      <c r="AJ716" s="568"/>
      <c r="AK716" s="568"/>
      <c r="AL716" s="568"/>
      <c r="AM716" s="568"/>
      <c r="AN716" s="32"/>
      <c r="AO716" s="32"/>
      <c r="AP716" s="32"/>
      <c r="AQ716" s="630"/>
      <c r="AR716" s="631"/>
      <c r="AS716" s="568"/>
      <c r="AT716" s="568"/>
      <c r="AU716" s="568"/>
      <c r="AV716" s="568"/>
      <c r="AW716" s="32"/>
      <c r="AX716" s="32"/>
      <c r="AY716" s="32"/>
      <c r="AZ716" s="32"/>
      <c r="BA716" s="32"/>
      <c r="BB716" s="568"/>
      <c r="BC716" s="568"/>
      <c r="BD716" s="568"/>
      <c r="BE716" s="32"/>
      <c r="BF716" s="32"/>
      <c r="BG716" s="32"/>
      <c r="BH716" s="32"/>
    </row>
    <row r="717" spans="1:60" x14ac:dyDescent="0.25">
      <c r="A717" s="77"/>
      <c r="B717" s="84"/>
      <c r="C717" s="29"/>
      <c r="D717" s="59"/>
      <c r="E717" s="22"/>
      <c r="F717" s="27"/>
      <c r="G717" s="567"/>
      <c r="H717" s="609">
        <f t="shared" si="174"/>
        <v>0</v>
      </c>
      <c r="I717" s="568"/>
      <c r="J717" s="568"/>
      <c r="K717" s="568"/>
      <c r="L717" s="568"/>
      <c r="M717" s="32"/>
      <c r="N717" s="32"/>
      <c r="O717" s="32"/>
      <c r="P717" s="630"/>
      <c r="Q717" s="609">
        <f t="shared" si="171"/>
        <v>0</v>
      </c>
      <c r="R717" s="568"/>
      <c r="S717" s="568"/>
      <c r="T717" s="568"/>
      <c r="U717" s="568"/>
      <c r="V717" s="32"/>
      <c r="W717" s="32"/>
      <c r="X717" s="32"/>
      <c r="Y717" s="630"/>
      <c r="Z717" s="609">
        <f t="shared" si="172"/>
        <v>0</v>
      </c>
      <c r="AA717" s="568"/>
      <c r="AB717" s="568"/>
      <c r="AC717" s="568"/>
      <c r="AD717" s="568"/>
      <c r="AE717" s="32"/>
      <c r="AF717" s="32"/>
      <c r="AG717" s="32"/>
      <c r="AH717" s="630"/>
      <c r="AI717" s="609">
        <f t="shared" si="173"/>
        <v>0</v>
      </c>
      <c r="AJ717" s="568"/>
      <c r="AK717" s="568"/>
      <c r="AL717" s="568"/>
      <c r="AM717" s="568"/>
      <c r="AN717" s="32"/>
      <c r="AO717" s="32"/>
      <c r="AP717" s="32"/>
      <c r="AQ717" s="630"/>
      <c r="AR717" s="631"/>
      <c r="AS717" s="568"/>
      <c r="AT717" s="568"/>
      <c r="AU717" s="568"/>
      <c r="AV717" s="568"/>
      <c r="AW717" s="32"/>
      <c r="AX717" s="32"/>
      <c r="AY717" s="32"/>
      <c r="AZ717" s="32"/>
      <c r="BA717" s="32"/>
      <c r="BB717" s="568"/>
      <c r="BC717" s="568"/>
      <c r="BD717" s="568"/>
      <c r="BE717" s="32"/>
      <c r="BF717" s="32"/>
      <c r="BG717" s="32"/>
      <c r="BH717" s="32"/>
    </row>
    <row r="718" spans="1:60" x14ac:dyDescent="0.25">
      <c r="A718" s="77"/>
      <c r="B718" s="84"/>
      <c r="C718" s="29"/>
      <c r="D718" s="59"/>
      <c r="E718" s="22"/>
      <c r="F718" s="27"/>
      <c r="G718" s="567"/>
      <c r="H718" s="609">
        <f t="shared" si="174"/>
        <v>0</v>
      </c>
      <c r="I718" s="568"/>
      <c r="J718" s="568"/>
      <c r="K718" s="568"/>
      <c r="L718" s="568"/>
      <c r="M718" s="32"/>
      <c r="N718" s="32"/>
      <c r="O718" s="32"/>
      <c r="P718" s="630"/>
      <c r="Q718" s="609">
        <f t="shared" si="171"/>
        <v>0</v>
      </c>
      <c r="R718" s="568"/>
      <c r="S718" s="568"/>
      <c r="T718" s="568"/>
      <c r="U718" s="568"/>
      <c r="V718" s="32"/>
      <c r="W718" s="32"/>
      <c r="X718" s="32"/>
      <c r="Y718" s="630"/>
      <c r="Z718" s="609">
        <f t="shared" si="172"/>
        <v>0</v>
      </c>
      <c r="AA718" s="568"/>
      <c r="AB718" s="568"/>
      <c r="AC718" s="568"/>
      <c r="AD718" s="568"/>
      <c r="AE718" s="32"/>
      <c r="AF718" s="32"/>
      <c r="AG718" s="32"/>
      <c r="AH718" s="630"/>
      <c r="AI718" s="609">
        <f t="shared" si="173"/>
        <v>0</v>
      </c>
      <c r="AJ718" s="568"/>
      <c r="AK718" s="568"/>
      <c r="AL718" s="568"/>
      <c r="AM718" s="568"/>
      <c r="AN718" s="32"/>
      <c r="AO718" s="32"/>
      <c r="AP718" s="32"/>
      <c r="AQ718" s="630"/>
      <c r="AR718" s="631"/>
      <c r="AS718" s="568"/>
      <c r="AT718" s="568"/>
      <c r="AU718" s="568"/>
      <c r="AV718" s="568"/>
      <c r="AW718" s="32"/>
      <c r="AX718" s="32"/>
      <c r="AY718" s="32"/>
      <c r="AZ718" s="32"/>
      <c r="BA718" s="32"/>
      <c r="BB718" s="568"/>
      <c r="BC718" s="568"/>
      <c r="BD718" s="568"/>
      <c r="BE718" s="32"/>
      <c r="BF718" s="32"/>
      <c r="BG718" s="32"/>
      <c r="BH718" s="32"/>
    </row>
    <row r="719" spans="1:60" x14ac:dyDescent="0.25">
      <c r="A719" s="77"/>
      <c r="B719" s="84"/>
      <c r="C719" s="29"/>
      <c r="D719" s="59"/>
      <c r="E719" s="22"/>
      <c r="F719" s="27"/>
      <c r="G719" s="567"/>
      <c r="H719" s="609">
        <f t="shared" si="174"/>
        <v>0</v>
      </c>
      <c r="I719" s="568"/>
      <c r="J719" s="568"/>
      <c r="K719" s="568"/>
      <c r="L719" s="568"/>
      <c r="M719" s="32"/>
      <c r="N719" s="32"/>
      <c r="O719" s="32"/>
      <c r="P719" s="630"/>
      <c r="Q719" s="609">
        <f t="shared" si="171"/>
        <v>0</v>
      </c>
      <c r="R719" s="568"/>
      <c r="S719" s="568"/>
      <c r="T719" s="568"/>
      <c r="U719" s="568"/>
      <c r="V719" s="32"/>
      <c r="W719" s="32"/>
      <c r="X719" s="32"/>
      <c r="Y719" s="630"/>
      <c r="Z719" s="609">
        <f t="shared" si="172"/>
        <v>0</v>
      </c>
      <c r="AA719" s="568"/>
      <c r="AB719" s="568"/>
      <c r="AC719" s="568"/>
      <c r="AD719" s="568"/>
      <c r="AE719" s="32"/>
      <c r="AF719" s="32"/>
      <c r="AG719" s="32"/>
      <c r="AH719" s="630"/>
      <c r="AI719" s="609">
        <f t="shared" si="173"/>
        <v>0</v>
      </c>
      <c r="AJ719" s="568"/>
      <c r="AK719" s="568"/>
      <c r="AL719" s="568"/>
      <c r="AM719" s="568"/>
      <c r="AN719" s="32"/>
      <c r="AO719" s="32"/>
      <c r="AP719" s="32"/>
      <c r="AQ719" s="630"/>
      <c r="AR719" s="631"/>
      <c r="AS719" s="568"/>
      <c r="AT719" s="568"/>
      <c r="AU719" s="568"/>
      <c r="AV719" s="568"/>
      <c r="AW719" s="32"/>
      <c r="AX719" s="32"/>
      <c r="AY719" s="32"/>
      <c r="AZ719" s="32"/>
      <c r="BA719" s="32"/>
      <c r="BB719" s="568"/>
      <c r="BC719" s="568"/>
      <c r="BD719" s="568"/>
      <c r="BE719" s="32"/>
      <c r="BF719" s="32"/>
      <c r="BG719" s="32"/>
      <c r="BH719" s="32"/>
    </row>
    <row r="720" spans="1:60" x14ac:dyDescent="0.25">
      <c r="A720" s="77"/>
      <c r="B720" s="84"/>
      <c r="C720" s="29"/>
      <c r="D720" s="59"/>
      <c r="E720" s="22"/>
      <c r="F720" s="27"/>
      <c r="G720" s="567"/>
      <c r="H720" s="609">
        <f t="shared" si="174"/>
        <v>0</v>
      </c>
      <c r="I720" s="568"/>
      <c r="J720" s="568"/>
      <c r="K720" s="568"/>
      <c r="L720" s="568"/>
      <c r="M720" s="32"/>
      <c r="N720" s="32"/>
      <c r="O720" s="32"/>
      <c r="P720" s="630"/>
      <c r="Q720" s="609">
        <f t="shared" si="171"/>
        <v>0</v>
      </c>
      <c r="R720" s="568"/>
      <c r="S720" s="568"/>
      <c r="T720" s="568"/>
      <c r="U720" s="568"/>
      <c r="V720" s="32"/>
      <c r="W720" s="32"/>
      <c r="X720" s="32"/>
      <c r="Y720" s="630"/>
      <c r="Z720" s="609">
        <f t="shared" si="172"/>
        <v>0</v>
      </c>
      <c r="AA720" s="568"/>
      <c r="AB720" s="568"/>
      <c r="AC720" s="568"/>
      <c r="AD720" s="568"/>
      <c r="AE720" s="32"/>
      <c r="AF720" s="32"/>
      <c r="AG720" s="32"/>
      <c r="AH720" s="630"/>
      <c r="AI720" s="609">
        <f t="shared" si="173"/>
        <v>0</v>
      </c>
      <c r="AJ720" s="568"/>
      <c r="AK720" s="568"/>
      <c r="AL720" s="568"/>
      <c r="AM720" s="568"/>
      <c r="AN720" s="32"/>
      <c r="AO720" s="32"/>
      <c r="AP720" s="32"/>
      <c r="AQ720" s="630"/>
      <c r="AR720" s="631"/>
      <c r="AS720" s="568"/>
      <c r="AT720" s="568"/>
      <c r="AU720" s="568"/>
      <c r="AV720" s="568"/>
      <c r="AW720" s="32"/>
      <c r="AX720" s="32"/>
      <c r="AY720" s="32"/>
      <c r="AZ720" s="32"/>
      <c r="BA720" s="32"/>
      <c r="BB720" s="568"/>
      <c r="BC720" s="568"/>
      <c r="BD720" s="568"/>
      <c r="BE720" s="32"/>
      <c r="BF720" s="32"/>
      <c r="BG720" s="32"/>
      <c r="BH720" s="32"/>
    </row>
    <row r="721" spans="1:60" x14ac:dyDescent="0.25">
      <c r="A721" s="77"/>
      <c r="B721" s="84"/>
      <c r="C721" s="29"/>
      <c r="D721" s="59"/>
      <c r="E721" s="22"/>
      <c r="F721" s="27"/>
      <c r="G721" s="567"/>
      <c r="H721" s="609">
        <f t="shared" si="174"/>
        <v>0</v>
      </c>
      <c r="I721" s="568"/>
      <c r="J721" s="568"/>
      <c r="K721" s="568"/>
      <c r="L721" s="568"/>
      <c r="M721" s="32"/>
      <c r="N721" s="32"/>
      <c r="O721" s="32"/>
      <c r="P721" s="630"/>
      <c r="Q721" s="609">
        <f t="shared" si="171"/>
        <v>0</v>
      </c>
      <c r="R721" s="568"/>
      <c r="S721" s="568"/>
      <c r="T721" s="568"/>
      <c r="U721" s="568"/>
      <c r="V721" s="32"/>
      <c r="W721" s="32"/>
      <c r="X721" s="32"/>
      <c r="Y721" s="630"/>
      <c r="Z721" s="609">
        <f t="shared" si="172"/>
        <v>0</v>
      </c>
      <c r="AA721" s="568"/>
      <c r="AB721" s="568"/>
      <c r="AC721" s="568"/>
      <c r="AD721" s="568"/>
      <c r="AE721" s="32"/>
      <c r="AF721" s="32"/>
      <c r="AG721" s="32"/>
      <c r="AH721" s="630"/>
      <c r="AI721" s="609">
        <f t="shared" si="173"/>
        <v>0</v>
      </c>
      <c r="AJ721" s="568"/>
      <c r="AK721" s="568"/>
      <c r="AL721" s="568"/>
      <c r="AM721" s="568"/>
      <c r="AN721" s="32"/>
      <c r="AO721" s="32"/>
      <c r="AP721" s="32"/>
      <c r="AQ721" s="630"/>
      <c r="AR721" s="631"/>
      <c r="AS721" s="568"/>
      <c r="AT721" s="568"/>
      <c r="AU721" s="568"/>
      <c r="AV721" s="568"/>
      <c r="AW721" s="32"/>
      <c r="AX721" s="32"/>
      <c r="AY721" s="32"/>
      <c r="AZ721" s="32"/>
      <c r="BA721" s="32"/>
      <c r="BB721" s="568"/>
      <c r="BC721" s="568"/>
      <c r="BD721" s="568"/>
      <c r="BE721" s="32"/>
      <c r="BF721" s="32"/>
      <c r="BG721" s="32"/>
      <c r="BH721" s="32"/>
    </row>
    <row r="722" spans="1:60" x14ac:dyDescent="0.25">
      <c r="A722" s="77"/>
      <c r="B722" s="84"/>
      <c r="C722" s="29"/>
      <c r="D722" s="59"/>
      <c r="E722" s="22"/>
      <c r="F722" s="27"/>
      <c r="G722" s="567"/>
      <c r="H722" s="609">
        <f t="shared" si="174"/>
        <v>0</v>
      </c>
      <c r="I722" s="568"/>
      <c r="J722" s="568"/>
      <c r="K722" s="568"/>
      <c r="L722" s="568"/>
      <c r="M722" s="32"/>
      <c r="N722" s="32"/>
      <c r="O722" s="32"/>
      <c r="P722" s="630"/>
      <c r="Q722" s="609">
        <f t="shared" si="171"/>
        <v>0</v>
      </c>
      <c r="R722" s="568"/>
      <c r="S722" s="568"/>
      <c r="T722" s="568"/>
      <c r="U722" s="568"/>
      <c r="V722" s="32"/>
      <c r="W722" s="32"/>
      <c r="X722" s="32"/>
      <c r="Y722" s="630"/>
      <c r="Z722" s="609">
        <f t="shared" si="172"/>
        <v>0</v>
      </c>
      <c r="AA722" s="568"/>
      <c r="AB722" s="568"/>
      <c r="AC722" s="568"/>
      <c r="AD722" s="568"/>
      <c r="AE722" s="32"/>
      <c r="AF722" s="32"/>
      <c r="AG722" s="32"/>
      <c r="AH722" s="630"/>
      <c r="AI722" s="609">
        <f t="shared" si="173"/>
        <v>0</v>
      </c>
      <c r="AJ722" s="568"/>
      <c r="AK722" s="568"/>
      <c r="AL722" s="568"/>
      <c r="AM722" s="568"/>
      <c r="AN722" s="32"/>
      <c r="AO722" s="32"/>
      <c r="AP722" s="32"/>
      <c r="AQ722" s="630"/>
      <c r="AR722" s="631"/>
      <c r="AS722" s="568"/>
      <c r="AT722" s="568"/>
      <c r="AU722" s="568"/>
      <c r="AV722" s="568"/>
      <c r="AW722" s="32"/>
      <c r="AX722" s="32"/>
      <c r="AY722" s="32"/>
      <c r="AZ722" s="32"/>
      <c r="BA722" s="32"/>
      <c r="BB722" s="568"/>
      <c r="BC722" s="568"/>
      <c r="BD722" s="568"/>
      <c r="BE722" s="32"/>
      <c r="BF722" s="32"/>
      <c r="BG722" s="32"/>
      <c r="BH722" s="32"/>
    </row>
    <row r="723" spans="1:60" x14ac:dyDescent="0.25">
      <c r="A723" s="77"/>
      <c r="B723" s="84"/>
      <c r="C723" s="29"/>
      <c r="D723" s="59"/>
      <c r="E723" s="22"/>
      <c r="F723" s="27"/>
      <c r="G723" s="567"/>
      <c r="H723" s="609">
        <f t="shared" si="174"/>
        <v>0</v>
      </c>
      <c r="I723" s="568"/>
      <c r="J723" s="568"/>
      <c r="K723" s="568"/>
      <c r="L723" s="568"/>
      <c r="M723" s="32"/>
      <c r="N723" s="32"/>
      <c r="O723" s="32"/>
      <c r="P723" s="630"/>
      <c r="Q723" s="609">
        <f t="shared" si="171"/>
        <v>0</v>
      </c>
      <c r="R723" s="568"/>
      <c r="S723" s="568"/>
      <c r="T723" s="568"/>
      <c r="U723" s="568"/>
      <c r="V723" s="32"/>
      <c r="W723" s="32"/>
      <c r="X723" s="32"/>
      <c r="Y723" s="630"/>
      <c r="Z723" s="609">
        <f t="shared" si="172"/>
        <v>0</v>
      </c>
      <c r="AA723" s="568"/>
      <c r="AB723" s="568"/>
      <c r="AC723" s="568"/>
      <c r="AD723" s="568"/>
      <c r="AE723" s="32"/>
      <c r="AF723" s="32"/>
      <c r="AG723" s="32"/>
      <c r="AH723" s="630"/>
      <c r="AI723" s="609">
        <f t="shared" si="173"/>
        <v>0</v>
      </c>
      <c r="AJ723" s="568"/>
      <c r="AK723" s="568"/>
      <c r="AL723" s="568"/>
      <c r="AM723" s="568"/>
      <c r="AN723" s="32"/>
      <c r="AO723" s="32"/>
      <c r="AP723" s="32"/>
      <c r="AQ723" s="630"/>
      <c r="AR723" s="631"/>
      <c r="AS723" s="568"/>
      <c r="AT723" s="568"/>
      <c r="AU723" s="568"/>
      <c r="AV723" s="568"/>
      <c r="AW723" s="32"/>
      <c r="AX723" s="32"/>
      <c r="AY723" s="32"/>
      <c r="AZ723" s="32"/>
      <c r="BA723" s="32"/>
      <c r="BB723" s="568"/>
      <c r="BC723" s="568"/>
      <c r="BD723" s="568"/>
      <c r="BE723" s="32"/>
      <c r="BF723" s="32"/>
      <c r="BG723" s="32"/>
      <c r="BH723" s="32"/>
    </row>
    <row r="724" spans="1:60" x14ac:dyDescent="0.25">
      <c r="A724" s="77"/>
      <c r="B724" s="84"/>
      <c r="C724" s="29"/>
      <c r="D724" s="59"/>
      <c r="E724" s="22"/>
      <c r="F724" s="27"/>
      <c r="G724" s="567"/>
      <c r="H724" s="609">
        <f t="shared" si="174"/>
        <v>0</v>
      </c>
      <c r="I724" s="568"/>
      <c r="J724" s="568"/>
      <c r="K724" s="568"/>
      <c r="L724" s="568"/>
      <c r="M724" s="32"/>
      <c r="N724" s="32"/>
      <c r="O724" s="32"/>
      <c r="P724" s="630"/>
      <c r="Q724" s="609">
        <f t="shared" si="171"/>
        <v>0</v>
      </c>
      <c r="R724" s="568"/>
      <c r="S724" s="568"/>
      <c r="T724" s="568"/>
      <c r="U724" s="568"/>
      <c r="V724" s="32"/>
      <c r="W724" s="32"/>
      <c r="X724" s="32"/>
      <c r="Y724" s="630"/>
      <c r="Z724" s="609">
        <f t="shared" si="172"/>
        <v>0</v>
      </c>
      <c r="AA724" s="568"/>
      <c r="AB724" s="568"/>
      <c r="AC724" s="568"/>
      <c r="AD724" s="568"/>
      <c r="AE724" s="32"/>
      <c r="AF724" s="32"/>
      <c r="AG724" s="32"/>
      <c r="AH724" s="630"/>
      <c r="AI724" s="609">
        <f t="shared" si="173"/>
        <v>0</v>
      </c>
      <c r="AJ724" s="568"/>
      <c r="AK724" s="568"/>
      <c r="AL724" s="568"/>
      <c r="AM724" s="568"/>
      <c r="AN724" s="32"/>
      <c r="AO724" s="32"/>
      <c r="AP724" s="32"/>
      <c r="AQ724" s="630"/>
      <c r="AR724" s="631"/>
      <c r="AS724" s="568"/>
      <c r="AT724" s="568"/>
      <c r="AU724" s="568"/>
      <c r="AV724" s="568"/>
      <c r="AW724" s="32"/>
      <c r="AX724" s="32"/>
      <c r="AY724" s="32"/>
      <c r="AZ724" s="32"/>
      <c r="BA724" s="32"/>
      <c r="BB724" s="568"/>
      <c r="BC724" s="568"/>
      <c r="BD724" s="568"/>
      <c r="BE724" s="32"/>
      <c r="BF724" s="32"/>
      <c r="BG724" s="32"/>
      <c r="BH724" s="32"/>
    </row>
    <row r="725" spans="1:60" x14ac:dyDescent="0.25">
      <c r="A725" s="77"/>
      <c r="B725" s="84"/>
      <c r="C725" s="29"/>
      <c r="D725" s="59"/>
      <c r="E725" s="22"/>
      <c r="F725" s="27"/>
      <c r="G725" s="567"/>
      <c r="H725" s="609">
        <f t="shared" si="174"/>
        <v>0</v>
      </c>
      <c r="I725" s="568"/>
      <c r="J725" s="568"/>
      <c r="K725" s="568"/>
      <c r="L725" s="568"/>
      <c r="M725" s="32"/>
      <c r="N725" s="32"/>
      <c r="O725" s="32"/>
      <c r="P725" s="630"/>
      <c r="Q725" s="609">
        <f t="shared" si="171"/>
        <v>0</v>
      </c>
      <c r="R725" s="568"/>
      <c r="S725" s="568"/>
      <c r="T725" s="568"/>
      <c r="U725" s="568"/>
      <c r="V725" s="32"/>
      <c r="W725" s="32"/>
      <c r="X725" s="32"/>
      <c r="Y725" s="630"/>
      <c r="Z725" s="609">
        <f t="shared" si="172"/>
        <v>0</v>
      </c>
      <c r="AA725" s="568"/>
      <c r="AB725" s="568"/>
      <c r="AC725" s="568"/>
      <c r="AD725" s="568"/>
      <c r="AE725" s="32"/>
      <c r="AF725" s="32"/>
      <c r="AG725" s="32"/>
      <c r="AH725" s="630"/>
      <c r="AI725" s="609">
        <f t="shared" si="173"/>
        <v>0</v>
      </c>
      <c r="AJ725" s="568"/>
      <c r="AK725" s="568"/>
      <c r="AL725" s="568"/>
      <c r="AM725" s="568"/>
      <c r="AN725" s="32"/>
      <c r="AO725" s="32"/>
      <c r="AP725" s="32"/>
      <c r="AQ725" s="630"/>
      <c r="AR725" s="631"/>
      <c r="AS725" s="568"/>
      <c r="AT725" s="568"/>
      <c r="AU725" s="568"/>
      <c r="AV725" s="568"/>
      <c r="AW725" s="32"/>
      <c r="AX725" s="32"/>
      <c r="AY725" s="32"/>
      <c r="AZ725" s="32"/>
      <c r="BA725" s="32"/>
      <c r="BB725" s="568"/>
      <c r="BC725" s="568"/>
      <c r="BD725" s="568"/>
      <c r="BE725" s="32"/>
      <c r="BF725" s="32"/>
      <c r="BG725" s="32"/>
      <c r="BH725" s="32"/>
    </row>
    <row r="726" spans="1:60" x14ac:dyDescent="0.25">
      <c r="A726" s="77"/>
      <c r="B726" s="84"/>
      <c r="C726" s="29"/>
      <c r="D726" s="59"/>
      <c r="E726" s="22"/>
      <c r="F726" s="27"/>
      <c r="G726" s="567"/>
      <c r="H726" s="609">
        <f t="shared" si="174"/>
        <v>0</v>
      </c>
      <c r="I726" s="568"/>
      <c r="J726" s="568"/>
      <c r="K726" s="568"/>
      <c r="L726" s="568"/>
      <c r="M726" s="32"/>
      <c r="N726" s="32"/>
      <c r="O726" s="32"/>
      <c r="P726" s="630"/>
      <c r="Q726" s="609">
        <f t="shared" si="171"/>
        <v>0</v>
      </c>
      <c r="R726" s="568"/>
      <c r="S726" s="568"/>
      <c r="T726" s="568"/>
      <c r="U726" s="568"/>
      <c r="V726" s="32"/>
      <c r="W726" s="32"/>
      <c r="X726" s="32"/>
      <c r="Y726" s="630"/>
      <c r="Z726" s="609">
        <f t="shared" si="172"/>
        <v>0</v>
      </c>
      <c r="AA726" s="568"/>
      <c r="AB726" s="568"/>
      <c r="AC726" s="568"/>
      <c r="AD726" s="568"/>
      <c r="AE726" s="32"/>
      <c r="AF726" s="32"/>
      <c r="AG726" s="32"/>
      <c r="AH726" s="630"/>
      <c r="AI726" s="609">
        <f t="shared" si="173"/>
        <v>0</v>
      </c>
      <c r="AJ726" s="568"/>
      <c r="AK726" s="568"/>
      <c r="AL726" s="568"/>
      <c r="AM726" s="568"/>
      <c r="AN726" s="32"/>
      <c r="AO726" s="32"/>
      <c r="AP726" s="32"/>
      <c r="AQ726" s="630"/>
      <c r="AR726" s="631"/>
      <c r="AS726" s="568"/>
      <c r="AT726" s="568"/>
      <c r="AU726" s="568"/>
      <c r="AV726" s="568"/>
      <c r="AW726" s="32"/>
      <c r="AX726" s="32"/>
      <c r="AY726" s="32"/>
      <c r="AZ726" s="32"/>
      <c r="BA726" s="32"/>
      <c r="BB726" s="568"/>
      <c r="BC726" s="568"/>
      <c r="BD726" s="568"/>
      <c r="BE726" s="32"/>
      <c r="BF726" s="32"/>
      <c r="BG726" s="32"/>
      <c r="BH726" s="32"/>
    </row>
    <row r="727" spans="1:60" x14ac:dyDescent="0.25">
      <c r="A727" s="77"/>
      <c r="B727" s="84"/>
      <c r="C727" s="29"/>
      <c r="D727" s="59"/>
      <c r="E727" s="22"/>
      <c r="F727" s="27"/>
      <c r="G727" s="567"/>
      <c r="H727" s="609">
        <f t="shared" si="174"/>
        <v>0</v>
      </c>
      <c r="I727" s="568"/>
      <c r="J727" s="568"/>
      <c r="K727" s="568"/>
      <c r="L727" s="568"/>
      <c r="M727" s="32"/>
      <c r="N727" s="32"/>
      <c r="O727" s="32"/>
      <c r="P727" s="630"/>
      <c r="Q727" s="609">
        <f t="shared" si="171"/>
        <v>0</v>
      </c>
      <c r="R727" s="568"/>
      <c r="S727" s="568"/>
      <c r="T727" s="568"/>
      <c r="U727" s="568"/>
      <c r="V727" s="32"/>
      <c r="W727" s="32"/>
      <c r="X727" s="32"/>
      <c r="Y727" s="630"/>
      <c r="Z727" s="609">
        <f t="shared" si="172"/>
        <v>0</v>
      </c>
      <c r="AA727" s="568"/>
      <c r="AB727" s="568"/>
      <c r="AC727" s="568"/>
      <c r="AD727" s="568"/>
      <c r="AE727" s="32"/>
      <c r="AF727" s="32"/>
      <c r="AG727" s="32"/>
      <c r="AH727" s="630"/>
      <c r="AI727" s="609">
        <f t="shared" si="173"/>
        <v>0</v>
      </c>
      <c r="AJ727" s="568"/>
      <c r="AK727" s="568"/>
      <c r="AL727" s="568"/>
      <c r="AM727" s="568"/>
      <c r="AN727" s="32"/>
      <c r="AO727" s="32"/>
      <c r="AP727" s="32"/>
      <c r="AQ727" s="630"/>
      <c r="AR727" s="631"/>
      <c r="AS727" s="568"/>
      <c r="AT727" s="568"/>
      <c r="AU727" s="568"/>
      <c r="AV727" s="568"/>
      <c r="AW727" s="32"/>
      <c r="AX727" s="32"/>
      <c r="AY727" s="32"/>
      <c r="AZ727" s="32"/>
      <c r="BA727" s="32"/>
      <c r="BB727" s="568"/>
      <c r="BC727" s="568"/>
      <c r="BD727" s="568"/>
      <c r="BE727" s="32"/>
      <c r="BF727" s="32"/>
      <c r="BG727" s="32"/>
      <c r="BH727" s="32"/>
    </row>
    <row r="728" spans="1:60" x14ac:dyDescent="0.25">
      <c r="A728" s="77"/>
      <c r="B728" s="84"/>
      <c r="C728" s="29"/>
      <c r="D728" s="59"/>
      <c r="E728" s="22"/>
      <c r="F728" s="27"/>
      <c r="G728" s="567"/>
      <c r="H728" s="609">
        <f t="shared" si="174"/>
        <v>0</v>
      </c>
      <c r="I728" s="568"/>
      <c r="J728" s="568"/>
      <c r="K728" s="568"/>
      <c r="L728" s="568"/>
      <c r="M728" s="32"/>
      <c r="N728" s="32"/>
      <c r="O728" s="32"/>
      <c r="P728" s="630"/>
      <c r="Q728" s="609">
        <f t="shared" si="171"/>
        <v>0</v>
      </c>
      <c r="R728" s="568"/>
      <c r="S728" s="568"/>
      <c r="T728" s="568"/>
      <c r="U728" s="568"/>
      <c r="V728" s="32"/>
      <c r="W728" s="32"/>
      <c r="X728" s="32"/>
      <c r="Y728" s="630"/>
      <c r="Z728" s="609">
        <f t="shared" si="172"/>
        <v>0</v>
      </c>
      <c r="AA728" s="568"/>
      <c r="AB728" s="568"/>
      <c r="AC728" s="568"/>
      <c r="AD728" s="568"/>
      <c r="AE728" s="32"/>
      <c r="AF728" s="32"/>
      <c r="AG728" s="32"/>
      <c r="AH728" s="630"/>
      <c r="AI728" s="609">
        <f t="shared" si="173"/>
        <v>0</v>
      </c>
      <c r="AJ728" s="568"/>
      <c r="AK728" s="568"/>
      <c r="AL728" s="568"/>
      <c r="AM728" s="568"/>
      <c r="AN728" s="32"/>
      <c r="AO728" s="32"/>
      <c r="AP728" s="32"/>
      <c r="AQ728" s="630"/>
      <c r="AR728" s="631"/>
      <c r="AS728" s="568"/>
      <c r="AT728" s="568"/>
      <c r="AU728" s="568"/>
      <c r="AV728" s="568"/>
      <c r="AW728" s="32"/>
      <c r="AX728" s="32"/>
      <c r="AY728" s="32"/>
      <c r="AZ728" s="32"/>
      <c r="BA728" s="32"/>
      <c r="BB728" s="568"/>
      <c r="BC728" s="568"/>
      <c r="BD728" s="568"/>
      <c r="BE728" s="32"/>
      <c r="BF728" s="32"/>
      <c r="BG728" s="32"/>
      <c r="BH728" s="32"/>
    </row>
    <row r="729" spans="1:60" x14ac:dyDescent="0.25">
      <c r="A729" s="77"/>
      <c r="B729" s="84"/>
      <c r="C729" s="29"/>
      <c r="D729" s="59"/>
      <c r="E729" s="22"/>
      <c r="F729" s="27"/>
      <c r="G729" s="567"/>
      <c r="H729" s="609">
        <f t="shared" si="174"/>
        <v>0</v>
      </c>
      <c r="I729" s="568"/>
      <c r="J729" s="568"/>
      <c r="K729" s="568"/>
      <c r="L729" s="568"/>
      <c r="M729" s="32"/>
      <c r="N729" s="32"/>
      <c r="O729" s="32"/>
      <c r="P729" s="630"/>
      <c r="Q729" s="609">
        <f t="shared" si="171"/>
        <v>0</v>
      </c>
      <c r="R729" s="568"/>
      <c r="S729" s="568"/>
      <c r="T729" s="568"/>
      <c r="U729" s="568"/>
      <c r="V729" s="32"/>
      <c r="W729" s="32"/>
      <c r="X729" s="32"/>
      <c r="Y729" s="630"/>
      <c r="Z729" s="609">
        <f t="shared" si="172"/>
        <v>0</v>
      </c>
      <c r="AA729" s="568"/>
      <c r="AB729" s="568"/>
      <c r="AC729" s="568"/>
      <c r="AD729" s="568"/>
      <c r="AE729" s="32"/>
      <c r="AF729" s="32"/>
      <c r="AG729" s="32"/>
      <c r="AH729" s="630"/>
      <c r="AI729" s="609">
        <f t="shared" si="173"/>
        <v>0</v>
      </c>
      <c r="AJ729" s="568"/>
      <c r="AK729" s="568"/>
      <c r="AL729" s="568"/>
      <c r="AM729" s="568"/>
      <c r="AN729" s="32"/>
      <c r="AO729" s="32"/>
      <c r="AP729" s="32"/>
      <c r="AQ729" s="630"/>
      <c r="AR729" s="631"/>
      <c r="AS729" s="568"/>
      <c r="AT729" s="568"/>
      <c r="AU729" s="568"/>
      <c r="AV729" s="568"/>
      <c r="AW729" s="32"/>
      <c r="AX729" s="32"/>
      <c r="AY729" s="32"/>
      <c r="AZ729" s="32"/>
      <c r="BA729" s="32"/>
      <c r="BB729" s="568"/>
      <c r="BC729" s="568"/>
      <c r="BD729" s="568"/>
      <c r="BE729" s="32"/>
      <c r="BF729" s="32"/>
      <c r="BG729" s="32"/>
      <c r="BH729" s="32"/>
    </row>
    <row r="730" spans="1:60" x14ac:dyDescent="0.25">
      <c r="A730" s="77"/>
      <c r="B730" s="84"/>
      <c r="C730" s="29"/>
      <c r="D730" s="59"/>
      <c r="E730" s="22"/>
      <c r="F730" s="27"/>
      <c r="G730" s="567"/>
      <c r="H730" s="609">
        <f t="shared" si="174"/>
        <v>0</v>
      </c>
      <c r="I730" s="568"/>
      <c r="J730" s="568"/>
      <c r="K730" s="568"/>
      <c r="L730" s="568"/>
      <c r="M730" s="32"/>
      <c r="N730" s="32"/>
      <c r="O730" s="32"/>
      <c r="P730" s="630"/>
      <c r="Q730" s="609">
        <f t="shared" si="171"/>
        <v>0</v>
      </c>
      <c r="R730" s="568"/>
      <c r="S730" s="568"/>
      <c r="T730" s="568"/>
      <c r="U730" s="568"/>
      <c r="V730" s="32"/>
      <c r="W730" s="32"/>
      <c r="X730" s="32"/>
      <c r="Y730" s="630"/>
      <c r="Z730" s="609">
        <f t="shared" si="172"/>
        <v>0</v>
      </c>
      <c r="AA730" s="568"/>
      <c r="AB730" s="568"/>
      <c r="AC730" s="568"/>
      <c r="AD730" s="568"/>
      <c r="AE730" s="32"/>
      <c r="AF730" s="32"/>
      <c r="AG730" s="32"/>
      <c r="AH730" s="630"/>
      <c r="AI730" s="609">
        <f t="shared" si="173"/>
        <v>0</v>
      </c>
      <c r="AJ730" s="568"/>
      <c r="AK730" s="568"/>
      <c r="AL730" s="568"/>
      <c r="AM730" s="568"/>
      <c r="AN730" s="32"/>
      <c r="AO730" s="32"/>
      <c r="AP730" s="32"/>
      <c r="AQ730" s="630"/>
      <c r="AR730" s="631"/>
      <c r="AS730" s="568"/>
      <c r="AT730" s="568"/>
      <c r="AU730" s="568"/>
      <c r="AV730" s="568"/>
      <c r="AW730" s="32"/>
      <c r="AX730" s="32"/>
      <c r="AY730" s="32"/>
      <c r="AZ730" s="32"/>
      <c r="BA730" s="32"/>
      <c r="BB730" s="568"/>
      <c r="BC730" s="568"/>
      <c r="BD730" s="568"/>
      <c r="BE730" s="32"/>
      <c r="BF730" s="32"/>
      <c r="BG730" s="32"/>
      <c r="BH730" s="32"/>
    </row>
    <row r="731" spans="1:60" x14ac:dyDescent="0.25">
      <c r="A731" s="77"/>
      <c r="B731" s="84"/>
      <c r="C731" s="29"/>
      <c r="D731" s="59"/>
      <c r="E731" s="22"/>
      <c r="F731" s="27"/>
      <c r="G731" s="567"/>
      <c r="H731" s="609">
        <f t="shared" si="174"/>
        <v>0</v>
      </c>
      <c r="I731" s="568"/>
      <c r="J731" s="568"/>
      <c r="K731" s="568"/>
      <c r="L731" s="568"/>
      <c r="M731" s="32"/>
      <c r="N731" s="32"/>
      <c r="O731" s="32"/>
      <c r="P731" s="630"/>
      <c r="Q731" s="609">
        <f t="shared" si="171"/>
        <v>0</v>
      </c>
      <c r="R731" s="568"/>
      <c r="S731" s="568"/>
      <c r="T731" s="568"/>
      <c r="U731" s="568"/>
      <c r="V731" s="32"/>
      <c r="W731" s="32"/>
      <c r="X731" s="32"/>
      <c r="Y731" s="630"/>
      <c r="Z731" s="609">
        <f t="shared" si="172"/>
        <v>0</v>
      </c>
      <c r="AA731" s="568"/>
      <c r="AB731" s="568"/>
      <c r="AC731" s="568"/>
      <c r="AD731" s="568"/>
      <c r="AE731" s="32"/>
      <c r="AF731" s="32"/>
      <c r="AG731" s="32"/>
      <c r="AH731" s="630"/>
      <c r="AI731" s="609">
        <f t="shared" si="173"/>
        <v>0</v>
      </c>
      <c r="AJ731" s="568"/>
      <c r="AK731" s="568"/>
      <c r="AL731" s="568"/>
      <c r="AM731" s="568"/>
      <c r="AN731" s="32"/>
      <c r="AO731" s="32"/>
      <c r="AP731" s="32"/>
      <c r="AQ731" s="630"/>
      <c r="AR731" s="631"/>
      <c r="AS731" s="568"/>
      <c r="AT731" s="568"/>
      <c r="AU731" s="568"/>
      <c r="AV731" s="568"/>
      <c r="AW731" s="32"/>
      <c r="AX731" s="32"/>
      <c r="AY731" s="32"/>
      <c r="AZ731" s="32"/>
      <c r="BA731" s="32"/>
      <c r="BB731" s="568"/>
      <c r="BC731" s="568"/>
      <c r="BD731" s="568"/>
      <c r="BE731" s="32"/>
      <c r="BF731" s="32"/>
      <c r="BG731" s="32"/>
      <c r="BH731" s="32"/>
    </row>
    <row r="732" spans="1:60" x14ac:dyDescent="0.25">
      <c r="A732" s="77"/>
      <c r="B732" s="84"/>
      <c r="C732" s="29"/>
      <c r="D732" s="59"/>
      <c r="E732" s="22"/>
      <c r="F732" s="27"/>
      <c r="G732" s="567"/>
      <c r="H732" s="609">
        <f t="shared" si="174"/>
        <v>0</v>
      </c>
      <c r="I732" s="568"/>
      <c r="J732" s="568"/>
      <c r="K732" s="568"/>
      <c r="L732" s="568"/>
      <c r="M732" s="32"/>
      <c r="N732" s="32"/>
      <c r="O732" s="32"/>
      <c r="P732" s="630"/>
      <c r="Q732" s="609">
        <f t="shared" si="171"/>
        <v>0</v>
      </c>
      <c r="R732" s="568"/>
      <c r="S732" s="568"/>
      <c r="T732" s="568"/>
      <c r="U732" s="568"/>
      <c r="V732" s="32"/>
      <c r="W732" s="32"/>
      <c r="X732" s="32"/>
      <c r="Y732" s="630"/>
      <c r="Z732" s="609">
        <f t="shared" si="172"/>
        <v>0</v>
      </c>
      <c r="AA732" s="568"/>
      <c r="AB732" s="568"/>
      <c r="AC732" s="568"/>
      <c r="AD732" s="568"/>
      <c r="AE732" s="32"/>
      <c r="AF732" s="32"/>
      <c r="AG732" s="32"/>
      <c r="AH732" s="630"/>
      <c r="AI732" s="609">
        <f t="shared" si="173"/>
        <v>0</v>
      </c>
      <c r="AJ732" s="568"/>
      <c r="AK732" s="568"/>
      <c r="AL732" s="568"/>
      <c r="AM732" s="568"/>
      <c r="AN732" s="32"/>
      <c r="AO732" s="32"/>
      <c r="AP732" s="32"/>
      <c r="AQ732" s="630"/>
      <c r="AR732" s="631"/>
      <c r="AS732" s="568"/>
      <c r="AT732" s="568"/>
      <c r="AU732" s="568"/>
      <c r="AV732" s="568"/>
      <c r="AW732" s="32"/>
      <c r="AX732" s="32"/>
      <c r="AY732" s="32"/>
      <c r="AZ732" s="32"/>
      <c r="BA732" s="32"/>
      <c r="BB732" s="568"/>
      <c r="BC732" s="568"/>
      <c r="BD732" s="568"/>
      <c r="BE732" s="32"/>
      <c r="BF732" s="32"/>
      <c r="BG732" s="32"/>
      <c r="BH732" s="32"/>
    </row>
    <row r="733" spans="1:60" x14ac:dyDescent="0.25">
      <c r="A733" s="77"/>
      <c r="B733" s="84"/>
      <c r="C733" s="29"/>
      <c r="D733" s="59"/>
      <c r="E733" s="22"/>
      <c r="F733" s="27"/>
      <c r="G733" s="567"/>
      <c r="H733" s="609">
        <f t="shared" si="174"/>
        <v>0</v>
      </c>
      <c r="I733" s="568"/>
      <c r="J733" s="568"/>
      <c r="K733" s="568"/>
      <c r="L733" s="568"/>
      <c r="M733" s="32"/>
      <c r="N733" s="32"/>
      <c r="O733" s="32"/>
      <c r="P733" s="630"/>
      <c r="Q733" s="609">
        <f t="shared" si="171"/>
        <v>0</v>
      </c>
      <c r="R733" s="568"/>
      <c r="S733" s="568"/>
      <c r="T733" s="568"/>
      <c r="U733" s="568"/>
      <c r="V733" s="32"/>
      <c r="W733" s="32"/>
      <c r="X733" s="32"/>
      <c r="Y733" s="630"/>
      <c r="Z733" s="609">
        <f t="shared" si="172"/>
        <v>0</v>
      </c>
      <c r="AA733" s="568"/>
      <c r="AB733" s="568"/>
      <c r="AC733" s="568"/>
      <c r="AD733" s="568"/>
      <c r="AE733" s="32"/>
      <c r="AF733" s="32"/>
      <c r="AG733" s="32"/>
      <c r="AH733" s="630"/>
      <c r="AI733" s="609">
        <f t="shared" si="173"/>
        <v>0</v>
      </c>
      <c r="AJ733" s="568"/>
      <c r="AK733" s="568"/>
      <c r="AL733" s="568"/>
      <c r="AM733" s="568"/>
      <c r="AN733" s="32"/>
      <c r="AO733" s="32"/>
      <c r="AP733" s="32"/>
      <c r="AQ733" s="630"/>
      <c r="AR733" s="631"/>
      <c r="AS733" s="568"/>
      <c r="AT733" s="568"/>
      <c r="AU733" s="568"/>
      <c r="AV733" s="568"/>
      <c r="AW733" s="32"/>
      <c r="AX733" s="32"/>
      <c r="AY733" s="32"/>
      <c r="AZ733" s="32"/>
      <c r="BA733" s="32"/>
      <c r="BB733" s="568"/>
      <c r="BC733" s="568"/>
      <c r="BD733" s="568"/>
      <c r="BE733" s="32"/>
      <c r="BF733" s="32"/>
      <c r="BG733" s="32"/>
      <c r="BH733" s="32"/>
    </row>
    <row r="734" spans="1:60" x14ac:dyDescent="0.25">
      <c r="A734" s="77"/>
      <c r="B734" s="84"/>
      <c r="C734" s="29"/>
      <c r="D734" s="59"/>
      <c r="E734" s="22"/>
      <c r="F734" s="27"/>
      <c r="G734" s="567"/>
      <c r="H734" s="609">
        <f t="shared" si="174"/>
        <v>0</v>
      </c>
      <c r="I734" s="568"/>
      <c r="J734" s="568"/>
      <c r="K734" s="568"/>
      <c r="L734" s="568"/>
      <c r="M734" s="32"/>
      <c r="N734" s="32"/>
      <c r="O734" s="32"/>
      <c r="P734" s="630"/>
      <c r="Q734" s="609">
        <f t="shared" si="171"/>
        <v>0</v>
      </c>
      <c r="R734" s="568"/>
      <c r="S734" s="568"/>
      <c r="T734" s="568"/>
      <c r="U734" s="568"/>
      <c r="V734" s="32"/>
      <c r="W734" s="32"/>
      <c r="X734" s="32"/>
      <c r="Y734" s="630"/>
      <c r="Z734" s="609">
        <f t="shared" si="172"/>
        <v>0</v>
      </c>
      <c r="AA734" s="568"/>
      <c r="AB734" s="568"/>
      <c r="AC734" s="568"/>
      <c r="AD734" s="568"/>
      <c r="AE734" s="32"/>
      <c r="AF734" s="32"/>
      <c r="AG734" s="32"/>
      <c r="AH734" s="630"/>
      <c r="AI734" s="609">
        <f t="shared" si="173"/>
        <v>0</v>
      </c>
      <c r="AJ734" s="568"/>
      <c r="AK734" s="568"/>
      <c r="AL734" s="568"/>
      <c r="AM734" s="568"/>
      <c r="AN734" s="32"/>
      <c r="AO734" s="32"/>
      <c r="AP734" s="32"/>
      <c r="AQ734" s="630"/>
      <c r="AR734" s="631"/>
      <c r="AS734" s="568"/>
      <c r="AT734" s="568"/>
      <c r="AU734" s="568"/>
      <c r="AV734" s="568"/>
      <c r="AW734" s="32"/>
      <c r="AX734" s="32"/>
      <c r="AY734" s="32"/>
      <c r="AZ734" s="32"/>
      <c r="BA734" s="32"/>
      <c r="BB734" s="568"/>
      <c r="BC734" s="568"/>
      <c r="BD734" s="568"/>
      <c r="BE734" s="32"/>
      <c r="BF734" s="32"/>
      <c r="BG734" s="32"/>
      <c r="BH734" s="32"/>
    </row>
    <row r="735" spans="1:60" x14ac:dyDescent="0.25">
      <c r="A735" s="77"/>
      <c r="B735" s="84"/>
      <c r="C735" s="29"/>
      <c r="D735" s="59"/>
      <c r="E735" s="22"/>
      <c r="F735" s="27"/>
      <c r="G735" s="567"/>
      <c r="H735" s="609">
        <f t="shared" si="174"/>
        <v>0</v>
      </c>
      <c r="I735" s="568"/>
      <c r="J735" s="568"/>
      <c r="K735" s="568"/>
      <c r="L735" s="568"/>
      <c r="M735" s="32"/>
      <c r="N735" s="32"/>
      <c r="O735" s="32"/>
      <c r="P735" s="630"/>
      <c r="Q735" s="609">
        <f t="shared" si="171"/>
        <v>0</v>
      </c>
      <c r="R735" s="568"/>
      <c r="S735" s="568"/>
      <c r="T735" s="568"/>
      <c r="U735" s="568"/>
      <c r="V735" s="32"/>
      <c r="W735" s="32"/>
      <c r="X735" s="32"/>
      <c r="Y735" s="630"/>
      <c r="Z735" s="609">
        <f t="shared" si="172"/>
        <v>0</v>
      </c>
      <c r="AA735" s="568"/>
      <c r="AB735" s="568"/>
      <c r="AC735" s="568"/>
      <c r="AD735" s="568"/>
      <c r="AE735" s="32"/>
      <c r="AF735" s="32"/>
      <c r="AG735" s="32"/>
      <c r="AH735" s="630"/>
      <c r="AI735" s="609">
        <f t="shared" si="173"/>
        <v>0</v>
      </c>
      <c r="AJ735" s="568"/>
      <c r="AK735" s="568"/>
      <c r="AL735" s="568"/>
      <c r="AM735" s="568"/>
      <c r="AN735" s="32"/>
      <c r="AO735" s="32"/>
      <c r="AP735" s="32"/>
      <c r="AQ735" s="630"/>
      <c r="AR735" s="631"/>
      <c r="AS735" s="568"/>
      <c r="AT735" s="568"/>
      <c r="AU735" s="568"/>
      <c r="AV735" s="568"/>
      <c r="AW735" s="32"/>
      <c r="AX735" s="32"/>
      <c r="AY735" s="32"/>
      <c r="AZ735" s="32"/>
      <c r="BA735" s="32"/>
      <c r="BB735" s="568"/>
      <c r="BC735" s="568"/>
      <c r="BD735" s="568"/>
      <c r="BE735" s="32"/>
      <c r="BF735" s="32"/>
      <c r="BG735" s="32"/>
      <c r="BH735" s="32"/>
    </row>
    <row r="736" spans="1:60" x14ac:dyDescent="0.25">
      <c r="A736" s="77"/>
      <c r="B736" s="84"/>
      <c r="C736" s="29"/>
      <c r="D736" s="59"/>
      <c r="E736" s="22"/>
      <c r="F736" s="27"/>
      <c r="G736" s="567"/>
      <c r="H736" s="609">
        <f t="shared" si="174"/>
        <v>0</v>
      </c>
      <c r="I736" s="568"/>
      <c r="J736" s="568"/>
      <c r="K736" s="568"/>
      <c r="L736" s="568"/>
      <c r="M736" s="32"/>
      <c r="N736" s="32"/>
      <c r="O736" s="32"/>
      <c r="P736" s="630"/>
      <c r="Q736" s="609">
        <f t="shared" si="171"/>
        <v>0</v>
      </c>
      <c r="R736" s="568"/>
      <c r="S736" s="568"/>
      <c r="T736" s="568"/>
      <c r="U736" s="568"/>
      <c r="V736" s="32"/>
      <c r="W736" s="32"/>
      <c r="X736" s="32"/>
      <c r="Y736" s="630"/>
      <c r="Z736" s="609">
        <f t="shared" si="172"/>
        <v>0</v>
      </c>
      <c r="AA736" s="568"/>
      <c r="AB736" s="568"/>
      <c r="AC736" s="568"/>
      <c r="AD736" s="568"/>
      <c r="AE736" s="32"/>
      <c r="AF736" s="32"/>
      <c r="AG736" s="32"/>
      <c r="AH736" s="630"/>
      <c r="AI736" s="609">
        <f t="shared" si="173"/>
        <v>0</v>
      </c>
      <c r="AJ736" s="568"/>
      <c r="AK736" s="568"/>
      <c r="AL736" s="568"/>
      <c r="AM736" s="568"/>
      <c r="AN736" s="32"/>
      <c r="AO736" s="32"/>
      <c r="AP736" s="32"/>
      <c r="AQ736" s="630"/>
      <c r="AR736" s="631"/>
      <c r="AS736" s="568"/>
      <c r="AT736" s="568"/>
      <c r="AU736" s="568"/>
      <c r="AV736" s="568"/>
      <c r="AW736" s="32"/>
      <c r="AX736" s="32"/>
      <c r="AY736" s="32"/>
      <c r="AZ736" s="32"/>
      <c r="BA736" s="32"/>
      <c r="BB736" s="568"/>
      <c r="BC736" s="568"/>
      <c r="BD736" s="568"/>
      <c r="BE736" s="32"/>
      <c r="BF736" s="32"/>
      <c r="BG736" s="32"/>
      <c r="BH736" s="32"/>
    </row>
    <row r="737" spans="1:60" x14ac:dyDescent="0.25">
      <c r="A737" s="77"/>
      <c r="B737" s="84"/>
      <c r="C737" s="29"/>
      <c r="D737" s="59"/>
      <c r="E737" s="22"/>
      <c r="F737" s="27"/>
      <c r="G737" s="567"/>
      <c r="H737" s="609">
        <f t="shared" si="174"/>
        <v>0</v>
      </c>
      <c r="I737" s="568"/>
      <c r="J737" s="568"/>
      <c r="K737" s="568"/>
      <c r="L737" s="568"/>
      <c r="M737" s="32"/>
      <c r="N737" s="32"/>
      <c r="O737" s="32"/>
      <c r="P737" s="630"/>
      <c r="Q737" s="609">
        <f t="shared" si="171"/>
        <v>0</v>
      </c>
      <c r="R737" s="568"/>
      <c r="S737" s="568"/>
      <c r="T737" s="568"/>
      <c r="U737" s="568"/>
      <c r="V737" s="32"/>
      <c r="W737" s="32"/>
      <c r="X737" s="32"/>
      <c r="Y737" s="630"/>
      <c r="Z737" s="609">
        <f t="shared" si="172"/>
        <v>0</v>
      </c>
      <c r="AA737" s="568"/>
      <c r="AB737" s="568"/>
      <c r="AC737" s="568"/>
      <c r="AD737" s="568"/>
      <c r="AE737" s="32"/>
      <c r="AF737" s="32"/>
      <c r="AG737" s="32"/>
      <c r="AH737" s="630"/>
      <c r="AI737" s="609">
        <f t="shared" si="173"/>
        <v>0</v>
      </c>
      <c r="AJ737" s="568"/>
      <c r="AK737" s="568"/>
      <c r="AL737" s="568"/>
      <c r="AM737" s="568"/>
      <c r="AN737" s="32"/>
      <c r="AO737" s="32"/>
      <c r="AP737" s="32"/>
      <c r="AQ737" s="630"/>
      <c r="AR737" s="631"/>
      <c r="AS737" s="568"/>
      <c r="AT737" s="568"/>
      <c r="AU737" s="568"/>
      <c r="AV737" s="568"/>
      <c r="AW737" s="32"/>
      <c r="AX737" s="32"/>
      <c r="AY737" s="32"/>
      <c r="AZ737" s="32"/>
      <c r="BA737" s="32"/>
      <c r="BB737" s="568"/>
      <c r="BC737" s="568"/>
      <c r="BD737" s="568"/>
      <c r="BE737" s="32"/>
      <c r="BF737" s="32"/>
      <c r="BG737" s="32"/>
      <c r="BH737" s="32"/>
    </row>
    <row r="738" spans="1:60" x14ac:dyDescent="0.25">
      <c r="A738" s="77"/>
      <c r="B738" s="84"/>
      <c r="C738" s="29"/>
      <c r="D738" s="59"/>
      <c r="E738" s="22"/>
      <c r="F738" s="27"/>
      <c r="G738" s="567"/>
      <c r="H738" s="609">
        <f t="shared" si="174"/>
        <v>0</v>
      </c>
      <c r="I738" s="568"/>
      <c r="J738" s="568"/>
      <c r="K738" s="568"/>
      <c r="L738" s="568"/>
      <c r="M738" s="32"/>
      <c r="N738" s="32"/>
      <c r="O738" s="32"/>
      <c r="P738" s="630"/>
      <c r="Q738" s="609">
        <f t="shared" si="171"/>
        <v>0</v>
      </c>
      <c r="R738" s="568"/>
      <c r="S738" s="568"/>
      <c r="T738" s="568"/>
      <c r="U738" s="568"/>
      <c r="V738" s="32"/>
      <c r="W738" s="32"/>
      <c r="X738" s="32"/>
      <c r="Y738" s="630"/>
      <c r="Z738" s="609">
        <f t="shared" si="172"/>
        <v>0</v>
      </c>
      <c r="AA738" s="568"/>
      <c r="AB738" s="568"/>
      <c r="AC738" s="568"/>
      <c r="AD738" s="568"/>
      <c r="AE738" s="32"/>
      <c r="AF738" s="32"/>
      <c r="AG738" s="32"/>
      <c r="AH738" s="630"/>
      <c r="AI738" s="609">
        <f t="shared" si="173"/>
        <v>0</v>
      </c>
      <c r="AJ738" s="568"/>
      <c r="AK738" s="568"/>
      <c r="AL738" s="568"/>
      <c r="AM738" s="568"/>
      <c r="AN738" s="32"/>
      <c r="AO738" s="32"/>
      <c r="AP738" s="32"/>
      <c r="AQ738" s="630"/>
      <c r="AR738" s="631"/>
      <c r="AS738" s="568"/>
      <c r="AT738" s="568"/>
      <c r="AU738" s="568"/>
      <c r="AV738" s="568"/>
      <c r="AW738" s="32"/>
      <c r="AX738" s="32"/>
      <c r="AY738" s="32"/>
      <c r="AZ738" s="32"/>
      <c r="BA738" s="32"/>
      <c r="BB738" s="568"/>
      <c r="BC738" s="568"/>
      <c r="BD738" s="568"/>
      <c r="BE738" s="32"/>
      <c r="BF738" s="32"/>
      <c r="BG738" s="32"/>
      <c r="BH738" s="32"/>
    </row>
    <row r="739" spans="1:60" x14ac:dyDescent="0.25">
      <c r="A739" s="77"/>
      <c r="B739" s="84"/>
      <c r="C739" s="29"/>
      <c r="D739" s="59"/>
      <c r="E739" s="22"/>
      <c r="F739" s="27"/>
      <c r="G739" s="567"/>
      <c r="H739" s="609">
        <f t="shared" si="174"/>
        <v>0</v>
      </c>
      <c r="I739" s="568"/>
      <c r="J739" s="568"/>
      <c r="K739" s="568"/>
      <c r="L739" s="568"/>
      <c r="M739" s="32"/>
      <c r="N739" s="32"/>
      <c r="O739" s="32"/>
      <c r="P739" s="630"/>
      <c r="Q739" s="609">
        <f t="shared" si="171"/>
        <v>0</v>
      </c>
      <c r="R739" s="568"/>
      <c r="S739" s="568"/>
      <c r="T739" s="568"/>
      <c r="U739" s="568"/>
      <c r="V739" s="32"/>
      <c r="W739" s="32"/>
      <c r="X739" s="32"/>
      <c r="Y739" s="630"/>
      <c r="Z739" s="609">
        <f t="shared" si="172"/>
        <v>0</v>
      </c>
      <c r="AA739" s="568"/>
      <c r="AB739" s="568"/>
      <c r="AC739" s="568"/>
      <c r="AD739" s="568"/>
      <c r="AE739" s="32"/>
      <c r="AF739" s="32"/>
      <c r="AG739" s="32"/>
      <c r="AH739" s="630"/>
      <c r="AI739" s="609">
        <f t="shared" si="173"/>
        <v>0</v>
      </c>
      <c r="AJ739" s="568"/>
      <c r="AK739" s="568"/>
      <c r="AL739" s="568"/>
      <c r="AM739" s="568"/>
      <c r="AN739" s="32"/>
      <c r="AO739" s="32"/>
      <c r="AP739" s="32"/>
      <c r="AQ739" s="630"/>
      <c r="AR739" s="631"/>
      <c r="AS739" s="568"/>
      <c r="AT739" s="568"/>
      <c r="AU739" s="568"/>
      <c r="AV739" s="568"/>
      <c r="AW739" s="32"/>
      <c r="AX739" s="32"/>
      <c r="AY739" s="32"/>
      <c r="AZ739" s="32"/>
      <c r="BA739" s="32"/>
      <c r="BB739" s="568"/>
      <c r="BC739" s="568"/>
      <c r="BD739" s="568"/>
      <c r="BE739" s="32"/>
      <c r="BF739" s="32"/>
      <c r="BG739" s="32"/>
      <c r="BH739" s="32"/>
    </row>
    <row r="740" spans="1:60" x14ac:dyDescent="0.25">
      <c r="A740" s="77"/>
      <c r="B740" s="84"/>
      <c r="C740" s="29"/>
      <c r="D740" s="59"/>
      <c r="E740" s="22"/>
      <c r="F740" s="27"/>
      <c r="G740" s="567"/>
      <c r="H740" s="609">
        <f t="shared" si="174"/>
        <v>0</v>
      </c>
      <c r="I740" s="568"/>
      <c r="J740" s="568"/>
      <c r="K740" s="568"/>
      <c r="L740" s="568"/>
      <c r="M740" s="32"/>
      <c r="N740" s="32"/>
      <c r="O740" s="32"/>
      <c r="P740" s="630"/>
      <c r="Q740" s="609">
        <f t="shared" si="171"/>
        <v>0</v>
      </c>
      <c r="R740" s="568"/>
      <c r="S740" s="568"/>
      <c r="T740" s="568"/>
      <c r="U740" s="568"/>
      <c r="V740" s="32"/>
      <c r="W740" s="32"/>
      <c r="X740" s="32"/>
      <c r="Y740" s="630"/>
      <c r="Z740" s="609">
        <f t="shared" si="172"/>
        <v>0</v>
      </c>
      <c r="AA740" s="568"/>
      <c r="AB740" s="568"/>
      <c r="AC740" s="568"/>
      <c r="AD740" s="568"/>
      <c r="AE740" s="32"/>
      <c r="AF740" s="32"/>
      <c r="AG740" s="32"/>
      <c r="AH740" s="630"/>
      <c r="AI740" s="609">
        <f t="shared" si="173"/>
        <v>0</v>
      </c>
      <c r="AJ740" s="568"/>
      <c r="AK740" s="568"/>
      <c r="AL740" s="568"/>
      <c r="AM740" s="568"/>
      <c r="AN740" s="32"/>
      <c r="AO740" s="32"/>
      <c r="AP740" s="32"/>
      <c r="AQ740" s="630"/>
      <c r="AR740" s="631"/>
      <c r="AS740" s="568"/>
      <c r="AT740" s="568"/>
      <c r="AU740" s="568"/>
      <c r="AV740" s="568"/>
      <c r="AW740" s="32"/>
      <c r="AX740" s="32"/>
      <c r="AY740" s="32"/>
      <c r="AZ740" s="32"/>
      <c r="BA740" s="32"/>
      <c r="BB740" s="568"/>
      <c r="BC740" s="568"/>
      <c r="BD740" s="568"/>
      <c r="BE740" s="32"/>
      <c r="BF740" s="32"/>
      <c r="BG740" s="32"/>
      <c r="BH740" s="32"/>
    </row>
    <row r="741" spans="1:60" x14ac:dyDescent="0.25">
      <c r="A741" s="77"/>
      <c r="B741" s="84"/>
      <c r="C741" s="29"/>
      <c r="D741" s="59"/>
      <c r="E741" s="22"/>
      <c r="F741" s="27"/>
      <c r="G741" s="567"/>
      <c r="H741" s="609">
        <f t="shared" si="174"/>
        <v>0</v>
      </c>
      <c r="I741" s="568"/>
      <c r="J741" s="568"/>
      <c r="K741" s="568"/>
      <c r="L741" s="568"/>
      <c r="M741" s="32"/>
      <c r="N741" s="32"/>
      <c r="O741" s="32"/>
      <c r="P741" s="630"/>
      <c r="Q741" s="609">
        <f t="shared" si="171"/>
        <v>0</v>
      </c>
      <c r="R741" s="568"/>
      <c r="S741" s="568"/>
      <c r="T741" s="568"/>
      <c r="U741" s="568"/>
      <c r="V741" s="32"/>
      <c r="W741" s="32"/>
      <c r="X741" s="32"/>
      <c r="Y741" s="630"/>
      <c r="Z741" s="609">
        <f t="shared" si="172"/>
        <v>0</v>
      </c>
      <c r="AA741" s="568"/>
      <c r="AB741" s="568"/>
      <c r="AC741" s="568"/>
      <c r="AD741" s="568"/>
      <c r="AE741" s="32"/>
      <c r="AF741" s="32"/>
      <c r="AG741" s="32"/>
      <c r="AH741" s="630"/>
      <c r="AI741" s="609">
        <f t="shared" si="173"/>
        <v>0</v>
      </c>
      <c r="AJ741" s="568"/>
      <c r="AK741" s="568"/>
      <c r="AL741" s="568"/>
      <c r="AM741" s="568"/>
      <c r="AN741" s="32"/>
      <c r="AO741" s="32"/>
      <c r="AP741" s="32"/>
      <c r="AQ741" s="630"/>
      <c r="AR741" s="631"/>
      <c r="AS741" s="568"/>
      <c r="AT741" s="568"/>
      <c r="AU741" s="568"/>
      <c r="AV741" s="568"/>
      <c r="AW741" s="32"/>
      <c r="AX741" s="32"/>
      <c r="AY741" s="32"/>
      <c r="AZ741" s="32"/>
      <c r="BA741" s="32"/>
      <c r="BB741" s="568"/>
      <c r="BC741" s="568"/>
      <c r="BD741" s="568"/>
      <c r="BE741" s="32"/>
      <c r="BF741" s="32"/>
      <c r="BG741" s="32"/>
      <c r="BH741" s="32"/>
    </row>
    <row r="742" spans="1:60" x14ac:dyDescent="0.25">
      <c r="A742" s="77"/>
      <c r="B742" s="84"/>
      <c r="C742" s="29"/>
      <c r="D742" s="59"/>
      <c r="E742" s="22"/>
      <c r="F742" s="27"/>
      <c r="G742" s="567"/>
      <c r="H742" s="609">
        <f t="shared" si="174"/>
        <v>0</v>
      </c>
      <c r="I742" s="568"/>
      <c r="J742" s="568"/>
      <c r="K742" s="568"/>
      <c r="L742" s="568"/>
      <c r="M742" s="32"/>
      <c r="N742" s="32"/>
      <c r="O742" s="32"/>
      <c r="P742" s="630"/>
      <c r="Q742" s="609">
        <f t="shared" ref="Q742:Q805" si="175">AM742</f>
        <v>0</v>
      </c>
      <c r="R742" s="568"/>
      <c r="S742" s="568"/>
      <c r="T742" s="568"/>
      <c r="U742" s="568"/>
      <c r="V742" s="32"/>
      <c r="W742" s="32"/>
      <c r="X742" s="32"/>
      <c r="Y742" s="630"/>
      <c r="Z742" s="609">
        <f t="shared" ref="Z742:Z805" si="176">AM742</f>
        <v>0</v>
      </c>
      <c r="AA742" s="568"/>
      <c r="AB742" s="568"/>
      <c r="AC742" s="568"/>
      <c r="AD742" s="568"/>
      <c r="AE742" s="32"/>
      <c r="AF742" s="32"/>
      <c r="AG742" s="32"/>
      <c r="AH742" s="630"/>
      <c r="AI742" s="609">
        <f t="shared" ref="AI742:AI805" si="177">AV742</f>
        <v>0</v>
      </c>
      <c r="AJ742" s="568"/>
      <c r="AK742" s="568"/>
      <c r="AL742" s="568"/>
      <c r="AM742" s="568"/>
      <c r="AN742" s="32"/>
      <c r="AO742" s="32"/>
      <c r="AP742" s="32"/>
      <c r="AQ742" s="630"/>
      <c r="AR742" s="631"/>
      <c r="AS742" s="568"/>
      <c r="AT742" s="568"/>
      <c r="AU742" s="568"/>
      <c r="AV742" s="568"/>
      <c r="AW742" s="32"/>
      <c r="AX742" s="32"/>
      <c r="AY742" s="32"/>
      <c r="AZ742" s="32"/>
      <c r="BA742" s="32"/>
      <c r="BB742" s="568"/>
      <c r="BC742" s="568"/>
      <c r="BD742" s="568"/>
      <c r="BE742" s="32"/>
      <c r="BF742" s="32"/>
      <c r="BG742" s="32"/>
      <c r="BH742" s="32"/>
    </row>
    <row r="743" spans="1:60" x14ac:dyDescent="0.25">
      <c r="A743" s="77"/>
      <c r="B743" s="84"/>
      <c r="C743" s="29"/>
      <c r="D743" s="59"/>
      <c r="E743" s="22"/>
      <c r="F743" s="27"/>
      <c r="G743" s="567"/>
      <c r="H743" s="609">
        <f t="shared" si="174"/>
        <v>0</v>
      </c>
      <c r="I743" s="568"/>
      <c r="J743" s="568"/>
      <c r="K743" s="568"/>
      <c r="L743" s="568"/>
      <c r="M743" s="32"/>
      <c r="N743" s="32"/>
      <c r="O743" s="32"/>
      <c r="P743" s="630"/>
      <c r="Q743" s="609">
        <f t="shared" si="175"/>
        <v>0</v>
      </c>
      <c r="R743" s="568"/>
      <c r="S743" s="568"/>
      <c r="T743" s="568"/>
      <c r="U743" s="568"/>
      <c r="V743" s="32"/>
      <c r="W743" s="32"/>
      <c r="X743" s="32"/>
      <c r="Y743" s="630"/>
      <c r="Z743" s="609">
        <f t="shared" si="176"/>
        <v>0</v>
      </c>
      <c r="AA743" s="568"/>
      <c r="AB743" s="568"/>
      <c r="AC743" s="568"/>
      <c r="AD743" s="568"/>
      <c r="AE743" s="32"/>
      <c r="AF743" s="32"/>
      <c r="AG743" s="32"/>
      <c r="AH743" s="630"/>
      <c r="AI743" s="609">
        <f t="shared" si="177"/>
        <v>0</v>
      </c>
      <c r="AJ743" s="568"/>
      <c r="AK743" s="568"/>
      <c r="AL743" s="568"/>
      <c r="AM743" s="568"/>
      <c r="AN743" s="32"/>
      <c r="AO743" s="32"/>
      <c r="AP743" s="32"/>
      <c r="AQ743" s="630"/>
      <c r="AR743" s="631"/>
      <c r="AS743" s="568"/>
      <c r="AT743" s="568"/>
      <c r="AU743" s="568"/>
      <c r="AV743" s="568"/>
      <c r="AW743" s="32"/>
      <c r="AX743" s="32"/>
      <c r="AY743" s="32"/>
      <c r="AZ743" s="32"/>
      <c r="BA743" s="32"/>
      <c r="BB743" s="568"/>
      <c r="BC743" s="568"/>
      <c r="BD743" s="568"/>
      <c r="BE743" s="32"/>
      <c r="BF743" s="32"/>
      <c r="BG743" s="32"/>
      <c r="BH743" s="32"/>
    </row>
    <row r="744" spans="1:60" x14ac:dyDescent="0.25">
      <c r="A744" s="77"/>
      <c r="B744" s="84"/>
      <c r="C744" s="29"/>
      <c r="D744" s="59"/>
      <c r="E744" s="22"/>
      <c r="F744" s="27"/>
      <c r="G744" s="567"/>
      <c r="H744" s="609">
        <f t="shared" si="174"/>
        <v>0</v>
      </c>
      <c r="I744" s="568"/>
      <c r="J744" s="568"/>
      <c r="K744" s="568"/>
      <c r="L744" s="568"/>
      <c r="M744" s="32"/>
      <c r="N744" s="32"/>
      <c r="O744" s="32"/>
      <c r="P744" s="630"/>
      <c r="Q744" s="609">
        <f t="shared" si="175"/>
        <v>0</v>
      </c>
      <c r="R744" s="568"/>
      <c r="S744" s="568"/>
      <c r="T744" s="568"/>
      <c r="U744" s="568"/>
      <c r="V744" s="32"/>
      <c r="W744" s="32"/>
      <c r="X744" s="32"/>
      <c r="Y744" s="630"/>
      <c r="Z744" s="609">
        <f t="shared" si="176"/>
        <v>0</v>
      </c>
      <c r="AA744" s="568"/>
      <c r="AB744" s="568"/>
      <c r="AC744" s="568"/>
      <c r="AD744" s="568"/>
      <c r="AE744" s="32"/>
      <c r="AF744" s="32"/>
      <c r="AG744" s="32"/>
      <c r="AH744" s="630"/>
      <c r="AI744" s="609">
        <f t="shared" si="177"/>
        <v>0</v>
      </c>
      <c r="AJ744" s="568"/>
      <c r="AK744" s="568"/>
      <c r="AL744" s="568"/>
      <c r="AM744" s="568"/>
      <c r="AN744" s="32"/>
      <c r="AO744" s="32"/>
      <c r="AP744" s="32"/>
      <c r="AQ744" s="630"/>
      <c r="AR744" s="631"/>
      <c r="AS744" s="568"/>
      <c r="AT744" s="568"/>
      <c r="AU744" s="568"/>
      <c r="AV744" s="568"/>
      <c r="AW744" s="32"/>
      <c r="AX744" s="32"/>
      <c r="AY744" s="32"/>
      <c r="AZ744" s="32"/>
      <c r="BA744" s="32"/>
      <c r="BB744" s="568"/>
      <c r="BC744" s="568"/>
      <c r="BD744" s="568"/>
      <c r="BE744" s="32"/>
      <c r="BF744" s="32"/>
      <c r="BG744" s="32"/>
      <c r="BH744" s="32"/>
    </row>
    <row r="745" spans="1:60" x14ac:dyDescent="0.25">
      <c r="A745" s="77"/>
      <c r="B745" s="84"/>
      <c r="C745" s="29"/>
      <c r="D745" s="59"/>
      <c r="E745" s="22"/>
      <c r="F745" s="27"/>
      <c r="G745" s="567"/>
      <c r="H745" s="609">
        <f t="shared" si="174"/>
        <v>0</v>
      </c>
      <c r="I745" s="568"/>
      <c r="J745" s="568"/>
      <c r="K745" s="568"/>
      <c r="L745" s="568"/>
      <c r="M745" s="32"/>
      <c r="N745" s="32"/>
      <c r="O745" s="32"/>
      <c r="P745" s="630"/>
      <c r="Q745" s="609">
        <f t="shared" si="175"/>
        <v>0</v>
      </c>
      <c r="R745" s="568"/>
      <c r="S745" s="568"/>
      <c r="T745" s="568"/>
      <c r="U745" s="568"/>
      <c r="V745" s="32"/>
      <c r="W745" s="32"/>
      <c r="X745" s="32"/>
      <c r="Y745" s="630"/>
      <c r="Z745" s="609">
        <f t="shared" si="176"/>
        <v>0</v>
      </c>
      <c r="AA745" s="568"/>
      <c r="AB745" s="568"/>
      <c r="AC745" s="568"/>
      <c r="AD745" s="568"/>
      <c r="AE745" s="32"/>
      <c r="AF745" s="32"/>
      <c r="AG745" s="32"/>
      <c r="AH745" s="630"/>
      <c r="AI745" s="609">
        <f t="shared" si="177"/>
        <v>0</v>
      </c>
      <c r="AJ745" s="568"/>
      <c r="AK745" s="568"/>
      <c r="AL745" s="568"/>
      <c r="AM745" s="568"/>
      <c r="AN745" s="32"/>
      <c r="AO745" s="32"/>
      <c r="AP745" s="32"/>
      <c r="AQ745" s="630"/>
      <c r="AR745" s="631"/>
      <c r="AS745" s="568"/>
      <c r="AT745" s="568"/>
      <c r="AU745" s="568"/>
      <c r="AV745" s="568"/>
      <c r="AW745" s="32"/>
      <c r="AX745" s="32"/>
      <c r="AY745" s="32"/>
      <c r="AZ745" s="32"/>
      <c r="BA745" s="32"/>
      <c r="BB745" s="568"/>
      <c r="BC745" s="568"/>
      <c r="BD745" s="568"/>
      <c r="BE745" s="32"/>
      <c r="BF745" s="32"/>
      <c r="BG745" s="32"/>
      <c r="BH745" s="32"/>
    </row>
    <row r="746" spans="1:60" x14ac:dyDescent="0.25">
      <c r="A746" s="77"/>
      <c r="B746" s="84"/>
      <c r="C746" s="29"/>
      <c r="D746" s="59"/>
      <c r="E746" s="22"/>
      <c r="F746" s="27"/>
      <c r="G746" s="567"/>
      <c r="H746" s="609">
        <f t="shared" si="174"/>
        <v>0</v>
      </c>
      <c r="I746" s="568"/>
      <c r="J746" s="568"/>
      <c r="K746" s="568"/>
      <c r="L746" s="568"/>
      <c r="M746" s="32"/>
      <c r="N746" s="32"/>
      <c r="O746" s="32"/>
      <c r="P746" s="630"/>
      <c r="Q746" s="609">
        <f t="shared" si="175"/>
        <v>0</v>
      </c>
      <c r="R746" s="568"/>
      <c r="S746" s="568"/>
      <c r="T746" s="568"/>
      <c r="U746" s="568"/>
      <c r="V746" s="32"/>
      <c r="W746" s="32"/>
      <c r="X746" s="32"/>
      <c r="Y746" s="630"/>
      <c r="Z746" s="609">
        <f t="shared" si="176"/>
        <v>0</v>
      </c>
      <c r="AA746" s="568"/>
      <c r="AB746" s="568"/>
      <c r="AC746" s="568"/>
      <c r="AD746" s="568"/>
      <c r="AE746" s="32"/>
      <c r="AF746" s="32"/>
      <c r="AG746" s="32"/>
      <c r="AH746" s="630"/>
      <c r="AI746" s="609">
        <f t="shared" si="177"/>
        <v>0</v>
      </c>
      <c r="AJ746" s="568"/>
      <c r="AK746" s="568"/>
      <c r="AL746" s="568"/>
      <c r="AM746" s="568"/>
      <c r="AN746" s="32"/>
      <c r="AO746" s="32"/>
      <c r="AP746" s="32"/>
      <c r="AQ746" s="630"/>
      <c r="AR746" s="631"/>
      <c r="AS746" s="568"/>
      <c r="AT746" s="568"/>
      <c r="AU746" s="568"/>
      <c r="AV746" s="568"/>
      <c r="AW746" s="32"/>
      <c r="AX746" s="32"/>
      <c r="AY746" s="32"/>
      <c r="AZ746" s="32"/>
      <c r="BA746" s="32"/>
      <c r="BB746" s="568"/>
      <c r="BC746" s="568"/>
      <c r="BD746" s="568"/>
      <c r="BE746" s="32"/>
      <c r="BF746" s="32"/>
      <c r="BG746" s="32"/>
      <c r="BH746" s="32"/>
    </row>
    <row r="747" spans="1:60" x14ac:dyDescent="0.25">
      <c r="A747" s="77"/>
      <c r="B747" s="84"/>
      <c r="C747" s="29"/>
      <c r="D747" s="59"/>
      <c r="E747" s="22"/>
      <c r="F747" s="27"/>
      <c r="G747" s="567"/>
      <c r="H747" s="609">
        <f t="shared" si="174"/>
        <v>0</v>
      </c>
      <c r="I747" s="568"/>
      <c r="J747" s="568"/>
      <c r="K747" s="568"/>
      <c r="L747" s="568"/>
      <c r="M747" s="32"/>
      <c r="N747" s="32"/>
      <c r="O747" s="32"/>
      <c r="P747" s="630"/>
      <c r="Q747" s="609">
        <f t="shared" si="175"/>
        <v>0</v>
      </c>
      <c r="R747" s="568"/>
      <c r="S747" s="568"/>
      <c r="T747" s="568"/>
      <c r="U747" s="568"/>
      <c r="V747" s="32"/>
      <c r="W747" s="32"/>
      <c r="X747" s="32"/>
      <c r="Y747" s="630"/>
      <c r="Z747" s="609">
        <f t="shared" si="176"/>
        <v>0</v>
      </c>
      <c r="AA747" s="568"/>
      <c r="AB747" s="568"/>
      <c r="AC747" s="568"/>
      <c r="AD747" s="568"/>
      <c r="AE747" s="32"/>
      <c r="AF747" s="32"/>
      <c r="AG747" s="32"/>
      <c r="AH747" s="630"/>
      <c r="AI747" s="609">
        <f t="shared" si="177"/>
        <v>0</v>
      </c>
      <c r="AJ747" s="568"/>
      <c r="AK747" s="568"/>
      <c r="AL747" s="568"/>
      <c r="AM747" s="568"/>
      <c r="AN747" s="32"/>
      <c r="AO747" s="32"/>
      <c r="AP747" s="32"/>
      <c r="AQ747" s="630"/>
      <c r="AR747" s="631"/>
      <c r="AS747" s="568"/>
      <c r="AT747" s="568"/>
      <c r="AU747" s="568"/>
      <c r="AV747" s="568"/>
      <c r="AW747" s="32"/>
      <c r="AX747" s="32"/>
      <c r="AY747" s="32"/>
      <c r="AZ747" s="32"/>
      <c r="BA747" s="32"/>
      <c r="BB747" s="568"/>
      <c r="BC747" s="568"/>
      <c r="BD747" s="568"/>
      <c r="BE747" s="32"/>
      <c r="BF747" s="32"/>
      <c r="BG747" s="32"/>
      <c r="BH747" s="32"/>
    </row>
    <row r="748" spans="1:60" x14ac:dyDescent="0.25">
      <c r="A748" s="77"/>
      <c r="B748" s="84"/>
      <c r="C748" s="29"/>
      <c r="D748" s="59"/>
      <c r="E748" s="22"/>
      <c r="F748" s="27"/>
      <c r="G748" s="567"/>
      <c r="H748" s="609">
        <f t="shared" si="174"/>
        <v>0</v>
      </c>
      <c r="I748" s="568"/>
      <c r="J748" s="568"/>
      <c r="K748" s="568"/>
      <c r="L748" s="568"/>
      <c r="M748" s="32"/>
      <c r="N748" s="32"/>
      <c r="O748" s="32"/>
      <c r="P748" s="630"/>
      <c r="Q748" s="609">
        <f t="shared" si="175"/>
        <v>0</v>
      </c>
      <c r="R748" s="568"/>
      <c r="S748" s="568"/>
      <c r="T748" s="568"/>
      <c r="U748" s="568"/>
      <c r="V748" s="32"/>
      <c r="W748" s="32"/>
      <c r="X748" s="32"/>
      <c r="Y748" s="630"/>
      <c r="Z748" s="609">
        <f t="shared" si="176"/>
        <v>0</v>
      </c>
      <c r="AA748" s="568"/>
      <c r="AB748" s="568"/>
      <c r="AC748" s="568"/>
      <c r="AD748" s="568"/>
      <c r="AE748" s="32"/>
      <c r="AF748" s="32"/>
      <c r="AG748" s="32"/>
      <c r="AH748" s="630"/>
      <c r="AI748" s="609">
        <f t="shared" si="177"/>
        <v>0</v>
      </c>
      <c r="AJ748" s="568"/>
      <c r="AK748" s="568"/>
      <c r="AL748" s="568"/>
      <c r="AM748" s="568"/>
      <c r="AN748" s="32"/>
      <c r="AO748" s="32"/>
      <c r="AP748" s="32"/>
      <c r="AQ748" s="630"/>
      <c r="AR748" s="631"/>
      <c r="AS748" s="568"/>
      <c r="AT748" s="568"/>
      <c r="AU748" s="568"/>
      <c r="AV748" s="568"/>
      <c r="AW748" s="32"/>
      <c r="AX748" s="32"/>
      <c r="AY748" s="32"/>
      <c r="AZ748" s="32"/>
      <c r="BA748" s="32"/>
      <c r="BB748" s="568"/>
      <c r="BC748" s="568"/>
      <c r="BD748" s="568"/>
      <c r="BE748" s="32"/>
      <c r="BF748" s="32"/>
      <c r="BG748" s="32"/>
      <c r="BH748" s="32"/>
    </row>
    <row r="749" spans="1:60" x14ac:dyDescent="0.25">
      <c r="A749" s="77"/>
      <c r="B749" s="84"/>
      <c r="C749" s="29"/>
      <c r="D749" s="59"/>
      <c r="E749" s="22"/>
      <c r="F749" s="27"/>
      <c r="G749" s="567"/>
      <c r="H749" s="609">
        <f t="shared" si="174"/>
        <v>0</v>
      </c>
      <c r="I749" s="568"/>
      <c r="J749" s="568"/>
      <c r="K749" s="568"/>
      <c r="L749" s="568"/>
      <c r="M749" s="32"/>
      <c r="N749" s="32"/>
      <c r="O749" s="32"/>
      <c r="P749" s="630"/>
      <c r="Q749" s="609">
        <f t="shared" si="175"/>
        <v>0</v>
      </c>
      <c r="R749" s="568"/>
      <c r="S749" s="568"/>
      <c r="T749" s="568"/>
      <c r="U749" s="568"/>
      <c r="V749" s="32"/>
      <c r="W749" s="32"/>
      <c r="X749" s="32"/>
      <c r="Y749" s="630"/>
      <c r="Z749" s="609">
        <f t="shared" si="176"/>
        <v>0</v>
      </c>
      <c r="AA749" s="568"/>
      <c r="AB749" s="568"/>
      <c r="AC749" s="568"/>
      <c r="AD749" s="568"/>
      <c r="AE749" s="32"/>
      <c r="AF749" s="32"/>
      <c r="AG749" s="32"/>
      <c r="AH749" s="630"/>
      <c r="AI749" s="609">
        <f t="shared" si="177"/>
        <v>0</v>
      </c>
      <c r="AJ749" s="568"/>
      <c r="AK749" s="568"/>
      <c r="AL749" s="568"/>
      <c r="AM749" s="568"/>
      <c r="AN749" s="32"/>
      <c r="AO749" s="32"/>
      <c r="AP749" s="32"/>
      <c r="AQ749" s="630"/>
      <c r="AR749" s="631"/>
      <c r="AS749" s="568"/>
      <c r="AT749" s="568"/>
      <c r="AU749" s="568"/>
      <c r="AV749" s="568"/>
      <c r="AW749" s="32"/>
      <c r="AX749" s="32"/>
      <c r="AY749" s="32"/>
      <c r="AZ749" s="32"/>
      <c r="BA749" s="32"/>
      <c r="BB749" s="568"/>
      <c r="BC749" s="568"/>
      <c r="BD749" s="568"/>
      <c r="BE749" s="32"/>
      <c r="BF749" s="32"/>
      <c r="BG749" s="32"/>
      <c r="BH749" s="32"/>
    </row>
    <row r="750" spans="1:60" x14ac:dyDescent="0.25">
      <c r="A750" s="77"/>
      <c r="B750" s="84"/>
      <c r="C750" s="29"/>
      <c r="D750" s="59"/>
      <c r="E750" s="22"/>
      <c r="F750" s="27"/>
      <c r="G750" s="567"/>
      <c r="H750" s="609">
        <f t="shared" si="174"/>
        <v>0</v>
      </c>
      <c r="I750" s="568"/>
      <c r="J750" s="568"/>
      <c r="K750" s="568"/>
      <c r="L750" s="568"/>
      <c r="M750" s="32"/>
      <c r="N750" s="32"/>
      <c r="O750" s="32"/>
      <c r="P750" s="630"/>
      <c r="Q750" s="609">
        <f t="shared" si="175"/>
        <v>0</v>
      </c>
      <c r="R750" s="568"/>
      <c r="S750" s="568"/>
      <c r="T750" s="568"/>
      <c r="U750" s="568"/>
      <c r="V750" s="32"/>
      <c r="W750" s="32"/>
      <c r="X750" s="32"/>
      <c r="Y750" s="630"/>
      <c r="Z750" s="609">
        <f t="shared" si="176"/>
        <v>0</v>
      </c>
      <c r="AA750" s="568"/>
      <c r="AB750" s="568"/>
      <c r="AC750" s="568"/>
      <c r="AD750" s="568"/>
      <c r="AE750" s="32"/>
      <c r="AF750" s="32"/>
      <c r="AG750" s="32"/>
      <c r="AH750" s="630"/>
      <c r="AI750" s="609">
        <f t="shared" si="177"/>
        <v>0</v>
      </c>
      <c r="AJ750" s="568"/>
      <c r="AK750" s="568"/>
      <c r="AL750" s="568"/>
      <c r="AM750" s="568"/>
      <c r="AN750" s="32"/>
      <c r="AO750" s="32"/>
      <c r="AP750" s="32"/>
      <c r="AQ750" s="630"/>
      <c r="AR750" s="631"/>
      <c r="AS750" s="568"/>
      <c r="AT750" s="568"/>
      <c r="AU750" s="568"/>
      <c r="AV750" s="568"/>
      <c r="AW750" s="32"/>
      <c r="AX750" s="32"/>
      <c r="AY750" s="32"/>
      <c r="AZ750" s="32"/>
      <c r="BA750" s="32"/>
      <c r="BB750" s="568"/>
      <c r="BC750" s="568"/>
      <c r="BD750" s="568"/>
      <c r="BE750" s="32"/>
      <c r="BF750" s="32"/>
      <c r="BG750" s="32"/>
      <c r="BH750" s="32"/>
    </row>
    <row r="751" spans="1:60" x14ac:dyDescent="0.25">
      <c r="A751" s="77"/>
      <c r="B751" s="84"/>
      <c r="C751" s="29"/>
      <c r="D751" s="59"/>
      <c r="E751" s="22"/>
      <c r="F751" s="27"/>
      <c r="G751" s="567"/>
      <c r="H751" s="609">
        <f t="shared" si="174"/>
        <v>0</v>
      </c>
      <c r="I751" s="568"/>
      <c r="J751" s="568"/>
      <c r="K751" s="568"/>
      <c r="L751" s="568"/>
      <c r="M751" s="32"/>
      <c r="N751" s="32"/>
      <c r="O751" s="32"/>
      <c r="P751" s="630"/>
      <c r="Q751" s="609">
        <f t="shared" si="175"/>
        <v>0</v>
      </c>
      <c r="R751" s="568"/>
      <c r="S751" s="568"/>
      <c r="T751" s="568"/>
      <c r="U751" s="568"/>
      <c r="V751" s="32"/>
      <c r="W751" s="32"/>
      <c r="X751" s="32"/>
      <c r="Y751" s="630"/>
      <c r="Z751" s="609">
        <f t="shared" si="176"/>
        <v>0</v>
      </c>
      <c r="AA751" s="568"/>
      <c r="AB751" s="568"/>
      <c r="AC751" s="568"/>
      <c r="AD751" s="568"/>
      <c r="AE751" s="32"/>
      <c r="AF751" s="32"/>
      <c r="AG751" s="32"/>
      <c r="AH751" s="630"/>
      <c r="AI751" s="609">
        <f t="shared" si="177"/>
        <v>0</v>
      </c>
      <c r="AJ751" s="568"/>
      <c r="AK751" s="568"/>
      <c r="AL751" s="568"/>
      <c r="AM751" s="568"/>
      <c r="AN751" s="32"/>
      <c r="AO751" s="32"/>
      <c r="AP751" s="32"/>
      <c r="AQ751" s="630"/>
      <c r="AR751" s="631"/>
      <c r="AS751" s="568"/>
      <c r="AT751" s="568"/>
      <c r="AU751" s="568"/>
      <c r="AV751" s="568"/>
      <c r="AW751" s="32"/>
      <c r="AX751" s="32"/>
      <c r="AY751" s="32"/>
      <c r="AZ751" s="32"/>
      <c r="BA751" s="32"/>
      <c r="BB751" s="568"/>
      <c r="BC751" s="568"/>
      <c r="BD751" s="568"/>
      <c r="BE751" s="32"/>
      <c r="BF751" s="32"/>
      <c r="BG751" s="32"/>
      <c r="BH751" s="32"/>
    </row>
    <row r="752" spans="1:60" x14ac:dyDescent="0.25">
      <c r="A752" s="77"/>
      <c r="B752" s="84"/>
      <c r="C752" s="29"/>
      <c r="D752" s="59"/>
      <c r="E752" s="22"/>
      <c r="F752" s="27"/>
      <c r="G752" s="567"/>
      <c r="H752" s="609">
        <f t="shared" si="174"/>
        <v>0</v>
      </c>
      <c r="I752" s="568"/>
      <c r="J752" s="568"/>
      <c r="K752" s="568"/>
      <c r="L752" s="568"/>
      <c r="M752" s="32"/>
      <c r="N752" s="32"/>
      <c r="O752" s="32"/>
      <c r="P752" s="630"/>
      <c r="Q752" s="609">
        <f t="shared" si="175"/>
        <v>0</v>
      </c>
      <c r="R752" s="568"/>
      <c r="S752" s="568"/>
      <c r="T752" s="568"/>
      <c r="U752" s="568"/>
      <c r="V752" s="32"/>
      <c r="W752" s="32"/>
      <c r="X752" s="32"/>
      <c r="Y752" s="630"/>
      <c r="Z752" s="609">
        <f t="shared" si="176"/>
        <v>0</v>
      </c>
      <c r="AA752" s="568"/>
      <c r="AB752" s="568"/>
      <c r="AC752" s="568"/>
      <c r="AD752" s="568"/>
      <c r="AE752" s="32"/>
      <c r="AF752" s="32"/>
      <c r="AG752" s="32"/>
      <c r="AH752" s="630"/>
      <c r="AI752" s="609">
        <f t="shared" si="177"/>
        <v>0</v>
      </c>
      <c r="AJ752" s="568"/>
      <c r="AK752" s="568"/>
      <c r="AL752" s="568"/>
      <c r="AM752" s="568"/>
      <c r="AN752" s="32"/>
      <c r="AO752" s="32"/>
      <c r="AP752" s="32"/>
      <c r="AQ752" s="630"/>
      <c r="AR752" s="631"/>
      <c r="AS752" s="568"/>
      <c r="AT752" s="568"/>
      <c r="AU752" s="568"/>
      <c r="AV752" s="568"/>
      <c r="AW752" s="32"/>
      <c r="AX752" s="32"/>
      <c r="AY752" s="32"/>
      <c r="AZ752" s="32"/>
      <c r="BA752" s="32"/>
      <c r="BB752" s="568"/>
      <c r="BC752" s="568"/>
      <c r="BD752" s="568"/>
      <c r="BE752" s="32"/>
      <c r="BF752" s="32"/>
      <c r="BG752" s="32"/>
      <c r="BH752" s="32"/>
    </row>
    <row r="753" spans="1:60" x14ac:dyDescent="0.25">
      <c r="A753" s="77"/>
      <c r="B753" s="84"/>
      <c r="C753" s="29"/>
      <c r="D753" s="59"/>
      <c r="E753" s="22"/>
      <c r="F753" s="27"/>
      <c r="G753" s="567"/>
      <c r="H753" s="609">
        <f t="shared" si="174"/>
        <v>0</v>
      </c>
      <c r="I753" s="568"/>
      <c r="J753" s="568"/>
      <c r="K753" s="568"/>
      <c r="L753" s="568"/>
      <c r="M753" s="32"/>
      <c r="N753" s="32"/>
      <c r="O753" s="32"/>
      <c r="P753" s="630"/>
      <c r="Q753" s="609">
        <f t="shared" si="175"/>
        <v>0</v>
      </c>
      <c r="R753" s="568"/>
      <c r="S753" s="568"/>
      <c r="T753" s="568"/>
      <c r="U753" s="568"/>
      <c r="V753" s="32"/>
      <c r="W753" s="32"/>
      <c r="X753" s="32"/>
      <c r="Y753" s="630"/>
      <c r="Z753" s="609">
        <f t="shared" si="176"/>
        <v>0</v>
      </c>
      <c r="AA753" s="568"/>
      <c r="AB753" s="568"/>
      <c r="AC753" s="568"/>
      <c r="AD753" s="568"/>
      <c r="AE753" s="32"/>
      <c r="AF753" s="32"/>
      <c r="AG753" s="32"/>
      <c r="AH753" s="630"/>
      <c r="AI753" s="609">
        <f t="shared" si="177"/>
        <v>0</v>
      </c>
      <c r="AJ753" s="568"/>
      <c r="AK753" s="568"/>
      <c r="AL753" s="568"/>
      <c r="AM753" s="568"/>
      <c r="AN753" s="32"/>
      <c r="AO753" s="32"/>
      <c r="AP753" s="32"/>
      <c r="AQ753" s="630"/>
      <c r="AR753" s="631"/>
      <c r="AS753" s="568"/>
      <c r="AT753" s="568"/>
      <c r="AU753" s="568"/>
      <c r="AV753" s="568"/>
      <c r="AW753" s="32"/>
      <c r="AX753" s="32"/>
      <c r="AY753" s="32"/>
      <c r="AZ753" s="32"/>
      <c r="BA753" s="32"/>
      <c r="BB753" s="568"/>
      <c r="BC753" s="568"/>
      <c r="BD753" s="568"/>
      <c r="BE753" s="32"/>
      <c r="BF753" s="32"/>
      <c r="BG753" s="32"/>
      <c r="BH753" s="32"/>
    </row>
    <row r="754" spans="1:60" x14ac:dyDescent="0.25">
      <c r="A754" s="77"/>
      <c r="B754" s="84"/>
      <c r="C754" s="29"/>
      <c r="D754" s="59"/>
      <c r="E754" s="22"/>
      <c r="F754" s="27"/>
      <c r="G754" s="567"/>
      <c r="H754" s="609">
        <f t="shared" si="174"/>
        <v>0</v>
      </c>
      <c r="I754" s="568"/>
      <c r="J754" s="568"/>
      <c r="K754" s="568"/>
      <c r="L754" s="568"/>
      <c r="M754" s="32"/>
      <c r="N754" s="32"/>
      <c r="O754" s="32"/>
      <c r="P754" s="630"/>
      <c r="Q754" s="609">
        <f t="shared" si="175"/>
        <v>0</v>
      </c>
      <c r="R754" s="568"/>
      <c r="S754" s="568"/>
      <c r="T754" s="568"/>
      <c r="U754" s="568"/>
      <c r="V754" s="32"/>
      <c r="W754" s="32"/>
      <c r="X754" s="32"/>
      <c r="Y754" s="630"/>
      <c r="Z754" s="609">
        <f t="shared" si="176"/>
        <v>0</v>
      </c>
      <c r="AA754" s="568"/>
      <c r="AB754" s="568"/>
      <c r="AC754" s="568"/>
      <c r="AD754" s="568"/>
      <c r="AE754" s="32"/>
      <c r="AF754" s="32"/>
      <c r="AG754" s="32"/>
      <c r="AH754" s="630"/>
      <c r="AI754" s="609">
        <f t="shared" si="177"/>
        <v>0</v>
      </c>
      <c r="AJ754" s="568"/>
      <c r="AK754" s="568"/>
      <c r="AL754" s="568"/>
      <c r="AM754" s="568"/>
      <c r="AN754" s="32"/>
      <c r="AO754" s="32"/>
      <c r="AP754" s="32"/>
      <c r="AQ754" s="630"/>
      <c r="AR754" s="631"/>
      <c r="AS754" s="568"/>
      <c r="AT754" s="568"/>
      <c r="AU754" s="568"/>
      <c r="AV754" s="568"/>
      <c r="AW754" s="32"/>
      <c r="AX754" s="32"/>
      <c r="AY754" s="32"/>
      <c r="AZ754" s="32"/>
      <c r="BA754" s="32"/>
      <c r="BB754" s="568"/>
      <c r="BC754" s="568"/>
      <c r="BD754" s="568"/>
      <c r="BE754" s="32"/>
      <c r="BF754" s="32"/>
      <c r="BG754" s="32"/>
      <c r="BH754" s="32"/>
    </row>
    <row r="755" spans="1:60" x14ac:dyDescent="0.25">
      <c r="A755" s="77"/>
      <c r="B755" s="84"/>
      <c r="C755" s="29"/>
      <c r="D755" s="59"/>
      <c r="E755" s="22"/>
      <c r="F755" s="27"/>
      <c r="G755" s="567"/>
      <c r="H755" s="609">
        <f t="shared" si="174"/>
        <v>0</v>
      </c>
      <c r="I755" s="568"/>
      <c r="J755" s="568"/>
      <c r="K755" s="568"/>
      <c r="L755" s="568"/>
      <c r="M755" s="32"/>
      <c r="N755" s="32"/>
      <c r="O755" s="32"/>
      <c r="P755" s="630"/>
      <c r="Q755" s="609">
        <f t="shared" si="175"/>
        <v>0</v>
      </c>
      <c r="R755" s="568"/>
      <c r="S755" s="568"/>
      <c r="T755" s="568"/>
      <c r="U755" s="568"/>
      <c r="V755" s="32"/>
      <c r="W755" s="32"/>
      <c r="X755" s="32"/>
      <c r="Y755" s="630"/>
      <c r="Z755" s="609">
        <f t="shared" si="176"/>
        <v>0</v>
      </c>
      <c r="AA755" s="568"/>
      <c r="AB755" s="568"/>
      <c r="AC755" s="568"/>
      <c r="AD755" s="568"/>
      <c r="AE755" s="32"/>
      <c r="AF755" s="32"/>
      <c r="AG755" s="32"/>
      <c r="AH755" s="630"/>
      <c r="AI755" s="609">
        <f t="shared" si="177"/>
        <v>0</v>
      </c>
      <c r="AJ755" s="568"/>
      <c r="AK755" s="568"/>
      <c r="AL755" s="568"/>
      <c r="AM755" s="568"/>
      <c r="AN755" s="32"/>
      <c r="AO755" s="32"/>
      <c r="AP755" s="32"/>
      <c r="AQ755" s="630"/>
      <c r="AR755" s="631"/>
      <c r="AS755" s="568"/>
      <c r="AT755" s="568"/>
      <c r="AU755" s="568"/>
      <c r="AV755" s="568"/>
      <c r="AW755" s="32"/>
      <c r="AX755" s="32"/>
      <c r="AY755" s="32"/>
      <c r="AZ755" s="32"/>
      <c r="BA755" s="32"/>
      <c r="BB755" s="568"/>
      <c r="BC755" s="568"/>
      <c r="BD755" s="568"/>
      <c r="BE755" s="32"/>
      <c r="BF755" s="32"/>
      <c r="BG755" s="32"/>
      <c r="BH755" s="32"/>
    </row>
    <row r="756" spans="1:60" x14ac:dyDescent="0.25">
      <c r="A756" s="77"/>
      <c r="B756" s="84"/>
      <c r="C756" s="29"/>
      <c r="D756" s="59"/>
      <c r="E756" s="22"/>
      <c r="F756" s="27"/>
      <c r="G756" s="567"/>
      <c r="H756" s="609">
        <f t="shared" si="174"/>
        <v>0</v>
      </c>
      <c r="I756" s="568"/>
      <c r="J756" s="568"/>
      <c r="K756" s="568"/>
      <c r="L756" s="568"/>
      <c r="M756" s="32"/>
      <c r="N756" s="32"/>
      <c r="O756" s="32"/>
      <c r="P756" s="630"/>
      <c r="Q756" s="609">
        <f t="shared" si="175"/>
        <v>0</v>
      </c>
      <c r="R756" s="568"/>
      <c r="S756" s="568"/>
      <c r="T756" s="568"/>
      <c r="U756" s="568"/>
      <c r="V756" s="32"/>
      <c r="W756" s="32"/>
      <c r="X756" s="32"/>
      <c r="Y756" s="630"/>
      <c r="Z756" s="609">
        <f t="shared" si="176"/>
        <v>0</v>
      </c>
      <c r="AA756" s="568"/>
      <c r="AB756" s="568"/>
      <c r="AC756" s="568"/>
      <c r="AD756" s="568"/>
      <c r="AE756" s="32"/>
      <c r="AF756" s="32"/>
      <c r="AG756" s="32"/>
      <c r="AH756" s="630"/>
      <c r="AI756" s="609">
        <f t="shared" si="177"/>
        <v>0</v>
      </c>
      <c r="AJ756" s="568"/>
      <c r="AK756" s="568"/>
      <c r="AL756" s="568"/>
      <c r="AM756" s="568"/>
      <c r="AN756" s="32"/>
      <c r="AO756" s="32"/>
      <c r="AP756" s="32"/>
      <c r="AQ756" s="630"/>
      <c r="AR756" s="631"/>
      <c r="AS756" s="568"/>
      <c r="AT756" s="568"/>
      <c r="AU756" s="568"/>
      <c r="AV756" s="568"/>
      <c r="AW756" s="32"/>
      <c r="AX756" s="32"/>
      <c r="AY756" s="32"/>
      <c r="AZ756" s="32"/>
      <c r="BA756" s="32"/>
      <c r="BB756" s="568"/>
      <c r="BC756" s="568"/>
      <c r="BD756" s="568"/>
      <c r="BE756" s="32"/>
      <c r="BF756" s="32"/>
      <c r="BG756" s="32"/>
      <c r="BH756" s="32"/>
    </row>
    <row r="757" spans="1:60" x14ac:dyDescent="0.25">
      <c r="A757" s="77"/>
      <c r="B757" s="84"/>
      <c r="C757" s="29"/>
      <c r="D757" s="59"/>
      <c r="E757" s="22"/>
      <c r="F757" s="27"/>
      <c r="G757" s="567"/>
      <c r="H757" s="609">
        <f t="shared" si="174"/>
        <v>0</v>
      </c>
      <c r="I757" s="568"/>
      <c r="J757" s="568"/>
      <c r="K757" s="568"/>
      <c r="L757" s="568"/>
      <c r="M757" s="32"/>
      <c r="N757" s="32"/>
      <c r="O757" s="32"/>
      <c r="P757" s="630"/>
      <c r="Q757" s="609">
        <f t="shared" si="175"/>
        <v>0</v>
      </c>
      <c r="R757" s="568"/>
      <c r="S757" s="568"/>
      <c r="T757" s="568"/>
      <c r="U757" s="568"/>
      <c r="V757" s="32"/>
      <c r="W757" s="32"/>
      <c r="X757" s="32"/>
      <c r="Y757" s="630"/>
      <c r="Z757" s="609">
        <f t="shared" si="176"/>
        <v>0</v>
      </c>
      <c r="AA757" s="568"/>
      <c r="AB757" s="568"/>
      <c r="AC757" s="568"/>
      <c r="AD757" s="568"/>
      <c r="AE757" s="32"/>
      <c r="AF757" s="32"/>
      <c r="AG757" s="32"/>
      <c r="AH757" s="630"/>
      <c r="AI757" s="609">
        <f t="shared" si="177"/>
        <v>0</v>
      </c>
      <c r="AJ757" s="568"/>
      <c r="AK757" s="568"/>
      <c r="AL757" s="568"/>
      <c r="AM757" s="568"/>
      <c r="AN757" s="32"/>
      <c r="AO757" s="32"/>
      <c r="AP757" s="32"/>
      <c r="AQ757" s="630"/>
      <c r="AR757" s="631"/>
      <c r="AS757" s="568"/>
      <c r="AT757" s="568"/>
      <c r="AU757" s="568"/>
      <c r="AV757" s="568"/>
      <c r="AW757" s="32"/>
      <c r="AX757" s="32"/>
      <c r="AY757" s="32"/>
      <c r="AZ757" s="32"/>
      <c r="BA757" s="32"/>
      <c r="BB757" s="568"/>
      <c r="BC757" s="568"/>
      <c r="BD757" s="568"/>
      <c r="BE757" s="32"/>
      <c r="BF757" s="32"/>
      <c r="BG757" s="32"/>
      <c r="BH757" s="32"/>
    </row>
    <row r="758" spans="1:60" x14ac:dyDescent="0.25">
      <c r="A758" s="77"/>
      <c r="B758" s="84"/>
      <c r="C758" s="29"/>
      <c r="D758" s="59"/>
      <c r="E758" s="22"/>
      <c r="F758" s="27"/>
      <c r="G758" s="567"/>
      <c r="H758" s="609">
        <f t="shared" si="174"/>
        <v>0</v>
      </c>
      <c r="I758" s="568"/>
      <c r="J758" s="568"/>
      <c r="K758" s="568"/>
      <c r="L758" s="568"/>
      <c r="M758" s="32"/>
      <c r="N758" s="32"/>
      <c r="O758" s="32"/>
      <c r="P758" s="630"/>
      <c r="Q758" s="609">
        <f t="shared" si="175"/>
        <v>0</v>
      </c>
      <c r="R758" s="568"/>
      <c r="S758" s="568"/>
      <c r="T758" s="568"/>
      <c r="U758" s="568"/>
      <c r="V758" s="32"/>
      <c r="W758" s="32"/>
      <c r="X758" s="32"/>
      <c r="Y758" s="630"/>
      <c r="Z758" s="609">
        <f t="shared" si="176"/>
        <v>0</v>
      </c>
      <c r="AA758" s="568"/>
      <c r="AB758" s="568"/>
      <c r="AC758" s="568"/>
      <c r="AD758" s="568"/>
      <c r="AE758" s="32"/>
      <c r="AF758" s="32"/>
      <c r="AG758" s="32"/>
      <c r="AH758" s="630"/>
      <c r="AI758" s="609">
        <f t="shared" si="177"/>
        <v>0</v>
      </c>
      <c r="AJ758" s="568"/>
      <c r="AK758" s="568"/>
      <c r="AL758" s="568"/>
      <c r="AM758" s="568"/>
      <c r="AN758" s="32"/>
      <c r="AO758" s="32"/>
      <c r="AP758" s="32"/>
      <c r="AQ758" s="630"/>
      <c r="AR758" s="631"/>
      <c r="AS758" s="568"/>
      <c r="AT758" s="568"/>
      <c r="AU758" s="568"/>
      <c r="AV758" s="568"/>
      <c r="AW758" s="32"/>
      <c r="AX758" s="32"/>
      <c r="AY758" s="32"/>
      <c r="AZ758" s="32"/>
      <c r="BA758" s="32"/>
      <c r="BB758" s="568"/>
      <c r="BC758" s="568"/>
      <c r="BD758" s="568"/>
      <c r="BE758" s="32"/>
      <c r="BF758" s="32"/>
      <c r="BG758" s="32"/>
      <c r="BH758" s="32"/>
    </row>
    <row r="759" spans="1:60" x14ac:dyDescent="0.25">
      <c r="A759" s="77"/>
      <c r="B759" s="84"/>
      <c r="C759" s="29"/>
      <c r="D759" s="59"/>
      <c r="E759" s="22"/>
      <c r="F759" s="27"/>
      <c r="G759" s="567"/>
      <c r="H759" s="609">
        <f t="shared" si="174"/>
        <v>0</v>
      </c>
      <c r="I759" s="568"/>
      <c r="J759" s="568"/>
      <c r="K759" s="568"/>
      <c r="L759" s="568"/>
      <c r="M759" s="32"/>
      <c r="N759" s="32"/>
      <c r="O759" s="32"/>
      <c r="P759" s="630"/>
      <c r="Q759" s="609">
        <f t="shared" si="175"/>
        <v>0</v>
      </c>
      <c r="R759" s="568"/>
      <c r="S759" s="568"/>
      <c r="T759" s="568"/>
      <c r="U759" s="568"/>
      <c r="V759" s="32"/>
      <c r="W759" s="32"/>
      <c r="X759" s="32"/>
      <c r="Y759" s="630"/>
      <c r="Z759" s="609">
        <f t="shared" si="176"/>
        <v>0</v>
      </c>
      <c r="AA759" s="568"/>
      <c r="AB759" s="568"/>
      <c r="AC759" s="568"/>
      <c r="AD759" s="568"/>
      <c r="AE759" s="32"/>
      <c r="AF759" s="32"/>
      <c r="AG759" s="32"/>
      <c r="AH759" s="630"/>
      <c r="AI759" s="609">
        <f t="shared" si="177"/>
        <v>0</v>
      </c>
      <c r="AJ759" s="568"/>
      <c r="AK759" s="568"/>
      <c r="AL759" s="568"/>
      <c r="AM759" s="568"/>
      <c r="AN759" s="32"/>
      <c r="AO759" s="32"/>
      <c r="AP759" s="32"/>
      <c r="AQ759" s="630"/>
      <c r="AR759" s="631"/>
      <c r="AS759" s="568"/>
      <c r="AT759" s="568"/>
      <c r="AU759" s="568"/>
      <c r="AV759" s="568"/>
      <c r="AW759" s="32"/>
      <c r="AX759" s="32"/>
      <c r="AY759" s="32"/>
      <c r="AZ759" s="32"/>
      <c r="BA759" s="32"/>
      <c r="BB759" s="568"/>
      <c r="BC759" s="568"/>
      <c r="BD759" s="568"/>
      <c r="BE759" s="32"/>
      <c r="BF759" s="32"/>
      <c r="BG759" s="32"/>
      <c r="BH759" s="32"/>
    </row>
    <row r="760" spans="1:60" x14ac:dyDescent="0.25">
      <c r="A760" s="77"/>
      <c r="B760" s="84"/>
      <c r="C760" s="29"/>
      <c r="D760" s="59"/>
      <c r="E760" s="22"/>
      <c r="F760" s="27"/>
      <c r="G760" s="567"/>
      <c r="H760" s="609">
        <f t="shared" si="174"/>
        <v>0</v>
      </c>
      <c r="I760" s="568"/>
      <c r="J760" s="568"/>
      <c r="K760" s="568"/>
      <c r="L760" s="568"/>
      <c r="M760" s="32"/>
      <c r="N760" s="32"/>
      <c r="O760" s="32"/>
      <c r="P760" s="630"/>
      <c r="Q760" s="609">
        <f t="shared" si="175"/>
        <v>0</v>
      </c>
      <c r="R760" s="568"/>
      <c r="S760" s="568"/>
      <c r="T760" s="568"/>
      <c r="U760" s="568"/>
      <c r="V760" s="32"/>
      <c r="W760" s="32"/>
      <c r="X760" s="32"/>
      <c r="Y760" s="630"/>
      <c r="Z760" s="609">
        <f t="shared" si="176"/>
        <v>0</v>
      </c>
      <c r="AA760" s="568"/>
      <c r="AB760" s="568"/>
      <c r="AC760" s="568"/>
      <c r="AD760" s="568"/>
      <c r="AE760" s="32"/>
      <c r="AF760" s="32"/>
      <c r="AG760" s="32"/>
      <c r="AH760" s="630"/>
      <c r="AI760" s="609">
        <f t="shared" si="177"/>
        <v>0</v>
      </c>
      <c r="AJ760" s="568"/>
      <c r="AK760" s="568"/>
      <c r="AL760" s="568"/>
      <c r="AM760" s="568"/>
      <c r="AN760" s="32"/>
      <c r="AO760" s="32"/>
      <c r="AP760" s="32"/>
      <c r="AQ760" s="630"/>
      <c r="AR760" s="631"/>
      <c r="AS760" s="568"/>
      <c r="AT760" s="568"/>
      <c r="AU760" s="568"/>
      <c r="AV760" s="568"/>
      <c r="AW760" s="32"/>
      <c r="AX760" s="32"/>
      <c r="AY760" s="32"/>
      <c r="AZ760" s="32"/>
      <c r="BA760" s="32"/>
      <c r="BB760" s="568"/>
      <c r="BC760" s="568"/>
      <c r="BD760" s="568"/>
      <c r="BE760" s="32"/>
      <c r="BF760" s="32"/>
      <c r="BG760" s="32"/>
      <c r="BH760" s="32"/>
    </row>
    <row r="761" spans="1:60" x14ac:dyDescent="0.25">
      <c r="A761" s="77"/>
      <c r="B761" s="84"/>
      <c r="C761" s="29"/>
      <c r="D761" s="59"/>
      <c r="E761" s="22"/>
      <c r="F761" s="27"/>
      <c r="G761" s="567"/>
      <c r="H761" s="609">
        <f t="shared" si="174"/>
        <v>0</v>
      </c>
      <c r="I761" s="568"/>
      <c r="J761" s="568"/>
      <c r="K761" s="568"/>
      <c r="L761" s="568"/>
      <c r="M761" s="32"/>
      <c r="N761" s="32"/>
      <c r="O761" s="32"/>
      <c r="P761" s="630"/>
      <c r="Q761" s="609">
        <f t="shared" si="175"/>
        <v>0</v>
      </c>
      <c r="R761" s="568"/>
      <c r="S761" s="568"/>
      <c r="T761" s="568"/>
      <c r="U761" s="568"/>
      <c r="V761" s="32"/>
      <c r="W761" s="32"/>
      <c r="X761" s="32"/>
      <c r="Y761" s="630"/>
      <c r="Z761" s="609">
        <f t="shared" si="176"/>
        <v>0</v>
      </c>
      <c r="AA761" s="568"/>
      <c r="AB761" s="568"/>
      <c r="AC761" s="568"/>
      <c r="AD761" s="568"/>
      <c r="AE761" s="32"/>
      <c r="AF761" s="32"/>
      <c r="AG761" s="32"/>
      <c r="AH761" s="630"/>
      <c r="AI761" s="609">
        <f t="shared" si="177"/>
        <v>0</v>
      </c>
      <c r="AJ761" s="568"/>
      <c r="AK761" s="568"/>
      <c r="AL761" s="568"/>
      <c r="AM761" s="568"/>
      <c r="AN761" s="32"/>
      <c r="AO761" s="32"/>
      <c r="AP761" s="32"/>
      <c r="AQ761" s="630"/>
      <c r="AR761" s="631"/>
      <c r="AS761" s="568"/>
      <c r="AT761" s="568"/>
      <c r="AU761" s="568"/>
      <c r="AV761" s="568"/>
      <c r="AW761" s="32"/>
      <c r="AX761" s="32"/>
      <c r="AY761" s="32"/>
      <c r="AZ761" s="32"/>
      <c r="BA761" s="32"/>
      <c r="BB761" s="568"/>
      <c r="BC761" s="568"/>
      <c r="BD761" s="568"/>
      <c r="BE761" s="32"/>
      <c r="BF761" s="32"/>
      <c r="BG761" s="32"/>
      <c r="BH761" s="32"/>
    </row>
    <row r="762" spans="1:60" x14ac:dyDescent="0.25">
      <c r="A762" s="77"/>
      <c r="B762" s="84"/>
      <c r="C762" s="29"/>
      <c r="D762" s="59"/>
      <c r="E762" s="22"/>
      <c r="F762" s="27"/>
      <c r="G762" s="567"/>
      <c r="H762" s="609">
        <f t="shared" si="174"/>
        <v>0</v>
      </c>
      <c r="I762" s="568"/>
      <c r="J762" s="568"/>
      <c r="K762" s="568"/>
      <c r="L762" s="568"/>
      <c r="M762" s="32"/>
      <c r="N762" s="32"/>
      <c r="O762" s="32"/>
      <c r="P762" s="630"/>
      <c r="Q762" s="609">
        <f t="shared" si="175"/>
        <v>0</v>
      </c>
      <c r="R762" s="568"/>
      <c r="S762" s="568"/>
      <c r="T762" s="568"/>
      <c r="U762" s="568"/>
      <c r="V762" s="32"/>
      <c r="W762" s="32"/>
      <c r="X762" s="32"/>
      <c r="Y762" s="630"/>
      <c r="Z762" s="609">
        <f t="shared" si="176"/>
        <v>0</v>
      </c>
      <c r="AA762" s="568"/>
      <c r="AB762" s="568"/>
      <c r="AC762" s="568"/>
      <c r="AD762" s="568"/>
      <c r="AE762" s="32"/>
      <c r="AF762" s="32"/>
      <c r="AG762" s="32"/>
      <c r="AH762" s="630"/>
      <c r="AI762" s="609">
        <f t="shared" si="177"/>
        <v>0</v>
      </c>
      <c r="AJ762" s="568"/>
      <c r="AK762" s="568"/>
      <c r="AL762" s="568"/>
      <c r="AM762" s="568"/>
      <c r="AN762" s="32"/>
      <c r="AO762" s="32"/>
      <c r="AP762" s="32"/>
      <c r="AQ762" s="630"/>
      <c r="AR762" s="631"/>
      <c r="AS762" s="568"/>
      <c r="AT762" s="568"/>
      <c r="AU762" s="568"/>
      <c r="AV762" s="568"/>
      <c r="AW762" s="32"/>
      <c r="AX762" s="32"/>
      <c r="AY762" s="32"/>
      <c r="AZ762" s="32"/>
      <c r="BA762" s="32"/>
      <c r="BB762" s="568"/>
      <c r="BC762" s="568"/>
      <c r="BD762" s="568"/>
      <c r="BE762" s="32"/>
      <c r="BF762" s="32"/>
      <c r="BG762" s="32"/>
      <c r="BH762" s="32"/>
    </row>
    <row r="763" spans="1:60" x14ac:dyDescent="0.25">
      <c r="A763" s="77"/>
      <c r="B763" s="84"/>
      <c r="C763" s="29"/>
      <c r="D763" s="59"/>
      <c r="E763" s="22"/>
      <c r="F763" s="27"/>
      <c r="G763" s="567"/>
      <c r="H763" s="609">
        <f t="shared" si="174"/>
        <v>0</v>
      </c>
      <c r="I763" s="568"/>
      <c r="J763" s="568"/>
      <c r="K763" s="568"/>
      <c r="L763" s="568"/>
      <c r="M763" s="32"/>
      <c r="N763" s="32"/>
      <c r="O763" s="32"/>
      <c r="P763" s="630"/>
      <c r="Q763" s="609">
        <f t="shared" si="175"/>
        <v>0</v>
      </c>
      <c r="R763" s="568"/>
      <c r="S763" s="568"/>
      <c r="T763" s="568"/>
      <c r="U763" s="568"/>
      <c r="V763" s="32"/>
      <c r="W763" s="32"/>
      <c r="X763" s="32"/>
      <c r="Y763" s="630"/>
      <c r="Z763" s="609">
        <f t="shared" si="176"/>
        <v>0</v>
      </c>
      <c r="AA763" s="568"/>
      <c r="AB763" s="568"/>
      <c r="AC763" s="568"/>
      <c r="AD763" s="568"/>
      <c r="AE763" s="32"/>
      <c r="AF763" s="32"/>
      <c r="AG763" s="32"/>
      <c r="AH763" s="630"/>
      <c r="AI763" s="609">
        <f t="shared" si="177"/>
        <v>0</v>
      </c>
      <c r="AJ763" s="568"/>
      <c r="AK763" s="568"/>
      <c r="AL763" s="568"/>
      <c r="AM763" s="568"/>
      <c r="AN763" s="32"/>
      <c r="AO763" s="32"/>
      <c r="AP763" s="32"/>
      <c r="AQ763" s="630"/>
      <c r="AR763" s="631"/>
      <c r="AS763" s="568"/>
      <c r="AT763" s="568"/>
      <c r="AU763" s="568"/>
      <c r="AV763" s="568"/>
      <c r="AW763" s="32"/>
      <c r="AX763" s="32"/>
      <c r="AY763" s="32"/>
      <c r="AZ763" s="32"/>
      <c r="BA763" s="32"/>
      <c r="BB763" s="568"/>
      <c r="BC763" s="568"/>
      <c r="BD763" s="568"/>
      <c r="BE763" s="32"/>
      <c r="BF763" s="32"/>
      <c r="BG763" s="32"/>
      <c r="BH763" s="32"/>
    </row>
    <row r="764" spans="1:60" x14ac:dyDescent="0.25">
      <c r="A764" s="77"/>
      <c r="B764" s="84"/>
      <c r="C764" s="29"/>
      <c r="D764" s="59"/>
      <c r="E764" s="22"/>
      <c r="F764" s="27"/>
      <c r="G764" s="567"/>
      <c r="H764" s="609">
        <f t="shared" si="174"/>
        <v>0</v>
      </c>
      <c r="I764" s="568"/>
      <c r="J764" s="568"/>
      <c r="K764" s="568"/>
      <c r="L764" s="568"/>
      <c r="M764" s="32"/>
      <c r="N764" s="32"/>
      <c r="O764" s="32"/>
      <c r="P764" s="630"/>
      <c r="Q764" s="609">
        <f t="shared" si="175"/>
        <v>0</v>
      </c>
      <c r="R764" s="568"/>
      <c r="S764" s="568"/>
      <c r="T764" s="568"/>
      <c r="U764" s="568"/>
      <c r="V764" s="32"/>
      <c r="W764" s="32"/>
      <c r="X764" s="32"/>
      <c r="Y764" s="630"/>
      <c r="Z764" s="609">
        <f t="shared" si="176"/>
        <v>0</v>
      </c>
      <c r="AA764" s="568"/>
      <c r="AB764" s="568"/>
      <c r="AC764" s="568"/>
      <c r="AD764" s="568"/>
      <c r="AE764" s="32"/>
      <c r="AF764" s="32"/>
      <c r="AG764" s="32"/>
      <c r="AH764" s="630"/>
      <c r="AI764" s="609">
        <f t="shared" si="177"/>
        <v>0</v>
      </c>
      <c r="AJ764" s="568"/>
      <c r="AK764" s="568"/>
      <c r="AL764" s="568"/>
      <c r="AM764" s="568"/>
      <c r="AN764" s="32"/>
      <c r="AO764" s="32"/>
      <c r="AP764" s="32"/>
      <c r="AQ764" s="630"/>
      <c r="AR764" s="631"/>
      <c r="AS764" s="568"/>
      <c r="AT764" s="568"/>
      <c r="AU764" s="568"/>
      <c r="AV764" s="568"/>
      <c r="AW764" s="32"/>
      <c r="AX764" s="32"/>
      <c r="AY764" s="32"/>
      <c r="AZ764" s="32"/>
      <c r="BA764" s="32"/>
      <c r="BB764" s="568"/>
      <c r="BC764" s="568"/>
      <c r="BD764" s="568"/>
      <c r="BE764" s="32"/>
      <c r="BF764" s="32"/>
      <c r="BG764" s="32"/>
      <c r="BH764" s="32"/>
    </row>
    <row r="765" spans="1:60" x14ac:dyDescent="0.25">
      <c r="A765" s="77"/>
      <c r="B765" s="84"/>
      <c r="C765" s="29"/>
      <c r="D765" s="59"/>
      <c r="E765" s="22"/>
      <c r="F765" s="27"/>
      <c r="G765" s="567"/>
      <c r="H765" s="609">
        <f t="shared" si="174"/>
        <v>0</v>
      </c>
      <c r="I765" s="568"/>
      <c r="J765" s="568"/>
      <c r="K765" s="568"/>
      <c r="L765" s="568"/>
      <c r="M765" s="32"/>
      <c r="N765" s="32"/>
      <c r="O765" s="32"/>
      <c r="P765" s="630"/>
      <c r="Q765" s="609">
        <f t="shared" si="175"/>
        <v>0</v>
      </c>
      <c r="R765" s="568"/>
      <c r="S765" s="568"/>
      <c r="T765" s="568"/>
      <c r="U765" s="568"/>
      <c r="V765" s="32"/>
      <c r="W765" s="32"/>
      <c r="X765" s="32"/>
      <c r="Y765" s="630"/>
      <c r="Z765" s="609">
        <f t="shared" si="176"/>
        <v>0</v>
      </c>
      <c r="AA765" s="568"/>
      <c r="AB765" s="568"/>
      <c r="AC765" s="568"/>
      <c r="AD765" s="568"/>
      <c r="AE765" s="32"/>
      <c r="AF765" s="32"/>
      <c r="AG765" s="32"/>
      <c r="AH765" s="630"/>
      <c r="AI765" s="609">
        <f t="shared" si="177"/>
        <v>0</v>
      </c>
      <c r="AJ765" s="568"/>
      <c r="AK765" s="568"/>
      <c r="AL765" s="568"/>
      <c r="AM765" s="568"/>
      <c r="AN765" s="32"/>
      <c r="AO765" s="32"/>
      <c r="AP765" s="32"/>
      <c r="AQ765" s="630"/>
      <c r="AR765" s="631"/>
      <c r="AS765" s="568"/>
      <c r="AT765" s="568"/>
      <c r="AU765" s="568"/>
      <c r="AV765" s="568"/>
      <c r="AW765" s="32"/>
      <c r="AX765" s="32"/>
      <c r="AY765" s="32"/>
      <c r="AZ765" s="32"/>
      <c r="BA765" s="32"/>
      <c r="BB765" s="568"/>
      <c r="BC765" s="568"/>
      <c r="BD765" s="568"/>
      <c r="BE765" s="32"/>
      <c r="BF765" s="32"/>
      <c r="BG765" s="32"/>
      <c r="BH765" s="32"/>
    </row>
    <row r="766" spans="1:60" x14ac:dyDescent="0.25">
      <c r="A766" s="77"/>
      <c r="B766" s="84"/>
      <c r="C766" s="29"/>
      <c r="D766" s="59"/>
      <c r="E766" s="22"/>
      <c r="F766" s="27"/>
      <c r="G766" s="567"/>
      <c r="H766" s="609">
        <f t="shared" si="174"/>
        <v>0</v>
      </c>
      <c r="I766" s="568"/>
      <c r="J766" s="568"/>
      <c r="K766" s="568"/>
      <c r="L766" s="568"/>
      <c r="M766" s="32"/>
      <c r="N766" s="32"/>
      <c r="O766" s="32"/>
      <c r="P766" s="630"/>
      <c r="Q766" s="609">
        <f t="shared" si="175"/>
        <v>0</v>
      </c>
      <c r="R766" s="568"/>
      <c r="S766" s="568"/>
      <c r="T766" s="568"/>
      <c r="U766" s="568"/>
      <c r="V766" s="32"/>
      <c r="W766" s="32"/>
      <c r="X766" s="32"/>
      <c r="Y766" s="630"/>
      <c r="Z766" s="609">
        <f t="shared" si="176"/>
        <v>0</v>
      </c>
      <c r="AA766" s="568"/>
      <c r="AB766" s="568"/>
      <c r="AC766" s="568"/>
      <c r="AD766" s="568"/>
      <c r="AE766" s="32"/>
      <c r="AF766" s="32"/>
      <c r="AG766" s="32"/>
      <c r="AH766" s="630"/>
      <c r="AI766" s="609">
        <f t="shared" si="177"/>
        <v>0</v>
      </c>
      <c r="AJ766" s="568"/>
      <c r="AK766" s="568"/>
      <c r="AL766" s="568"/>
      <c r="AM766" s="568"/>
      <c r="AN766" s="32"/>
      <c r="AO766" s="32"/>
      <c r="AP766" s="32"/>
      <c r="AQ766" s="630"/>
      <c r="AR766" s="631"/>
      <c r="AS766" s="568"/>
      <c r="AT766" s="568"/>
      <c r="AU766" s="568"/>
      <c r="AV766" s="568"/>
      <c r="AW766" s="32"/>
      <c r="AX766" s="32"/>
      <c r="AY766" s="32"/>
      <c r="AZ766" s="32"/>
      <c r="BA766" s="32"/>
      <c r="BB766" s="568"/>
      <c r="BC766" s="568"/>
      <c r="BD766" s="568"/>
      <c r="BE766" s="32"/>
      <c r="BF766" s="32"/>
      <c r="BG766" s="32"/>
      <c r="BH766" s="32"/>
    </row>
    <row r="767" spans="1:60" x14ac:dyDescent="0.25">
      <c r="A767" s="77"/>
      <c r="B767" s="84"/>
      <c r="C767" s="29"/>
      <c r="D767" s="59"/>
      <c r="E767" s="22"/>
      <c r="F767" s="27"/>
      <c r="G767" s="567"/>
      <c r="H767" s="609">
        <f t="shared" si="174"/>
        <v>0</v>
      </c>
      <c r="I767" s="568"/>
      <c r="J767" s="568"/>
      <c r="K767" s="568"/>
      <c r="L767" s="568"/>
      <c r="M767" s="32"/>
      <c r="N767" s="32"/>
      <c r="O767" s="32"/>
      <c r="P767" s="630"/>
      <c r="Q767" s="609">
        <f t="shared" si="175"/>
        <v>0</v>
      </c>
      <c r="R767" s="568"/>
      <c r="S767" s="568"/>
      <c r="T767" s="568"/>
      <c r="U767" s="568"/>
      <c r="V767" s="32"/>
      <c r="W767" s="32"/>
      <c r="X767" s="32"/>
      <c r="Y767" s="630"/>
      <c r="Z767" s="609">
        <f t="shared" si="176"/>
        <v>0</v>
      </c>
      <c r="AA767" s="568"/>
      <c r="AB767" s="568"/>
      <c r="AC767" s="568"/>
      <c r="AD767" s="568"/>
      <c r="AE767" s="32"/>
      <c r="AF767" s="32"/>
      <c r="AG767" s="32"/>
      <c r="AH767" s="630"/>
      <c r="AI767" s="609">
        <f t="shared" si="177"/>
        <v>0</v>
      </c>
      <c r="AJ767" s="568"/>
      <c r="AK767" s="568"/>
      <c r="AL767" s="568"/>
      <c r="AM767" s="568"/>
      <c r="AN767" s="32"/>
      <c r="AO767" s="32"/>
      <c r="AP767" s="32"/>
      <c r="AQ767" s="630"/>
      <c r="AR767" s="631"/>
      <c r="AS767" s="568"/>
      <c r="AT767" s="568"/>
      <c r="AU767" s="568"/>
      <c r="AV767" s="568"/>
      <c r="AW767" s="32"/>
      <c r="AX767" s="32"/>
      <c r="AY767" s="32"/>
      <c r="AZ767" s="32"/>
      <c r="BA767" s="32"/>
      <c r="BB767" s="568"/>
      <c r="BC767" s="568"/>
      <c r="BD767" s="568"/>
      <c r="BE767" s="32"/>
      <c r="BF767" s="32"/>
      <c r="BG767" s="32"/>
      <c r="BH767" s="32"/>
    </row>
    <row r="768" spans="1:60" x14ac:dyDescent="0.25">
      <c r="A768" s="77"/>
      <c r="B768" s="84"/>
      <c r="C768" s="29"/>
      <c r="D768" s="59"/>
      <c r="E768" s="22"/>
      <c r="F768" s="27"/>
      <c r="G768" s="567"/>
      <c r="H768" s="609">
        <f t="shared" si="174"/>
        <v>0</v>
      </c>
      <c r="I768" s="568"/>
      <c r="J768" s="568"/>
      <c r="K768" s="568"/>
      <c r="L768" s="568"/>
      <c r="M768" s="32"/>
      <c r="N768" s="32"/>
      <c r="O768" s="32"/>
      <c r="P768" s="630"/>
      <c r="Q768" s="609">
        <f t="shared" si="175"/>
        <v>0</v>
      </c>
      <c r="R768" s="568"/>
      <c r="S768" s="568"/>
      <c r="T768" s="568"/>
      <c r="U768" s="568"/>
      <c r="V768" s="32"/>
      <c r="W768" s="32"/>
      <c r="X768" s="32"/>
      <c r="Y768" s="630"/>
      <c r="Z768" s="609">
        <f t="shared" si="176"/>
        <v>0</v>
      </c>
      <c r="AA768" s="568"/>
      <c r="AB768" s="568"/>
      <c r="AC768" s="568"/>
      <c r="AD768" s="568"/>
      <c r="AE768" s="32"/>
      <c r="AF768" s="32"/>
      <c r="AG768" s="32"/>
      <c r="AH768" s="630"/>
      <c r="AI768" s="609">
        <f t="shared" si="177"/>
        <v>0</v>
      </c>
      <c r="AJ768" s="568"/>
      <c r="AK768" s="568"/>
      <c r="AL768" s="568"/>
      <c r="AM768" s="568"/>
      <c r="AN768" s="32"/>
      <c r="AO768" s="32"/>
      <c r="AP768" s="32"/>
      <c r="AQ768" s="630"/>
      <c r="AR768" s="631"/>
      <c r="AS768" s="568"/>
      <c r="AT768" s="568"/>
      <c r="AU768" s="568"/>
      <c r="AV768" s="568"/>
      <c r="AW768" s="32"/>
      <c r="AX768" s="32"/>
      <c r="AY768" s="32"/>
      <c r="AZ768" s="32"/>
      <c r="BA768" s="32"/>
      <c r="BB768" s="568"/>
      <c r="BC768" s="568"/>
      <c r="BD768" s="568"/>
      <c r="BE768" s="32"/>
      <c r="BF768" s="32"/>
      <c r="BG768" s="32"/>
      <c r="BH768" s="32"/>
    </row>
    <row r="769" spans="1:60" x14ac:dyDescent="0.25">
      <c r="A769" s="77"/>
      <c r="B769" s="84"/>
      <c r="C769" s="29"/>
      <c r="D769" s="59"/>
      <c r="E769" s="22"/>
      <c r="F769" s="27"/>
      <c r="G769" s="567"/>
      <c r="H769" s="609">
        <f t="shared" si="174"/>
        <v>0</v>
      </c>
      <c r="I769" s="568"/>
      <c r="J769" s="568"/>
      <c r="K769" s="568"/>
      <c r="L769" s="568"/>
      <c r="M769" s="32"/>
      <c r="N769" s="32"/>
      <c r="O769" s="32"/>
      <c r="P769" s="630"/>
      <c r="Q769" s="609">
        <f t="shared" si="175"/>
        <v>0</v>
      </c>
      <c r="R769" s="568"/>
      <c r="S769" s="568"/>
      <c r="T769" s="568"/>
      <c r="U769" s="568"/>
      <c r="V769" s="32"/>
      <c r="W769" s="32"/>
      <c r="X769" s="32"/>
      <c r="Y769" s="630"/>
      <c r="Z769" s="609">
        <f t="shared" si="176"/>
        <v>0</v>
      </c>
      <c r="AA769" s="568"/>
      <c r="AB769" s="568"/>
      <c r="AC769" s="568"/>
      <c r="AD769" s="568"/>
      <c r="AE769" s="32"/>
      <c r="AF769" s="32"/>
      <c r="AG769" s="32"/>
      <c r="AH769" s="630"/>
      <c r="AI769" s="609">
        <f t="shared" si="177"/>
        <v>0</v>
      </c>
      <c r="AJ769" s="568"/>
      <c r="AK769" s="568"/>
      <c r="AL769" s="568"/>
      <c r="AM769" s="568"/>
      <c r="AN769" s="32"/>
      <c r="AO769" s="32"/>
      <c r="AP769" s="32"/>
      <c r="AQ769" s="630"/>
      <c r="AR769" s="631"/>
      <c r="AS769" s="568"/>
      <c r="AT769" s="568"/>
      <c r="AU769" s="568"/>
      <c r="AV769" s="568"/>
      <c r="AW769" s="32"/>
      <c r="AX769" s="32"/>
      <c r="AY769" s="32"/>
      <c r="AZ769" s="32"/>
      <c r="BA769" s="32"/>
      <c r="BB769" s="568"/>
      <c r="BC769" s="568"/>
      <c r="BD769" s="568"/>
      <c r="BE769" s="32"/>
      <c r="BF769" s="32"/>
      <c r="BG769" s="32"/>
      <c r="BH769" s="32"/>
    </row>
    <row r="770" spans="1:60" x14ac:dyDescent="0.25">
      <c r="A770" s="77"/>
      <c r="B770" s="84"/>
      <c r="C770" s="29"/>
      <c r="D770" s="59"/>
      <c r="E770" s="22"/>
      <c r="F770" s="27"/>
      <c r="G770" s="567"/>
      <c r="H770" s="609">
        <f t="shared" si="174"/>
        <v>0</v>
      </c>
      <c r="I770" s="568"/>
      <c r="J770" s="568"/>
      <c r="K770" s="568"/>
      <c r="L770" s="568"/>
      <c r="M770" s="32"/>
      <c r="N770" s="32"/>
      <c r="O770" s="32"/>
      <c r="P770" s="630"/>
      <c r="Q770" s="609">
        <f t="shared" si="175"/>
        <v>0</v>
      </c>
      <c r="R770" s="568"/>
      <c r="S770" s="568"/>
      <c r="T770" s="568"/>
      <c r="U770" s="568"/>
      <c r="V770" s="32"/>
      <c r="W770" s="32"/>
      <c r="X770" s="32"/>
      <c r="Y770" s="630"/>
      <c r="Z770" s="609">
        <f t="shared" si="176"/>
        <v>0</v>
      </c>
      <c r="AA770" s="568"/>
      <c r="AB770" s="568"/>
      <c r="AC770" s="568"/>
      <c r="AD770" s="568"/>
      <c r="AE770" s="32"/>
      <c r="AF770" s="32"/>
      <c r="AG770" s="32"/>
      <c r="AH770" s="630"/>
      <c r="AI770" s="609">
        <f t="shared" si="177"/>
        <v>0</v>
      </c>
      <c r="AJ770" s="568"/>
      <c r="AK770" s="568"/>
      <c r="AL770" s="568"/>
      <c r="AM770" s="568"/>
      <c r="AN770" s="32"/>
      <c r="AO770" s="32"/>
      <c r="AP770" s="32"/>
      <c r="AQ770" s="630"/>
      <c r="AR770" s="631"/>
      <c r="AS770" s="568"/>
      <c r="AT770" s="568"/>
      <c r="AU770" s="568"/>
      <c r="AV770" s="568"/>
      <c r="AW770" s="32"/>
      <c r="AX770" s="32"/>
      <c r="AY770" s="32"/>
      <c r="AZ770" s="32"/>
      <c r="BA770" s="32"/>
      <c r="BB770" s="568"/>
      <c r="BC770" s="568"/>
      <c r="BD770" s="568"/>
      <c r="BE770" s="32"/>
      <c r="BF770" s="32"/>
      <c r="BG770" s="32"/>
      <c r="BH770" s="32"/>
    </row>
    <row r="771" spans="1:60" x14ac:dyDescent="0.25">
      <c r="A771" s="77"/>
      <c r="B771" s="84"/>
      <c r="C771" s="29"/>
      <c r="D771" s="59"/>
      <c r="E771" s="22"/>
      <c r="F771" s="27"/>
      <c r="G771" s="567"/>
      <c r="H771" s="609">
        <f t="shared" si="174"/>
        <v>0</v>
      </c>
      <c r="I771" s="568"/>
      <c r="J771" s="568"/>
      <c r="K771" s="568"/>
      <c r="L771" s="568"/>
      <c r="M771" s="32"/>
      <c r="N771" s="32"/>
      <c r="O771" s="32"/>
      <c r="P771" s="630"/>
      <c r="Q771" s="609">
        <f t="shared" si="175"/>
        <v>0</v>
      </c>
      <c r="R771" s="568"/>
      <c r="S771" s="568"/>
      <c r="T771" s="568"/>
      <c r="U771" s="568"/>
      <c r="V771" s="32"/>
      <c r="W771" s="32"/>
      <c r="X771" s="32"/>
      <c r="Y771" s="630"/>
      <c r="Z771" s="609">
        <f t="shared" si="176"/>
        <v>0</v>
      </c>
      <c r="AA771" s="568"/>
      <c r="AB771" s="568"/>
      <c r="AC771" s="568"/>
      <c r="AD771" s="568"/>
      <c r="AE771" s="32"/>
      <c r="AF771" s="32"/>
      <c r="AG771" s="32"/>
      <c r="AH771" s="630"/>
      <c r="AI771" s="609">
        <f t="shared" si="177"/>
        <v>0</v>
      </c>
      <c r="AJ771" s="568"/>
      <c r="AK771" s="568"/>
      <c r="AL771" s="568"/>
      <c r="AM771" s="568"/>
      <c r="AN771" s="32"/>
      <c r="AO771" s="32"/>
      <c r="AP771" s="32"/>
      <c r="AQ771" s="630"/>
      <c r="AR771" s="631"/>
      <c r="AS771" s="568"/>
      <c r="AT771" s="568"/>
      <c r="AU771" s="568"/>
      <c r="AV771" s="568"/>
      <c r="AW771" s="32"/>
      <c r="AX771" s="32"/>
      <c r="AY771" s="32"/>
      <c r="AZ771" s="32"/>
      <c r="BA771" s="32"/>
      <c r="BB771" s="568"/>
      <c r="BC771" s="568"/>
      <c r="BD771" s="568"/>
      <c r="BE771" s="32"/>
      <c r="BF771" s="32"/>
      <c r="BG771" s="32"/>
      <c r="BH771" s="32"/>
    </row>
    <row r="772" spans="1:60" x14ac:dyDescent="0.25">
      <c r="A772" s="77"/>
      <c r="B772" s="84"/>
      <c r="C772" s="29"/>
      <c r="D772" s="59"/>
      <c r="E772" s="22"/>
      <c r="F772" s="27"/>
      <c r="G772" s="567"/>
      <c r="H772" s="609">
        <f t="shared" si="174"/>
        <v>0</v>
      </c>
      <c r="I772" s="568"/>
      <c r="J772" s="568"/>
      <c r="K772" s="568"/>
      <c r="L772" s="568"/>
      <c r="M772" s="32"/>
      <c r="N772" s="32"/>
      <c r="O772" s="32"/>
      <c r="P772" s="630"/>
      <c r="Q772" s="609">
        <f t="shared" si="175"/>
        <v>0</v>
      </c>
      <c r="R772" s="568"/>
      <c r="S772" s="568"/>
      <c r="T772" s="568"/>
      <c r="U772" s="568"/>
      <c r="V772" s="32"/>
      <c r="W772" s="32"/>
      <c r="X772" s="32"/>
      <c r="Y772" s="630"/>
      <c r="Z772" s="609">
        <f t="shared" si="176"/>
        <v>0</v>
      </c>
      <c r="AA772" s="568"/>
      <c r="AB772" s="568"/>
      <c r="AC772" s="568"/>
      <c r="AD772" s="568"/>
      <c r="AE772" s="32"/>
      <c r="AF772" s="32"/>
      <c r="AG772" s="32"/>
      <c r="AH772" s="630"/>
      <c r="AI772" s="609">
        <f t="shared" si="177"/>
        <v>0</v>
      </c>
      <c r="AJ772" s="568"/>
      <c r="AK772" s="568"/>
      <c r="AL772" s="568"/>
      <c r="AM772" s="568"/>
      <c r="AN772" s="32"/>
      <c r="AO772" s="32"/>
      <c r="AP772" s="32"/>
      <c r="AQ772" s="630"/>
      <c r="AR772" s="631"/>
      <c r="AS772" s="568"/>
      <c r="AT772" s="568"/>
      <c r="AU772" s="568"/>
      <c r="AV772" s="568"/>
      <c r="AW772" s="32"/>
      <c r="AX772" s="32"/>
      <c r="AY772" s="32"/>
      <c r="AZ772" s="32"/>
      <c r="BA772" s="32"/>
      <c r="BB772" s="568"/>
      <c r="BC772" s="568"/>
      <c r="BD772" s="568"/>
      <c r="BE772" s="32"/>
      <c r="BF772" s="32"/>
      <c r="BG772" s="32"/>
      <c r="BH772" s="32"/>
    </row>
    <row r="773" spans="1:60" x14ac:dyDescent="0.25">
      <c r="A773" s="77"/>
      <c r="B773" s="84"/>
      <c r="C773" s="29"/>
      <c r="D773" s="59"/>
      <c r="E773" s="22"/>
      <c r="F773" s="27"/>
      <c r="G773" s="567"/>
      <c r="H773" s="609">
        <f t="shared" si="174"/>
        <v>0</v>
      </c>
      <c r="I773" s="568"/>
      <c r="J773" s="568"/>
      <c r="K773" s="568"/>
      <c r="L773" s="568"/>
      <c r="M773" s="32"/>
      <c r="N773" s="32"/>
      <c r="O773" s="32"/>
      <c r="P773" s="630"/>
      <c r="Q773" s="609">
        <f t="shared" si="175"/>
        <v>0</v>
      </c>
      <c r="R773" s="568"/>
      <c r="S773" s="568"/>
      <c r="T773" s="568"/>
      <c r="U773" s="568"/>
      <c r="V773" s="32"/>
      <c r="W773" s="32"/>
      <c r="X773" s="32"/>
      <c r="Y773" s="630"/>
      <c r="Z773" s="609">
        <f t="shared" si="176"/>
        <v>0</v>
      </c>
      <c r="AA773" s="568"/>
      <c r="AB773" s="568"/>
      <c r="AC773" s="568"/>
      <c r="AD773" s="568"/>
      <c r="AE773" s="32"/>
      <c r="AF773" s="32"/>
      <c r="AG773" s="32"/>
      <c r="AH773" s="630"/>
      <c r="AI773" s="609">
        <f t="shared" si="177"/>
        <v>0</v>
      </c>
      <c r="AJ773" s="568"/>
      <c r="AK773" s="568"/>
      <c r="AL773" s="568"/>
      <c r="AM773" s="568"/>
      <c r="AN773" s="32"/>
      <c r="AO773" s="32"/>
      <c r="AP773" s="32"/>
      <c r="AQ773" s="630"/>
      <c r="AR773" s="631"/>
      <c r="AS773" s="568"/>
      <c r="AT773" s="568"/>
      <c r="AU773" s="568"/>
      <c r="AV773" s="568"/>
      <c r="AW773" s="32"/>
      <c r="AX773" s="32"/>
      <c r="AY773" s="32"/>
      <c r="AZ773" s="32"/>
      <c r="BA773" s="32"/>
      <c r="BB773" s="568"/>
      <c r="BC773" s="568"/>
      <c r="BD773" s="568"/>
      <c r="BE773" s="32"/>
      <c r="BF773" s="32"/>
      <c r="BG773" s="32"/>
      <c r="BH773" s="32"/>
    </row>
    <row r="774" spans="1:60" x14ac:dyDescent="0.25">
      <c r="A774" s="77"/>
      <c r="B774" s="84"/>
      <c r="C774" s="29"/>
      <c r="D774" s="59"/>
      <c r="E774" s="22"/>
      <c r="F774" s="27"/>
      <c r="G774" s="567"/>
      <c r="H774" s="609">
        <f t="shared" si="174"/>
        <v>0</v>
      </c>
      <c r="I774" s="568"/>
      <c r="J774" s="568"/>
      <c r="K774" s="568"/>
      <c r="L774" s="568"/>
      <c r="M774" s="32"/>
      <c r="N774" s="32"/>
      <c r="O774" s="32"/>
      <c r="P774" s="630"/>
      <c r="Q774" s="609">
        <f t="shared" si="175"/>
        <v>0</v>
      </c>
      <c r="R774" s="568"/>
      <c r="S774" s="568"/>
      <c r="T774" s="568"/>
      <c r="U774" s="568"/>
      <c r="V774" s="32"/>
      <c r="W774" s="32"/>
      <c r="X774" s="32"/>
      <c r="Y774" s="630"/>
      <c r="Z774" s="609">
        <f t="shared" si="176"/>
        <v>0</v>
      </c>
      <c r="AA774" s="568"/>
      <c r="AB774" s="568"/>
      <c r="AC774" s="568"/>
      <c r="AD774" s="568"/>
      <c r="AE774" s="32"/>
      <c r="AF774" s="32"/>
      <c r="AG774" s="32"/>
      <c r="AH774" s="630"/>
      <c r="AI774" s="609">
        <f t="shared" si="177"/>
        <v>0</v>
      </c>
      <c r="AJ774" s="568"/>
      <c r="AK774" s="568"/>
      <c r="AL774" s="568"/>
      <c r="AM774" s="568"/>
      <c r="AN774" s="32"/>
      <c r="AO774" s="32"/>
      <c r="AP774" s="32"/>
      <c r="AQ774" s="630"/>
      <c r="AR774" s="631"/>
      <c r="AS774" s="568"/>
      <c r="AT774" s="568"/>
      <c r="AU774" s="568"/>
      <c r="AV774" s="568"/>
      <c r="AW774" s="32"/>
      <c r="AX774" s="32"/>
      <c r="AY774" s="32"/>
      <c r="AZ774" s="32"/>
      <c r="BA774" s="32"/>
      <c r="BB774" s="568"/>
      <c r="BC774" s="568"/>
      <c r="BD774" s="568"/>
      <c r="BE774" s="32"/>
      <c r="BF774" s="32"/>
      <c r="BG774" s="32"/>
      <c r="BH774" s="32"/>
    </row>
    <row r="775" spans="1:60" x14ac:dyDescent="0.25">
      <c r="A775" s="77"/>
      <c r="B775" s="84"/>
      <c r="C775" s="29"/>
      <c r="D775" s="59"/>
      <c r="E775" s="22"/>
      <c r="F775" s="27"/>
      <c r="G775" s="567"/>
      <c r="H775" s="609">
        <f t="shared" si="174"/>
        <v>0</v>
      </c>
      <c r="I775" s="568"/>
      <c r="J775" s="568"/>
      <c r="K775" s="568"/>
      <c r="L775" s="568"/>
      <c r="M775" s="32"/>
      <c r="N775" s="32"/>
      <c r="O775" s="32"/>
      <c r="P775" s="630"/>
      <c r="Q775" s="609">
        <f t="shared" si="175"/>
        <v>0</v>
      </c>
      <c r="R775" s="568"/>
      <c r="S775" s="568"/>
      <c r="T775" s="568"/>
      <c r="U775" s="568"/>
      <c r="V775" s="32"/>
      <c r="W775" s="32"/>
      <c r="X775" s="32"/>
      <c r="Y775" s="630"/>
      <c r="Z775" s="609">
        <f t="shared" si="176"/>
        <v>0</v>
      </c>
      <c r="AA775" s="568"/>
      <c r="AB775" s="568"/>
      <c r="AC775" s="568"/>
      <c r="AD775" s="568"/>
      <c r="AE775" s="32"/>
      <c r="AF775" s="32"/>
      <c r="AG775" s="32"/>
      <c r="AH775" s="630"/>
      <c r="AI775" s="609">
        <f t="shared" si="177"/>
        <v>0</v>
      </c>
      <c r="AJ775" s="568"/>
      <c r="AK775" s="568"/>
      <c r="AL775" s="568"/>
      <c r="AM775" s="568"/>
      <c r="AN775" s="32"/>
      <c r="AO775" s="32"/>
      <c r="AP775" s="32"/>
      <c r="AQ775" s="630"/>
      <c r="AR775" s="631"/>
      <c r="AS775" s="568"/>
      <c r="AT775" s="568"/>
      <c r="AU775" s="568"/>
      <c r="AV775" s="568"/>
      <c r="AW775" s="32"/>
      <c r="AX775" s="32"/>
      <c r="AY775" s="32"/>
      <c r="AZ775" s="32"/>
      <c r="BA775" s="32"/>
      <c r="BB775" s="568"/>
      <c r="BC775" s="568"/>
      <c r="BD775" s="568"/>
      <c r="BE775" s="32"/>
      <c r="BF775" s="32"/>
      <c r="BG775" s="32"/>
      <c r="BH775" s="32"/>
    </row>
    <row r="776" spans="1:60" x14ac:dyDescent="0.25">
      <c r="A776" s="77"/>
      <c r="B776" s="84"/>
      <c r="C776" s="29"/>
      <c r="D776" s="59"/>
      <c r="E776" s="22"/>
      <c r="F776" s="27"/>
      <c r="G776" s="567"/>
      <c r="H776" s="609">
        <f t="shared" si="174"/>
        <v>0</v>
      </c>
      <c r="I776" s="568"/>
      <c r="J776" s="568"/>
      <c r="K776" s="568"/>
      <c r="L776" s="568"/>
      <c r="M776" s="32"/>
      <c r="N776" s="32"/>
      <c r="O776" s="32"/>
      <c r="P776" s="630"/>
      <c r="Q776" s="609">
        <f t="shared" si="175"/>
        <v>0</v>
      </c>
      <c r="R776" s="568"/>
      <c r="S776" s="568"/>
      <c r="T776" s="568"/>
      <c r="U776" s="568"/>
      <c r="V776" s="32"/>
      <c r="W776" s="32"/>
      <c r="X776" s="32"/>
      <c r="Y776" s="630"/>
      <c r="Z776" s="609">
        <f t="shared" si="176"/>
        <v>0</v>
      </c>
      <c r="AA776" s="568"/>
      <c r="AB776" s="568"/>
      <c r="AC776" s="568"/>
      <c r="AD776" s="568"/>
      <c r="AE776" s="32"/>
      <c r="AF776" s="32"/>
      <c r="AG776" s="32"/>
      <c r="AH776" s="630"/>
      <c r="AI776" s="609">
        <f t="shared" si="177"/>
        <v>0</v>
      </c>
      <c r="AJ776" s="568"/>
      <c r="AK776" s="568"/>
      <c r="AL776" s="568"/>
      <c r="AM776" s="568"/>
      <c r="AN776" s="32"/>
      <c r="AO776" s="32"/>
      <c r="AP776" s="32"/>
      <c r="AQ776" s="630"/>
      <c r="AR776" s="631"/>
      <c r="AS776" s="568"/>
      <c r="AT776" s="568"/>
      <c r="AU776" s="568"/>
      <c r="AV776" s="568"/>
      <c r="AW776" s="32"/>
      <c r="AX776" s="32"/>
      <c r="AY776" s="32"/>
      <c r="AZ776" s="32"/>
      <c r="BA776" s="32"/>
      <c r="BB776" s="568"/>
      <c r="BC776" s="568"/>
      <c r="BD776" s="568"/>
      <c r="BE776" s="32"/>
      <c r="BF776" s="32"/>
      <c r="BG776" s="32"/>
      <c r="BH776" s="32"/>
    </row>
    <row r="777" spans="1:60" x14ac:dyDescent="0.25">
      <c r="A777" s="77"/>
      <c r="B777" s="84"/>
      <c r="C777" s="29"/>
      <c r="D777" s="59"/>
      <c r="E777" s="22"/>
      <c r="F777" s="27"/>
      <c r="G777" s="567"/>
      <c r="H777" s="609">
        <f t="shared" ref="H777:H840" si="178">U777</f>
        <v>0</v>
      </c>
      <c r="I777" s="568"/>
      <c r="J777" s="568"/>
      <c r="K777" s="568"/>
      <c r="L777" s="568"/>
      <c r="M777" s="32"/>
      <c r="N777" s="32"/>
      <c r="O777" s="32"/>
      <c r="P777" s="630"/>
      <c r="Q777" s="609">
        <f t="shared" si="175"/>
        <v>0</v>
      </c>
      <c r="R777" s="568"/>
      <c r="S777" s="568"/>
      <c r="T777" s="568"/>
      <c r="U777" s="568"/>
      <c r="V777" s="32"/>
      <c r="W777" s="32"/>
      <c r="X777" s="32"/>
      <c r="Y777" s="630"/>
      <c r="Z777" s="609">
        <f t="shared" si="176"/>
        <v>0</v>
      </c>
      <c r="AA777" s="568"/>
      <c r="AB777" s="568"/>
      <c r="AC777" s="568"/>
      <c r="AD777" s="568"/>
      <c r="AE777" s="32"/>
      <c r="AF777" s="32"/>
      <c r="AG777" s="32"/>
      <c r="AH777" s="630"/>
      <c r="AI777" s="609">
        <f t="shared" si="177"/>
        <v>0</v>
      </c>
      <c r="AJ777" s="568"/>
      <c r="AK777" s="568"/>
      <c r="AL777" s="568"/>
      <c r="AM777" s="568"/>
      <c r="AN777" s="32"/>
      <c r="AO777" s="32"/>
      <c r="AP777" s="32"/>
      <c r="AQ777" s="630"/>
      <c r="AR777" s="631"/>
      <c r="AS777" s="568"/>
      <c r="AT777" s="568"/>
      <c r="AU777" s="568"/>
      <c r="AV777" s="568"/>
      <c r="AW777" s="32"/>
      <c r="AX777" s="32"/>
      <c r="AY777" s="32"/>
      <c r="AZ777" s="32"/>
      <c r="BA777" s="32"/>
      <c r="BB777" s="568"/>
      <c r="BC777" s="568"/>
      <c r="BD777" s="568"/>
      <c r="BE777" s="32"/>
      <c r="BF777" s="32"/>
      <c r="BG777" s="32"/>
      <c r="BH777" s="32"/>
    </row>
    <row r="778" spans="1:60" x14ac:dyDescent="0.25">
      <c r="A778" s="77"/>
      <c r="B778" s="84"/>
      <c r="C778" s="29"/>
      <c r="D778" s="59"/>
      <c r="E778" s="22"/>
      <c r="F778" s="27"/>
      <c r="G778" s="567"/>
      <c r="H778" s="609">
        <f t="shared" si="178"/>
        <v>0</v>
      </c>
      <c r="I778" s="568"/>
      <c r="J778" s="568"/>
      <c r="K778" s="568"/>
      <c r="L778" s="568"/>
      <c r="M778" s="32"/>
      <c r="N778" s="32"/>
      <c r="O778" s="32"/>
      <c r="P778" s="630"/>
      <c r="Q778" s="609">
        <f t="shared" si="175"/>
        <v>0</v>
      </c>
      <c r="R778" s="568"/>
      <c r="S778" s="568"/>
      <c r="T778" s="568"/>
      <c r="U778" s="568"/>
      <c r="V778" s="32"/>
      <c r="W778" s="32"/>
      <c r="X778" s="32"/>
      <c r="Y778" s="630"/>
      <c r="Z778" s="609">
        <f t="shared" si="176"/>
        <v>0</v>
      </c>
      <c r="AA778" s="568"/>
      <c r="AB778" s="568"/>
      <c r="AC778" s="568"/>
      <c r="AD778" s="568"/>
      <c r="AE778" s="32"/>
      <c r="AF778" s="32"/>
      <c r="AG778" s="32"/>
      <c r="AH778" s="630"/>
      <c r="AI778" s="609">
        <f t="shared" si="177"/>
        <v>0</v>
      </c>
      <c r="AJ778" s="568"/>
      <c r="AK778" s="568"/>
      <c r="AL778" s="568"/>
      <c r="AM778" s="568"/>
      <c r="AN778" s="32"/>
      <c r="AO778" s="32"/>
      <c r="AP778" s="32"/>
      <c r="AQ778" s="630"/>
      <c r="AR778" s="631"/>
      <c r="AS778" s="568"/>
      <c r="AT778" s="568"/>
      <c r="AU778" s="568"/>
      <c r="AV778" s="568"/>
      <c r="AW778" s="32"/>
      <c r="AX778" s="32"/>
      <c r="AY778" s="32"/>
      <c r="AZ778" s="32"/>
      <c r="BA778" s="32"/>
      <c r="BB778" s="568"/>
      <c r="BC778" s="568"/>
      <c r="BD778" s="568"/>
      <c r="BE778" s="32"/>
      <c r="BF778" s="32"/>
      <c r="BG778" s="32"/>
      <c r="BH778" s="32"/>
    </row>
    <row r="779" spans="1:60" x14ac:dyDescent="0.25">
      <c r="A779" s="77"/>
      <c r="B779" s="84"/>
      <c r="C779" s="29"/>
      <c r="D779" s="59"/>
      <c r="E779" s="22"/>
      <c r="F779" s="27"/>
      <c r="G779" s="567"/>
      <c r="H779" s="609">
        <f t="shared" si="178"/>
        <v>0</v>
      </c>
      <c r="I779" s="568"/>
      <c r="J779" s="568"/>
      <c r="K779" s="568"/>
      <c r="L779" s="568"/>
      <c r="M779" s="32"/>
      <c r="N779" s="32"/>
      <c r="O779" s="32"/>
      <c r="P779" s="630"/>
      <c r="Q779" s="609">
        <f t="shared" si="175"/>
        <v>0</v>
      </c>
      <c r="R779" s="568"/>
      <c r="S779" s="568"/>
      <c r="T779" s="568"/>
      <c r="U779" s="568"/>
      <c r="V779" s="32"/>
      <c r="W779" s="32"/>
      <c r="X779" s="32"/>
      <c r="Y779" s="630"/>
      <c r="Z779" s="609">
        <f t="shared" si="176"/>
        <v>0</v>
      </c>
      <c r="AA779" s="568"/>
      <c r="AB779" s="568"/>
      <c r="AC779" s="568"/>
      <c r="AD779" s="568"/>
      <c r="AE779" s="32"/>
      <c r="AF779" s="32"/>
      <c r="AG779" s="32"/>
      <c r="AH779" s="630"/>
      <c r="AI779" s="609">
        <f t="shared" si="177"/>
        <v>0</v>
      </c>
      <c r="AJ779" s="568"/>
      <c r="AK779" s="568"/>
      <c r="AL779" s="568"/>
      <c r="AM779" s="568"/>
      <c r="AN779" s="32"/>
      <c r="AO779" s="32"/>
      <c r="AP779" s="32"/>
      <c r="AQ779" s="630"/>
      <c r="AR779" s="631"/>
      <c r="AS779" s="568"/>
      <c r="AT779" s="568"/>
      <c r="AU779" s="568"/>
      <c r="AV779" s="568"/>
      <c r="AW779" s="32"/>
      <c r="AX779" s="32"/>
      <c r="AY779" s="32"/>
      <c r="AZ779" s="32"/>
      <c r="BA779" s="32"/>
      <c r="BB779" s="568"/>
      <c r="BC779" s="568"/>
      <c r="BD779" s="568"/>
      <c r="BE779" s="32"/>
      <c r="BF779" s="32"/>
      <c r="BG779" s="32"/>
      <c r="BH779" s="32"/>
    </row>
    <row r="780" spans="1:60" x14ac:dyDescent="0.25">
      <c r="A780" s="77"/>
      <c r="B780" s="84"/>
      <c r="C780" s="29"/>
      <c r="D780" s="59"/>
      <c r="E780" s="22"/>
      <c r="F780" s="27"/>
      <c r="G780" s="567"/>
      <c r="H780" s="609">
        <f t="shared" si="178"/>
        <v>0</v>
      </c>
      <c r="I780" s="568"/>
      <c r="J780" s="568"/>
      <c r="K780" s="568"/>
      <c r="L780" s="568"/>
      <c r="M780" s="32"/>
      <c r="N780" s="32"/>
      <c r="O780" s="32"/>
      <c r="P780" s="630"/>
      <c r="Q780" s="609">
        <f t="shared" si="175"/>
        <v>0</v>
      </c>
      <c r="R780" s="568"/>
      <c r="S780" s="568"/>
      <c r="T780" s="568"/>
      <c r="U780" s="568"/>
      <c r="V780" s="32"/>
      <c r="W780" s="32"/>
      <c r="X780" s="32"/>
      <c r="Y780" s="630"/>
      <c r="Z780" s="609">
        <f t="shared" si="176"/>
        <v>0</v>
      </c>
      <c r="AA780" s="568"/>
      <c r="AB780" s="568"/>
      <c r="AC780" s="568"/>
      <c r="AD780" s="568"/>
      <c r="AE780" s="32"/>
      <c r="AF780" s="32"/>
      <c r="AG780" s="32"/>
      <c r="AH780" s="630"/>
      <c r="AI780" s="609">
        <f t="shared" si="177"/>
        <v>0</v>
      </c>
      <c r="AJ780" s="568"/>
      <c r="AK780" s="568"/>
      <c r="AL780" s="568"/>
      <c r="AM780" s="568"/>
      <c r="AN780" s="32"/>
      <c r="AO780" s="32"/>
      <c r="AP780" s="32"/>
      <c r="AQ780" s="630"/>
      <c r="AR780" s="631"/>
      <c r="AS780" s="568"/>
      <c r="AT780" s="568"/>
      <c r="AU780" s="568"/>
      <c r="AV780" s="568"/>
      <c r="AW780" s="32"/>
      <c r="AX780" s="32"/>
      <c r="AY780" s="32"/>
      <c r="AZ780" s="32"/>
      <c r="BA780" s="32"/>
      <c r="BB780" s="568"/>
      <c r="BC780" s="568"/>
      <c r="BD780" s="568"/>
      <c r="BE780" s="32"/>
      <c r="BF780" s="32"/>
      <c r="BG780" s="32"/>
      <c r="BH780" s="32"/>
    </row>
    <row r="781" spans="1:60" x14ac:dyDescent="0.25">
      <c r="A781" s="77"/>
      <c r="B781" s="84"/>
      <c r="C781" s="29"/>
      <c r="D781" s="59"/>
      <c r="E781" s="22"/>
      <c r="F781" s="27"/>
      <c r="G781" s="567"/>
      <c r="H781" s="609">
        <f t="shared" si="178"/>
        <v>0</v>
      </c>
      <c r="I781" s="568"/>
      <c r="J781" s="568"/>
      <c r="K781" s="568"/>
      <c r="L781" s="568"/>
      <c r="M781" s="32"/>
      <c r="N781" s="32"/>
      <c r="O781" s="32"/>
      <c r="P781" s="630"/>
      <c r="Q781" s="609">
        <f t="shared" si="175"/>
        <v>0</v>
      </c>
      <c r="R781" s="568"/>
      <c r="S781" s="568"/>
      <c r="T781" s="568"/>
      <c r="U781" s="568"/>
      <c r="V781" s="32"/>
      <c r="W781" s="32"/>
      <c r="X781" s="32"/>
      <c r="Y781" s="630"/>
      <c r="Z781" s="609">
        <f t="shared" si="176"/>
        <v>0</v>
      </c>
      <c r="AA781" s="568"/>
      <c r="AB781" s="568"/>
      <c r="AC781" s="568"/>
      <c r="AD781" s="568"/>
      <c r="AE781" s="32"/>
      <c r="AF781" s="32"/>
      <c r="AG781" s="32"/>
      <c r="AH781" s="630"/>
      <c r="AI781" s="609">
        <f t="shared" si="177"/>
        <v>0</v>
      </c>
      <c r="AJ781" s="568"/>
      <c r="AK781" s="568"/>
      <c r="AL781" s="568"/>
      <c r="AM781" s="568"/>
      <c r="AN781" s="32"/>
      <c r="AO781" s="32"/>
      <c r="AP781" s="32"/>
      <c r="AQ781" s="630"/>
      <c r="AR781" s="631"/>
      <c r="AS781" s="568"/>
      <c r="AT781" s="568"/>
      <c r="AU781" s="568"/>
      <c r="AV781" s="568"/>
      <c r="AW781" s="32"/>
      <c r="AX781" s="32"/>
      <c r="AY781" s="32"/>
      <c r="AZ781" s="32"/>
      <c r="BA781" s="32"/>
      <c r="BB781" s="568"/>
      <c r="BC781" s="568"/>
      <c r="BD781" s="568"/>
      <c r="BE781" s="32"/>
      <c r="BF781" s="32"/>
      <c r="BG781" s="32"/>
      <c r="BH781" s="32"/>
    </row>
    <row r="782" spans="1:60" x14ac:dyDescent="0.25">
      <c r="A782" s="77"/>
      <c r="B782" s="84"/>
      <c r="C782" s="29"/>
      <c r="D782" s="59"/>
      <c r="E782" s="22"/>
      <c r="F782" s="27"/>
      <c r="G782" s="567"/>
      <c r="H782" s="609">
        <f t="shared" si="178"/>
        <v>0</v>
      </c>
      <c r="I782" s="568"/>
      <c r="J782" s="568"/>
      <c r="K782" s="568"/>
      <c r="L782" s="568"/>
      <c r="M782" s="32"/>
      <c r="N782" s="32"/>
      <c r="O782" s="32"/>
      <c r="P782" s="630"/>
      <c r="Q782" s="609">
        <f t="shared" si="175"/>
        <v>0</v>
      </c>
      <c r="R782" s="568"/>
      <c r="S782" s="568"/>
      <c r="T782" s="568"/>
      <c r="U782" s="568"/>
      <c r="V782" s="32"/>
      <c r="W782" s="32"/>
      <c r="X782" s="32"/>
      <c r="Y782" s="630"/>
      <c r="Z782" s="609">
        <f t="shared" si="176"/>
        <v>0</v>
      </c>
      <c r="AA782" s="568"/>
      <c r="AB782" s="568"/>
      <c r="AC782" s="568"/>
      <c r="AD782" s="568"/>
      <c r="AE782" s="32"/>
      <c r="AF782" s="32"/>
      <c r="AG782" s="32"/>
      <c r="AH782" s="630"/>
      <c r="AI782" s="609">
        <f t="shared" si="177"/>
        <v>0</v>
      </c>
      <c r="AJ782" s="568"/>
      <c r="AK782" s="568"/>
      <c r="AL782" s="568"/>
      <c r="AM782" s="568"/>
      <c r="AN782" s="32"/>
      <c r="AO782" s="32"/>
      <c r="AP782" s="32"/>
      <c r="AQ782" s="630"/>
      <c r="AR782" s="631"/>
      <c r="AS782" s="568"/>
      <c r="AT782" s="568"/>
      <c r="AU782" s="568"/>
      <c r="AV782" s="568"/>
      <c r="AW782" s="32"/>
      <c r="AX782" s="32"/>
      <c r="AY782" s="32"/>
      <c r="AZ782" s="32"/>
      <c r="BA782" s="32"/>
      <c r="BB782" s="568"/>
      <c r="BC782" s="568"/>
      <c r="BD782" s="568"/>
      <c r="BE782" s="32"/>
      <c r="BF782" s="32"/>
      <c r="BG782" s="32"/>
      <c r="BH782" s="32"/>
    </row>
    <row r="783" spans="1:60" x14ac:dyDescent="0.25">
      <c r="A783" s="77"/>
      <c r="B783" s="84"/>
      <c r="C783" s="29"/>
      <c r="D783" s="59"/>
      <c r="E783" s="22"/>
      <c r="F783" s="27"/>
      <c r="G783" s="567"/>
      <c r="H783" s="609">
        <f t="shared" si="178"/>
        <v>0</v>
      </c>
      <c r="I783" s="568"/>
      <c r="J783" s="568"/>
      <c r="K783" s="568"/>
      <c r="L783" s="568"/>
      <c r="M783" s="32"/>
      <c r="N783" s="32"/>
      <c r="O783" s="32"/>
      <c r="P783" s="630"/>
      <c r="Q783" s="609">
        <f t="shared" si="175"/>
        <v>0</v>
      </c>
      <c r="R783" s="568"/>
      <c r="S783" s="568"/>
      <c r="T783" s="568"/>
      <c r="U783" s="568"/>
      <c r="V783" s="32"/>
      <c r="W783" s="32"/>
      <c r="X783" s="32"/>
      <c r="Y783" s="630"/>
      <c r="Z783" s="609">
        <f t="shared" si="176"/>
        <v>0</v>
      </c>
      <c r="AA783" s="568"/>
      <c r="AB783" s="568"/>
      <c r="AC783" s="568"/>
      <c r="AD783" s="568"/>
      <c r="AE783" s="32"/>
      <c r="AF783" s="32"/>
      <c r="AG783" s="32"/>
      <c r="AH783" s="630"/>
      <c r="AI783" s="609">
        <f t="shared" si="177"/>
        <v>0</v>
      </c>
      <c r="AJ783" s="568"/>
      <c r="AK783" s="568"/>
      <c r="AL783" s="568"/>
      <c r="AM783" s="568"/>
      <c r="AN783" s="32"/>
      <c r="AO783" s="32"/>
      <c r="AP783" s="32"/>
      <c r="AQ783" s="630"/>
      <c r="AR783" s="631"/>
      <c r="AS783" s="568"/>
      <c r="AT783" s="568"/>
      <c r="AU783" s="568"/>
      <c r="AV783" s="568"/>
      <c r="AW783" s="32"/>
      <c r="AX783" s="32"/>
      <c r="AY783" s="32"/>
      <c r="AZ783" s="32"/>
      <c r="BA783" s="32"/>
      <c r="BB783" s="568"/>
      <c r="BC783" s="568"/>
      <c r="BD783" s="568"/>
      <c r="BE783" s="32"/>
      <c r="BF783" s="32"/>
      <c r="BG783" s="32"/>
      <c r="BH783" s="32"/>
    </row>
    <row r="784" spans="1:60" x14ac:dyDescent="0.25">
      <c r="A784" s="77"/>
      <c r="B784" s="84"/>
      <c r="C784" s="29"/>
      <c r="D784" s="59"/>
      <c r="E784" s="22"/>
      <c r="F784" s="27"/>
      <c r="G784" s="567"/>
      <c r="H784" s="609">
        <f t="shared" si="178"/>
        <v>0</v>
      </c>
      <c r="I784" s="568"/>
      <c r="J784" s="568"/>
      <c r="K784" s="568"/>
      <c r="L784" s="568"/>
      <c r="M784" s="32"/>
      <c r="N784" s="32"/>
      <c r="O784" s="32"/>
      <c r="P784" s="630"/>
      <c r="Q784" s="609">
        <f t="shared" si="175"/>
        <v>0</v>
      </c>
      <c r="R784" s="568"/>
      <c r="S784" s="568"/>
      <c r="T784" s="568"/>
      <c r="U784" s="568"/>
      <c r="V784" s="32"/>
      <c r="W784" s="32"/>
      <c r="X784" s="32"/>
      <c r="Y784" s="630"/>
      <c r="Z784" s="609">
        <f t="shared" si="176"/>
        <v>0</v>
      </c>
      <c r="AA784" s="568"/>
      <c r="AB784" s="568"/>
      <c r="AC784" s="568"/>
      <c r="AD784" s="568"/>
      <c r="AE784" s="32"/>
      <c r="AF784" s="32"/>
      <c r="AG784" s="32"/>
      <c r="AH784" s="630"/>
      <c r="AI784" s="609">
        <f t="shared" si="177"/>
        <v>0</v>
      </c>
      <c r="AJ784" s="568"/>
      <c r="AK784" s="568"/>
      <c r="AL784" s="568"/>
      <c r="AM784" s="568"/>
      <c r="AN784" s="32"/>
      <c r="AO784" s="32"/>
      <c r="AP784" s="32"/>
      <c r="AQ784" s="630"/>
      <c r="AR784" s="631"/>
      <c r="AS784" s="568"/>
      <c r="AT784" s="568"/>
      <c r="AU784" s="568"/>
      <c r="AV784" s="568"/>
      <c r="AW784" s="32"/>
      <c r="AX784" s="32"/>
      <c r="AY784" s="32"/>
      <c r="AZ784" s="32"/>
      <c r="BA784" s="32"/>
      <c r="BB784" s="568"/>
      <c r="BC784" s="568"/>
      <c r="BD784" s="568"/>
      <c r="BE784" s="32"/>
      <c r="BF784" s="32"/>
      <c r="BG784" s="32"/>
      <c r="BH784" s="32"/>
    </row>
    <row r="785" spans="1:60" x14ac:dyDescent="0.25">
      <c r="A785" s="77"/>
      <c r="B785" s="84"/>
      <c r="C785" s="29"/>
      <c r="D785" s="59"/>
      <c r="E785" s="22"/>
      <c r="F785" s="27"/>
      <c r="G785" s="567"/>
      <c r="H785" s="609">
        <f t="shared" si="178"/>
        <v>0</v>
      </c>
      <c r="I785" s="568"/>
      <c r="J785" s="568"/>
      <c r="K785" s="568"/>
      <c r="L785" s="568"/>
      <c r="M785" s="32"/>
      <c r="N785" s="32"/>
      <c r="O785" s="32"/>
      <c r="P785" s="630"/>
      <c r="Q785" s="609">
        <f t="shared" si="175"/>
        <v>0</v>
      </c>
      <c r="R785" s="568"/>
      <c r="S785" s="568"/>
      <c r="T785" s="568"/>
      <c r="U785" s="568"/>
      <c r="V785" s="32"/>
      <c r="W785" s="32"/>
      <c r="X785" s="32"/>
      <c r="Y785" s="630"/>
      <c r="Z785" s="609">
        <f t="shared" si="176"/>
        <v>0</v>
      </c>
      <c r="AA785" s="568"/>
      <c r="AB785" s="568"/>
      <c r="AC785" s="568"/>
      <c r="AD785" s="568"/>
      <c r="AE785" s="32"/>
      <c r="AF785" s="32"/>
      <c r="AG785" s="32"/>
      <c r="AH785" s="630"/>
      <c r="AI785" s="609">
        <f t="shared" si="177"/>
        <v>0</v>
      </c>
      <c r="AJ785" s="568"/>
      <c r="AK785" s="568"/>
      <c r="AL785" s="568"/>
      <c r="AM785" s="568"/>
      <c r="AN785" s="32"/>
      <c r="AO785" s="32"/>
      <c r="AP785" s="32"/>
      <c r="AQ785" s="630"/>
      <c r="AR785" s="631"/>
      <c r="AS785" s="568"/>
      <c r="AT785" s="568"/>
      <c r="AU785" s="568"/>
      <c r="AV785" s="568"/>
      <c r="AW785" s="32"/>
      <c r="AX785" s="32"/>
      <c r="AY785" s="32"/>
      <c r="AZ785" s="32"/>
      <c r="BA785" s="32"/>
      <c r="BB785" s="568"/>
      <c r="BC785" s="568"/>
      <c r="BD785" s="568"/>
      <c r="BE785" s="32"/>
      <c r="BF785" s="32"/>
      <c r="BG785" s="32"/>
      <c r="BH785" s="32"/>
    </row>
    <row r="786" spans="1:60" x14ac:dyDescent="0.25">
      <c r="A786" s="77"/>
      <c r="B786" s="84"/>
      <c r="C786" s="29"/>
      <c r="D786" s="59"/>
      <c r="E786" s="22"/>
      <c r="F786" s="27"/>
      <c r="G786" s="567"/>
      <c r="H786" s="609">
        <f t="shared" si="178"/>
        <v>0</v>
      </c>
      <c r="I786" s="568"/>
      <c r="J786" s="568"/>
      <c r="K786" s="568"/>
      <c r="L786" s="568"/>
      <c r="M786" s="32"/>
      <c r="N786" s="32"/>
      <c r="O786" s="32"/>
      <c r="P786" s="630"/>
      <c r="Q786" s="609">
        <f t="shared" si="175"/>
        <v>0</v>
      </c>
      <c r="R786" s="568"/>
      <c r="S786" s="568"/>
      <c r="T786" s="568"/>
      <c r="U786" s="568"/>
      <c r="V786" s="32"/>
      <c r="W786" s="32"/>
      <c r="X786" s="32"/>
      <c r="Y786" s="630"/>
      <c r="Z786" s="609">
        <f t="shared" si="176"/>
        <v>0</v>
      </c>
      <c r="AA786" s="568"/>
      <c r="AB786" s="568"/>
      <c r="AC786" s="568"/>
      <c r="AD786" s="568"/>
      <c r="AE786" s="32"/>
      <c r="AF786" s="32"/>
      <c r="AG786" s="32"/>
      <c r="AH786" s="630"/>
      <c r="AI786" s="609">
        <f t="shared" si="177"/>
        <v>0</v>
      </c>
      <c r="AJ786" s="568"/>
      <c r="AK786" s="568"/>
      <c r="AL786" s="568"/>
      <c r="AM786" s="568"/>
      <c r="AN786" s="32"/>
      <c r="AO786" s="32"/>
      <c r="AP786" s="32"/>
      <c r="AQ786" s="630"/>
      <c r="AR786" s="631"/>
      <c r="AS786" s="568"/>
      <c r="AT786" s="568"/>
      <c r="AU786" s="568"/>
      <c r="AV786" s="568"/>
      <c r="AW786" s="32"/>
      <c r="AX786" s="32"/>
      <c r="AY786" s="32"/>
      <c r="AZ786" s="32"/>
      <c r="BA786" s="32"/>
      <c r="BB786" s="568"/>
      <c r="BC786" s="568"/>
      <c r="BD786" s="568"/>
      <c r="BE786" s="32"/>
      <c r="BF786" s="32"/>
      <c r="BG786" s="32"/>
      <c r="BH786" s="32"/>
    </row>
    <row r="787" spans="1:60" x14ac:dyDescent="0.25">
      <c r="A787" s="77"/>
      <c r="B787" s="84"/>
      <c r="C787" s="29"/>
      <c r="D787" s="59"/>
      <c r="E787" s="22"/>
      <c r="F787" s="27"/>
      <c r="G787" s="567"/>
      <c r="H787" s="609">
        <f t="shared" si="178"/>
        <v>0</v>
      </c>
      <c r="I787" s="568"/>
      <c r="J787" s="568"/>
      <c r="K787" s="568"/>
      <c r="L787" s="568"/>
      <c r="M787" s="32"/>
      <c r="N787" s="32"/>
      <c r="O787" s="32"/>
      <c r="P787" s="630"/>
      <c r="Q787" s="609">
        <f t="shared" si="175"/>
        <v>0</v>
      </c>
      <c r="R787" s="568"/>
      <c r="S787" s="568"/>
      <c r="T787" s="568"/>
      <c r="U787" s="568"/>
      <c r="V787" s="32"/>
      <c r="W787" s="32"/>
      <c r="X787" s="32"/>
      <c r="Y787" s="630"/>
      <c r="Z787" s="609">
        <f t="shared" si="176"/>
        <v>0</v>
      </c>
      <c r="AA787" s="568"/>
      <c r="AB787" s="568"/>
      <c r="AC787" s="568"/>
      <c r="AD787" s="568"/>
      <c r="AE787" s="32"/>
      <c r="AF787" s="32"/>
      <c r="AG787" s="32"/>
      <c r="AH787" s="630"/>
      <c r="AI787" s="609">
        <f t="shared" si="177"/>
        <v>0</v>
      </c>
      <c r="AJ787" s="568"/>
      <c r="AK787" s="568"/>
      <c r="AL787" s="568"/>
      <c r="AM787" s="568"/>
      <c r="AN787" s="32"/>
      <c r="AO787" s="32"/>
      <c r="AP787" s="32"/>
      <c r="AQ787" s="630"/>
      <c r="AR787" s="631"/>
      <c r="AS787" s="568"/>
      <c r="AT787" s="568"/>
      <c r="AU787" s="568"/>
      <c r="AV787" s="568"/>
      <c r="AW787" s="32"/>
      <c r="AX787" s="32"/>
      <c r="AY787" s="32"/>
      <c r="AZ787" s="32"/>
      <c r="BA787" s="32"/>
      <c r="BB787" s="568"/>
      <c r="BC787" s="568"/>
      <c r="BD787" s="568"/>
      <c r="BE787" s="32"/>
      <c r="BF787" s="32"/>
      <c r="BG787" s="32"/>
      <c r="BH787" s="32"/>
    </row>
    <row r="788" spans="1:60" x14ac:dyDescent="0.25">
      <c r="A788" s="77"/>
      <c r="B788" s="84"/>
      <c r="C788" s="29"/>
      <c r="D788" s="59"/>
      <c r="E788" s="22"/>
      <c r="F788" s="27"/>
      <c r="G788" s="567"/>
      <c r="H788" s="609">
        <f t="shared" si="178"/>
        <v>0</v>
      </c>
      <c r="I788" s="568"/>
      <c r="J788" s="568"/>
      <c r="K788" s="568"/>
      <c r="L788" s="568"/>
      <c r="M788" s="32"/>
      <c r="N788" s="32"/>
      <c r="O788" s="32"/>
      <c r="P788" s="630"/>
      <c r="Q788" s="609">
        <f t="shared" si="175"/>
        <v>0</v>
      </c>
      <c r="R788" s="568"/>
      <c r="S788" s="568"/>
      <c r="T788" s="568"/>
      <c r="U788" s="568"/>
      <c r="V788" s="32"/>
      <c r="W788" s="32"/>
      <c r="X788" s="32"/>
      <c r="Y788" s="630"/>
      <c r="Z788" s="609">
        <f t="shared" si="176"/>
        <v>0</v>
      </c>
      <c r="AA788" s="568"/>
      <c r="AB788" s="568"/>
      <c r="AC788" s="568"/>
      <c r="AD788" s="568"/>
      <c r="AE788" s="32"/>
      <c r="AF788" s="32"/>
      <c r="AG788" s="32"/>
      <c r="AH788" s="630"/>
      <c r="AI788" s="609">
        <f t="shared" si="177"/>
        <v>0</v>
      </c>
      <c r="AJ788" s="568"/>
      <c r="AK788" s="568"/>
      <c r="AL788" s="568"/>
      <c r="AM788" s="568"/>
      <c r="AN788" s="32"/>
      <c r="AO788" s="32"/>
      <c r="AP788" s="32"/>
      <c r="AQ788" s="630"/>
      <c r="AR788" s="631"/>
      <c r="AS788" s="568"/>
      <c r="AT788" s="568"/>
      <c r="AU788" s="568"/>
      <c r="AV788" s="568"/>
      <c r="AW788" s="32"/>
      <c r="AX788" s="32"/>
      <c r="AY788" s="32"/>
      <c r="AZ788" s="32"/>
      <c r="BA788" s="32"/>
      <c r="BB788" s="568"/>
      <c r="BC788" s="568"/>
      <c r="BD788" s="568"/>
      <c r="BE788" s="32"/>
      <c r="BF788" s="32"/>
      <c r="BG788" s="32"/>
      <c r="BH788" s="32"/>
    </row>
    <row r="789" spans="1:60" x14ac:dyDescent="0.25">
      <c r="A789" s="77"/>
      <c r="B789" s="84"/>
      <c r="C789" s="29"/>
      <c r="D789" s="59"/>
      <c r="E789" s="22"/>
      <c r="F789" s="27"/>
      <c r="G789" s="567"/>
      <c r="H789" s="609">
        <f t="shared" si="178"/>
        <v>0</v>
      </c>
      <c r="I789" s="568"/>
      <c r="J789" s="568"/>
      <c r="K789" s="568"/>
      <c r="L789" s="568"/>
      <c r="M789" s="32"/>
      <c r="N789" s="32"/>
      <c r="O789" s="32"/>
      <c r="P789" s="630"/>
      <c r="Q789" s="609">
        <f t="shared" si="175"/>
        <v>0</v>
      </c>
      <c r="R789" s="568"/>
      <c r="S789" s="568"/>
      <c r="T789" s="568"/>
      <c r="U789" s="568"/>
      <c r="V789" s="32"/>
      <c r="W789" s="32"/>
      <c r="X789" s="32"/>
      <c r="Y789" s="630"/>
      <c r="Z789" s="609">
        <f t="shared" si="176"/>
        <v>0</v>
      </c>
      <c r="AA789" s="568"/>
      <c r="AB789" s="568"/>
      <c r="AC789" s="568"/>
      <c r="AD789" s="568"/>
      <c r="AE789" s="32"/>
      <c r="AF789" s="32"/>
      <c r="AG789" s="32"/>
      <c r="AH789" s="630"/>
      <c r="AI789" s="609">
        <f t="shared" si="177"/>
        <v>0</v>
      </c>
      <c r="AJ789" s="568"/>
      <c r="AK789" s="568"/>
      <c r="AL789" s="568"/>
      <c r="AM789" s="568"/>
      <c r="AN789" s="32"/>
      <c r="AO789" s="32"/>
      <c r="AP789" s="32"/>
      <c r="AQ789" s="630"/>
      <c r="AR789" s="631"/>
      <c r="AS789" s="568"/>
      <c r="AT789" s="568"/>
      <c r="AU789" s="568"/>
      <c r="AV789" s="568"/>
      <c r="AW789" s="32"/>
      <c r="AX789" s="32"/>
      <c r="AY789" s="32"/>
      <c r="AZ789" s="32"/>
      <c r="BA789" s="32"/>
      <c r="BB789" s="568"/>
      <c r="BC789" s="568"/>
      <c r="BD789" s="568"/>
      <c r="BE789" s="32"/>
      <c r="BF789" s="32"/>
      <c r="BG789" s="32"/>
      <c r="BH789" s="32"/>
    </row>
    <row r="790" spans="1:60" x14ac:dyDescent="0.25">
      <c r="A790" s="77"/>
      <c r="B790" s="84"/>
      <c r="C790" s="29"/>
      <c r="D790" s="59"/>
      <c r="E790" s="22"/>
      <c r="F790" s="27"/>
      <c r="G790" s="567"/>
      <c r="H790" s="609">
        <f t="shared" si="178"/>
        <v>0</v>
      </c>
      <c r="I790" s="568"/>
      <c r="J790" s="568"/>
      <c r="K790" s="568"/>
      <c r="L790" s="568"/>
      <c r="M790" s="32"/>
      <c r="N790" s="32"/>
      <c r="O790" s="32"/>
      <c r="P790" s="630"/>
      <c r="Q790" s="609">
        <f t="shared" si="175"/>
        <v>0</v>
      </c>
      <c r="R790" s="568"/>
      <c r="S790" s="568"/>
      <c r="T790" s="568"/>
      <c r="U790" s="568"/>
      <c r="V790" s="32"/>
      <c r="W790" s="32"/>
      <c r="X790" s="32"/>
      <c r="Y790" s="630"/>
      <c r="Z790" s="609">
        <f t="shared" si="176"/>
        <v>0</v>
      </c>
      <c r="AA790" s="568"/>
      <c r="AB790" s="568"/>
      <c r="AC790" s="568"/>
      <c r="AD790" s="568"/>
      <c r="AE790" s="32"/>
      <c r="AF790" s="32"/>
      <c r="AG790" s="32"/>
      <c r="AH790" s="630"/>
      <c r="AI790" s="609">
        <f t="shared" si="177"/>
        <v>0</v>
      </c>
      <c r="AJ790" s="568"/>
      <c r="AK790" s="568"/>
      <c r="AL790" s="568"/>
      <c r="AM790" s="568"/>
      <c r="AN790" s="32"/>
      <c r="AO790" s="32"/>
      <c r="AP790" s="32"/>
      <c r="AQ790" s="630"/>
      <c r="AR790" s="631"/>
      <c r="AS790" s="568"/>
      <c r="AT790" s="568"/>
      <c r="AU790" s="568"/>
      <c r="AV790" s="568"/>
      <c r="AW790" s="32"/>
      <c r="AX790" s="32"/>
      <c r="AY790" s="32"/>
      <c r="AZ790" s="32"/>
      <c r="BA790" s="32"/>
      <c r="BB790" s="568"/>
      <c r="BC790" s="568"/>
      <c r="BD790" s="568"/>
      <c r="BE790" s="32"/>
      <c r="BF790" s="32"/>
      <c r="BG790" s="32"/>
      <c r="BH790" s="32"/>
    </row>
    <row r="791" spans="1:60" x14ac:dyDescent="0.25">
      <c r="A791" s="77"/>
      <c r="B791" s="84"/>
      <c r="C791" s="29"/>
      <c r="D791" s="59"/>
      <c r="E791" s="22"/>
      <c r="F791" s="27"/>
      <c r="G791" s="567"/>
      <c r="H791" s="609">
        <f t="shared" si="178"/>
        <v>0</v>
      </c>
      <c r="I791" s="568"/>
      <c r="J791" s="568"/>
      <c r="K791" s="568"/>
      <c r="L791" s="568"/>
      <c r="M791" s="32"/>
      <c r="N791" s="32"/>
      <c r="O791" s="32"/>
      <c r="P791" s="630"/>
      <c r="Q791" s="609">
        <f t="shared" si="175"/>
        <v>0</v>
      </c>
      <c r="R791" s="568"/>
      <c r="S791" s="568"/>
      <c r="T791" s="568"/>
      <c r="U791" s="568"/>
      <c r="V791" s="32"/>
      <c r="W791" s="32"/>
      <c r="X791" s="32"/>
      <c r="Y791" s="630"/>
      <c r="Z791" s="609">
        <f t="shared" si="176"/>
        <v>0</v>
      </c>
      <c r="AA791" s="568"/>
      <c r="AB791" s="568"/>
      <c r="AC791" s="568"/>
      <c r="AD791" s="568"/>
      <c r="AE791" s="32"/>
      <c r="AF791" s="32"/>
      <c r="AG791" s="32"/>
      <c r="AH791" s="630"/>
      <c r="AI791" s="609">
        <f t="shared" si="177"/>
        <v>0</v>
      </c>
      <c r="AJ791" s="568"/>
      <c r="AK791" s="568"/>
      <c r="AL791" s="568"/>
      <c r="AM791" s="568"/>
      <c r="AN791" s="32"/>
      <c r="AO791" s="32"/>
      <c r="AP791" s="32"/>
      <c r="AQ791" s="630"/>
      <c r="AR791" s="631"/>
      <c r="AS791" s="568"/>
      <c r="AT791" s="568"/>
      <c r="AU791" s="568"/>
      <c r="AV791" s="568"/>
      <c r="AW791" s="32"/>
      <c r="AX791" s="32"/>
      <c r="AY791" s="32"/>
      <c r="AZ791" s="32"/>
      <c r="BA791" s="32"/>
      <c r="BB791" s="568"/>
      <c r="BC791" s="568"/>
      <c r="BD791" s="568"/>
      <c r="BE791" s="32"/>
      <c r="BF791" s="32"/>
      <c r="BG791" s="32"/>
      <c r="BH791" s="32"/>
    </row>
    <row r="792" spans="1:60" x14ac:dyDescent="0.25">
      <c r="A792" s="77"/>
      <c r="B792" s="84"/>
      <c r="C792" s="29"/>
      <c r="D792" s="59"/>
      <c r="E792" s="22"/>
      <c r="F792" s="27"/>
      <c r="G792" s="567"/>
      <c r="H792" s="609">
        <f t="shared" si="178"/>
        <v>0</v>
      </c>
      <c r="I792" s="568"/>
      <c r="J792" s="568"/>
      <c r="K792" s="568"/>
      <c r="L792" s="568"/>
      <c r="M792" s="32"/>
      <c r="N792" s="32"/>
      <c r="O792" s="32"/>
      <c r="P792" s="630"/>
      <c r="Q792" s="609">
        <f t="shared" si="175"/>
        <v>0</v>
      </c>
      <c r="R792" s="568"/>
      <c r="S792" s="568"/>
      <c r="T792" s="568"/>
      <c r="U792" s="568"/>
      <c r="V792" s="32"/>
      <c r="W792" s="32"/>
      <c r="X792" s="32"/>
      <c r="Y792" s="630"/>
      <c r="Z792" s="609">
        <f t="shared" si="176"/>
        <v>0</v>
      </c>
      <c r="AA792" s="568"/>
      <c r="AB792" s="568"/>
      <c r="AC792" s="568"/>
      <c r="AD792" s="568"/>
      <c r="AE792" s="32"/>
      <c r="AF792" s="32"/>
      <c r="AG792" s="32"/>
      <c r="AH792" s="630"/>
      <c r="AI792" s="609">
        <f t="shared" si="177"/>
        <v>0</v>
      </c>
      <c r="AJ792" s="568"/>
      <c r="AK792" s="568"/>
      <c r="AL792" s="568"/>
      <c r="AM792" s="568"/>
      <c r="AN792" s="32"/>
      <c r="AO792" s="32"/>
      <c r="AP792" s="32"/>
      <c r="AQ792" s="630"/>
      <c r="AR792" s="631"/>
      <c r="AS792" s="568"/>
      <c r="AT792" s="568"/>
      <c r="AU792" s="568"/>
      <c r="AV792" s="568"/>
      <c r="AW792" s="32"/>
      <c r="AX792" s="32"/>
      <c r="AY792" s="32"/>
      <c r="AZ792" s="32"/>
      <c r="BA792" s="32"/>
      <c r="BB792" s="568"/>
      <c r="BC792" s="568"/>
      <c r="BD792" s="568"/>
      <c r="BE792" s="32"/>
      <c r="BF792" s="32"/>
      <c r="BG792" s="32"/>
      <c r="BH792" s="32"/>
    </row>
    <row r="793" spans="1:60" x14ac:dyDescent="0.25">
      <c r="A793" s="77"/>
      <c r="B793" s="84"/>
      <c r="C793" s="29"/>
      <c r="D793" s="59"/>
      <c r="E793" s="22"/>
      <c r="F793" s="27"/>
      <c r="G793" s="567"/>
      <c r="H793" s="609">
        <f t="shared" si="178"/>
        <v>0</v>
      </c>
      <c r="I793" s="568"/>
      <c r="J793" s="568"/>
      <c r="K793" s="568"/>
      <c r="L793" s="568"/>
      <c r="M793" s="32"/>
      <c r="N793" s="32"/>
      <c r="O793" s="32"/>
      <c r="P793" s="630"/>
      <c r="Q793" s="609">
        <f t="shared" si="175"/>
        <v>0</v>
      </c>
      <c r="R793" s="568"/>
      <c r="S793" s="568"/>
      <c r="T793" s="568"/>
      <c r="U793" s="568"/>
      <c r="V793" s="32"/>
      <c r="W793" s="32"/>
      <c r="X793" s="32"/>
      <c r="Y793" s="630"/>
      <c r="Z793" s="609">
        <f t="shared" si="176"/>
        <v>0</v>
      </c>
      <c r="AA793" s="568"/>
      <c r="AB793" s="568"/>
      <c r="AC793" s="568"/>
      <c r="AD793" s="568"/>
      <c r="AE793" s="32"/>
      <c r="AF793" s="32"/>
      <c r="AG793" s="32"/>
      <c r="AH793" s="630"/>
      <c r="AI793" s="609">
        <f t="shared" si="177"/>
        <v>0</v>
      </c>
      <c r="AJ793" s="568"/>
      <c r="AK793" s="568"/>
      <c r="AL793" s="568"/>
      <c r="AM793" s="568"/>
      <c r="AN793" s="32"/>
      <c r="AO793" s="32"/>
      <c r="AP793" s="32"/>
      <c r="AQ793" s="630"/>
      <c r="AR793" s="631"/>
      <c r="AS793" s="568"/>
      <c r="AT793" s="568"/>
      <c r="AU793" s="568"/>
      <c r="AV793" s="568"/>
      <c r="AW793" s="32"/>
      <c r="AX793" s="32"/>
      <c r="AY793" s="32"/>
      <c r="AZ793" s="32"/>
      <c r="BA793" s="32"/>
      <c r="BB793" s="568"/>
      <c r="BC793" s="568"/>
      <c r="BD793" s="568"/>
      <c r="BE793" s="32"/>
      <c r="BF793" s="32"/>
      <c r="BG793" s="32"/>
      <c r="BH793" s="32"/>
    </row>
    <row r="794" spans="1:60" x14ac:dyDescent="0.25">
      <c r="A794" s="77"/>
      <c r="B794" s="84"/>
      <c r="C794" s="29"/>
      <c r="D794" s="59"/>
      <c r="E794" s="22"/>
      <c r="F794" s="27"/>
      <c r="G794" s="567"/>
      <c r="H794" s="609">
        <f t="shared" si="178"/>
        <v>0</v>
      </c>
      <c r="I794" s="568"/>
      <c r="J794" s="568"/>
      <c r="K794" s="568"/>
      <c r="L794" s="568"/>
      <c r="M794" s="32"/>
      <c r="N794" s="32"/>
      <c r="O794" s="32"/>
      <c r="P794" s="630"/>
      <c r="Q794" s="609">
        <f t="shared" si="175"/>
        <v>0</v>
      </c>
      <c r="R794" s="568"/>
      <c r="S794" s="568"/>
      <c r="T794" s="568"/>
      <c r="U794" s="568"/>
      <c r="V794" s="32"/>
      <c r="W794" s="32"/>
      <c r="X794" s="32"/>
      <c r="Y794" s="630"/>
      <c r="Z794" s="609">
        <f t="shared" si="176"/>
        <v>0</v>
      </c>
      <c r="AA794" s="568"/>
      <c r="AB794" s="568"/>
      <c r="AC794" s="568"/>
      <c r="AD794" s="568"/>
      <c r="AE794" s="32"/>
      <c r="AF794" s="32"/>
      <c r="AG794" s="32"/>
      <c r="AH794" s="630"/>
      <c r="AI794" s="609">
        <f t="shared" si="177"/>
        <v>0</v>
      </c>
      <c r="AJ794" s="568"/>
      <c r="AK794" s="568"/>
      <c r="AL794" s="568"/>
      <c r="AM794" s="568"/>
      <c r="AN794" s="32"/>
      <c r="AO794" s="32"/>
      <c r="AP794" s="32"/>
      <c r="AQ794" s="630"/>
      <c r="AR794" s="631"/>
      <c r="AS794" s="568"/>
      <c r="AT794" s="568"/>
      <c r="AU794" s="568"/>
      <c r="AV794" s="568"/>
      <c r="AW794" s="32"/>
      <c r="AX794" s="32"/>
      <c r="AY794" s="32"/>
      <c r="AZ794" s="32"/>
      <c r="BA794" s="32"/>
      <c r="BB794" s="568"/>
      <c r="BC794" s="568"/>
      <c r="BD794" s="568"/>
      <c r="BE794" s="32"/>
      <c r="BF794" s="32"/>
      <c r="BG794" s="32"/>
      <c r="BH794" s="32"/>
    </row>
    <row r="795" spans="1:60" x14ac:dyDescent="0.25">
      <c r="A795" s="77"/>
      <c r="B795" s="84"/>
      <c r="C795" s="29"/>
      <c r="D795" s="59"/>
      <c r="E795" s="22"/>
      <c r="F795" s="27"/>
      <c r="G795" s="567"/>
      <c r="H795" s="609">
        <f t="shared" si="178"/>
        <v>0</v>
      </c>
      <c r="I795" s="568"/>
      <c r="J795" s="568"/>
      <c r="K795" s="568"/>
      <c r="L795" s="568"/>
      <c r="M795" s="32"/>
      <c r="N795" s="32"/>
      <c r="O795" s="32"/>
      <c r="P795" s="630"/>
      <c r="Q795" s="609">
        <f t="shared" si="175"/>
        <v>0</v>
      </c>
      <c r="R795" s="568"/>
      <c r="S795" s="568"/>
      <c r="T795" s="568"/>
      <c r="U795" s="568"/>
      <c r="V795" s="32"/>
      <c r="W795" s="32"/>
      <c r="X795" s="32"/>
      <c r="Y795" s="630"/>
      <c r="Z795" s="609">
        <f t="shared" si="176"/>
        <v>0</v>
      </c>
      <c r="AA795" s="568"/>
      <c r="AB795" s="568"/>
      <c r="AC795" s="568"/>
      <c r="AD795" s="568"/>
      <c r="AE795" s="32"/>
      <c r="AF795" s="32"/>
      <c r="AG795" s="32"/>
      <c r="AH795" s="630"/>
      <c r="AI795" s="609">
        <f t="shared" si="177"/>
        <v>0</v>
      </c>
      <c r="AJ795" s="568"/>
      <c r="AK795" s="568"/>
      <c r="AL795" s="568"/>
      <c r="AM795" s="568"/>
      <c r="AN795" s="32"/>
      <c r="AO795" s="32"/>
      <c r="AP795" s="32"/>
      <c r="AQ795" s="630"/>
      <c r="AR795" s="631"/>
      <c r="AS795" s="568"/>
      <c r="AT795" s="568"/>
      <c r="AU795" s="568"/>
      <c r="AV795" s="568"/>
      <c r="AW795" s="32"/>
      <c r="AX795" s="32"/>
      <c r="AY795" s="32"/>
      <c r="AZ795" s="32"/>
      <c r="BA795" s="32"/>
      <c r="BB795" s="568"/>
      <c r="BC795" s="568"/>
      <c r="BD795" s="568"/>
      <c r="BE795" s="32"/>
      <c r="BF795" s="32"/>
      <c r="BG795" s="32"/>
      <c r="BH795" s="32"/>
    </row>
    <row r="796" spans="1:60" x14ac:dyDescent="0.25">
      <c r="A796" s="77"/>
      <c r="B796" s="84"/>
      <c r="C796" s="29"/>
      <c r="D796" s="59"/>
      <c r="E796" s="22"/>
      <c r="F796" s="27"/>
      <c r="G796" s="567"/>
      <c r="H796" s="609">
        <f t="shared" si="178"/>
        <v>0</v>
      </c>
      <c r="I796" s="568"/>
      <c r="J796" s="568"/>
      <c r="K796" s="568"/>
      <c r="L796" s="568"/>
      <c r="M796" s="32"/>
      <c r="N796" s="32"/>
      <c r="O796" s="32"/>
      <c r="P796" s="630"/>
      <c r="Q796" s="609">
        <f t="shared" si="175"/>
        <v>0</v>
      </c>
      <c r="R796" s="568"/>
      <c r="S796" s="568"/>
      <c r="T796" s="568"/>
      <c r="U796" s="568"/>
      <c r="V796" s="32"/>
      <c r="W796" s="32"/>
      <c r="X796" s="32"/>
      <c r="Y796" s="630"/>
      <c r="Z796" s="609">
        <f t="shared" si="176"/>
        <v>0</v>
      </c>
      <c r="AA796" s="568"/>
      <c r="AB796" s="568"/>
      <c r="AC796" s="568"/>
      <c r="AD796" s="568"/>
      <c r="AE796" s="32"/>
      <c r="AF796" s="32"/>
      <c r="AG796" s="32"/>
      <c r="AH796" s="630"/>
      <c r="AI796" s="609">
        <f t="shared" si="177"/>
        <v>0</v>
      </c>
      <c r="AJ796" s="568"/>
      <c r="AK796" s="568"/>
      <c r="AL796" s="568"/>
      <c r="AM796" s="568"/>
      <c r="AN796" s="32"/>
      <c r="AO796" s="32"/>
      <c r="AP796" s="32"/>
      <c r="AQ796" s="630"/>
      <c r="AR796" s="631"/>
      <c r="AS796" s="568"/>
      <c r="AT796" s="568"/>
      <c r="AU796" s="568"/>
      <c r="AV796" s="568"/>
      <c r="AW796" s="32"/>
      <c r="AX796" s="32"/>
      <c r="AY796" s="32"/>
      <c r="AZ796" s="32"/>
      <c r="BA796" s="32"/>
      <c r="BB796" s="568"/>
      <c r="BC796" s="568"/>
      <c r="BD796" s="568"/>
      <c r="BE796" s="32"/>
      <c r="BF796" s="32"/>
      <c r="BG796" s="32"/>
      <c r="BH796" s="32"/>
    </row>
    <row r="797" spans="1:60" x14ac:dyDescent="0.25">
      <c r="A797" s="77"/>
      <c r="B797" s="84"/>
      <c r="C797" s="29"/>
      <c r="D797" s="59"/>
      <c r="E797" s="22"/>
      <c r="F797" s="27"/>
      <c r="G797" s="567"/>
      <c r="H797" s="609">
        <f t="shared" si="178"/>
        <v>0</v>
      </c>
      <c r="I797" s="568"/>
      <c r="J797" s="568"/>
      <c r="K797" s="568"/>
      <c r="L797" s="568"/>
      <c r="M797" s="32"/>
      <c r="N797" s="32"/>
      <c r="O797" s="32"/>
      <c r="P797" s="630"/>
      <c r="Q797" s="609">
        <f t="shared" si="175"/>
        <v>0</v>
      </c>
      <c r="R797" s="568"/>
      <c r="S797" s="568"/>
      <c r="T797" s="568"/>
      <c r="U797" s="568"/>
      <c r="V797" s="32"/>
      <c r="W797" s="32"/>
      <c r="X797" s="32"/>
      <c r="Y797" s="630"/>
      <c r="Z797" s="609">
        <f t="shared" si="176"/>
        <v>0</v>
      </c>
      <c r="AA797" s="568"/>
      <c r="AB797" s="568"/>
      <c r="AC797" s="568"/>
      <c r="AD797" s="568"/>
      <c r="AE797" s="32"/>
      <c r="AF797" s="32"/>
      <c r="AG797" s="32"/>
      <c r="AH797" s="630"/>
      <c r="AI797" s="609">
        <f t="shared" si="177"/>
        <v>0</v>
      </c>
      <c r="AJ797" s="568"/>
      <c r="AK797" s="568"/>
      <c r="AL797" s="568"/>
      <c r="AM797" s="568"/>
      <c r="AN797" s="32"/>
      <c r="AO797" s="32"/>
      <c r="AP797" s="32"/>
      <c r="AQ797" s="630"/>
      <c r="AR797" s="631"/>
      <c r="AS797" s="568"/>
      <c r="AT797" s="568"/>
      <c r="AU797" s="568"/>
      <c r="AV797" s="568"/>
      <c r="AW797" s="32"/>
      <c r="AX797" s="32"/>
      <c r="AY797" s="32"/>
      <c r="AZ797" s="32"/>
      <c r="BA797" s="32"/>
      <c r="BB797" s="568"/>
      <c r="BC797" s="568"/>
      <c r="BD797" s="568"/>
      <c r="BE797" s="32"/>
      <c r="BF797" s="32"/>
      <c r="BG797" s="32"/>
      <c r="BH797" s="32"/>
    </row>
    <row r="798" spans="1:60" x14ac:dyDescent="0.25">
      <c r="A798" s="77"/>
      <c r="B798" s="84"/>
      <c r="C798" s="29"/>
      <c r="D798" s="59"/>
      <c r="E798" s="22"/>
      <c r="F798" s="27"/>
      <c r="G798" s="567"/>
      <c r="H798" s="609">
        <f t="shared" si="178"/>
        <v>0</v>
      </c>
      <c r="I798" s="568"/>
      <c r="J798" s="568"/>
      <c r="K798" s="568"/>
      <c r="L798" s="568"/>
      <c r="M798" s="32"/>
      <c r="N798" s="32"/>
      <c r="O798" s="32"/>
      <c r="P798" s="630"/>
      <c r="Q798" s="609">
        <f t="shared" si="175"/>
        <v>0</v>
      </c>
      <c r="R798" s="568"/>
      <c r="S798" s="568"/>
      <c r="T798" s="568"/>
      <c r="U798" s="568"/>
      <c r="V798" s="32"/>
      <c r="W798" s="32"/>
      <c r="X798" s="32"/>
      <c r="Y798" s="630"/>
      <c r="Z798" s="609">
        <f t="shared" si="176"/>
        <v>0</v>
      </c>
      <c r="AA798" s="568"/>
      <c r="AB798" s="568"/>
      <c r="AC798" s="568"/>
      <c r="AD798" s="568"/>
      <c r="AE798" s="32"/>
      <c r="AF798" s="32"/>
      <c r="AG798" s="32"/>
      <c r="AH798" s="630"/>
      <c r="AI798" s="609">
        <f t="shared" si="177"/>
        <v>0</v>
      </c>
      <c r="AJ798" s="568"/>
      <c r="AK798" s="568"/>
      <c r="AL798" s="568"/>
      <c r="AM798" s="568"/>
      <c r="AN798" s="32"/>
      <c r="AO798" s="32"/>
      <c r="AP798" s="32"/>
      <c r="AQ798" s="630"/>
      <c r="AR798" s="631"/>
      <c r="AS798" s="568"/>
      <c r="AT798" s="568"/>
      <c r="AU798" s="568"/>
      <c r="AV798" s="568"/>
      <c r="AW798" s="32"/>
      <c r="AX798" s="32"/>
      <c r="AY798" s="32"/>
      <c r="AZ798" s="32"/>
      <c r="BA798" s="32"/>
      <c r="BB798" s="568"/>
      <c r="BC798" s="568"/>
      <c r="BD798" s="568"/>
      <c r="BE798" s="32"/>
      <c r="BF798" s="32"/>
      <c r="BG798" s="32"/>
      <c r="BH798" s="32"/>
    </row>
    <row r="799" spans="1:60" x14ac:dyDescent="0.25">
      <c r="A799" s="77"/>
      <c r="B799" s="84"/>
      <c r="C799" s="29"/>
      <c r="D799" s="59"/>
      <c r="E799" s="22"/>
      <c r="F799" s="27"/>
      <c r="G799" s="567"/>
      <c r="H799" s="609">
        <f t="shared" si="178"/>
        <v>0</v>
      </c>
      <c r="I799" s="568"/>
      <c r="J799" s="568"/>
      <c r="K799" s="568"/>
      <c r="L799" s="568"/>
      <c r="M799" s="32"/>
      <c r="N799" s="32"/>
      <c r="O799" s="32"/>
      <c r="P799" s="630"/>
      <c r="Q799" s="609">
        <f t="shared" si="175"/>
        <v>0</v>
      </c>
      <c r="R799" s="568"/>
      <c r="S799" s="568"/>
      <c r="T799" s="568"/>
      <c r="U799" s="568"/>
      <c r="V799" s="32"/>
      <c r="W799" s="32"/>
      <c r="X799" s="32"/>
      <c r="Y799" s="630"/>
      <c r="Z799" s="609">
        <f t="shared" si="176"/>
        <v>0</v>
      </c>
      <c r="AA799" s="568"/>
      <c r="AB799" s="568"/>
      <c r="AC799" s="568"/>
      <c r="AD799" s="568"/>
      <c r="AE799" s="32"/>
      <c r="AF799" s="32"/>
      <c r="AG799" s="32"/>
      <c r="AH799" s="630"/>
      <c r="AI799" s="609">
        <f t="shared" si="177"/>
        <v>0</v>
      </c>
      <c r="AJ799" s="568"/>
      <c r="AK799" s="568"/>
      <c r="AL799" s="568"/>
      <c r="AM799" s="568"/>
      <c r="AN799" s="32"/>
      <c r="AO799" s="32"/>
      <c r="AP799" s="32"/>
      <c r="AQ799" s="630"/>
      <c r="AR799" s="631"/>
      <c r="AS799" s="568"/>
      <c r="AT799" s="568"/>
      <c r="AU799" s="568"/>
      <c r="AV799" s="568"/>
      <c r="AW799" s="32"/>
      <c r="AX799" s="32"/>
      <c r="AY799" s="32"/>
      <c r="AZ799" s="32"/>
      <c r="BA799" s="32"/>
      <c r="BB799" s="568"/>
      <c r="BC799" s="568"/>
      <c r="BD799" s="568"/>
      <c r="BE799" s="32"/>
      <c r="BF799" s="32"/>
      <c r="BG799" s="32"/>
      <c r="BH799" s="32"/>
    </row>
    <row r="800" spans="1:60" x14ac:dyDescent="0.25">
      <c r="A800" s="77"/>
      <c r="B800" s="84"/>
      <c r="C800" s="29"/>
      <c r="D800" s="59"/>
      <c r="E800" s="22"/>
      <c r="F800" s="27"/>
      <c r="G800" s="567"/>
      <c r="H800" s="609">
        <f t="shared" si="178"/>
        <v>0</v>
      </c>
      <c r="I800" s="568"/>
      <c r="J800" s="568"/>
      <c r="K800" s="568"/>
      <c r="L800" s="568"/>
      <c r="M800" s="32"/>
      <c r="N800" s="32"/>
      <c r="O800" s="32"/>
      <c r="P800" s="630"/>
      <c r="Q800" s="609">
        <f t="shared" si="175"/>
        <v>0</v>
      </c>
      <c r="R800" s="568"/>
      <c r="S800" s="568"/>
      <c r="T800" s="568"/>
      <c r="U800" s="568"/>
      <c r="V800" s="32"/>
      <c r="W800" s="32"/>
      <c r="X800" s="32"/>
      <c r="Y800" s="630"/>
      <c r="Z800" s="609">
        <f t="shared" si="176"/>
        <v>0</v>
      </c>
      <c r="AA800" s="568"/>
      <c r="AB800" s="568"/>
      <c r="AC800" s="568"/>
      <c r="AD800" s="568"/>
      <c r="AE800" s="32"/>
      <c r="AF800" s="32"/>
      <c r="AG800" s="32"/>
      <c r="AH800" s="630"/>
      <c r="AI800" s="609">
        <f t="shared" si="177"/>
        <v>0</v>
      </c>
      <c r="AJ800" s="568"/>
      <c r="AK800" s="568"/>
      <c r="AL800" s="568"/>
      <c r="AM800" s="568"/>
      <c r="AN800" s="32"/>
      <c r="AO800" s="32"/>
      <c r="AP800" s="32"/>
      <c r="AQ800" s="630"/>
      <c r="AR800" s="631"/>
      <c r="AS800" s="568"/>
      <c r="AT800" s="568"/>
      <c r="AU800" s="568"/>
      <c r="AV800" s="568"/>
      <c r="AW800" s="32"/>
      <c r="AX800" s="32"/>
      <c r="AY800" s="32"/>
      <c r="AZ800" s="32"/>
      <c r="BA800" s="32"/>
      <c r="BB800" s="568"/>
      <c r="BC800" s="568"/>
      <c r="BD800" s="568"/>
      <c r="BE800" s="32"/>
      <c r="BF800" s="32"/>
      <c r="BG800" s="32"/>
      <c r="BH800" s="32"/>
    </row>
    <row r="801" spans="1:60" x14ac:dyDescent="0.25">
      <c r="A801" s="77"/>
      <c r="B801" s="84"/>
      <c r="C801" s="29"/>
      <c r="D801" s="59"/>
      <c r="E801" s="22"/>
      <c r="F801" s="27"/>
      <c r="G801" s="567"/>
      <c r="H801" s="609">
        <f t="shared" si="178"/>
        <v>0</v>
      </c>
      <c r="I801" s="568"/>
      <c r="J801" s="568"/>
      <c r="K801" s="568"/>
      <c r="L801" s="568"/>
      <c r="M801" s="32"/>
      <c r="N801" s="32"/>
      <c r="O801" s="32"/>
      <c r="P801" s="630"/>
      <c r="Q801" s="609">
        <f t="shared" si="175"/>
        <v>0</v>
      </c>
      <c r="R801" s="568"/>
      <c r="S801" s="568"/>
      <c r="T801" s="568"/>
      <c r="U801" s="568"/>
      <c r="V801" s="32"/>
      <c r="W801" s="32"/>
      <c r="X801" s="32"/>
      <c r="Y801" s="630"/>
      <c r="Z801" s="609">
        <f t="shared" si="176"/>
        <v>0</v>
      </c>
      <c r="AA801" s="568"/>
      <c r="AB801" s="568"/>
      <c r="AC801" s="568"/>
      <c r="AD801" s="568"/>
      <c r="AE801" s="32"/>
      <c r="AF801" s="32"/>
      <c r="AG801" s="32"/>
      <c r="AH801" s="630"/>
      <c r="AI801" s="609">
        <f t="shared" si="177"/>
        <v>0</v>
      </c>
      <c r="AJ801" s="568"/>
      <c r="AK801" s="568"/>
      <c r="AL801" s="568"/>
      <c r="AM801" s="568"/>
      <c r="AN801" s="32"/>
      <c r="AO801" s="32"/>
      <c r="AP801" s="32"/>
      <c r="AQ801" s="630"/>
      <c r="AR801" s="631"/>
      <c r="AS801" s="568"/>
      <c r="AT801" s="568"/>
      <c r="AU801" s="568"/>
      <c r="AV801" s="568"/>
      <c r="AW801" s="32"/>
      <c r="AX801" s="32"/>
      <c r="AY801" s="32"/>
      <c r="AZ801" s="32"/>
      <c r="BA801" s="32"/>
      <c r="BB801" s="568"/>
      <c r="BC801" s="568"/>
      <c r="BD801" s="568"/>
      <c r="BE801" s="32"/>
      <c r="BF801" s="32"/>
      <c r="BG801" s="32"/>
      <c r="BH801" s="32"/>
    </row>
    <row r="802" spans="1:60" x14ac:dyDescent="0.25">
      <c r="A802" s="77"/>
      <c r="B802" s="84"/>
      <c r="C802" s="29"/>
      <c r="D802" s="59"/>
      <c r="E802" s="22"/>
      <c r="F802" s="27"/>
      <c r="G802" s="567"/>
      <c r="H802" s="609">
        <f t="shared" si="178"/>
        <v>0</v>
      </c>
      <c r="I802" s="568"/>
      <c r="J802" s="568"/>
      <c r="K802" s="568"/>
      <c r="L802" s="568"/>
      <c r="M802" s="32"/>
      <c r="N802" s="32"/>
      <c r="O802" s="32"/>
      <c r="P802" s="630"/>
      <c r="Q802" s="609">
        <f t="shared" si="175"/>
        <v>0</v>
      </c>
      <c r="R802" s="568"/>
      <c r="S802" s="568"/>
      <c r="T802" s="568"/>
      <c r="U802" s="568"/>
      <c r="V802" s="32"/>
      <c r="W802" s="32"/>
      <c r="X802" s="32"/>
      <c r="Y802" s="630"/>
      <c r="Z802" s="609">
        <f t="shared" si="176"/>
        <v>0</v>
      </c>
      <c r="AA802" s="568"/>
      <c r="AB802" s="568"/>
      <c r="AC802" s="568"/>
      <c r="AD802" s="568"/>
      <c r="AE802" s="32"/>
      <c r="AF802" s="32"/>
      <c r="AG802" s="32"/>
      <c r="AH802" s="630"/>
      <c r="AI802" s="609">
        <f t="shared" si="177"/>
        <v>0</v>
      </c>
      <c r="AJ802" s="568"/>
      <c r="AK802" s="568"/>
      <c r="AL802" s="568"/>
      <c r="AM802" s="568"/>
      <c r="AN802" s="32"/>
      <c r="AO802" s="32"/>
      <c r="AP802" s="32"/>
      <c r="AQ802" s="630"/>
      <c r="AR802" s="631"/>
      <c r="AS802" s="568"/>
      <c r="AT802" s="568"/>
      <c r="AU802" s="568"/>
      <c r="AV802" s="568"/>
      <c r="AW802" s="32"/>
      <c r="AX802" s="32"/>
      <c r="AY802" s="32"/>
      <c r="AZ802" s="32"/>
      <c r="BA802" s="32"/>
      <c r="BB802" s="568"/>
      <c r="BC802" s="568"/>
      <c r="BD802" s="568"/>
      <c r="BE802" s="32"/>
      <c r="BF802" s="32"/>
      <c r="BG802" s="32"/>
      <c r="BH802" s="32"/>
    </row>
    <row r="803" spans="1:60" x14ac:dyDescent="0.25">
      <c r="A803" s="77"/>
      <c r="B803" s="84"/>
      <c r="C803" s="29"/>
      <c r="D803" s="59"/>
      <c r="E803" s="22"/>
      <c r="F803" s="27"/>
      <c r="G803" s="567"/>
      <c r="H803" s="609">
        <f t="shared" si="178"/>
        <v>0</v>
      </c>
      <c r="I803" s="568"/>
      <c r="J803" s="568"/>
      <c r="K803" s="568"/>
      <c r="L803" s="568"/>
      <c r="M803" s="32"/>
      <c r="N803" s="32"/>
      <c r="O803" s="32"/>
      <c r="P803" s="630"/>
      <c r="Q803" s="609">
        <f t="shared" si="175"/>
        <v>0</v>
      </c>
      <c r="R803" s="568"/>
      <c r="S803" s="568"/>
      <c r="T803" s="568"/>
      <c r="U803" s="568"/>
      <c r="V803" s="32"/>
      <c r="W803" s="32"/>
      <c r="X803" s="32"/>
      <c r="Y803" s="630"/>
      <c r="Z803" s="609">
        <f t="shared" si="176"/>
        <v>0</v>
      </c>
      <c r="AA803" s="568"/>
      <c r="AB803" s="568"/>
      <c r="AC803" s="568"/>
      <c r="AD803" s="568"/>
      <c r="AE803" s="32"/>
      <c r="AF803" s="32"/>
      <c r="AG803" s="32"/>
      <c r="AH803" s="630"/>
      <c r="AI803" s="609">
        <f t="shared" si="177"/>
        <v>0</v>
      </c>
      <c r="AJ803" s="568"/>
      <c r="AK803" s="568"/>
      <c r="AL803" s="568"/>
      <c r="AM803" s="568"/>
      <c r="AN803" s="32"/>
      <c r="AO803" s="32"/>
      <c r="AP803" s="32"/>
      <c r="AQ803" s="630"/>
      <c r="AR803" s="631"/>
      <c r="AS803" s="568"/>
      <c r="AT803" s="568"/>
      <c r="AU803" s="568"/>
      <c r="AV803" s="568"/>
      <c r="AW803" s="32"/>
      <c r="AX803" s="32"/>
      <c r="AY803" s="32"/>
      <c r="AZ803" s="32"/>
      <c r="BA803" s="32"/>
      <c r="BB803" s="568"/>
      <c r="BC803" s="568"/>
      <c r="BD803" s="568"/>
      <c r="BE803" s="32"/>
      <c r="BF803" s="32"/>
      <c r="BG803" s="32"/>
      <c r="BH803" s="32"/>
    </row>
    <row r="804" spans="1:60" x14ac:dyDescent="0.25">
      <c r="A804" s="77"/>
      <c r="B804" s="84"/>
      <c r="C804" s="29"/>
      <c r="D804" s="59"/>
      <c r="E804" s="22"/>
      <c r="F804" s="27"/>
      <c r="G804" s="567"/>
      <c r="H804" s="609">
        <f t="shared" si="178"/>
        <v>0</v>
      </c>
      <c r="I804" s="568"/>
      <c r="J804" s="568"/>
      <c r="K804" s="568"/>
      <c r="L804" s="568"/>
      <c r="M804" s="32"/>
      <c r="N804" s="32"/>
      <c r="O804" s="32"/>
      <c r="P804" s="630"/>
      <c r="Q804" s="609">
        <f t="shared" si="175"/>
        <v>0</v>
      </c>
      <c r="R804" s="568"/>
      <c r="S804" s="568"/>
      <c r="T804" s="568"/>
      <c r="U804" s="568"/>
      <c r="V804" s="32"/>
      <c r="W804" s="32"/>
      <c r="X804" s="32"/>
      <c r="Y804" s="630"/>
      <c r="Z804" s="609">
        <f t="shared" si="176"/>
        <v>0</v>
      </c>
      <c r="AA804" s="568"/>
      <c r="AB804" s="568"/>
      <c r="AC804" s="568"/>
      <c r="AD804" s="568"/>
      <c r="AE804" s="32"/>
      <c r="AF804" s="32"/>
      <c r="AG804" s="32"/>
      <c r="AH804" s="630"/>
      <c r="AI804" s="609">
        <f t="shared" si="177"/>
        <v>0</v>
      </c>
      <c r="AJ804" s="568"/>
      <c r="AK804" s="568"/>
      <c r="AL804" s="568"/>
      <c r="AM804" s="568"/>
      <c r="AN804" s="32"/>
      <c r="AO804" s="32"/>
      <c r="AP804" s="32"/>
      <c r="AQ804" s="630"/>
      <c r="AR804" s="631"/>
      <c r="AS804" s="568"/>
      <c r="AT804" s="568"/>
      <c r="AU804" s="568"/>
      <c r="AV804" s="568"/>
      <c r="AW804" s="32"/>
      <c r="AX804" s="32"/>
      <c r="AY804" s="32"/>
      <c r="AZ804" s="32"/>
      <c r="BA804" s="32"/>
      <c r="BB804" s="568"/>
      <c r="BC804" s="568"/>
      <c r="BD804" s="568"/>
      <c r="BE804" s="32"/>
      <c r="BF804" s="32"/>
      <c r="BG804" s="32"/>
      <c r="BH804" s="32"/>
    </row>
    <row r="805" spans="1:60" x14ac:dyDescent="0.25">
      <c r="A805" s="77"/>
      <c r="B805" s="84"/>
      <c r="C805" s="29"/>
      <c r="D805" s="59"/>
      <c r="E805" s="22"/>
      <c r="F805" s="27"/>
      <c r="G805" s="567"/>
      <c r="H805" s="609">
        <f t="shared" si="178"/>
        <v>0</v>
      </c>
      <c r="I805" s="568"/>
      <c r="J805" s="568"/>
      <c r="K805" s="568"/>
      <c r="L805" s="568"/>
      <c r="M805" s="32"/>
      <c r="N805" s="32"/>
      <c r="O805" s="32"/>
      <c r="P805" s="630"/>
      <c r="Q805" s="609">
        <f t="shared" si="175"/>
        <v>0</v>
      </c>
      <c r="R805" s="568"/>
      <c r="S805" s="568"/>
      <c r="T805" s="568"/>
      <c r="U805" s="568"/>
      <c r="V805" s="32"/>
      <c r="W805" s="32"/>
      <c r="X805" s="32"/>
      <c r="Y805" s="630"/>
      <c r="Z805" s="609">
        <f t="shared" si="176"/>
        <v>0</v>
      </c>
      <c r="AA805" s="568"/>
      <c r="AB805" s="568"/>
      <c r="AC805" s="568"/>
      <c r="AD805" s="568"/>
      <c r="AE805" s="32"/>
      <c r="AF805" s="32"/>
      <c r="AG805" s="32"/>
      <c r="AH805" s="630"/>
      <c r="AI805" s="609">
        <f t="shared" si="177"/>
        <v>0</v>
      </c>
      <c r="AJ805" s="568"/>
      <c r="AK805" s="568"/>
      <c r="AL805" s="568"/>
      <c r="AM805" s="568"/>
      <c r="AN805" s="32"/>
      <c r="AO805" s="32"/>
      <c r="AP805" s="32"/>
      <c r="AQ805" s="630"/>
      <c r="AR805" s="631"/>
      <c r="AS805" s="568"/>
      <c r="AT805" s="568"/>
      <c r="AU805" s="568"/>
      <c r="AV805" s="568"/>
      <c r="AW805" s="32"/>
      <c r="AX805" s="32"/>
      <c r="AY805" s="32"/>
      <c r="AZ805" s="32"/>
      <c r="BA805" s="32"/>
      <c r="BB805" s="568"/>
      <c r="BC805" s="568"/>
      <c r="BD805" s="568"/>
      <c r="BE805" s="32"/>
      <c r="BF805" s="32"/>
      <c r="BG805" s="32"/>
      <c r="BH805" s="32"/>
    </row>
    <row r="806" spans="1:60" x14ac:dyDescent="0.25">
      <c r="A806" s="77"/>
      <c r="B806" s="84"/>
      <c r="C806" s="29"/>
      <c r="D806" s="59"/>
      <c r="E806" s="22"/>
      <c r="F806" s="27"/>
      <c r="G806" s="567"/>
      <c r="H806" s="609">
        <f t="shared" si="178"/>
        <v>0</v>
      </c>
      <c r="I806" s="568"/>
      <c r="J806" s="568"/>
      <c r="K806" s="568"/>
      <c r="L806" s="568"/>
      <c r="M806" s="32"/>
      <c r="N806" s="32"/>
      <c r="O806" s="32"/>
      <c r="P806" s="630"/>
      <c r="Q806" s="609">
        <f t="shared" ref="Q806:Q851" si="179">AM806</f>
        <v>0</v>
      </c>
      <c r="R806" s="568"/>
      <c r="S806" s="568"/>
      <c r="T806" s="568"/>
      <c r="U806" s="568"/>
      <c r="V806" s="32"/>
      <c r="W806" s="32"/>
      <c r="X806" s="32"/>
      <c r="Y806" s="630"/>
      <c r="Z806" s="609">
        <f t="shared" ref="Z806:Z851" si="180">AM806</f>
        <v>0</v>
      </c>
      <c r="AA806" s="568"/>
      <c r="AB806" s="568"/>
      <c r="AC806" s="568"/>
      <c r="AD806" s="568"/>
      <c r="AE806" s="32"/>
      <c r="AF806" s="32"/>
      <c r="AG806" s="32"/>
      <c r="AH806" s="630"/>
      <c r="AI806" s="609">
        <f t="shared" ref="AI806:AI809" si="181">AV806</f>
        <v>0</v>
      </c>
      <c r="AJ806" s="568"/>
      <c r="AK806" s="568"/>
      <c r="AL806" s="568"/>
      <c r="AM806" s="568"/>
      <c r="AN806" s="32"/>
      <c r="AO806" s="32"/>
      <c r="AP806" s="32"/>
      <c r="AQ806" s="630"/>
      <c r="AR806" s="631"/>
      <c r="AS806" s="568"/>
      <c r="AT806" s="568"/>
      <c r="AU806" s="568"/>
      <c r="AV806" s="568"/>
      <c r="AW806" s="32"/>
      <c r="AX806" s="32"/>
      <c r="AY806" s="32"/>
      <c r="AZ806" s="32"/>
      <c r="BA806" s="32"/>
      <c r="BB806" s="568"/>
      <c r="BC806" s="568"/>
      <c r="BD806" s="568"/>
      <c r="BE806" s="32"/>
      <c r="BF806" s="32"/>
      <c r="BG806" s="32"/>
      <c r="BH806" s="32"/>
    </row>
    <row r="807" spans="1:60" x14ac:dyDescent="0.25">
      <c r="A807" s="77"/>
      <c r="B807" s="84"/>
      <c r="C807" s="29"/>
      <c r="D807" s="59"/>
      <c r="E807" s="22"/>
      <c r="F807" s="27"/>
      <c r="G807" s="567"/>
      <c r="H807" s="609">
        <f t="shared" si="178"/>
        <v>0</v>
      </c>
      <c r="I807" s="568"/>
      <c r="J807" s="568"/>
      <c r="K807" s="568"/>
      <c r="L807" s="568"/>
      <c r="M807" s="32"/>
      <c r="N807" s="32"/>
      <c r="O807" s="32"/>
      <c r="P807" s="630"/>
      <c r="Q807" s="609">
        <f t="shared" si="179"/>
        <v>0</v>
      </c>
      <c r="R807" s="568"/>
      <c r="S807" s="568"/>
      <c r="T807" s="568"/>
      <c r="U807" s="568"/>
      <c r="V807" s="32"/>
      <c r="W807" s="32"/>
      <c r="X807" s="32"/>
      <c r="Y807" s="630"/>
      <c r="Z807" s="609">
        <f t="shared" si="180"/>
        <v>0</v>
      </c>
      <c r="AA807" s="568"/>
      <c r="AB807" s="568"/>
      <c r="AC807" s="568"/>
      <c r="AD807" s="568"/>
      <c r="AE807" s="32"/>
      <c r="AF807" s="32"/>
      <c r="AG807" s="32"/>
      <c r="AH807" s="630"/>
      <c r="AI807" s="609">
        <f t="shared" si="181"/>
        <v>0</v>
      </c>
      <c r="AJ807" s="568"/>
      <c r="AK807" s="568"/>
      <c r="AL807" s="568"/>
      <c r="AM807" s="568"/>
      <c r="AN807" s="32"/>
      <c r="AO807" s="32"/>
      <c r="AP807" s="32"/>
      <c r="AQ807" s="630"/>
      <c r="AR807" s="631"/>
      <c r="AS807" s="568"/>
      <c r="AT807" s="568"/>
      <c r="AU807" s="568"/>
      <c r="AV807" s="568"/>
      <c r="AW807" s="32"/>
      <c r="AX807" s="32"/>
      <c r="AY807" s="32"/>
      <c r="AZ807" s="32"/>
      <c r="BA807" s="32"/>
      <c r="BB807" s="568"/>
      <c r="BC807" s="568"/>
      <c r="BD807" s="568"/>
      <c r="BE807" s="32"/>
      <c r="BF807" s="32"/>
      <c r="BG807" s="32"/>
      <c r="BH807" s="32"/>
    </row>
    <row r="808" spans="1:60" x14ac:dyDescent="0.25">
      <c r="A808" s="77"/>
      <c r="B808" s="84"/>
      <c r="C808" s="29"/>
      <c r="D808" s="59"/>
      <c r="E808" s="22"/>
      <c r="F808" s="27"/>
      <c r="G808" s="567"/>
      <c r="H808" s="609">
        <f t="shared" si="178"/>
        <v>0</v>
      </c>
      <c r="I808" s="568"/>
      <c r="J808" s="568"/>
      <c r="K808" s="568"/>
      <c r="L808" s="568"/>
      <c r="M808" s="32"/>
      <c r="N808" s="32"/>
      <c r="O808" s="32"/>
      <c r="P808" s="630"/>
      <c r="Q808" s="609">
        <f t="shared" si="179"/>
        <v>0</v>
      </c>
      <c r="R808" s="568"/>
      <c r="S808" s="568"/>
      <c r="T808" s="568"/>
      <c r="U808" s="568"/>
      <c r="V808" s="32"/>
      <c r="W808" s="32"/>
      <c r="X808" s="32"/>
      <c r="Y808" s="630"/>
      <c r="Z808" s="609">
        <f t="shared" si="180"/>
        <v>0</v>
      </c>
      <c r="AA808" s="568"/>
      <c r="AB808" s="568"/>
      <c r="AC808" s="568"/>
      <c r="AD808" s="568"/>
      <c r="AE808" s="32"/>
      <c r="AF808" s="32"/>
      <c r="AG808" s="32"/>
      <c r="AH808" s="630"/>
      <c r="AI808" s="609">
        <f t="shared" si="181"/>
        <v>0</v>
      </c>
      <c r="AJ808" s="568"/>
      <c r="AK808" s="568"/>
      <c r="AL808" s="568"/>
      <c r="AM808" s="568"/>
      <c r="AN808" s="32"/>
      <c r="AO808" s="32"/>
      <c r="AP808" s="32"/>
      <c r="AQ808" s="630"/>
      <c r="AR808" s="631"/>
      <c r="AS808" s="568"/>
      <c r="AT808" s="568"/>
      <c r="AU808" s="568"/>
      <c r="AV808" s="568"/>
      <c r="AW808" s="32"/>
      <c r="AX808" s="32"/>
      <c r="AY808" s="32"/>
      <c r="AZ808" s="32"/>
      <c r="BA808" s="32"/>
      <c r="BB808" s="568"/>
      <c r="BC808" s="568"/>
      <c r="BD808" s="568"/>
      <c r="BE808" s="32"/>
      <c r="BF808" s="32"/>
      <c r="BG808" s="32"/>
      <c r="BH808" s="32"/>
    </row>
    <row r="809" spans="1:60" x14ac:dyDescent="0.25">
      <c r="A809" s="77"/>
      <c r="B809" s="84"/>
      <c r="C809" s="29"/>
      <c r="D809" s="59"/>
      <c r="E809" s="22"/>
      <c r="F809" s="27"/>
      <c r="G809" s="567"/>
      <c r="H809" s="609">
        <f t="shared" si="178"/>
        <v>0</v>
      </c>
      <c r="I809" s="568"/>
      <c r="J809" s="568"/>
      <c r="K809" s="568"/>
      <c r="L809" s="568"/>
      <c r="M809" s="32"/>
      <c r="N809" s="32"/>
      <c r="O809" s="32"/>
      <c r="P809" s="630"/>
      <c r="Q809" s="609">
        <f t="shared" si="179"/>
        <v>0</v>
      </c>
      <c r="R809" s="568"/>
      <c r="S809" s="568"/>
      <c r="T809" s="568"/>
      <c r="U809" s="568"/>
      <c r="V809" s="32"/>
      <c r="W809" s="32"/>
      <c r="X809" s="32"/>
      <c r="Y809" s="630"/>
      <c r="Z809" s="609">
        <f t="shared" si="180"/>
        <v>0</v>
      </c>
      <c r="AA809" s="568"/>
      <c r="AB809" s="568"/>
      <c r="AC809" s="568"/>
      <c r="AD809" s="568"/>
      <c r="AE809" s="32"/>
      <c r="AF809" s="32"/>
      <c r="AG809" s="32"/>
      <c r="AH809" s="630"/>
      <c r="AI809" s="609">
        <f t="shared" si="181"/>
        <v>0</v>
      </c>
      <c r="AJ809" s="568"/>
      <c r="AK809" s="568"/>
      <c r="AL809" s="568"/>
      <c r="AM809" s="568"/>
      <c r="AN809" s="32"/>
      <c r="AO809" s="32"/>
      <c r="AP809" s="32"/>
      <c r="AQ809" s="630"/>
      <c r="AR809" s="631"/>
      <c r="AS809" s="568"/>
      <c r="AT809" s="568"/>
      <c r="AU809" s="568"/>
      <c r="AV809" s="568"/>
      <c r="AW809" s="32"/>
      <c r="AX809" s="32"/>
      <c r="AY809" s="32"/>
      <c r="AZ809" s="32"/>
      <c r="BA809" s="32"/>
      <c r="BB809" s="568"/>
      <c r="BC809" s="568"/>
      <c r="BD809" s="568"/>
      <c r="BE809" s="32"/>
      <c r="BF809" s="32"/>
      <c r="BG809" s="32"/>
      <c r="BH809" s="32"/>
    </row>
    <row r="810" spans="1:60" x14ac:dyDescent="0.25">
      <c r="A810" s="77"/>
      <c r="B810" s="84"/>
      <c r="C810" s="29"/>
      <c r="D810" s="59"/>
      <c r="E810" s="22"/>
      <c r="F810" s="27"/>
      <c r="G810" s="567"/>
      <c r="H810" s="609">
        <f t="shared" si="178"/>
        <v>0</v>
      </c>
      <c r="I810" s="568"/>
      <c r="J810" s="568"/>
      <c r="K810" s="568"/>
      <c r="L810" s="568"/>
      <c r="M810" s="32"/>
      <c r="N810" s="32"/>
      <c r="O810" s="32"/>
      <c r="P810" s="630"/>
      <c r="Q810" s="609">
        <f t="shared" si="179"/>
        <v>0</v>
      </c>
      <c r="R810" s="568"/>
      <c r="S810" s="568"/>
      <c r="T810" s="568"/>
      <c r="U810" s="568"/>
      <c r="V810" s="32"/>
      <c r="W810" s="32"/>
      <c r="X810" s="32"/>
      <c r="Y810" s="630"/>
      <c r="Z810" s="609">
        <f t="shared" si="180"/>
        <v>0</v>
      </c>
      <c r="AA810" s="568"/>
      <c r="AB810" s="568"/>
      <c r="AC810" s="568"/>
      <c r="AD810" s="568"/>
      <c r="AE810" s="32"/>
      <c r="AF810" s="32"/>
      <c r="AG810" s="32"/>
      <c r="AH810" s="630"/>
      <c r="AI810" s="632"/>
      <c r="AJ810" s="568"/>
      <c r="AK810" s="568"/>
      <c r="AL810" s="568"/>
      <c r="AM810" s="568"/>
      <c r="AN810" s="32"/>
      <c r="AO810" s="32"/>
      <c r="AP810" s="32"/>
      <c r="AQ810" s="630"/>
      <c r="AR810" s="631"/>
      <c r="AS810" s="568"/>
      <c r="AT810" s="568"/>
      <c r="AU810" s="568"/>
      <c r="AV810" s="568"/>
      <c r="AW810" s="32"/>
      <c r="AX810" s="32"/>
      <c r="AY810" s="32"/>
      <c r="AZ810" s="32"/>
      <c r="BA810" s="32"/>
      <c r="BB810" s="568"/>
      <c r="BC810" s="568"/>
      <c r="BD810" s="568"/>
      <c r="BE810" s="32"/>
      <c r="BF810" s="32"/>
      <c r="BG810" s="32"/>
      <c r="BH810" s="32"/>
    </row>
    <row r="811" spans="1:60" x14ac:dyDescent="0.25">
      <c r="A811" s="77"/>
      <c r="B811" s="84"/>
      <c r="C811" s="29"/>
      <c r="D811" s="59"/>
      <c r="E811" s="22"/>
      <c r="F811" s="27"/>
      <c r="G811" s="567"/>
      <c r="H811" s="609">
        <f t="shared" si="178"/>
        <v>0</v>
      </c>
      <c r="I811" s="568"/>
      <c r="J811" s="568"/>
      <c r="K811" s="568"/>
      <c r="L811" s="568"/>
      <c r="M811" s="32"/>
      <c r="N811" s="32"/>
      <c r="O811" s="32"/>
      <c r="P811" s="630"/>
      <c r="Q811" s="609">
        <f t="shared" si="179"/>
        <v>0</v>
      </c>
      <c r="R811" s="568"/>
      <c r="S811" s="568"/>
      <c r="T811" s="568"/>
      <c r="U811" s="568"/>
      <c r="V811" s="32"/>
      <c r="W811" s="32"/>
      <c r="X811" s="32"/>
      <c r="Y811" s="630"/>
      <c r="Z811" s="609">
        <f t="shared" si="180"/>
        <v>0</v>
      </c>
      <c r="AA811" s="568"/>
      <c r="AB811" s="568"/>
      <c r="AC811" s="568"/>
      <c r="AD811" s="568"/>
      <c r="AE811" s="32"/>
      <c r="AF811" s="32"/>
      <c r="AG811" s="32"/>
      <c r="AH811" s="630"/>
      <c r="AI811" s="632"/>
      <c r="AJ811" s="568"/>
      <c r="AK811" s="568"/>
      <c r="AL811" s="568"/>
      <c r="AM811" s="568"/>
      <c r="AN811" s="32"/>
      <c r="AO811" s="32"/>
      <c r="AP811" s="32"/>
      <c r="AQ811" s="630"/>
      <c r="AR811" s="631"/>
      <c r="AS811" s="568"/>
      <c r="AT811" s="568"/>
      <c r="AU811" s="568"/>
      <c r="AV811" s="568"/>
      <c r="AW811" s="32"/>
      <c r="AX811" s="32"/>
      <c r="AY811" s="32"/>
      <c r="AZ811" s="32"/>
      <c r="BA811" s="32"/>
      <c r="BB811" s="568"/>
      <c r="BC811" s="568"/>
      <c r="BD811" s="568"/>
      <c r="BE811" s="32"/>
      <c r="BF811" s="32"/>
      <c r="BG811" s="32"/>
      <c r="BH811" s="32"/>
    </row>
    <row r="812" spans="1:60" x14ac:dyDescent="0.25">
      <c r="A812" s="77"/>
      <c r="B812" s="84"/>
      <c r="C812" s="29"/>
      <c r="D812" s="59"/>
      <c r="E812" s="22"/>
      <c r="F812" s="27"/>
      <c r="G812" s="567"/>
      <c r="H812" s="609">
        <f t="shared" si="178"/>
        <v>0</v>
      </c>
      <c r="I812" s="568"/>
      <c r="J812" s="568"/>
      <c r="K812" s="568"/>
      <c r="L812" s="568"/>
      <c r="M812" s="32"/>
      <c r="N812" s="32"/>
      <c r="O812" s="32"/>
      <c r="P812" s="630"/>
      <c r="Q812" s="609">
        <f t="shared" si="179"/>
        <v>0</v>
      </c>
      <c r="R812" s="568"/>
      <c r="S812" s="568"/>
      <c r="T812" s="568"/>
      <c r="U812" s="568"/>
      <c r="V812" s="32"/>
      <c r="W812" s="32"/>
      <c r="X812" s="32"/>
      <c r="Y812" s="630"/>
      <c r="Z812" s="609">
        <f t="shared" si="180"/>
        <v>0</v>
      </c>
      <c r="AA812" s="568"/>
      <c r="AB812" s="568"/>
      <c r="AC812" s="568"/>
      <c r="AD812" s="568"/>
      <c r="AE812" s="32"/>
      <c r="AF812" s="32"/>
      <c r="AG812" s="32"/>
      <c r="AH812" s="630"/>
      <c r="AI812" s="632"/>
      <c r="AJ812" s="568"/>
      <c r="AK812" s="568"/>
      <c r="AL812" s="568"/>
      <c r="AM812" s="568"/>
      <c r="AN812" s="32"/>
      <c r="AO812" s="32"/>
      <c r="AP812" s="32"/>
      <c r="AQ812" s="630"/>
      <c r="AR812" s="631"/>
      <c r="AS812" s="568"/>
      <c r="AT812" s="568"/>
      <c r="AU812" s="568"/>
      <c r="AV812" s="568"/>
      <c r="AW812" s="32"/>
      <c r="AX812" s="32"/>
      <c r="AY812" s="32"/>
      <c r="AZ812" s="32"/>
      <c r="BA812" s="32"/>
      <c r="BB812" s="568"/>
      <c r="BC812" s="568"/>
      <c r="BD812" s="568"/>
      <c r="BE812" s="32"/>
      <c r="BF812" s="32"/>
      <c r="BG812" s="32"/>
      <c r="BH812" s="32"/>
    </row>
    <row r="813" spans="1:60" x14ac:dyDescent="0.25">
      <c r="A813" s="77"/>
      <c r="B813" s="84"/>
      <c r="C813" s="29"/>
      <c r="D813" s="59"/>
      <c r="E813" s="22"/>
      <c r="F813" s="27"/>
      <c r="G813" s="567"/>
      <c r="H813" s="609">
        <f t="shared" si="178"/>
        <v>0</v>
      </c>
      <c r="I813" s="568"/>
      <c r="J813" s="568"/>
      <c r="K813" s="568"/>
      <c r="L813" s="568"/>
      <c r="M813" s="32"/>
      <c r="N813" s="32"/>
      <c r="O813" s="32"/>
      <c r="P813" s="630"/>
      <c r="Q813" s="609">
        <f t="shared" si="179"/>
        <v>0</v>
      </c>
      <c r="R813" s="568"/>
      <c r="S813" s="568"/>
      <c r="T813" s="568"/>
      <c r="U813" s="568"/>
      <c r="V813" s="32"/>
      <c r="W813" s="32"/>
      <c r="X813" s="32"/>
      <c r="Y813" s="630"/>
      <c r="Z813" s="609">
        <f t="shared" si="180"/>
        <v>0</v>
      </c>
      <c r="AA813" s="568"/>
      <c r="AB813" s="568"/>
      <c r="AC813" s="568"/>
      <c r="AD813" s="568"/>
      <c r="AE813" s="32"/>
      <c r="AF813" s="32"/>
      <c r="AG813" s="32"/>
      <c r="AH813" s="630"/>
      <c r="AI813" s="632"/>
      <c r="AJ813" s="568"/>
      <c r="AK813" s="568"/>
      <c r="AL813" s="568"/>
      <c r="AM813" s="568"/>
      <c r="AN813" s="32"/>
      <c r="AO813" s="32"/>
      <c r="AP813" s="32"/>
      <c r="AQ813" s="630"/>
      <c r="AR813" s="631"/>
      <c r="AS813" s="568"/>
      <c r="AT813" s="568"/>
      <c r="AU813" s="568"/>
      <c r="AV813" s="568"/>
      <c r="AW813" s="32"/>
      <c r="AX813" s="32"/>
      <c r="AY813" s="32"/>
      <c r="AZ813" s="32"/>
      <c r="BA813" s="32"/>
      <c r="BB813" s="568"/>
      <c r="BC813" s="568"/>
      <c r="BD813" s="568"/>
      <c r="BE813" s="32"/>
      <c r="BF813" s="32"/>
      <c r="BG813" s="32"/>
      <c r="BH813" s="32"/>
    </row>
    <row r="814" spans="1:60" x14ac:dyDescent="0.25">
      <c r="A814" s="77"/>
      <c r="B814" s="84"/>
      <c r="C814" s="29"/>
      <c r="D814" s="59"/>
      <c r="E814" s="22"/>
      <c r="F814" s="27"/>
      <c r="G814" s="567"/>
      <c r="H814" s="609">
        <f t="shared" si="178"/>
        <v>0</v>
      </c>
      <c r="I814" s="568"/>
      <c r="J814" s="568"/>
      <c r="K814" s="568"/>
      <c r="L814" s="568"/>
      <c r="M814" s="32"/>
      <c r="N814" s="32"/>
      <c r="O814" s="32"/>
      <c r="P814" s="630"/>
      <c r="Q814" s="609">
        <f t="shared" si="179"/>
        <v>0</v>
      </c>
      <c r="R814" s="568"/>
      <c r="S814" s="568"/>
      <c r="T814" s="568"/>
      <c r="U814" s="568"/>
      <c r="V814" s="32"/>
      <c r="W814" s="32"/>
      <c r="X814" s="32"/>
      <c r="Y814" s="630"/>
      <c r="Z814" s="609">
        <f t="shared" si="180"/>
        <v>0</v>
      </c>
      <c r="AA814" s="568"/>
      <c r="AB814" s="568"/>
      <c r="AC814" s="568"/>
      <c r="AD814" s="568"/>
      <c r="AE814" s="32"/>
      <c r="AF814" s="32"/>
      <c r="AG814" s="32"/>
      <c r="AH814" s="630"/>
      <c r="AI814" s="632"/>
      <c r="AJ814" s="568"/>
      <c r="AK814" s="568"/>
      <c r="AL814" s="568"/>
      <c r="AM814" s="568"/>
      <c r="AN814" s="32"/>
      <c r="AO814" s="32"/>
      <c r="AP814" s="32"/>
      <c r="AQ814" s="630"/>
      <c r="AR814" s="631"/>
      <c r="AS814" s="568"/>
      <c r="AT814" s="568"/>
      <c r="AU814" s="568"/>
      <c r="AV814" s="568"/>
      <c r="AW814" s="32"/>
      <c r="AX814" s="32"/>
      <c r="AY814" s="32"/>
      <c r="AZ814" s="32"/>
      <c r="BA814" s="32"/>
      <c r="BB814" s="568"/>
      <c r="BC814" s="568"/>
      <c r="BD814" s="568"/>
      <c r="BE814" s="32"/>
      <c r="BF814" s="32"/>
      <c r="BG814" s="32"/>
      <c r="BH814" s="32"/>
    </row>
    <row r="815" spans="1:60" x14ac:dyDescent="0.25">
      <c r="A815" s="77"/>
      <c r="B815" s="84"/>
      <c r="C815" s="29"/>
      <c r="D815" s="59"/>
      <c r="E815" s="22"/>
      <c r="F815" s="27"/>
      <c r="G815" s="567"/>
      <c r="H815" s="609">
        <f t="shared" si="178"/>
        <v>0</v>
      </c>
      <c r="I815" s="568"/>
      <c r="J815" s="568"/>
      <c r="K815" s="568"/>
      <c r="L815" s="568"/>
      <c r="M815" s="32"/>
      <c r="N815" s="32"/>
      <c r="O815" s="32"/>
      <c r="P815" s="630"/>
      <c r="Q815" s="609">
        <f t="shared" si="179"/>
        <v>0</v>
      </c>
      <c r="R815" s="568"/>
      <c r="S815" s="568"/>
      <c r="T815" s="568"/>
      <c r="U815" s="568"/>
      <c r="V815" s="32"/>
      <c r="W815" s="32"/>
      <c r="X815" s="32"/>
      <c r="Y815" s="630"/>
      <c r="Z815" s="609">
        <f t="shared" si="180"/>
        <v>0</v>
      </c>
      <c r="AA815" s="568"/>
      <c r="AB815" s="568"/>
      <c r="AC815" s="568"/>
      <c r="AD815" s="568"/>
      <c r="AE815" s="32"/>
      <c r="AF815" s="32"/>
      <c r="AG815" s="32"/>
      <c r="AH815" s="630"/>
      <c r="AI815" s="632"/>
      <c r="AJ815" s="568"/>
      <c r="AK815" s="568"/>
      <c r="AL815" s="568"/>
      <c r="AM815" s="568"/>
      <c r="AN815" s="32"/>
      <c r="AO815" s="32"/>
      <c r="AP815" s="32"/>
      <c r="AQ815" s="630"/>
      <c r="AR815" s="631"/>
      <c r="AS815" s="568"/>
      <c r="AT815" s="568"/>
      <c r="AU815" s="568"/>
      <c r="AV815" s="568"/>
      <c r="AW815" s="32"/>
      <c r="AX815" s="32"/>
      <c r="AY815" s="32"/>
      <c r="AZ815" s="32"/>
      <c r="BA815" s="32"/>
      <c r="BB815" s="568"/>
      <c r="BC815" s="568"/>
      <c r="BD815" s="568"/>
      <c r="BE815" s="32"/>
      <c r="BF815" s="32"/>
      <c r="BG815" s="32"/>
      <c r="BH815" s="32"/>
    </row>
    <row r="816" spans="1:60" x14ac:dyDescent="0.25">
      <c r="A816" s="77"/>
      <c r="B816" s="84"/>
      <c r="C816" s="29"/>
      <c r="D816" s="59"/>
      <c r="E816" s="22"/>
      <c r="F816" s="27"/>
      <c r="G816" s="567"/>
      <c r="H816" s="609">
        <f t="shared" si="178"/>
        <v>0</v>
      </c>
      <c r="I816" s="568"/>
      <c r="J816" s="568"/>
      <c r="K816" s="568"/>
      <c r="L816" s="568"/>
      <c r="M816" s="32"/>
      <c r="N816" s="32"/>
      <c r="O816" s="32"/>
      <c r="P816" s="630"/>
      <c r="Q816" s="609">
        <f t="shared" si="179"/>
        <v>0</v>
      </c>
      <c r="R816" s="568"/>
      <c r="S816" s="568"/>
      <c r="T816" s="568"/>
      <c r="U816" s="568"/>
      <c r="V816" s="32"/>
      <c r="W816" s="32"/>
      <c r="X816" s="32"/>
      <c r="Y816" s="630"/>
      <c r="Z816" s="609">
        <f t="shared" si="180"/>
        <v>0</v>
      </c>
      <c r="AA816" s="568"/>
      <c r="AB816" s="568"/>
      <c r="AC816" s="568"/>
      <c r="AD816" s="568"/>
      <c r="AE816" s="32"/>
      <c r="AF816" s="32"/>
      <c r="AG816" s="32"/>
      <c r="AH816" s="630"/>
      <c r="AI816" s="632"/>
      <c r="AJ816" s="568"/>
      <c r="AK816" s="568"/>
      <c r="AL816" s="568"/>
      <c r="AM816" s="568"/>
      <c r="AN816" s="32"/>
      <c r="AO816" s="32"/>
      <c r="AP816" s="32"/>
      <c r="AQ816" s="630"/>
      <c r="AR816" s="631"/>
      <c r="AS816" s="568"/>
      <c r="AT816" s="568"/>
      <c r="AU816" s="568"/>
      <c r="AV816" s="568"/>
      <c r="AW816" s="32"/>
      <c r="AX816" s="32"/>
      <c r="AY816" s="32"/>
      <c r="AZ816" s="32"/>
      <c r="BA816" s="32"/>
      <c r="BB816" s="568"/>
      <c r="BC816" s="568"/>
      <c r="BD816" s="568"/>
      <c r="BE816" s="32"/>
      <c r="BF816" s="32"/>
      <c r="BG816" s="32"/>
      <c r="BH816" s="32"/>
    </row>
    <row r="817" spans="1:60" x14ac:dyDescent="0.25">
      <c r="A817" s="77"/>
      <c r="B817" s="84"/>
      <c r="C817" s="29"/>
      <c r="D817" s="59"/>
      <c r="E817" s="22"/>
      <c r="F817" s="27"/>
      <c r="G817" s="567"/>
      <c r="H817" s="609">
        <f t="shared" si="178"/>
        <v>0</v>
      </c>
      <c r="I817" s="568"/>
      <c r="J817" s="568"/>
      <c r="K817" s="568"/>
      <c r="L817" s="568"/>
      <c r="M817" s="32"/>
      <c r="N817" s="32"/>
      <c r="O817" s="32"/>
      <c r="P817" s="630"/>
      <c r="Q817" s="609">
        <f t="shared" si="179"/>
        <v>0</v>
      </c>
      <c r="R817" s="568"/>
      <c r="S817" s="568"/>
      <c r="T817" s="568"/>
      <c r="U817" s="568"/>
      <c r="V817" s="32"/>
      <c r="W817" s="32"/>
      <c r="X817" s="32"/>
      <c r="Y817" s="630"/>
      <c r="Z817" s="609">
        <f t="shared" si="180"/>
        <v>0</v>
      </c>
      <c r="AA817" s="568"/>
      <c r="AB817" s="568"/>
      <c r="AC817" s="568"/>
      <c r="AD817" s="568"/>
      <c r="AE817" s="32"/>
      <c r="AF817" s="32"/>
      <c r="AG817" s="32"/>
      <c r="AH817" s="630"/>
      <c r="AI817" s="632"/>
      <c r="AJ817" s="568"/>
      <c r="AK817" s="568"/>
      <c r="AL817" s="568"/>
      <c r="AM817" s="568"/>
      <c r="AN817" s="32"/>
      <c r="AO817" s="32"/>
      <c r="AP817" s="32"/>
      <c r="AQ817" s="630"/>
      <c r="AR817" s="631"/>
      <c r="AS817" s="568"/>
      <c r="AT817" s="568"/>
      <c r="AU817" s="568"/>
      <c r="AV817" s="568"/>
      <c r="AW817" s="32"/>
      <c r="AX817" s="32"/>
      <c r="AY817" s="32"/>
      <c r="AZ817" s="32"/>
      <c r="BA817" s="32"/>
      <c r="BB817" s="568"/>
      <c r="BC817" s="568"/>
      <c r="BD817" s="568"/>
      <c r="BE817" s="32"/>
      <c r="BF817" s="32"/>
      <c r="BG817" s="32"/>
      <c r="BH817" s="32"/>
    </row>
    <row r="818" spans="1:60" x14ac:dyDescent="0.25">
      <c r="A818" s="77"/>
      <c r="B818" s="84"/>
      <c r="C818" s="29"/>
      <c r="D818" s="59"/>
      <c r="E818" s="22"/>
      <c r="F818" s="27"/>
      <c r="G818" s="567"/>
      <c r="H818" s="609">
        <f t="shared" si="178"/>
        <v>0</v>
      </c>
      <c r="I818" s="568"/>
      <c r="J818" s="568"/>
      <c r="K818" s="568"/>
      <c r="L818" s="568"/>
      <c r="M818" s="32"/>
      <c r="N818" s="32"/>
      <c r="O818" s="32"/>
      <c r="P818" s="630"/>
      <c r="Q818" s="609">
        <f t="shared" si="179"/>
        <v>0</v>
      </c>
      <c r="R818" s="568"/>
      <c r="S818" s="568"/>
      <c r="T818" s="568"/>
      <c r="U818" s="568"/>
      <c r="V818" s="32"/>
      <c r="W818" s="32"/>
      <c r="X818" s="32"/>
      <c r="Y818" s="630"/>
      <c r="Z818" s="609">
        <f t="shared" si="180"/>
        <v>0</v>
      </c>
      <c r="AA818" s="568"/>
      <c r="AB818" s="568"/>
      <c r="AC818" s="568"/>
      <c r="AD818" s="568"/>
      <c r="AE818" s="32"/>
      <c r="AF818" s="32"/>
      <c r="AG818" s="32"/>
      <c r="AH818" s="630"/>
      <c r="AI818" s="632"/>
      <c r="AJ818" s="568"/>
      <c r="AK818" s="568"/>
      <c r="AL818" s="568"/>
      <c r="AM818" s="568"/>
      <c r="AN818" s="32"/>
      <c r="AO818" s="32"/>
      <c r="AP818" s="32"/>
      <c r="AQ818" s="630"/>
      <c r="AR818" s="631"/>
      <c r="AS818" s="568"/>
      <c r="AT818" s="568"/>
      <c r="AU818" s="568"/>
      <c r="AV818" s="568"/>
      <c r="AW818" s="32"/>
      <c r="AX818" s="32"/>
      <c r="AY818" s="32"/>
      <c r="AZ818" s="32"/>
      <c r="BA818" s="32"/>
      <c r="BB818" s="568"/>
      <c r="BC818" s="568"/>
      <c r="BD818" s="568"/>
      <c r="BE818" s="32"/>
      <c r="BF818" s="32"/>
      <c r="BG818" s="32"/>
      <c r="BH818" s="32"/>
    </row>
    <row r="819" spans="1:60" x14ac:dyDescent="0.25">
      <c r="A819" s="77"/>
      <c r="B819" s="84"/>
      <c r="C819" s="29"/>
      <c r="D819" s="59"/>
      <c r="E819" s="22"/>
      <c r="F819" s="27"/>
      <c r="G819" s="567"/>
      <c r="H819" s="609">
        <f t="shared" si="178"/>
        <v>0</v>
      </c>
      <c r="I819" s="568"/>
      <c r="J819" s="568"/>
      <c r="K819" s="568"/>
      <c r="L819" s="568"/>
      <c r="M819" s="32"/>
      <c r="N819" s="32"/>
      <c r="O819" s="32"/>
      <c r="P819" s="630"/>
      <c r="Q819" s="609">
        <f t="shared" si="179"/>
        <v>0</v>
      </c>
      <c r="R819" s="568"/>
      <c r="S819" s="568"/>
      <c r="T819" s="568"/>
      <c r="U819" s="568"/>
      <c r="V819" s="32"/>
      <c r="W819" s="32"/>
      <c r="X819" s="32"/>
      <c r="Y819" s="630"/>
      <c r="Z819" s="609">
        <f t="shared" si="180"/>
        <v>0</v>
      </c>
      <c r="AA819" s="568"/>
      <c r="AB819" s="568"/>
      <c r="AC819" s="568"/>
      <c r="AD819" s="568"/>
      <c r="AE819" s="32"/>
      <c r="AF819" s="32"/>
      <c r="AG819" s="32"/>
      <c r="AH819" s="630"/>
      <c r="AI819" s="632"/>
      <c r="AJ819" s="568"/>
      <c r="AK819" s="568"/>
      <c r="AL819" s="568"/>
      <c r="AM819" s="568"/>
      <c r="AN819" s="32"/>
      <c r="AO819" s="32"/>
      <c r="AP819" s="32"/>
      <c r="AQ819" s="630"/>
      <c r="AR819" s="631"/>
      <c r="AS819" s="568"/>
      <c r="AT819" s="568"/>
      <c r="AU819" s="568"/>
      <c r="AV819" s="568"/>
      <c r="AW819" s="32"/>
      <c r="AX819" s="32"/>
      <c r="AY819" s="32"/>
      <c r="AZ819" s="32"/>
      <c r="BA819" s="32"/>
      <c r="BB819" s="568"/>
      <c r="BC819" s="568"/>
      <c r="BD819" s="568"/>
      <c r="BE819" s="32"/>
      <c r="BF819" s="32"/>
      <c r="BG819" s="32"/>
      <c r="BH819" s="32"/>
    </row>
    <row r="820" spans="1:60" x14ac:dyDescent="0.25">
      <c r="A820" s="77"/>
      <c r="B820" s="84"/>
      <c r="C820" s="29"/>
      <c r="D820" s="59"/>
      <c r="E820" s="22"/>
      <c r="F820" s="27"/>
      <c r="G820" s="567"/>
      <c r="H820" s="609">
        <f t="shared" si="178"/>
        <v>0</v>
      </c>
      <c r="I820" s="568"/>
      <c r="J820" s="568"/>
      <c r="K820" s="568"/>
      <c r="L820" s="568"/>
      <c r="M820" s="32"/>
      <c r="N820" s="32"/>
      <c r="O820" s="32"/>
      <c r="P820" s="630"/>
      <c r="Q820" s="609">
        <f t="shared" si="179"/>
        <v>0</v>
      </c>
      <c r="R820" s="568"/>
      <c r="S820" s="568"/>
      <c r="T820" s="568"/>
      <c r="U820" s="568"/>
      <c r="V820" s="32"/>
      <c r="W820" s="32"/>
      <c r="X820" s="32"/>
      <c r="Y820" s="630"/>
      <c r="Z820" s="609">
        <f t="shared" si="180"/>
        <v>0</v>
      </c>
      <c r="AA820" s="568"/>
      <c r="AB820" s="568"/>
      <c r="AC820" s="568"/>
      <c r="AD820" s="568"/>
      <c r="AE820" s="32"/>
      <c r="AF820" s="32"/>
      <c r="AG820" s="32"/>
      <c r="AH820" s="630"/>
      <c r="AI820" s="632"/>
      <c r="AJ820" s="568"/>
      <c r="AK820" s="568"/>
      <c r="AL820" s="568"/>
      <c r="AM820" s="568"/>
      <c r="AN820" s="32"/>
      <c r="AO820" s="32"/>
      <c r="AP820" s="32"/>
      <c r="AQ820" s="630"/>
      <c r="AR820" s="631"/>
      <c r="AS820" s="568"/>
      <c r="AT820" s="568"/>
      <c r="AU820" s="568"/>
      <c r="AV820" s="568"/>
      <c r="AW820" s="32"/>
      <c r="AX820" s="32"/>
      <c r="AY820" s="32"/>
      <c r="AZ820" s="32"/>
      <c r="BA820" s="32"/>
      <c r="BB820" s="568"/>
      <c r="BC820" s="568"/>
      <c r="BD820" s="568"/>
      <c r="BE820" s="32"/>
      <c r="BF820" s="32"/>
      <c r="BG820" s="32"/>
      <c r="BH820" s="32"/>
    </row>
    <row r="821" spans="1:60" x14ac:dyDescent="0.25">
      <c r="A821" s="77"/>
      <c r="B821" s="84"/>
      <c r="C821" s="29"/>
      <c r="D821" s="59"/>
      <c r="E821" s="22"/>
      <c r="F821" s="27"/>
      <c r="G821" s="567"/>
      <c r="H821" s="609">
        <f t="shared" si="178"/>
        <v>0</v>
      </c>
      <c r="I821" s="568"/>
      <c r="J821" s="568"/>
      <c r="K821" s="568"/>
      <c r="L821" s="568"/>
      <c r="M821" s="32"/>
      <c r="N821" s="32"/>
      <c r="O821" s="32"/>
      <c r="P821" s="630"/>
      <c r="Q821" s="609">
        <f t="shared" si="179"/>
        <v>0</v>
      </c>
      <c r="R821" s="568"/>
      <c r="S821" s="568"/>
      <c r="T821" s="568"/>
      <c r="U821" s="568"/>
      <c r="V821" s="32"/>
      <c r="W821" s="32"/>
      <c r="X821" s="32"/>
      <c r="Y821" s="630"/>
      <c r="Z821" s="609">
        <f t="shared" si="180"/>
        <v>0</v>
      </c>
      <c r="AA821" s="568"/>
      <c r="AB821" s="568"/>
      <c r="AC821" s="568"/>
      <c r="AD821" s="568"/>
      <c r="AE821" s="32"/>
      <c r="AF821" s="32"/>
      <c r="AG821" s="32"/>
      <c r="AH821" s="630"/>
      <c r="AI821" s="632"/>
      <c r="AJ821" s="568"/>
      <c r="AK821" s="568"/>
      <c r="AL821" s="568"/>
      <c r="AM821" s="568"/>
      <c r="AN821" s="32"/>
      <c r="AO821" s="32"/>
      <c r="AP821" s="32"/>
      <c r="AQ821" s="630"/>
      <c r="AR821" s="631"/>
      <c r="AS821" s="568"/>
      <c r="AT821" s="568"/>
      <c r="AU821" s="568"/>
      <c r="AV821" s="568"/>
      <c r="AW821" s="32"/>
      <c r="AX821" s="32"/>
      <c r="AY821" s="32"/>
      <c r="AZ821" s="32"/>
      <c r="BA821" s="32"/>
      <c r="BB821" s="568"/>
      <c r="BC821" s="568"/>
      <c r="BD821" s="568"/>
      <c r="BE821" s="32"/>
      <c r="BF821" s="32"/>
      <c r="BG821" s="32"/>
      <c r="BH821" s="32"/>
    </row>
    <row r="822" spans="1:60" x14ac:dyDescent="0.25">
      <c r="A822" s="77"/>
      <c r="B822" s="84"/>
      <c r="C822" s="29"/>
      <c r="D822" s="59"/>
      <c r="E822" s="22"/>
      <c r="F822" s="27"/>
      <c r="G822" s="567"/>
      <c r="H822" s="609">
        <f t="shared" si="178"/>
        <v>0</v>
      </c>
      <c r="I822" s="568"/>
      <c r="J822" s="568"/>
      <c r="K822" s="568"/>
      <c r="L822" s="568"/>
      <c r="M822" s="32"/>
      <c r="N822" s="32"/>
      <c r="O822" s="32"/>
      <c r="P822" s="630"/>
      <c r="Q822" s="609">
        <f t="shared" si="179"/>
        <v>0</v>
      </c>
      <c r="R822" s="568"/>
      <c r="S822" s="568"/>
      <c r="T822" s="568"/>
      <c r="U822" s="568"/>
      <c r="V822" s="32"/>
      <c r="W822" s="32"/>
      <c r="X822" s="32"/>
      <c r="Y822" s="630"/>
      <c r="Z822" s="609">
        <f t="shared" si="180"/>
        <v>0</v>
      </c>
      <c r="AA822" s="568"/>
      <c r="AB822" s="568"/>
      <c r="AC822" s="568"/>
      <c r="AD822" s="568"/>
      <c r="AE822" s="32"/>
      <c r="AF822" s="32"/>
      <c r="AG822" s="32"/>
      <c r="AH822" s="630"/>
      <c r="AI822" s="632"/>
      <c r="AJ822" s="568"/>
      <c r="AK822" s="568"/>
      <c r="AL822" s="568"/>
      <c r="AM822" s="568"/>
      <c r="AN822" s="32"/>
      <c r="AO822" s="32"/>
      <c r="AP822" s="32"/>
      <c r="AQ822" s="630"/>
      <c r="AR822" s="631"/>
      <c r="AS822" s="568"/>
      <c r="AT822" s="568"/>
      <c r="AU822" s="568"/>
      <c r="AV822" s="568"/>
      <c r="AW822" s="32"/>
      <c r="AX822" s="32"/>
      <c r="AY822" s="32"/>
      <c r="AZ822" s="32"/>
      <c r="BA822" s="32"/>
      <c r="BB822" s="568"/>
      <c r="BC822" s="568"/>
      <c r="BD822" s="568"/>
      <c r="BE822" s="32"/>
      <c r="BF822" s="32"/>
      <c r="BG822" s="32"/>
      <c r="BH822" s="32"/>
    </row>
    <row r="823" spans="1:60" x14ac:dyDescent="0.25">
      <c r="A823" s="77"/>
      <c r="B823" s="84"/>
      <c r="C823" s="29"/>
      <c r="D823" s="59"/>
      <c r="E823" s="22"/>
      <c r="F823" s="27"/>
      <c r="G823" s="567"/>
      <c r="H823" s="609">
        <f t="shared" si="178"/>
        <v>0</v>
      </c>
      <c r="I823" s="568"/>
      <c r="J823" s="568"/>
      <c r="K823" s="568"/>
      <c r="L823" s="568"/>
      <c r="M823" s="32"/>
      <c r="N823" s="32"/>
      <c r="O823" s="32"/>
      <c r="P823" s="630"/>
      <c r="Q823" s="609">
        <f t="shared" si="179"/>
        <v>0</v>
      </c>
      <c r="R823" s="568"/>
      <c r="S823" s="568"/>
      <c r="T823" s="568"/>
      <c r="U823" s="568"/>
      <c r="V823" s="32"/>
      <c r="W823" s="32"/>
      <c r="X823" s="32"/>
      <c r="Y823" s="630"/>
      <c r="Z823" s="609">
        <f t="shared" si="180"/>
        <v>0</v>
      </c>
      <c r="AA823" s="568"/>
      <c r="AB823" s="568"/>
      <c r="AC823" s="568"/>
      <c r="AD823" s="568"/>
      <c r="AE823" s="32"/>
      <c r="AF823" s="32"/>
      <c r="AG823" s="32"/>
      <c r="AH823" s="630"/>
      <c r="AI823" s="632"/>
      <c r="AJ823" s="568"/>
      <c r="AK823" s="568"/>
      <c r="AL823" s="568"/>
      <c r="AM823" s="568"/>
      <c r="AN823" s="32"/>
      <c r="AO823" s="32"/>
      <c r="AP823" s="32"/>
      <c r="AQ823" s="630"/>
      <c r="AR823" s="631"/>
      <c r="AS823" s="568"/>
      <c r="AT823" s="568"/>
      <c r="AU823" s="568"/>
      <c r="AV823" s="568"/>
      <c r="AW823" s="32"/>
      <c r="AX823" s="32"/>
      <c r="AY823" s="32"/>
      <c r="AZ823" s="32"/>
      <c r="BA823" s="32"/>
      <c r="BB823" s="568"/>
      <c r="BC823" s="568"/>
      <c r="BD823" s="568"/>
      <c r="BE823" s="32"/>
      <c r="BF823" s="32"/>
      <c r="BG823" s="32"/>
      <c r="BH823" s="32"/>
    </row>
    <row r="824" spans="1:60" x14ac:dyDescent="0.25">
      <c r="A824" s="77"/>
      <c r="B824" s="84"/>
      <c r="C824" s="29"/>
      <c r="D824" s="59"/>
      <c r="E824" s="22"/>
      <c r="F824" s="27"/>
      <c r="G824" s="567"/>
      <c r="H824" s="609">
        <f t="shared" si="178"/>
        <v>0</v>
      </c>
      <c r="I824" s="568"/>
      <c r="J824" s="568"/>
      <c r="K824" s="568"/>
      <c r="L824" s="568"/>
      <c r="M824" s="32"/>
      <c r="N824" s="32"/>
      <c r="O824" s="32"/>
      <c r="P824" s="630"/>
      <c r="Q824" s="609">
        <f t="shared" si="179"/>
        <v>0</v>
      </c>
      <c r="R824" s="568"/>
      <c r="S824" s="568"/>
      <c r="T824" s="568"/>
      <c r="U824" s="568"/>
      <c r="V824" s="32"/>
      <c r="W824" s="32"/>
      <c r="X824" s="32"/>
      <c r="Y824" s="630"/>
      <c r="Z824" s="609">
        <f t="shared" si="180"/>
        <v>0</v>
      </c>
      <c r="AA824" s="568"/>
      <c r="AB824" s="568"/>
      <c r="AC824" s="568"/>
      <c r="AD824" s="568"/>
      <c r="AE824" s="32"/>
      <c r="AF824" s="32"/>
      <c r="AG824" s="32"/>
      <c r="AH824" s="630"/>
      <c r="AI824" s="632"/>
      <c r="AJ824" s="568"/>
      <c r="AK824" s="568"/>
      <c r="AL824" s="568"/>
      <c r="AM824" s="568"/>
      <c r="AN824" s="32"/>
      <c r="AO824" s="32"/>
      <c r="AP824" s="32"/>
      <c r="AQ824" s="630"/>
      <c r="AR824" s="631"/>
      <c r="AS824" s="568"/>
      <c r="AT824" s="568"/>
      <c r="AU824" s="568"/>
      <c r="AV824" s="568"/>
      <c r="AW824" s="32"/>
      <c r="AX824" s="32"/>
      <c r="AY824" s="32"/>
      <c r="AZ824" s="32"/>
      <c r="BA824" s="32"/>
      <c r="BB824" s="568"/>
      <c r="BC824" s="568"/>
      <c r="BD824" s="568"/>
      <c r="BE824" s="32"/>
      <c r="BF824" s="32"/>
      <c r="BG824" s="32"/>
      <c r="BH824" s="32"/>
    </row>
    <row r="825" spans="1:60" x14ac:dyDescent="0.25">
      <c r="A825" s="77"/>
      <c r="B825" s="84"/>
      <c r="C825" s="29"/>
      <c r="D825" s="59"/>
      <c r="E825" s="22"/>
      <c r="F825" s="27"/>
      <c r="G825" s="567"/>
      <c r="H825" s="609">
        <f t="shared" si="178"/>
        <v>0</v>
      </c>
      <c r="I825" s="568"/>
      <c r="J825" s="568"/>
      <c r="K825" s="568"/>
      <c r="L825" s="568"/>
      <c r="M825" s="32"/>
      <c r="N825" s="32"/>
      <c r="O825" s="32"/>
      <c r="P825" s="630"/>
      <c r="Q825" s="609">
        <f t="shared" si="179"/>
        <v>0</v>
      </c>
      <c r="R825" s="568"/>
      <c r="S825" s="568"/>
      <c r="T825" s="568"/>
      <c r="U825" s="568"/>
      <c r="V825" s="32"/>
      <c r="W825" s="32"/>
      <c r="X825" s="32"/>
      <c r="Y825" s="630"/>
      <c r="Z825" s="609">
        <f t="shared" si="180"/>
        <v>0</v>
      </c>
      <c r="AA825" s="568"/>
      <c r="AB825" s="568"/>
      <c r="AC825" s="568"/>
      <c r="AD825" s="568"/>
      <c r="AE825" s="32"/>
      <c r="AF825" s="32"/>
      <c r="AG825" s="32"/>
      <c r="AH825" s="630"/>
      <c r="AI825" s="632"/>
      <c r="AJ825" s="568"/>
      <c r="AK825" s="568"/>
      <c r="AL825" s="568"/>
      <c r="AM825" s="568"/>
      <c r="AN825" s="32"/>
      <c r="AO825" s="32"/>
      <c r="AP825" s="32"/>
      <c r="AQ825" s="630"/>
      <c r="AR825" s="631"/>
      <c r="AS825" s="568"/>
      <c r="AT825" s="568"/>
      <c r="AU825" s="568"/>
      <c r="AV825" s="568"/>
      <c r="AW825" s="32"/>
      <c r="AX825" s="32"/>
      <c r="AY825" s="32"/>
      <c r="AZ825" s="32"/>
      <c r="BA825" s="32"/>
      <c r="BB825" s="568"/>
      <c r="BC825" s="568"/>
      <c r="BD825" s="568"/>
      <c r="BE825" s="32"/>
      <c r="BF825" s="32"/>
      <c r="BG825" s="32"/>
      <c r="BH825" s="32"/>
    </row>
    <row r="826" spans="1:60" x14ac:dyDescent="0.25">
      <c r="A826" s="77"/>
      <c r="B826" s="84"/>
      <c r="C826" s="29"/>
      <c r="D826" s="59"/>
      <c r="E826" s="22"/>
      <c r="F826" s="27"/>
      <c r="G826" s="567"/>
      <c r="H826" s="609">
        <f t="shared" si="178"/>
        <v>0</v>
      </c>
      <c r="I826" s="568"/>
      <c r="J826" s="568"/>
      <c r="K826" s="568"/>
      <c r="L826" s="568"/>
      <c r="M826" s="32"/>
      <c r="N826" s="32"/>
      <c r="O826" s="32"/>
      <c r="P826" s="630"/>
      <c r="Q826" s="609">
        <f t="shared" si="179"/>
        <v>0</v>
      </c>
      <c r="R826" s="568"/>
      <c r="S826" s="568"/>
      <c r="T826" s="568"/>
      <c r="U826" s="568"/>
      <c r="V826" s="32"/>
      <c r="W826" s="32"/>
      <c r="X826" s="32"/>
      <c r="Y826" s="630"/>
      <c r="Z826" s="609">
        <f t="shared" si="180"/>
        <v>0</v>
      </c>
      <c r="AA826" s="568"/>
      <c r="AB826" s="568"/>
      <c r="AC826" s="568"/>
      <c r="AD826" s="568"/>
      <c r="AE826" s="32"/>
      <c r="AF826" s="32"/>
      <c r="AG826" s="32"/>
      <c r="AH826" s="630"/>
      <c r="AI826" s="632"/>
      <c r="AJ826" s="568"/>
      <c r="AK826" s="568"/>
      <c r="AL826" s="568"/>
      <c r="AM826" s="568"/>
      <c r="AN826" s="32"/>
      <c r="AO826" s="32"/>
      <c r="AP826" s="32"/>
      <c r="AQ826" s="630"/>
      <c r="AR826" s="631"/>
      <c r="AS826" s="568"/>
      <c r="AT826" s="568"/>
      <c r="AU826" s="568"/>
      <c r="AV826" s="568"/>
      <c r="AW826" s="32"/>
      <c r="AX826" s="32"/>
      <c r="AY826" s="32"/>
      <c r="AZ826" s="32"/>
      <c r="BA826" s="32"/>
      <c r="BB826" s="568"/>
      <c r="BC826" s="568"/>
      <c r="BD826" s="568"/>
      <c r="BE826" s="32"/>
      <c r="BF826" s="32"/>
      <c r="BG826" s="32"/>
      <c r="BH826" s="32"/>
    </row>
    <row r="827" spans="1:60" x14ac:dyDescent="0.25">
      <c r="A827" s="77"/>
      <c r="B827" s="84"/>
      <c r="C827" s="29"/>
      <c r="D827" s="59"/>
      <c r="E827" s="22"/>
      <c r="F827" s="27"/>
      <c r="G827" s="567"/>
      <c r="H827" s="609">
        <f t="shared" si="178"/>
        <v>0</v>
      </c>
      <c r="I827" s="568"/>
      <c r="J827" s="568"/>
      <c r="K827" s="568"/>
      <c r="L827" s="568"/>
      <c r="M827" s="32"/>
      <c r="N827" s="32"/>
      <c r="O827" s="32"/>
      <c r="P827" s="630"/>
      <c r="Q827" s="609">
        <f t="shared" si="179"/>
        <v>0</v>
      </c>
      <c r="R827" s="568"/>
      <c r="S827" s="568"/>
      <c r="T827" s="568"/>
      <c r="U827" s="568"/>
      <c r="V827" s="32"/>
      <c r="W827" s="32"/>
      <c r="X827" s="32"/>
      <c r="Y827" s="630"/>
      <c r="Z827" s="609">
        <f t="shared" si="180"/>
        <v>0</v>
      </c>
      <c r="AA827" s="568"/>
      <c r="AB827" s="568"/>
      <c r="AC827" s="568"/>
      <c r="AD827" s="568"/>
      <c r="AE827" s="32"/>
      <c r="AF827" s="32"/>
      <c r="AG827" s="32"/>
      <c r="AH827" s="630"/>
      <c r="AI827" s="632"/>
      <c r="AJ827" s="568"/>
      <c r="AK827" s="568"/>
      <c r="AL827" s="568"/>
      <c r="AM827" s="568"/>
      <c r="AN827" s="32"/>
      <c r="AO827" s="32"/>
      <c r="AP827" s="32"/>
      <c r="AQ827" s="630"/>
      <c r="AR827" s="631"/>
      <c r="AS827" s="568"/>
      <c r="AT827" s="568"/>
      <c r="AU827" s="568"/>
      <c r="AV827" s="568"/>
      <c r="AW827" s="32"/>
      <c r="AX827" s="32"/>
      <c r="AY827" s="32"/>
      <c r="AZ827" s="32"/>
      <c r="BA827" s="32"/>
      <c r="BB827" s="568"/>
      <c r="BC827" s="568"/>
      <c r="BD827" s="568"/>
      <c r="BE827" s="32"/>
      <c r="BF827" s="32"/>
      <c r="BG827" s="32"/>
      <c r="BH827" s="32"/>
    </row>
    <row r="828" spans="1:60" x14ac:dyDescent="0.25">
      <c r="A828" s="77"/>
      <c r="B828" s="84"/>
      <c r="C828" s="29"/>
      <c r="D828" s="59"/>
      <c r="E828" s="22"/>
      <c r="F828" s="27"/>
      <c r="G828" s="567"/>
      <c r="H828" s="609">
        <f t="shared" si="178"/>
        <v>0</v>
      </c>
      <c r="I828" s="568"/>
      <c r="J828" s="568"/>
      <c r="K828" s="568"/>
      <c r="L828" s="568"/>
      <c r="M828" s="32"/>
      <c r="N828" s="32"/>
      <c r="O828" s="32"/>
      <c r="P828" s="630"/>
      <c r="Q828" s="609">
        <f t="shared" si="179"/>
        <v>0</v>
      </c>
      <c r="R828" s="568"/>
      <c r="S828" s="568"/>
      <c r="T828" s="568"/>
      <c r="U828" s="568"/>
      <c r="V828" s="32"/>
      <c r="W828" s="32"/>
      <c r="X828" s="32"/>
      <c r="Y828" s="630"/>
      <c r="Z828" s="609">
        <f t="shared" si="180"/>
        <v>0</v>
      </c>
      <c r="AA828" s="568"/>
      <c r="AB828" s="568"/>
      <c r="AC828" s="568"/>
      <c r="AD828" s="568"/>
      <c r="AE828" s="32"/>
      <c r="AF828" s="32"/>
      <c r="AG828" s="32"/>
      <c r="AH828" s="630"/>
      <c r="AI828" s="632"/>
      <c r="AJ828" s="568"/>
      <c r="AK828" s="568"/>
      <c r="AL828" s="568"/>
      <c r="AM828" s="568"/>
      <c r="AN828" s="32"/>
      <c r="AO828" s="32"/>
      <c r="AP828" s="32"/>
      <c r="AQ828" s="630"/>
      <c r="AR828" s="631"/>
      <c r="AS828" s="568"/>
      <c r="AT828" s="568"/>
      <c r="AU828" s="568"/>
      <c r="AV828" s="568"/>
      <c r="AW828" s="32"/>
      <c r="AX828" s="32"/>
      <c r="AY828" s="32"/>
      <c r="AZ828" s="32"/>
      <c r="BA828" s="32"/>
      <c r="BB828" s="568"/>
      <c r="BC828" s="568"/>
      <c r="BD828" s="568"/>
      <c r="BE828" s="32"/>
      <c r="BF828" s="32"/>
      <c r="BG828" s="32"/>
      <c r="BH828" s="32"/>
    </row>
    <row r="829" spans="1:60" x14ac:dyDescent="0.25">
      <c r="A829" s="77"/>
      <c r="B829" s="84"/>
      <c r="C829" s="29"/>
      <c r="D829" s="59"/>
      <c r="E829" s="22"/>
      <c r="F829" s="27"/>
      <c r="G829" s="567"/>
      <c r="H829" s="609">
        <f t="shared" si="178"/>
        <v>0</v>
      </c>
      <c r="I829" s="568"/>
      <c r="J829" s="568"/>
      <c r="K829" s="568"/>
      <c r="L829" s="568"/>
      <c r="M829" s="32"/>
      <c r="N829" s="32"/>
      <c r="O829" s="32"/>
      <c r="P829" s="630"/>
      <c r="Q829" s="609">
        <f t="shared" si="179"/>
        <v>0</v>
      </c>
      <c r="R829" s="568"/>
      <c r="S829" s="568"/>
      <c r="T829" s="568"/>
      <c r="U829" s="568"/>
      <c r="V829" s="32"/>
      <c r="W829" s="32"/>
      <c r="X829" s="32"/>
      <c r="Y829" s="630"/>
      <c r="Z829" s="609">
        <f t="shared" si="180"/>
        <v>0</v>
      </c>
      <c r="AA829" s="568"/>
      <c r="AB829" s="568"/>
      <c r="AC829" s="568"/>
      <c r="AD829" s="568"/>
      <c r="AE829" s="32"/>
      <c r="AF829" s="32"/>
      <c r="AG829" s="32"/>
      <c r="AH829" s="630"/>
      <c r="AI829" s="632"/>
      <c r="AJ829" s="568"/>
      <c r="AK829" s="568"/>
      <c r="AL829" s="568"/>
      <c r="AM829" s="568"/>
      <c r="AN829" s="32"/>
      <c r="AO829" s="32"/>
      <c r="AP829" s="32"/>
      <c r="AQ829" s="630"/>
      <c r="AR829" s="631"/>
      <c r="AS829" s="568"/>
      <c r="AT829" s="568"/>
      <c r="AU829" s="568"/>
      <c r="AV829" s="568"/>
      <c r="AW829" s="32"/>
      <c r="AX829" s="32"/>
      <c r="AY829" s="32"/>
      <c r="AZ829" s="32"/>
      <c r="BA829" s="32"/>
      <c r="BB829" s="568"/>
      <c r="BC829" s="568"/>
      <c r="BD829" s="568"/>
      <c r="BE829" s="32"/>
      <c r="BF829" s="32"/>
      <c r="BG829" s="32"/>
      <c r="BH829" s="32"/>
    </row>
    <row r="830" spans="1:60" x14ac:dyDescent="0.25">
      <c r="A830" s="77"/>
      <c r="B830" s="84"/>
      <c r="C830" s="29"/>
      <c r="D830" s="59"/>
      <c r="E830" s="22"/>
      <c r="F830" s="27"/>
      <c r="G830" s="567"/>
      <c r="H830" s="609">
        <f t="shared" si="178"/>
        <v>0</v>
      </c>
      <c r="I830" s="568"/>
      <c r="J830" s="568"/>
      <c r="K830" s="568"/>
      <c r="L830" s="568"/>
      <c r="M830" s="32"/>
      <c r="N830" s="32"/>
      <c r="O830" s="32"/>
      <c r="P830" s="630"/>
      <c r="Q830" s="609">
        <f t="shared" si="179"/>
        <v>0</v>
      </c>
      <c r="R830" s="568"/>
      <c r="S830" s="568"/>
      <c r="T830" s="568"/>
      <c r="U830" s="568"/>
      <c r="V830" s="32"/>
      <c r="W830" s="32"/>
      <c r="X830" s="32"/>
      <c r="Y830" s="630"/>
      <c r="Z830" s="609">
        <f t="shared" si="180"/>
        <v>0</v>
      </c>
      <c r="AA830" s="568"/>
      <c r="AB830" s="568"/>
      <c r="AC830" s="568"/>
      <c r="AD830" s="568"/>
      <c r="AE830" s="32"/>
      <c r="AF830" s="32"/>
      <c r="AG830" s="32"/>
      <c r="AH830" s="630"/>
      <c r="AI830" s="632"/>
      <c r="AJ830" s="568"/>
      <c r="AK830" s="568"/>
      <c r="AL830" s="568"/>
      <c r="AM830" s="568"/>
      <c r="AN830" s="32"/>
      <c r="AO830" s="32"/>
      <c r="AP830" s="32"/>
      <c r="AQ830" s="630"/>
      <c r="AR830" s="631"/>
      <c r="AS830" s="568"/>
      <c r="AT830" s="568"/>
      <c r="AU830" s="568"/>
      <c r="AV830" s="568"/>
      <c r="AW830" s="32"/>
      <c r="AX830" s="32"/>
      <c r="AY830" s="32"/>
      <c r="AZ830" s="32"/>
      <c r="BA830" s="32"/>
      <c r="BB830" s="568"/>
      <c r="BC830" s="568"/>
      <c r="BD830" s="568"/>
      <c r="BE830" s="32"/>
      <c r="BF830" s="32"/>
      <c r="BG830" s="32"/>
      <c r="BH830" s="32"/>
    </row>
    <row r="831" spans="1:60" x14ac:dyDescent="0.25">
      <c r="A831" s="77"/>
      <c r="B831" s="84"/>
      <c r="C831" s="29"/>
      <c r="D831" s="59"/>
      <c r="E831" s="22"/>
      <c r="F831" s="27"/>
      <c r="G831" s="567"/>
      <c r="H831" s="609">
        <f t="shared" si="178"/>
        <v>0</v>
      </c>
      <c r="I831" s="568"/>
      <c r="J831" s="568"/>
      <c r="K831" s="568"/>
      <c r="L831" s="568"/>
      <c r="M831" s="32"/>
      <c r="N831" s="32"/>
      <c r="O831" s="32"/>
      <c r="P831" s="630"/>
      <c r="Q831" s="609">
        <f t="shared" si="179"/>
        <v>0</v>
      </c>
      <c r="R831" s="568"/>
      <c r="S831" s="568"/>
      <c r="T831" s="568"/>
      <c r="U831" s="568"/>
      <c r="V831" s="32"/>
      <c r="W831" s="32"/>
      <c r="X831" s="32"/>
      <c r="Y831" s="630"/>
      <c r="Z831" s="609">
        <f t="shared" si="180"/>
        <v>0</v>
      </c>
      <c r="AA831" s="568"/>
      <c r="AB831" s="568"/>
      <c r="AC831" s="568"/>
      <c r="AD831" s="568"/>
      <c r="AE831" s="32"/>
      <c r="AF831" s="32"/>
      <c r="AG831" s="32"/>
      <c r="AH831" s="630"/>
      <c r="AI831" s="632"/>
      <c r="AJ831" s="568"/>
      <c r="AK831" s="568"/>
      <c r="AL831" s="568"/>
      <c r="AM831" s="568"/>
      <c r="AN831" s="32"/>
      <c r="AO831" s="32"/>
      <c r="AP831" s="32"/>
      <c r="AQ831" s="630"/>
      <c r="AR831" s="631"/>
      <c r="AS831" s="568"/>
      <c r="AT831" s="568"/>
      <c r="AU831" s="568"/>
      <c r="AV831" s="568"/>
      <c r="AW831" s="32"/>
      <c r="AX831" s="32"/>
      <c r="AY831" s="32"/>
      <c r="AZ831" s="32"/>
      <c r="BA831" s="32"/>
      <c r="BB831" s="568"/>
      <c r="BC831" s="568"/>
      <c r="BD831" s="568"/>
      <c r="BE831" s="32"/>
      <c r="BF831" s="32"/>
      <c r="BG831" s="32"/>
      <c r="BH831" s="32"/>
    </row>
    <row r="832" spans="1:60" x14ac:dyDescent="0.25">
      <c r="A832" s="77"/>
      <c r="B832" s="84"/>
      <c r="C832" s="29"/>
      <c r="D832" s="59"/>
      <c r="E832" s="22"/>
      <c r="F832" s="27"/>
      <c r="G832" s="567"/>
      <c r="H832" s="609">
        <f t="shared" si="178"/>
        <v>0</v>
      </c>
      <c r="I832" s="568"/>
      <c r="J832" s="568"/>
      <c r="K832" s="568"/>
      <c r="L832" s="568"/>
      <c r="M832" s="32"/>
      <c r="N832" s="32"/>
      <c r="O832" s="32"/>
      <c r="P832" s="630"/>
      <c r="Q832" s="609">
        <f t="shared" si="179"/>
        <v>0</v>
      </c>
      <c r="R832" s="568"/>
      <c r="S832" s="568"/>
      <c r="T832" s="568"/>
      <c r="U832" s="568"/>
      <c r="V832" s="32"/>
      <c r="W832" s="32"/>
      <c r="X832" s="32"/>
      <c r="Y832" s="630"/>
      <c r="Z832" s="609">
        <f t="shared" si="180"/>
        <v>0</v>
      </c>
      <c r="AA832" s="568"/>
      <c r="AB832" s="568"/>
      <c r="AC832" s="568"/>
      <c r="AD832" s="568"/>
      <c r="AE832" s="32"/>
      <c r="AF832" s="32"/>
      <c r="AG832" s="32"/>
      <c r="AH832" s="630"/>
      <c r="AI832" s="632"/>
      <c r="AJ832" s="568"/>
      <c r="AK832" s="568"/>
      <c r="AL832" s="568"/>
      <c r="AM832" s="568"/>
      <c r="AN832" s="32"/>
      <c r="AO832" s="32"/>
      <c r="AP832" s="32"/>
      <c r="AQ832" s="630"/>
      <c r="AR832" s="631"/>
      <c r="AS832" s="568"/>
      <c r="AT832" s="568"/>
      <c r="AU832" s="568"/>
      <c r="AV832" s="568"/>
      <c r="AW832" s="32"/>
      <c r="AX832" s="32"/>
      <c r="AY832" s="32"/>
      <c r="AZ832" s="32"/>
      <c r="BA832" s="32"/>
      <c r="BB832" s="568"/>
      <c r="BC832" s="568"/>
      <c r="BD832" s="568"/>
      <c r="BE832" s="32"/>
      <c r="BF832" s="32"/>
      <c r="BG832" s="32"/>
      <c r="BH832" s="32"/>
    </row>
    <row r="833" spans="1:60" x14ac:dyDescent="0.25">
      <c r="A833" s="77"/>
      <c r="B833" s="84"/>
      <c r="C833" s="29"/>
      <c r="D833" s="59"/>
      <c r="E833" s="22"/>
      <c r="F833" s="27"/>
      <c r="G833" s="567"/>
      <c r="H833" s="609">
        <f t="shared" si="178"/>
        <v>0</v>
      </c>
      <c r="I833" s="568"/>
      <c r="J833" s="568"/>
      <c r="K833" s="568"/>
      <c r="L833" s="568"/>
      <c r="M833" s="32"/>
      <c r="N833" s="32"/>
      <c r="O833" s="32"/>
      <c r="P833" s="630"/>
      <c r="Q833" s="609">
        <f t="shared" si="179"/>
        <v>0</v>
      </c>
      <c r="R833" s="568"/>
      <c r="S833" s="568"/>
      <c r="T833" s="568"/>
      <c r="U833" s="568"/>
      <c r="V833" s="32"/>
      <c r="W833" s="32"/>
      <c r="X833" s="32"/>
      <c r="Y833" s="630"/>
      <c r="Z833" s="609">
        <f t="shared" si="180"/>
        <v>0</v>
      </c>
      <c r="AA833" s="568"/>
      <c r="AB833" s="568"/>
      <c r="AC833" s="568"/>
      <c r="AD833" s="568"/>
      <c r="AE833" s="32"/>
      <c r="AF833" s="32"/>
      <c r="AG833" s="32"/>
      <c r="AH833" s="630"/>
      <c r="AI833" s="632"/>
      <c r="AJ833" s="568"/>
      <c r="AK833" s="568"/>
      <c r="AL833" s="568"/>
      <c r="AM833" s="568"/>
      <c r="AN833" s="32"/>
      <c r="AO833" s="32"/>
      <c r="AP833" s="32"/>
      <c r="AQ833" s="630"/>
      <c r="AR833" s="631"/>
      <c r="AS833" s="568"/>
      <c r="AT833" s="568"/>
      <c r="AU833" s="568"/>
      <c r="AV833" s="568"/>
      <c r="AW833" s="32"/>
      <c r="AX833" s="32"/>
      <c r="AY833" s="32"/>
      <c r="AZ833" s="32"/>
      <c r="BA833" s="32"/>
      <c r="BB833" s="568"/>
      <c r="BC833" s="568"/>
      <c r="BD833" s="568"/>
      <c r="BE833" s="32"/>
      <c r="BF833" s="32"/>
      <c r="BG833" s="32"/>
      <c r="BH833" s="32"/>
    </row>
    <row r="834" spans="1:60" x14ac:dyDescent="0.25">
      <c r="A834" s="77"/>
      <c r="B834" s="84"/>
      <c r="C834" s="29"/>
      <c r="D834" s="59"/>
      <c r="E834" s="22"/>
      <c r="F834" s="27"/>
      <c r="G834" s="567"/>
      <c r="H834" s="609">
        <f t="shared" si="178"/>
        <v>0</v>
      </c>
      <c r="I834" s="568"/>
      <c r="J834" s="568"/>
      <c r="K834" s="568"/>
      <c r="L834" s="568"/>
      <c r="M834" s="32"/>
      <c r="N834" s="32"/>
      <c r="O834" s="32"/>
      <c r="P834" s="630"/>
      <c r="Q834" s="609">
        <f t="shared" si="179"/>
        <v>0</v>
      </c>
      <c r="R834" s="568"/>
      <c r="S834" s="568"/>
      <c r="T834" s="568"/>
      <c r="U834" s="568"/>
      <c r="V834" s="32"/>
      <c r="W834" s="32"/>
      <c r="X834" s="32"/>
      <c r="Y834" s="630"/>
      <c r="Z834" s="609">
        <f t="shared" si="180"/>
        <v>0</v>
      </c>
      <c r="AA834" s="568"/>
      <c r="AB834" s="568"/>
      <c r="AC834" s="568"/>
      <c r="AD834" s="568"/>
      <c r="AE834" s="32"/>
      <c r="AF834" s="32"/>
      <c r="AG834" s="32"/>
      <c r="AH834" s="630"/>
      <c r="AI834" s="632"/>
      <c r="AJ834" s="568"/>
      <c r="AK834" s="568"/>
      <c r="AL834" s="568"/>
      <c r="AM834" s="568"/>
      <c r="AN834" s="32"/>
      <c r="AO834" s="32"/>
      <c r="AP834" s="32"/>
      <c r="AQ834" s="630"/>
      <c r="AR834" s="631"/>
      <c r="AS834" s="568"/>
      <c r="AT834" s="568"/>
      <c r="AU834" s="568"/>
      <c r="AV834" s="568"/>
      <c r="AW834" s="32"/>
      <c r="AX834" s="32"/>
      <c r="AY834" s="32"/>
      <c r="AZ834" s="32"/>
      <c r="BA834" s="32"/>
      <c r="BB834" s="568"/>
      <c r="BC834" s="568"/>
      <c r="BD834" s="568"/>
      <c r="BE834" s="32"/>
      <c r="BF834" s="32"/>
      <c r="BG834" s="32"/>
      <c r="BH834" s="32"/>
    </row>
    <row r="835" spans="1:60" x14ac:dyDescent="0.25">
      <c r="A835" s="77"/>
      <c r="B835" s="84"/>
      <c r="C835" s="29"/>
      <c r="D835" s="59"/>
      <c r="E835" s="22"/>
      <c r="F835" s="27"/>
      <c r="G835" s="567"/>
      <c r="H835" s="609">
        <f t="shared" si="178"/>
        <v>0</v>
      </c>
      <c r="I835" s="568"/>
      <c r="J835" s="568"/>
      <c r="K835" s="568"/>
      <c r="L835" s="568"/>
      <c r="M835" s="32"/>
      <c r="N835" s="32"/>
      <c r="O835" s="32"/>
      <c r="P835" s="630"/>
      <c r="Q835" s="609">
        <f t="shared" si="179"/>
        <v>0</v>
      </c>
      <c r="R835" s="568"/>
      <c r="S835" s="568"/>
      <c r="T835" s="568"/>
      <c r="U835" s="568"/>
      <c r="V835" s="32"/>
      <c r="W835" s="32"/>
      <c r="X835" s="32"/>
      <c r="Y835" s="630"/>
      <c r="Z835" s="609">
        <f t="shared" si="180"/>
        <v>0</v>
      </c>
      <c r="AA835" s="568"/>
      <c r="AB835" s="568"/>
      <c r="AC835" s="568"/>
      <c r="AD835" s="568"/>
      <c r="AE835" s="32"/>
      <c r="AF835" s="32"/>
      <c r="AG835" s="32"/>
      <c r="AH835" s="630"/>
      <c r="AI835" s="632"/>
      <c r="AJ835" s="568"/>
      <c r="AK835" s="568"/>
      <c r="AL835" s="568"/>
      <c r="AM835" s="568"/>
      <c r="AN835" s="32"/>
      <c r="AO835" s="32"/>
      <c r="AP835" s="32"/>
      <c r="AQ835" s="630"/>
      <c r="AR835" s="631"/>
      <c r="AS835" s="568"/>
      <c r="AT835" s="568"/>
      <c r="AU835" s="568"/>
      <c r="AV835" s="568"/>
      <c r="AW835" s="32"/>
      <c r="AX835" s="32"/>
      <c r="AY835" s="32"/>
      <c r="AZ835" s="32"/>
      <c r="BA835" s="32"/>
      <c r="BB835" s="568"/>
      <c r="BC835" s="568"/>
      <c r="BD835" s="568"/>
      <c r="BE835" s="32"/>
      <c r="BF835" s="32"/>
      <c r="BG835" s="32"/>
      <c r="BH835" s="32"/>
    </row>
    <row r="836" spans="1:60" x14ac:dyDescent="0.25">
      <c r="A836" s="77"/>
      <c r="B836" s="84"/>
      <c r="C836" s="29"/>
      <c r="D836" s="59"/>
      <c r="E836" s="22"/>
      <c r="F836" s="27"/>
      <c r="G836" s="567"/>
      <c r="H836" s="609">
        <f t="shared" si="178"/>
        <v>0</v>
      </c>
      <c r="I836" s="568"/>
      <c r="J836" s="568"/>
      <c r="K836" s="568"/>
      <c r="L836" s="568"/>
      <c r="M836" s="32"/>
      <c r="N836" s="32"/>
      <c r="O836" s="32"/>
      <c r="P836" s="630"/>
      <c r="Q836" s="609">
        <f t="shared" si="179"/>
        <v>0</v>
      </c>
      <c r="R836" s="568"/>
      <c r="S836" s="568"/>
      <c r="T836" s="568"/>
      <c r="U836" s="568"/>
      <c r="V836" s="32"/>
      <c r="W836" s="32"/>
      <c r="X836" s="32"/>
      <c r="Y836" s="630"/>
      <c r="Z836" s="609">
        <f t="shared" si="180"/>
        <v>0</v>
      </c>
      <c r="AA836" s="568"/>
      <c r="AB836" s="568"/>
      <c r="AC836" s="568"/>
      <c r="AD836" s="568"/>
      <c r="AE836" s="32"/>
      <c r="AF836" s="32"/>
      <c r="AG836" s="32"/>
      <c r="AH836" s="630"/>
      <c r="AI836" s="632"/>
      <c r="AJ836" s="568"/>
      <c r="AK836" s="568"/>
      <c r="AL836" s="568"/>
      <c r="AM836" s="568"/>
      <c r="AN836" s="32"/>
      <c r="AO836" s="32"/>
      <c r="AP836" s="32"/>
      <c r="AQ836" s="630"/>
      <c r="AR836" s="631"/>
      <c r="AS836" s="568"/>
      <c r="AT836" s="568"/>
      <c r="AU836" s="568"/>
      <c r="AV836" s="568"/>
      <c r="AW836" s="32"/>
      <c r="AX836" s="32"/>
      <c r="AY836" s="32"/>
      <c r="AZ836" s="32"/>
      <c r="BA836" s="32"/>
      <c r="BB836" s="568"/>
      <c r="BC836" s="568"/>
      <c r="BD836" s="568"/>
      <c r="BE836" s="32"/>
      <c r="BF836" s="32"/>
      <c r="BG836" s="32"/>
      <c r="BH836" s="32"/>
    </row>
    <row r="837" spans="1:60" x14ac:dyDescent="0.25">
      <c r="A837" s="77"/>
      <c r="B837" s="84"/>
      <c r="C837" s="29"/>
      <c r="D837" s="59"/>
      <c r="E837" s="22"/>
      <c r="F837" s="27"/>
      <c r="G837" s="567"/>
      <c r="H837" s="609">
        <f t="shared" si="178"/>
        <v>0</v>
      </c>
      <c r="I837" s="568"/>
      <c r="J837" s="568"/>
      <c r="K837" s="568"/>
      <c r="L837" s="568"/>
      <c r="M837" s="32"/>
      <c r="N837" s="32"/>
      <c r="O837" s="32"/>
      <c r="P837" s="630"/>
      <c r="Q837" s="609">
        <f t="shared" si="179"/>
        <v>0</v>
      </c>
      <c r="R837" s="568"/>
      <c r="S837" s="568"/>
      <c r="T837" s="568"/>
      <c r="U837" s="568"/>
      <c r="V837" s="32"/>
      <c r="W837" s="32"/>
      <c r="X837" s="32"/>
      <c r="Y837" s="630"/>
      <c r="Z837" s="609">
        <f t="shared" si="180"/>
        <v>0</v>
      </c>
      <c r="AA837" s="568"/>
      <c r="AB837" s="568"/>
      <c r="AC837" s="568"/>
      <c r="AD837" s="568"/>
      <c r="AE837" s="32"/>
      <c r="AF837" s="32"/>
      <c r="AG837" s="32"/>
      <c r="AH837" s="630"/>
      <c r="AI837" s="632"/>
      <c r="AJ837" s="568"/>
      <c r="AK837" s="568"/>
      <c r="AL837" s="568"/>
      <c r="AM837" s="568"/>
      <c r="AN837" s="32"/>
      <c r="AO837" s="32"/>
      <c r="AP837" s="32"/>
      <c r="AQ837" s="630"/>
      <c r="AR837" s="631"/>
      <c r="AS837" s="568"/>
      <c r="AT837" s="568"/>
      <c r="AU837" s="568"/>
      <c r="AV837" s="568"/>
      <c r="AW837" s="32"/>
      <c r="AX837" s="32"/>
      <c r="AY837" s="32"/>
      <c r="AZ837" s="32"/>
      <c r="BA837" s="32"/>
      <c r="BB837" s="568"/>
      <c r="BC837" s="568"/>
      <c r="BD837" s="568"/>
      <c r="BE837" s="32"/>
      <c r="BF837" s="32"/>
      <c r="BG837" s="32"/>
      <c r="BH837" s="32"/>
    </row>
    <row r="838" spans="1:60" x14ac:dyDescent="0.25">
      <c r="A838" s="77"/>
      <c r="B838" s="84"/>
      <c r="C838" s="29"/>
      <c r="D838" s="59"/>
      <c r="E838" s="22"/>
      <c r="F838" s="27"/>
      <c r="G838" s="567"/>
      <c r="H838" s="609">
        <f t="shared" si="178"/>
        <v>0</v>
      </c>
      <c r="I838" s="568"/>
      <c r="J838" s="568"/>
      <c r="K838" s="568"/>
      <c r="L838" s="568"/>
      <c r="M838" s="32"/>
      <c r="N838" s="32"/>
      <c r="O838" s="32"/>
      <c r="P838" s="630"/>
      <c r="Q838" s="609">
        <f t="shared" si="179"/>
        <v>0</v>
      </c>
      <c r="R838" s="568"/>
      <c r="S838" s="568"/>
      <c r="T838" s="568"/>
      <c r="U838" s="568"/>
      <c r="V838" s="32"/>
      <c r="W838" s="32"/>
      <c r="X838" s="32"/>
      <c r="Y838" s="630"/>
      <c r="Z838" s="609">
        <f t="shared" si="180"/>
        <v>0</v>
      </c>
      <c r="AA838" s="568"/>
      <c r="AB838" s="568"/>
      <c r="AC838" s="568"/>
      <c r="AD838" s="568"/>
      <c r="AE838" s="32"/>
      <c r="AF838" s="32"/>
      <c r="AG838" s="32"/>
      <c r="AH838" s="630"/>
      <c r="AI838" s="632"/>
      <c r="AJ838" s="568"/>
      <c r="AK838" s="568"/>
      <c r="AL838" s="568"/>
      <c r="AM838" s="568"/>
      <c r="AN838" s="32"/>
      <c r="AO838" s="32"/>
      <c r="AP838" s="32"/>
      <c r="AQ838" s="630"/>
      <c r="AR838" s="631"/>
      <c r="AS838" s="568"/>
      <c r="AT838" s="568"/>
      <c r="AU838" s="568"/>
      <c r="AV838" s="568"/>
      <c r="AW838" s="32"/>
      <c r="AX838" s="32"/>
      <c r="AY838" s="32"/>
      <c r="AZ838" s="32"/>
      <c r="BA838" s="32"/>
      <c r="BB838" s="568"/>
      <c r="BC838" s="568"/>
      <c r="BD838" s="568"/>
      <c r="BE838" s="32"/>
      <c r="BF838" s="32"/>
      <c r="BG838" s="32"/>
      <c r="BH838" s="32"/>
    </row>
    <row r="839" spans="1:60" x14ac:dyDescent="0.25">
      <c r="A839" s="77"/>
      <c r="B839" s="84"/>
      <c r="C839" s="29"/>
      <c r="D839" s="59"/>
      <c r="E839" s="22"/>
      <c r="F839" s="27"/>
      <c r="G839" s="567"/>
      <c r="H839" s="609">
        <f t="shared" si="178"/>
        <v>0</v>
      </c>
      <c r="I839" s="568"/>
      <c r="J839" s="568"/>
      <c r="K839" s="568"/>
      <c r="L839" s="568"/>
      <c r="M839" s="32"/>
      <c r="N839" s="32"/>
      <c r="O839" s="32"/>
      <c r="P839" s="630"/>
      <c r="Q839" s="609">
        <f t="shared" si="179"/>
        <v>0</v>
      </c>
      <c r="R839" s="568"/>
      <c r="S839" s="568"/>
      <c r="T839" s="568"/>
      <c r="U839" s="568"/>
      <c r="V839" s="32"/>
      <c r="W839" s="32"/>
      <c r="X839" s="32"/>
      <c r="Y839" s="630"/>
      <c r="Z839" s="609">
        <f t="shared" si="180"/>
        <v>0</v>
      </c>
      <c r="AA839" s="568"/>
      <c r="AB839" s="568"/>
      <c r="AC839" s="568"/>
      <c r="AD839" s="568"/>
      <c r="AE839" s="32"/>
      <c r="AF839" s="32"/>
      <c r="AG839" s="32"/>
      <c r="AH839" s="630"/>
      <c r="AI839" s="632"/>
      <c r="AJ839" s="568"/>
      <c r="AK839" s="568"/>
      <c r="AL839" s="568"/>
      <c r="AM839" s="568"/>
      <c r="AN839" s="32"/>
      <c r="AO839" s="32"/>
      <c r="AP839" s="32"/>
      <c r="AQ839" s="630"/>
      <c r="AR839" s="631"/>
      <c r="AS839" s="568"/>
      <c r="AT839" s="568"/>
      <c r="AU839" s="568"/>
      <c r="AV839" s="568"/>
      <c r="AW839" s="32"/>
      <c r="AX839" s="32"/>
      <c r="AY839" s="32"/>
      <c r="AZ839" s="32"/>
      <c r="BA839" s="32"/>
      <c r="BB839" s="568"/>
      <c r="BC839" s="568"/>
      <c r="BD839" s="568"/>
      <c r="BE839" s="32"/>
      <c r="BF839" s="32"/>
      <c r="BG839" s="32"/>
      <c r="BH839" s="32"/>
    </row>
    <row r="840" spans="1:60" x14ac:dyDescent="0.25">
      <c r="A840" s="77"/>
      <c r="B840" s="84"/>
      <c r="C840" s="29"/>
      <c r="D840" s="59"/>
      <c r="E840" s="22"/>
      <c r="F840" s="27"/>
      <c r="G840" s="567"/>
      <c r="H840" s="609">
        <f t="shared" si="178"/>
        <v>0</v>
      </c>
      <c r="I840" s="568"/>
      <c r="J840" s="568"/>
      <c r="K840" s="568"/>
      <c r="L840" s="568"/>
      <c r="M840" s="32"/>
      <c r="N840" s="32"/>
      <c r="O840" s="32"/>
      <c r="P840" s="630"/>
      <c r="Q840" s="609">
        <f t="shared" si="179"/>
        <v>0</v>
      </c>
      <c r="R840" s="568"/>
      <c r="S840" s="568"/>
      <c r="T840" s="568"/>
      <c r="U840" s="568"/>
      <c r="V840" s="32"/>
      <c r="W840" s="32"/>
      <c r="X840" s="32"/>
      <c r="Y840" s="630"/>
      <c r="Z840" s="609">
        <f t="shared" si="180"/>
        <v>0</v>
      </c>
      <c r="AA840" s="568"/>
      <c r="AB840" s="568"/>
      <c r="AC840" s="568"/>
      <c r="AD840" s="568"/>
      <c r="AE840" s="32"/>
      <c r="AF840" s="32"/>
      <c r="AG840" s="32"/>
      <c r="AH840" s="630"/>
      <c r="AI840" s="632"/>
      <c r="AJ840" s="568"/>
      <c r="AK840" s="568"/>
      <c r="AL840" s="568"/>
      <c r="AM840" s="568"/>
      <c r="AN840" s="32"/>
      <c r="AO840" s="32"/>
      <c r="AP840" s="32"/>
      <c r="AQ840" s="630"/>
      <c r="AR840" s="631"/>
      <c r="AS840" s="568"/>
      <c r="AT840" s="568"/>
      <c r="AU840" s="568"/>
      <c r="AV840" s="568"/>
      <c r="AW840" s="32"/>
      <c r="AX840" s="32"/>
      <c r="AY840" s="32"/>
      <c r="AZ840" s="32"/>
      <c r="BA840" s="32"/>
      <c r="BB840" s="568"/>
      <c r="BC840" s="568"/>
      <c r="BD840" s="568"/>
      <c r="BE840" s="32"/>
      <c r="BF840" s="32"/>
      <c r="BG840" s="32"/>
      <c r="BH840" s="32"/>
    </row>
    <row r="841" spans="1:60" x14ac:dyDescent="0.25">
      <c r="A841" s="77"/>
      <c r="B841" s="84"/>
      <c r="C841" s="29"/>
      <c r="D841" s="59"/>
      <c r="E841" s="22"/>
      <c r="F841" s="27"/>
      <c r="G841" s="567"/>
      <c r="H841" s="609">
        <f t="shared" ref="H841:H851" si="182">U841</f>
        <v>0</v>
      </c>
      <c r="I841" s="568"/>
      <c r="J841" s="568"/>
      <c r="K841" s="568"/>
      <c r="L841" s="568"/>
      <c r="M841" s="32"/>
      <c r="N841" s="32"/>
      <c r="O841" s="32"/>
      <c r="P841" s="630"/>
      <c r="Q841" s="609">
        <f t="shared" si="179"/>
        <v>0</v>
      </c>
      <c r="R841" s="568"/>
      <c r="S841" s="568"/>
      <c r="T841" s="568"/>
      <c r="U841" s="568"/>
      <c r="V841" s="32"/>
      <c r="W841" s="32"/>
      <c r="X841" s="32"/>
      <c r="Y841" s="630"/>
      <c r="Z841" s="609">
        <f t="shared" si="180"/>
        <v>0</v>
      </c>
      <c r="AA841" s="568"/>
      <c r="AB841" s="568"/>
      <c r="AC841" s="568"/>
      <c r="AD841" s="568"/>
      <c r="AE841" s="32"/>
      <c r="AF841" s="32"/>
      <c r="AG841" s="32"/>
      <c r="AH841" s="630"/>
      <c r="AI841" s="632"/>
      <c r="AJ841" s="568"/>
      <c r="AK841" s="568"/>
      <c r="AL841" s="568"/>
      <c r="AM841" s="568"/>
      <c r="AN841" s="32"/>
      <c r="AO841" s="32"/>
      <c r="AP841" s="32"/>
      <c r="AQ841" s="630"/>
      <c r="AR841" s="631"/>
      <c r="AS841" s="568"/>
      <c r="AT841" s="568"/>
      <c r="AU841" s="568"/>
      <c r="AV841" s="568"/>
      <c r="AW841" s="32"/>
      <c r="AX841" s="32"/>
      <c r="AY841" s="32"/>
      <c r="AZ841" s="32"/>
      <c r="BA841" s="32"/>
      <c r="BB841" s="568"/>
      <c r="BC841" s="568"/>
      <c r="BD841" s="568"/>
      <c r="BE841" s="32"/>
      <c r="BF841" s="32"/>
      <c r="BG841" s="32"/>
      <c r="BH841" s="32"/>
    </row>
    <row r="842" spans="1:60" x14ac:dyDescent="0.25">
      <c r="A842" s="77"/>
      <c r="B842" s="84"/>
      <c r="C842" s="29"/>
      <c r="D842" s="59"/>
      <c r="E842" s="22"/>
      <c r="F842" s="27"/>
      <c r="G842" s="567"/>
      <c r="H842" s="609">
        <f t="shared" si="182"/>
        <v>0</v>
      </c>
      <c r="I842" s="568"/>
      <c r="J842" s="568"/>
      <c r="K842" s="568"/>
      <c r="L842" s="568"/>
      <c r="M842" s="32"/>
      <c r="N842" s="32"/>
      <c r="O842" s="32"/>
      <c r="P842" s="630"/>
      <c r="Q842" s="609">
        <f t="shared" si="179"/>
        <v>0</v>
      </c>
      <c r="R842" s="568"/>
      <c r="S842" s="568"/>
      <c r="T842" s="568"/>
      <c r="U842" s="568"/>
      <c r="V842" s="32"/>
      <c r="W842" s="32"/>
      <c r="X842" s="32"/>
      <c r="Y842" s="630"/>
      <c r="Z842" s="609">
        <f t="shared" si="180"/>
        <v>0</v>
      </c>
      <c r="AA842" s="568"/>
      <c r="AB842" s="568"/>
      <c r="AC842" s="568"/>
      <c r="AD842" s="568"/>
      <c r="AE842" s="32"/>
      <c r="AF842" s="32"/>
      <c r="AG842" s="32"/>
      <c r="AH842" s="630"/>
      <c r="AI842" s="632"/>
      <c r="AJ842" s="568"/>
      <c r="AK842" s="568"/>
      <c r="AL842" s="568"/>
      <c r="AM842" s="568"/>
      <c r="AN842" s="32"/>
      <c r="AO842" s="32"/>
      <c r="AP842" s="32"/>
      <c r="AQ842" s="630"/>
      <c r="AR842" s="631"/>
      <c r="AS842" s="568"/>
      <c r="AT842" s="568"/>
      <c r="AU842" s="568"/>
      <c r="AV842" s="568"/>
      <c r="AW842" s="32"/>
      <c r="AX842" s="32"/>
      <c r="AY842" s="32"/>
      <c r="AZ842" s="32"/>
      <c r="BA842" s="32"/>
      <c r="BB842" s="568"/>
      <c r="BC842" s="568"/>
      <c r="BD842" s="568"/>
      <c r="BE842" s="32"/>
      <c r="BF842" s="32"/>
      <c r="BG842" s="32"/>
      <c r="BH842" s="32"/>
    </row>
    <row r="843" spans="1:60" x14ac:dyDescent="0.25">
      <c r="A843" s="77"/>
      <c r="B843" s="84"/>
      <c r="C843" s="29"/>
      <c r="D843" s="59"/>
      <c r="E843" s="22"/>
      <c r="F843" s="27"/>
      <c r="G843" s="567"/>
      <c r="H843" s="609">
        <f t="shared" si="182"/>
        <v>0</v>
      </c>
      <c r="I843" s="568"/>
      <c r="J843" s="568"/>
      <c r="K843" s="568"/>
      <c r="L843" s="568"/>
      <c r="M843" s="32"/>
      <c r="N843" s="32"/>
      <c r="O843" s="32"/>
      <c r="P843" s="630"/>
      <c r="Q843" s="609">
        <f t="shared" si="179"/>
        <v>0</v>
      </c>
      <c r="R843" s="568"/>
      <c r="S843" s="568"/>
      <c r="T843" s="568"/>
      <c r="U843" s="568"/>
      <c r="V843" s="32"/>
      <c r="W843" s="32"/>
      <c r="X843" s="32"/>
      <c r="Y843" s="630"/>
      <c r="Z843" s="609">
        <f t="shared" si="180"/>
        <v>0</v>
      </c>
      <c r="AA843" s="568"/>
      <c r="AB843" s="568"/>
      <c r="AC843" s="568"/>
      <c r="AD843" s="568"/>
      <c r="AE843" s="32"/>
      <c r="AF843" s="32"/>
      <c r="AG843" s="32"/>
      <c r="AH843" s="630"/>
      <c r="AI843" s="632"/>
      <c r="AJ843" s="568"/>
      <c r="AK843" s="568"/>
      <c r="AL843" s="568"/>
      <c r="AM843" s="568"/>
      <c r="AN843" s="32"/>
      <c r="AO843" s="32"/>
      <c r="AP843" s="32"/>
      <c r="AQ843" s="630"/>
      <c r="AR843" s="631"/>
      <c r="AS843" s="568"/>
      <c r="AT843" s="568"/>
      <c r="AU843" s="568"/>
      <c r="AV843" s="568"/>
      <c r="AW843" s="32"/>
      <c r="AX843" s="32"/>
      <c r="AY843" s="32"/>
      <c r="AZ843" s="32"/>
      <c r="BA843" s="32"/>
      <c r="BB843" s="568"/>
      <c r="BC843" s="568"/>
      <c r="BD843" s="568"/>
      <c r="BE843" s="32"/>
      <c r="BF843" s="32"/>
      <c r="BG843" s="32"/>
      <c r="BH843" s="32"/>
    </row>
    <row r="844" spans="1:60" x14ac:dyDescent="0.25">
      <c r="A844" s="77"/>
      <c r="B844" s="84"/>
      <c r="C844" s="29"/>
      <c r="D844" s="59"/>
      <c r="E844" s="22"/>
      <c r="F844" s="27"/>
      <c r="G844" s="567"/>
      <c r="H844" s="609">
        <f t="shared" si="182"/>
        <v>0</v>
      </c>
      <c r="I844" s="568"/>
      <c r="J844" s="568"/>
      <c r="K844" s="568"/>
      <c r="L844" s="568"/>
      <c r="M844" s="32"/>
      <c r="N844" s="32"/>
      <c r="O844" s="32"/>
      <c r="P844" s="630"/>
      <c r="Q844" s="609">
        <f t="shared" si="179"/>
        <v>0</v>
      </c>
      <c r="R844" s="568"/>
      <c r="S844" s="568"/>
      <c r="T844" s="568"/>
      <c r="U844" s="568"/>
      <c r="V844" s="32"/>
      <c r="W844" s="32"/>
      <c r="X844" s="32"/>
      <c r="Y844" s="630"/>
      <c r="Z844" s="609">
        <f t="shared" si="180"/>
        <v>0</v>
      </c>
      <c r="AA844" s="568"/>
      <c r="AB844" s="568"/>
      <c r="AC844" s="568"/>
      <c r="AD844" s="568"/>
      <c r="AE844" s="32"/>
      <c r="AF844" s="32"/>
      <c r="AG844" s="32"/>
      <c r="AH844" s="630"/>
      <c r="AI844" s="632"/>
      <c r="AJ844" s="568"/>
      <c r="AK844" s="568"/>
      <c r="AL844" s="568"/>
      <c r="AM844" s="568"/>
      <c r="AN844" s="32"/>
      <c r="AO844" s="32"/>
      <c r="AP844" s="32"/>
      <c r="AQ844" s="630"/>
      <c r="AR844" s="631"/>
      <c r="AS844" s="568"/>
      <c r="AT844" s="568"/>
      <c r="AU844" s="568"/>
      <c r="AV844" s="568"/>
      <c r="AW844" s="32"/>
      <c r="AX844" s="32"/>
      <c r="AY844" s="32"/>
      <c r="AZ844" s="32"/>
      <c r="BA844" s="32"/>
      <c r="BB844" s="568"/>
      <c r="BC844" s="568"/>
      <c r="BD844" s="568"/>
      <c r="BE844" s="32"/>
      <c r="BF844" s="32"/>
      <c r="BG844" s="32"/>
      <c r="BH844" s="32"/>
    </row>
    <row r="845" spans="1:60" x14ac:dyDescent="0.25">
      <c r="A845" s="77"/>
      <c r="B845" s="84"/>
      <c r="C845" s="29"/>
      <c r="D845" s="59"/>
      <c r="E845" s="22"/>
      <c r="F845" s="27"/>
      <c r="G845" s="567"/>
      <c r="H845" s="609">
        <f t="shared" si="182"/>
        <v>0</v>
      </c>
      <c r="I845" s="568"/>
      <c r="J845" s="568"/>
      <c r="K845" s="568"/>
      <c r="L845" s="568"/>
      <c r="M845" s="32"/>
      <c r="N845" s="32"/>
      <c r="O845" s="32"/>
      <c r="P845" s="630"/>
      <c r="Q845" s="609">
        <f t="shared" si="179"/>
        <v>0</v>
      </c>
      <c r="R845" s="568"/>
      <c r="S845" s="568"/>
      <c r="T845" s="568"/>
      <c r="U845" s="568"/>
      <c r="V845" s="32"/>
      <c r="W845" s="32"/>
      <c r="X845" s="32"/>
      <c r="Y845" s="630"/>
      <c r="Z845" s="609">
        <f t="shared" si="180"/>
        <v>0</v>
      </c>
      <c r="AA845" s="568"/>
      <c r="AB845" s="568"/>
      <c r="AC845" s="568"/>
      <c r="AD845" s="568"/>
      <c r="AE845" s="32"/>
      <c r="AF845" s="32"/>
      <c r="AG845" s="32"/>
      <c r="AH845" s="630"/>
      <c r="AI845" s="632"/>
      <c r="AJ845" s="568"/>
      <c r="AK845" s="568"/>
      <c r="AL845" s="568"/>
      <c r="AM845" s="568"/>
      <c r="AN845" s="32"/>
      <c r="AO845" s="32"/>
      <c r="AP845" s="32"/>
      <c r="AQ845" s="630"/>
      <c r="AR845" s="631"/>
      <c r="AS845" s="568"/>
      <c r="AT845" s="568"/>
      <c r="AU845" s="568"/>
      <c r="AV845" s="568"/>
      <c r="AW845" s="32"/>
      <c r="AX845" s="32"/>
      <c r="AY845" s="32"/>
      <c r="AZ845" s="32"/>
      <c r="BA845" s="32"/>
      <c r="BB845" s="568"/>
      <c r="BC845" s="568"/>
      <c r="BD845" s="568"/>
      <c r="BE845" s="32"/>
      <c r="BF845" s="32"/>
      <c r="BG845" s="32"/>
      <c r="BH845" s="32"/>
    </row>
    <row r="846" spans="1:60" x14ac:dyDescent="0.25">
      <c r="A846" s="77"/>
      <c r="B846" s="84"/>
      <c r="C846" s="29"/>
      <c r="D846" s="59"/>
      <c r="E846" s="22"/>
      <c r="F846" s="27"/>
      <c r="G846" s="567"/>
      <c r="H846" s="609">
        <f t="shared" si="182"/>
        <v>0</v>
      </c>
      <c r="I846" s="568"/>
      <c r="J846" s="568"/>
      <c r="K846" s="568"/>
      <c r="L846" s="568"/>
      <c r="M846" s="32"/>
      <c r="N846" s="32"/>
      <c r="O846" s="32"/>
      <c r="P846" s="630"/>
      <c r="Q846" s="609">
        <f t="shared" si="179"/>
        <v>0</v>
      </c>
      <c r="R846" s="568"/>
      <c r="S846" s="568"/>
      <c r="T846" s="568"/>
      <c r="U846" s="568"/>
      <c r="V846" s="32"/>
      <c r="W846" s="32"/>
      <c r="X846" s="32"/>
      <c r="Y846" s="630"/>
      <c r="Z846" s="609">
        <f t="shared" si="180"/>
        <v>0</v>
      </c>
      <c r="AA846" s="568"/>
      <c r="AB846" s="568"/>
      <c r="AC846" s="568"/>
      <c r="AD846" s="568"/>
      <c r="AE846" s="32"/>
      <c r="AF846" s="32"/>
      <c r="AG846" s="32"/>
      <c r="AH846" s="630"/>
      <c r="AI846" s="632"/>
      <c r="AJ846" s="568"/>
      <c r="AK846" s="568"/>
      <c r="AL846" s="568"/>
      <c r="AM846" s="568"/>
      <c r="AN846" s="32"/>
      <c r="AO846" s="32"/>
      <c r="AP846" s="32"/>
      <c r="AQ846" s="630"/>
      <c r="AR846" s="631"/>
      <c r="AS846" s="568"/>
      <c r="AT846" s="568"/>
      <c r="AU846" s="568"/>
      <c r="AV846" s="568"/>
      <c r="AW846" s="32"/>
      <c r="AX846" s="32"/>
      <c r="AY846" s="32"/>
      <c r="AZ846" s="32"/>
      <c r="BA846" s="32"/>
      <c r="BB846" s="568"/>
      <c r="BC846" s="568"/>
      <c r="BD846" s="568"/>
      <c r="BE846" s="32"/>
      <c r="BF846" s="32"/>
      <c r="BG846" s="32"/>
      <c r="BH846" s="32"/>
    </row>
    <row r="847" spans="1:60" x14ac:dyDescent="0.25">
      <c r="A847" s="77"/>
      <c r="B847" s="84"/>
      <c r="C847" s="29"/>
      <c r="D847" s="59"/>
      <c r="E847" s="22"/>
      <c r="F847" s="27"/>
      <c r="G847" s="567"/>
      <c r="H847" s="609">
        <f t="shared" si="182"/>
        <v>0</v>
      </c>
      <c r="I847" s="568"/>
      <c r="J847" s="568"/>
      <c r="K847" s="568"/>
      <c r="L847" s="568"/>
      <c r="M847" s="32"/>
      <c r="N847" s="32"/>
      <c r="O847" s="32"/>
      <c r="P847" s="630"/>
      <c r="Q847" s="609">
        <f t="shared" si="179"/>
        <v>0</v>
      </c>
      <c r="R847" s="568"/>
      <c r="S847" s="568"/>
      <c r="T847" s="568"/>
      <c r="U847" s="568"/>
      <c r="V847" s="32"/>
      <c r="W847" s="32"/>
      <c r="X847" s="32"/>
      <c r="Y847" s="630"/>
      <c r="Z847" s="609">
        <f t="shared" si="180"/>
        <v>0</v>
      </c>
      <c r="AA847" s="568"/>
      <c r="AB847" s="568"/>
      <c r="AC847" s="568"/>
      <c r="AD847" s="568"/>
      <c r="AE847" s="32"/>
      <c r="AF847" s="32"/>
      <c r="AG847" s="32"/>
      <c r="AH847" s="630"/>
      <c r="AI847" s="632"/>
      <c r="AJ847" s="568"/>
      <c r="AK847" s="568"/>
      <c r="AL847" s="568"/>
      <c r="AM847" s="568"/>
      <c r="AN847" s="32"/>
      <c r="AO847" s="32"/>
      <c r="AP847" s="32"/>
      <c r="AQ847" s="630"/>
      <c r="AR847" s="631"/>
      <c r="AS847" s="568"/>
      <c r="AT847" s="568"/>
      <c r="AU847" s="568"/>
      <c r="AV847" s="568"/>
      <c r="AW847" s="32"/>
      <c r="AX847" s="32"/>
      <c r="AY847" s="32"/>
      <c r="AZ847" s="32"/>
      <c r="BA847" s="32"/>
      <c r="BB847" s="568"/>
      <c r="BC847" s="568"/>
      <c r="BD847" s="568"/>
      <c r="BE847" s="32"/>
      <c r="BF847" s="32"/>
      <c r="BG847" s="32"/>
      <c r="BH847" s="32"/>
    </row>
    <row r="848" spans="1:60" x14ac:dyDescent="0.25">
      <c r="A848" s="77"/>
      <c r="B848" s="84"/>
      <c r="C848" s="29"/>
      <c r="D848" s="59"/>
      <c r="E848" s="22"/>
      <c r="F848" s="27"/>
      <c r="G848" s="567"/>
      <c r="H848" s="609">
        <f t="shared" si="182"/>
        <v>0</v>
      </c>
      <c r="I848" s="568"/>
      <c r="J848" s="568"/>
      <c r="K848" s="568"/>
      <c r="L848" s="568"/>
      <c r="M848" s="32"/>
      <c r="N848" s="32"/>
      <c r="O848" s="32"/>
      <c r="P848" s="630"/>
      <c r="Q848" s="609">
        <f t="shared" si="179"/>
        <v>0</v>
      </c>
      <c r="R848" s="568"/>
      <c r="S848" s="568"/>
      <c r="T848" s="568"/>
      <c r="U848" s="568"/>
      <c r="V848" s="32"/>
      <c r="W848" s="32"/>
      <c r="X848" s="32"/>
      <c r="Y848" s="630"/>
      <c r="Z848" s="609">
        <f t="shared" si="180"/>
        <v>0</v>
      </c>
      <c r="AA848" s="568"/>
      <c r="AB848" s="568"/>
      <c r="AC848" s="568"/>
      <c r="AD848" s="568"/>
      <c r="AE848" s="32"/>
      <c r="AF848" s="32"/>
      <c r="AG848" s="32"/>
      <c r="AH848" s="630"/>
      <c r="AI848" s="632"/>
      <c r="AJ848" s="568"/>
      <c r="AK848" s="568"/>
      <c r="AL848" s="568"/>
      <c r="AM848" s="568"/>
      <c r="AN848" s="32"/>
      <c r="AO848" s="32"/>
      <c r="AP848" s="32"/>
      <c r="AQ848" s="630"/>
      <c r="AR848" s="631"/>
      <c r="AS848" s="568"/>
      <c r="AT848" s="568"/>
      <c r="AU848" s="568"/>
      <c r="AV848" s="568"/>
      <c r="AW848" s="32"/>
      <c r="AX848" s="32"/>
      <c r="AY848" s="32"/>
      <c r="AZ848" s="32"/>
      <c r="BA848" s="32"/>
      <c r="BB848" s="568"/>
      <c r="BC848" s="568"/>
      <c r="BD848" s="568"/>
      <c r="BE848" s="32"/>
      <c r="BF848" s="32"/>
      <c r="BG848" s="32"/>
      <c r="BH848" s="32"/>
    </row>
    <row r="849" spans="1:60" x14ac:dyDescent="0.25">
      <c r="A849" s="77"/>
      <c r="B849" s="84"/>
      <c r="C849" s="29"/>
      <c r="D849" s="59"/>
      <c r="E849" s="22"/>
      <c r="F849" s="27"/>
      <c r="G849" s="567"/>
      <c r="H849" s="609">
        <f t="shared" si="182"/>
        <v>0</v>
      </c>
      <c r="I849" s="568"/>
      <c r="J849" s="568"/>
      <c r="K849" s="568"/>
      <c r="L849" s="568"/>
      <c r="M849" s="32"/>
      <c r="N849" s="32"/>
      <c r="O849" s="32"/>
      <c r="P849" s="630"/>
      <c r="Q849" s="609">
        <f t="shared" si="179"/>
        <v>0</v>
      </c>
      <c r="R849" s="568"/>
      <c r="S849" s="568"/>
      <c r="T849" s="568"/>
      <c r="U849" s="568"/>
      <c r="V849" s="32"/>
      <c r="W849" s="32"/>
      <c r="X849" s="32"/>
      <c r="Y849" s="630"/>
      <c r="Z849" s="609">
        <f t="shared" si="180"/>
        <v>0</v>
      </c>
      <c r="AA849" s="568"/>
      <c r="AB849" s="568"/>
      <c r="AC849" s="568"/>
      <c r="AD849" s="568"/>
      <c r="AE849" s="32"/>
      <c r="AF849" s="32"/>
      <c r="AG849" s="32"/>
      <c r="AH849" s="630"/>
      <c r="AI849" s="632"/>
      <c r="AJ849" s="568"/>
      <c r="AK849" s="568"/>
      <c r="AL849" s="568"/>
      <c r="AM849" s="568"/>
      <c r="AN849" s="32"/>
      <c r="AO849" s="32"/>
      <c r="AP849" s="32"/>
      <c r="AQ849" s="630"/>
      <c r="AR849" s="631"/>
      <c r="AS849" s="568"/>
      <c r="AT849" s="568"/>
      <c r="AU849" s="568"/>
      <c r="AV849" s="568"/>
      <c r="AW849" s="32"/>
      <c r="AX849" s="32"/>
      <c r="AY849" s="32"/>
      <c r="AZ849" s="32"/>
      <c r="BA849" s="32"/>
      <c r="BB849" s="568"/>
      <c r="BC849" s="568"/>
      <c r="BD849" s="568"/>
      <c r="BE849" s="32"/>
      <c r="BF849" s="32"/>
      <c r="BG849" s="32"/>
      <c r="BH849" s="32"/>
    </row>
    <row r="850" spans="1:60" x14ac:dyDescent="0.25">
      <c r="A850" s="77"/>
      <c r="B850" s="84"/>
      <c r="C850" s="29"/>
      <c r="D850" s="59"/>
      <c r="E850" s="22"/>
      <c r="F850" s="27"/>
      <c r="G850" s="567"/>
      <c r="H850" s="609">
        <f t="shared" si="182"/>
        <v>0</v>
      </c>
      <c r="I850" s="568"/>
      <c r="J850" s="568"/>
      <c r="K850" s="568"/>
      <c r="L850" s="568"/>
      <c r="M850" s="32"/>
      <c r="N850" s="32"/>
      <c r="O850" s="32"/>
      <c r="P850" s="630"/>
      <c r="Q850" s="609">
        <f t="shared" si="179"/>
        <v>0</v>
      </c>
      <c r="R850" s="568"/>
      <c r="S850" s="568"/>
      <c r="T850" s="568"/>
      <c r="U850" s="568"/>
      <c r="V850" s="32"/>
      <c r="W850" s="32"/>
      <c r="X850" s="32"/>
      <c r="Y850" s="630"/>
      <c r="Z850" s="609">
        <f t="shared" si="180"/>
        <v>0</v>
      </c>
      <c r="AA850" s="568"/>
      <c r="AB850" s="568"/>
      <c r="AC850" s="568"/>
      <c r="AD850" s="568"/>
      <c r="AE850" s="32"/>
      <c r="AF850" s="32"/>
      <c r="AG850" s="32"/>
      <c r="AH850" s="630"/>
      <c r="AI850" s="632"/>
      <c r="AJ850" s="568"/>
      <c r="AK850" s="568"/>
      <c r="AL850" s="568"/>
      <c r="AM850" s="568"/>
      <c r="AN850" s="32"/>
      <c r="AO850" s="32"/>
      <c r="AP850" s="32"/>
      <c r="AQ850" s="630"/>
      <c r="AR850" s="631"/>
      <c r="AS850" s="568"/>
      <c r="AT850" s="568"/>
      <c r="AU850" s="568"/>
      <c r="AV850" s="568"/>
      <c r="AW850" s="32"/>
      <c r="AX850" s="32"/>
      <c r="AY850" s="32"/>
      <c r="AZ850" s="32"/>
      <c r="BA850" s="32"/>
      <c r="BB850" s="568"/>
      <c r="BC850" s="568"/>
      <c r="BD850" s="568"/>
      <c r="BE850" s="32"/>
      <c r="BF850" s="32"/>
      <c r="BG850" s="32"/>
      <c r="BH850" s="32"/>
    </row>
    <row r="851" spans="1:60" x14ac:dyDescent="0.25">
      <c r="A851" s="77"/>
      <c r="B851" s="84"/>
      <c r="C851" s="29"/>
      <c r="D851" s="59"/>
      <c r="E851" s="22"/>
      <c r="F851" s="27"/>
      <c r="G851" s="567"/>
      <c r="H851" s="609">
        <f t="shared" si="182"/>
        <v>0</v>
      </c>
      <c r="I851" s="568"/>
      <c r="J851" s="568"/>
      <c r="K851" s="568"/>
      <c r="L851" s="568"/>
      <c r="M851" s="32"/>
      <c r="N851" s="32"/>
      <c r="O851" s="32"/>
      <c r="P851" s="630"/>
      <c r="Q851" s="609">
        <f t="shared" si="179"/>
        <v>0</v>
      </c>
      <c r="R851" s="568"/>
      <c r="S851" s="568"/>
      <c r="T851" s="568"/>
      <c r="U851" s="568"/>
      <c r="V851" s="32"/>
      <c r="W851" s="32"/>
      <c r="X851" s="32"/>
      <c r="Y851" s="630"/>
      <c r="Z851" s="609">
        <f t="shared" si="180"/>
        <v>0</v>
      </c>
      <c r="AA851" s="568"/>
      <c r="AB851" s="568"/>
      <c r="AC851" s="568"/>
      <c r="AD851" s="568"/>
      <c r="AE851" s="32"/>
      <c r="AF851" s="32"/>
      <c r="AG851" s="32"/>
      <c r="AH851" s="630"/>
      <c r="AI851" s="632"/>
      <c r="AJ851" s="568"/>
      <c r="AK851" s="568"/>
      <c r="AL851" s="568"/>
      <c r="AM851" s="568"/>
      <c r="AN851" s="32"/>
      <c r="AO851" s="32"/>
      <c r="AP851" s="32"/>
      <c r="AQ851" s="630"/>
      <c r="AR851" s="631"/>
      <c r="AS851" s="568"/>
      <c r="AT851" s="568"/>
      <c r="AU851" s="568"/>
      <c r="AV851" s="568"/>
      <c r="AW851" s="32"/>
      <c r="AX851" s="32"/>
      <c r="AY851" s="32"/>
      <c r="AZ851" s="32"/>
      <c r="BA851" s="32"/>
      <c r="BB851" s="568"/>
      <c r="BC851" s="568"/>
      <c r="BD851" s="568"/>
      <c r="BE851" s="32"/>
      <c r="BF851" s="32"/>
      <c r="BG851" s="32"/>
      <c r="BH851" s="32"/>
    </row>
  </sheetData>
  <mergeCells count="54">
    <mergeCell ref="R4:U4"/>
    <mergeCell ref="Y4:Y5"/>
    <mergeCell ref="Q1:Y1"/>
    <mergeCell ref="Q2:R2"/>
    <mergeCell ref="S2:T2"/>
    <mergeCell ref="X2:Y2"/>
    <mergeCell ref="Q3:R3"/>
    <mergeCell ref="S3:T3"/>
    <mergeCell ref="X3:Y3"/>
    <mergeCell ref="AA4:AD4"/>
    <mergeCell ref="AH4:AH5"/>
    <mergeCell ref="Z1:AH1"/>
    <mergeCell ref="Z2:AA2"/>
    <mergeCell ref="AB2:AC2"/>
    <mergeCell ref="AG2:AH2"/>
    <mergeCell ref="Z3:AA3"/>
    <mergeCell ref="AB3:AC3"/>
    <mergeCell ref="AG3:AH3"/>
    <mergeCell ref="AJ4:AM4"/>
    <mergeCell ref="AQ4:AQ5"/>
    <mergeCell ref="AI1:AQ1"/>
    <mergeCell ref="AI2:AJ2"/>
    <mergeCell ref="AK2:AL2"/>
    <mergeCell ref="AP2:AQ2"/>
    <mergeCell ref="AI3:AJ3"/>
    <mergeCell ref="AK3:AL3"/>
    <mergeCell ref="AP3:AQ3"/>
    <mergeCell ref="BA2:BB2"/>
    <mergeCell ref="BG2:BH2"/>
    <mergeCell ref="BA3:BB3"/>
    <mergeCell ref="BG3:BH3"/>
    <mergeCell ref="BB4:BD4"/>
    <mergeCell ref="BH4:BH5"/>
    <mergeCell ref="H3:I3"/>
    <mergeCell ref="O2:P2"/>
    <mergeCell ref="O3:P3"/>
    <mergeCell ref="J2:K2"/>
    <mergeCell ref="J3:K3"/>
    <mergeCell ref="AS4:AV4"/>
    <mergeCell ref="AZ4:AZ5"/>
    <mergeCell ref="H1:P1"/>
    <mergeCell ref="BA1:BH1"/>
    <mergeCell ref="A1:G3"/>
    <mergeCell ref="AR1:AZ1"/>
    <mergeCell ref="AR2:AS2"/>
    <mergeCell ref="AT2:AU2"/>
    <mergeCell ref="AY2:AZ2"/>
    <mergeCell ref="AR3:AS3"/>
    <mergeCell ref="AT3:AU3"/>
    <mergeCell ref="AY3:AZ3"/>
    <mergeCell ref="I4:L4"/>
    <mergeCell ref="P4:P5"/>
    <mergeCell ref="A4:G6"/>
    <mergeCell ref="H2:I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DC306"/>
  <sheetViews>
    <sheetView workbookViewId="0">
      <pane ySplit="2" topLeftCell="A282" activePane="bottomLeft" state="frozen"/>
      <selection pane="bottomLeft" activeCell="BD309" sqref="BD309"/>
    </sheetView>
  </sheetViews>
  <sheetFormatPr defaultRowHeight="15.75" x14ac:dyDescent="0.2"/>
  <cols>
    <col min="1" max="1" width="3.5703125" style="87" customWidth="1"/>
    <col min="2" max="2" width="9.85546875" customWidth="1"/>
    <col min="3" max="3" width="6.7109375" customWidth="1"/>
    <col min="4" max="4" width="15.140625" customWidth="1"/>
    <col min="5" max="5" width="11" customWidth="1"/>
    <col min="7" max="7" width="11.7109375" customWidth="1"/>
    <col min="8" max="8" width="14.140625" customWidth="1"/>
    <col min="9" max="9" width="0" hidden="1" customWidth="1"/>
    <col min="10" max="10" width="9.140625" customWidth="1"/>
    <col min="11" max="11" width="9.140625" hidden="1" customWidth="1"/>
    <col min="12" max="12" width="10.42578125" hidden="1" customWidth="1"/>
    <col min="13" max="13" width="0" hidden="1" customWidth="1"/>
    <col min="14" max="14" width="10.7109375" customWidth="1"/>
    <col min="15" max="15" width="9.28515625" style="79" customWidth="1"/>
    <col min="16" max="16" width="9.140625" style="79" customWidth="1"/>
    <col min="17" max="17" width="9.140625" hidden="1" customWidth="1"/>
    <col min="18" max="18" width="0" hidden="1" customWidth="1"/>
    <col min="19" max="20" width="9.140625" hidden="1" customWidth="1"/>
    <col min="21" max="22" width="0" hidden="1" customWidth="1"/>
    <col min="25" max="25" width="9.140625" customWidth="1"/>
    <col min="26" max="26" width="10.42578125" customWidth="1"/>
    <col min="27" max="36" width="9.140625" hidden="1" customWidth="1"/>
    <col min="37" max="37" width="11.85546875" style="131" hidden="1" customWidth="1"/>
    <col min="38" max="38" width="86.42578125" style="158" hidden="1" customWidth="1"/>
    <col min="39" max="54" width="9.140625" hidden="1" customWidth="1"/>
    <col min="55" max="55" width="11.85546875" style="286" customWidth="1"/>
    <col min="56" max="56" width="95.5703125" style="438" customWidth="1"/>
  </cols>
  <sheetData>
    <row r="1" spans="1:56" s="23" customFormat="1" ht="25.5" hidden="1" x14ac:dyDescent="0.2">
      <c r="A1" s="65"/>
      <c r="B1" s="37" t="s">
        <v>1485</v>
      </c>
      <c r="C1" s="38"/>
      <c r="D1" s="36"/>
      <c r="E1" s="36"/>
      <c r="F1" s="36"/>
      <c r="G1" s="36"/>
      <c r="H1" s="39"/>
      <c r="I1" s="67" t="s">
        <v>619</v>
      </c>
      <c r="J1" s="40"/>
      <c r="K1" s="40"/>
      <c r="L1" s="40"/>
      <c r="M1" s="62" t="s">
        <v>0</v>
      </c>
      <c r="N1" s="67" t="s">
        <v>1</v>
      </c>
      <c r="O1" s="36"/>
      <c r="P1" s="36"/>
      <c r="Q1" s="101"/>
      <c r="R1" s="101"/>
      <c r="S1" s="102"/>
      <c r="T1" s="53" t="s">
        <v>2</v>
      </c>
      <c r="U1" s="103"/>
      <c r="V1" s="54"/>
      <c r="W1" s="54" t="s">
        <v>3</v>
      </c>
      <c r="X1" s="54" t="s">
        <v>4</v>
      </c>
      <c r="Y1" s="54" t="s">
        <v>5</v>
      </c>
      <c r="Z1" s="54"/>
      <c r="AA1" s="53" t="s">
        <v>6</v>
      </c>
      <c r="AB1" s="104"/>
      <c r="AC1" s="53"/>
      <c r="AD1" s="1059" t="s">
        <v>1538</v>
      </c>
      <c r="AE1" s="53"/>
      <c r="AF1" s="53"/>
      <c r="AG1" s="53"/>
      <c r="AH1" s="53" t="s">
        <v>7</v>
      </c>
      <c r="AI1" s="104"/>
      <c r="AJ1" s="54" t="s">
        <v>8</v>
      </c>
      <c r="AK1" s="55"/>
      <c r="AL1" s="55"/>
      <c r="AM1" s="54"/>
      <c r="AN1" s="235"/>
      <c r="AO1" s="54"/>
      <c r="AP1" s="54"/>
      <c r="BC1" s="281"/>
      <c r="BD1" s="287"/>
    </row>
    <row r="2" spans="1:56" s="23" customFormat="1" ht="61.5" customHeight="1" x14ac:dyDescent="0.2">
      <c r="A2" s="66" t="s">
        <v>18</v>
      </c>
      <c r="B2" s="9" t="s">
        <v>22</v>
      </c>
      <c r="C2" s="26" t="s">
        <v>21</v>
      </c>
      <c r="D2" s="8" t="s">
        <v>19</v>
      </c>
      <c r="E2" s="8" t="s">
        <v>20</v>
      </c>
      <c r="F2" s="10" t="s">
        <v>9</v>
      </c>
      <c r="G2" s="10" t="s">
        <v>2847</v>
      </c>
      <c r="H2" s="11" t="s">
        <v>17</v>
      </c>
      <c r="I2" s="280" t="s">
        <v>10</v>
      </c>
      <c r="J2" s="34" t="s">
        <v>2534</v>
      </c>
      <c r="K2" s="34" t="s">
        <v>2535</v>
      </c>
      <c r="L2" s="34" t="s">
        <v>2536</v>
      </c>
      <c r="M2" s="62" t="s">
        <v>77</v>
      </c>
      <c r="N2" s="280" t="s">
        <v>16</v>
      </c>
      <c r="O2" s="25" t="s">
        <v>2660</v>
      </c>
      <c r="P2" s="10" t="s">
        <v>604</v>
      </c>
      <c r="Q2" s="95" t="s">
        <v>1447</v>
      </c>
      <c r="R2" s="96" t="s">
        <v>1457</v>
      </c>
      <c r="S2" s="97" t="s">
        <v>1459</v>
      </c>
      <c r="T2" s="4" t="s">
        <v>1460</v>
      </c>
      <c r="U2" s="33" t="s">
        <v>25</v>
      </c>
      <c r="V2" s="5" t="s">
        <v>24</v>
      </c>
      <c r="W2" s="12" t="s">
        <v>12</v>
      </c>
      <c r="X2" s="12" t="s">
        <v>13</v>
      </c>
      <c r="Y2" s="12" t="s">
        <v>11</v>
      </c>
      <c r="Z2" s="5" t="s">
        <v>2017</v>
      </c>
      <c r="AA2" s="98" t="s">
        <v>1376</v>
      </c>
      <c r="AB2" s="91" t="s">
        <v>1534</v>
      </c>
      <c r="AC2" s="99" t="s">
        <v>26</v>
      </c>
      <c r="AD2" s="1059"/>
      <c r="AE2" s="100" t="s">
        <v>800</v>
      </c>
      <c r="AF2" s="97" t="s">
        <v>799</v>
      </c>
      <c r="AG2" s="280" t="s">
        <v>1381</v>
      </c>
      <c r="AH2" s="17" t="s">
        <v>15</v>
      </c>
      <c r="AI2" s="91" t="s">
        <v>1533</v>
      </c>
      <c r="AJ2" s="8" t="s">
        <v>14</v>
      </c>
      <c r="AK2" s="64" t="s">
        <v>1535</v>
      </c>
      <c r="AL2" s="64" t="s">
        <v>1536</v>
      </c>
      <c r="AM2" s="5" t="s">
        <v>2016</v>
      </c>
      <c r="AN2" s="236" t="s">
        <v>2412</v>
      </c>
      <c r="AO2" s="5" t="s">
        <v>2068</v>
      </c>
      <c r="AP2" s="275" t="s">
        <v>2632</v>
      </c>
      <c r="BC2" s="282" t="s">
        <v>1045</v>
      </c>
      <c r="BD2" s="289" t="s">
        <v>2661</v>
      </c>
    </row>
    <row r="3" spans="1:56" s="7" customFormat="1" ht="15.95" customHeight="1" x14ac:dyDescent="0.25">
      <c r="A3" s="86">
        <v>1</v>
      </c>
      <c r="B3" s="84">
        <f t="shared" ref="B3:B4" si="0">BC3</f>
        <v>42432</v>
      </c>
      <c r="C3" s="29" t="s">
        <v>613</v>
      </c>
      <c r="D3" s="113" t="s">
        <v>907</v>
      </c>
      <c r="E3" s="22" t="s">
        <v>101</v>
      </c>
      <c r="F3" s="27" t="s">
        <v>102</v>
      </c>
      <c r="G3" s="27"/>
      <c r="H3" s="28" t="s">
        <v>603</v>
      </c>
      <c r="I3" s="20">
        <v>40170</v>
      </c>
      <c r="J3" s="35">
        <f t="shared" ref="J3:J34" si="1">(B3-I3)/365</f>
        <v>6.1972602739726028</v>
      </c>
      <c r="K3" s="367"/>
      <c r="L3" s="367"/>
      <c r="M3" s="21" t="s">
        <v>103</v>
      </c>
      <c r="N3" s="32">
        <v>41821</v>
      </c>
      <c r="O3" s="82">
        <f t="shared" ref="O3:O21" si="2">B3-N3</f>
        <v>611</v>
      </c>
      <c r="P3" s="19">
        <v>3</v>
      </c>
      <c r="Q3" s="105"/>
      <c r="R3" s="105"/>
      <c r="S3" s="21">
        <v>41906</v>
      </c>
      <c r="T3" s="20">
        <v>41906</v>
      </c>
      <c r="U3" s="20" t="str">
        <f>IF(AND(Y3&gt;1,T3&gt;0),T3+18,"-")</f>
        <v>-</v>
      </c>
      <c r="V3" s="19" t="str">
        <f>IF(AND(U3&gt;0,B3&gt;0,Y3&gt;1),B3-U3,"-")</f>
        <v>-</v>
      </c>
      <c r="W3" s="3"/>
      <c r="X3" s="22">
        <f t="shared" ref="X3:X21" si="3">IF(AND(N3&gt;0,T3&gt;0),T3-N3,"-")</f>
        <v>85</v>
      </c>
      <c r="Y3" s="22"/>
      <c r="Z3" s="22" t="str">
        <f t="shared" ref="Z3:Z13" si="4">IF(AND(O3&gt;140,Y3=0),"яловая","-")</f>
        <v>яловая</v>
      </c>
      <c r="AA3" s="21" t="str">
        <f t="shared" ref="AA3:AA21" si="5">IF(AND(T3&gt;0,Y3&gt;1),T3+45,"-")</f>
        <v>-</v>
      </c>
      <c r="AB3" s="21"/>
      <c r="AC3" s="21" t="str">
        <f t="shared" ref="AC3:AC21" si="6">IF(AND($T3&gt;0,$N3&gt;0,$Y3=1),$T3+281-90,"-")</f>
        <v>-</v>
      </c>
      <c r="AD3" s="21" t="str">
        <f t="shared" ref="AD3:AD21" si="7">IF(AND(T3&gt;0,Y3=1,N3&gt;0),T3+281-60,"-")</f>
        <v>-</v>
      </c>
      <c r="AE3" s="21"/>
      <c r="AF3" s="21" t="str">
        <f t="shared" ref="AF3:AF21" si="8">IF(AND($T3&gt;0,$Y3=1),$T3+281-21,"-")</f>
        <v>-</v>
      </c>
      <c r="AG3" s="21" t="str">
        <f t="shared" ref="AG3:AG21" si="9">IF(AND(T3&gt;0,Y3=1),T3+281,"-")</f>
        <v>-</v>
      </c>
      <c r="AH3" s="22">
        <v>1</v>
      </c>
      <c r="AI3" s="18"/>
      <c r="AJ3" s="18">
        <f>IF(AND(N3&gt;0,S3&gt;0),S3-N3,"-")</f>
        <v>85</v>
      </c>
      <c r="AK3" s="22" t="e">
        <f>IF(AND(M3&gt;0,I3&gt;0),(M3-I3)/30,"-")</f>
        <v>#VALUE!</v>
      </c>
      <c r="AL3" s="22"/>
      <c r="AM3" s="106">
        <v>42432</v>
      </c>
      <c r="AN3" s="126" t="s">
        <v>1997</v>
      </c>
      <c r="AO3" s="6"/>
      <c r="AP3" s="6"/>
      <c r="AQ3" s="6"/>
      <c r="AR3" s="6"/>
      <c r="AS3" s="6"/>
      <c r="BC3" s="283">
        <v>42432</v>
      </c>
      <c r="BD3" s="288" t="s">
        <v>1997</v>
      </c>
    </row>
    <row r="4" spans="1:56" s="7" customFormat="1" ht="15.95" customHeight="1" x14ac:dyDescent="0.25">
      <c r="A4" s="86">
        <v>2</v>
      </c>
      <c r="B4" s="84">
        <f t="shared" si="0"/>
        <v>42446</v>
      </c>
      <c r="C4" s="29" t="s">
        <v>613</v>
      </c>
      <c r="D4" s="113" t="s">
        <v>907</v>
      </c>
      <c r="E4" s="22" t="s">
        <v>358</v>
      </c>
      <c r="F4" s="27" t="s">
        <v>359</v>
      </c>
      <c r="G4" s="27"/>
      <c r="H4" s="28" t="s">
        <v>603</v>
      </c>
      <c r="I4" s="20">
        <v>40339</v>
      </c>
      <c r="J4" s="35">
        <f t="shared" si="1"/>
        <v>5.7726027397260271</v>
      </c>
      <c r="K4" s="367"/>
      <c r="L4" s="367"/>
      <c r="M4" s="21">
        <v>41238</v>
      </c>
      <c r="N4" s="32">
        <v>41883</v>
      </c>
      <c r="O4" s="82">
        <f t="shared" si="2"/>
        <v>563</v>
      </c>
      <c r="P4" s="19">
        <v>2</v>
      </c>
      <c r="Q4" s="105"/>
      <c r="R4" s="105"/>
      <c r="S4" s="21">
        <v>41986</v>
      </c>
      <c r="T4" s="20">
        <v>42343</v>
      </c>
      <c r="U4" s="20" t="str">
        <f>IF(AND(Y4&gt;1,T4&gt;0),T4+18,"-")</f>
        <v>-</v>
      </c>
      <c r="V4" s="19" t="str">
        <f>IF(AND(U4&gt;0,B4&gt;0,Y4&gt;1),B4-U4,"-")</f>
        <v>-</v>
      </c>
      <c r="W4" s="3">
        <v>6</v>
      </c>
      <c r="X4" s="22">
        <f t="shared" si="3"/>
        <v>460</v>
      </c>
      <c r="Y4" s="22">
        <v>0</v>
      </c>
      <c r="Z4" s="22" t="str">
        <f t="shared" si="4"/>
        <v>яловая</v>
      </c>
      <c r="AA4" s="21" t="str">
        <f t="shared" si="5"/>
        <v>-</v>
      </c>
      <c r="AB4" s="21"/>
      <c r="AC4" s="21" t="str">
        <f t="shared" si="6"/>
        <v>-</v>
      </c>
      <c r="AD4" s="21" t="str">
        <f t="shared" si="7"/>
        <v>-</v>
      </c>
      <c r="AE4" s="21"/>
      <c r="AF4" s="21" t="str">
        <f t="shared" si="8"/>
        <v>-</v>
      </c>
      <c r="AG4" s="21" t="str">
        <f t="shared" si="9"/>
        <v>-</v>
      </c>
      <c r="AH4" s="22">
        <v>1</v>
      </c>
      <c r="AI4" s="18"/>
      <c r="AJ4" s="18">
        <f>IF(AND(N4&gt;0,S4&gt;0),S4-N4,"-")</f>
        <v>103</v>
      </c>
      <c r="AK4" s="22">
        <f>IF(AND(M4&gt;0,I4&gt;0),(M4-I4)/30,"-")</f>
        <v>29.966666666666665</v>
      </c>
      <c r="AL4" s="22"/>
      <c r="AM4" s="106">
        <v>42446</v>
      </c>
      <c r="AN4" s="126" t="s">
        <v>1445</v>
      </c>
      <c r="AO4" s="6"/>
      <c r="AP4" s="6"/>
      <c r="AQ4" s="6"/>
      <c r="AR4" s="6"/>
      <c r="AS4" s="6"/>
      <c r="BC4" s="283">
        <v>42446</v>
      </c>
      <c r="BD4" s="288" t="s">
        <v>1445</v>
      </c>
    </row>
    <row r="5" spans="1:56" s="7" customFormat="1" ht="15.95" customHeight="1" x14ac:dyDescent="0.25">
      <c r="A5" s="86">
        <v>3</v>
      </c>
      <c r="B5" s="84">
        <f t="shared" ref="B5:B68" si="10">BC5</f>
        <v>42462</v>
      </c>
      <c r="C5" s="29" t="s">
        <v>615</v>
      </c>
      <c r="D5" s="113" t="s">
        <v>798</v>
      </c>
      <c r="E5" s="22" t="s">
        <v>411</v>
      </c>
      <c r="F5" s="27" t="s">
        <v>412</v>
      </c>
      <c r="G5" s="27"/>
      <c r="H5" s="28" t="s">
        <v>603</v>
      </c>
      <c r="I5" s="20">
        <v>41444</v>
      </c>
      <c r="J5" s="114">
        <f t="shared" si="1"/>
        <v>2.7890410958904108</v>
      </c>
      <c r="M5" s="21">
        <v>42372</v>
      </c>
      <c r="N5" s="32">
        <v>42372</v>
      </c>
      <c r="O5" s="82">
        <f t="shared" si="2"/>
        <v>90</v>
      </c>
      <c r="P5" s="19">
        <v>1</v>
      </c>
      <c r="Q5" s="105"/>
      <c r="R5" s="105"/>
      <c r="S5" s="21"/>
      <c r="T5" s="20">
        <v>42411</v>
      </c>
      <c r="U5" s="20">
        <f>IF(AND(Y5=3,T5&gt;0),T5+18,"-")</f>
        <v>42429</v>
      </c>
      <c r="V5" s="19">
        <f>IF(AND(U5&gt;0,B5&gt;0),B5-U5,"-")</f>
        <v>33</v>
      </c>
      <c r="W5" s="3">
        <v>1</v>
      </c>
      <c r="X5" s="22">
        <f t="shared" si="3"/>
        <v>39</v>
      </c>
      <c r="Y5" s="22">
        <v>3</v>
      </c>
      <c r="Z5" s="22" t="str">
        <f t="shared" si="4"/>
        <v>-</v>
      </c>
      <c r="AA5" s="107">
        <f t="shared" si="5"/>
        <v>42456</v>
      </c>
      <c r="AB5" s="107"/>
      <c r="AC5" s="107" t="str">
        <f t="shared" si="6"/>
        <v>-</v>
      </c>
      <c r="AD5" s="107" t="str">
        <f t="shared" si="7"/>
        <v>-</v>
      </c>
      <c r="AE5" s="107"/>
      <c r="AF5" s="107" t="str">
        <f t="shared" si="8"/>
        <v>-</v>
      </c>
      <c r="AG5" s="107" t="str">
        <f t="shared" si="9"/>
        <v>-</v>
      </c>
      <c r="AH5" s="22">
        <v>1</v>
      </c>
      <c r="AI5" s="18"/>
      <c r="AJ5" s="18" t="str">
        <f>IF(AND(N5&gt;0,S5&gt;0),S5-N5,"-")</f>
        <v>-</v>
      </c>
      <c r="AK5" s="22">
        <f>IF(AND(M5&gt;0,I5&gt;0),(M5-I5)/30,"-")</f>
        <v>30.933333333333334</v>
      </c>
      <c r="AL5" s="22"/>
      <c r="AM5" s="106">
        <v>42462</v>
      </c>
      <c r="AN5" s="126" t="s">
        <v>1127</v>
      </c>
      <c r="AO5" s="6"/>
      <c r="AP5" s="6"/>
      <c r="AQ5" s="6"/>
      <c r="AR5" s="6"/>
      <c r="AS5" s="6"/>
      <c r="BC5" s="283">
        <v>42462</v>
      </c>
      <c r="BD5" s="288" t="s">
        <v>1127</v>
      </c>
    </row>
    <row r="6" spans="1:56" s="7" customFormat="1" ht="15.95" customHeight="1" x14ac:dyDescent="0.25">
      <c r="A6" s="86">
        <v>4</v>
      </c>
      <c r="B6" s="84">
        <f t="shared" si="10"/>
        <v>42463</v>
      </c>
      <c r="C6" s="29" t="s">
        <v>615</v>
      </c>
      <c r="D6" s="113" t="s">
        <v>1042</v>
      </c>
      <c r="E6" s="22" t="s">
        <v>565</v>
      </c>
      <c r="F6" s="27" t="s">
        <v>564</v>
      </c>
      <c r="G6" s="27"/>
      <c r="H6" s="28" t="s">
        <v>78</v>
      </c>
      <c r="I6" s="20">
        <v>41437</v>
      </c>
      <c r="J6" s="115">
        <f t="shared" si="1"/>
        <v>2.8109589041095893</v>
      </c>
      <c r="M6" s="21">
        <v>42227</v>
      </c>
      <c r="N6" s="32">
        <v>42227</v>
      </c>
      <c r="O6" s="82">
        <f t="shared" si="2"/>
        <v>236</v>
      </c>
      <c r="P6" s="19">
        <v>1</v>
      </c>
      <c r="Q6" s="105"/>
      <c r="R6" s="105"/>
      <c r="S6" s="21"/>
      <c r="T6" s="20">
        <v>42430</v>
      </c>
      <c r="U6" s="20">
        <f t="shared" ref="U6:U13" si="11">IF(AND(Y6&gt;1,T6&gt;0),T6+18,"-")</f>
        <v>42448</v>
      </c>
      <c r="V6" s="19">
        <f t="shared" ref="V6:V13" si="12">IF(AND(U6&gt;0,B6&gt;0,Y6&gt;1),B6-U6,"-")</f>
        <v>15</v>
      </c>
      <c r="W6" s="3">
        <v>3</v>
      </c>
      <c r="X6" s="22">
        <f t="shared" si="3"/>
        <v>203</v>
      </c>
      <c r="Y6" s="22">
        <v>3</v>
      </c>
      <c r="Z6" s="22" t="str">
        <f t="shared" si="4"/>
        <v>-</v>
      </c>
      <c r="AA6" s="21">
        <f t="shared" si="5"/>
        <v>42475</v>
      </c>
      <c r="AB6" s="21"/>
      <c r="AC6" s="21" t="str">
        <f t="shared" si="6"/>
        <v>-</v>
      </c>
      <c r="AD6" s="21" t="str">
        <f t="shared" si="7"/>
        <v>-</v>
      </c>
      <c r="AE6" s="21"/>
      <c r="AF6" s="21" t="str">
        <f t="shared" si="8"/>
        <v>-</v>
      </c>
      <c r="AG6" s="21" t="str">
        <f t="shared" si="9"/>
        <v>-</v>
      </c>
      <c r="AH6" s="22">
        <v>1</v>
      </c>
      <c r="AI6" s="18"/>
      <c r="AJ6" s="18"/>
      <c r="AK6" s="22">
        <f>IF(AND(M6&gt;0,I6&gt;0),(M6-I6)/30,"-")</f>
        <v>26.333333333333332</v>
      </c>
      <c r="AL6" s="22"/>
      <c r="AM6" s="106">
        <v>42463</v>
      </c>
      <c r="AN6" s="126" t="s">
        <v>1558</v>
      </c>
      <c r="AO6" s="6"/>
      <c r="AP6" s="6"/>
      <c r="AQ6" s="6"/>
      <c r="AR6" s="6"/>
      <c r="AS6" s="6"/>
      <c r="BC6" s="283">
        <v>42463</v>
      </c>
      <c r="BD6" s="288" t="s">
        <v>1558</v>
      </c>
    </row>
    <row r="7" spans="1:56" s="7" customFormat="1" ht="15.95" customHeight="1" x14ac:dyDescent="0.25">
      <c r="A7" s="86">
        <v>5</v>
      </c>
      <c r="B7" s="84">
        <f t="shared" si="10"/>
        <v>42474</v>
      </c>
      <c r="C7" s="29" t="s">
        <v>616</v>
      </c>
      <c r="D7" s="113" t="s">
        <v>475</v>
      </c>
      <c r="E7" s="22" t="s">
        <v>404</v>
      </c>
      <c r="F7" s="27" t="s">
        <v>742</v>
      </c>
      <c r="G7" s="27"/>
      <c r="H7" s="28" t="s">
        <v>603</v>
      </c>
      <c r="I7" s="20">
        <v>39796</v>
      </c>
      <c r="J7" s="35">
        <f t="shared" si="1"/>
        <v>7.3369863013698629</v>
      </c>
      <c r="M7" s="21">
        <v>40624</v>
      </c>
      <c r="N7" s="32">
        <v>42134</v>
      </c>
      <c r="O7" s="82">
        <f t="shared" si="2"/>
        <v>340</v>
      </c>
      <c r="P7" s="19">
        <v>5</v>
      </c>
      <c r="Q7" s="105"/>
      <c r="R7" s="105"/>
      <c r="S7" s="21">
        <v>42168</v>
      </c>
      <c r="T7" s="20">
        <v>42239</v>
      </c>
      <c r="U7" s="20" t="str">
        <f t="shared" si="11"/>
        <v>-</v>
      </c>
      <c r="V7" s="19" t="str">
        <f t="shared" si="12"/>
        <v>-</v>
      </c>
      <c r="W7" s="3">
        <v>4</v>
      </c>
      <c r="X7" s="22">
        <f t="shared" si="3"/>
        <v>105</v>
      </c>
      <c r="Y7" s="22">
        <v>1</v>
      </c>
      <c r="Z7" s="22" t="str">
        <f t="shared" si="4"/>
        <v>-</v>
      </c>
      <c r="AA7" s="21" t="str">
        <f t="shared" si="5"/>
        <v>-</v>
      </c>
      <c r="AB7" s="21"/>
      <c r="AC7" s="21">
        <f t="shared" si="6"/>
        <v>42430</v>
      </c>
      <c r="AD7" s="21">
        <f t="shared" si="7"/>
        <v>42460</v>
      </c>
      <c r="AE7" s="21">
        <v>42370</v>
      </c>
      <c r="AF7" s="21">
        <f t="shared" si="8"/>
        <v>42499</v>
      </c>
      <c r="AG7" s="21">
        <f t="shared" si="9"/>
        <v>42520</v>
      </c>
      <c r="AH7" s="22">
        <v>1</v>
      </c>
      <c r="AI7" s="18"/>
      <c r="AJ7" s="18"/>
      <c r="AK7" s="22"/>
      <c r="AL7" s="22"/>
      <c r="AM7" s="106">
        <v>42474</v>
      </c>
      <c r="AN7" s="126" t="s">
        <v>1382</v>
      </c>
      <c r="AO7" s="6"/>
      <c r="AP7" s="6"/>
      <c r="AQ7" s="6"/>
      <c r="AR7" s="6"/>
      <c r="AS7" s="6"/>
      <c r="BC7" s="283">
        <v>42474</v>
      </c>
      <c r="BD7" s="288" t="s">
        <v>1382</v>
      </c>
    </row>
    <row r="8" spans="1:56" s="7" customFormat="1" ht="15.95" customHeight="1" x14ac:dyDescent="0.25">
      <c r="A8" s="86">
        <v>6</v>
      </c>
      <c r="B8" s="84">
        <f t="shared" si="10"/>
        <v>42481</v>
      </c>
      <c r="C8" s="29" t="s">
        <v>615</v>
      </c>
      <c r="D8" s="113" t="s">
        <v>1042</v>
      </c>
      <c r="E8" s="22" t="s">
        <v>576</v>
      </c>
      <c r="F8" s="27" t="s">
        <v>577</v>
      </c>
      <c r="G8" s="27"/>
      <c r="H8" s="28" t="s">
        <v>78</v>
      </c>
      <c r="I8" s="20">
        <v>41447</v>
      </c>
      <c r="J8" s="35">
        <f t="shared" si="1"/>
        <v>2.8328767123287673</v>
      </c>
      <c r="M8" s="21">
        <v>42228</v>
      </c>
      <c r="N8" s="32">
        <v>42228</v>
      </c>
      <c r="O8" s="82">
        <f t="shared" si="2"/>
        <v>253</v>
      </c>
      <c r="P8" s="19">
        <v>1</v>
      </c>
      <c r="Q8" s="105"/>
      <c r="R8" s="105"/>
      <c r="S8" s="21"/>
      <c r="T8" s="20">
        <v>42434</v>
      </c>
      <c r="U8" s="20">
        <f t="shared" si="11"/>
        <v>42452</v>
      </c>
      <c r="V8" s="19">
        <f t="shared" si="12"/>
        <v>29</v>
      </c>
      <c r="W8" s="3">
        <v>3</v>
      </c>
      <c r="X8" s="22">
        <f t="shared" si="3"/>
        <v>206</v>
      </c>
      <c r="Y8" s="22">
        <v>3</v>
      </c>
      <c r="Z8" s="22" t="str">
        <f t="shared" si="4"/>
        <v>-</v>
      </c>
      <c r="AA8" s="21">
        <f t="shared" si="5"/>
        <v>42479</v>
      </c>
      <c r="AB8" s="21"/>
      <c r="AC8" s="21" t="str">
        <f t="shared" si="6"/>
        <v>-</v>
      </c>
      <c r="AD8" s="21" t="str">
        <f t="shared" si="7"/>
        <v>-</v>
      </c>
      <c r="AE8" s="21"/>
      <c r="AF8" s="21" t="str">
        <f t="shared" si="8"/>
        <v>-</v>
      </c>
      <c r="AG8" s="21" t="str">
        <f t="shared" si="9"/>
        <v>-</v>
      </c>
      <c r="AH8" s="22">
        <v>1</v>
      </c>
      <c r="AI8" s="18"/>
      <c r="AJ8" s="18" t="str">
        <f t="shared" ref="AJ8:AJ21" si="13">IF(AND(N8&gt;0,S8&gt;0),S8-N8,"-")</f>
        <v>-</v>
      </c>
      <c r="AK8" s="22">
        <f t="shared" ref="AK8:AK21" si="14">IF(AND(M8&gt;0,I8&gt;0),(M8-I8)/30,"-")</f>
        <v>26.033333333333335</v>
      </c>
      <c r="AL8" s="22"/>
      <c r="AM8" s="106">
        <v>42481</v>
      </c>
      <c r="AN8" s="126" t="s">
        <v>1423</v>
      </c>
      <c r="AO8" s="6"/>
      <c r="AP8" s="6"/>
      <c r="AQ8" s="6"/>
      <c r="AR8" s="6"/>
      <c r="AS8" s="6"/>
      <c r="BC8" s="283">
        <v>42481</v>
      </c>
      <c r="BD8" s="288" t="s">
        <v>1423</v>
      </c>
    </row>
    <row r="9" spans="1:56" s="6" customFormat="1" ht="15.95" customHeight="1" x14ac:dyDescent="0.25">
      <c r="A9" s="86">
        <v>7</v>
      </c>
      <c r="B9" s="84">
        <f t="shared" si="10"/>
        <v>42481</v>
      </c>
      <c r="C9" s="29" t="s">
        <v>613</v>
      </c>
      <c r="D9" s="113" t="s">
        <v>907</v>
      </c>
      <c r="E9" s="22" t="s">
        <v>536</v>
      </c>
      <c r="F9" s="27" t="s">
        <v>537</v>
      </c>
      <c r="G9" s="27"/>
      <c r="H9" s="28" t="s">
        <v>620</v>
      </c>
      <c r="I9" s="20">
        <v>41588</v>
      </c>
      <c r="J9" s="35">
        <f t="shared" si="1"/>
        <v>2.4465753424657533</v>
      </c>
      <c r="M9" s="21">
        <v>42412</v>
      </c>
      <c r="N9" s="32">
        <v>42412</v>
      </c>
      <c r="O9" s="82">
        <f t="shared" si="2"/>
        <v>69</v>
      </c>
      <c r="P9" s="19">
        <v>1</v>
      </c>
      <c r="Q9" s="105"/>
      <c r="R9" s="105"/>
      <c r="S9" s="21"/>
      <c r="T9" s="20"/>
      <c r="U9" s="20" t="str">
        <f t="shared" si="11"/>
        <v>-</v>
      </c>
      <c r="V9" s="19" t="str">
        <f t="shared" si="12"/>
        <v>-</v>
      </c>
      <c r="W9" s="3">
        <v>0</v>
      </c>
      <c r="X9" s="22" t="str">
        <f t="shared" si="3"/>
        <v>-</v>
      </c>
      <c r="Y9" s="22">
        <v>0</v>
      </c>
      <c r="Z9" s="22" t="str">
        <f t="shared" si="4"/>
        <v>-</v>
      </c>
      <c r="AA9" s="21" t="str">
        <f t="shared" si="5"/>
        <v>-</v>
      </c>
      <c r="AB9" s="21"/>
      <c r="AC9" s="21" t="str">
        <f t="shared" si="6"/>
        <v>-</v>
      </c>
      <c r="AD9" s="21" t="str">
        <f t="shared" si="7"/>
        <v>-</v>
      </c>
      <c r="AE9" s="21"/>
      <c r="AF9" s="21" t="str">
        <f t="shared" si="8"/>
        <v>-</v>
      </c>
      <c r="AG9" s="21" t="str">
        <f t="shared" si="9"/>
        <v>-</v>
      </c>
      <c r="AH9" s="22">
        <v>1</v>
      </c>
      <c r="AI9" s="18"/>
      <c r="AJ9" s="18" t="str">
        <f t="shared" si="13"/>
        <v>-</v>
      </c>
      <c r="AK9" s="22">
        <f t="shared" si="14"/>
        <v>27.466666666666665</v>
      </c>
      <c r="AL9" s="22"/>
      <c r="AM9" s="106">
        <v>42481</v>
      </c>
      <c r="AN9" s="126" t="s">
        <v>1424</v>
      </c>
      <c r="BC9" s="283">
        <v>42481</v>
      </c>
      <c r="BD9" s="288" t="s">
        <v>1424</v>
      </c>
    </row>
    <row r="10" spans="1:56" s="6" customFormat="1" ht="15.95" customHeight="1" x14ac:dyDescent="0.25">
      <c r="A10" s="86">
        <v>8</v>
      </c>
      <c r="B10" s="84">
        <f t="shared" si="10"/>
        <v>42481</v>
      </c>
      <c r="C10" s="29" t="s">
        <v>614</v>
      </c>
      <c r="D10" s="113" t="s">
        <v>905</v>
      </c>
      <c r="E10" s="22" t="s">
        <v>196</v>
      </c>
      <c r="F10" s="27" t="s">
        <v>197</v>
      </c>
      <c r="G10" s="27"/>
      <c r="H10" s="28" t="s">
        <v>603</v>
      </c>
      <c r="I10" s="20">
        <v>40108</v>
      </c>
      <c r="J10" s="35">
        <f t="shared" si="1"/>
        <v>6.5013698630136982</v>
      </c>
      <c r="M10" s="21">
        <v>40908</v>
      </c>
      <c r="N10" s="32">
        <v>42359</v>
      </c>
      <c r="O10" s="82">
        <f t="shared" si="2"/>
        <v>122</v>
      </c>
      <c r="P10" s="19">
        <v>5</v>
      </c>
      <c r="Q10" s="105"/>
      <c r="R10" s="105"/>
      <c r="S10" s="21">
        <v>42442</v>
      </c>
      <c r="T10" s="20">
        <v>42442</v>
      </c>
      <c r="U10" s="20">
        <f t="shared" si="11"/>
        <v>42460</v>
      </c>
      <c r="V10" s="19">
        <f t="shared" si="12"/>
        <v>21</v>
      </c>
      <c r="W10" s="3">
        <v>1</v>
      </c>
      <c r="X10" s="22">
        <f t="shared" si="3"/>
        <v>83</v>
      </c>
      <c r="Y10" s="22">
        <v>3</v>
      </c>
      <c r="Z10" s="22" t="str">
        <f t="shared" si="4"/>
        <v>-</v>
      </c>
      <c r="AA10" s="21">
        <f t="shared" si="5"/>
        <v>42487</v>
      </c>
      <c r="AB10" s="21"/>
      <c r="AC10" s="21" t="str">
        <f t="shared" si="6"/>
        <v>-</v>
      </c>
      <c r="AD10" s="21" t="str">
        <f t="shared" si="7"/>
        <v>-</v>
      </c>
      <c r="AE10" s="21"/>
      <c r="AF10" s="21" t="str">
        <f t="shared" si="8"/>
        <v>-</v>
      </c>
      <c r="AG10" s="21" t="str">
        <f t="shared" si="9"/>
        <v>-</v>
      </c>
      <c r="AH10" s="22">
        <v>1</v>
      </c>
      <c r="AI10" s="18"/>
      <c r="AJ10" s="18">
        <f t="shared" si="13"/>
        <v>83</v>
      </c>
      <c r="AK10" s="22">
        <f t="shared" si="14"/>
        <v>26.666666666666668</v>
      </c>
      <c r="AL10" s="22"/>
      <c r="AM10" s="106">
        <v>42481</v>
      </c>
      <c r="AN10" s="126" t="s">
        <v>1558</v>
      </c>
      <c r="BC10" s="283">
        <v>42481</v>
      </c>
      <c r="BD10" s="288" t="s">
        <v>1558</v>
      </c>
    </row>
    <row r="11" spans="1:56" s="6" customFormat="1" ht="15.95" customHeight="1" x14ac:dyDescent="0.25">
      <c r="A11" s="86">
        <v>9</v>
      </c>
      <c r="B11" s="84">
        <f t="shared" si="10"/>
        <v>42481</v>
      </c>
      <c r="C11" s="29" t="s">
        <v>613</v>
      </c>
      <c r="D11" s="113" t="s">
        <v>908</v>
      </c>
      <c r="E11" s="22" t="s">
        <v>132</v>
      </c>
      <c r="F11" s="27" t="s">
        <v>133</v>
      </c>
      <c r="G11" s="27"/>
      <c r="H11" s="28" t="s">
        <v>87</v>
      </c>
      <c r="I11" s="20">
        <v>40621</v>
      </c>
      <c r="J11" s="35">
        <f t="shared" si="1"/>
        <v>5.095890410958904</v>
      </c>
      <c r="M11" s="21">
        <v>41581</v>
      </c>
      <c r="N11" s="32">
        <v>42331</v>
      </c>
      <c r="O11" s="82">
        <f t="shared" si="2"/>
        <v>150</v>
      </c>
      <c r="P11" s="19">
        <v>2</v>
      </c>
      <c r="Q11" s="105"/>
      <c r="R11" s="105"/>
      <c r="S11" s="21">
        <v>42388</v>
      </c>
      <c r="T11" s="20">
        <v>42453</v>
      </c>
      <c r="U11" s="20">
        <f t="shared" si="11"/>
        <v>42471</v>
      </c>
      <c r="V11" s="19">
        <f t="shared" si="12"/>
        <v>10</v>
      </c>
      <c r="W11" s="3">
        <v>3</v>
      </c>
      <c r="X11" s="22">
        <f t="shared" si="3"/>
        <v>122</v>
      </c>
      <c r="Y11" s="22">
        <v>3</v>
      </c>
      <c r="Z11" s="22" t="str">
        <f t="shared" si="4"/>
        <v>-</v>
      </c>
      <c r="AA11" s="21">
        <f t="shared" si="5"/>
        <v>42498</v>
      </c>
      <c r="AB11" s="21"/>
      <c r="AC11" s="21" t="str">
        <f t="shared" si="6"/>
        <v>-</v>
      </c>
      <c r="AD11" s="21" t="str">
        <f t="shared" si="7"/>
        <v>-</v>
      </c>
      <c r="AE11" s="21"/>
      <c r="AF11" s="21" t="str">
        <f t="shared" si="8"/>
        <v>-</v>
      </c>
      <c r="AG11" s="21" t="str">
        <f t="shared" si="9"/>
        <v>-</v>
      </c>
      <c r="AH11" s="22">
        <v>1</v>
      </c>
      <c r="AI11" s="18"/>
      <c r="AJ11" s="18">
        <f t="shared" si="13"/>
        <v>57</v>
      </c>
      <c r="AK11" s="22">
        <f t="shared" si="14"/>
        <v>32</v>
      </c>
      <c r="AL11" s="22"/>
      <c r="AM11" s="106">
        <v>42481</v>
      </c>
      <c r="AN11" s="126" t="s">
        <v>1581</v>
      </c>
      <c r="BC11" s="283">
        <v>42481</v>
      </c>
      <c r="BD11" s="288" t="s">
        <v>1581</v>
      </c>
    </row>
    <row r="12" spans="1:56" s="6" customFormat="1" ht="15.95" customHeight="1" x14ac:dyDescent="0.25">
      <c r="A12" s="86">
        <v>10</v>
      </c>
      <c r="B12" s="84">
        <f t="shared" si="10"/>
        <v>42482</v>
      </c>
      <c r="C12" s="29" t="s">
        <v>615</v>
      </c>
      <c r="D12" s="113" t="s">
        <v>798</v>
      </c>
      <c r="E12" s="22" t="s">
        <v>146</v>
      </c>
      <c r="F12" s="27" t="s">
        <v>458</v>
      </c>
      <c r="G12" s="27"/>
      <c r="H12" s="28" t="s">
        <v>78</v>
      </c>
      <c r="I12" s="20">
        <v>41340</v>
      </c>
      <c r="J12" s="35">
        <f t="shared" si="1"/>
        <v>3.128767123287671</v>
      </c>
      <c r="M12" s="21">
        <v>42161</v>
      </c>
      <c r="N12" s="32">
        <v>42161</v>
      </c>
      <c r="O12" s="82">
        <f t="shared" si="2"/>
        <v>321</v>
      </c>
      <c r="P12" s="19">
        <v>1</v>
      </c>
      <c r="Q12" s="105"/>
      <c r="R12" s="105"/>
      <c r="S12" s="21"/>
      <c r="T12" s="20">
        <v>42407</v>
      </c>
      <c r="U12" s="20">
        <f t="shared" si="11"/>
        <v>42425</v>
      </c>
      <c r="V12" s="19">
        <f t="shared" si="12"/>
        <v>57</v>
      </c>
      <c r="W12" s="3">
        <v>4</v>
      </c>
      <c r="X12" s="22">
        <f t="shared" si="3"/>
        <v>246</v>
      </c>
      <c r="Y12" s="22">
        <v>3</v>
      </c>
      <c r="Z12" s="22" t="str">
        <f t="shared" si="4"/>
        <v>-</v>
      </c>
      <c r="AA12" s="21">
        <f t="shared" si="5"/>
        <v>42452</v>
      </c>
      <c r="AB12" s="21"/>
      <c r="AC12" s="21" t="str">
        <f t="shared" si="6"/>
        <v>-</v>
      </c>
      <c r="AD12" s="21" t="str">
        <f t="shared" si="7"/>
        <v>-</v>
      </c>
      <c r="AE12" s="21"/>
      <c r="AF12" s="21" t="str">
        <f t="shared" si="8"/>
        <v>-</v>
      </c>
      <c r="AG12" s="21" t="str">
        <f t="shared" si="9"/>
        <v>-</v>
      </c>
      <c r="AH12" s="22">
        <v>1</v>
      </c>
      <c r="AI12" s="18"/>
      <c r="AJ12" s="18" t="str">
        <f t="shared" si="13"/>
        <v>-</v>
      </c>
      <c r="AK12" s="22">
        <f t="shared" si="14"/>
        <v>27.366666666666667</v>
      </c>
      <c r="AL12" s="22"/>
      <c r="AM12" s="106">
        <v>42482</v>
      </c>
      <c r="AN12" s="126" t="s">
        <v>1446</v>
      </c>
      <c r="BC12" s="283">
        <v>42482</v>
      </c>
      <c r="BD12" s="288" t="s">
        <v>1446</v>
      </c>
    </row>
    <row r="13" spans="1:56" s="6" customFormat="1" ht="15.95" customHeight="1" x14ac:dyDescent="0.25">
      <c r="A13" s="86">
        <v>11</v>
      </c>
      <c r="B13" s="84">
        <f t="shared" si="10"/>
        <v>42486</v>
      </c>
      <c r="C13" s="29" t="s">
        <v>613</v>
      </c>
      <c r="D13" s="113" t="s">
        <v>1439</v>
      </c>
      <c r="E13" s="22" t="s">
        <v>356</v>
      </c>
      <c r="F13" s="27" t="s">
        <v>357</v>
      </c>
      <c r="G13" s="27"/>
      <c r="H13" s="28" t="s">
        <v>603</v>
      </c>
      <c r="I13" s="20">
        <v>40323</v>
      </c>
      <c r="J13" s="35">
        <f t="shared" si="1"/>
        <v>5.9260273972602739</v>
      </c>
      <c r="K13" s="365"/>
      <c r="L13" s="365"/>
      <c r="M13" s="21">
        <v>41245</v>
      </c>
      <c r="N13" s="32">
        <v>41702</v>
      </c>
      <c r="O13" s="82">
        <f t="shared" si="2"/>
        <v>784</v>
      </c>
      <c r="P13" s="19">
        <v>2</v>
      </c>
      <c r="Q13" s="105"/>
      <c r="R13" s="105"/>
      <c r="S13" s="21">
        <v>41785</v>
      </c>
      <c r="T13" s="20">
        <v>42427</v>
      </c>
      <c r="U13" s="20" t="str">
        <f t="shared" si="11"/>
        <v>-</v>
      </c>
      <c r="V13" s="19" t="str">
        <f t="shared" si="12"/>
        <v>-</v>
      </c>
      <c r="W13" s="3">
        <v>9</v>
      </c>
      <c r="X13" s="22">
        <f t="shared" si="3"/>
        <v>725</v>
      </c>
      <c r="Y13" s="22">
        <v>0</v>
      </c>
      <c r="Z13" s="22" t="str">
        <f t="shared" si="4"/>
        <v>яловая</v>
      </c>
      <c r="AA13" s="21" t="str">
        <f t="shared" si="5"/>
        <v>-</v>
      </c>
      <c r="AB13" s="21"/>
      <c r="AC13" s="21" t="str">
        <f t="shared" si="6"/>
        <v>-</v>
      </c>
      <c r="AD13" s="21" t="str">
        <f t="shared" si="7"/>
        <v>-</v>
      </c>
      <c r="AE13" s="21"/>
      <c r="AF13" s="21" t="str">
        <f t="shared" si="8"/>
        <v>-</v>
      </c>
      <c r="AG13" s="21" t="str">
        <f t="shared" si="9"/>
        <v>-</v>
      </c>
      <c r="AH13" s="22">
        <v>1</v>
      </c>
      <c r="AI13" s="18"/>
      <c r="AJ13" s="18">
        <f t="shared" si="13"/>
        <v>83</v>
      </c>
      <c r="AK13" s="22">
        <f t="shared" si="14"/>
        <v>30.733333333333334</v>
      </c>
      <c r="AL13" s="22"/>
      <c r="AM13" s="106">
        <v>42486</v>
      </c>
      <c r="AN13" s="126" t="s">
        <v>1445</v>
      </c>
      <c r="BC13" s="283">
        <v>42486</v>
      </c>
      <c r="BD13" s="288" t="s">
        <v>1445</v>
      </c>
    </row>
    <row r="14" spans="1:56" s="6" customFormat="1" ht="15.95" customHeight="1" x14ac:dyDescent="0.25">
      <c r="A14" s="86">
        <v>12</v>
      </c>
      <c r="B14" s="84">
        <f t="shared" si="10"/>
        <v>42446</v>
      </c>
      <c r="C14" s="29" t="s">
        <v>616</v>
      </c>
      <c r="D14" s="113" t="s">
        <v>475</v>
      </c>
      <c r="E14" s="22" t="s">
        <v>175</v>
      </c>
      <c r="F14" s="27" t="s">
        <v>176</v>
      </c>
      <c r="G14" s="27"/>
      <c r="H14" s="28" t="s">
        <v>87</v>
      </c>
      <c r="I14" s="20">
        <v>40569</v>
      </c>
      <c r="J14" s="114">
        <f t="shared" si="1"/>
        <v>5.1424657534246574</v>
      </c>
      <c r="K14" s="365"/>
      <c r="L14" s="365"/>
      <c r="M14" s="21">
        <v>41612</v>
      </c>
      <c r="N14" s="32">
        <v>42047</v>
      </c>
      <c r="O14" s="82">
        <f t="shared" si="2"/>
        <v>399</v>
      </c>
      <c r="P14" s="19">
        <v>2</v>
      </c>
      <c r="Q14" s="105"/>
      <c r="R14" s="105"/>
      <c r="S14" s="21">
        <v>42109</v>
      </c>
      <c r="T14" s="20">
        <v>42399</v>
      </c>
      <c r="U14" s="20">
        <f>IF(AND(Y14=3,T14&gt;0),T14+18,"-")</f>
        <v>42417</v>
      </c>
      <c r="V14" s="19">
        <f>IF(AND(U14&gt;0,B14&gt;0),B14-U14,"-")</f>
        <v>29</v>
      </c>
      <c r="W14" s="3">
        <v>7</v>
      </c>
      <c r="X14" s="22">
        <f t="shared" si="3"/>
        <v>352</v>
      </c>
      <c r="Y14" s="22">
        <v>3</v>
      </c>
      <c r="Z14" s="22" t="s">
        <v>617</v>
      </c>
      <c r="AA14" s="107">
        <f t="shared" si="5"/>
        <v>42444</v>
      </c>
      <c r="AB14" s="107"/>
      <c r="AC14" s="107" t="str">
        <f t="shared" si="6"/>
        <v>-</v>
      </c>
      <c r="AD14" s="107" t="str">
        <f t="shared" si="7"/>
        <v>-</v>
      </c>
      <c r="AE14" s="107"/>
      <c r="AF14" s="107" t="str">
        <f t="shared" si="8"/>
        <v>-</v>
      </c>
      <c r="AG14" s="107" t="str">
        <f t="shared" si="9"/>
        <v>-</v>
      </c>
      <c r="AH14" s="22">
        <v>1</v>
      </c>
      <c r="AI14" s="18"/>
      <c r="AJ14" s="18">
        <f t="shared" si="13"/>
        <v>62</v>
      </c>
      <c r="AK14" s="22">
        <f t="shared" si="14"/>
        <v>34.766666666666666</v>
      </c>
      <c r="AL14" s="22"/>
      <c r="AM14" s="106">
        <v>42446</v>
      </c>
      <c r="AN14" s="126" t="s">
        <v>1445</v>
      </c>
      <c r="BC14" s="283">
        <v>42446</v>
      </c>
      <c r="BD14" s="288" t="s">
        <v>1445</v>
      </c>
    </row>
    <row r="15" spans="1:56" s="6" customFormat="1" ht="15.95" customHeight="1" x14ac:dyDescent="0.25">
      <c r="A15" s="86">
        <v>13</v>
      </c>
      <c r="B15" s="84">
        <f t="shared" si="10"/>
        <v>42446</v>
      </c>
      <c r="C15" s="29" t="s">
        <v>616</v>
      </c>
      <c r="D15" s="113" t="s">
        <v>475</v>
      </c>
      <c r="E15" s="22" t="s">
        <v>128</v>
      </c>
      <c r="F15" s="27" t="s">
        <v>129</v>
      </c>
      <c r="G15" s="27"/>
      <c r="H15" s="28" t="s">
        <v>87</v>
      </c>
      <c r="I15" s="20">
        <v>40628</v>
      </c>
      <c r="J15" s="114">
        <f t="shared" si="1"/>
        <v>4.9808219178082194</v>
      </c>
      <c r="K15" s="365"/>
      <c r="L15" s="365"/>
      <c r="M15" s="21">
        <v>41579</v>
      </c>
      <c r="N15" s="32">
        <v>42025</v>
      </c>
      <c r="O15" s="82">
        <f t="shared" si="2"/>
        <v>421</v>
      </c>
      <c r="P15" s="19">
        <v>2</v>
      </c>
      <c r="Q15" s="105"/>
      <c r="R15" s="105"/>
      <c r="S15" s="21">
        <v>42069</v>
      </c>
      <c r="T15" s="20">
        <v>42405</v>
      </c>
      <c r="U15" s="20">
        <f>IF(AND(Y15=3,T15&gt;0),T15+18,"-")</f>
        <v>42423</v>
      </c>
      <c r="V15" s="19">
        <f>IF(AND(U15&gt;0,B15&gt;0),B15-U15,"-")</f>
        <v>23</v>
      </c>
      <c r="W15" s="3">
        <v>9</v>
      </c>
      <c r="X15" s="22">
        <f t="shared" si="3"/>
        <v>380</v>
      </c>
      <c r="Y15" s="22">
        <v>3</v>
      </c>
      <c r="Z15" s="22" t="s">
        <v>617</v>
      </c>
      <c r="AA15" s="107">
        <f t="shared" si="5"/>
        <v>42450</v>
      </c>
      <c r="AB15" s="107"/>
      <c r="AC15" s="107" t="str">
        <f t="shared" si="6"/>
        <v>-</v>
      </c>
      <c r="AD15" s="107" t="str">
        <f t="shared" si="7"/>
        <v>-</v>
      </c>
      <c r="AE15" s="107"/>
      <c r="AF15" s="107" t="str">
        <f t="shared" si="8"/>
        <v>-</v>
      </c>
      <c r="AG15" s="107" t="str">
        <f t="shared" si="9"/>
        <v>-</v>
      </c>
      <c r="AH15" s="22">
        <v>1</v>
      </c>
      <c r="AI15" s="18"/>
      <c r="AJ15" s="18">
        <f t="shared" si="13"/>
        <v>44</v>
      </c>
      <c r="AK15" s="22">
        <f t="shared" si="14"/>
        <v>31.7</v>
      </c>
      <c r="AL15" s="22"/>
      <c r="AM15" s="106">
        <v>42446</v>
      </c>
      <c r="AN15" s="126" t="s">
        <v>1996</v>
      </c>
      <c r="BC15" s="283">
        <v>42446</v>
      </c>
      <c r="BD15" s="288" t="s">
        <v>1996</v>
      </c>
    </row>
    <row r="16" spans="1:56" s="6" customFormat="1" ht="15.95" customHeight="1" x14ac:dyDescent="0.25">
      <c r="A16" s="86">
        <v>14</v>
      </c>
      <c r="B16" s="84">
        <f t="shared" si="10"/>
        <v>42452</v>
      </c>
      <c r="C16" s="29" t="s">
        <v>613</v>
      </c>
      <c r="D16" s="113" t="s">
        <v>307</v>
      </c>
      <c r="E16" s="22" t="s">
        <v>152</v>
      </c>
      <c r="F16" s="27" t="s">
        <v>360</v>
      </c>
      <c r="G16" s="27"/>
      <c r="H16" s="28" t="s">
        <v>603</v>
      </c>
      <c r="I16" s="20">
        <v>40668</v>
      </c>
      <c r="J16" s="114">
        <f t="shared" si="1"/>
        <v>4.8876712328767127</v>
      </c>
      <c r="K16" s="365"/>
      <c r="L16" s="365"/>
      <c r="M16" s="21">
        <v>41566</v>
      </c>
      <c r="N16" s="32">
        <v>41566</v>
      </c>
      <c r="O16" s="82">
        <f t="shared" si="2"/>
        <v>886</v>
      </c>
      <c r="P16" s="19">
        <v>1</v>
      </c>
      <c r="Q16" s="105"/>
      <c r="R16" s="105"/>
      <c r="S16" s="21">
        <v>41654</v>
      </c>
      <c r="T16" s="20">
        <v>42294</v>
      </c>
      <c r="U16" s="20" t="str">
        <f>IF(AND(Y16=3,T16&gt;0),T16+18,"-")</f>
        <v>-</v>
      </c>
      <c r="V16" s="19" t="e">
        <f>IF(AND(U16&gt;0,B16&gt;0),B16-U16,"-")</f>
        <v>#VALUE!</v>
      </c>
      <c r="W16" s="3">
        <v>10</v>
      </c>
      <c r="X16" s="22">
        <f t="shared" si="3"/>
        <v>728</v>
      </c>
      <c r="Y16" s="22">
        <v>0</v>
      </c>
      <c r="Z16" s="22" t="s">
        <v>796</v>
      </c>
      <c r="AA16" s="107" t="str">
        <f t="shared" si="5"/>
        <v>-</v>
      </c>
      <c r="AB16" s="107"/>
      <c r="AC16" s="107" t="str">
        <f t="shared" si="6"/>
        <v>-</v>
      </c>
      <c r="AD16" s="107" t="str">
        <f t="shared" si="7"/>
        <v>-</v>
      </c>
      <c r="AE16" s="107"/>
      <c r="AF16" s="107" t="str">
        <f t="shared" si="8"/>
        <v>-</v>
      </c>
      <c r="AG16" s="107" t="str">
        <f t="shared" si="9"/>
        <v>-</v>
      </c>
      <c r="AH16" s="22">
        <v>1</v>
      </c>
      <c r="AI16" s="18"/>
      <c r="AJ16" s="18">
        <f t="shared" si="13"/>
        <v>88</v>
      </c>
      <c r="AK16" s="22">
        <f t="shared" si="14"/>
        <v>29.933333333333334</v>
      </c>
      <c r="AL16" s="22"/>
      <c r="AM16" s="106">
        <v>42452</v>
      </c>
      <c r="AN16" s="126" t="s">
        <v>1998</v>
      </c>
      <c r="BC16" s="283">
        <v>42452</v>
      </c>
      <c r="BD16" s="288" t="s">
        <v>1998</v>
      </c>
    </row>
    <row r="17" spans="1:56" s="6" customFormat="1" ht="15.95" customHeight="1" x14ac:dyDescent="0.25">
      <c r="A17" s="86">
        <v>15</v>
      </c>
      <c r="B17" s="84">
        <f t="shared" si="10"/>
        <v>42450</v>
      </c>
      <c r="C17" s="29" t="s">
        <v>613</v>
      </c>
      <c r="D17" s="113" t="s">
        <v>307</v>
      </c>
      <c r="E17" s="22" t="s">
        <v>310</v>
      </c>
      <c r="F17" s="27" t="s">
        <v>311</v>
      </c>
      <c r="G17" s="27"/>
      <c r="H17" s="28" t="s">
        <v>603</v>
      </c>
      <c r="I17" s="20">
        <v>40318</v>
      </c>
      <c r="J17" s="114">
        <f t="shared" si="1"/>
        <v>5.8410958904109593</v>
      </c>
      <c r="K17" s="365"/>
      <c r="L17" s="365"/>
      <c r="M17" s="21">
        <v>41204</v>
      </c>
      <c r="N17" s="32">
        <v>42050</v>
      </c>
      <c r="O17" s="82">
        <f t="shared" si="2"/>
        <v>400</v>
      </c>
      <c r="P17" s="19">
        <v>3</v>
      </c>
      <c r="Q17" s="105"/>
      <c r="R17" s="105"/>
      <c r="S17" s="21">
        <v>42117</v>
      </c>
      <c r="T17" s="20">
        <v>42296</v>
      </c>
      <c r="U17" s="20" t="str">
        <f>IF(AND(Y17=3,T17&gt;0),T17+18,"-")</f>
        <v>-</v>
      </c>
      <c r="V17" s="19" t="e">
        <f>IF(AND(U17&gt;0,B17&gt;0),B17-U17,"-")</f>
        <v>#VALUE!</v>
      </c>
      <c r="W17" s="3">
        <v>5</v>
      </c>
      <c r="X17" s="22">
        <f t="shared" si="3"/>
        <v>246</v>
      </c>
      <c r="Y17" s="22">
        <v>1</v>
      </c>
      <c r="Z17" s="22" t="s">
        <v>796</v>
      </c>
      <c r="AA17" s="107" t="str">
        <f t="shared" si="5"/>
        <v>-</v>
      </c>
      <c r="AB17" s="107"/>
      <c r="AC17" s="107">
        <f t="shared" si="6"/>
        <v>42487</v>
      </c>
      <c r="AD17" s="107">
        <f t="shared" si="7"/>
        <v>42517</v>
      </c>
      <c r="AE17" s="107"/>
      <c r="AF17" s="107">
        <f t="shared" si="8"/>
        <v>42556</v>
      </c>
      <c r="AG17" s="107">
        <f t="shared" si="9"/>
        <v>42577</v>
      </c>
      <c r="AH17" s="22">
        <v>1</v>
      </c>
      <c r="AI17" s="18"/>
      <c r="AJ17" s="18">
        <f t="shared" si="13"/>
        <v>67</v>
      </c>
      <c r="AK17" s="22">
        <f t="shared" si="14"/>
        <v>29.533333333333335</v>
      </c>
      <c r="AL17" s="22"/>
      <c r="AM17" s="106">
        <v>42450</v>
      </c>
      <c r="AN17" s="126" t="s">
        <v>1995</v>
      </c>
      <c r="BC17" s="283">
        <v>42450</v>
      </c>
      <c r="BD17" s="288" t="s">
        <v>1995</v>
      </c>
    </row>
    <row r="18" spans="1:56" s="6" customFormat="1" ht="15.95" customHeight="1" x14ac:dyDescent="0.25">
      <c r="A18" s="86">
        <v>16</v>
      </c>
      <c r="B18" s="84">
        <f t="shared" si="10"/>
        <v>42450</v>
      </c>
      <c r="C18" s="29" t="s">
        <v>616</v>
      </c>
      <c r="D18" s="113" t="s">
        <v>475</v>
      </c>
      <c r="E18" s="22" t="s">
        <v>292</v>
      </c>
      <c r="F18" s="27" t="s">
        <v>393</v>
      </c>
      <c r="G18" s="27"/>
      <c r="H18" s="28" t="s">
        <v>1960</v>
      </c>
      <c r="I18" s="20">
        <v>40461</v>
      </c>
      <c r="J18" s="114">
        <f t="shared" si="1"/>
        <v>5.4493150684931511</v>
      </c>
      <c r="K18" s="365"/>
      <c r="L18" s="365"/>
      <c r="M18" s="21">
        <v>42030</v>
      </c>
      <c r="N18" s="32">
        <v>42117</v>
      </c>
      <c r="O18" s="82">
        <f t="shared" si="2"/>
        <v>333</v>
      </c>
      <c r="P18" s="19">
        <v>4</v>
      </c>
      <c r="Q18" s="105"/>
      <c r="R18" s="105"/>
      <c r="S18" s="21">
        <v>42172</v>
      </c>
      <c r="T18" s="20">
        <v>42423</v>
      </c>
      <c r="U18" s="20">
        <f>IF(AND(Y18=3,T18&gt;0),T18+18,"-")</f>
        <v>42441</v>
      </c>
      <c r="V18" s="19">
        <f>IF(AND(U18&gt;0,B18&gt;0),B18-U18,"-")</f>
        <v>9</v>
      </c>
      <c r="W18" s="3">
        <v>8</v>
      </c>
      <c r="X18" s="22">
        <f t="shared" si="3"/>
        <v>306</v>
      </c>
      <c r="Y18" s="22">
        <v>3</v>
      </c>
      <c r="Z18" s="22" t="s">
        <v>617</v>
      </c>
      <c r="AA18" s="107">
        <f t="shared" si="5"/>
        <v>42468</v>
      </c>
      <c r="AB18" s="107"/>
      <c r="AC18" s="107" t="str">
        <f t="shared" si="6"/>
        <v>-</v>
      </c>
      <c r="AD18" s="107" t="str">
        <f t="shared" si="7"/>
        <v>-</v>
      </c>
      <c r="AE18" s="107"/>
      <c r="AF18" s="107" t="str">
        <f t="shared" si="8"/>
        <v>-</v>
      </c>
      <c r="AG18" s="107" t="str">
        <f t="shared" si="9"/>
        <v>-</v>
      </c>
      <c r="AH18" s="22">
        <v>1</v>
      </c>
      <c r="AI18" s="18"/>
      <c r="AJ18" s="18">
        <f t="shared" si="13"/>
        <v>55</v>
      </c>
      <c r="AK18" s="22">
        <f t="shared" si="14"/>
        <v>52.3</v>
      </c>
      <c r="AL18" s="22"/>
      <c r="AM18" s="106">
        <v>42450</v>
      </c>
      <c r="AN18" s="126" t="s">
        <v>1445</v>
      </c>
      <c r="BC18" s="283">
        <v>42450</v>
      </c>
      <c r="BD18" s="288" t="s">
        <v>1445</v>
      </c>
    </row>
    <row r="19" spans="1:56" s="6" customFormat="1" ht="15.95" customHeight="1" x14ac:dyDescent="0.25">
      <c r="A19" s="86">
        <v>17</v>
      </c>
      <c r="B19" s="84">
        <f t="shared" si="10"/>
        <v>42452</v>
      </c>
      <c r="C19" s="29" t="s">
        <v>613</v>
      </c>
      <c r="D19" s="113" t="s">
        <v>1047</v>
      </c>
      <c r="E19" s="22" t="s">
        <v>160</v>
      </c>
      <c r="F19" s="27" t="s">
        <v>161</v>
      </c>
      <c r="G19" s="27"/>
      <c r="H19" s="28" t="s">
        <v>87</v>
      </c>
      <c r="I19" s="20">
        <v>40715</v>
      </c>
      <c r="J19" s="35">
        <f t="shared" si="1"/>
        <v>4.7589041095890412</v>
      </c>
      <c r="K19" s="365"/>
      <c r="L19" s="365"/>
      <c r="M19" s="21">
        <v>41602</v>
      </c>
      <c r="N19" s="32">
        <v>42038</v>
      </c>
      <c r="O19" s="82">
        <f t="shared" si="2"/>
        <v>414</v>
      </c>
      <c r="P19" s="19">
        <v>2</v>
      </c>
      <c r="Q19" s="105"/>
      <c r="R19" s="105"/>
      <c r="S19" s="21">
        <v>42062</v>
      </c>
      <c r="T19" s="20">
        <v>42301</v>
      </c>
      <c r="U19" s="20" t="str">
        <f>IF(AND(Y19&gt;1,T19&gt;0),T19+18,"-")</f>
        <v>-</v>
      </c>
      <c r="V19" s="19" t="str">
        <f>IF(AND(U19&gt;0,B19&gt;0,Y19&gt;1),B19-U19,"-")</f>
        <v>-</v>
      </c>
      <c r="W19" s="3">
        <v>5</v>
      </c>
      <c r="X19" s="22">
        <f t="shared" si="3"/>
        <v>263</v>
      </c>
      <c r="Y19" s="22">
        <v>0</v>
      </c>
      <c r="Z19" s="22" t="str">
        <f>IF(AND(O19&gt;140,Y19=0),"яловая","-")</f>
        <v>яловая</v>
      </c>
      <c r="AA19" s="21" t="str">
        <f t="shared" si="5"/>
        <v>-</v>
      </c>
      <c r="AB19" s="21"/>
      <c r="AC19" s="21" t="str">
        <f t="shared" si="6"/>
        <v>-</v>
      </c>
      <c r="AD19" s="21" t="str">
        <f t="shared" si="7"/>
        <v>-</v>
      </c>
      <c r="AE19" s="21"/>
      <c r="AF19" s="21" t="str">
        <f t="shared" si="8"/>
        <v>-</v>
      </c>
      <c r="AG19" s="21" t="str">
        <f t="shared" si="9"/>
        <v>-</v>
      </c>
      <c r="AH19" s="22">
        <v>1</v>
      </c>
      <c r="AI19" s="18"/>
      <c r="AJ19" s="18">
        <f t="shared" si="13"/>
        <v>24</v>
      </c>
      <c r="AK19" s="22">
        <f t="shared" si="14"/>
        <v>29.566666666666666</v>
      </c>
      <c r="AL19" s="22"/>
      <c r="AM19" s="106">
        <v>42452</v>
      </c>
      <c r="AN19" s="126" t="s">
        <v>1445</v>
      </c>
      <c r="BC19" s="283">
        <v>42452</v>
      </c>
      <c r="BD19" s="288" t="s">
        <v>1445</v>
      </c>
    </row>
    <row r="20" spans="1:56" s="6" customFormat="1" ht="15.95" customHeight="1" x14ac:dyDescent="0.25">
      <c r="A20" s="86">
        <v>18</v>
      </c>
      <c r="B20" s="84">
        <f t="shared" si="10"/>
        <v>42432</v>
      </c>
      <c r="C20" s="29" t="s">
        <v>613</v>
      </c>
      <c r="D20" s="113" t="s">
        <v>1047</v>
      </c>
      <c r="E20" s="22" t="s">
        <v>198</v>
      </c>
      <c r="F20" s="27" t="s">
        <v>199</v>
      </c>
      <c r="G20" s="27"/>
      <c r="H20" s="28" t="s">
        <v>603</v>
      </c>
      <c r="I20" s="20">
        <v>40409</v>
      </c>
      <c r="J20" s="35">
        <f t="shared" si="1"/>
        <v>5.5424657534246577</v>
      </c>
      <c r="K20" s="365"/>
      <c r="L20" s="365"/>
      <c r="M20" s="21">
        <v>41251</v>
      </c>
      <c r="N20" s="32">
        <v>42001</v>
      </c>
      <c r="O20" s="82">
        <f t="shared" si="2"/>
        <v>431</v>
      </c>
      <c r="P20" s="19">
        <v>3</v>
      </c>
      <c r="Q20" s="105"/>
      <c r="R20" s="105"/>
      <c r="S20" s="21">
        <v>42051</v>
      </c>
      <c r="T20" s="20">
        <v>42351</v>
      </c>
      <c r="U20" s="20" t="str">
        <f>IF(AND(Y20&gt;1,T20&gt;0),T20+18,"-")</f>
        <v>-</v>
      </c>
      <c r="V20" s="19" t="str">
        <f>IF(AND(U20&gt;0,B20&gt;0,Y20&gt;1),B20-U20,"-")</f>
        <v>-</v>
      </c>
      <c r="W20" s="3">
        <v>7</v>
      </c>
      <c r="X20" s="22">
        <f t="shared" si="3"/>
        <v>350</v>
      </c>
      <c r="Y20" s="22">
        <v>0</v>
      </c>
      <c r="Z20" s="22" t="str">
        <f>IF(AND(O20&gt;140,Y20=0),"яловая","-")</f>
        <v>яловая</v>
      </c>
      <c r="AA20" s="21" t="str">
        <f t="shared" si="5"/>
        <v>-</v>
      </c>
      <c r="AB20" s="21"/>
      <c r="AC20" s="21" t="str">
        <f t="shared" si="6"/>
        <v>-</v>
      </c>
      <c r="AD20" s="21" t="str">
        <f t="shared" si="7"/>
        <v>-</v>
      </c>
      <c r="AE20" s="21"/>
      <c r="AF20" s="21" t="str">
        <f t="shared" si="8"/>
        <v>-</v>
      </c>
      <c r="AG20" s="21" t="str">
        <f t="shared" si="9"/>
        <v>-</v>
      </c>
      <c r="AH20" s="22">
        <v>1</v>
      </c>
      <c r="AI20" s="18"/>
      <c r="AJ20" s="18">
        <f t="shared" si="13"/>
        <v>50</v>
      </c>
      <c r="AK20" s="22">
        <f t="shared" si="14"/>
        <v>28.066666666666666</v>
      </c>
      <c r="AL20" s="22"/>
      <c r="AM20" s="106">
        <v>42432</v>
      </c>
      <c r="AN20" s="126" t="s">
        <v>1996</v>
      </c>
      <c r="BC20" s="283">
        <v>42432</v>
      </c>
      <c r="BD20" s="288" t="s">
        <v>1996</v>
      </c>
    </row>
    <row r="21" spans="1:56" s="6" customFormat="1" ht="15.95" customHeight="1" x14ac:dyDescent="0.25">
      <c r="A21" s="86">
        <v>19</v>
      </c>
      <c r="B21" s="84">
        <f t="shared" si="10"/>
        <v>42441</v>
      </c>
      <c r="C21" s="29" t="s">
        <v>613</v>
      </c>
      <c r="D21" s="113" t="s">
        <v>1047</v>
      </c>
      <c r="E21" s="22" t="s">
        <v>187</v>
      </c>
      <c r="F21" s="27" t="s">
        <v>188</v>
      </c>
      <c r="G21" s="27"/>
      <c r="H21" s="28" t="s">
        <v>87</v>
      </c>
      <c r="I21" s="20">
        <v>40627</v>
      </c>
      <c r="J21" s="35">
        <f t="shared" si="1"/>
        <v>4.9698630136986299</v>
      </c>
      <c r="M21" s="21">
        <v>41633</v>
      </c>
      <c r="N21" s="32">
        <v>42416</v>
      </c>
      <c r="O21" s="82">
        <f t="shared" si="2"/>
        <v>25</v>
      </c>
      <c r="P21" s="19">
        <v>3</v>
      </c>
      <c r="Q21" s="105"/>
      <c r="R21" s="105"/>
      <c r="S21" s="21"/>
      <c r="T21" s="20"/>
      <c r="U21" s="20" t="str">
        <f>IF(AND(Y21&gt;1,T21&gt;0),T21+18,"-")</f>
        <v>-</v>
      </c>
      <c r="V21" s="19" t="str">
        <f>IF(AND(U21&gt;0,B21&gt;0,Y21&gt;1),B21-U21,"-")</f>
        <v>-</v>
      </c>
      <c r="W21" s="3"/>
      <c r="X21" s="22" t="str">
        <f t="shared" si="3"/>
        <v>-</v>
      </c>
      <c r="Y21" s="22"/>
      <c r="Z21" s="22" t="str">
        <f>IF(AND(O21&gt;140,Y21=0),"яловая","-")</f>
        <v>-</v>
      </c>
      <c r="AA21" s="21" t="str">
        <f t="shared" si="5"/>
        <v>-</v>
      </c>
      <c r="AB21" s="21"/>
      <c r="AC21" s="21" t="str">
        <f t="shared" si="6"/>
        <v>-</v>
      </c>
      <c r="AD21" s="21" t="str">
        <f t="shared" si="7"/>
        <v>-</v>
      </c>
      <c r="AE21" s="21"/>
      <c r="AF21" s="21" t="str">
        <f t="shared" si="8"/>
        <v>-</v>
      </c>
      <c r="AG21" s="21" t="str">
        <f t="shared" si="9"/>
        <v>-</v>
      </c>
      <c r="AH21" s="22">
        <v>1</v>
      </c>
      <c r="AI21" s="18"/>
      <c r="AJ21" s="18" t="str">
        <f t="shared" si="13"/>
        <v>-</v>
      </c>
      <c r="AK21" s="22">
        <f t="shared" si="14"/>
        <v>33.533333333333331</v>
      </c>
      <c r="AL21" s="22"/>
      <c r="AM21" s="106">
        <v>42441</v>
      </c>
      <c r="AN21" s="126" t="s">
        <v>1558</v>
      </c>
      <c r="BC21" s="283">
        <v>42441</v>
      </c>
      <c r="BD21" s="288" t="s">
        <v>1558</v>
      </c>
    </row>
    <row r="22" spans="1:56" s="6" customFormat="1" ht="15.95" customHeight="1" x14ac:dyDescent="0.25">
      <c r="A22" s="86">
        <v>20</v>
      </c>
      <c r="B22" s="84">
        <f t="shared" si="10"/>
        <v>42495</v>
      </c>
      <c r="C22" s="29"/>
      <c r="D22" s="113" t="s">
        <v>475</v>
      </c>
      <c r="E22" s="22" t="s">
        <v>275</v>
      </c>
      <c r="F22" s="27" t="s">
        <v>276</v>
      </c>
      <c r="G22" s="27"/>
      <c r="H22" s="28" t="s">
        <v>603</v>
      </c>
      <c r="I22" s="20">
        <v>40465</v>
      </c>
      <c r="J22" s="35">
        <f t="shared" si="1"/>
        <v>5.5616438356164384</v>
      </c>
      <c r="K22" s="365"/>
      <c r="L22" s="365"/>
      <c r="M22" s="21">
        <v>41263</v>
      </c>
      <c r="N22" s="32">
        <v>41967</v>
      </c>
      <c r="O22" s="82">
        <f t="shared" ref="O22:O53" si="15">IF(AND(B22&gt;0,N22&gt;0),B22-N22,"-")</f>
        <v>528</v>
      </c>
      <c r="P22" s="19">
        <v>3</v>
      </c>
      <c r="Q22" s="105"/>
      <c r="R22" s="105"/>
      <c r="S22" s="3"/>
      <c r="T22" s="21">
        <v>42053</v>
      </c>
      <c r="U22" s="20">
        <v>42338</v>
      </c>
      <c r="V22" s="20" t="str">
        <f>IF(AND(Z22&gt;1,U22&gt;0),U22+18,"-")</f>
        <v>-</v>
      </c>
      <c r="W22" s="19" t="str">
        <f>IF(AND(V22&gt;0,B22&gt;0,Z22&gt;1),B22-V22,"-")</f>
        <v>-</v>
      </c>
      <c r="X22" s="3">
        <v>9</v>
      </c>
      <c r="Y22" s="22">
        <f>IF(AND(N22&gt;0,U22&gt;0),U22-N22,"-")</f>
        <v>371</v>
      </c>
      <c r="Z22" s="22">
        <v>0</v>
      </c>
      <c r="AA22" s="22" t="str">
        <f>IF(AND(O22&gt;140,Z22=0),"яловая","-")</f>
        <v>яловая</v>
      </c>
      <c r="AB22" s="21" t="str">
        <f>IF(AND(U22&gt;0,Z22&gt;1),U22+45,"-")</f>
        <v>-</v>
      </c>
      <c r="AC22" s="21"/>
      <c r="AD22" s="21" t="str">
        <f>IF(AND($U22&gt;0,$N22&gt;0,$Z22=1),$U22+281-90,"-")</f>
        <v>-</v>
      </c>
      <c r="AE22" s="21" t="str">
        <f>IF(AND(U22&gt;0,Z22=1,N22&gt;0),U22+281-60,"-")</f>
        <v>-</v>
      </c>
      <c r="AF22" s="21">
        <v>42430</v>
      </c>
      <c r="AG22" s="21" t="str">
        <f>IF(AND($U22&gt;0,$Z22=1),$U22+281-21,"-")</f>
        <v>-</v>
      </c>
      <c r="AH22" s="21" t="str">
        <f>IF(AND(U22&gt;0,Z22=1),U22+281,"-")</f>
        <v>-</v>
      </c>
      <c r="AI22" s="22">
        <v>1</v>
      </c>
      <c r="AJ22" s="18"/>
      <c r="AK22" s="18">
        <f>IF(AND(N22&gt;0,T22&gt;0),T22-N22,"-")</f>
        <v>86</v>
      </c>
      <c r="AL22" s="18"/>
      <c r="AM22" s="120">
        <v>42495</v>
      </c>
      <c r="AN22" s="126" t="s">
        <v>1445</v>
      </c>
      <c r="BC22" s="284">
        <v>42495</v>
      </c>
      <c r="BD22" s="288" t="s">
        <v>1445</v>
      </c>
    </row>
    <row r="23" spans="1:56" s="6" customFormat="1" ht="15.95" customHeight="1" x14ac:dyDescent="0.25">
      <c r="A23" s="86">
        <v>21</v>
      </c>
      <c r="B23" s="84">
        <f t="shared" si="10"/>
        <v>42495</v>
      </c>
      <c r="C23" s="29"/>
      <c r="D23" s="113" t="s">
        <v>903</v>
      </c>
      <c r="E23" s="22" t="s">
        <v>379</v>
      </c>
      <c r="F23" s="27" t="s">
        <v>380</v>
      </c>
      <c r="G23" s="27"/>
      <c r="H23" s="28" t="s">
        <v>603</v>
      </c>
      <c r="I23" s="20">
        <v>40380</v>
      </c>
      <c r="J23" s="35">
        <f t="shared" si="1"/>
        <v>5.7945205479452051</v>
      </c>
      <c r="M23" s="21">
        <v>41303</v>
      </c>
      <c r="N23" s="32">
        <v>42213</v>
      </c>
      <c r="O23" s="82">
        <f t="shared" si="15"/>
        <v>282</v>
      </c>
      <c r="P23" s="19">
        <v>3</v>
      </c>
      <c r="Q23" s="105"/>
      <c r="R23" s="105"/>
      <c r="S23" s="3"/>
      <c r="T23" s="21">
        <v>42261</v>
      </c>
      <c r="U23" s="20">
        <v>42434</v>
      </c>
      <c r="V23" s="20" t="str">
        <f>IF(AND(Z23&gt;1,U23&gt;0),U23+18,"-")</f>
        <v>-</v>
      </c>
      <c r="W23" s="19" t="str">
        <f>IF(AND(V23&gt;0,B23&gt;0,Z23&gt;1),B23-V23,"-")</f>
        <v>-</v>
      </c>
      <c r="X23" s="3">
        <v>6</v>
      </c>
      <c r="Y23" s="22">
        <f>IF(AND(N23&gt;0,U23&gt;0),U23-N23,"-")</f>
        <v>221</v>
      </c>
      <c r="Z23" s="22">
        <v>0</v>
      </c>
      <c r="AA23" s="22" t="str">
        <f>IF(AND(O23&gt;140,Z23=0),"яловая","-")</f>
        <v>яловая</v>
      </c>
      <c r="AB23" s="21" t="str">
        <f>IF(AND(U23&gt;0,Z23&gt;1),U23+45,"-")</f>
        <v>-</v>
      </c>
      <c r="AC23" s="21"/>
      <c r="AD23" s="21" t="str">
        <f>IF(AND($U23&gt;0,$N23&gt;0,$Z23=1),$U23+281-90,"-")</f>
        <v>-</v>
      </c>
      <c r="AE23" s="21" t="str">
        <f>IF(AND(U23&gt;0,Z23=1,N23&gt;0),U23+281-60,"-")</f>
        <v>-</v>
      </c>
      <c r="AF23" s="21"/>
      <c r="AG23" s="21" t="str">
        <f>IF(AND($U23&gt;0,$Z23=1),$U23+281-21,"-")</f>
        <v>-</v>
      </c>
      <c r="AH23" s="21" t="str">
        <f>IF(AND(U23&gt;0,Z23=1),U23+281,"-")</f>
        <v>-</v>
      </c>
      <c r="AI23" s="22">
        <v>1</v>
      </c>
      <c r="AJ23" s="18"/>
      <c r="AK23" s="18">
        <f>IF(AND(N23&gt;0,T23&gt;0),T23-N23,"-")</f>
        <v>48</v>
      </c>
      <c r="AL23" s="18"/>
      <c r="AM23" s="120">
        <v>42495</v>
      </c>
      <c r="AN23" s="126" t="s">
        <v>1961</v>
      </c>
      <c r="BC23" s="284">
        <v>42495</v>
      </c>
      <c r="BD23" s="288" t="s">
        <v>1961</v>
      </c>
    </row>
    <row r="24" spans="1:56" s="6" customFormat="1" ht="15.95" customHeight="1" x14ac:dyDescent="0.25">
      <c r="A24" s="86">
        <v>22</v>
      </c>
      <c r="B24" s="84">
        <f t="shared" si="10"/>
        <v>42495</v>
      </c>
      <c r="C24" s="29"/>
      <c r="D24" s="113" t="s">
        <v>1440</v>
      </c>
      <c r="E24" s="22" t="s">
        <v>136</v>
      </c>
      <c r="F24" s="27" t="s">
        <v>137</v>
      </c>
      <c r="G24" s="27"/>
      <c r="H24" s="28" t="s">
        <v>87</v>
      </c>
      <c r="I24" s="20">
        <v>40656</v>
      </c>
      <c r="J24" s="35">
        <f t="shared" si="1"/>
        <v>5.0383561643835613</v>
      </c>
      <c r="M24" s="21">
        <v>41584</v>
      </c>
      <c r="N24" s="32">
        <v>42288</v>
      </c>
      <c r="O24" s="82">
        <f t="shared" si="15"/>
        <v>207</v>
      </c>
      <c r="P24" s="19">
        <v>2</v>
      </c>
      <c r="Q24" s="105"/>
      <c r="R24" s="105"/>
      <c r="S24" s="3"/>
      <c r="T24" s="21">
        <v>42290</v>
      </c>
      <c r="U24" s="20">
        <v>42334</v>
      </c>
      <c r="V24" s="20" t="str">
        <f>IF(AND(Z24&gt;1,U24&gt;0),U24+18,"-")</f>
        <v>-</v>
      </c>
      <c r="W24" s="19" t="str">
        <f>IF(AND(V24&gt;0,B24&gt;0,Z24&gt;1),B24-V24,"-")</f>
        <v>-</v>
      </c>
      <c r="X24" s="3">
        <v>2</v>
      </c>
      <c r="Y24" s="22">
        <f>IF(AND(N24&gt;0,U24&gt;0),U24-N24,"-")</f>
        <v>46</v>
      </c>
      <c r="Z24" s="22">
        <v>0</v>
      </c>
      <c r="AA24" s="22" t="str">
        <f>IF(AND(O24&gt;140,Z24=0),"яловая","-")</f>
        <v>яловая</v>
      </c>
      <c r="AB24" s="21" t="str">
        <f>IF(AND(U24&gt;0,Z24&gt;1),U24+45,"-")</f>
        <v>-</v>
      </c>
      <c r="AC24" s="21"/>
      <c r="AD24" s="21" t="str">
        <f>IF(AND($U24&gt;0,$N24&gt;0,$Z24=1),$U24+281-90,"-")</f>
        <v>-</v>
      </c>
      <c r="AE24" s="21" t="str">
        <f>IF(AND(U24&gt;0,Z24=1,N24&gt;0),U24+281-60,"-")</f>
        <v>-</v>
      </c>
      <c r="AF24" s="21"/>
      <c r="AG24" s="21" t="str">
        <f>IF(AND($U24&gt;0,$Z24=1),$U24+281-21,"-")</f>
        <v>-</v>
      </c>
      <c r="AH24" s="21" t="str">
        <f>IF(AND(U24&gt;0,Z24=1),U24+281,"-")</f>
        <v>-</v>
      </c>
      <c r="AI24" s="22">
        <v>1</v>
      </c>
      <c r="AJ24" s="18"/>
      <c r="AK24" s="18">
        <f>IF(AND(N24&gt;0,T24&gt;0),T24-N24,"-")</f>
        <v>2</v>
      </c>
      <c r="AL24" s="18"/>
      <c r="AM24" s="120">
        <v>42495</v>
      </c>
      <c r="AN24" s="126" t="s">
        <v>1537</v>
      </c>
      <c r="BC24" s="284">
        <v>42495</v>
      </c>
      <c r="BD24" s="288" t="s">
        <v>1537</v>
      </c>
    </row>
    <row r="25" spans="1:56" s="6" customFormat="1" ht="15.95" customHeight="1" x14ac:dyDescent="0.25">
      <c r="A25" s="86">
        <v>23</v>
      </c>
      <c r="B25" s="84">
        <f t="shared" si="10"/>
        <v>42500</v>
      </c>
      <c r="C25" s="29" t="s">
        <v>613</v>
      </c>
      <c r="D25" s="59" t="s">
        <v>903</v>
      </c>
      <c r="E25" s="22" t="s">
        <v>177</v>
      </c>
      <c r="F25" s="27" t="s">
        <v>178</v>
      </c>
      <c r="G25" s="27"/>
      <c r="H25" s="28" t="s">
        <v>87</v>
      </c>
      <c r="I25" s="20">
        <v>40568</v>
      </c>
      <c r="J25" s="35">
        <f t="shared" si="1"/>
        <v>5.2931506849315069</v>
      </c>
      <c r="M25" s="60">
        <v>41613</v>
      </c>
      <c r="N25" s="32">
        <v>42236</v>
      </c>
      <c r="O25" s="82">
        <f t="shared" si="15"/>
        <v>264</v>
      </c>
      <c r="P25" s="19">
        <v>2</v>
      </c>
      <c r="Q25" s="108"/>
      <c r="R25" s="108"/>
      <c r="S25" s="21">
        <v>42320</v>
      </c>
      <c r="T25" s="20">
        <v>42407</v>
      </c>
      <c r="U25" s="20" t="str">
        <f t="shared" ref="U25:U38" si="16">IF(AND(Y25&gt;1,T25&gt;0),T25+18,"-")</f>
        <v>-</v>
      </c>
      <c r="V25" s="19" t="str">
        <f t="shared" ref="V25:V38" si="17">IF(AND(U25&gt;0,B25&gt;0,Y25&gt;1),B25-U25,"-")</f>
        <v>-</v>
      </c>
      <c r="W25" s="3">
        <v>2</v>
      </c>
      <c r="X25" s="22">
        <f t="shared" ref="X25:X38" si="18">IF(AND(N25&gt;0,T25&gt;0),T25-N25,"-")</f>
        <v>171</v>
      </c>
      <c r="Y25" s="22">
        <v>0</v>
      </c>
      <c r="Z25" s="22" t="str">
        <f t="shared" ref="Z25:Z37" si="19">IF(AND(O25&gt;140,Y25=0),"яловая","-")</f>
        <v>яловая</v>
      </c>
      <c r="AA25" s="20" t="str">
        <f t="shared" ref="AA25:AA38" si="20">IF(AND(T25&gt;0,OR(Y25=3,Y25=2)),T25+45,"-")</f>
        <v>-</v>
      </c>
      <c r="AB25" s="21"/>
      <c r="AC25" s="21" t="str">
        <f t="shared" ref="AC25:AC38" si="21">IF(AND($T25&gt;0,$N25&gt;0,$Y25=1),$T25+281-90,"-")</f>
        <v>-</v>
      </c>
      <c r="AD25" s="21" t="str">
        <f t="shared" ref="AD25:AD38" si="22">IF(AND(T25&gt;0,Y25=1,N25&gt;0),T25+281-60,"-")</f>
        <v>-</v>
      </c>
      <c r="AE25" s="21"/>
      <c r="AF25" s="21" t="str">
        <f t="shared" ref="AF25:AF38" si="23">IF(AND($T25&gt;0,$Y25=1),$T25+281-21,"-")</f>
        <v>-</v>
      </c>
      <c r="AG25" s="21" t="str">
        <f t="shared" ref="AG25:AG38" si="24">IF(AND(T25&gt;0,Y25=1),T25+281,"-")</f>
        <v>-</v>
      </c>
      <c r="AH25" s="22">
        <v>1</v>
      </c>
      <c r="AI25" s="18"/>
      <c r="AJ25" s="18">
        <f t="shared" ref="AJ25:AJ38" si="25">IF(AND(N25&gt;0,S25&gt;0),S25-N25,"-")</f>
        <v>84</v>
      </c>
      <c r="AK25" s="22">
        <f t="shared" ref="AK25:AK37" si="26">IF(AND(M25&gt;0,I25&gt;0),(M25-I25)/30,"-")</f>
        <v>34.833333333333336</v>
      </c>
      <c r="AL25" s="80" t="str">
        <f t="shared" ref="AL25:AL38" si="27">IF(AND(Z25="яловая",O25&gt;300),"БРАК","-")</f>
        <v>-</v>
      </c>
      <c r="AM25" s="120">
        <v>42500</v>
      </c>
      <c r="AN25" s="126" t="s">
        <v>1537</v>
      </c>
      <c r="BC25" s="284">
        <v>42500</v>
      </c>
      <c r="BD25" s="288" t="s">
        <v>1537</v>
      </c>
    </row>
    <row r="26" spans="1:56" s="6" customFormat="1" ht="15.95" customHeight="1" x14ac:dyDescent="0.25">
      <c r="A26" s="86">
        <v>24</v>
      </c>
      <c r="B26" s="84">
        <f t="shared" si="10"/>
        <v>42500</v>
      </c>
      <c r="C26" s="29" t="s">
        <v>614</v>
      </c>
      <c r="D26" s="59" t="s">
        <v>907</v>
      </c>
      <c r="E26" s="22" t="s">
        <v>39</v>
      </c>
      <c r="F26" s="27" t="s">
        <v>548</v>
      </c>
      <c r="G26" s="27"/>
      <c r="H26" s="28" t="s">
        <v>87</v>
      </c>
      <c r="I26" s="20">
        <v>41481</v>
      </c>
      <c r="J26" s="35">
        <f t="shared" si="1"/>
        <v>2.7917808219178082</v>
      </c>
      <c r="M26" s="60">
        <v>42430</v>
      </c>
      <c r="N26" s="32">
        <v>42430</v>
      </c>
      <c r="O26" s="82">
        <f t="shared" si="15"/>
        <v>70</v>
      </c>
      <c r="P26" s="19">
        <v>1</v>
      </c>
      <c r="Q26" s="108"/>
      <c r="R26" s="108"/>
      <c r="S26" s="21"/>
      <c r="T26" s="20"/>
      <c r="U26" s="20" t="str">
        <f t="shared" si="16"/>
        <v>-</v>
      </c>
      <c r="V26" s="19" t="str">
        <f t="shared" si="17"/>
        <v>-</v>
      </c>
      <c r="W26" s="3">
        <v>0</v>
      </c>
      <c r="X26" s="22" t="str">
        <f t="shared" si="18"/>
        <v>-</v>
      </c>
      <c r="Y26" s="22">
        <v>0</v>
      </c>
      <c r="Z26" s="22" t="str">
        <f t="shared" si="19"/>
        <v>-</v>
      </c>
      <c r="AA26" s="20" t="str">
        <f t="shared" si="20"/>
        <v>-</v>
      </c>
      <c r="AB26" s="21"/>
      <c r="AC26" s="21" t="str">
        <f t="shared" si="21"/>
        <v>-</v>
      </c>
      <c r="AD26" s="21" t="str">
        <f t="shared" si="22"/>
        <v>-</v>
      </c>
      <c r="AE26" s="21"/>
      <c r="AF26" s="21" t="str">
        <f t="shared" si="23"/>
        <v>-</v>
      </c>
      <c r="AG26" s="21" t="str">
        <f t="shared" si="24"/>
        <v>-</v>
      </c>
      <c r="AH26" s="22">
        <v>1</v>
      </c>
      <c r="AI26" s="18"/>
      <c r="AJ26" s="18" t="str">
        <f t="shared" si="25"/>
        <v>-</v>
      </c>
      <c r="AK26" s="22">
        <f t="shared" si="26"/>
        <v>31.633333333333333</v>
      </c>
      <c r="AL26" s="80" t="str">
        <f t="shared" si="27"/>
        <v>-</v>
      </c>
      <c r="AM26" s="120">
        <v>42500</v>
      </c>
      <c r="AN26" s="126" t="s">
        <v>1901</v>
      </c>
      <c r="BC26" s="284">
        <v>42500</v>
      </c>
      <c r="BD26" s="288" t="s">
        <v>1901</v>
      </c>
    </row>
    <row r="27" spans="1:56" s="2" customFormat="1" ht="15.95" customHeight="1" x14ac:dyDescent="0.25">
      <c r="A27" s="86">
        <v>25</v>
      </c>
      <c r="B27" s="84">
        <f t="shared" si="10"/>
        <v>42504</v>
      </c>
      <c r="C27" s="29" t="s">
        <v>614</v>
      </c>
      <c r="D27" s="59" t="s">
        <v>909</v>
      </c>
      <c r="E27" s="22" t="s">
        <v>83</v>
      </c>
      <c r="F27" s="27" t="s">
        <v>84</v>
      </c>
      <c r="G27" s="27"/>
      <c r="H27" s="28" t="s">
        <v>603</v>
      </c>
      <c r="I27" s="20">
        <v>40638</v>
      </c>
      <c r="J27" s="35">
        <f t="shared" si="1"/>
        <v>5.1123287671232873</v>
      </c>
      <c r="M27" s="60">
        <v>41578</v>
      </c>
      <c r="N27" s="32">
        <v>42409</v>
      </c>
      <c r="O27" s="82">
        <f t="shared" si="15"/>
        <v>95</v>
      </c>
      <c r="P27" s="19">
        <v>3</v>
      </c>
      <c r="Q27" s="108" t="s">
        <v>1448</v>
      </c>
      <c r="R27" s="108"/>
      <c r="S27" s="21">
        <v>42468</v>
      </c>
      <c r="T27" s="20">
        <v>42468</v>
      </c>
      <c r="U27" s="20">
        <f t="shared" si="16"/>
        <v>42486</v>
      </c>
      <c r="V27" s="19">
        <f t="shared" si="17"/>
        <v>18</v>
      </c>
      <c r="W27" s="3">
        <v>1</v>
      </c>
      <c r="X27" s="22">
        <f t="shared" si="18"/>
        <v>59</v>
      </c>
      <c r="Y27" s="22">
        <v>3</v>
      </c>
      <c r="Z27" s="22" t="str">
        <f t="shared" si="19"/>
        <v>-</v>
      </c>
      <c r="AA27" s="20">
        <f t="shared" si="20"/>
        <v>42513</v>
      </c>
      <c r="AB27" s="21"/>
      <c r="AC27" s="21" t="str">
        <f t="shared" si="21"/>
        <v>-</v>
      </c>
      <c r="AD27" s="21" t="str">
        <f t="shared" si="22"/>
        <v>-</v>
      </c>
      <c r="AE27" s="21"/>
      <c r="AF27" s="21" t="str">
        <f t="shared" si="23"/>
        <v>-</v>
      </c>
      <c r="AG27" s="21" t="str">
        <f t="shared" si="24"/>
        <v>-</v>
      </c>
      <c r="AH27" s="22">
        <v>1</v>
      </c>
      <c r="AI27" s="18"/>
      <c r="AJ27" s="18">
        <f t="shared" si="25"/>
        <v>59</v>
      </c>
      <c r="AK27" s="22">
        <f t="shared" si="26"/>
        <v>31.333333333333332</v>
      </c>
      <c r="AL27" s="80" t="str">
        <f t="shared" si="27"/>
        <v>-</v>
      </c>
      <c r="AM27" s="120">
        <v>42504</v>
      </c>
      <c r="AN27" s="126" t="s">
        <v>1499</v>
      </c>
      <c r="BC27" s="284">
        <v>42504</v>
      </c>
      <c r="BD27" s="288" t="s">
        <v>1499</v>
      </c>
    </row>
    <row r="28" spans="1:56" s="6" customFormat="1" ht="15.95" customHeight="1" x14ac:dyDescent="0.25">
      <c r="A28" s="86">
        <v>26</v>
      </c>
      <c r="B28" s="84">
        <f t="shared" si="10"/>
        <v>42509</v>
      </c>
      <c r="C28" s="29" t="s">
        <v>613</v>
      </c>
      <c r="D28" s="59" t="s">
        <v>903</v>
      </c>
      <c r="E28" s="22" t="s">
        <v>361</v>
      </c>
      <c r="F28" s="27" t="s">
        <v>362</v>
      </c>
      <c r="G28" s="27"/>
      <c r="H28" s="28" t="s">
        <v>603</v>
      </c>
      <c r="I28" s="20">
        <v>40644</v>
      </c>
      <c r="J28" s="35">
        <f t="shared" si="1"/>
        <v>5.1095890410958908</v>
      </c>
      <c r="K28" s="365"/>
      <c r="L28" s="365"/>
      <c r="M28" s="60">
        <v>41643</v>
      </c>
      <c r="N28" s="32">
        <v>42001</v>
      </c>
      <c r="O28" s="82">
        <f t="shared" si="15"/>
        <v>508</v>
      </c>
      <c r="P28" s="19">
        <v>2</v>
      </c>
      <c r="Q28" s="109"/>
      <c r="R28" s="109"/>
      <c r="S28" s="21">
        <v>42062</v>
      </c>
      <c r="T28" s="20">
        <v>42411</v>
      </c>
      <c r="U28" s="20" t="str">
        <f t="shared" si="16"/>
        <v>-</v>
      </c>
      <c r="V28" s="19" t="str">
        <f t="shared" si="17"/>
        <v>-</v>
      </c>
      <c r="W28" s="3">
        <v>8</v>
      </c>
      <c r="X28" s="22">
        <f t="shared" si="18"/>
        <v>410</v>
      </c>
      <c r="Y28" s="22">
        <v>0</v>
      </c>
      <c r="Z28" s="22" t="str">
        <f t="shared" si="19"/>
        <v>яловая</v>
      </c>
      <c r="AA28" s="20" t="str">
        <f t="shared" si="20"/>
        <v>-</v>
      </c>
      <c r="AB28" s="21"/>
      <c r="AC28" s="21" t="str">
        <f t="shared" si="21"/>
        <v>-</v>
      </c>
      <c r="AD28" s="21" t="str">
        <f t="shared" si="22"/>
        <v>-</v>
      </c>
      <c r="AE28" s="21"/>
      <c r="AF28" s="21" t="str">
        <f t="shared" si="23"/>
        <v>-</v>
      </c>
      <c r="AG28" s="21" t="str">
        <f t="shared" si="24"/>
        <v>-</v>
      </c>
      <c r="AH28" s="22">
        <v>1</v>
      </c>
      <c r="AI28" s="18"/>
      <c r="AJ28" s="18">
        <f t="shared" si="25"/>
        <v>61</v>
      </c>
      <c r="AK28" s="22">
        <f t="shared" si="26"/>
        <v>33.299999999999997</v>
      </c>
      <c r="AL28" s="80" t="str">
        <f t="shared" si="27"/>
        <v>БРАК</v>
      </c>
      <c r="AM28" s="120">
        <v>42509</v>
      </c>
      <c r="AN28" s="126" t="s">
        <v>1445</v>
      </c>
      <c r="BC28" s="284">
        <v>42509</v>
      </c>
      <c r="BD28" s="288" t="s">
        <v>1445</v>
      </c>
    </row>
    <row r="29" spans="1:56" s="6" customFormat="1" ht="15.95" customHeight="1" x14ac:dyDescent="0.25">
      <c r="A29" s="86">
        <v>27</v>
      </c>
      <c r="B29" s="84">
        <f t="shared" si="10"/>
        <v>42509</v>
      </c>
      <c r="C29" s="29" t="s">
        <v>613</v>
      </c>
      <c r="D29" s="59" t="s">
        <v>903</v>
      </c>
      <c r="E29" s="22" t="s">
        <v>385</v>
      </c>
      <c r="F29" s="27" t="s">
        <v>386</v>
      </c>
      <c r="G29" s="27"/>
      <c r="H29" s="28" t="s">
        <v>603</v>
      </c>
      <c r="I29" s="20">
        <v>40572</v>
      </c>
      <c r="J29" s="35">
        <f t="shared" si="1"/>
        <v>5.3068493150684928</v>
      </c>
      <c r="K29" s="365"/>
      <c r="L29" s="365"/>
      <c r="M29" s="60">
        <v>41270</v>
      </c>
      <c r="N29" s="32">
        <v>41856</v>
      </c>
      <c r="O29" s="82">
        <f t="shared" si="15"/>
        <v>653</v>
      </c>
      <c r="P29" s="19">
        <v>2</v>
      </c>
      <c r="Q29" s="109"/>
      <c r="R29" s="109"/>
      <c r="S29" s="21">
        <v>41929</v>
      </c>
      <c r="T29" s="20">
        <v>42419</v>
      </c>
      <c r="U29" s="20" t="str">
        <f t="shared" si="16"/>
        <v>-</v>
      </c>
      <c r="V29" s="19" t="str">
        <f t="shared" si="17"/>
        <v>-</v>
      </c>
      <c r="W29" s="3">
        <v>8</v>
      </c>
      <c r="X29" s="22">
        <f t="shared" si="18"/>
        <v>563</v>
      </c>
      <c r="Y29" s="22">
        <v>0</v>
      </c>
      <c r="Z29" s="22" t="str">
        <f t="shared" si="19"/>
        <v>яловая</v>
      </c>
      <c r="AA29" s="20" t="str">
        <f t="shared" si="20"/>
        <v>-</v>
      </c>
      <c r="AB29" s="21"/>
      <c r="AC29" s="21" t="str">
        <f t="shared" si="21"/>
        <v>-</v>
      </c>
      <c r="AD29" s="21" t="str">
        <f t="shared" si="22"/>
        <v>-</v>
      </c>
      <c r="AE29" s="21"/>
      <c r="AF29" s="21" t="str">
        <f t="shared" si="23"/>
        <v>-</v>
      </c>
      <c r="AG29" s="21" t="str">
        <f t="shared" si="24"/>
        <v>-</v>
      </c>
      <c r="AH29" s="22">
        <v>1</v>
      </c>
      <c r="AI29" s="18"/>
      <c r="AJ29" s="18">
        <f t="shared" si="25"/>
        <v>73</v>
      </c>
      <c r="AK29" s="22">
        <f t="shared" si="26"/>
        <v>23.266666666666666</v>
      </c>
      <c r="AL29" s="80" t="str">
        <f t="shared" si="27"/>
        <v>БРАК</v>
      </c>
      <c r="AM29" s="120">
        <v>42509</v>
      </c>
      <c r="AN29" s="126" t="s">
        <v>1445</v>
      </c>
      <c r="BC29" s="284">
        <v>42509</v>
      </c>
      <c r="BD29" s="288" t="s">
        <v>1445</v>
      </c>
    </row>
    <row r="30" spans="1:56" s="6" customFormat="1" ht="15.95" customHeight="1" x14ac:dyDescent="0.25">
      <c r="A30" s="86">
        <v>28</v>
      </c>
      <c r="B30" s="84">
        <f t="shared" si="10"/>
        <v>42509</v>
      </c>
      <c r="C30" s="29" t="s">
        <v>613</v>
      </c>
      <c r="D30" s="59" t="s">
        <v>903</v>
      </c>
      <c r="E30" s="22" t="s">
        <v>333</v>
      </c>
      <c r="F30" s="27" t="s">
        <v>334</v>
      </c>
      <c r="G30" s="27"/>
      <c r="H30" s="28" t="s">
        <v>603</v>
      </c>
      <c r="I30" s="20">
        <v>40604</v>
      </c>
      <c r="J30" s="35">
        <f t="shared" si="1"/>
        <v>5.2191780821917808</v>
      </c>
      <c r="K30" s="365"/>
      <c r="L30" s="365"/>
      <c r="M30" s="60">
        <v>41359</v>
      </c>
      <c r="N30" s="32">
        <v>41776</v>
      </c>
      <c r="O30" s="82">
        <f t="shared" si="15"/>
        <v>733</v>
      </c>
      <c r="P30" s="19">
        <v>2</v>
      </c>
      <c r="Q30" s="109"/>
      <c r="R30" s="109"/>
      <c r="S30" s="21">
        <v>41858</v>
      </c>
      <c r="T30" s="20">
        <v>42399</v>
      </c>
      <c r="U30" s="20" t="str">
        <f t="shared" si="16"/>
        <v>-</v>
      </c>
      <c r="V30" s="19" t="str">
        <f t="shared" si="17"/>
        <v>-</v>
      </c>
      <c r="W30" s="3">
        <v>9</v>
      </c>
      <c r="X30" s="22">
        <f t="shared" si="18"/>
        <v>623</v>
      </c>
      <c r="Y30" s="22">
        <v>0</v>
      </c>
      <c r="Z30" s="22" t="str">
        <f t="shared" si="19"/>
        <v>яловая</v>
      </c>
      <c r="AA30" s="20" t="str">
        <f t="shared" si="20"/>
        <v>-</v>
      </c>
      <c r="AB30" s="21"/>
      <c r="AC30" s="21" t="str">
        <f t="shared" si="21"/>
        <v>-</v>
      </c>
      <c r="AD30" s="21" t="str">
        <f t="shared" si="22"/>
        <v>-</v>
      </c>
      <c r="AE30" s="21"/>
      <c r="AF30" s="21" t="str">
        <f t="shared" si="23"/>
        <v>-</v>
      </c>
      <c r="AG30" s="21" t="str">
        <f t="shared" si="24"/>
        <v>-</v>
      </c>
      <c r="AH30" s="22">
        <v>1</v>
      </c>
      <c r="AI30" s="18"/>
      <c r="AJ30" s="18">
        <f t="shared" si="25"/>
        <v>82</v>
      </c>
      <c r="AK30" s="22">
        <f t="shared" si="26"/>
        <v>25.166666666666668</v>
      </c>
      <c r="AL30" s="80" t="str">
        <f t="shared" si="27"/>
        <v>БРАК</v>
      </c>
      <c r="AM30" s="120">
        <v>42509</v>
      </c>
      <c r="AN30" s="126" t="s">
        <v>1445</v>
      </c>
      <c r="BC30" s="284">
        <v>42509</v>
      </c>
      <c r="BD30" s="288" t="s">
        <v>1445</v>
      </c>
    </row>
    <row r="31" spans="1:56" s="6" customFormat="1" ht="15.95" customHeight="1" x14ac:dyDescent="0.25">
      <c r="A31" s="86">
        <v>29</v>
      </c>
      <c r="B31" s="84">
        <f t="shared" si="10"/>
        <v>42511</v>
      </c>
      <c r="C31" s="29" t="s">
        <v>613</v>
      </c>
      <c r="D31" s="59" t="s">
        <v>1502</v>
      </c>
      <c r="E31" s="22" t="s">
        <v>91</v>
      </c>
      <c r="F31" s="27" t="s">
        <v>92</v>
      </c>
      <c r="G31" s="27"/>
      <c r="H31" s="28" t="s">
        <v>603</v>
      </c>
      <c r="I31" s="20">
        <v>40918</v>
      </c>
      <c r="J31" s="35">
        <f t="shared" si="1"/>
        <v>4.3643835616438356</v>
      </c>
      <c r="K31" s="365"/>
      <c r="L31" s="365"/>
      <c r="M31" s="60">
        <v>41647</v>
      </c>
      <c r="N31" s="32">
        <v>42461</v>
      </c>
      <c r="O31" s="82">
        <f t="shared" si="15"/>
        <v>50</v>
      </c>
      <c r="P31" s="19">
        <v>3</v>
      </c>
      <c r="Q31" s="109"/>
      <c r="R31" s="109"/>
      <c r="S31" s="21"/>
      <c r="T31" s="20"/>
      <c r="U31" s="20" t="str">
        <f t="shared" si="16"/>
        <v>-</v>
      </c>
      <c r="V31" s="19" t="str">
        <f t="shared" si="17"/>
        <v>-</v>
      </c>
      <c r="W31" s="3">
        <v>0</v>
      </c>
      <c r="X31" s="22" t="str">
        <f t="shared" si="18"/>
        <v>-</v>
      </c>
      <c r="Y31" s="22">
        <v>0</v>
      </c>
      <c r="Z31" s="22" t="str">
        <f t="shared" si="19"/>
        <v>-</v>
      </c>
      <c r="AA31" s="20" t="str">
        <f t="shared" si="20"/>
        <v>-</v>
      </c>
      <c r="AB31" s="21"/>
      <c r="AC31" s="21" t="str">
        <f t="shared" si="21"/>
        <v>-</v>
      </c>
      <c r="AD31" s="21" t="str">
        <f t="shared" si="22"/>
        <v>-</v>
      </c>
      <c r="AE31" s="21"/>
      <c r="AF31" s="21" t="str">
        <f t="shared" si="23"/>
        <v>-</v>
      </c>
      <c r="AG31" s="21" t="str">
        <f t="shared" si="24"/>
        <v>-</v>
      </c>
      <c r="AH31" s="22">
        <v>1</v>
      </c>
      <c r="AI31" s="18"/>
      <c r="AJ31" s="18" t="str">
        <f t="shared" si="25"/>
        <v>-</v>
      </c>
      <c r="AK31" s="22">
        <f t="shared" si="26"/>
        <v>24.3</v>
      </c>
      <c r="AL31" s="80" t="str">
        <f t="shared" si="27"/>
        <v>-</v>
      </c>
      <c r="AM31" s="120">
        <v>42511</v>
      </c>
      <c r="AN31" s="126" t="s">
        <v>1445</v>
      </c>
      <c r="BC31" s="284">
        <v>42511</v>
      </c>
      <c r="BD31" s="288" t="s">
        <v>1445</v>
      </c>
    </row>
    <row r="32" spans="1:56" s="6" customFormat="1" ht="15.95" customHeight="1" x14ac:dyDescent="0.25">
      <c r="A32" s="86">
        <v>30</v>
      </c>
      <c r="B32" s="84">
        <f t="shared" si="10"/>
        <v>42511</v>
      </c>
      <c r="C32" s="29" t="s">
        <v>613</v>
      </c>
      <c r="D32" s="59" t="s">
        <v>1502</v>
      </c>
      <c r="E32" s="22" t="s">
        <v>342</v>
      </c>
      <c r="F32" s="27" t="s">
        <v>343</v>
      </c>
      <c r="G32" s="27"/>
      <c r="H32" s="28" t="s">
        <v>603</v>
      </c>
      <c r="I32" s="20">
        <v>40632</v>
      </c>
      <c r="J32" s="35">
        <f t="shared" si="1"/>
        <v>5.1479452054794521</v>
      </c>
      <c r="K32" s="365"/>
      <c r="L32" s="365"/>
      <c r="M32" s="60">
        <v>41361</v>
      </c>
      <c r="N32" s="32">
        <v>41785</v>
      </c>
      <c r="O32" s="82">
        <f t="shared" si="15"/>
        <v>726</v>
      </c>
      <c r="P32" s="19">
        <v>2</v>
      </c>
      <c r="Q32" s="109"/>
      <c r="R32" s="109"/>
      <c r="S32" s="21">
        <v>42048</v>
      </c>
      <c r="T32" s="20">
        <v>42373</v>
      </c>
      <c r="U32" s="20" t="str">
        <f t="shared" si="16"/>
        <v>-</v>
      </c>
      <c r="V32" s="19" t="str">
        <f t="shared" si="17"/>
        <v>-</v>
      </c>
      <c r="W32" s="3">
        <v>4</v>
      </c>
      <c r="X32" s="22">
        <f t="shared" si="18"/>
        <v>588</v>
      </c>
      <c r="Y32" s="22">
        <v>0</v>
      </c>
      <c r="Z32" s="22" t="str">
        <f t="shared" si="19"/>
        <v>яловая</v>
      </c>
      <c r="AA32" s="20" t="str">
        <f t="shared" si="20"/>
        <v>-</v>
      </c>
      <c r="AB32" s="21"/>
      <c r="AC32" s="21" t="str">
        <f t="shared" si="21"/>
        <v>-</v>
      </c>
      <c r="AD32" s="21" t="str">
        <f t="shared" si="22"/>
        <v>-</v>
      </c>
      <c r="AE32" s="21"/>
      <c r="AF32" s="21" t="str">
        <f t="shared" si="23"/>
        <v>-</v>
      </c>
      <c r="AG32" s="21" t="str">
        <f t="shared" si="24"/>
        <v>-</v>
      </c>
      <c r="AH32" s="22">
        <v>1</v>
      </c>
      <c r="AI32" s="18"/>
      <c r="AJ32" s="18">
        <f t="shared" si="25"/>
        <v>263</v>
      </c>
      <c r="AK32" s="22">
        <f t="shared" si="26"/>
        <v>24.3</v>
      </c>
      <c r="AL32" s="80" t="str">
        <f t="shared" si="27"/>
        <v>БРАК</v>
      </c>
      <c r="AM32" s="120">
        <v>42511</v>
      </c>
      <c r="AN32" s="126" t="s">
        <v>1445</v>
      </c>
      <c r="BC32" s="284">
        <v>42511</v>
      </c>
      <c r="BD32" s="288" t="s">
        <v>1445</v>
      </c>
    </row>
    <row r="33" spans="1:56" s="6" customFormat="1" ht="15.95" customHeight="1" x14ac:dyDescent="0.25">
      <c r="A33" s="86">
        <v>31</v>
      </c>
      <c r="B33" s="84">
        <f t="shared" si="10"/>
        <v>42511</v>
      </c>
      <c r="C33" s="29" t="s">
        <v>613</v>
      </c>
      <c r="D33" s="59" t="s">
        <v>1502</v>
      </c>
      <c r="E33" s="22" t="s">
        <v>922</v>
      </c>
      <c r="F33" s="27" t="s">
        <v>923</v>
      </c>
      <c r="G33" s="27"/>
      <c r="H33" s="28" t="s">
        <v>721</v>
      </c>
      <c r="I33" s="20">
        <v>41091</v>
      </c>
      <c r="J33" s="35">
        <f t="shared" si="1"/>
        <v>3.8904109589041096</v>
      </c>
      <c r="K33" s="365"/>
      <c r="L33" s="365"/>
      <c r="M33" s="60">
        <v>41869</v>
      </c>
      <c r="N33" s="32">
        <v>42283</v>
      </c>
      <c r="O33" s="82">
        <f t="shared" si="15"/>
        <v>228</v>
      </c>
      <c r="P33" s="19">
        <v>2</v>
      </c>
      <c r="Q33" s="109"/>
      <c r="R33" s="109"/>
      <c r="S33" s="21">
        <v>42393</v>
      </c>
      <c r="T33" s="20">
        <v>42429</v>
      </c>
      <c r="U33" s="20" t="str">
        <f t="shared" si="16"/>
        <v>-</v>
      </c>
      <c r="V33" s="19" t="str">
        <f t="shared" si="17"/>
        <v>-</v>
      </c>
      <c r="W33" s="3">
        <v>4</v>
      </c>
      <c r="X33" s="22">
        <f t="shared" si="18"/>
        <v>146</v>
      </c>
      <c r="Y33" s="22">
        <v>0</v>
      </c>
      <c r="Z33" s="22" t="str">
        <f t="shared" si="19"/>
        <v>яловая</v>
      </c>
      <c r="AA33" s="20" t="str">
        <f t="shared" si="20"/>
        <v>-</v>
      </c>
      <c r="AB33" s="21"/>
      <c r="AC33" s="21" t="str">
        <f t="shared" si="21"/>
        <v>-</v>
      </c>
      <c r="AD33" s="21" t="str">
        <f t="shared" si="22"/>
        <v>-</v>
      </c>
      <c r="AE33" s="21"/>
      <c r="AF33" s="21" t="str">
        <f t="shared" si="23"/>
        <v>-</v>
      </c>
      <c r="AG33" s="21" t="str">
        <f t="shared" si="24"/>
        <v>-</v>
      </c>
      <c r="AH33" s="22">
        <v>1</v>
      </c>
      <c r="AI33" s="18"/>
      <c r="AJ33" s="18">
        <f t="shared" si="25"/>
        <v>110</v>
      </c>
      <c r="AK33" s="22">
        <f t="shared" si="26"/>
        <v>25.933333333333334</v>
      </c>
      <c r="AL33" s="80" t="str">
        <f t="shared" si="27"/>
        <v>-</v>
      </c>
      <c r="AM33" s="120">
        <v>42511</v>
      </c>
      <c r="AN33" s="126" t="s">
        <v>1445</v>
      </c>
      <c r="BC33" s="284">
        <v>42511</v>
      </c>
      <c r="BD33" s="288" t="s">
        <v>1445</v>
      </c>
    </row>
    <row r="34" spans="1:56" s="6" customFormat="1" ht="15.95" customHeight="1" x14ac:dyDescent="0.25">
      <c r="A34" s="86">
        <v>32</v>
      </c>
      <c r="B34" s="84">
        <f t="shared" si="10"/>
        <v>42512</v>
      </c>
      <c r="C34" s="29" t="s">
        <v>613</v>
      </c>
      <c r="D34" s="59" t="s">
        <v>1502</v>
      </c>
      <c r="E34" s="22" t="s">
        <v>55</v>
      </c>
      <c r="F34" s="27" t="s">
        <v>56</v>
      </c>
      <c r="G34" s="27"/>
      <c r="H34" s="28" t="s">
        <v>78</v>
      </c>
      <c r="I34" s="20">
        <v>40179</v>
      </c>
      <c r="J34" s="35">
        <f t="shared" si="1"/>
        <v>6.3917808219178083</v>
      </c>
      <c r="M34" s="60">
        <v>41036</v>
      </c>
      <c r="N34" s="32">
        <v>41787</v>
      </c>
      <c r="O34" s="82">
        <f t="shared" si="15"/>
        <v>725</v>
      </c>
      <c r="P34" s="19">
        <v>2</v>
      </c>
      <c r="Q34" s="109"/>
      <c r="R34" s="109"/>
      <c r="S34" s="21">
        <v>41833</v>
      </c>
      <c r="T34" s="20">
        <v>42435</v>
      </c>
      <c r="U34" s="20" t="str">
        <f t="shared" si="16"/>
        <v>-</v>
      </c>
      <c r="V34" s="19" t="str">
        <f t="shared" si="17"/>
        <v>-</v>
      </c>
      <c r="W34" s="3">
        <v>11</v>
      </c>
      <c r="X34" s="22">
        <f t="shared" si="18"/>
        <v>648</v>
      </c>
      <c r="Y34" s="22">
        <v>0</v>
      </c>
      <c r="Z34" s="22" t="str">
        <f t="shared" si="19"/>
        <v>яловая</v>
      </c>
      <c r="AA34" s="20" t="str">
        <f t="shared" si="20"/>
        <v>-</v>
      </c>
      <c r="AB34" s="21"/>
      <c r="AC34" s="21" t="str">
        <f t="shared" si="21"/>
        <v>-</v>
      </c>
      <c r="AD34" s="21" t="str">
        <f t="shared" si="22"/>
        <v>-</v>
      </c>
      <c r="AE34" s="21"/>
      <c r="AF34" s="21" t="str">
        <f t="shared" si="23"/>
        <v>-</v>
      </c>
      <c r="AG34" s="21" t="str">
        <f t="shared" si="24"/>
        <v>-</v>
      </c>
      <c r="AH34" s="22">
        <v>1</v>
      </c>
      <c r="AI34" s="18"/>
      <c r="AJ34" s="18">
        <f t="shared" si="25"/>
        <v>46</v>
      </c>
      <c r="AK34" s="22">
        <f t="shared" si="26"/>
        <v>28.566666666666666</v>
      </c>
      <c r="AL34" s="80" t="str">
        <f t="shared" si="27"/>
        <v>БРАК</v>
      </c>
      <c r="AM34" s="120">
        <v>42512</v>
      </c>
      <c r="AN34" s="126" t="s">
        <v>1962</v>
      </c>
      <c r="BC34" s="284">
        <v>42512</v>
      </c>
      <c r="BD34" s="288" t="s">
        <v>1962</v>
      </c>
    </row>
    <row r="35" spans="1:56" s="6" customFormat="1" ht="15.95" customHeight="1" x14ac:dyDescent="0.25">
      <c r="A35" s="86">
        <v>33</v>
      </c>
      <c r="B35" s="84">
        <f t="shared" si="10"/>
        <v>42512</v>
      </c>
      <c r="C35" s="29" t="s">
        <v>613</v>
      </c>
      <c r="D35" s="59" t="s">
        <v>1502</v>
      </c>
      <c r="E35" s="22" t="s">
        <v>363</v>
      </c>
      <c r="F35" s="27" t="s">
        <v>364</v>
      </c>
      <c r="G35" s="27"/>
      <c r="H35" s="28" t="s">
        <v>603</v>
      </c>
      <c r="I35" s="20">
        <v>40587</v>
      </c>
      <c r="J35" s="35">
        <f t="shared" ref="J35:J66" si="28">(B35-I35)/365</f>
        <v>5.2739726027397262</v>
      </c>
      <c r="M35" s="60">
        <v>41658</v>
      </c>
      <c r="N35" s="32">
        <v>42051</v>
      </c>
      <c r="O35" s="82">
        <f t="shared" si="15"/>
        <v>461</v>
      </c>
      <c r="P35" s="19">
        <v>2</v>
      </c>
      <c r="Q35" s="109"/>
      <c r="R35" s="109"/>
      <c r="S35" s="21">
        <v>42134</v>
      </c>
      <c r="T35" s="20">
        <v>42427</v>
      </c>
      <c r="U35" s="20" t="str">
        <f t="shared" si="16"/>
        <v>-</v>
      </c>
      <c r="V35" s="19" t="str">
        <f t="shared" si="17"/>
        <v>-</v>
      </c>
      <c r="W35" s="3">
        <v>6</v>
      </c>
      <c r="X35" s="22">
        <f t="shared" si="18"/>
        <v>376</v>
      </c>
      <c r="Y35" s="22">
        <v>0</v>
      </c>
      <c r="Z35" s="22" t="str">
        <f t="shared" si="19"/>
        <v>яловая</v>
      </c>
      <c r="AA35" s="20" t="str">
        <f t="shared" si="20"/>
        <v>-</v>
      </c>
      <c r="AB35" s="21"/>
      <c r="AC35" s="21" t="str">
        <f t="shared" si="21"/>
        <v>-</v>
      </c>
      <c r="AD35" s="21" t="str">
        <f t="shared" si="22"/>
        <v>-</v>
      </c>
      <c r="AE35" s="21"/>
      <c r="AF35" s="21" t="str">
        <f t="shared" si="23"/>
        <v>-</v>
      </c>
      <c r="AG35" s="21" t="str">
        <f t="shared" si="24"/>
        <v>-</v>
      </c>
      <c r="AH35" s="22">
        <v>1</v>
      </c>
      <c r="AI35" s="18"/>
      <c r="AJ35" s="18">
        <f t="shared" si="25"/>
        <v>83</v>
      </c>
      <c r="AK35" s="22">
        <f t="shared" si="26"/>
        <v>35.700000000000003</v>
      </c>
      <c r="AL35" s="80" t="str">
        <f t="shared" si="27"/>
        <v>БРАК</v>
      </c>
      <c r="AM35" s="120">
        <v>42512</v>
      </c>
      <c r="AN35" s="126" t="s">
        <v>1963</v>
      </c>
      <c r="BC35" s="284">
        <v>42512</v>
      </c>
      <c r="BD35" s="288" t="s">
        <v>1963</v>
      </c>
    </row>
    <row r="36" spans="1:56" s="6" customFormat="1" ht="15.95" customHeight="1" x14ac:dyDescent="0.25">
      <c r="A36" s="86">
        <v>34</v>
      </c>
      <c r="B36" s="84">
        <f t="shared" si="10"/>
        <v>42512</v>
      </c>
      <c r="C36" s="29" t="s">
        <v>613</v>
      </c>
      <c r="D36" s="59" t="s">
        <v>1502</v>
      </c>
      <c r="E36" s="22" t="s">
        <v>833</v>
      </c>
      <c r="F36" s="27" t="s">
        <v>834</v>
      </c>
      <c r="G36" s="27"/>
      <c r="H36" s="28" t="s">
        <v>603</v>
      </c>
      <c r="I36" s="20">
        <v>41074</v>
      </c>
      <c r="J36" s="35">
        <f t="shared" si="28"/>
        <v>3.9397260273972603</v>
      </c>
      <c r="M36" s="60">
        <v>41794</v>
      </c>
      <c r="N36" s="32">
        <v>42341</v>
      </c>
      <c r="O36" s="82">
        <f t="shared" si="15"/>
        <v>171</v>
      </c>
      <c r="P36" s="19">
        <v>2</v>
      </c>
      <c r="Q36" s="109"/>
      <c r="R36" s="109"/>
      <c r="S36" s="21">
        <v>42403</v>
      </c>
      <c r="T36" s="20">
        <v>42467</v>
      </c>
      <c r="U36" s="20">
        <f t="shared" si="16"/>
        <v>42485</v>
      </c>
      <c r="V36" s="19">
        <f t="shared" si="17"/>
        <v>27</v>
      </c>
      <c r="W36" s="3">
        <v>3</v>
      </c>
      <c r="X36" s="22">
        <f t="shared" si="18"/>
        <v>126</v>
      </c>
      <c r="Y36" s="22">
        <v>3</v>
      </c>
      <c r="Z36" s="22" t="str">
        <f t="shared" si="19"/>
        <v>-</v>
      </c>
      <c r="AA36" s="20">
        <f t="shared" si="20"/>
        <v>42512</v>
      </c>
      <c r="AB36" s="21"/>
      <c r="AC36" s="21" t="str">
        <f t="shared" si="21"/>
        <v>-</v>
      </c>
      <c r="AD36" s="21" t="str">
        <f t="shared" si="22"/>
        <v>-</v>
      </c>
      <c r="AE36" s="21"/>
      <c r="AF36" s="21" t="str">
        <f t="shared" si="23"/>
        <v>-</v>
      </c>
      <c r="AG36" s="21" t="str">
        <f t="shared" si="24"/>
        <v>-</v>
      </c>
      <c r="AH36" s="22">
        <v>1</v>
      </c>
      <c r="AI36" s="18"/>
      <c r="AJ36" s="18">
        <f t="shared" si="25"/>
        <v>62</v>
      </c>
      <c r="AK36" s="22">
        <f t="shared" si="26"/>
        <v>24</v>
      </c>
      <c r="AL36" s="80" t="str">
        <f t="shared" si="27"/>
        <v>-</v>
      </c>
      <c r="AM36" s="120">
        <v>42512</v>
      </c>
      <c r="AN36" s="126" t="s">
        <v>1991</v>
      </c>
      <c r="BC36" s="284">
        <v>42512</v>
      </c>
      <c r="BD36" s="288" t="s">
        <v>1991</v>
      </c>
    </row>
    <row r="37" spans="1:56" s="6" customFormat="1" ht="15.95" customHeight="1" x14ac:dyDescent="0.25">
      <c r="A37" s="86">
        <v>35</v>
      </c>
      <c r="B37" s="84">
        <f t="shared" si="10"/>
        <v>42515</v>
      </c>
      <c r="C37" s="29"/>
      <c r="D37" s="59" t="s">
        <v>1456</v>
      </c>
      <c r="E37" s="22" t="s">
        <v>608</v>
      </c>
      <c r="F37" s="27" t="s">
        <v>609</v>
      </c>
      <c r="G37" s="27"/>
      <c r="H37" s="28" t="s">
        <v>603</v>
      </c>
      <c r="I37" s="20">
        <v>41379</v>
      </c>
      <c r="J37" s="35">
        <f t="shared" si="28"/>
        <v>3.1123287671232878</v>
      </c>
      <c r="M37" s="60">
        <v>42112</v>
      </c>
      <c r="N37" s="32">
        <v>42511</v>
      </c>
      <c r="O37" s="82">
        <f t="shared" si="15"/>
        <v>4</v>
      </c>
      <c r="P37" s="19">
        <v>2</v>
      </c>
      <c r="Q37" s="109"/>
      <c r="R37" s="109"/>
      <c r="S37" s="21"/>
      <c r="T37" s="20"/>
      <c r="U37" s="20" t="str">
        <f t="shared" si="16"/>
        <v>-</v>
      </c>
      <c r="V37" s="19" t="str">
        <f t="shared" si="17"/>
        <v>-</v>
      </c>
      <c r="W37" s="3"/>
      <c r="X37" s="22" t="str">
        <f t="shared" si="18"/>
        <v>-</v>
      </c>
      <c r="Y37" s="22"/>
      <c r="Z37" s="22" t="str">
        <f t="shared" si="19"/>
        <v>-</v>
      </c>
      <c r="AA37" s="20" t="str">
        <f t="shared" si="20"/>
        <v>-</v>
      </c>
      <c r="AB37" s="21"/>
      <c r="AC37" s="21" t="str">
        <f t="shared" si="21"/>
        <v>-</v>
      </c>
      <c r="AD37" s="21" t="str">
        <f t="shared" si="22"/>
        <v>-</v>
      </c>
      <c r="AE37" s="21"/>
      <c r="AF37" s="21" t="str">
        <f t="shared" si="23"/>
        <v>-</v>
      </c>
      <c r="AG37" s="21" t="str">
        <f t="shared" si="24"/>
        <v>-</v>
      </c>
      <c r="AH37" s="22">
        <v>1</v>
      </c>
      <c r="AI37" s="18"/>
      <c r="AJ37" s="18" t="str">
        <f t="shared" si="25"/>
        <v>-</v>
      </c>
      <c r="AK37" s="22">
        <f t="shared" si="26"/>
        <v>24.433333333333334</v>
      </c>
      <c r="AL37" s="80" t="str">
        <f t="shared" si="27"/>
        <v>-</v>
      </c>
      <c r="AM37" s="120">
        <v>42515</v>
      </c>
      <c r="AN37" s="126" t="s">
        <v>1964</v>
      </c>
      <c r="BC37" s="284">
        <v>42515</v>
      </c>
      <c r="BD37" s="288" t="s">
        <v>1964</v>
      </c>
    </row>
    <row r="38" spans="1:56" ht="15.95" customHeight="1" x14ac:dyDescent="0.25">
      <c r="A38" s="86">
        <v>36</v>
      </c>
      <c r="B38" s="84">
        <f t="shared" si="10"/>
        <v>42519</v>
      </c>
      <c r="C38" s="29" t="s">
        <v>614</v>
      </c>
      <c r="D38" s="59" t="s">
        <v>1503</v>
      </c>
      <c r="E38" s="22" t="s">
        <v>1444</v>
      </c>
      <c r="F38" s="27" t="s">
        <v>1443</v>
      </c>
      <c r="G38" s="27"/>
      <c r="H38" s="28" t="s">
        <v>603</v>
      </c>
      <c r="I38" s="20">
        <v>39446</v>
      </c>
      <c r="J38" s="35">
        <f t="shared" si="28"/>
        <v>8.419178082191781</v>
      </c>
      <c r="M38" s="60">
        <v>40424</v>
      </c>
      <c r="N38" s="32">
        <v>42448</v>
      </c>
      <c r="O38" s="82">
        <f t="shared" si="15"/>
        <v>71</v>
      </c>
      <c r="P38" s="19">
        <v>5</v>
      </c>
      <c r="Q38" s="109"/>
      <c r="R38" s="109"/>
      <c r="S38" s="21"/>
      <c r="T38" s="20"/>
      <c r="U38" s="20" t="str">
        <f t="shared" si="16"/>
        <v>-</v>
      </c>
      <c r="V38" s="19" t="str">
        <f t="shared" si="17"/>
        <v>-</v>
      </c>
      <c r="W38" s="3"/>
      <c r="X38" s="22" t="str">
        <f t="shared" si="18"/>
        <v>-</v>
      </c>
      <c r="Y38" s="22"/>
      <c r="Z38" s="22" t="str">
        <f>IF(AND(O38&gt;140,Y38=0,N38&gt;0),"яловая","-")</f>
        <v>-</v>
      </c>
      <c r="AA38" s="20" t="str">
        <f t="shared" si="20"/>
        <v>-</v>
      </c>
      <c r="AB38" s="21"/>
      <c r="AC38" s="21" t="str">
        <f t="shared" si="21"/>
        <v>-</v>
      </c>
      <c r="AD38" s="21" t="str">
        <f t="shared" si="22"/>
        <v>-</v>
      </c>
      <c r="AE38" s="20"/>
      <c r="AF38" s="21" t="str">
        <f t="shared" si="23"/>
        <v>-</v>
      </c>
      <c r="AG38" s="21" t="str">
        <f t="shared" si="24"/>
        <v>-</v>
      </c>
      <c r="AH38" s="22">
        <v>1</v>
      </c>
      <c r="AI38" s="18"/>
      <c r="AJ38" s="18" t="str">
        <f t="shared" si="25"/>
        <v>-</v>
      </c>
      <c r="AK38" s="22" t="str">
        <f>IF(AND(M38&gt;0,I38&gt;0,P38=1),(M38-I38)/30,"-")</f>
        <v>-</v>
      </c>
      <c r="AL38" s="80" t="str">
        <f t="shared" si="27"/>
        <v>-</v>
      </c>
      <c r="AM38" s="106">
        <v>42519</v>
      </c>
      <c r="AN38" s="132" t="s">
        <v>1917</v>
      </c>
      <c r="BC38" s="283">
        <v>42519</v>
      </c>
      <c r="BD38" s="288" t="s">
        <v>1917</v>
      </c>
    </row>
    <row r="39" spans="1:56" ht="15.95" customHeight="1" x14ac:dyDescent="0.25">
      <c r="A39" s="86">
        <v>37</v>
      </c>
      <c r="B39" s="84">
        <f t="shared" si="10"/>
        <v>42519</v>
      </c>
      <c r="C39" s="29" t="s">
        <v>613</v>
      </c>
      <c r="D39" s="59" t="s">
        <v>1502</v>
      </c>
      <c r="E39" s="22" t="s">
        <v>845</v>
      </c>
      <c r="F39" s="27" t="s">
        <v>846</v>
      </c>
      <c r="G39" s="27"/>
      <c r="H39" s="28" t="s">
        <v>721</v>
      </c>
      <c r="I39" s="20">
        <v>41002</v>
      </c>
      <c r="J39" s="35">
        <f t="shared" si="28"/>
        <v>4.1561643835616442</v>
      </c>
      <c r="M39" s="60">
        <v>41791</v>
      </c>
      <c r="N39" s="32">
        <v>41792</v>
      </c>
      <c r="O39" s="82">
        <f t="shared" si="15"/>
        <v>727</v>
      </c>
      <c r="P39" s="19">
        <v>1</v>
      </c>
      <c r="Q39" s="109"/>
      <c r="R39" s="109"/>
      <c r="S39" s="21">
        <v>41835</v>
      </c>
      <c r="T39" s="20">
        <v>41843</v>
      </c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06">
        <v>42519</v>
      </c>
      <c r="AN39" s="132" t="s">
        <v>1963</v>
      </c>
      <c r="BC39" s="283">
        <v>42519</v>
      </c>
      <c r="BD39" s="288" t="s">
        <v>1963</v>
      </c>
    </row>
    <row r="40" spans="1:56" s="2" customFormat="1" ht="15.95" customHeight="1" x14ac:dyDescent="0.25">
      <c r="A40" s="86">
        <v>38</v>
      </c>
      <c r="B40" s="84">
        <f t="shared" si="10"/>
        <v>42526</v>
      </c>
      <c r="C40" s="29"/>
      <c r="D40" s="59" t="s">
        <v>1456</v>
      </c>
      <c r="E40" s="22" t="s">
        <v>185</v>
      </c>
      <c r="F40" s="27" t="s">
        <v>186</v>
      </c>
      <c r="G40" s="27"/>
      <c r="H40" s="28" t="s">
        <v>603</v>
      </c>
      <c r="I40" s="20">
        <v>40216</v>
      </c>
      <c r="J40" s="35">
        <f t="shared" si="28"/>
        <v>6.3287671232876717</v>
      </c>
      <c r="M40" s="60">
        <v>41071</v>
      </c>
      <c r="N40" s="32">
        <v>42509</v>
      </c>
      <c r="O40" s="82">
        <f t="shared" si="15"/>
        <v>17</v>
      </c>
      <c r="P40" s="19">
        <v>4</v>
      </c>
      <c r="Q40" s="109"/>
      <c r="R40" s="109"/>
      <c r="S40" s="21"/>
      <c r="T40" s="20"/>
      <c r="U40" s="20" t="str">
        <f t="shared" ref="U40:U52" si="29">IF(AND(Y40&gt;1,T40&gt;0),T40+18,"-")</f>
        <v>-</v>
      </c>
      <c r="V40" s="19" t="str">
        <f t="shared" ref="V40:V52" si="30">IF(AND(U40&gt;0,B40&gt;0,Y40&gt;1),B40-U40,"-")</f>
        <v>-</v>
      </c>
      <c r="W40" s="3">
        <v>0</v>
      </c>
      <c r="X40" s="22" t="str">
        <f t="shared" ref="X40:X52" si="31">IF(AND(N40&gt;0,T40&gt;0),T40-N40,"-")</f>
        <v>-</v>
      </c>
      <c r="Y40" s="22">
        <v>0</v>
      </c>
      <c r="Z40" s="22" t="str">
        <f>IF(AND(O40&gt;140,Y40=0,N40&gt;0),"яловая","-")</f>
        <v>-</v>
      </c>
      <c r="AA40" s="20" t="str">
        <f t="shared" ref="AA40:AA52" si="32">IF(AND(T40&gt;0,OR(Y40=3,Y40=2)),T40+45,"-")</f>
        <v>-</v>
      </c>
      <c r="AB40" s="21"/>
      <c r="AC40" s="21" t="str">
        <f>IF(AND($T40&gt;0,$N40&gt;0,$Y40=1),$T40+281-90,"-")</f>
        <v>-</v>
      </c>
      <c r="AD40" s="21" t="str">
        <f>IF(AND(T40&gt;0,Y40=1,N40&gt;0),T40+281-60,"-")</f>
        <v>-</v>
      </c>
      <c r="AE40" s="20"/>
      <c r="AF40" s="21" t="str">
        <f>IF(AND($T40&gt;0,$Y40=1),$T40+281-21,"-")</f>
        <v>-</v>
      </c>
      <c r="AG40" s="21" t="str">
        <f>IF(AND(T40&gt;0,Y40=1),T40+281,"-")</f>
        <v>-</v>
      </c>
      <c r="AH40" s="22">
        <v>1</v>
      </c>
      <c r="AI40" s="18"/>
      <c r="AJ40" s="18" t="str">
        <f>IF(AND(N40&gt;0,S40&gt;0),S40-N40,"-")</f>
        <v>-</v>
      </c>
      <c r="AK40" s="22" t="str">
        <f>IF(AND(M40&gt;0,I40&gt;0,P40=1),(M40-I40)/30,"-")</f>
        <v>-</v>
      </c>
      <c r="AL40" s="80" t="str">
        <f>IF(AND(Z40="яловая",O40&gt;300),"БРАК","-")</f>
        <v>-</v>
      </c>
      <c r="AM40" s="120">
        <v>42526</v>
      </c>
      <c r="AN40" s="126" t="s">
        <v>1532</v>
      </c>
      <c r="BC40" s="284">
        <v>42526</v>
      </c>
      <c r="BD40" s="288" t="s">
        <v>1532</v>
      </c>
    </row>
    <row r="41" spans="1:56" s="2" customFormat="1" ht="15.95" customHeight="1" x14ac:dyDescent="0.25">
      <c r="A41" s="86">
        <v>39</v>
      </c>
      <c r="B41" s="84">
        <f t="shared" si="10"/>
        <v>42530</v>
      </c>
      <c r="C41" s="29" t="s">
        <v>613</v>
      </c>
      <c r="D41" s="59" t="s">
        <v>1502</v>
      </c>
      <c r="E41" s="22" t="s">
        <v>441</v>
      </c>
      <c r="F41" s="27" t="s">
        <v>442</v>
      </c>
      <c r="G41" s="27"/>
      <c r="H41" s="28" t="s">
        <v>78</v>
      </c>
      <c r="I41" s="20">
        <v>41451</v>
      </c>
      <c r="J41" s="35">
        <f t="shared" si="28"/>
        <v>2.956164383561644</v>
      </c>
      <c r="M41" s="60">
        <v>42212</v>
      </c>
      <c r="N41" s="32">
        <v>42467</v>
      </c>
      <c r="O41" s="82">
        <f t="shared" si="15"/>
        <v>63</v>
      </c>
      <c r="P41" s="19">
        <v>1</v>
      </c>
      <c r="Q41" s="109" t="s">
        <v>1451</v>
      </c>
      <c r="R41" s="109">
        <v>9560</v>
      </c>
      <c r="S41" s="21">
        <v>42525</v>
      </c>
      <c r="T41" s="20">
        <v>42525</v>
      </c>
      <c r="U41" s="20">
        <f t="shared" si="29"/>
        <v>42543</v>
      </c>
      <c r="V41" s="19">
        <f t="shared" si="30"/>
        <v>-13</v>
      </c>
      <c r="W41" s="3">
        <v>1</v>
      </c>
      <c r="X41" s="22">
        <f t="shared" si="31"/>
        <v>58</v>
      </c>
      <c r="Y41" s="22">
        <v>3</v>
      </c>
      <c r="Z41" s="22" t="str">
        <f>IF(AND(O41&gt;140,Y41=0,N41&gt;0),"яловая","-")</f>
        <v>-</v>
      </c>
      <c r="AA41" s="20">
        <f t="shared" si="32"/>
        <v>42570</v>
      </c>
      <c r="AB41" s="111">
        <f t="shared" ref="AB41:AB52" si="33">IF(AND(T41&gt;0,W41&gt;0,Q41&gt;0,OR(Y41=3,Y41=2)),B41-AA41,"---------")</f>
        <v>-40</v>
      </c>
      <c r="AC41" s="21"/>
      <c r="AD41" s="21" t="str">
        <f t="shared" ref="AD41:AD52" si="34">IF(AND($T41&gt;0,$N41&gt;0,$Y41=1),$T41+281-90,"-")</f>
        <v>-</v>
      </c>
      <c r="AE41" s="21" t="str">
        <f t="shared" ref="AE41:AE52" si="35">IF(AND(T41&gt;0,Y41=1,N41&gt;0),T41+281-60,"-")</f>
        <v>-</v>
      </c>
      <c r="AF41" s="20"/>
      <c r="AG41" s="21" t="str">
        <f t="shared" ref="AG41:AG52" si="36">IF(AND($T41&gt;0,$Y41=1),$T41+281-21,"-")</f>
        <v>-</v>
      </c>
      <c r="AH41" s="21" t="str">
        <f t="shared" ref="AH41:AH52" si="37">IF(AND(T41&gt;0,Y41=1),T41+285,"-")</f>
        <v>-</v>
      </c>
      <c r="AI41" s="112" t="str">
        <f t="shared" ref="AI41:AI52" si="38">IF(AND(B41&gt;0,AH41&gt;0,AC41&gt;0,Y41=1),B41-AH41,"-")</f>
        <v>-</v>
      </c>
      <c r="AJ41" s="22">
        <v>1</v>
      </c>
      <c r="AK41" s="18"/>
      <c r="AL41" s="18">
        <f t="shared" ref="AL41:AL46" si="39">IF(AND(N41&gt;0,S41&gt;0),S41-N41,"-")</f>
        <v>58</v>
      </c>
      <c r="AM41" s="120">
        <v>42530</v>
      </c>
      <c r="AN41" s="126" t="s">
        <v>1965</v>
      </c>
      <c r="BC41" s="284">
        <v>42530</v>
      </c>
      <c r="BD41" s="288" t="s">
        <v>1965</v>
      </c>
    </row>
    <row r="42" spans="1:56" s="2" customFormat="1" ht="15.95" customHeight="1" x14ac:dyDescent="0.25">
      <c r="A42" s="86">
        <v>40</v>
      </c>
      <c r="B42" s="84">
        <f t="shared" si="10"/>
        <v>42530</v>
      </c>
      <c r="C42" s="29" t="s">
        <v>613</v>
      </c>
      <c r="D42" s="59" t="s">
        <v>1502</v>
      </c>
      <c r="E42" s="22" t="s">
        <v>896</v>
      </c>
      <c r="F42" s="27" t="s">
        <v>897</v>
      </c>
      <c r="G42" s="27"/>
      <c r="H42" s="28" t="s">
        <v>912</v>
      </c>
      <c r="I42" s="20">
        <v>38215</v>
      </c>
      <c r="J42" s="35">
        <f t="shared" si="28"/>
        <v>11.821917808219178</v>
      </c>
      <c r="M42" s="60">
        <v>39108</v>
      </c>
      <c r="N42" s="32">
        <v>42373</v>
      </c>
      <c r="O42" s="82">
        <f t="shared" si="15"/>
        <v>157</v>
      </c>
      <c r="P42" s="19">
        <v>8</v>
      </c>
      <c r="Q42" s="109"/>
      <c r="R42" s="109"/>
      <c r="S42" s="21">
        <v>42405</v>
      </c>
      <c r="T42" s="20">
        <v>42405</v>
      </c>
      <c r="U42" s="20" t="str">
        <f t="shared" si="29"/>
        <v>-</v>
      </c>
      <c r="V42" s="19" t="str">
        <f t="shared" si="30"/>
        <v>-</v>
      </c>
      <c r="W42" s="3">
        <v>1</v>
      </c>
      <c r="X42" s="22">
        <f t="shared" si="31"/>
        <v>32</v>
      </c>
      <c r="Y42" s="22">
        <v>0</v>
      </c>
      <c r="Z42" s="22" t="str">
        <f>IF(AND(O42&gt;140,Y42=0,N42&gt;0),"яловая","-")</f>
        <v>яловая</v>
      </c>
      <c r="AA42" s="20" t="str">
        <f t="shared" si="32"/>
        <v>-</v>
      </c>
      <c r="AB42" s="111" t="str">
        <f t="shared" si="33"/>
        <v>---------</v>
      </c>
      <c r="AC42" s="21"/>
      <c r="AD42" s="21" t="str">
        <f t="shared" si="34"/>
        <v>-</v>
      </c>
      <c r="AE42" s="21" t="str">
        <f t="shared" si="35"/>
        <v>-</v>
      </c>
      <c r="AF42" s="20"/>
      <c r="AG42" s="21" t="str">
        <f t="shared" si="36"/>
        <v>-</v>
      </c>
      <c r="AH42" s="21" t="str">
        <f t="shared" si="37"/>
        <v>-</v>
      </c>
      <c r="AI42" s="112" t="str">
        <f t="shared" si="38"/>
        <v>-</v>
      </c>
      <c r="AJ42" s="22">
        <v>1</v>
      </c>
      <c r="AK42" s="18"/>
      <c r="AL42" s="18">
        <f t="shared" si="39"/>
        <v>32</v>
      </c>
      <c r="AM42" s="120">
        <v>42530</v>
      </c>
      <c r="AN42" s="126" t="s">
        <v>1917</v>
      </c>
      <c r="BC42" s="284">
        <v>42530</v>
      </c>
      <c r="BD42" s="288" t="s">
        <v>1917</v>
      </c>
    </row>
    <row r="43" spans="1:56" s="2" customFormat="1" ht="15.95" customHeight="1" x14ac:dyDescent="0.25">
      <c r="A43" s="86">
        <v>41</v>
      </c>
      <c r="B43" s="84">
        <f t="shared" si="10"/>
        <v>42530</v>
      </c>
      <c r="C43" s="29" t="s">
        <v>613</v>
      </c>
      <c r="D43" s="59" t="s">
        <v>1502</v>
      </c>
      <c r="E43" s="22" t="s">
        <v>915</v>
      </c>
      <c r="F43" s="27" t="s">
        <v>916</v>
      </c>
      <c r="G43" s="27"/>
      <c r="H43" s="28" t="s">
        <v>603</v>
      </c>
      <c r="I43" s="20">
        <v>39156</v>
      </c>
      <c r="J43" s="35">
        <f t="shared" si="28"/>
        <v>9.2438356164383571</v>
      </c>
      <c r="M43" s="60">
        <v>39921</v>
      </c>
      <c r="N43" s="32">
        <v>42267</v>
      </c>
      <c r="O43" s="82">
        <f t="shared" si="15"/>
        <v>263</v>
      </c>
      <c r="P43" s="19">
        <v>6</v>
      </c>
      <c r="Q43" s="109" t="s">
        <v>1451</v>
      </c>
      <c r="R43" s="109">
        <v>6845</v>
      </c>
      <c r="S43" s="21">
        <v>42346</v>
      </c>
      <c r="T43" s="20">
        <v>42384</v>
      </c>
      <c r="U43" s="20" t="str">
        <f t="shared" si="29"/>
        <v>-</v>
      </c>
      <c r="V43" s="19" t="str">
        <f t="shared" si="30"/>
        <v>-</v>
      </c>
      <c r="W43" s="3">
        <v>3</v>
      </c>
      <c r="X43" s="22">
        <f t="shared" si="31"/>
        <v>117</v>
      </c>
      <c r="Y43" s="22">
        <v>0</v>
      </c>
      <c r="Z43" s="22" t="str">
        <f>IF(AND(O43&gt;140,Y43=0,N43&gt;0),"яловая","-")</f>
        <v>яловая</v>
      </c>
      <c r="AA43" s="20" t="str">
        <f t="shared" si="32"/>
        <v>-</v>
      </c>
      <c r="AB43" s="111" t="str">
        <f t="shared" si="33"/>
        <v>---------</v>
      </c>
      <c r="AC43" s="21"/>
      <c r="AD43" s="21" t="str">
        <f t="shared" si="34"/>
        <v>-</v>
      </c>
      <c r="AE43" s="21" t="str">
        <f t="shared" si="35"/>
        <v>-</v>
      </c>
      <c r="AF43" s="20"/>
      <c r="AG43" s="21" t="str">
        <f t="shared" si="36"/>
        <v>-</v>
      </c>
      <c r="AH43" s="21" t="str">
        <f t="shared" si="37"/>
        <v>-</v>
      </c>
      <c r="AI43" s="112" t="str">
        <f t="shared" si="38"/>
        <v>-</v>
      </c>
      <c r="AJ43" s="22">
        <v>1</v>
      </c>
      <c r="AK43" s="18"/>
      <c r="AL43" s="18">
        <f t="shared" si="39"/>
        <v>79</v>
      </c>
      <c r="AM43" s="120">
        <v>42530</v>
      </c>
      <c r="AN43" s="126" t="s">
        <v>1966</v>
      </c>
      <c r="BC43" s="284">
        <v>42530</v>
      </c>
      <c r="BD43" s="288" t="s">
        <v>1966</v>
      </c>
    </row>
    <row r="44" spans="1:56" s="2" customFormat="1" ht="15.95" customHeight="1" x14ac:dyDescent="0.25">
      <c r="A44" s="86">
        <v>42</v>
      </c>
      <c r="B44" s="84">
        <f t="shared" si="10"/>
        <v>42534</v>
      </c>
      <c r="C44" s="29" t="s">
        <v>614</v>
      </c>
      <c r="D44" s="59" t="s">
        <v>1503</v>
      </c>
      <c r="E44" s="22" t="s">
        <v>768</v>
      </c>
      <c r="F44" s="27" t="s">
        <v>769</v>
      </c>
      <c r="G44" s="27"/>
      <c r="H44" s="28" t="s">
        <v>603</v>
      </c>
      <c r="I44" s="20">
        <v>40721</v>
      </c>
      <c r="J44" s="35">
        <f t="shared" si="28"/>
        <v>4.9671232876712326</v>
      </c>
      <c r="M44" s="60">
        <v>41823</v>
      </c>
      <c r="N44" s="32">
        <v>42485</v>
      </c>
      <c r="O44" s="82">
        <f t="shared" si="15"/>
        <v>49</v>
      </c>
      <c r="P44" s="19">
        <v>2</v>
      </c>
      <c r="Q44" s="109"/>
      <c r="R44" s="109"/>
      <c r="S44" s="21"/>
      <c r="T44" s="20"/>
      <c r="U44" s="20" t="str">
        <f t="shared" si="29"/>
        <v>-</v>
      </c>
      <c r="V44" s="19" t="str">
        <f t="shared" si="30"/>
        <v>-</v>
      </c>
      <c r="W44" s="3">
        <v>0</v>
      </c>
      <c r="X44" s="22" t="str">
        <f t="shared" si="31"/>
        <v>-</v>
      </c>
      <c r="Y44" s="22">
        <v>0</v>
      </c>
      <c r="Z44" s="22" t="str">
        <f>IF(AND(O44&gt;140,Y44=0,N44&gt;0),"яловая","-")</f>
        <v>-</v>
      </c>
      <c r="AA44" s="20" t="str">
        <f t="shared" si="32"/>
        <v>-</v>
      </c>
      <c r="AB44" s="111" t="str">
        <f t="shared" si="33"/>
        <v>---------</v>
      </c>
      <c r="AC44" s="21"/>
      <c r="AD44" s="21" t="str">
        <f t="shared" si="34"/>
        <v>-</v>
      </c>
      <c r="AE44" s="21" t="str">
        <f t="shared" si="35"/>
        <v>-</v>
      </c>
      <c r="AF44" s="20"/>
      <c r="AG44" s="21" t="str">
        <f t="shared" si="36"/>
        <v>-</v>
      </c>
      <c r="AH44" s="21" t="str">
        <f t="shared" si="37"/>
        <v>-</v>
      </c>
      <c r="AI44" s="112" t="str">
        <f t="shared" si="38"/>
        <v>-</v>
      </c>
      <c r="AJ44" s="22">
        <v>1</v>
      </c>
      <c r="AK44" s="18"/>
      <c r="AL44" s="18" t="str">
        <f t="shared" si="39"/>
        <v>-</v>
      </c>
      <c r="AM44" s="120">
        <v>42534</v>
      </c>
      <c r="AN44" s="126" t="s">
        <v>1967</v>
      </c>
      <c r="BC44" s="284">
        <v>42534</v>
      </c>
      <c r="BD44" s="288" t="s">
        <v>1967</v>
      </c>
    </row>
    <row r="45" spans="1:56" s="2" customFormat="1" ht="15.95" customHeight="1" x14ac:dyDescent="0.25">
      <c r="A45" s="86">
        <v>43</v>
      </c>
      <c r="B45" s="84">
        <f t="shared" si="10"/>
        <v>42534</v>
      </c>
      <c r="C45" s="29" t="s">
        <v>613</v>
      </c>
      <c r="D45" s="59" t="s">
        <v>1502</v>
      </c>
      <c r="E45" s="22" t="s">
        <v>346</v>
      </c>
      <c r="F45" s="27" t="s">
        <v>347</v>
      </c>
      <c r="G45" s="27"/>
      <c r="H45" s="28" t="s">
        <v>603</v>
      </c>
      <c r="I45" s="20">
        <v>40475</v>
      </c>
      <c r="J45" s="35">
        <f t="shared" si="28"/>
        <v>5.6410958904109592</v>
      </c>
      <c r="K45" s="364"/>
      <c r="L45" s="364"/>
      <c r="M45" s="60">
        <v>41330</v>
      </c>
      <c r="N45" s="32">
        <v>41694</v>
      </c>
      <c r="O45" s="82">
        <f t="shared" si="15"/>
        <v>840</v>
      </c>
      <c r="P45" s="19">
        <v>2</v>
      </c>
      <c r="Q45" s="109" t="s">
        <v>1448</v>
      </c>
      <c r="R45" s="109">
        <v>6845</v>
      </c>
      <c r="S45" s="21">
        <v>41769</v>
      </c>
      <c r="T45" s="20">
        <v>42423</v>
      </c>
      <c r="U45" s="20" t="str">
        <f t="shared" si="29"/>
        <v>-</v>
      </c>
      <c r="V45" s="19" t="str">
        <f t="shared" si="30"/>
        <v>-</v>
      </c>
      <c r="W45" s="3">
        <v>8</v>
      </c>
      <c r="X45" s="22">
        <f t="shared" si="31"/>
        <v>729</v>
      </c>
      <c r="Y45" s="22">
        <v>0</v>
      </c>
      <c r="Z45" s="22" t="str">
        <f>IF(AND(O45&gt;140,Y45=0),"яловая","-")</f>
        <v>яловая</v>
      </c>
      <c r="AA45" s="20" t="str">
        <f t="shared" si="32"/>
        <v>-</v>
      </c>
      <c r="AB45" s="111" t="str">
        <f t="shared" si="33"/>
        <v>---------</v>
      </c>
      <c r="AC45" s="21"/>
      <c r="AD45" s="21" t="str">
        <f t="shared" si="34"/>
        <v>-</v>
      </c>
      <c r="AE45" s="21" t="str">
        <f t="shared" si="35"/>
        <v>-</v>
      </c>
      <c r="AF45" s="20"/>
      <c r="AG45" s="21" t="str">
        <f t="shared" si="36"/>
        <v>-</v>
      </c>
      <c r="AH45" s="21" t="str">
        <f t="shared" si="37"/>
        <v>-</v>
      </c>
      <c r="AI45" s="112" t="str">
        <f t="shared" si="38"/>
        <v>-</v>
      </c>
      <c r="AJ45" s="22">
        <v>1</v>
      </c>
      <c r="AK45" s="18"/>
      <c r="AL45" s="18">
        <f t="shared" si="39"/>
        <v>75</v>
      </c>
      <c r="AM45" s="120">
        <v>42534</v>
      </c>
      <c r="AN45" s="126" t="s">
        <v>1968</v>
      </c>
      <c r="BC45" s="284">
        <v>42534</v>
      </c>
      <c r="BD45" s="288" t="s">
        <v>1968</v>
      </c>
    </row>
    <row r="46" spans="1:56" s="2" customFormat="1" ht="15.95" customHeight="1" x14ac:dyDescent="0.25">
      <c r="A46" s="86">
        <v>44</v>
      </c>
      <c r="B46" s="84">
        <f t="shared" si="10"/>
        <v>42534</v>
      </c>
      <c r="C46" s="29" t="s">
        <v>613</v>
      </c>
      <c r="D46" s="59" t="s">
        <v>1502</v>
      </c>
      <c r="E46" s="22" t="s">
        <v>49</v>
      </c>
      <c r="F46" s="27" t="s">
        <v>690</v>
      </c>
      <c r="G46" s="27"/>
      <c r="H46" s="28" t="s">
        <v>603</v>
      </c>
      <c r="I46" s="20">
        <v>40064</v>
      </c>
      <c r="J46" s="35">
        <f t="shared" si="28"/>
        <v>6.7671232876712333</v>
      </c>
      <c r="K46" s="364"/>
      <c r="L46" s="364"/>
      <c r="M46" s="60">
        <v>40901</v>
      </c>
      <c r="N46" s="32">
        <v>42335</v>
      </c>
      <c r="O46" s="82">
        <f t="shared" si="15"/>
        <v>199</v>
      </c>
      <c r="P46" s="19">
        <v>4</v>
      </c>
      <c r="Q46" s="109" t="s">
        <v>1451</v>
      </c>
      <c r="R46" s="109">
        <v>6845</v>
      </c>
      <c r="S46" s="21">
        <v>42421</v>
      </c>
      <c r="T46" s="20">
        <v>42433</v>
      </c>
      <c r="U46" s="20" t="str">
        <f t="shared" si="29"/>
        <v>-</v>
      </c>
      <c r="V46" s="19" t="str">
        <f t="shared" si="30"/>
        <v>-</v>
      </c>
      <c r="W46" s="3">
        <v>2</v>
      </c>
      <c r="X46" s="22">
        <f t="shared" si="31"/>
        <v>98</v>
      </c>
      <c r="Y46" s="22">
        <v>0</v>
      </c>
      <c r="Z46" s="22" t="str">
        <f t="shared" ref="Z46:Z52" si="40">IF(AND(O46&gt;140,Y46=0,N46&gt;0),"яловая","-")</f>
        <v>яловая</v>
      </c>
      <c r="AA46" s="20" t="str">
        <f t="shared" si="32"/>
        <v>-</v>
      </c>
      <c r="AB46" s="111" t="str">
        <f t="shared" si="33"/>
        <v>---------</v>
      </c>
      <c r="AC46" s="21"/>
      <c r="AD46" s="21" t="str">
        <f t="shared" si="34"/>
        <v>-</v>
      </c>
      <c r="AE46" s="21" t="str">
        <f t="shared" si="35"/>
        <v>-</v>
      </c>
      <c r="AF46" s="20"/>
      <c r="AG46" s="21" t="str">
        <f t="shared" si="36"/>
        <v>-</v>
      </c>
      <c r="AH46" s="21" t="str">
        <f t="shared" si="37"/>
        <v>-</v>
      </c>
      <c r="AI46" s="112" t="str">
        <f t="shared" si="38"/>
        <v>-</v>
      </c>
      <c r="AJ46" s="22">
        <v>1</v>
      </c>
      <c r="AK46" s="18"/>
      <c r="AL46" s="18">
        <f t="shared" si="39"/>
        <v>86</v>
      </c>
      <c r="AM46" s="120">
        <v>42534</v>
      </c>
      <c r="AN46" s="126" t="s">
        <v>1969</v>
      </c>
      <c r="BC46" s="284">
        <v>42534</v>
      </c>
      <c r="BD46" s="288" t="s">
        <v>1969</v>
      </c>
    </row>
    <row r="47" spans="1:56" ht="15.95" customHeight="1" x14ac:dyDescent="0.25">
      <c r="A47" s="86">
        <v>45</v>
      </c>
      <c r="B47" s="84">
        <f t="shared" si="10"/>
        <v>42534</v>
      </c>
      <c r="C47" s="29" t="s">
        <v>613</v>
      </c>
      <c r="D47" s="59" t="s">
        <v>1502</v>
      </c>
      <c r="E47" s="22" t="s">
        <v>901</v>
      </c>
      <c r="F47" s="27" t="s">
        <v>902</v>
      </c>
      <c r="G47" s="27"/>
      <c r="H47" s="28" t="s">
        <v>912</v>
      </c>
      <c r="I47" s="20">
        <v>38060</v>
      </c>
      <c r="J47" s="35">
        <f t="shared" si="28"/>
        <v>12.257534246575343</v>
      </c>
      <c r="M47" s="60">
        <v>39105</v>
      </c>
      <c r="N47" s="32">
        <v>41990</v>
      </c>
      <c r="O47" s="82">
        <f t="shared" si="15"/>
        <v>544</v>
      </c>
      <c r="P47" s="19">
        <v>8</v>
      </c>
      <c r="Q47" s="109" t="s">
        <v>1451</v>
      </c>
      <c r="R47" s="109">
        <v>6845</v>
      </c>
      <c r="S47" s="21">
        <v>42112</v>
      </c>
      <c r="T47" s="20">
        <v>42112</v>
      </c>
      <c r="U47" s="20" t="str">
        <f t="shared" si="29"/>
        <v>-</v>
      </c>
      <c r="V47" s="19" t="str">
        <f t="shared" si="30"/>
        <v>-</v>
      </c>
      <c r="W47" s="3">
        <v>1</v>
      </c>
      <c r="X47" s="22">
        <f t="shared" si="31"/>
        <v>122</v>
      </c>
      <c r="Y47" s="22">
        <v>0</v>
      </c>
      <c r="Z47" s="22" t="str">
        <f t="shared" si="40"/>
        <v>яловая</v>
      </c>
      <c r="AA47" s="20" t="str">
        <f t="shared" si="32"/>
        <v>-</v>
      </c>
      <c r="AB47" s="111" t="str">
        <f t="shared" si="33"/>
        <v>---------</v>
      </c>
      <c r="AC47" s="21"/>
      <c r="AD47" s="21" t="str">
        <f t="shared" si="34"/>
        <v>-</v>
      </c>
      <c r="AE47" s="21" t="str">
        <f t="shared" si="35"/>
        <v>-</v>
      </c>
      <c r="AF47" s="20"/>
      <c r="AG47" s="21" t="str">
        <f t="shared" si="36"/>
        <v>-</v>
      </c>
      <c r="AH47" s="21" t="str">
        <f t="shared" si="37"/>
        <v>-</v>
      </c>
      <c r="AI47" s="112" t="str">
        <f t="shared" si="38"/>
        <v>-</v>
      </c>
      <c r="AJ47" s="22">
        <v>1</v>
      </c>
      <c r="AK47" s="18"/>
      <c r="AL47" s="22" t="str">
        <f t="shared" ref="AL47:AL52" si="41">IF(AND(M47&gt;0,I47&gt;0,P47=1),(M47-I47)/30,"-")</f>
        <v>-</v>
      </c>
      <c r="AM47" s="120">
        <v>42534</v>
      </c>
      <c r="AN47" s="126" t="s">
        <v>1917</v>
      </c>
      <c r="BC47" s="284">
        <v>42534</v>
      </c>
      <c r="BD47" s="288" t="s">
        <v>1917</v>
      </c>
    </row>
    <row r="48" spans="1:56" s="2" customFormat="1" ht="15.95" customHeight="1" x14ac:dyDescent="0.25">
      <c r="A48" s="86">
        <v>46</v>
      </c>
      <c r="B48" s="84">
        <f t="shared" si="10"/>
        <v>42535</v>
      </c>
      <c r="C48" s="29"/>
      <c r="D48" s="59" t="s">
        <v>1505</v>
      </c>
      <c r="E48" s="22" t="s">
        <v>329</v>
      </c>
      <c r="F48" s="27" t="s">
        <v>330</v>
      </c>
      <c r="G48" s="27"/>
      <c r="H48" s="28" t="s">
        <v>603</v>
      </c>
      <c r="I48" s="20">
        <v>40171</v>
      </c>
      <c r="J48" s="35">
        <f t="shared" si="28"/>
        <v>6.4767123287671229</v>
      </c>
      <c r="K48" s="364"/>
      <c r="L48" s="364"/>
      <c r="M48" s="60">
        <v>41238</v>
      </c>
      <c r="N48" s="32">
        <v>41887</v>
      </c>
      <c r="O48" s="82">
        <f t="shared" si="15"/>
        <v>648</v>
      </c>
      <c r="P48" s="19">
        <v>3</v>
      </c>
      <c r="Q48" s="109" t="s">
        <v>1448</v>
      </c>
      <c r="R48" s="109">
        <v>107770</v>
      </c>
      <c r="S48" s="21">
        <v>41919</v>
      </c>
      <c r="T48" s="20">
        <v>42246</v>
      </c>
      <c r="U48" s="20" t="str">
        <f t="shared" si="29"/>
        <v>-</v>
      </c>
      <c r="V48" s="19" t="str">
        <f t="shared" si="30"/>
        <v>-</v>
      </c>
      <c r="W48" s="3">
        <v>4</v>
      </c>
      <c r="X48" s="22">
        <f t="shared" si="31"/>
        <v>359</v>
      </c>
      <c r="Y48" s="22">
        <v>1</v>
      </c>
      <c r="Z48" s="22" t="str">
        <f t="shared" si="40"/>
        <v>-</v>
      </c>
      <c r="AA48" s="20" t="str">
        <f t="shared" si="32"/>
        <v>-</v>
      </c>
      <c r="AB48" s="111" t="str">
        <f t="shared" si="33"/>
        <v>---------</v>
      </c>
      <c r="AC48" s="21"/>
      <c r="AD48" s="21">
        <f t="shared" si="34"/>
        <v>42437</v>
      </c>
      <c r="AE48" s="21">
        <f t="shared" si="35"/>
        <v>42467</v>
      </c>
      <c r="AF48" s="20">
        <v>42430</v>
      </c>
      <c r="AG48" s="21">
        <f t="shared" si="36"/>
        <v>42506</v>
      </c>
      <c r="AH48" s="21">
        <f t="shared" si="37"/>
        <v>42531</v>
      </c>
      <c r="AI48" s="112" t="str">
        <f t="shared" si="38"/>
        <v>-</v>
      </c>
      <c r="AJ48" s="22">
        <v>1</v>
      </c>
      <c r="AK48" s="18"/>
      <c r="AL48" s="22" t="str">
        <f t="shared" si="41"/>
        <v>-</v>
      </c>
      <c r="AM48" s="120">
        <v>42535</v>
      </c>
      <c r="AN48" s="126" t="s">
        <v>1445</v>
      </c>
      <c r="BC48" s="284">
        <v>42535</v>
      </c>
      <c r="BD48" s="288" t="s">
        <v>1445</v>
      </c>
    </row>
    <row r="49" spans="1:56" s="2" customFormat="1" ht="15.95" customHeight="1" x14ac:dyDescent="0.25">
      <c r="A49" s="86">
        <v>47</v>
      </c>
      <c r="B49" s="84">
        <f t="shared" si="10"/>
        <v>42541</v>
      </c>
      <c r="C49" s="29" t="s">
        <v>614</v>
      </c>
      <c r="D49" s="59" t="s">
        <v>1503</v>
      </c>
      <c r="E49" s="22" t="s">
        <v>1291</v>
      </c>
      <c r="F49" s="27" t="s">
        <v>1167</v>
      </c>
      <c r="G49" s="27"/>
      <c r="H49" s="28" t="s">
        <v>603</v>
      </c>
      <c r="I49" s="20">
        <v>41745</v>
      </c>
      <c r="J49" s="35">
        <f t="shared" si="28"/>
        <v>2.1808219178082191</v>
      </c>
      <c r="M49" s="60">
        <v>42482</v>
      </c>
      <c r="N49" s="32">
        <v>42482</v>
      </c>
      <c r="O49" s="82">
        <f t="shared" si="15"/>
        <v>59</v>
      </c>
      <c r="P49" s="19">
        <v>1</v>
      </c>
      <c r="Q49" s="109"/>
      <c r="R49" s="109"/>
      <c r="S49" s="21"/>
      <c r="T49" s="20"/>
      <c r="U49" s="20" t="str">
        <f t="shared" si="29"/>
        <v>-</v>
      </c>
      <c r="V49" s="19" t="str">
        <f t="shared" si="30"/>
        <v>-</v>
      </c>
      <c r="W49" s="3">
        <v>0</v>
      </c>
      <c r="X49" s="22" t="str">
        <f t="shared" si="31"/>
        <v>-</v>
      </c>
      <c r="Y49" s="22">
        <v>0</v>
      </c>
      <c r="Z49" s="22" t="str">
        <f t="shared" si="40"/>
        <v>-</v>
      </c>
      <c r="AA49" s="20" t="str">
        <f t="shared" si="32"/>
        <v>-</v>
      </c>
      <c r="AB49" s="111" t="str">
        <f t="shared" si="33"/>
        <v>---------</v>
      </c>
      <c r="AC49" s="21"/>
      <c r="AD49" s="21" t="str">
        <f t="shared" si="34"/>
        <v>-</v>
      </c>
      <c r="AE49" s="21" t="str">
        <f t="shared" si="35"/>
        <v>-</v>
      </c>
      <c r="AF49" s="20"/>
      <c r="AG49" s="21" t="str">
        <f t="shared" si="36"/>
        <v>-</v>
      </c>
      <c r="AH49" s="21" t="str">
        <f t="shared" si="37"/>
        <v>-</v>
      </c>
      <c r="AI49" s="112" t="str">
        <f t="shared" si="38"/>
        <v>-</v>
      </c>
      <c r="AJ49" s="22">
        <v>1</v>
      </c>
      <c r="AK49" s="18"/>
      <c r="AL49" s="22">
        <f t="shared" si="41"/>
        <v>24.566666666666666</v>
      </c>
      <c r="AM49" s="120">
        <v>42541</v>
      </c>
      <c r="AN49" s="126" t="s">
        <v>1970</v>
      </c>
      <c r="BC49" s="284">
        <v>42541</v>
      </c>
      <c r="BD49" s="288" t="s">
        <v>1970</v>
      </c>
    </row>
    <row r="50" spans="1:56" s="2" customFormat="1" ht="15.95" customHeight="1" x14ac:dyDescent="0.25">
      <c r="A50" s="86">
        <v>48</v>
      </c>
      <c r="B50" s="84">
        <f t="shared" si="10"/>
        <v>42541</v>
      </c>
      <c r="C50" s="29" t="s">
        <v>613</v>
      </c>
      <c r="D50" s="59" t="s">
        <v>1502</v>
      </c>
      <c r="E50" s="22" t="s">
        <v>589</v>
      </c>
      <c r="F50" s="27" t="s">
        <v>590</v>
      </c>
      <c r="G50" s="27"/>
      <c r="H50" s="28" t="s">
        <v>78</v>
      </c>
      <c r="I50" s="20">
        <v>41367</v>
      </c>
      <c r="J50" s="35">
        <f t="shared" si="28"/>
        <v>3.2164383561643834</v>
      </c>
      <c r="M50" s="60">
        <v>42202</v>
      </c>
      <c r="N50" s="32">
        <v>42202</v>
      </c>
      <c r="O50" s="82">
        <f t="shared" si="15"/>
        <v>339</v>
      </c>
      <c r="P50" s="19">
        <v>1</v>
      </c>
      <c r="Q50" s="109" t="s">
        <v>1448</v>
      </c>
      <c r="R50" s="109">
        <v>6845</v>
      </c>
      <c r="S50" s="21">
        <v>42261</v>
      </c>
      <c r="T50" s="20">
        <v>42423</v>
      </c>
      <c r="U50" s="20">
        <f t="shared" si="29"/>
        <v>42441</v>
      </c>
      <c r="V50" s="19">
        <f t="shared" si="30"/>
        <v>100</v>
      </c>
      <c r="W50" s="3">
        <v>7</v>
      </c>
      <c r="X50" s="22">
        <f t="shared" si="31"/>
        <v>221</v>
      </c>
      <c r="Y50" s="22">
        <v>2</v>
      </c>
      <c r="Z50" s="22" t="str">
        <f t="shared" si="40"/>
        <v>-</v>
      </c>
      <c r="AA50" s="20">
        <f t="shared" si="32"/>
        <v>42468</v>
      </c>
      <c r="AB50" s="111">
        <f t="shared" si="33"/>
        <v>73</v>
      </c>
      <c r="AC50" s="21"/>
      <c r="AD50" s="21" t="str">
        <f t="shared" si="34"/>
        <v>-</v>
      </c>
      <c r="AE50" s="21" t="str">
        <f t="shared" si="35"/>
        <v>-</v>
      </c>
      <c r="AF50" s="20"/>
      <c r="AG50" s="21" t="str">
        <f t="shared" si="36"/>
        <v>-</v>
      </c>
      <c r="AH50" s="21" t="str">
        <f t="shared" si="37"/>
        <v>-</v>
      </c>
      <c r="AI50" s="112" t="str">
        <f t="shared" si="38"/>
        <v>-</v>
      </c>
      <c r="AJ50" s="22">
        <v>1</v>
      </c>
      <c r="AK50" s="18"/>
      <c r="AL50" s="22">
        <f t="shared" si="41"/>
        <v>27.833333333333332</v>
      </c>
      <c r="AM50" s="120">
        <v>42541</v>
      </c>
      <c r="AN50" s="126" t="s">
        <v>1962</v>
      </c>
      <c r="BC50" s="284">
        <v>42541</v>
      </c>
      <c r="BD50" s="288" t="s">
        <v>1962</v>
      </c>
    </row>
    <row r="51" spans="1:56" s="2" customFormat="1" ht="15.95" customHeight="1" x14ac:dyDescent="0.25">
      <c r="A51" s="86">
        <v>49</v>
      </c>
      <c r="B51" s="84">
        <f t="shared" si="10"/>
        <v>42541</v>
      </c>
      <c r="C51" s="29" t="s">
        <v>613</v>
      </c>
      <c r="D51" s="59" t="s">
        <v>1502</v>
      </c>
      <c r="E51" s="22" t="s">
        <v>156</v>
      </c>
      <c r="F51" s="27" t="s">
        <v>842</v>
      </c>
      <c r="G51" s="27"/>
      <c r="H51" s="28"/>
      <c r="I51" s="20"/>
      <c r="J51" s="35">
        <f t="shared" si="28"/>
        <v>116.55068493150685</v>
      </c>
      <c r="M51" s="60"/>
      <c r="N51" s="32">
        <v>42400</v>
      </c>
      <c r="O51" s="82">
        <f t="shared" si="15"/>
        <v>141</v>
      </c>
      <c r="P51" s="19">
        <v>10</v>
      </c>
      <c r="Q51" s="109" t="s">
        <v>1451</v>
      </c>
      <c r="R51" s="109">
        <v>6845</v>
      </c>
      <c r="S51" s="21">
        <v>42453</v>
      </c>
      <c r="T51" s="20">
        <v>42453</v>
      </c>
      <c r="U51" s="20" t="str">
        <f t="shared" si="29"/>
        <v>-</v>
      </c>
      <c r="V51" s="19" t="str">
        <f t="shared" si="30"/>
        <v>-</v>
      </c>
      <c r="W51" s="3">
        <v>1</v>
      </c>
      <c r="X51" s="22">
        <f t="shared" si="31"/>
        <v>53</v>
      </c>
      <c r="Y51" s="22">
        <v>0</v>
      </c>
      <c r="Z51" s="22" t="str">
        <f t="shared" si="40"/>
        <v>яловая</v>
      </c>
      <c r="AA51" s="20" t="str">
        <f t="shared" si="32"/>
        <v>-</v>
      </c>
      <c r="AB51" s="111" t="str">
        <f t="shared" si="33"/>
        <v>---------</v>
      </c>
      <c r="AC51" s="21">
        <v>42500</v>
      </c>
      <c r="AD51" s="21" t="str">
        <f t="shared" si="34"/>
        <v>-</v>
      </c>
      <c r="AE51" s="21" t="str">
        <f t="shared" si="35"/>
        <v>-</v>
      </c>
      <c r="AF51" s="20"/>
      <c r="AG51" s="21" t="str">
        <f t="shared" si="36"/>
        <v>-</v>
      </c>
      <c r="AH51" s="21" t="str">
        <f t="shared" si="37"/>
        <v>-</v>
      </c>
      <c r="AI51" s="112" t="str">
        <f t="shared" si="38"/>
        <v>-</v>
      </c>
      <c r="AJ51" s="22">
        <v>1</v>
      </c>
      <c r="AK51" s="18"/>
      <c r="AL51" s="22" t="str">
        <f t="shared" si="41"/>
        <v>-</v>
      </c>
      <c r="AM51" s="120">
        <v>42541</v>
      </c>
      <c r="AN51" s="126" t="s">
        <v>1537</v>
      </c>
      <c r="BC51" s="284">
        <v>42541</v>
      </c>
      <c r="BD51" s="288" t="s">
        <v>1537</v>
      </c>
    </row>
    <row r="52" spans="1:56" s="2" customFormat="1" ht="15.95" customHeight="1" x14ac:dyDescent="0.25">
      <c r="A52" s="86">
        <v>50</v>
      </c>
      <c r="B52" s="84">
        <f t="shared" si="10"/>
        <v>42541</v>
      </c>
      <c r="C52" s="29"/>
      <c r="D52" s="59" t="s">
        <v>1455</v>
      </c>
      <c r="E52" s="22" t="s">
        <v>926</v>
      </c>
      <c r="F52" s="27" t="s">
        <v>1531</v>
      </c>
      <c r="G52" s="27"/>
      <c r="H52" s="28" t="s">
        <v>603</v>
      </c>
      <c r="I52" s="20">
        <v>41574</v>
      </c>
      <c r="J52" s="35">
        <f t="shared" si="28"/>
        <v>2.6493150684931508</v>
      </c>
      <c r="M52" s="60"/>
      <c r="N52" s="32"/>
      <c r="O52" s="82" t="str">
        <f t="shared" si="15"/>
        <v>-</v>
      </c>
      <c r="P52" s="19"/>
      <c r="Q52" s="109"/>
      <c r="R52" s="109"/>
      <c r="S52" s="21"/>
      <c r="T52" s="20"/>
      <c r="U52" s="20" t="str">
        <f t="shared" si="29"/>
        <v>-</v>
      </c>
      <c r="V52" s="19" t="str">
        <f t="shared" si="30"/>
        <v>-</v>
      </c>
      <c r="W52" s="3"/>
      <c r="X52" s="22" t="str">
        <f t="shared" si="31"/>
        <v>-</v>
      </c>
      <c r="Y52" s="22">
        <v>0</v>
      </c>
      <c r="Z52" s="22" t="str">
        <f t="shared" si="40"/>
        <v>-</v>
      </c>
      <c r="AA52" s="20" t="str">
        <f t="shared" si="32"/>
        <v>-</v>
      </c>
      <c r="AB52" s="111" t="str">
        <f t="shared" si="33"/>
        <v>---------</v>
      </c>
      <c r="AC52" s="21">
        <v>42540</v>
      </c>
      <c r="AD52" s="21" t="str">
        <f t="shared" si="34"/>
        <v>-</v>
      </c>
      <c r="AE52" s="21" t="str">
        <f t="shared" si="35"/>
        <v>-</v>
      </c>
      <c r="AF52" s="20"/>
      <c r="AG52" s="21" t="str">
        <f t="shared" si="36"/>
        <v>-</v>
      </c>
      <c r="AH52" s="21" t="str">
        <f t="shared" si="37"/>
        <v>-</v>
      </c>
      <c r="AI52" s="112" t="str">
        <f t="shared" si="38"/>
        <v>-</v>
      </c>
      <c r="AJ52" s="22">
        <v>1</v>
      </c>
      <c r="AK52" s="18"/>
      <c r="AL52" s="22" t="str">
        <f t="shared" si="41"/>
        <v>-</v>
      </c>
      <c r="AM52" s="120">
        <v>42541</v>
      </c>
      <c r="AN52" s="126" t="s">
        <v>1971</v>
      </c>
      <c r="BC52" s="284">
        <v>42541</v>
      </c>
      <c r="BD52" s="288" t="s">
        <v>1971</v>
      </c>
    </row>
    <row r="53" spans="1:56" ht="15.95" customHeight="1" x14ac:dyDescent="0.25">
      <c r="A53" s="86">
        <v>51</v>
      </c>
      <c r="B53" s="84">
        <f t="shared" si="10"/>
        <v>42544</v>
      </c>
      <c r="C53" s="29"/>
      <c r="D53" s="59" t="s">
        <v>1456</v>
      </c>
      <c r="E53" s="22" t="s">
        <v>1437</v>
      </c>
      <c r="F53" s="27" t="s">
        <v>1144</v>
      </c>
      <c r="G53" s="27"/>
      <c r="H53" s="28" t="s">
        <v>603</v>
      </c>
      <c r="I53" s="20">
        <v>41673</v>
      </c>
      <c r="J53" s="35">
        <f t="shared" si="28"/>
        <v>2.3863013698630136</v>
      </c>
      <c r="K53" s="366"/>
      <c r="L53" s="366"/>
      <c r="M53" s="60">
        <v>42540</v>
      </c>
      <c r="N53" s="32">
        <v>42540</v>
      </c>
      <c r="O53" s="82">
        <f t="shared" si="15"/>
        <v>4</v>
      </c>
      <c r="P53" s="19">
        <v>1</v>
      </c>
      <c r="Q53" s="109"/>
      <c r="R53" s="109"/>
      <c r="S53" s="21"/>
      <c r="T53" s="2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06">
        <v>42544</v>
      </c>
      <c r="AN53" s="132" t="s">
        <v>1972</v>
      </c>
      <c r="BC53" s="283">
        <v>42544</v>
      </c>
      <c r="BD53" s="288" t="s">
        <v>1972</v>
      </c>
    </row>
    <row r="54" spans="1:56" ht="15.95" customHeight="1" x14ac:dyDescent="0.25">
      <c r="A54" s="86">
        <v>52</v>
      </c>
      <c r="B54" s="84">
        <f t="shared" si="10"/>
        <v>42544</v>
      </c>
      <c r="C54" s="29"/>
      <c r="D54" s="59" t="s">
        <v>1508</v>
      </c>
      <c r="E54" s="22" t="s">
        <v>114</v>
      </c>
      <c r="F54" s="27" t="s">
        <v>884</v>
      </c>
      <c r="G54" s="27"/>
      <c r="H54" s="28" t="s">
        <v>603</v>
      </c>
      <c r="I54" s="20">
        <v>41122</v>
      </c>
      <c r="J54" s="35">
        <f t="shared" si="28"/>
        <v>3.8958904109589043</v>
      </c>
      <c r="M54" s="60">
        <v>41930</v>
      </c>
      <c r="N54" s="32">
        <v>42518</v>
      </c>
      <c r="O54" s="82">
        <f t="shared" ref="O54:O85" si="42">IF(AND(B54&gt;0,N54&gt;0),B54-N54,"-")</f>
        <v>26</v>
      </c>
      <c r="P54" s="19">
        <v>2</v>
      </c>
      <c r="Q54" s="109"/>
      <c r="R54" s="109"/>
      <c r="S54" s="21"/>
      <c r="T54" s="20"/>
      <c r="U54" s="20" t="str">
        <f t="shared" ref="U54:U89" si="43">IF(AND(Y54&gt;1,T54&gt;0),T54+18,"-")</f>
        <v>-</v>
      </c>
      <c r="V54" s="19" t="str">
        <f t="shared" ref="V54:V89" si="44">IF(AND(U54&gt;0,B54&gt;0,Y54&gt;1),B54-U54,"-")</f>
        <v>-</v>
      </c>
      <c r="W54" s="3">
        <v>0</v>
      </c>
      <c r="X54" s="22" t="str">
        <f t="shared" ref="X54:X89" si="45">IF(AND(N54&gt;0,T54&gt;0),T54-N54,"-")</f>
        <v>-</v>
      </c>
      <c r="Y54" s="22">
        <v>0</v>
      </c>
      <c r="Z54" s="22" t="str">
        <f t="shared" ref="Z54:Z74" si="46">IF(AND(O54&gt;140,Y54=0,N54&gt;0),"яловая","-")</f>
        <v>-</v>
      </c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06">
        <v>42544</v>
      </c>
      <c r="AN54" s="132" t="s">
        <v>1973</v>
      </c>
      <c r="BC54" s="283">
        <v>42544</v>
      </c>
      <c r="BD54" s="288" t="s">
        <v>1973</v>
      </c>
    </row>
    <row r="55" spans="1:56" ht="15.95" customHeight="1" x14ac:dyDescent="0.25">
      <c r="A55" s="86">
        <v>53</v>
      </c>
      <c r="B55" s="84">
        <f t="shared" si="10"/>
        <v>42544</v>
      </c>
      <c r="C55" s="29" t="s">
        <v>614</v>
      </c>
      <c r="D55" s="59" t="s">
        <v>1508</v>
      </c>
      <c r="E55" s="22" t="s">
        <v>625</v>
      </c>
      <c r="F55" s="27" t="s">
        <v>626</v>
      </c>
      <c r="G55" s="27"/>
      <c r="H55" s="28" t="s">
        <v>603</v>
      </c>
      <c r="I55" s="20">
        <v>41057</v>
      </c>
      <c r="J55" s="35">
        <f t="shared" si="28"/>
        <v>4.0739726027397261</v>
      </c>
      <c r="M55" s="60">
        <v>41927</v>
      </c>
      <c r="N55" s="32">
        <v>42413</v>
      </c>
      <c r="O55" s="82">
        <f t="shared" si="42"/>
        <v>131</v>
      </c>
      <c r="P55" s="19">
        <v>2</v>
      </c>
      <c r="Q55" s="109"/>
      <c r="R55" s="109"/>
      <c r="S55" s="21"/>
      <c r="T55" s="20"/>
      <c r="U55" s="20" t="str">
        <f t="shared" si="43"/>
        <v>-</v>
      </c>
      <c r="V55" s="19" t="str">
        <f t="shared" si="44"/>
        <v>-</v>
      </c>
      <c r="W55" s="3">
        <v>0</v>
      </c>
      <c r="X55" s="22" t="str">
        <f t="shared" si="45"/>
        <v>-</v>
      </c>
      <c r="Y55" s="22">
        <v>0</v>
      </c>
      <c r="Z55" s="22" t="str">
        <f t="shared" si="46"/>
        <v>-</v>
      </c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06">
        <v>42544</v>
      </c>
      <c r="AN55" s="132" t="s">
        <v>1974</v>
      </c>
      <c r="BC55" s="283">
        <v>42544</v>
      </c>
      <c r="BD55" s="288" t="s">
        <v>1974</v>
      </c>
    </row>
    <row r="56" spans="1:56" s="2" customFormat="1" ht="15.95" customHeight="1" x14ac:dyDescent="0.25">
      <c r="A56" s="86">
        <v>54</v>
      </c>
      <c r="B56" s="84">
        <f t="shared" si="10"/>
        <v>42548</v>
      </c>
      <c r="C56" s="29"/>
      <c r="D56" s="59" t="s">
        <v>1503</v>
      </c>
      <c r="E56" s="22" t="s">
        <v>179</v>
      </c>
      <c r="F56" s="27" t="s">
        <v>180</v>
      </c>
      <c r="G56" s="27"/>
      <c r="H56" s="28" t="s">
        <v>87</v>
      </c>
      <c r="I56" s="20">
        <v>40591</v>
      </c>
      <c r="J56" s="35">
        <f t="shared" si="28"/>
        <v>5.3616438356164382</v>
      </c>
      <c r="M56" s="60">
        <v>41619</v>
      </c>
      <c r="N56" s="32">
        <v>42522</v>
      </c>
      <c r="O56" s="82">
        <f t="shared" si="42"/>
        <v>26</v>
      </c>
      <c r="P56" s="19">
        <v>3</v>
      </c>
      <c r="Q56" s="109"/>
      <c r="R56" s="109"/>
      <c r="S56" s="21"/>
      <c r="T56" s="20"/>
      <c r="U56" s="20" t="str">
        <f t="shared" si="43"/>
        <v>-</v>
      </c>
      <c r="V56" s="19" t="str">
        <f t="shared" si="44"/>
        <v>-</v>
      </c>
      <c r="W56" s="3">
        <v>0</v>
      </c>
      <c r="X56" s="22" t="str">
        <f t="shared" si="45"/>
        <v>-</v>
      </c>
      <c r="Y56" s="22">
        <v>0</v>
      </c>
      <c r="Z56" s="22" t="str">
        <f t="shared" si="46"/>
        <v>-</v>
      </c>
      <c r="AA56" s="20" t="str">
        <f t="shared" ref="AA56:AA73" si="47">IF(AND(T56&gt;0,OR(Y56=3,Y56=2)),T56+45,"-")</f>
        <v>-</v>
      </c>
      <c r="AB56" s="111" t="str">
        <f t="shared" ref="AB56:AB89" si="48">IF(AND(T56&gt;0,W56&gt;0,Q56&gt;0,OR(Y56=3,Y56=2)),B56-AA56,"---------")</f>
        <v>---------</v>
      </c>
      <c r="AC56" s="21"/>
      <c r="AD56" s="21" t="str">
        <f t="shared" ref="AD56:AD89" si="49">IF(AND($T56&gt;0,$N56&gt;0,$Y56=1),$T56+285-90,"-")</f>
        <v>-</v>
      </c>
      <c r="AE56" s="21" t="str">
        <f t="shared" ref="AE56:AE89" si="50">IF(AND(T56&gt;0,Y56=1,N56&gt;0),T56+285-60,"-")</f>
        <v>-</v>
      </c>
      <c r="AF56" s="20"/>
      <c r="AG56" s="21" t="str">
        <f t="shared" ref="AG56:AG79" si="51">IF(AND($T56&gt;0,$Y56=1),$T56+285-21,"-")</f>
        <v>-</v>
      </c>
      <c r="AH56" s="21" t="str">
        <f t="shared" ref="AH56:AH79" si="52">IF(AND(T56&gt;0,Y56=1),T56+285,"-")</f>
        <v>-</v>
      </c>
      <c r="AI56" s="112" t="str">
        <f t="shared" ref="AI56:AI89" si="53">IF(AND(B56&gt;0,AH56&gt;0,AC56&gt;0,Y56=1),B56-AH56,"-")</f>
        <v>-</v>
      </c>
      <c r="AJ56" s="22">
        <v>1</v>
      </c>
      <c r="AK56" s="80" t="str">
        <f t="shared" ref="AK56:AK89" si="54">IF(AND(Z56="яловая",O56&gt;300),"БРАК","-")</f>
        <v>-</v>
      </c>
      <c r="AL56" s="78"/>
      <c r="AM56" s="120">
        <v>42548</v>
      </c>
      <c r="AN56" s="126" t="s">
        <v>1973</v>
      </c>
      <c r="BC56" s="284">
        <v>42548</v>
      </c>
      <c r="BD56" s="288" t="s">
        <v>1973</v>
      </c>
    </row>
    <row r="57" spans="1:56" s="2" customFormat="1" ht="15.95" customHeight="1" x14ac:dyDescent="0.25">
      <c r="A57" s="86">
        <v>55</v>
      </c>
      <c r="B57" s="84">
        <f t="shared" si="10"/>
        <v>42548</v>
      </c>
      <c r="C57" s="29"/>
      <c r="D57" s="59" t="s">
        <v>1503</v>
      </c>
      <c r="E57" s="22" t="s">
        <v>134</v>
      </c>
      <c r="F57" s="27" t="s">
        <v>135</v>
      </c>
      <c r="G57" s="27"/>
      <c r="H57" s="28" t="s">
        <v>87</v>
      </c>
      <c r="I57" s="20">
        <v>40688</v>
      </c>
      <c r="J57" s="35">
        <f t="shared" si="28"/>
        <v>5.095890410958904</v>
      </c>
      <c r="M57" s="60">
        <v>41583</v>
      </c>
      <c r="N57" s="32">
        <v>42521</v>
      </c>
      <c r="O57" s="82">
        <f t="shared" si="42"/>
        <v>27</v>
      </c>
      <c r="P57" s="19">
        <v>3</v>
      </c>
      <c r="Q57" s="109"/>
      <c r="R57" s="109"/>
      <c r="S57" s="21"/>
      <c r="T57" s="20"/>
      <c r="U57" s="20" t="str">
        <f t="shared" si="43"/>
        <v>-</v>
      </c>
      <c r="V57" s="19" t="str">
        <f t="shared" si="44"/>
        <v>-</v>
      </c>
      <c r="W57" s="3">
        <v>0</v>
      </c>
      <c r="X57" s="22" t="str">
        <f t="shared" si="45"/>
        <v>-</v>
      </c>
      <c r="Y57" s="22">
        <v>0</v>
      </c>
      <c r="Z57" s="22" t="str">
        <f t="shared" si="46"/>
        <v>-</v>
      </c>
      <c r="AA57" s="20" t="str">
        <f t="shared" si="47"/>
        <v>-</v>
      </c>
      <c r="AB57" s="111" t="str">
        <f t="shared" si="48"/>
        <v>---------</v>
      </c>
      <c r="AC57" s="21"/>
      <c r="AD57" s="21" t="str">
        <f t="shared" si="49"/>
        <v>-</v>
      </c>
      <c r="AE57" s="21" t="str">
        <f t="shared" si="50"/>
        <v>-</v>
      </c>
      <c r="AF57" s="20"/>
      <c r="AG57" s="21" t="str">
        <f t="shared" si="51"/>
        <v>-</v>
      </c>
      <c r="AH57" s="21" t="str">
        <f t="shared" si="52"/>
        <v>-</v>
      </c>
      <c r="AI57" s="112" t="str">
        <f t="shared" si="53"/>
        <v>-</v>
      </c>
      <c r="AJ57" s="22">
        <v>1</v>
      </c>
      <c r="AK57" s="80" t="str">
        <f t="shared" si="54"/>
        <v>-</v>
      </c>
      <c r="AL57" s="78"/>
      <c r="AM57" s="120">
        <v>42548</v>
      </c>
      <c r="AN57" s="126" t="s">
        <v>1973</v>
      </c>
      <c r="BC57" s="284">
        <v>42548</v>
      </c>
      <c r="BD57" s="288" t="s">
        <v>1973</v>
      </c>
    </row>
    <row r="58" spans="1:56" s="2" customFormat="1" ht="15.95" customHeight="1" x14ac:dyDescent="0.25">
      <c r="A58" s="86">
        <v>56</v>
      </c>
      <c r="B58" s="84">
        <f t="shared" si="10"/>
        <v>42548</v>
      </c>
      <c r="C58" s="29"/>
      <c r="D58" s="59" t="s">
        <v>1456</v>
      </c>
      <c r="E58" s="22" t="s">
        <v>463</v>
      </c>
      <c r="F58" s="27" t="s">
        <v>1454</v>
      </c>
      <c r="G58" s="27"/>
      <c r="H58" s="28" t="s">
        <v>78</v>
      </c>
      <c r="I58" s="20">
        <v>41372</v>
      </c>
      <c r="J58" s="35">
        <f t="shared" si="28"/>
        <v>3.2219178082191782</v>
      </c>
      <c r="M58" s="60">
        <v>42202</v>
      </c>
      <c r="N58" s="32">
        <v>42543</v>
      </c>
      <c r="O58" s="82">
        <f t="shared" si="42"/>
        <v>5</v>
      </c>
      <c r="P58" s="19">
        <v>2</v>
      </c>
      <c r="Q58" s="109"/>
      <c r="R58" s="109"/>
      <c r="S58" s="21"/>
      <c r="T58" s="20"/>
      <c r="U58" s="20" t="str">
        <f t="shared" si="43"/>
        <v>-</v>
      </c>
      <c r="V58" s="19" t="str">
        <f t="shared" si="44"/>
        <v>-</v>
      </c>
      <c r="W58" s="3">
        <v>0</v>
      </c>
      <c r="X58" s="22" t="str">
        <f t="shared" si="45"/>
        <v>-</v>
      </c>
      <c r="Y58" s="22">
        <v>0</v>
      </c>
      <c r="Z58" s="22" t="str">
        <f t="shared" si="46"/>
        <v>-</v>
      </c>
      <c r="AA58" s="20" t="str">
        <f t="shared" si="47"/>
        <v>-</v>
      </c>
      <c r="AB58" s="111" t="str">
        <f t="shared" si="48"/>
        <v>---------</v>
      </c>
      <c r="AC58" s="21"/>
      <c r="AD58" s="21" t="str">
        <f t="shared" si="49"/>
        <v>-</v>
      </c>
      <c r="AE58" s="21" t="str">
        <f t="shared" si="50"/>
        <v>-</v>
      </c>
      <c r="AF58" s="20"/>
      <c r="AG58" s="21" t="str">
        <f t="shared" si="51"/>
        <v>-</v>
      </c>
      <c r="AH58" s="21" t="str">
        <f t="shared" si="52"/>
        <v>-</v>
      </c>
      <c r="AI58" s="112" t="str">
        <f t="shared" si="53"/>
        <v>-</v>
      </c>
      <c r="AJ58" s="22">
        <v>1</v>
      </c>
      <c r="AK58" s="80" t="str">
        <f t="shared" si="54"/>
        <v>-</v>
      </c>
      <c r="AL58" s="78"/>
      <c r="AM58" s="120">
        <v>42548</v>
      </c>
      <c r="AN58" s="126" t="s">
        <v>1974</v>
      </c>
      <c r="BC58" s="284">
        <v>42548</v>
      </c>
      <c r="BD58" s="288" t="s">
        <v>1974</v>
      </c>
    </row>
    <row r="59" spans="1:56" s="2" customFormat="1" ht="15.95" customHeight="1" x14ac:dyDescent="0.25">
      <c r="A59" s="86">
        <v>57</v>
      </c>
      <c r="B59" s="84">
        <f t="shared" si="10"/>
        <v>42556</v>
      </c>
      <c r="C59" s="29"/>
      <c r="D59" s="59" t="s">
        <v>1456</v>
      </c>
      <c r="E59" s="22" t="s">
        <v>162</v>
      </c>
      <c r="F59" s="27" t="s">
        <v>1506</v>
      </c>
      <c r="G59" s="27"/>
      <c r="H59" s="28" t="s">
        <v>87</v>
      </c>
      <c r="I59" s="20">
        <v>40673</v>
      </c>
      <c r="J59" s="35">
        <f t="shared" si="28"/>
        <v>5.1589041095890407</v>
      </c>
      <c r="M59" s="60">
        <v>41606</v>
      </c>
      <c r="N59" s="32">
        <v>42533</v>
      </c>
      <c r="O59" s="82">
        <f t="shared" si="42"/>
        <v>23</v>
      </c>
      <c r="P59" s="19">
        <v>3</v>
      </c>
      <c r="Q59" s="109"/>
      <c r="R59" s="109"/>
      <c r="S59" s="21"/>
      <c r="T59" s="20"/>
      <c r="U59" s="20" t="str">
        <f t="shared" si="43"/>
        <v>-</v>
      </c>
      <c r="V59" s="19" t="str">
        <f t="shared" si="44"/>
        <v>-</v>
      </c>
      <c r="W59" s="3">
        <v>0</v>
      </c>
      <c r="X59" s="22" t="str">
        <f t="shared" si="45"/>
        <v>-</v>
      </c>
      <c r="Y59" s="22">
        <v>0</v>
      </c>
      <c r="Z59" s="22" t="str">
        <f t="shared" si="46"/>
        <v>-</v>
      </c>
      <c r="AA59" s="20" t="str">
        <f t="shared" si="47"/>
        <v>-</v>
      </c>
      <c r="AB59" s="111" t="str">
        <f t="shared" si="48"/>
        <v>---------</v>
      </c>
      <c r="AC59" s="21"/>
      <c r="AD59" s="21" t="str">
        <f t="shared" si="49"/>
        <v>-</v>
      </c>
      <c r="AE59" s="21" t="str">
        <f t="shared" si="50"/>
        <v>-</v>
      </c>
      <c r="AF59" s="20"/>
      <c r="AG59" s="21" t="str">
        <f t="shared" si="51"/>
        <v>-</v>
      </c>
      <c r="AH59" s="21" t="str">
        <f t="shared" si="52"/>
        <v>-</v>
      </c>
      <c r="AI59" s="112" t="str">
        <f t="shared" si="53"/>
        <v>-</v>
      </c>
      <c r="AJ59" s="22">
        <v>1</v>
      </c>
      <c r="AK59" s="80" t="str">
        <f t="shared" si="54"/>
        <v>-</v>
      </c>
      <c r="AL59" s="80"/>
      <c r="AM59" s="120">
        <v>42556</v>
      </c>
      <c r="AN59" s="126" t="s">
        <v>1558</v>
      </c>
      <c r="BC59" s="284">
        <v>42556</v>
      </c>
      <c r="BD59" s="288" t="s">
        <v>1558</v>
      </c>
    </row>
    <row r="60" spans="1:56" s="2" customFormat="1" ht="15.95" customHeight="1" x14ac:dyDescent="0.25">
      <c r="A60" s="86">
        <v>58</v>
      </c>
      <c r="B60" s="84">
        <f t="shared" si="10"/>
        <v>42556</v>
      </c>
      <c r="C60" s="29"/>
      <c r="D60" s="59" t="s">
        <v>1456</v>
      </c>
      <c r="E60" s="22" t="s">
        <v>312</v>
      </c>
      <c r="F60" s="27" t="s">
        <v>313</v>
      </c>
      <c r="G60" s="27"/>
      <c r="H60" s="28" t="s">
        <v>603</v>
      </c>
      <c r="I60" s="20">
        <v>40659</v>
      </c>
      <c r="J60" s="35">
        <f t="shared" si="28"/>
        <v>5.1972602739726028</v>
      </c>
      <c r="M60" s="60">
        <v>41560</v>
      </c>
      <c r="N60" s="32">
        <v>42551</v>
      </c>
      <c r="O60" s="82">
        <f t="shared" si="42"/>
        <v>5</v>
      </c>
      <c r="P60" s="19">
        <v>3</v>
      </c>
      <c r="Q60" s="109"/>
      <c r="R60" s="109"/>
      <c r="S60" s="21"/>
      <c r="T60" s="20"/>
      <c r="U60" s="20" t="str">
        <f t="shared" si="43"/>
        <v>-</v>
      </c>
      <c r="V60" s="19" t="str">
        <f t="shared" si="44"/>
        <v>-</v>
      </c>
      <c r="W60" s="3">
        <v>0</v>
      </c>
      <c r="X60" s="22" t="str">
        <f t="shared" si="45"/>
        <v>-</v>
      </c>
      <c r="Y60" s="22">
        <v>0</v>
      </c>
      <c r="Z60" s="22" t="str">
        <f t="shared" si="46"/>
        <v>-</v>
      </c>
      <c r="AA60" s="20" t="str">
        <f t="shared" si="47"/>
        <v>-</v>
      </c>
      <c r="AB60" s="111" t="str">
        <f t="shared" si="48"/>
        <v>---------</v>
      </c>
      <c r="AC60" s="21"/>
      <c r="AD60" s="21" t="str">
        <f t="shared" si="49"/>
        <v>-</v>
      </c>
      <c r="AE60" s="21" t="str">
        <f t="shared" si="50"/>
        <v>-</v>
      </c>
      <c r="AF60" s="20"/>
      <c r="AG60" s="21" t="str">
        <f t="shared" si="51"/>
        <v>-</v>
      </c>
      <c r="AH60" s="21" t="str">
        <f t="shared" si="52"/>
        <v>-</v>
      </c>
      <c r="AI60" s="112" t="str">
        <f t="shared" si="53"/>
        <v>-</v>
      </c>
      <c r="AJ60" s="22">
        <v>1</v>
      </c>
      <c r="AK60" s="80" t="str">
        <f t="shared" si="54"/>
        <v>-</v>
      </c>
      <c r="AL60" s="80"/>
      <c r="AM60" s="120">
        <v>42556</v>
      </c>
      <c r="AN60" s="126" t="s">
        <v>1559</v>
      </c>
      <c r="BC60" s="284">
        <v>42556</v>
      </c>
      <c r="BD60" s="288" t="s">
        <v>1559</v>
      </c>
    </row>
    <row r="61" spans="1:56" s="2" customFormat="1" ht="15.95" customHeight="1" x14ac:dyDescent="0.25">
      <c r="A61" s="86">
        <v>59</v>
      </c>
      <c r="B61" s="84">
        <f t="shared" si="10"/>
        <v>42558</v>
      </c>
      <c r="C61" s="29"/>
      <c r="D61" s="59" t="s">
        <v>1046</v>
      </c>
      <c r="E61" s="22" t="s">
        <v>350</v>
      </c>
      <c r="F61" s="27" t="s">
        <v>351</v>
      </c>
      <c r="G61" s="27"/>
      <c r="H61" s="28" t="s">
        <v>603</v>
      </c>
      <c r="I61" s="20">
        <v>40568</v>
      </c>
      <c r="J61" s="35">
        <f t="shared" si="28"/>
        <v>5.4520547945205475</v>
      </c>
      <c r="K61" s="364"/>
      <c r="L61" s="364"/>
      <c r="M61" s="60">
        <v>41285</v>
      </c>
      <c r="N61" s="32">
        <v>41798</v>
      </c>
      <c r="O61" s="82">
        <f t="shared" si="42"/>
        <v>760</v>
      </c>
      <c r="P61" s="19">
        <v>2</v>
      </c>
      <c r="Q61" s="109" t="s">
        <v>1448</v>
      </c>
      <c r="R61" s="109">
        <v>107770</v>
      </c>
      <c r="S61" s="21">
        <v>41853</v>
      </c>
      <c r="T61" s="20">
        <v>42294</v>
      </c>
      <c r="U61" s="20" t="str">
        <f t="shared" si="43"/>
        <v>-</v>
      </c>
      <c r="V61" s="19" t="str">
        <f t="shared" si="44"/>
        <v>-</v>
      </c>
      <c r="W61" s="3">
        <v>8</v>
      </c>
      <c r="X61" s="22">
        <f t="shared" si="45"/>
        <v>496</v>
      </c>
      <c r="Y61" s="22">
        <v>1</v>
      </c>
      <c r="Z61" s="22" t="str">
        <f t="shared" si="46"/>
        <v>-</v>
      </c>
      <c r="AA61" s="20" t="str">
        <f t="shared" si="47"/>
        <v>-</v>
      </c>
      <c r="AB61" s="111" t="str">
        <f t="shared" si="48"/>
        <v>---------</v>
      </c>
      <c r="AC61" s="21"/>
      <c r="AD61" s="21">
        <f t="shared" si="49"/>
        <v>42489</v>
      </c>
      <c r="AE61" s="21">
        <f t="shared" si="50"/>
        <v>42519</v>
      </c>
      <c r="AF61" s="20">
        <v>42430</v>
      </c>
      <c r="AG61" s="21">
        <f t="shared" si="51"/>
        <v>42558</v>
      </c>
      <c r="AH61" s="21">
        <f t="shared" si="52"/>
        <v>42579</v>
      </c>
      <c r="AI61" s="112" t="str">
        <f t="shared" si="53"/>
        <v>-</v>
      </c>
      <c r="AJ61" s="22">
        <v>1</v>
      </c>
      <c r="AK61" s="80" t="str">
        <f t="shared" si="54"/>
        <v>-</v>
      </c>
      <c r="AL61" s="80"/>
      <c r="AM61" s="120">
        <v>42558</v>
      </c>
      <c r="AN61" s="126" t="s">
        <v>1445</v>
      </c>
      <c r="BC61" s="284">
        <v>42558</v>
      </c>
      <c r="BD61" s="288" t="s">
        <v>1445</v>
      </c>
    </row>
    <row r="62" spans="1:56" s="2" customFormat="1" ht="15.95" customHeight="1" x14ac:dyDescent="0.25">
      <c r="A62" s="86">
        <v>60</v>
      </c>
      <c r="B62" s="84">
        <f t="shared" si="10"/>
        <v>42558</v>
      </c>
      <c r="C62" s="29"/>
      <c r="D62" s="59" t="s">
        <v>475</v>
      </c>
      <c r="E62" s="22" t="s">
        <v>758</v>
      </c>
      <c r="F62" s="27" t="s">
        <v>759</v>
      </c>
      <c r="G62" s="27"/>
      <c r="H62" s="28" t="s">
        <v>603</v>
      </c>
      <c r="I62" s="20">
        <v>40832</v>
      </c>
      <c r="J62" s="35">
        <f t="shared" si="28"/>
        <v>4.7287671232876711</v>
      </c>
      <c r="K62" s="364"/>
      <c r="L62" s="364"/>
      <c r="M62" s="60">
        <v>41769</v>
      </c>
      <c r="N62" s="32">
        <v>42114</v>
      </c>
      <c r="O62" s="82">
        <f t="shared" si="42"/>
        <v>444</v>
      </c>
      <c r="P62" s="19">
        <v>2</v>
      </c>
      <c r="Q62" s="109" t="s">
        <v>1482</v>
      </c>
      <c r="R62" s="109">
        <v>331129</v>
      </c>
      <c r="S62" s="21">
        <v>42159</v>
      </c>
      <c r="T62" s="20">
        <v>42324</v>
      </c>
      <c r="U62" s="20" t="str">
        <f t="shared" si="43"/>
        <v>-</v>
      </c>
      <c r="V62" s="19" t="str">
        <f t="shared" si="44"/>
        <v>-</v>
      </c>
      <c r="W62" s="3">
        <v>6</v>
      </c>
      <c r="X62" s="22">
        <f t="shared" si="45"/>
        <v>210</v>
      </c>
      <c r="Y62" s="22">
        <v>1</v>
      </c>
      <c r="Z62" s="22" t="str">
        <f t="shared" si="46"/>
        <v>-</v>
      </c>
      <c r="AA62" s="20" t="str">
        <f t="shared" si="47"/>
        <v>-</v>
      </c>
      <c r="AB62" s="111" t="str">
        <f t="shared" si="48"/>
        <v>---------</v>
      </c>
      <c r="AC62" s="21"/>
      <c r="AD62" s="21">
        <f t="shared" si="49"/>
        <v>42519</v>
      </c>
      <c r="AE62" s="21">
        <f t="shared" si="50"/>
        <v>42549</v>
      </c>
      <c r="AF62" s="20">
        <v>42401</v>
      </c>
      <c r="AG62" s="21">
        <f t="shared" si="51"/>
        <v>42588</v>
      </c>
      <c r="AH62" s="21">
        <f t="shared" si="52"/>
        <v>42609</v>
      </c>
      <c r="AI62" s="112" t="str">
        <f t="shared" si="53"/>
        <v>-</v>
      </c>
      <c r="AJ62" s="22">
        <v>1</v>
      </c>
      <c r="AK62" s="80" t="str">
        <f t="shared" si="54"/>
        <v>-</v>
      </c>
      <c r="AL62" s="80"/>
      <c r="AM62" s="120">
        <v>42558</v>
      </c>
      <c r="AN62" s="126" t="s">
        <v>1975</v>
      </c>
      <c r="BC62" s="284">
        <v>42558</v>
      </c>
      <c r="BD62" s="288" t="s">
        <v>1975</v>
      </c>
    </row>
    <row r="63" spans="1:56" s="2" customFormat="1" ht="15.95" customHeight="1" x14ac:dyDescent="0.25">
      <c r="A63" s="86">
        <v>61</v>
      </c>
      <c r="B63" s="84">
        <f t="shared" si="10"/>
        <v>42558</v>
      </c>
      <c r="C63" s="29" t="s">
        <v>613</v>
      </c>
      <c r="D63" s="59" t="s">
        <v>1502</v>
      </c>
      <c r="E63" s="22" t="s">
        <v>181</v>
      </c>
      <c r="F63" s="27" t="s">
        <v>182</v>
      </c>
      <c r="G63" s="27"/>
      <c r="H63" s="28" t="s">
        <v>87</v>
      </c>
      <c r="I63" s="20">
        <v>40672</v>
      </c>
      <c r="J63" s="35">
        <f t="shared" si="28"/>
        <v>5.1671232876712327</v>
      </c>
      <c r="K63" s="364"/>
      <c r="L63" s="364"/>
      <c r="M63" s="60">
        <v>41622</v>
      </c>
      <c r="N63" s="32">
        <v>42090</v>
      </c>
      <c r="O63" s="82">
        <f t="shared" si="42"/>
        <v>468</v>
      </c>
      <c r="P63" s="19">
        <v>2</v>
      </c>
      <c r="Q63" s="109" t="s">
        <v>1498</v>
      </c>
      <c r="R63" s="109">
        <v>6845</v>
      </c>
      <c r="S63" s="21">
        <v>42189</v>
      </c>
      <c r="T63" s="20">
        <v>42338</v>
      </c>
      <c r="U63" s="20" t="str">
        <f t="shared" si="43"/>
        <v>-</v>
      </c>
      <c r="V63" s="19" t="str">
        <f t="shared" si="44"/>
        <v>-</v>
      </c>
      <c r="W63" s="3">
        <v>5</v>
      </c>
      <c r="X63" s="22">
        <f t="shared" si="45"/>
        <v>248</v>
      </c>
      <c r="Y63" s="22">
        <v>0</v>
      </c>
      <c r="Z63" s="22" t="str">
        <f t="shared" si="46"/>
        <v>яловая</v>
      </c>
      <c r="AA63" s="20" t="str">
        <f t="shared" si="47"/>
        <v>-</v>
      </c>
      <c r="AB63" s="111" t="str">
        <f t="shared" si="48"/>
        <v>---------</v>
      </c>
      <c r="AC63" s="21"/>
      <c r="AD63" s="21" t="str">
        <f t="shared" si="49"/>
        <v>-</v>
      </c>
      <c r="AE63" s="21" t="str">
        <f t="shared" si="50"/>
        <v>-</v>
      </c>
      <c r="AF63" s="20"/>
      <c r="AG63" s="21" t="str">
        <f t="shared" si="51"/>
        <v>-</v>
      </c>
      <c r="AH63" s="21" t="str">
        <f t="shared" si="52"/>
        <v>-</v>
      </c>
      <c r="AI63" s="112" t="str">
        <f t="shared" si="53"/>
        <v>-</v>
      </c>
      <c r="AJ63" s="22">
        <v>1</v>
      </c>
      <c r="AK63" s="80" t="str">
        <f t="shared" si="54"/>
        <v>БРАК</v>
      </c>
      <c r="AL63" s="80"/>
      <c r="AM63" s="120">
        <v>42558</v>
      </c>
      <c r="AN63" s="126" t="s">
        <v>1561</v>
      </c>
      <c r="BC63" s="284">
        <v>42558</v>
      </c>
      <c r="BD63" s="288" t="s">
        <v>1561</v>
      </c>
    </row>
    <row r="64" spans="1:56" s="2" customFormat="1" ht="15.95" customHeight="1" x14ac:dyDescent="0.25">
      <c r="A64" s="86">
        <v>62</v>
      </c>
      <c r="B64" s="84">
        <f t="shared" si="10"/>
        <v>42563</v>
      </c>
      <c r="C64" s="29" t="s">
        <v>614</v>
      </c>
      <c r="D64" s="59" t="s">
        <v>1503</v>
      </c>
      <c r="E64" s="22" t="s">
        <v>85</v>
      </c>
      <c r="F64" s="27" t="s">
        <v>86</v>
      </c>
      <c r="G64" s="27"/>
      <c r="H64" s="28" t="s">
        <v>87</v>
      </c>
      <c r="I64" s="20">
        <v>40661</v>
      </c>
      <c r="J64" s="35">
        <f t="shared" si="28"/>
        <v>5.2109589041095887</v>
      </c>
      <c r="M64" s="60">
        <v>41685</v>
      </c>
      <c r="N64" s="32">
        <v>42535</v>
      </c>
      <c r="O64" s="82">
        <f t="shared" si="42"/>
        <v>28</v>
      </c>
      <c r="P64" s="19">
        <v>3</v>
      </c>
      <c r="Q64" s="109"/>
      <c r="R64" s="109"/>
      <c r="S64" s="21"/>
      <c r="T64" s="20"/>
      <c r="U64" s="20" t="str">
        <f t="shared" si="43"/>
        <v>-</v>
      </c>
      <c r="V64" s="19" t="str">
        <f t="shared" si="44"/>
        <v>-</v>
      </c>
      <c r="W64" s="3">
        <v>0</v>
      </c>
      <c r="X64" s="22" t="str">
        <f t="shared" si="45"/>
        <v>-</v>
      </c>
      <c r="Y64" s="22">
        <v>0</v>
      </c>
      <c r="Z64" s="22" t="str">
        <f t="shared" si="46"/>
        <v>-</v>
      </c>
      <c r="AA64" s="20" t="str">
        <f t="shared" si="47"/>
        <v>-</v>
      </c>
      <c r="AB64" s="111" t="str">
        <f t="shared" si="48"/>
        <v>---------</v>
      </c>
      <c r="AC64" s="21"/>
      <c r="AD64" s="21" t="str">
        <f t="shared" si="49"/>
        <v>-</v>
      </c>
      <c r="AE64" s="21" t="str">
        <f t="shared" si="50"/>
        <v>-</v>
      </c>
      <c r="AF64" s="20"/>
      <c r="AG64" s="21" t="str">
        <f t="shared" si="51"/>
        <v>-</v>
      </c>
      <c r="AH64" s="21" t="str">
        <f t="shared" si="52"/>
        <v>-</v>
      </c>
      <c r="AI64" s="112" t="str">
        <f t="shared" si="53"/>
        <v>-</v>
      </c>
      <c r="AJ64" s="22">
        <v>1</v>
      </c>
      <c r="AK64" s="80" t="str">
        <f t="shared" si="54"/>
        <v>-</v>
      </c>
      <c r="AL64" s="80"/>
      <c r="AM64" s="120">
        <v>42563</v>
      </c>
      <c r="AN64" s="126" t="s">
        <v>1973</v>
      </c>
      <c r="BC64" s="284">
        <v>42563</v>
      </c>
      <c r="BD64" s="288" t="s">
        <v>1973</v>
      </c>
    </row>
    <row r="65" spans="1:56" s="2" customFormat="1" ht="15.95" customHeight="1" x14ac:dyDescent="0.25">
      <c r="A65" s="86">
        <v>63</v>
      </c>
      <c r="B65" s="84">
        <f t="shared" si="10"/>
        <v>42563</v>
      </c>
      <c r="C65" s="29"/>
      <c r="D65" s="59" t="s">
        <v>1456</v>
      </c>
      <c r="E65" s="22" t="s">
        <v>381</v>
      </c>
      <c r="F65" s="27" t="s">
        <v>382</v>
      </c>
      <c r="G65" s="27"/>
      <c r="H65" s="28" t="s">
        <v>603</v>
      </c>
      <c r="I65" s="20">
        <v>40213</v>
      </c>
      <c r="J65" s="35">
        <f t="shared" si="28"/>
        <v>6.4383561643835616</v>
      </c>
      <c r="M65" s="60">
        <v>41138</v>
      </c>
      <c r="N65" s="32">
        <v>42558</v>
      </c>
      <c r="O65" s="82">
        <f t="shared" si="42"/>
        <v>5</v>
      </c>
      <c r="P65" s="19">
        <v>5</v>
      </c>
      <c r="Q65" s="109"/>
      <c r="R65" s="109"/>
      <c r="S65" s="21"/>
      <c r="T65" s="20"/>
      <c r="U65" s="20" t="str">
        <f t="shared" si="43"/>
        <v>-</v>
      </c>
      <c r="V65" s="19" t="str">
        <f t="shared" si="44"/>
        <v>-</v>
      </c>
      <c r="W65" s="3">
        <v>0</v>
      </c>
      <c r="X65" s="22" t="str">
        <f t="shared" si="45"/>
        <v>-</v>
      </c>
      <c r="Y65" s="22">
        <v>0</v>
      </c>
      <c r="Z65" s="22" t="str">
        <f t="shared" si="46"/>
        <v>-</v>
      </c>
      <c r="AA65" s="20" t="str">
        <f t="shared" si="47"/>
        <v>-</v>
      </c>
      <c r="AB65" s="111" t="str">
        <f t="shared" si="48"/>
        <v>---------</v>
      </c>
      <c r="AC65" s="21"/>
      <c r="AD65" s="21" t="str">
        <f t="shared" si="49"/>
        <v>-</v>
      </c>
      <c r="AE65" s="21" t="str">
        <f t="shared" si="50"/>
        <v>-</v>
      </c>
      <c r="AF65" s="20"/>
      <c r="AG65" s="21" t="str">
        <f t="shared" si="51"/>
        <v>-</v>
      </c>
      <c r="AH65" s="21" t="str">
        <f t="shared" si="52"/>
        <v>-</v>
      </c>
      <c r="AI65" s="112" t="str">
        <f t="shared" si="53"/>
        <v>-</v>
      </c>
      <c r="AJ65" s="22">
        <v>1</v>
      </c>
      <c r="AK65" s="80" t="str">
        <f t="shared" si="54"/>
        <v>-</v>
      </c>
      <c r="AL65" s="80"/>
      <c r="AM65" s="120">
        <v>42563</v>
      </c>
      <c r="AN65" s="126" t="s">
        <v>1976</v>
      </c>
      <c r="BC65" s="284">
        <v>42563</v>
      </c>
      <c r="BD65" s="288" t="s">
        <v>1976</v>
      </c>
    </row>
    <row r="66" spans="1:56" s="2" customFormat="1" ht="15.95" customHeight="1" x14ac:dyDescent="0.25">
      <c r="A66" s="86">
        <v>64</v>
      </c>
      <c r="B66" s="84">
        <f t="shared" si="10"/>
        <v>42565</v>
      </c>
      <c r="C66" s="29"/>
      <c r="D66" s="59" t="s">
        <v>1456</v>
      </c>
      <c r="E66" s="22" t="s">
        <v>387</v>
      </c>
      <c r="F66" s="27" t="s">
        <v>388</v>
      </c>
      <c r="G66" s="27"/>
      <c r="H66" s="28" t="s">
        <v>603</v>
      </c>
      <c r="I66" s="20">
        <v>39862</v>
      </c>
      <c r="J66" s="35">
        <f t="shared" si="28"/>
        <v>7.4054794520547942</v>
      </c>
      <c r="M66" s="60">
        <v>40867</v>
      </c>
      <c r="N66" s="32">
        <v>42558</v>
      </c>
      <c r="O66" s="82">
        <f t="shared" si="42"/>
        <v>7</v>
      </c>
      <c r="P66" s="19">
        <v>6</v>
      </c>
      <c r="Q66" s="109"/>
      <c r="R66" s="109"/>
      <c r="S66" s="21"/>
      <c r="T66" s="20"/>
      <c r="U66" s="20" t="str">
        <f t="shared" si="43"/>
        <v>-</v>
      </c>
      <c r="V66" s="19" t="str">
        <f t="shared" si="44"/>
        <v>-</v>
      </c>
      <c r="W66" s="3">
        <v>0</v>
      </c>
      <c r="X66" s="22" t="str">
        <f t="shared" si="45"/>
        <v>-</v>
      </c>
      <c r="Y66" s="22">
        <v>0</v>
      </c>
      <c r="Z66" s="22" t="str">
        <f t="shared" si="46"/>
        <v>-</v>
      </c>
      <c r="AA66" s="20" t="str">
        <f t="shared" si="47"/>
        <v>-</v>
      </c>
      <c r="AB66" s="111" t="str">
        <f t="shared" si="48"/>
        <v>---------</v>
      </c>
      <c r="AC66" s="21"/>
      <c r="AD66" s="21" t="str">
        <f t="shared" si="49"/>
        <v>-</v>
      </c>
      <c r="AE66" s="21" t="str">
        <f t="shared" si="50"/>
        <v>-</v>
      </c>
      <c r="AF66" s="20"/>
      <c r="AG66" s="21" t="str">
        <f t="shared" si="51"/>
        <v>-</v>
      </c>
      <c r="AH66" s="21" t="str">
        <f t="shared" si="52"/>
        <v>-</v>
      </c>
      <c r="AI66" s="112" t="str">
        <f t="shared" si="53"/>
        <v>-</v>
      </c>
      <c r="AJ66" s="22">
        <v>1</v>
      </c>
      <c r="AK66" s="80" t="str">
        <f t="shared" si="54"/>
        <v>-</v>
      </c>
      <c r="AL66" s="80"/>
      <c r="AM66" s="120">
        <v>42565</v>
      </c>
      <c r="AN66" s="126" t="s">
        <v>1977</v>
      </c>
      <c r="BC66" s="284">
        <v>42565</v>
      </c>
      <c r="BD66" s="288" t="s">
        <v>1977</v>
      </c>
    </row>
    <row r="67" spans="1:56" s="2" customFormat="1" ht="15.95" customHeight="1" x14ac:dyDescent="0.25">
      <c r="A67" s="86">
        <v>65</v>
      </c>
      <c r="B67" s="84">
        <f t="shared" si="10"/>
        <v>42565</v>
      </c>
      <c r="C67" s="29"/>
      <c r="D67" s="59" t="s">
        <v>1456</v>
      </c>
      <c r="E67" s="22" t="s">
        <v>701</v>
      </c>
      <c r="F67" s="27" t="s">
        <v>1429</v>
      </c>
      <c r="G67" s="27"/>
      <c r="H67" s="28" t="s">
        <v>603</v>
      </c>
      <c r="I67" s="20">
        <v>41782</v>
      </c>
      <c r="J67" s="35">
        <f t="shared" ref="J67:J98" si="55">(B67-I67)/365</f>
        <v>2.1452054794520548</v>
      </c>
      <c r="M67" s="60">
        <v>42546</v>
      </c>
      <c r="N67" s="32">
        <v>42546</v>
      </c>
      <c r="O67" s="82">
        <f t="shared" si="42"/>
        <v>19</v>
      </c>
      <c r="P67" s="19">
        <v>1</v>
      </c>
      <c r="Q67" s="109"/>
      <c r="R67" s="109"/>
      <c r="S67" s="21"/>
      <c r="T67" s="20"/>
      <c r="U67" s="20" t="str">
        <f t="shared" si="43"/>
        <v>-</v>
      </c>
      <c r="V67" s="19" t="str">
        <f t="shared" si="44"/>
        <v>-</v>
      </c>
      <c r="W67" s="3">
        <v>0</v>
      </c>
      <c r="X67" s="22" t="str">
        <f t="shared" si="45"/>
        <v>-</v>
      </c>
      <c r="Y67" s="22">
        <v>0</v>
      </c>
      <c r="Z67" s="22" t="str">
        <f t="shared" si="46"/>
        <v>-</v>
      </c>
      <c r="AA67" s="20" t="str">
        <f t="shared" si="47"/>
        <v>-</v>
      </c>
      <c r="AB67" s="111" t="str">
        <f t="shared" si="48"/>
        <v>---------</v>
      </c>
      <c r="AC67" s="21"/>
      <c r="AD67" s="21" t="str">
        <f t="shared" si="49"/>
        <v>-</v>
      </c>
      <c r="AE67" s="21" t="str">
        <f t="shared" si="50"/>
        <v>-</v>
      </c>
      <c r="AF67" s="20"/>
      <c r="AG67" s="21" t="str">
        <f t="shared" si="51"/>
        <v>-</v>
      </c>
      <c r="AH67" s="21" t="str">
        <f t="shared" si="52"/>
        <v>-</v>
      </c>
      <c r="AI67" s="112" t="str">
        <f t="shared" si="53"/>
        <v>-</v>
      </c>
      <c r="AJ67" s="22">
        <v>1</v>
      </c>
      <c r="AK67" s="80" t="str">
        <f t="shared" si="54"/>
        <v>-</v>
      </c>
      <c r="AL67" s="80"/>
      <c r="AM67" s="120">
        <v>42565</v>
      </c>
      <c r="AN67" s="126" t="s">
        <v>1537</v>
      </c>
      <c r="BC67" s="284">
        <v>42565</v>
      </c>
      <c r="BD67" s="288" t="s">
        <v>1537</v>
      </c>
    </row>
    <row r="68" spans="1:56" s="2" customFormat="1" ht="15.95" customHeight="1" x14ac:dyDescent="0.25">
      <c r="A68" s="86">
        <v>66</v>
      </c>
      <c r="B68" s="84">
        <f t="shared" si="10"/>
        <v>42565</v>
      </c>
      <c r="C68" s="29" t="s">
        <v>615</v>
      </c>
      <c r="D68" s="59" t="s">
        <v>1508</v>
      </c>
      <c r="E68" s="22" t="s">
        <v>740</v>
      </c>
      <c r="F68" s="27" t="s">
        <v>741</v>
      </c>
      <c r="G68" s="27"/>
      <c r="H68" s="28" t="s">
        <v>603</v>
      </c>
      <c r="I68" s="20">
        <v>39812</v>
      </c>
      <c r="J68" s="35">
        <f t="shared" si="55"/>
        <v>7.5424657534246577</v>
      </c>
      <c r="M68" s="60">
        <v>40637</v>
      </c>
      <c r="N68" s="32">
        <v>42505</v>
      </c>
      <c r="O68" s="82">
        <f t="shared" si="42"/>
        <v>60</v>
      </c>
      <c r="P68" s="19">
        <v>6</v>
      </c>
      <c r="Q68" s="109"/>
      <c r="R68" s="109"/>
      <c r="S68" s="21"/>
      <c r="T68" s="20"/>
      <c r="U68" s="20" t="str">
        <f t="shared" si="43"/>
        <v>-</v>
      </c>
      <c r="V68" s="19" t="str">
        <f t="shared" si="44"/>
        <v>-</v>
      </c>
      <c r="W68" s="3">
        <v>0</v>
      </c>
      <c r="X68" s="22" t="str">
        <f t="shared" si="45"/>
        <v>-</v>
      </c>
      <c r="Y68" s="22">
        <v>0</v>
      </c>
      <c r="Z68" s="22" t="str">
        <f t="shared" si="46"/>
        <v>-</v>
      </c>
      <c r="AA68" s="20" t="str">
        <f t="shared" si="47"/>
        <v>-</v>
      </c>
      <c r="AB68" s="111" t="str">
        <f t="shared" si="48"/>
        <v>---------</v>
      </c>
      <c r="AC68" s="21"/>
      <c r="AD68" s="21" t="str">
        <f t="shared" si="49"/>
        <v>-</v>
      </c>
      <c r="AE68" s="21" t="str">
        <f t="shared" si="50"/>
        <v>-</v>
      </c>
      <c r="AF68" s="20"/>
      <c r="AG68" s="21" t="str">
        <f t="shared" si="51"/>
        <v>-</v>
      </c>
      <c r="AH68" s="21" t="str">
        <f t="shared" si="52"/>
        <v>-</v>
      </c>
      <c r="AI68" s="112" t="str">
        <f t="shared" si="53"/>
        <v>-</v>
      </c>
      <c r="AJ68" s="22">
        <v>1</v>
      </c>
      <c r="AK68" s="80" t="str">
        <f t="shared" si="54"/>
        <v>-</v>
      </c>
      <c r="AL68" s="80"/>
      <c r="AM68" s="120">
        <v>42565</v>
      </c>
      <c r="AN68" s="126" t="s">
        <v>1581</v>
      </c>
      <c r="BC68" s="284">
        <v>42565</v>
      </c>
      <c r="BD68" s="288" t="s">
        <v>1581</v>
      </c>
    </row>
    <row r="69" spans="1:56" s="2" customFormat="1" ht="15.95" customHeight="1" x14ac:dyDescent="0.25">
      <c r="A69" s="86">
        <v>67</v>
      </c>
      <c r="B69" s="84">
        <f t="shared" ref="B69:B132" si="56">BC69</f>
        <v>42571</v>
      </c>
      <c r="C69" s="29"/>
      <c r="D69" s="59" t="s">
        <v>1456</v>
      </c>
      <c r="E69" s="22" t="s">
        <v>1312</v>
      </c>
      <c r="F69" s="27" t="s">
        <v>1194</v>
      </c>
      <c r="G69" s="27"/>
      <c r="H69" s="28" t="s">
        <v>603</v>
      </c>
      <c r="I69" s="20">
        <v>41799</v>
      </c>
      <c r="J69" s="35">
        <f t="shared" si="55"/>
        <v>2.1150684931506851</v>
      </c>
      <c r="K69" s="364"/>
      <c r="L69" s="364"/>
      <c r="M69" s="60">
        <v>42558</v>
      </c>
      <c r="N69" s="32">
        <v>42558</v>
      </c>
      <c r="O69" s="82">
        <f t="shared" si="42"/>
        <v>13</v>
      </c>
      <c r="P69" s="19">
        <v>1</v>
      </c>
      <c r="Q69" s="68"/>
      <c r="R69" s="83"/>
      <c r="S69" s="21"/>
      <c r="T69" s="20"/>
      <c r="U69" s="20" t="str">
        <f t="shared" si="43"/>
        <v>-</v>
      </c>
      <c r="V69" s="19" t="str">
        <f t="shared" si="44"/>
        <v>-</v>
      </c>
      <c r="W69" s="3">
        <v>0</v>
      </c>
      <c r="X69" s="22" t="str">
        <f t="shared" si="45"/>
        <v>-</v>
      </c>
      <c r="Y69" s="22">
        <v>0</v>
      </c>
      <c r="Z69" s="22" t="str">
        <f t="shared" si="46"/>
        <v>-</v>
      </c>
      <c r="AA69" s="20" t="str">
        <f t="shared" si="47"/>
        <v>-</v>
      </c>
      <c r="AB69" s="94" t="str">
        <f t="shared" si="48"/>
        <v>---------</v>
      </c>
      <c r="AC69" s="21"/>
      <c r="AD69" s="21" t="str">
        <f t="shared" si="49"/>
        <v>-</v>
      </c>
      <c r="AE69" s="21" t="str">
        <f t="shared" si="50"/>
        <v>-</v>
      </c>
      <c r="AF69" s="85"/>
      <c r="AG69" s="21" t="str">
        <f t="shared" si="51"/>
        <v>-</v>
      </c>
      <c r="AH69" s="21" t="str">
        <f t="shared" si="52"/>
        <v>-</v>
      </c>
      <c r="AI69" s="89" t="str">
        <f t="shared" si="53"/>
        <v>-</v>
      </c>
      <c r="AJ69" s="92">
        <v>1</v>
      </c>
      <c r="AK69" s="80" t="str">
        <f t="shared" si="54"/>
        <v>-</v>
      </c>
      <c r="AL69" s="80"/>
      <c r="AM69" s="120">
        <v>42571</v>
      </c>
      <c r="AN69" s="126" t="s">
        <v>1607</v>
      </c>
      <c r="BC69" s="284">
        <v>42571</v>
      </c>
      <c r="BD69" s="288" t="s">
        <v>1607</v>
      </c>
    </row>
    <row r="70" spans="1:56" s="2" customFormat="1" ht="15.95" customHeight="1" x14ac:dyDescent="0.25">
      <c r="A70" s="86">
        <v>68</v>
      </c>
      <c r="B70" s="84">
        <f t="shared" si="56"/>
        <v>42571</v>
      </c>
      <c r="C70" s="29"/>
      <c r="D70" s="59" t="s">
        <v>1456</v>
      </c>
      <c r="E70" s="22" t="s">
        <v>836</v>
      </c>
      <c r="F70" s="27" t="s">
        <v>837</v>
      </c>
      <c r="G70" s="27"/>
      <c r="H70" s="28" t="s">
        <v>603</v>
      </c>
      <c r="I70" s="20">
        <v>41125</v>
      </c>
      <c r="J70" s="35">
        <f t="shared" si="55"/>
        <v>3.9616438356164383</v>
      </c>
      <c r="M70" s="60">
        <v>41829</v>
      </c>
      <c r="N70" s="32">
        <v>42555</v>
      </c>
      <c r="O70" s="82">
        <f t="shared" si="42"/>
        <v>16</v>
      </c>
      <c r="P70" s="19">
        <v>2</v>
      </c>
      <c r="Q70" s="68"/>
      <c r="R70" s="83"/>
      <c r="S70" s="21"/>
      <c r="T70" s="20"/>
      <c r="U70" s="20" t="str">
        <f t="shared" si="43"/>
        <v>-</v>
      </c>
      <c r="V70" s="19" t="str">
        <f t="shared" si="44"/>
        <v>-</v>
      </c>
      <c r="W70" s="3">
        <v>0</v>
      </c>
      <c r="X70" s="22" t="str">
        <f t="shared" si="45"/>
        <v>-</v>
      </c>
      <c r="Y70" s="22">
        <v>0</v>
      </c>
      <c r="Z70" s="22" t="str">
        <f t="shared" si="46"/>
        <v>-</v>
      </c>
      <c r="AA70" s="20" t="str">
        <f t="shared" si="47"/>
        <v>-</v>
      </c>
      <c r="AB70" s="94" t="str">
        <f t="shared" si="48"/>
        <v>---------</v>
      </c>
      <c r="AC70" s="21"/>
      <c r="AD70" s="21" t="str">
        <f t="shared" si="49"/>
        <v>-</v>
      </c>
      <c r="AE70" s="21" t="str">
        <f t="shared" si="50"/>
        <v>-</v>
      </c>
      <c r="AF70" s="85"/>
      <c r="AG70" s="21" t="str">
        <f t="shared" si="51"/>
        <v>-</v>
      </c>
      <c r="AH70" s="21" t="str">
        <f t="shared" si="52"/>
        <v>-</v>
      </c>
      <c r="AI70" s="89" t="str">
        <f t="shared" si="53"/>
        <v>-</v>
      </c>
      <c r="AJ70" s="92">
        <v>1</v>
      </c>
      <c r="AK70" s="80" t="str">
        <f t="shared" si="54"/>
        <v>-</v>
      </c>
      <c r="AL70" s="80"/>
      <c r="AM70" s="120">
        <v>42571</v>
      </c>
      <c r="AN70" s="126" t="s">
        <v>1558</v>
      </c>
      <c r="BC70" s="284">
        <v>42571</v>
      </c>
      <c r="BD70" s="288" t="s">
        <v>1558</v>
      </c>
    </row>
    <row r="71" spans="1:56" s="2" customFormat="1" ht="15.95" customHeight="1" x14ac:dyDescent="0.25">
      <c r="A71" s="86">
        <v>69</v>
      </c>
      <c r="B71" s="84">
        <f t="shared" si="56"/>
        <v>42572</v>
      </c>
      <c r="C71" s="29" t="s">
        <v>615</v>
      </c>
      <c r="D71" s="59" t="s">
        <v>908</v>
      </c>
      <c r="E71" s="22" t="s">
        <v>71</v>
      </c>
      <c r="F71" s="27" t="s">
        <v>72</v>
      </c>
      <c r="G71" s="27"/>
      <c r="H71" s="28" t="s">
        <v>603</v>
      </c>
      <c r="I71" s="20">
        <v>40085</v>
      </c>
      <c r="J71" s="35">
        <f t="shared" si="55"/>
        <v>6.8136986301369866</v>
      </c>
      <c r="M71" s="60">
        <v>41028</v>
      </c>
      <c r="N71" s="32">
        <v>42497</v>
      </c>
      <c r="O71" s="82">
        <f t="shared" si="42"/>
        <v>75</v>
      </c>
      <c r="P71" s="19">
        <v>5</v>
      </c>
      <c r="Q71" s="68"/>
      <c r="R71" s="83"/>
      <c r="S71" s="21"/>
      <c r="T71" s="20"/>
      <c r="U71" s="20" t="str">
        <f t="shared" si="43"/>
        <v>-</v>
      </c>
      <c r="V71" s="19" t="str">
        <f t="shared" si="44"/>
        <v>-</v>
      </c>
      <c r="W71" s="3">
        <v>0</v>
      </c>
      <c r="X71" s="22" t="str">
        <f t="shared" si="45"/>
        <v>-</v>
      </c>
      <c r="Y71" s="22">
        <v>0</v>
      </c>
      <c r="Z71" s="22" t="str">
        <f t="shared" si="46"/>
        <v>-</v>
      </c>
      <c r="AA71" s="20" t="str">
        <f t="shared" si="47"/>
        <v>-</v>
      </c>
      <c r="AB71" s="94" t="str">
        <f t="shared" si="48"/>
        <v>---------</v>
      </c>
      <c r="AC71" s="21"/>
      <c r="AD71" s="21" t="str">
        <f t="shared" si="49"/>
        <v>-</v>
      </c>
      <c r="AE71" s="21" t="str">
        <f t="shared" si="50"/>
        <v>-</v>
      </c>
      <c r="AF71" s="85"/>
      <c r="AG71" s="21" t="str">
        <f t="shared" si="51"/>
        <v>-</v>
      </c>
      <c r="AH71" s="21" t="str">
        <f t="shared" si="52"/>
        <v>-</v>
      </c>
      <c r="AI71" s="89" t="str">
        <f t="shared" si="53"/>
        <v>-</v>
      </c>
      <c r="AJ71" s="92">
        <v>1</v>
      </c>
      <c r="AK71" s="80" t="str">
        <f t="shared" si="54"/>
        <v>-</v>
      </c>
      <c r="AL71" s="80"/>
      <c r="AM71" s="120">
        <v>42572</v>
      </c>
      <c r="AN71" s="126" t="s">
        <v>1978</v>
      </c>
      <c r="BC71" s="284">
        <v>42572</v>
      </c>
      <c r="BD71" s="288" t="s">
        <v>1978</v>
      </c>
    </row>
    <row r="72" spans="1:56" s="2" customFormat="1" ht="15.95" customHeight="1" x14ac:dyDescent="0.25">
      <c r="A72" s="86">
        <v>70</v>
      </c>
      <c r="B72" s="84">
        <f t="shared" si="56"/>
        <v>42572</v>
      </c>
      <c r="C72" s="29"/>
      <c r="D72" s="59" t="s">
        <v>1456</v>
      </c>
      <c r="E72" s="22" t="s">
        <v>1266</v>
      </c>
      <c r="F72" s="27" t="s">
        <v>1129</v>
      </c>
      <c r="G72" s="27"/>
      <c r="H72" s="28" t="s">
        <v>603</v>
      </c>
      <c r="I72" s="20">
        <v>41575</v>
      </c>
      <c r="J72" s="35">
        <f t="shared" si="55"/>
        <v>2.7315068493150685</v>
      </c>
      <c r="M72" s="60">
        <v>42572</v>
      </c>
      <c r="N72" s="32">
        <v>42572</v>
      </c>
      <c r="O72" s="82">
        <f t="shared" si="42"/>
        <v>0</v>
      </c>
      <c r="P72" s="19">
        <v>1</v>
      </c>
      <c r="Q72" s="68"/>
      <c r="R72" s="83"/>
      <c r="S72" s="21"/>
      <c r="T72" s="20"/>
      <c r="U72" s="20" t="str">
        <f t="shared" si="43"/>
        <v>-</v>
      </c>
      <c r="V72" s="19" t="str">
        <f t="shared" si="44"/>
        <v>-</v>
      </c>
      <c r="W72" s="3">
        <v>0</v>
      </c>
      <c r="X72" s="22" t="str">
        <f t="shared" si="45"/>
        <v>-</v>
      </c>
      <c r="Y72" s="22">
        <v>0</v>
      </c>
      <c r="Z72" s="22" t="str">
        <f t="shared" si="46"/>
        <v>-</v>
      </c>
      <c r="AA72" s="20" t="str">
        <f t="shared" si="47"/>
        <v>-</v>
      </c>
      <c r="AB72" s="94" t="str">
        <f t="shared" si="48"/>
        <v>---------</v>
      </c>
      <c r="AC72" s="21"/>
      <c r="AD72" s="21" t="str">
        <f t="shared" si="49"/>
        <v>-</v>
      </c>
      <c r="AE72" s="21" t="str">
        <f t="shared" si="50"/>
        <v>-</v>
      </c>
      <c r="AF72" s="85"/>
      <c r="AG72" s="21" t="str">
        <f t="shared" si="51"/>
        <v>-</v>
      </c>
      <c r="AH72" s="21" t="str">
        <f t="shared" si="52"/>
        <v>-</v>
      </c>
      <c r="AI72" s="89" t="str">
        <f t="shared" si="53"/>
        <v>-</v>
      </c>
      <c r="AJ72" s="92">
        <v>1</v>
      </c>
      <c r="AK72" s="80" t="str">
        <f t="shared" si="54"/>
        <v>-</v>
      </c>
      <c r="AL72" s="80"/>
      <c r="AM72" s="120">
        <v>42572</v>
      </c>
      <c r="AN72" s="126" t="s">
        <v>1964</v>
      </c>
      <c r="BC72" s="284">
        <v>42572</v>
      </c>
      <c r="BD72" s="288" t="s">
        <v>1964</v>
      </c>
    </row>
    <row r="73" spans="1:56" s="2" customFormat="1" ht="15.95" customHeight="1" x14ac:dyDescent="0.25">
      <c r="A73" s="86">
        <v>71</v>
      </c>
      <c r="B73" s="84">
        <f t="shared" si="56"/>
        <v>42579</v>
      </c>
      <c r="C73" s="29"/>
      <c r="D73" s="59" t="s">
        <v>1041</v>
      </c>
      <c r="E73" s="22" t="s">
        <v>235</v>
      </c>
      <c r="F73" s="27" t="s">
        <v>968</v>
      </c>
      <c r="G73" s="27"/>
      <c r="H73" s="28" t="s">
        <v>603</v>
      </c>
      <c r="I73" s="20">
        <v>41896</v>
      </c>
      <c r="J73" s="35">
        <f t="shared" si="55"/>
        <v>1.8712328767123287</v>
      </c>
      <c r="M73" s="60"/>
      <c r="N73" s="32"/>
      <c r="O73" s="82" t="str">
        <f t="shared" si="42"/>
        <v>-</v>
      </c>
      <c r="P73" s="19"/>
      <c r="Q73" s="68" t="s">
        <v>1448</v>
      </c>
      <c r="R73" s="83">
        <v>6845</v>
      </c>
      <c r="S73" s="21">
        <v>42478</v>
      </c>
      <c r="T73" s="20">
        <v>42500</v>
      </c>
      <c r="U73" s="20" t="str">
        <f t="shared" si="43"/>
        <v>-</v>
      </c>
      <c r="V73" s="19" t="str">
        <f t="shared" si="44"/>
        <v>-</v>
      </c>
      <c r="W73" s="3">
        <v>2</v>
      </c>
      <c r="X73" s="22" t="str">
        <f t="shared" si="45"/>
        <v>-</v>
      </c>
      <c r="Y73" s="22">
        <v>1</v>
      </c>
      <c r="Z73" s="22" t="str">
        <f t="shared" si="46"/>
        <v>-</v>
      </c>
      <c r="AA73" s="20" t="str">
        <f t="shared" si="47"/>
        <v>-</v>
      </c>
      <c r="AB73" s="94" t="str">
        <f t="shared" si="48"/>
        <v>---------</v>
      </c>
      <c r="AC73" s="21">
        <v>42565</v>
      </c>
      <c r="AD73" s="21" t="str">
        <f t="shared" si="49"/>
        <v>-</v>
      </c>
      <c r="AE73" s="21" t="str">
        <f t="shared" si="50"/>
        <v>-</v>
      </c>
      <c r="AF73" s="85"/>
      <c r="AG73" s="21">
        <f t="shared" si="51"/>
        <v>42764</v>
      </c>
      <c r="AH73" s="21">
        <f t="shared" si="52"/>
        <v>42785</v>
      </c>
      <c r="AI73" s="89">
        <f t="shared" si="53"/>
        <v>-206</v>
      </c>
      <c r="AJ73" s="92">
        <v>1</v>
      </c>
      <c r="AK73" s="80" t="str">
        <f t="shared" si="54"/>
        <v>-</v>
      </c>
      <c r="AL73" s="80"/>
      <c r="AM73" s="120">
        <v>42579</v>
      </c>
      <c r="AN73" s="126" t="s">
        <v>1994</v>
      </c>
      <c r="BC73" s="284">
        <v>42579</v>
      </c>
      <c r="BD73" s="288" t="s">
        <v>1994</v>
      </c>
    </row>
    <row r="74" spans="1:56" s="2" customFormat="1" ht="15.95" customHeight="1" x14ac:dyDescent="0.25">
      <c r="A74" s="86">
        <v>72</v>
      </c>
      <c r="B74" s="84">
        <f t="shared" si="56"/>
        <v>42613</v>
      </c>
      <c r="C74" s="29"/>
      <c r="D74" s="59" t="s">
        <v>1456</v>
      </c>
      <c r="E74" s="22" t="s">
        <v>581</v>
      </c>
      <c r="F74" s="27" t="s">
        <v>582</v>
      </c>
      <c r="G74" s="27"/>
      <c r="H74" s="28" t="s">
        <v>78</v>
      </c>
      <c r="I74" s="20">
        <v>41276</v>
      </c>
      <c r="J74" s="35">
        <f t="shared" si="55"/>
        <v>3.6630136986301371</v>
      </c>
      <c r="M74" s="60">
        <v>42121</v>
      </c>
      <c r="N74" s="32">
        <v>42575</v>
      </c>
      <c r="O74" s="82">
        <f t="shared" si="42"/>
        <v>38</v>
      </c>
      <c r="P74" s="19">
        <v>2</v>
      </c>
      <c r="Q74" s="68"/>
      <c r="R74" s="83"/>
      <c r="S74" s="21"/>
      <c r="T74" s="20"/>
      <c r="U74" s="20" t="str">
        <f t="shared" si="43"/>
        <v>-</v>
      </c>
      <c r="V74" s="19" t="str">
        <f t="shared" si="44"/>
        <v>-</v>
      </c>
      <c r="W74" s="3">
        <v>0</v>
      </c>
      <c r="X74" s="22" t="str">
        <f t="shared" si="45"/>
        <v>-</v>
      </c>
      <c r="Y74" s="22">
        <v>0</v>
      </c>
      <c r="Z74" s="22" t="str">
        <f t="shared" si="46"/>
        <v>-</v>
      </c>
      <c r="AA74" s="20" t="str">
        <f t="shared" ref="AA74:AA89" si="57">IF(AND(T74&gt;0,OR(Y74=3,Y74=2)),T74+35,"-")</f>
        <v>-</v>
      </c>
      <c r="AB74" s="94" t="str">
        <f t="shared" si="48"/>
        <v>---------</v>
      </c>
      <c r="AC74" s="21"/>
      <c r="AD74" s="21" t="str">
        <f t="shared" si="49"/>
        <v>-</v>
      </c>
      <c r="AE74" s="21" t="str">
        <f t="shared" si="50"/>
        <v>-</v>
      </c>
      <c r="AF74" s="85">
        <v>42523</v>
      </c>
      <c r="AG74" s="21" t="str">
        <f t="shared" si="51"/>
        <v>-</v>
      </c>
      <c r="AH74" s="21" t="str">
        <f t="shared" si="52"/>
        <v>-</v>
      </c>
      <c r="AI74" s="89" t="str">
        <f t="shared" si="53"/>
        <v>-</v>
      </c>
      <c r="AJ74" s="92">
        <v>1</v>
      </c>
      <c r="AK74" s="80" t="str">
        <f t="shared" si="54"/>
        <v>-</v>
      </c>
      <c r="AL74" s="80"/>
      <c r="AM74" s="120">
        <v>42613</v>
      </c>
      <c r="AN74" s="126" t="s">
        <v>1979</v>
      </c>
      <c r="BC74" s="284">
        <v>42613</v>
      </c>
      <c r="BD74" s="288" t="s">
        <v>1979</v>
      </c>
    </row>
    <row r="75" spans="1:56" s="2" customFormat="1" ht="15.95" customHeight="1" x14ac:dyDescent="0.25">
      <c r="A75" s="86">
        <v>73</v>
      </c>
      <c r="B75" s="84">
        <f t="shared" si="56"/>
        <v>42613</v>
      </c>
      <c r="C75" s="29"/>
      <c r="D75" s="59" t="s">
        <v>1456</v>
      </c>
      <c r="E75" s="22" t="s">
        <v>1085</v>
      </c>
      <c r="F75" s="27" t="s">
        <v>1182</v>
      </c>
      <c r="G75" s="27"/>
      <c r="H75" s="28" t="s">
        <v>603</v>
      </c>
      <c r="I75" s="20">
        <v>41767</v>
      </c>
      <c r="J75" s="35">
        <f t="shared" si="55"/>
        <v>2.3178082191780822</v>
      </c>
      <c r="M75" s="60">
        <v>42571</v>
      </c>
      <c r="N75" s="32">
        <v>42571</v>
      </c>
      <c r="O75" s="82">
        <f t="shared" si="42"/>
        <v>42</v>
      </c>
      <c r="P75" s="19">
        <v>1</v>
      </c>
      <c r="Q75" s="68"/>
      <c r="R75" s="83"/>
      <c r="S75" s="21"/>
      <c r="T75" s="20"/>
      <c r="U75" s="20" t="str">
        <f t="shared" si="43"/>
        <v>-</v>
      </c>
      <c r="V75" s="19" t="str">
        <f t="shared" si="44"/>
        <v>-</v>
      </c>
      <c r="W75" s="3">
        <v>0</v>
      </c>
      <c r="X75" s="22" t="str">
        <f t="shared" si="45"/>
        <v>-</v>
      </c>
      <c r="Y75" s="22">
        <v>0</v>
      </c>
      <c r="Z75" s="22"/>
      <c r="AA75" s="20" t="str">
        <f t="shared" si="57"/>
        <v>-</v>
      </c>
      <c r="AB75" s="94" t="str">
        <f t="shared" si="48"/>
        <v>---------</v>
      </c>
      <c r="AC75" s="21"/>
      <c r="AD75" s="21" t="str">
        <f t="shared" si="49"/>
        <v>-</v>
      </c>
      <c r="AE75" s="21" t="str">
        <f t="shared" si="50"/>
        <v>-</v>
      </c>
      <c r="AF75" s="85"/>
      <c r="AG75" s="21" t="str">
        <f t="shared" si="51"/>
        <v>-</v>
      </c>
      <c r="AH75" s="21" t="str">
        <f t="shared" si="52"/>
        <v>-</v>
      </c>
      <c r="AI75" s="89" t="str">
        <f t="shared" si="53"/>
        <v>-</v>
      </c>
      <c r="AJ75" s="92">
        <v>1</v>
      </c>
      <c r="AK75" s="80" t="str">
        <f t="shared" si="54"/>
        <v>-</v>
      </c>
      <c r="AL75" s="80"/>
      <c r="AM75" s="120">
        <v>42613</v>
      </c>
      <c r="AN75" s="126" t="s">
        <v>1980</v>
      </c>
      <c r="BC75" s="284">
        <v>42613</v>
      </c>
      <c r="BD75" s="288" t="s">
        <v>1980</v>
      </c>
    </row>
    <row r="76" spans="1:56" s="2" customFormat="1" ht="15.95" customHeight="1" x14ac:dyDescent="0.25">
      <c r="A76" s="86">
        <v>74</v>
      </c>
      <c r="B76" s="84">
        <f t="shared" si="56"/>
        <v>42613</v>
      </c>
      <c r="C76" s="29"/>
      <c r="D76" s="59" t="s">
        <v>1456</v>
      </c>
      <c r="E76" s="22" t="s">
        <v>93</v>
      </c>
      <c r="F76" s="27" t="s">
        <v>94</v>
      </c>
      <c r="G76" s="27"/>
      <c r="H76" s="28" t="s">
        <v>78</v>
      </c>
      <c r="I76" s="20">
        <v>40337</v>
      </c>
      <c r="J76" s="35">
        <f t="shared" si="55"/>
        <v>6.2356164383561641</v>
      </c>
      <c r="M76" s="60">
        <v>41068</v>
      </c>
      <c r="N76" s="32">
        <v>42572</v>
      </c>
      <c r="O76" s="82">
        <f t="shared" si="42"/>
        <v>41</v>
      </c>
      <c r="P76" s="19">
        <v>4</v>
      </c>
      <c r="Q76" s="68"/>
      <c r="R76" s="83"/>
      <c r="S76" s="21"/>
      <c r="T76" s="20"/>
      <c r="U76" s="20" t="str">
        <f t="shared" si="43"/>
        <v>-</v>
      </c>
      <c r="V76" s="19" t="str">
        <f t="shared" si="44"/>
        <v>-</v>
      </c>
      <c r="W76" s="3">
        <v>0</v>
      </c>
      <c r="X76" s="22" t="str">
        <f t="shared" si="45"/>
        <v>-</v>
      </c>
      <c r="Y76" s="22">
        <v>0</v>
      </c>
      <c r="Z76" s="22" t="str">
        <f t="shared" ref="Z76:Z89" si="58">IF(AND(O76&gt;140,Y76=0,N76&gt;0),"яловая","-")</f>
        <v>-</v>
      </c>
      <c r="AA76" s="20" t="str">
        <f t="shared" si="57"/>
        <v>-</v>
      </c>
      <c r="AB76" s="94" t="str">
        <f t="shared" si="48"/>
        <v>---------</v>
      </c>
      <c r="AC76" s="21"/>
      <c r="AD76" s="21" t="str">
        <f t="shared" si="49"/>
        <v>-</v>
      </c>
      <c r="AE76" s="21" t="str">
        <f t="shared" si="50"/>
        <v>-</v>
      </c>
      <c r="AF76" s="85"/>
      <c r="AG76" s="21" t="str">
        <f t="shared" si="51"/>
        <v>-</v>
      </c>
      <c r="AH76" s="21" t="str">
        <f t="shared" si="52"/>
        <v>-</v>
      </c>
      <c r="AI76" s="89" t="str">
        <f t="shared" si="53"/>
        <v>-</v>
      </c>
      <c r="AJ76" s="92">
        <v>1</v>
      </c>
      <c r="AK76" s="80" t="str">
        <f t="shared" si="54"/>
        <v>-</v>
      </c>
      <c r="AL76" s="80"/>
      <c r="AM76" s="120">
        <v>42613</v>
      </c>
      <c r="AN76" s="126" t="s">
        <v>1901</v>
      </c>
      <c r="BC76" s="284">
        <v>42613</v>
      </c>
      <c r="BD76" s="288" t="s">
        <v>1901</v>
      </c>
    </row>
    <row r="77" spans="1:56" s="2" customFormat="1" ht="15.95" customHeight="1" x14ac:dyDescent="0.25">
      <c r="A77" s="86">
        <v>75</v>
      </c>
      <c r="B77" s="84">
        <f t="shared" si="56"/>
        <v>42584</v>
      </c>
      <c r="C77" s="29" t="s">
        <v>613</v>
      </c>
      <c r="D77" s="59" t="s">
        <v>1502</v>
      </c>
      <c r="E77" s="22" t="s">
        <v>325</v>
      </c>
      <c r="F77" s="27" t="s">
        <v>326</v>
      </c>
      <c r="G77" s="27"/>
      <c r="H77" s="28" t="s">
        <v>603</v>
      </c>
      <c r="I77" s="20">
        <v>40417</v>
      </c>
      <c r="J77" s="35">
        <f t="shared" si="55"/>
        <v>5.9369863013698634</v>
      </c>
      <c r="M77" s="60">
        <v>41294</v>
      </c>
      <c r="N77" s="32">
        <v>41999</v>
      </c>
      <c r="O77" s="82">
        <f t="shared" si="42"/>
        <v>585</v>
      </c>
      <c r="P77" s="19">
        <v>2</v>
      </c>
      <c r="Q77" s="68" t="s">
        <v>1448</v>
      </c>
      <c r="R77" s="83">
        <v>107770</v>
      </c>
      <c r="S77" s="21">
        <v>42089</v>
      </c>
      <c r="T77" s="20">
        <v>42265</v>
      </c>
      <c r="U77" s="20" t="str">
        <f t="shared" si="43"/>
        <v>-</v>
      </c>
      <c r="V77" s="19" t="str">
        <f t="shared" si="44"/>
        <v>-</v>
      </c>
      <c r="W77" s="3">
        <v>5</v>
      </c>
      <c r="X77" s="22">
        <f t="shared" si="45"/>
        <v>266</v>
      </c>
      <c r="Y77" s="22">
        <v>0</v>
      </c>
      <c r="Z77" s="22" t="str">
        <f t="shared" si="58"/>
        <v>яловая</v>
      </c>
      <c r="AA77" s="20" t="str">
        <f t="shared" si="57"/>
        <v>-</v>
      </c>
      <c r="AB77" s="94" t="str">
        <f t="shared" si="48"/>
        <v>---------</v>
      </c>
      <c r="AC77" s="21"/>
      <c r="AD77" s="21" t="str">
        <f t="shared" si="49"/>
        <v>-</v>
      </c>
      <c r="AE77" s="21" t="str">
        <f t="shared" si="50"/>
        <v>-</v>
      </c>
      <c r="AF77" s="85"/>
      <c r="AG77" s="21" t="str">
        <f t="shared" si="51"/>
        <v>-</v>
      </c>
      <c r="AH77" s="21" t="str">
        <f t="shared" si="52"/>
        <v>-</v>
      </c>
      <c r="AI77" s="89" t="str">
        <f t="shared" si="53"/>
        <v>-</v>
      </c>
      <c r="AJ77" s="92">
        <v>1</v>
      </c>
      <c r="AK77" s="80" t="str">
        <f t="shared" si="54"/>
        <v>БРАК</v>
      </c>
      <c r="AL77" s="80"/>
      <c r="AM77" s="120">
        <v>42584</v>
      </c>
      <c r="AN77" s="126" t="s">
        <v>1537</v>
      </c>
      <c r="BC77" s="284">
        <v>42584</v>
      </c>
      <c r="BD77" s="288" t="s">
        <v>1537</v>
      </c>
    </row>
    <row r="78" spans="1:56" s="2" customFormat="1" ht="15.95" customHeight="1" x14ac:dyDescent="0.25">
      <c r="A78" s="86">
        <v>76</v>
      </c>
      <c r="B78" s="84">
        <f t="shared" si="56"/>
        <v>42584</v>
      </c>
      <c r="C78" s="29" t="s">
        <v>613</v>
      </c>
      <c r="D78" s="59" t="s">
        <v>1502</v>
      </c>
      <c r="E78" s="22" t="s">
        <v>552</v>
      </c>
      <c r="F78" s="27" t="s">
        <v>553</v>
      </c>
      <c r="G78" s="27"/>
      <c r="H78" s="28" t="s">
        <v>78</v>
      </c>
      <c r="I78" s="20">
        <v>41384</v>
      </c>
      <c r="J78" s="35">
        <f t="shared" si="55"/>
        <v>3.2876712328767121</v>
      </c>
      <c r="M78" s="60">
        <v>42229</v>
      </c>
      <c r="N78" s="32">
        <v>42229</v>
      </c>
      <c r="O78" s="82">
        <f t="shared" si="42"/>
        <v>355</v>
      </c>
      <c r="P78" s="19">
        <v>1</v>
      </c>
      <c r="Q78" s="68" t="s">
        <v>1448</v>
      </c>
      <c r="R78" s="83">
        <v>6845</v>
      </c>
      <c r="S78" s="21">
        <v>42299</v>
      </c>
      <c r="T78" s="20">
        <v>42441</v>
      </c>
      <c r="U78" s="20" t="str">
        <f t="shared" si="43"/>
        <v>-</v>
      </c>
      <c r="V78" s="19" t="str">
        <f t="shared" si="44"/>
        <v>-</v>
      </c>
      <c r="W78" s="3">
        <v>6</v>
      </c>
      <c r="X78" s="22">
        <f t="shared" si="45"/>
        <v>212</v>
      </c>
      <c r="Y78" s="22">
        <v>0</v>
      </c>
      <c r="Z78" s="22" t="str">
        <f t="shared" si="58"/>
        <v>яловая</v>
      </c>
      <c r="AA78" s="20" t="str">
        <f t="shared" si="57"/>
        <v>-</v>
      </c>
      <c r="AB78" s="94" t="str">
        <f t="shared" si="48"/>
        <v>---------</v>
      </c>
      <c r="AC78" s="21"/>
      <c r="AD78" s="21" t="str">
        <f t="shared" si="49"/>
        <v>-</v>
      </c>
      <c r="AE78" s="21" t="str">
        <f t="shared" si="50"/>
        <v>-</v>
      </c>
      <c r="AF78" s="85"/>
      <c r="AG78" s="21" t="str">
        <f t="shared" si="51"/>
        <v>-</v>
      </c>
      <c r="AH78" s="21" t="str">
        <f t="shared" si="52"/>
        <v>-</v>
      </c>
      <c r="AI78" s="89" t="str">
        <f t="shared" si="53"/>
        <v>-</v>
      </c>
      <c r="AJ78" s="92">
        <v>1</v>
      </c>
      <c r="AK78" s="80" t="str">
        <f t="shared" si="54"/>
        <v>БРАК</v>
      </c>
      <c r="AL78" s="80"/>
      <c r="AM78" s="120">
        <v>42584</v>
      </c>
      <c r="AN78" s="126" t="s">
        <v>1537</v>
      </c>
      <c r="BC78" s="284">
        <v>42584</v>
      </c>
      <c r="BD78" s="288" t="s">
        <v>1537</v>
      </c>
    </row>
    <row r="79" spans="1:56" s="2" customFormat="1" ht="15.95" customHeight="1" x14ac:dyDescent="0.25">
      <c r="A79" s="86">
        <v>77</v>
      </c>
      <c r="B79" s="84">
        <f t="shared" si="56"/>
        <v>42584</v>
      </c>
      <c r="C79" s="29" t="s">
        <v>613</v>
      </c>
      <c r="D79" s="59" t="s">
        <v>1502</v>
      </c>
      <c r="E79" s="22" t="s">
        <v>158</v>
      </c>
      <c r="F79" s="27" t="s">
        <v>159</v>
      </c>
      <c r="G79" s="27"/>
      <c r="H79" s="28" t="s">
        <v>87</v>
      </c>
      <c r="I79" s="20">
        <v>40695</v>
      </c>
      <c r="J79" s="35">
        <f t="shared" si="55"/>
        <v>5.1753424657534248</v>
      </c>
      <c r="M79" s="60">
        <v>41601</v>
      </c>
      <c r="N79" s="32">
        <v>42334</v>
      </c>
      <c r="O79" s="82">
        <f t="shared" si="42"/>
        <v>250</v>
      </c>
      <c r="P79" s="19">
        <v>3</v>
      </c>
      <c r="Q79" s="68" t="s">
        <v>1448</v>
      </c>
      <c r="R79" s="83">
        <v>7762</v>
      </c>
      <c r="S79" s="21">
        <v>42388</v>
      </c>
      <c r="T79" s="20">
        <v>42576</v>
      </c>
      <c r="U79" s="20">
        <f t="shared" si="43"/>
        <v>42594</v>
      </c>
      <c r="V79" s="19">
        <f t="shared" si="44"/>
        <v>-10</v>
      </c>
      <c r="W79" s="3">
        <v>5</v>
      </c>
      <c r="X79" s="22">
        <f t="shared" si="45"/>
        <v>242</v>
      </c>
      <c r="Y79" s="22">
        <v>3</v>
      </c>
      <c r="Z79" s="22" t="str">
        <f t="shared" si="58"/>
        <v>-</v>
      </c>
      <c r="AA79" s="20">
        <f t="shared" si="57"/>
        <v>42611</v>
      </c>
      <c r="AB79" s="94">
        <f t="shared" si="48"/>
        <v>-27</v>
      </c>
      <c r="AC79" s="21"/>
      <c r="AD79" s="21" t="str">
        <f t="shared" si="49"/>
        <v>-</v>
      </c>
      <c r="AE79" s="21" t="str">
        <f t="shared" si="50"/>
        <v>-</v>
      </c>
      <c r="AF79" s="85"/>
      <c r="AG79" s="21" t="str">
        <f t="shared" si="51"/>
        <v>-</v>
      </c>
      <c r="AH79" s="21" t="str">
        <f t="shared" si="52"/>
        <v>-</v>
      </c>
      <c r="AI79" s="89" t="str">
        <f t="shared" si="53"/>
        <v>-</v>
      </c>
      <c r="AJ79" s="92">
        <v>1</v>
      </c>
      <c r="AK79" s="80" t="str">
        <f t="shared" si="54"/>
        <v>-</v>
      </c>
      <c r="AL79" s="80"/>
      <c r="AM79" s="120">
        <v>42584</v>
      </c>
      <c r="AN79" s="126" t="s">
        <v>1537</v>
      </c>
      <c r="BC79" s="284">
        <v>42584</v>
      </c>
      <c r="BD79" s="288" t="s">
        <v>1537</v>
      </c>
    </row>
    <row r="80" spans="1:56" s="2" customFormat="1" ht="15.95" customHeight="1" x14ac:dyDescent="0.25">
      <c r="A80" s="86">
        <v>78</v>
      </c>
      <c r="B80" s="84">
        <f t="shared" si="56"/>
        <v>42589</v>
      </c>
      <c r="C80" s="29" t="s">
        <v>615</v>
      </c>
      <c r="D80" s="59" t="s">
        <v>1633</v>
      </c>
      <c r="E80" s="22" t="s">
        <v>1341</v>
      </c>
      <c r="F80" s="27" t="s">
        <v>1225</v>
      </c>
      <c r="G80" s="27"/>
      <c r="H80" s="28" t="s">
        <v>603</v>
      </c>
      <c r="I80" s="20">
        <v>41899</v>
      </c>
      <c r="J80" s="35">
        <f t="shared" si="55"/>
        <v>1.8904109589041096</v>
      </c>
      <c r="K80" s="364"/>
      <c r="L80" s="364"/>
      <c r="M80" s="60">
        <v>42550</v>
      </c>
      <c r="N80" s="32">
        <v>42550</v>
      </c>
      <c r="O80" s="82">
        <f t="shared" si="42"/>
        <v>39</v>
      </c>
      <c r="P80" s="19">
        <v>1</v>
      </c>
      <c r="Q80" s="68"/>
      <c r="R80" s="118"/>
      <c r="S80" s="21"/>
      <c r="T80" s="20"/>
      <c r="U80" s="20" t="str">
        <f t="shared" si="43"/>
        <v>-</v>
      </c>
      <c r="V80" s="19" t="str">
        <f t="shared" si="44"/>
        <v>-</v>
      </c>
      <c r="W80" s="3">
        <v>0</v>
      </c>
      <c r="X80" s="22" t="str">
        <f t="shared" si="45"/>
        <v>-</v>
      </c>
      <c r="Y80" s="22">
        <v>0</v>
      </c>
      <c r="Z80" s="22" t="str">
        <f t="shared" si="58"/>
        <v>-</v>
      </c>
      <c r="AA80" s="20" t="str">
        <f t="shared" si="57"/>
        <v>-</v>
      </c>
      <c r="AB80" s="94" t="str">
        <f t="shared" si="48"/>
        <v>---------</v>
      </c>
      <c r="AC80" s="21"/>
      <c r="AD80" s="21" t="str">
        <f t="shared" si="49"/>
        <v>-</v>
      </c>
      <c r="AE80" s="21" t="str">
        <f t="shared" si="50"/>
        <v>-</v>
      </c>
      <c r="AF80" s="85"/>
      <c r="AG80" s="21" t="str">
        <f t="shared" ref="AG80:AG89" si="59">IF(AND($T80&gt;0,$Y80=1),$T80+280-21,"-")</f>
        <v>-</v>
      </c>
      <c r="AH80" s="21" t="str">
        <f t="shared" ref="AH80:AH89" si="60">IF(AND(T80&gt;0,Y80=1),T80+280,"-")</f>
        <v>-</v>
      </c>
      <c r="AI80" s="89" t="str">
        <f t="shared" si="53"/>
        <v>-</v>
      </c>
      <c r="AJ80" s="92">
        <v>1</v>
      </c>
      <c r="AK80" s="80" t="str">
        <f t="shared" si="54"/>
        <v>-</v>
      </c>
      <c r="AL80" s="80"/>
      <c r="AM80" s="120">
        <v>42589</v>
      </c>
      <c r="AN80" s="126" t="s">
        <v>1981</v>
      </c>
      <c r="BC80" s="284">
        <v>42589</v>
      </c>
      <c r="BD80" s="288" t="s">
        <v>1981</v>
      </c>
    </row>
    <row r="81" spans="1:56" s="2" customFormat="1" ht="15.95" customHeight="1" x14ac:dyDescent="0.25">
      <c r="A81" s="86">
        <v>79</v>
      </c>
      <c r="B81" s="84">
        <f t="shared" si="56"/>
        <v>42586</v>
      </c>
      <c r="C81" s="29"/>
      <c r="D81" s="59" t="s">
        <v>1455</v>
      </c>
      <c r="E81" s="22" t="s">
        <v>1057</v>
      </c>
      <c r="F81" s="27" t="s">
        <v>954</v>
      </c>
      <c r="G81" s="27"/>
      <c r="H81" s="28" t="s">
        <v>603</v>
      </c>
      <c r="I81" s="20">
        <v>41928</v>
      </c>
      <c r="J81" s="35">
        <f t="shared" si="55"/>
        <v>1.8027397260273972</v>
      </c>
      <c r="K81" s="364"/>
      <c r="L81" s="364"/>
      <c r="M81" s="60"/>
      <c r="N81" s="32"/>
      <c r="O81" s="82" t="str">
        <f t="shared" si="42"/>
        <v>-</v>
      </c>
      <c r="P81" s="19"/>
      <c r="Q81" s="68" t="s">
        <v>1451</v>
      </c>
      <c r="R81" s="118">
        <v>6845</v>
      </c>
      <c r="S81" s="21">
        <v>42362</v>
      </c>
      <c r="T81" s="20">
        <v>42397</v>
      </c>
      <c r="U81" s="20" t="str">
        <f t="shared" si="43"/>
        <v>-</v>
      </c>
      <c r="V81" s="19" t="str">
        <f t="shared" si="44"/>
        <v>-</v>
      </c>
      <c r="W81" s="3">
        <v>2</v>
      </c>
      <c r="X81" s="22" t="str">
        <f t="shared" si="45"/>
        <v>-</v>
      </c>
      <c r="Y81" s="22">
        <v>1</v>
      </c>
      <c r="Z81" s="22" t="str">
        <f t="shared" si="58"/>
        <v>-</v>
      </c>
      <c r="AA81" s="20" t="str">
        <f t="shared" si="57"/>
        <v>-</v>
      </c>
      <c r="AB81" s="94" t="str">
        <f t="shared" si="48"/>
        <v>---------</v>
      </c>
      <c r="AC81" s="21">
        <v>42472</v>
      </c>
      <c r="AD81" s="21" t="str">
        <f t="shared" si="49"/>
        <v>-</v>
      </c>
      <c r="AE81" s="21" t="str">
        <f t="shared" si="50"/>
        <v>-</v>
      </c>
      <c r="AF81" s="85"/>
      <c r="AG81" s="21">
        <f t="shared" si="59"/>
        <v>42656</v>
      </c>
      <c r="AH81" s="21">
        <f t="shared" si="60"/>
        <v>42677</v>
      </c>
      <c r="AI81" s="89">
        <f t="shared" si="53"/>
        <v>-91</v>
      </c>
      <c r="AJ81" s="92">
        <v>1</v>
      </c>
      <c r="AK81" s="80" t="str">
        <f t="shared" si="54"/>
        <v>-</v>
      </c>
      <c r="AL81" s="80"/>
      <c r="AM81" s="129">
        <v>42586</v>
      </c>
      <c r="AN81" s="126" t="s">
        <v>1445</v>
      </c>
      <c r="BC81" s="284">
        <v>42586</v>
      </c>
      <c r="BD81" s="288" t="s">
        <v>1445</v>
      </c>
    </row>
    <row r="82" spans="1:56" s="2" customFormat="1" ht="15.95" customHeight="1" x14ac:dyDescent="0.25">
      <c r="A82" s="86">
        <v>80</v>
      </c>
      <c r="B82" s="84">
        <f t="shared" si="56"/>
        <v>42594</v>
      </c>
      <c r="C82" s="29"/>
      <c r="D82" s="59" t="s">
        <v>475</v>
      </c>
      <c r="E82" s="22" t="s">
        <v>770</v>
      </c>
      <c r="F82" s="27" t="s">
        <v>771</v>
      </c>
      <c r="G82" s="27"/>
      <c r="H82" s="28" t="s">
        <v>603</v>
      </c>
      <c r="I82" s="20">
        <v>39085</v>
      </c>
      <c r="J82" s="35">
        <f t="shared" si="55"/>
        <v>9.6136986301369856</v>
      </c>
      <c r="M82" s="60">
        <v>39958</v>
      </c>
      <c r="N82" s="32">
        <v>41748</v>
      </c>
      <c r="O82" s="82">
        <f t="shared" si="42"/>
        <v>846</v>
      </c>
      <c r="P82" s="19">
        <v>5</v>
      </c>
      <c r="Q82" s="68" t="s">
        <v>1482</v>
      </c>
      <c r="R82" s="118">
        <v>331129</v>
      </c>
      <c r="S82" s="21">
        <v>41789</v>
      </c>
      <c r="T82" s="20">
        <v>42317</v>
      </c>
      <c r="U82" s="20" t="str">
        <f t="shared" si="43"/>
        <v>-</v>
      </c>
      <c r="V82" s="19" t="str">
        <f t="shared" si="44"/>
        <v>-</v>
      </c>
      <c r="W82" s="3">
        <v>10</v>
      </c>
      <c r="X82" s="22">
        <f t="shared" si="45"/>
        <v>569</v>
      </c>
      <c r="Y82" s="22">
        <v>1</v>
      </c>
      <c r="Z82" s="22" t="str">
        <f t="shared" si="58"/>
        <v>-</v>
      </c>
      <c r="AA82" s="20" t="str">
        <f t="shared" si="57"/>
        <v>-</v>
      </c>
      <c r="AB82" s="94" t="str">
        <f t="shared" si="48"/>
        <v>---------</v>
      </c>
      <c r="AC82" s="21"/>
      <c r="AD82" s="21">
        <f t="shared" si="49"/>
        <v>42512</v>
      </c>
      <c r="AE82" s="21">
        <f t="shared" si="50"/>
        <v>42542</v>
      </c>
      <c r="AF82" s="85">
        <v>42430</v>
      </c>
      <c r="AG82" s="21">
        <f t="shared" si="59"/>
        <v>42576</v>
      </c>
      <c r="AH82" s="21">
        <f t="shared" si="60"/>
        <v>42597</v>
      </c>
      <c r="AI82" s="89" t="str">
        <f t="shared" si="53"/>
        <v>-</v>
      </c>
      <c r="AJ82" s="92">
        <v>1</v>
      </c>
      <c r="AK82" s="80" t="str">
        <f t="shared" si="54"/>
        <v>-</v>
      </c>
      <c r="AL82" s="80"/>
      <c r="AM82" s="120">
        <v>42594</v>
      </c>
      <c r="AN82" s="126" t="s">
        <v>1964</v>
      </c>
      <c r="BC82" s="284">
        <v>42594</v>
      </c>
      <c r="BD82" s="288" t="s">
        <v>1964</v>
      </c>
    </row>
    <row r="83" spans="1:56" s="2" customFormat="1" ht="15.95" customHeight="1" x14ac:dyDescent="0.25">
      <c r="A83" s="86">
        <v>81</v>
      </c>
      <c r="B83" s="84">
        <f t="shared" si="56"/>
        <v>42598</v>
      </c>
      <c r="C83" s="29" t="s">
        <v>615</v>
      </c>
      <c r="D83" s="59" t="s">
        <v>1633</v>
      </c>
      <c r="E83" s="22" t="s">
        <v>1280</v>
      </c>
      <c r="F83" s="27" t="s">
        <v>1154</v>
      </c>
      <c r="G83" s="27"/>
      <c r="H83" s="28" t="s">
        <v>603</v>
      </c>
      <c r="I83" s="20">
        <v>41709</v>
      </c>
      <c r="J83" s="35">
        <f t="shared" si="55"/>
        <v>2.4356164383561643</v>
      </c>
      <c r="M83" s="60">
        <v>42558</v>
      </c>
      <c r="N83" s="32">
        <v>42558</v>
      </c>
      <c r="O83" s="82">
        <f t="shared" si="42"/>
        <v>40</v>
      </c>
      <c r="P83" s="19">
        <v>1</v>
      </c>
      <c r="Q83" s="68"/>
      <c r="R83" s="118"/>
      <c r="S83" s="21"/>
      <c r="T83" s="20"/>
      <c r="U83" s="20" t="str">
        <f t="shared" si="43"/>
        <v>-</v>
      </c>
      <c r="V83" s="19" t="str">
        <f t="shared" si="44"/>
        <v>-</v>
      </c>
      <c r="W83" s="3">
        <v>0</v>
      </c>
      <c r="X83" s="22" t="str">
        <f t="shared" si="45"/>
        <v>-</v>
      </c>
      <c r="Y83" s="22">
        <v>0</v>
      </c>
      <c r="Z83" s="22" t="str">
        <f t="shared" si="58"/>
        <v>-</v>
      </c>
      <c r="AA83" s="20" t="str">
        <f t="shared" si="57"/>
        <v>-</v>
      </c>
      <c r="AB83" s="94" t="str">
        <f t="shared" si="48"/>
        <v>---------</v>
      </c>
      <c r="AC83" s="21"/>
      <c r="AD83" s="21" t="str">
        <f t="shared" si="49"/>
        <v>-</v>
      </c>
      <c r="AE83" s="21" t="str">
        <f t="shared" si="50"/>
        <v>-</v>
      </c>
      <c r="AF83" s="85"/>
      <c r="AG83" s="21" t="str">
        <f t="shared" si="59"/>
        <v>-</v>
      </c>
      <c r="AH83" s="21" t="str">
        <f t="shared" si="60"/>
        <v>-</v>
      </c>
      <c r="AI83" s="89" t="str">
        <f t="shared" si="53"/>
        <v>-</v>
      </c>
      <c r="AJ83" s="92">
        <v>1</v>
      </c>
      <c r="AK83" s="80" t="str">
        <f t="shared" si="54"/>
        <v>-</v>
      </c>
      <c r="AL83" s="80"/>
      <c r="AM83" s="120">
        <v>42598</v>
      </c>
      <c r="AN83" s="126" t="s">
        <v>1982</v>
      </c>
      <c r="BC83" s="284">
        <v>42598</v>
      </c>
      <c r="BD83" s="288" t="s">
        <v>1982</v>
      </c>
    </row>
    <row r="84" spans="1:56" s="2" customFormat="1" ht="15.95" customHeight="1" x14ac:dyDescent="0.25">
      <c r="A84" s="86">
        <v>82</v>
      </c>
      <c r="B84" s="84">
        <f t="shared" si="56"/>
        <v>42598</v>
      </c>
      <c r="C84" s="29" t="s">
        <v>615</v>
      </c>
      <c r="D84" s="59" t="s">
        <v>1633</v>
      </c>
      <c r="E84" s="22" t="s">
        <v>827</v>
      </c>
      <c r="F84" s="27" t="s">
        <v>828</v>
      </c>
      <c r="G84" s="27"/>
      <c r="H84" s="28" t="s">
        <v>603</v>
      </c>
      <c r="I84" s="20">
        <v>41053</v>
      </c>
      <c r="J84" s="35">
        <f t="shared" si="55"/>
        <v>4.2328767123287667</v>
      </c>
      <c r="M84" s="60">
        <v>41744</v>
      </c>
      <c r="N84" s="32">
        <v>42566</v>
      </c>
      <c r="O84" s="82">
        <f t="shared" si="42"/>
        <v>32</v>
      </c>
      <c r="P84" s="19">
        <v>3</v>
      </c>
      <c r="Q84" s="68"/>
      <c r="R84" s="118"/>
      <c r="S84" s="21"/>
      <c r="T84" s="20"/>
      <c r="U84" s="20" t="str">
        <f t="shared" si="43"/>
        <v>-</v>
      </c>
      <c r="V84" s="19" t="str">
        <f t="shared" si="44"/>
        <v>-</v>
      </c>
      <c r="W84" s="3">
        <v>0</v>
      </c>
      <c r="X84" s="22" t="str">
        <f t="shared" si="45"/>
        <v>-</v>
      </c>
      <c r="Y84" s="22">
        <v>0</v>
      </c>
      <c r="Z84" s="22" t="str">
        <f t="shared" si="58"/>
        <v>-</v>
      </c>
      <c r="AA84" s="20" t="str">
        <f t="shared" si="57"/>
        <v>-</v>
      </c>
      <c r="AB84" s="94" t="str">
        <f t="shared" si="48"/>
        <v>---------</v>
      </c>
      <c r="AC84" s="21"/>
      <c r="AD84" s="21" t="str">
        <f t="shared" si="49"/>
        <v>-</v>
      </c>
      <c r="AE84" s="21" t="str">
        <f t="shared" si="50"/>
        <v>-</v>
      </c>
      <c r="AF84" s="85"/>
      <c r="AG84" s="21" t="str">
        <f t="shared" si="59"/>
        <v>-</v>
      </c>
      <c r="AH84" s="21" t="str">
        <f t="shared" si="60"/>
        <v>-</v>
      </c>
      <c r="AI84" s="89" t="str">
        <f t="shared" si="53"/>
        <v>-</v>
      </c>
      <c r="AJ84" s="92">
        <v>1</v>
      </c>
      <c r="AK84" s="80" t="str">
        <f t="shared" si="54"/>
        <v>-</v>
      </c>
      <c r="AL84" s="80"/>
      <c r="AM84" s="120">
        <v>42598</v>
      </c>
      <c r="AN84" s="126" t="s">
        <v>1982</v>
      </c>
      <c r="BC84" s="284">
        <v>42598</v>
      </c>
      <c r="BD84" s="288" t="s">
        <v>1982</v>
      </c>
    </row>
    <row r="85" spans="1:56" s="2" customFormat="1" ht="15.95" customHeight="1" x14ac:dyDescent="0.25">
      <c r="A85" s="86">
        <v>83</v>
      </c>
      <c r="B85" s="84">
        <f t="shared" si="56"/>
        <v>42598</v>
      </c>
      <c r="C85" s="29"/>
      <c r="D85" s="59" t="s">
        <v>1456</v>
      </c>
      <c r="E85" s="22" t="s">
        <v>585</v>
      </c>
      <c r="F85" s="27" t="s">
        <v>586</v>
      </c>
      <c r="G85" s="27"/>
      <c r="H85" s="28" t="s">
        <v>78</v>
      </c>
      <c r="I85" s="20">
        <v>41310</v>
      </c>
      <c r="J85" s="35">
        <f t="shared" si="55"/>
        <v>3.5287671232876714</v>
      </c>
      <c r="M85" s="60">
        <v>42146</v>
      </c>
      <c r="N85" s="32">
        <v>42586</v>
      </c>
      <c r="O85" s="82">
        <f t="shared" si="42"/>
        <v>12</v>
      </c>
      <c r="P85" s="19">
        <v>2</v>
      </c>
      <c r="Q85" s="68"/>
      <c r="R85" s="118"/>
      <c r="S85" s="21"/>
      <c r="T85" s="20"/>
      <c r="U85" s="20" t="str">
        <f t="shared" si="43"/>
        <v>-</v>
      </c>
      <c r="V85" s="19" t="str">
        <f t="shared" si="44"/>
        <v>-</v>
      </c>
      <c r="W85" s="3">
        <v>0</v>
      </c>
      <c r="X85" s="22" t="str">
        <f t="shared" si="45"/>
        <v>-</v>
      </c>
      <c r="Y85" s="22">
        <v>0</v>
      </c>
      <c r="Z85" s="22" t="str">
        <f t="shared" si="58"/>
        <v>-</v>
      </c>
      <c r="AA85" s="20" t="str">
        <f t="shared" si="57"/>
        <v>-</v>
      </c>
      <c r="AB85" s="94" t="str">
        <f t="shared" si="48"/>
        <v>---------</v>
      </c>
      <c r="AC85" s="21"/>
      <c r="AD85" s="21" t="str">
        <f t="shared" si="49"/>
        <v>-</v>
      </c>
      <c r="AE85" s="21" t="str">
        <f t="shared" si="50"/>
        <v>-</v>
      </c>
      <c r="AF85" s="85"/>
      <c r="AG85" s="21" t="str">
        <f t="shared" si="59"/>
        <v>-</v>
      </c>
      <c r="AH85" s="21" t="str">
        <f t="shared" si="60"/>
        <v>-</v>
      </c>
      <c r="AI85" s="89" t="str">
        <f t="shared" si="53"/>
        <v>-</v>
      </c>
      <c r="AJ85" s="92">
        <v>1</v>
      </c>
      <c r="AK85" s="80" t="str">
        <f t="shared" si="54"/>
        <v>-</v>
      </c>
      <c r="AL85" s="80"/>
      <c r="AM85" s="120">
        <v>42598</v>
      </c>
      <c r="AN85" s="126" t="s">
        <v>1983</v>
      </c>
      <c r="BC85" s="284">
        <v>42598</v>
      </c>
      <c r="BD85" s="288" t="s">
        <v>1983</v>
      </c>
    </row>
    <row r="86" spans="1:56" s="2" customFormat="1" ht="15.95" customHeight="1" x14ac:dyDescent="0.25">
      <c r="A86" s="86">
        <v>84</v>
      </c>
      <c r="B86" s="84">
        <f t="shared" si="56"/>
        <v>42603</v>
      </c>
      <c r="C86" s="29"/>
      <c r="D86" s="59" t="s">
        <v>1046</v>
      </c>
      <c r="E86" s="22" t="s">
        <v>57</v>
      </c>
      <c r="F86" s="27" t="s">
        <v>58</v>
      </c>
      <c r="G86" s="27"/>
      <c r="H86" s="28" t="s">
        <v>78</v>
      </c>
      <c r="I86" s="20">
        <v>40278</v>
      </c>
      <c r="J86" s="35">
        <f t="shared" si="55"/>
        <v>6.3698630136986303</v>
      </c>
      <c r="K86" s="364"/>
      <c r="L86" s="364"/>
      <c r="M86" s="60">
        <v>41110</v>
      </c>
      <c r="N86" s="32">
        <v>41801</v>
      </c>
      <c r="O86" s="82">
        <f t="shared" ref="O86:O101" si="61">IF(AND(B86&gt;0,N86&gt;0),B86-N86,"-")</f>
        <v>802</v>
      </c>
      <c r="P86" s="19">
        <v>3</v>
      </c>
      <c r="Q86" s="68" t="s">
        <v>1448</v>
      </c>
      <c r="R86" s="118">
        <v>1061</v>
      </c>
      <c r="S86" s="21">
        <v>41883</v>
      </c>
      <c r="T86" s="20">
        <v>42269</v>
      </c>
      <c r="U86" s="20" t="str">
        <f t="shared" si="43"/>
        <v>-</v>
      </c>
      <c r="V86" s="19" t="str">
        <f t="shared" si="44"/>
        <v>-</v>
      </c>
      <c r="W86" s="3">
        <v>5</v>
      </c>
      <c r="X86" s="22">
        <f t="shared" si="45"/>
        <v>468</v>
      </c>
      <c r="Y86" s="22">
        <v>1</v>
      </c>
      <c r="Z86" s="22" t="str">
        <f t="shared" si="58"/>
        <v>-</v>
      </c>
      <c r="AA86" s="20" t="str">
        <f t="shared" si="57"/>
        <v>-</v>
      </c>
      <c r="AB86" s="94" t="str">
        <f t="shared" si="48"/>
        <v>---------</v>
      </c>
      <c r="AC86" s="21"/>
      <c r="AD86" s="21">
        <f t="shared" si="49"/>
        <v>42464</v>
      </c>
      <c r="AE86" s="21">
        <f t="shared" si="50"/>
        <v>42494</v>
      </c>
      <c r="AF86" s="85"/>
      <c r="AG86" s="21">
        <f t="shared" si="59"/>
        <v>42528</v>
      </c>
      <c r="AH86" s="21">
        <f t="shared" si="60"/>
        <v>42549</v>
      </c>
      <c r="AI86" s="89" t="str">
        <f t="shared" si="53"/>
        <v>-</v>
      </c>
      <c r="AJ86" s="92">
        <v>1</v>
      </c>
      <c r="AK86" s="80" t="str">
        <f t="shared" si="54"/>
        <v>-</v>
      </c>
      <c r="AL86" s="80"/>
      <c r="AM86" s="120">
        <v>42603</v>
      </c>
      <c r="AN86" s="126" t="s">
        <v>1445</v>
      </c>
      <c r="BC86" s="284">
        <v>42603</v>
      </c>
      <c r="BD86" s="288" t="s">
        <v>1445</v>
      </c>
    </row>
    <row r="87" spans="1:56" s="2" customFormat="1" ht="15.95" customHeight="1" x14ac:dyDescent="0.25">
      <c r="A87" s="86">
        <v>85</v>
      </c>
      <c r="B87" s="84">
        <f t="shared" si="56"/>
        <v>42611</v>
      </c>
      <c r="C87" s="29"/>
      <c r="D87" s="59" t="s">
        <v>475</v>
      </c>
      <c r="E87" s="22" t="s">
        <v>556</v>
      </c>
      <c r="F87" s="27" t="s">
        <v>557</v>
      </c>
      <c r="G87" s="27"/>
      <c r="H87" s="28" t="s">
        <v>603</v>
      </c>
      <c r="I87" s="20">
        <v>41568</v>
      </c>
      <c r="J87" s="35">
        <f t="shared" si="55"/>
        <v>2.8575342465753426</v>
      </c>
      <c r="K87" s="364"/>
      <c r="L87" s="364"/>
      <c r="M87" s="60">
        <v>42343</v>
      </c>
      <c r="N87" s="32">
        <v>42343</v>
      </c>
      <c r="O87" s="82">
        <f t="shared" si="61"/>
        <v>268</v>
      </c>
      <c r="P87" s="19">
        <v>1</v>
      </c>
      <c r="Q87" s="68"/>
      <c r="R87" s="118"/>
      <c r="S87" s="21">
        <v>42396</v>
      </c>
      <c r="T87" s="20">
        <v>42396</v>
      </c>
      <c r="U87" s="20" t="str">
        <f t="shared" si="43"/>
        <v>-</v>
      </c>
      <c r="V87" s="19" t="str">
        <f t="shared" si="44"/>
        <v>-</v>
      </c>
      <c r="W87" s="3">
        <v>1</v>
      </c>
      <c r="X87" s="22">
        <f t="shared" si="45"/>
        <v>53</v>
      </c>
      <c r="Y87" s="22">
        <v>0</v>
      </c>
      <c r="Z87" s="22" t="str">
        <f t="shared" si="58"/>
        <v>яловая</v>
      </c>
      <c r="AA87" s="20" t="str">
        <f t="shared" si="57"/>
        <v>-</v>
      </c>
      <c r="AB87" s="94" t="str">
        <f t="shared" si="48"/>
        <v>---------</v>
      </c>
      <c r="AC87" s="21"/>
      <c r="AD87" s="21" t="str">
        <f t="shared" si="49"/>
        <v>-</v>
      </c>
      <c r="AE87" s="21" t="str">
        <f t="shared" si="50"/>
        <v>-</v>
      </c>
      <c r="AF87" s="85"/>
      <c r="AG87" s="21" t="str">
        <f t="shared" si="59"/>
        <v>-</v>
      </c>
      <c r="AH87" s="21" t="str">
        <f t="shared" si="60"/>
        <v>-</v>
      </c>
      <c r="AI87" s="89" t="str">
        <f t="shared" si="53"/>
        <v>-</v>
      </c>
      <c r="AJ87" s="92">
        <v>1</v>
      </c>
      <c r="AK87" s="80" t="str">
        <f t="shared" si="54"/>
        <v>-</v>
      </c>
      <c r="AL87" s="80"/>
      <c r="AM87" s="120">
        <v>42611</v>
      </c>
      <c r="AN87" s="126" t="s">
        <v>1445</v>
      </c>
      <c r="BC87" s="284">
        <v>42611</v>
      </c>
      <c r="BD87" s="288" t="s">
        <v>1445</v>
      </c>
    </row>
    <row r="88" spans="1:56" s="2" customFormat="1" ht="15.95" customHeight="1" x14ac:dyDescent="0.25">
      <c r="A88" s="86">
        <v>86</v>
      </c>
      <c r="B88" s="84">
        <f t="shared" si="56"/>
        <v>42611</v>
      </c>
      <c r="C88" s="29" t="s">
        <v>614</v>
      </c>
      <c r="D88" s="59" t="s">
        <v>1503</v>
      </c>
      <c r="E88" s="22" t="s">
        <v>116</v>
      </c>
      <c r="F88" s="27" t="s">
        <v>117</v>
      </c>
      <c r="G88" s="27"/>
      <c r="H88" s="28" t="s">
        <v>603</v>
      </c>
      <c r="I88" s="20">
        <v>39934</v>
      </c>
      <c r="J88" s="35">
        <f t="shared" si="55"/>
        <v>7.3342465753424655</v>
      </c>
      <c r="M88" s="60">
        <v>40915</v>
      </c>
      <c r="N88" s="32">
        <v>42480</v>
      </c>
      <c r="O88" s="82">
        <f t="shared" si="61"/>
        <v>131</v>
      </c>
      <c r="P88" s="19">
        <v>5</v>
      </c>
      <c r="Q88" s="68" t="s">
        <v>1451</v>
      </c>
      <c r="R88" s="118">
        <v>7762</v>
      </c>
      <c r="S88" s="21">
        <v>42557</v>
      </c>
      <c r="T88" s="20">
        <v>42557</v>
      </c>
      <c r="U88" s="20" t="str">
        <f t="shared" si="43"/>
        <v>-</v>
      </c>
      <c r="V88" s="19" t="str">
        <f t="shared" si="44"/>
        <v>-</v>
      </c>
      <c r="W88" s="3">
        <v>1</v>
      </c>
      <c r="X88" s="22">
        <f t="shared" si="45"/>
        <v>77</v>
      </c>
      <c r="Y88" s="22">
        <v>1</v>
      </c>
      <c r="Z88" s="22" t="str">
        <f t="shared" si="58"/>
        <v>-</v>
      </c>
      <c r="AA88" s="20" t="str">
        <f t="shared" si="57"/>
        <v>-</v>
      </c>
      <c r="AB88" s="94" t="str">
        <f t="shared" si="48"/>
        <v>---------</v>
      </c>
      <c r="AC88" s="21">
        <v>42605</v>
      </c>
      <c r="AD88" s="21">
        <f t="shared" si="49"/>
        <v>42752</v>
      </c>
      <c r="AE88" s="21">
        <f t="shared" si="50"/>
        <v>42782</v>
      </c>
      <c r="AF88" s="85"/>
      <c r="AG88" s="21">
        <f t="shared" si="59"/>
        <v>42816</v>
      </c>
      <c r="AH88" s="21">
        <f t="shared" si="60"/>
        <v>42837</v>
      </c>
      <c r="AI88" s="89">
        <f t="shared" si="53"/>
        <v>-226</v>
      </c>
      <c r="AJ88" s="92">
        <v>1</v>
      </c>
      <c r="AK88" s="80" t="str">
        <f t="shared" si="54"/>
        <v>-</v>
      </c>
      <c r="AL88" s="80"/>
      <c r="AM88" s="120">
        <v>42611</v>
      </c>
      <c r="AN88" s="126" t="s">
        <v>1854</v>
      </c>
      <c r="BC88" s="284">
        <v>42611</v>
      </c>
      <c r="BD88" s="288" t="s">
        <v>1854</v>
      </c>
    </row>
    <row r="89" spans="1:56" s="2" customFormat="1" ht="15.95" customHeight="1" x14ac:dyDescent="0.25">
      <c r="A89" s="86">
        <v>87</v>
      </c>
      <c r="B89" s="84">
        <f t="shared" si="56"/>
        <v>42611</v>
      </c>
      <c r="C89" s="29" t="s">
        <v>613</v>
      </c>
      <c r="D89" s="59" t="s">
        <v>1502</v>
      </c>
      <c r="E89" s="22" t="s">
        <v>235</v>
      </c>
      <c r="F89" s="27" t="s">
        <v>236</v>
      </c>
      <c r="G89" s="27"/>
      <c r="H89" s="28" t="s">
        <v>603</v>
      </c>
      <c r="I89" s="20">
        <v>41094</v>
      </c>
      <c r="J89" s="35">
        <f t="shared" si="55"/>
        <v>4.1561643835616442</v>
      </c>
      <c r="M89" s="60">
        <v>41965</v>
      </c>
      <c r="N89" s="32">
        <v>42400</v>
      </c>
      <c r="O89" s="82">
        <f t="shared" si="61"/>
        <v>211</v>
      </c>
      <c r="P89" s="19">
        <v>2</v>
      </c>
      <c r="Q89" s="68" t="s">
        <v>1448</v>
      </c>
      <c r="R89" s="118">
        <v>7762</v>
      </c>
      <c r="S89" s="21">
        <v>42451</v>
      </c>
      <c r="T89" s="20">
        <v>42565</v>
      </c>
      <c r="U89" s="20">
        <f t="shared" si="43"/>
        <v>42583</v>
      </c>
      <c r="V89" s="19">
        <f t="shared" si="44"/>
        <v>28</v>
      </c>
      <c r="W89" s="3">
        <v>3</v>
      </c>
      <c r="X89" s="22">
        <f t="shared" si="45"/>
        <v>165</v>
      </c>
      <c r="Y89" s="22">
        <v>2</v>
      </c>
      <c r="Z89" s="22" t="str">
        <f t="shared" si="58"/>
        <v>-</v>
      </c>
      <c r="AA89" s="20">
        <f t="shared" si="57"/>
        <v>42600</v>
      </c>
      <c r="AB89" s="94">
        <f t="shared" si="48"/>
        <v>11</v>
      </c>
      <c r="AC89" s="21">
        <v>42605</v>
      </c>
      <c r="AD89" s="21" t="str">
        <f t="shared" si="49"/>
        <v>-</v>
      </c>
      <c r="AE89" s="21" t="str">
        <f t="shared" si="50"/>
        <v>-</v>
      </c>
      <c r="AF89" s="85"/>
      <c r="AG89" s="21" t="str">
        <f t="shared" si="59"/>
        <v>-</v>
      </c>
      <c r="AH89" s="21" t="str">
        <f t="shared" si="60"/>
        <v>-</v>
      </c>
      <c r="AI89" s="89" t="str">
        <f t="shared" si="53"/>
        <v>-</v>
      </c>
      <c r="AJ89" s="92">
        <v>1</v>
      </c>
      <c r="AK89" s="80" t="str">
        <f t="shared" si="54"/>
        <v>-</v>
      </c>
      <c r="AL89" s="80"/>
      <c r="AM89" s="120">
        <v>42611</v>
      </c>
      <c r="AN89" s="126" t="s">
        <v>1855</v>
      </c>
      <c r="BC89" s="284">
        <v>42611</v>
      </c>
      <c r="BD89" s="288" t="s">
        <v>1855</v>
      </c>
    </row>
    <row r="90" spans="1:56" ht="15.95" customHeight="1" x14ac:dyDescent="0.25">
      <c r="A90" s="86">
        <v>88</v>
      </c>
      <c r="B90" s="84">
        <f t="shared" si="56"/>
        <v>42601</v>
      </c>
      <c r="C90" s="29"/>
      <c r="D90" s="59" t="s">
        <v>1456</v>
      </c>
      <c r="E90" s="22" t="s">
        <v>209</v>
      </c>
      <c r="F90" s="27" t="s">
        <v>1216</v>
      </c>
      <c r="G90" s="27"/>
      <c r="H90" s="28" t="s">
        <v>603</v>
      </c>
      <c r="I90" s="20">
        <v>41877</v>
      </c>
      <c r="J90" s="35">
        <f t="shared" si="55"/>
        <v>1.9835616438356165</v>
      </c>
      <c r="M90" s="60">
        <v>42600</v>
      </c>
      <c r="N90" s="32">
        <v>42600</v>
      </c>
      <c r="O90" s="82">
        <f t="shared" si="61"/>
        <v>1</v>
      </c>
      <c r="P90" s="19">
        <v>1</v>
      </c>
      <c r="Q90" s="84">
        <f ca="1">TODAY()</f>
        <v>43134</v>
      </c>
      <c r="R90" s="29"/>
      <c r="S90" s="124" t="s">
        <v>1456</v>
      </c>
      <c r="T90" s="22"/>
      <c r="U90" s="27" t="s">
        <v>1216</v>
      </c>
      <c r="V90" s="28" t="s">
        <v>603</v>
      </c>
      <c r="W90" s="20"/>
      <c r="X90" s="35"/>
      <c r="Y90" s="60"/>
      <c r="Z90" s="32"/>
      <c r="AA90" s="82" t="str">
        <f ca="1">IF(AND(Q90&gt;0,Z90&gt;0),Q90-Z90,"-")</f>
        <v>-</v>
      </c>
      <c r="AB90" s="19">
        <v>1</v>
      </c>
      <c r="AC90" s="84">
        <f ca="1">TODAY()</f>
        <v>43134</v>
      </c>
      <c r="AD90" s="29"/>
      <c r="AE90" s="59" t="s">
        <v>1456</v>
      </c>
      <c r="AF90" s="22" t="s">
        <v>209</v>
      </c>
      <c r="AG90" s="27" t="s">
        <v>1216</v>
      </c>
      <c r="AH90" s="28" t="s">
        <v>603</v>
      </c>
      <c r="AI90" s="20">
        <v>41877</v>
      </c>
      <c r="AJ90" s="35">
        <f ca="1">(AC90-AI90)/365</f>
        <v>3.4438356164383563</v>
      </c>
      <c r="AK90" s="60">
        <v>42600</v>
      </c>
      <c r="AL90" s="32">
        <v>42600</v>
      </c>
      <c r="AM90" s="120">
        <v>42601</v>
      </c>
      <c r="AN90" s="127" t="s">
        <v>1999</v>
      </c>
      <c r="BC90" s="284">
        <v>42601</v>
      </c>
      <c r="BD90" s="433" t="s">
        <v>1999</v>
      </c>
    </row>
    <row r="91" spans="1:56" ht="15.95" customHeight="1" x14ac:dyDescent="0.25">
      <c r="A91" s="86">
        <v>89</v>
      </c>
      <c r="B91" s="84">
        <f t="shared" si="56"/>
        <v>42617</v>
      </c>
      <c r="C91" s="29" t="s">
        <v>614</v>
      </c>
      <c r="D91" s="59" t="s">
        <v>1503</v>
      </c>
      <c r="E91" s="22" t="s">
        <v>1434</v>
      </c>
      <c r="F91" s="27" t="s">
        <v>1435</v>
      </c>
      <c r="G91" s="27"/>
      <c r="H91" s="28" t="s">
        <v>603</v>
      </c>
      <c r="I91" s="20">
        <v>41748</v>
      </c>
      <c r="J91" s="35">
        <f t="shared" si="55"/>
        <v>2.3808219178082193</v>
      </c>
      <c r="M91" s="60">
        <v>42460</v>
      </c>
      <c r="N91" s="32">
        <v>42460</v>
      </c>
      <c r="O91" s="82">
        <f t="shared" si="61"/>
        <v>157</v>
      </c>
      <c r="P91" s="19">
        <v>1</v>
      </c>
      <c r="Q91" s="79"/>
      <c r="R91" s="79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30">
        <v>42617</v>
      </c>
      <c r="AN91" s="128" t="s">
        <v>1558</v>
      </c>
      <c r="BC91" s="285">
        <v>42617</v>
      </c>
      <c r="BD91" s="434" t="s">
        <v>1558</v>
      </c>
    </row>
    <row r="92" spans="1:56" ht="15.95" customHeight="1" x14ac:dyDescent="0.25">
      <c r="A92" s="86">
        <v>90</v>
      </c>
      <c r="B92" s="84">
        <f t="shared" si="56"/>
        <v>42617</v>
      </c>
      <c r="C92" s="29"/>
      <c r="D92" s="59" t="s">
        <v>1456</v>
      </c>
      <c r="E92" s="22" t="s">
        <v>919</v>
      </c>
      <c r="F92" s="27" t="s">
        <v>920</v>
      </c>
      <c r="G92" s="27"/>
      <c r="H92" s="28" t="s">
        <v>721</v>
      </c>
      <c r="I92" s="20">
        <v>41036</v>
      </c>
      <c r="J92" s="35">
        <f t="shared" si="55"/>
        <v>4.3315068493150681</v>
      </c>
      <c r="M92" s="60">
        <v>41890</v>
      </c>
      <c r="N92" s="32">
        <v>42608</v>
      </c>
      <c r="O92" s="82">
        <f t="shared" si="61"/>
        <v>9</v>
      </c>
      <c r="P92" s="19">
        <v>2</v>
      </c>
      <c r="Q92" s="79"/>
      <c r="R92" s="79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30">
        <v>42617</v>
      </c>
      <c r="AN92" s="128" t="s">
        <v>1854</v>
      </c>
      <c r="BC92" s="285">
        <v>42617</v>
      </c>
      <c r="BD92" s="434" t="s">
        <v>1854</v>
      </c>
    </row>
    <row r="93" spans="1:56" ht="15.95" customHeight="1" x14ac:dyDescent="0.25">
      <c r="A93" s="86">
        <v>91</v>
      </c>
      <c r="B93" s="84">
        <f t="shared" si="56"/>
        <v>42620</v>
      </c>
      <c r="C93" s="29"/>
      <c r="D93" s="59" t="s">
        <v>1456</v>
      </c>
      <c r="E93" s="22" t="s">
        <v>1287</v>
      </c>
      <c r="F93" s="27" t="s">
        <v>1163</v>
      </c>
      <c r="G93" s="27"/>
      <c r="H93" s="28" t="s">
        <v>603</v>
      </c>
      <c r="I93" s="20">
        <v>41742</v>
      </c>
      <c r="J93" s="35">
        <f t="shared" si="55"/>
        <v>2.4054794520547946</v>
      </c>
      <c r="M93" s="60">
        <v>42598</v>
      </c>
      <c r="N93" s="32">
        <v>42598</v>
      </c>
      <c r="O93" s="82">
        <f t="shared" si="61"/>
        <v>22</v>
      </c>
      <c r="P93" s="19">
        <v>1</v>
      </c>
      <c r="Q93" s="79"/>
      <c r="R93" s="79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30">
        <v>42620</v>
      </c>
      <c r="AN93" s="128" t="s">
        <v>1991</v>
      </c>
      <c r="BC93" s="285">
        <v>42620</v>
      </c>
      <c r="BD93" s="434" t="s">
        <v>1991</v>
      </c>
    </row>
    <row r="94" spans="1:56" ht="15.95" customHeight="1" x14ac:dyDescent="0.25">
      <c r="A94" s="86">
        <v>92</v>
      </c>
      <c r="B94" s="84">
        <f t="shared" si="56"/>
        <v>42620</v>
      </c>
      <c r="C94" s="29"/>
      <c r="D94" s="59" t="s">
        <v>475</v>
      </c>
      <c r="E94" s="22" t="s">
        <v>114</v>
      </c>
      <c r="F94" s="27" t="s">
        <v>115</v>
      </c>
      <c r="G94" s="27"/>
      <c r="H94" s="28" t="s">
        <v>603</v>
      </c>
      <c r="I94" s="20">
        <v>41053</v>
      </c>
      <c r="J94" s="35">
        <f t="shared" si="55"/>
        <v>4.2931506849315069</v>
      </c>
      <c r="M94" s="60">
        <v>42082</v>
      </c>
      <c r="N94" s="32">
        <v>42082</v>
      </c>
      <c r="O94" s="82">
        <f t="shared" si="61"/>
        <v>538</v>
      </c>
      <c r="P94" s="19">
        <v>1</v>
      </c>
      <c r="Q94" s="79"/>
      <c r="R94" s="79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30">
        <v>42620</v>
      </c>
      <c r="AN94" s="128" t="s">
        <v>1961</v>
      </c>
      <c r="BC94" s="285">
        <v>42620</v>
      </c>
      <c r="BD94" s="434" t="s">
        <v>1961</v>
      </c>
    </row>
    <row r="95" spans="1:56" ht="15.95" customHeight="1" x14ac:dyDescent="0.25">
      <c r="A95" s="86">
        <v>93</v>
      </c>
      <c r="B95" s="84">
        <f t="shared" si="56"/>
        <v>42620</v>
      </c>
      <c r="C95" s="29" t="s">
        <v>613</v>
      </c>
      <c r="D95" s="59" t="s">
        <v>1502</v>
      </c>
      <c r="E95" s="22" t="s">
        <v>202</v>
      </c>
      <c r="F95" s="27" t="s">
        <v>270</v>
      </c>
      <c r="G95" s="27"/>
      <c r="H95" s="28" t="s">
        <v>603</v>
      </c>
      <c r="I95" s="20">
        <v>41002</v>
      </c>
      <c r="J95" s="35">
        <f t="shared" si="55"/>
        <v>4.4328767123287669</v>
      </c>
      <c r="M95" s="60">
        <v>42000</v>
      </c>
      <c r="N95" s="32">
        <v>42000</v>
      </c>
      <c r="O95" s="82">
        <f t="shared" si="61"/>
        <v>620</v>
      </c>
      <c r="P95" s="19">
        <v>1</v>
      </c>
      <c r="Q95" s="79"/>
      <c r="R95" s="79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30">
        <v>42620</v>
      </c>
      <c r="AN95" s="128" t="s">
        <v>1537</v>
      </c>
      <c r="BC95" s="285">
        <v>42620</v>
      </c>
      <c r="BD95" s="434" t="s">
        <v>1537</v>
      </c>
    </row>
    <row r="96" spans="1:56" s="2" customFormat="1" ht="15.95" customHeight="1" x14ac:dyDescent="0.25">
      <c r="A96" s="86">
        <v>94</v>
      </c>
      <c r="B96" s="84">
        <f t="shared" si="56"/>
        <v>42625</v>
      </c>
      <c r="C96" s="29" t="s">
        <v>614</v>
      </c>
      <c r="D96" s="59" t="s">
        <v>908</v>
      </c>
      <c r="E96" s="22" t="s">
        <v>414</v>
      </c>
      <c r="F96" s="27" t="s">
        <v>415</v>
      </c>
      <c r="G96" s="27"/>
      <c r="H96" s="28" t="s">
        <v>603</v>
      </c>
      <c r="I96" s="20">
        <v>41485</v>
      </c>
      <c r="J96" s="35">
        <f t="shared" si="55"/>
        <v>3.1232876712328768</v>
      </c>
      <c r="M96" s="60">
        <v>42183</v>
      </c>
      <c r="N96" s="32">
        <v>42538</v>
      </c>
      <c r="O96" s="82">
        <f t="shared" si="61"/>
        <v>87</v>
      </c>
      <c r="P96" s="19">
        <v>2</v>
      </c>
      <c r="Q96" s="68"/>
      <c r="R96" s="118"/>
      <c r="S96" s="21">
        <v>42579</v>
      </c>
      <c r="T96" s="20">
        <v>42579</v>
      </c>
      <c r="U96" s="20">
        <f t="shared" ref="U96:U101" si="62">IF(AND(Y96&gt;1,T96&gt;0),T96+18,"-")</f>
        <v>42597</v>
      </c>
      <c r="V96" s="19">
        <f t="shared" ref="V96:V101" si="63">IF(AND(U96&gt;0,B96&gt;0,Y96&gt;1),B96-U96,"-")</f>
        <v>28</v>
      </c>
      <c r="W96" s="3">
        <v>0</v>
      </c>
      <c r="X96" s="22">
        <f t="shared" ref="X96:X102" si="64">IF(AND(N96&gt;0,T96&gt;0),T96-N96,"-")</f>
        <v>41</v>
      </c>
      <c r="Y96" s="22">
        <v>5</v>
      </c>
      <c r="Z96" s="22" t="str">
        <f t="shared" ref="Z96:Z101" si="65">IF(AND(O96&gt;140,Y96=0,N96&gt;0),"яловая","-")</f>
        <v>-</v>
      </c>
      <c r="AA96" s="20" t="str">
        <f t="shared" ref="AA96:AA101" si="66">IF(AND(T96&gt;0,OR(Y96=3,Y96=2)),T96+35,"-")</f>
        <v>-</v>
      </c>
      <c r="AB96" s="94" t="str">
        <f t="shared" ref="AB96:AB101" si="67">IF(AND(T96&gt;0,W96&gt;0,Q96&gt;0,OR(Y96=3,Y96=2)),B96-AA96,"---------")</f>
        <v>---------</v>
      </c>
      <c r="AC96" s="21"/>
      <c r="AD96" s="21" t="str">
        <f t="shared" ref="AD96:AD101" si="68">IF(AND($T96&gt;0,$N96&gt;0,$Y96=1),$T96+285-90,"-")</f>
        <v>-</v>
      </c>
      <c r="AE96" s="21" t="str">
        <f t="shared" ref="AE96:AE101" si="69">IF(AND(T96&gt;0,Y96=1,N96&gt;0),T96+285-60,"-")</f>
        <v>-</v>
      </c>
      <c r="AF96" s="85"/>
      <c r="AG96" s="21" t="str">
        <f t="shared" ref="AG96:AG101" si="70">IF(AND($T96&gt;0,$Y96=1),$T96+280-21,"-")</f>
        <v>-</v>
      </c>
      <c r="AH96" s="21" t="str">
        <f t="shared" ref="AH96:AH101" si="71">IF(AND(T96&gt;0,Y96=1),T96+280,"-")</f>
        <v>-</v>
      </c>
      <c r="AI96" s="89" t="str">
        <f t="shared" ref="AI96:AI101" si="72">IF(AND(B96&gt;0,AH96&gt;0,AC96&gt;0,Y96=1),B96-AH96,"-")</f>
        <v>-</v>
      </c>
      <c r="AJ96" s="92">
        <v>1</v>
      </c>
      <c r="AK96" s="80" t="str">
        <f t="shared" ref="AK96:AK101" si="73">IF(AND(Z96="яловая",O96&gt;300),"БРАК","-")</f>
        <v>-</v>
      </c>
      <c r="AL96" s="80"/>
      <c r="AM96" s="120">
        <v>42625</v>
      </c>
      <c r="AN96" s="126" t="s">
        <v>1880</v>
      </c>
      <c r="BC96" s="284">
        <v>42625</v>
      </c>
      <c r="BD96" s="288" t="s">
        <v>1880</v>
      </c>
    </row>
    <row r="97" spans="1:56" s="2" customFormat="1" ht="15.95" customHeight="1" x14ac:dyDescent="0.25">
      <c r="A97" s="86">
        <v>95</v>
      </c>
      <c r="B97" s="84">
        <f t="shared" si="56"/>
        <v>42625</v>
      </c>
      <c r="C97" s="29" t="s">
        <v>613</v>
      </c>
      <c r="D97" s="59" t="s">
        <v>1502</v>
      </c>
      <c r="E97" s="22" t="s">
        <v>1270</v>
      </c>
      <c r="F97" s="27" t="s">
        <v>1136</v>
      </c>
      <c r="G97" s="27"/>
      <c r="H97" s="28" t="s">
        <v>603</v>
      </c>
      <c r="I97" s="20">
        <v>41622</v>
      </c>
      <c r="J97" s="35">
        <f t="shared" si="55"/>
        <v>2.7479452054794522</v>
      </c>
      <c r="M97" s="60">
        <v>42570</v>
      </c>
      <c r="N97" s="32">
        <v>42570</v>
      </c>
      <c r="O97" s="82">
        <f t="shared" si="61"/>
        <v>55</v>
      </c>
      <c r="P97" s="19">
        <v>1</v>
      </c>
      <c r="Q97" s="68"/>
      <c r="R97" s="118"/>
      <c r="S97" s="21"/>
      <c r="T97" s="20"/>
      <c r="U97" s="20" t="str">
        <f t="shared" si="62"/>
        <v>-</v>
      </c>
      <c r="V97" s="19" t="str">
        <f t="shared" si="63"/>
        <v>-</v>
      </c>
      <c r="W97" s="3">
        <v>0</v>
      </c>
      <c r="X97" s="22" t="str">
        <f t="shared" si="64"/>
        <v>-</v>
      </c>
      <c r="Y97" s="22">
        <v>0</v>
      </c>
      <c r="Z97" s="22" t="str">
        <f t="shared" si="65"/>
        <v>-</v>
      </c>
      <c r="AA97" s="20" t="str">
        <f t="shared" si="66"/>
        <v>-</v>
      </c>
      <c r="AB97" s="94" t="str">
        <f t="shared" si="67"/>
        <v>---------</v>
      </c>
      <c r="AC97" s="21"/>
      <c r="AD97" s="21" t="str">
        <f t="shared" si="68"/>
        <v>-</v>
      </c>
      <c r="AE97" s="21" t="str">
        <f t="shared" si="69"/>
        <v>-</v>
      </c>
      <c r="AF97" s="85"/>
      <c r="AG97" s="21" t="str">
        <f t="shared" si="70"/>
        <v>-</v>
      </c>
      <c r="AH97" s="21" t="str">
        <f t="shared" si="71"/>
        <v>-</v>
      </c>
      <c r="AI97" s="89" t="str">
        <f t="shared" si="72"/>
        <v>-</v>
      </c>
      <c r="AJ97" s="92">
        <v>1</v>
      </c>
      <c r="AK97" s="80" t="str">
        <f t="shared" si="73"/>
        <v>-</v>
      </c>
      <c r="AL97" s="80" t="s">
        <v>1863</v>
      </c>
      <c r="AM97" s="120">
        <v>42625</v>
      </c>
      <c r="AN97" s="126" t="s">
        <v>1881</v>
      </c>
      <c r="BC97" s="284">
        <v>42625</v>
      </c>
      <c r="BD97" s="288" t="s">
        <v>1881</v>
      </c>
    </row>
    <row r="98" spans="1:56" s="2" customFormat="1" ht="15.95" customHeight="1" x14ac:dyDescent="0.25">
      <c r="A98" s="86">
        <v>96</v>
      </c>
      <c r="B98" s="84">
        <f t="shared" si="56"/>
        <v>42625</v>
      </c>
      <c r="C98" s="29" t="s">
        <v>613</v>
      </c>
      <c r="D98" s="59" t="s">
        <v>1502</v>
      </c>
      <c r="E98" s="22" t="s">
        <v>539</v>
      </c>
      <c r="F98" s="27" t="s">
        <v>538</v>
      </c>
      <c r="G98" s="27"/>
      <c r="H98" s="28" t="s">
        <v>620</v>
      </c>
      <c r="I98" s="20">
        <v>41593</v>
      </c>
      <c r="J98" s="35">
        <f t="shared" si="55"/>
        <v>2.8273972602739725</v>
      </c>
      <c r="M98" s="60">
        <v>42404</v>
      </c>
      <c r="N98" s="32">
        <v>42404</v>
      </c>
      <c r="O98" s="82">
        <f t="shared" si="61"/>
        <v>221</v>
      </c>
      <c r="P98" s="19">
        <v>1</v>
      </c>
      <c r="Q98" s="68" t="s">
        <v>1451</v>
      </c>
      <c r="R98" s="118" t="s">
        <v>1814</v>
      </c>
      <c r="S98" s="21">
        <v>42488</v>
      </c>
      <c r="T98" s="20">
        <v>42596</v>
      </c>
      <c r="U98" s="20">
        <f t="shared" si="62"/>
        <v>42614</v>
      </c>
      <c r="V98" s="19">
        <f t="shared" si="63"/>
        <v>11</v>
      </c>
      <c r="W98" s="3">
        <v>2</v>
      </c>
      <c r="X98" s="22">
        <f t="shared" si="64"/>
        <v>192</v>
      </c>
      <c r="Y98" s="22">
        <v>3</v>
      </c>
      <c r="Z98" s="22" t="str">
        <f t="shared" si="65"/>
        <v>-</v>
      </c>
      <c r="AA98" s="20">
        <f t="shared" si="66"/>
        <v>42631</v>
      </c>
      <c r="AB98" s="94">
        <f t="shared" si="67"/>
        <v>-6</v>
      </c>
      <c r="AC98" s="21">
        <v>42542</v>
      </c>
      <c r="AD98" s="21" t="str">
        <f t="shared" si="68"/>
        <v>-</v>
      </c>
      <c r="AE98" s="21" t="str">
        <f t="shared" si="69"/>
        <v>-</v>
      </c>
      <c r="AF98" s="85"/>
      <c r="AG98" s="21" t="str">
        <f t="shared" si="70"/>
        <v>-</v>
      </c>
      <c r="AH98" s="21" t="str">
        <f t="shared" si="71"/>
        <v>-</v>
      </c>
      <c r="AI98" s="89" t="str">
        <f t="shared" si="72"/>
        <v>-</v>
      </c>
      <c r="AJ98" s="92">
        <v>1</v>
      </c>
      <c r="AK98" s="80" t="str">
        <f t="shared" si="73"/>
        <v>-</v>
      </c>
      <c r="AL98" s="80"/>
      <c r="AM98" s="120">
        <v>42625</v>
      </c>
      <c r="AN98" s="126" t="s">
        <v>1882</v>
      </c>
      <c r="BC98" s="284">
        <v>42625</v>
      </c>
      <c r="BD98" s="288" t="s">
        <v>1882</v>
      </c>
    </row>
    <row r="99" spans="1:56" s="2" customFormat="1" ht="15.95" customHeight="1" x14ac:dyDescent="0.25">
      <c r="A99" s="86">
        <v>97</v>
      </c>
      <c r="B99" s="84">
        <f t="shared" si="56"/>
        <v>42635</v>
      </c>
      <c r="C99" s="29"/>
      <c r="D99" s="59" t="s">
        <v>1456</v>
      </c>
      <c r="E99" s="22" t="s">
        <v>1064</v>
      </c>
      <c r="F99" s="27" t="s">
        <v>987</v>
      </c>
      <c r="G99" s="27"/>
      <c r="H99" s="28" t="s">
        <v>603</v>
      </c>
      <c r="I99" s="20">
        <v>42025</v>
      </c>
      <c r="J99" s="35">
        <f t="shared" ref="J99:J101" si="74">(B99-I99)/365</f>
        <v>1.6712328767123288</v>
      </c>
      <c r="M99" s="60">
        <v>42632</v>
      </c>
      <c r="N99" s="32">
        <v>42632</v>
      </c>
      <c r="O99" s="82">
        <f t="shared" si="61"/>
        <v>3</v>
      </c>
      <c r="P99" s="19">
        <v>1</v>
      </c>
      <c r="Q99" s="68"/>
      <c r="R99" s="118"/>
      <c r="S99" s="21"/>
      <c r="T99" s="20"/>
      <c r="U99" s="20" t="str">
        <f t="shared" si="62"/>
        <v>-</v>
      </c>
      <c r="V99" s="19" t="str">
        <f t="shared" si="63"/>
        <v>-</v>
      </c>
      <c r="W99" s="3">
        <v>0</v>
      </c>
      <c r="X99" s="22" t="str">
        <f t="shared" si="64"/>
        <v>-</v>
      </c>
      <c r="Y99" s="22">
        <v>0</v>
      </c>
      <c r="Z99" s="22" t="str">
        <f t="shared" si="65"/>
        <v>-</v>
      </c>
      <c r="AA99" s="20" t="str">
        <f t="shared" si="66"/>
        <v>-</v>
      </c>
      <c r="AB99" s="94" t="str">
        <f t="shared" si="67"/>
        <v>---------</v>
      </c>
      <c r="AC99" s="21"/>
      <c r="AD99" s="21" t="str">
        <f t="shared" si="68"/>
        <v>-</v>
      </c>
      <c r="AE99" s="21" t="str">
        <f t="shared" si="69"/>
        <v>-</v>
      </c>
      <c r="AF99" s="85"/>
      <c r="AG99" s="21" t="str">
        <f t="shared" si="70"/>
        <v>-</v>
      </c>
      <c r="AH99" s="21" t="str">
        <f t="shared" si="71"/>
        <v>-</v>
      </c>
      <c r="AI99" s="89" t="str">
        <f t="shared" si="72"/>
        <v>-</v>
      </c>
      <c r="AJ99" s="92">
        <v>1</v>
      </c>
      <c r="AK99" s="80" t="str">
        <f t="shared" si="73"/>
        <v>-</v>
      </c>
      <c r="AL99" s="80"/>
      <c r="AM99" s="120">
        <v>42635</v>
      </c>
      <c r="AN99" s="126" t="s">
        <v>1900</v>
      </c>
      <c r="BC99" s="284">
        <v>42635</v>
      </c>
      <c r="BD99" s="288" t="s">
        <v>1900</v>
      </c>
    </row>
    <row r="100" spans="1:56" s="2" customFormat="1" ht="15.95" customHeight="1" x14ac:dyDescent="0.25">
      <c r="A100" s="86">
        <v>98</v>
      </c>
      <c r="B100" s="84">
        <f t="shared" si="56"/>
        <v>42639</v>
      </c>
      <c r="C100" s="29" t="s">
        <v>615</v>
      </c>
      <c r="D100" s="59" t="s">
        <v>1633</v>
      </c>
      <c r="E100" s="22" t="s">
        <v>1277</v>
      </c>
      <c r="F100" s="27" t="s">
        <v>1150</v>
      </c>
      <c r="G100" s="27"/>
      <c r="H100" s="28" t="s">
        <v>603</v>
      </c>
      <c r="I100" s="20">
        <v>41695</v>
      </c>
      <c r="J100" s="35">
        <f t="shared" si="74"/>
        <v>2.5863013698630137</v>
      </c>
      <c r="M100" s="60">
        <v>42578</v>
      </c>
      <c r="N100" s="32">
        <v>42578</v>
      </c>
      <c r="O100" s="82">
        <f t="shared" si="61"/>
        <v>61</v>
      </c>
      <c r="P100" s="19">
        <v>1</v>
      </c>
      <c r="Q100" s="68"/>
      <c r="R100" s="118"/>
      <c r="S100" s="21"/>
      <c r="T100" s="20"/>
      <c r="U100" s="20" t="str">
        <f t="shared" si="62"/>
        <v>-</v>
      </c>
      <c r="V100" s="19" t="str">
        <f t="shared" si="63"/>
        <v>-</v>
      </c>
      <c r="W100" s="3">
        <v>0</v>
      </c>
      <c r="X100" s="22" t="str">
        <f t="shared" si="64"/>
        <v>-</v>
      </c>
      <c r="Y100" s="22">
        <v>0</v>
      </c>
      <c r="Z100" s="22" t="str">
        <f t="shared" si="65"/>
        <v>-</v>
      </c>
      <c r="AA100" s="20" t="str">
        <f t="shared" si="66"/>
        <v>-</v>
      </c>
      <c r="AB100" s="94" t="str">
        <f t="shared" si="67"/>
        <v>---------</v>
      </c>
      <c r="AC100" s="21"/>
      <c r="AD100" s="21" t="str">
        <f t="shared" si="68"/>
        <v>-</v>
      </c>
      <c r="AE100" s="21" t="str">
        <f t="shared" si="69"/>
        <v>-</v>
      </c>
      <c r="AF100" s="85"/>
      <c r="AG100" s="21" t="str">
        <f t="shared" si="70"/>
        <v>-</v>
      </c>
      <c r="AH100" s="21" t="str">
        <f t="shared" si="71"/>
        <v>-</v>
      </c>
      <c r="AI100" s="89" t="str">
        <f t="shared" si="72"/>
        <v>-</v>
      </c>
      <c r="AJ100" s="92">
        <v>1</v>
      </c>
      <c r="AK100" s="80" t="str">
        <f t="shared" si="73"/>
        <v>-</v>
      </c>
      <c r="AL100" s="80"/>
      <c r="AM100" s="120">
        <v>42639</v>
      </c>
      <c r="AN100" s="126" t="s">
        <v>1903</v>
      </c>
      <c r="BC100" s="284">
        <v>42639</v>
      </c>
      <c r="BD100" s="288" t="s">
        <v>1903</v>
      </c>
    </row>
    <row r="101" spans="1:56" s="2" customFormat="1" ht="15.95" customHeight="1" x14ac:dyDescent="0.25">
      <c r="A101" s="86">
        <v>99</v>
      </c>
      <c r="B101" s="84">
        <f t="shared" si="56"/>
        <v>42639</v>
      </c>
      <c r="C101" s="29" t="s">
        <v>615</v>
      </c>
      <c r="D101" s="59" t="s">
        <v>1633</v>
      </c>
      <c r="E101" s="22" t="s">
        <v>146</v>
      </c>
      <c r="F101" s="27" t="s">
        <v>147</v>
      </c>
      <c r="G101" s="27"/>
      <c r="H101" s="28" t="s">
        <v>87</v>
      </c>
      <c r="I101" s="20">
        <v>40672</v>
      </c>
      <c r="J101" s="35">
        <f t="shared" si="74"/>
        <v>5.3890410958904109</v>
      </c>
      <c r="M101" s="60">
        <v>41593</v>
      </c>
      <c r="N101" s="32">
        <v>42567</v>
      </c>
      <c r="O101" s="82">
        <f t="shared" si="61"/>
        <v>72</v>
      </c>
      <c r="P101" s="19">
        <v>3</v>
      </c>
      <c r="Q101" s="68"/>
      <c r="R101" s="118"/>
      <c r="S101" s="21"/>
      <c r="T101" s="20"/>
      <c r="U101" s="20" t="str">
        <f t="shared" si="62"/>
        <v>-</v>
      </c>
      <c r="V101" s="19" t="str">
        <f t="shared" si="63"/>
        <v>-</v>
      </c>
      <c r="W101" s="3">
        <v>0</v>
      </c>
      <c r="X101" s="22" t="str">
        <f t="shared" si="64"/>
        <v>-</v>
      </c>
      <c r="Y101" s="22">
        <v>0</v>
      </c>
      <c r="Z101" s="22" t="str">
        <f t="shared" si="65"/>
        <v>-</v>
      </c>
      <c r="AA101" s="20" t="str">
        <f t="shared" si="66"/>
        <v>-</v>
      </c>
      <c r="AB101" s="94" t="str">
        <f t="shared" si="67"/>
        <v>---------</v>
      </c>
      <c r="AC101" s="21"/>
      <c r="AD101" s="21" t="str">
        <f t="shared" si="68"/>
        <v>-</v>
      </c>
      <c r="AE101" s="21" t="str">
        <f t="shared" si="69"/>
        <v>-</v>
      </c>
      <c r="AF101" s="85"/>
      <c r="AG101" s="21" t="str">
        <f t="shared" si="70"/>
        <v>-</v>
      </c>
      <c r="AH101" s="21" t="str">
        <f t="shared" si="71"/>
        <v>-</v>
      </c>
      <c r="AI101" s="89" t="str">
        <f t="shared" si="72"/>
        <v>-</v>
      </c>
      <c r="AJ101" s="92">
        <v>1</v>
      </c>
      <c r="AK101" s="80" t="str">
        <f t="shared" si="73"/>
        <v>-</v>
      </c>
      <c r="AL101" s="80"/>
      <c r="AM101" s="120">
        <v>42639</v>
      </c>
      <c r="AN101" s="126" t="s">
        <v>1902</v>
      </c>
      <c r="BC101" s="284">
        <v>42639</v>
      </c>
      <c r="BD101" s="288" t="s">
        <v>1902</v>
      </c>
    </row>
    <row r="102" spans="1:56" s="2" customFormat="1" ht="15.95" customHeight="1" x14ac:dyDescent="0.25">
      <c r="A102" s="86">
        <v>100</v>
      </c>
      <c r="B102" s="84">
        <f t="shared" si="56"/>
        <v>42639</v>
      </c>
      <c r="C102" s="29"/>
      <c r="D102" s="59" t="s">
        <v>1502</v>
      </c>
      <c r="E102" s="22" t="s">
        <v>390</v>
      </c>
      <c r="F102" s="27" t="s">
        <v>391</v>
      </c>
      <c r="G102" s="27"/>
      <c r="H102" s="28" t="s">
        <v>603</v>
      </c>
      <c r="I102" s="20">
        <v>39957</v>
      </c>
      <c r="J102" s="35"/>
      <c r="M102" s="60"/>
      <c r="N102" s="32">
        <v>42539</v>
      </c>
      <c r="O102" s="82">
        <v>107</v>
      </c>
      <c r="P102" s="19">
        <v>4</v>
      </c>
      <c r="Q102" s="68"/>
      <c r="R102" s="118"/>
      <c r="S102" s="21"/>
      <c r="T102" s="20">
        <v>42590</v>
      </c>
      <c r="U102" s="20"/>
      <c r="V102" s="19"/>
      <c r="W102" s="3">
        <v>1</v>
      </c>
      <c r="X102" s="22">
        <f t="shared" si="64"/>
        <v>51</v>
      </c>
      <c r="Y102" s="22">
        <v>2</v>
      </c>
      <c r="Z102" s="22"/>
      <c r="AA102" s="20"/>
      <c r="AB102" s="94"/>
      <c r="AC102" s="21"/>
      <c r="AD102" s="21"/>
      <c r="AE102" s="21"/>
      <c r="AF102" s="85"/>
      <c r="AG102" s="21"/>
      <c r="AH102" s="21"/>
      <c r="AI102" s="89"/>
      <c r="AJ102" s="92"/>
      <c r="AK102" s="80"/>
      <c r="AL102" s="80"/>
      <c r="AM102" s="120">
        <v>42639</v>
      </c>
      <c r="AN102" s="126" t="s">
        <v>1901</v>
      </c>
      <c r="BC102" s="284">
        <v>42639</v>
      </c>
      <c r="BD102" s="288" t="s">
        <v>1901</v>
      </c>
    </row>
    <row r="103" spans="1:56" s="2" customFormat="1" ht="15.95" customHeight="1" x14ac:dyDescent="0.25">
      <c r="A103" s="86">
        <v>101</v>
      </c>
      <c r="B103" s="84">
        <f t="shared" si="56"/>
        <v>42007</v>
      </c>
      <c r="C103" s="29"/>
      <c r="D103" s="59" t="s">
        <v>1914</v>
      </c>
      <c r="E103" s="22" t="s">
        <v>1915</v>
      </c>
      <c r="F103" s="27" t="s">
        <v>1916</v>
      </c>
      <c r="G103" s="27"/>
      <c r="H103" s="28" t="s">
        <v>1958</v>
      </c>
      <c r="I103" s="20">
        <v>38481</v>
      </c>
      <c r="J103" s="35"/>
      <c r="M103" s="60"/>
      <c r="N103" s="32">
        <v>42099</v>
      </c>
      <c r="O103" s="82"/>
      <c r="P103" s="19">
        <v>8</v>
      </c>
      <c r="Q103" s="68"/>
      <c r="R103" s="118"/>
      <c r="S103" s="21"/>
      <c r="T103" s="20"/>
      <c r="U103" s="20"/>
      <c r="V103" s="19"/>
      <c r="W103" s="3"/>
      <c r="X103" s="22"/>
      <c r="Y103" s="22"/>
      <c r="Z103" s="22"/>
      <c r="AA103" s="20"/>
      <c r="AB103" s="94"/>
      <c r="AC103" s="21"/>
      <c r="AD103" s="21"/>
      <c r="AE103" s="21"/>
      <c r="AF103" s="85"/>
      <c r="AG103" s="21"/>
      <c r="AH103" s="21"/>
      <c r="AI103" s="89"/>
      <c r="AJ103" s="92"/>
      <c r="AK103" s="80"/>
      <c r="AL103" s="80"/>
      <c r="AM103" s="120">
        <v>42007</v>
      </c>
      <c r="AN103" s="126" t="s">
        <v>1917</v>
      </c>
      <c r="BC103" s="284">
        <v>42007</v>
      </c>
      <c r="BD103" s="288" t="s">
        <v>1917</v>
      </c>
    </row>
    <row r="104" spans="1:56" s="2" customFormat="1" ht="15.95" customHeight="1" x14ac:dyDescent="0.25">
      <c r="A104" s="86">
        <v>102</v>
      </c>
      <c r="B104" s="84">
        <f t="shared" si="56"/>
        <v>42372</v>
      </c>
      <c r="C104" s="29"/>
      <c r="D104" s="59" t="s">
        <v>1914</v>
      </c>
      <c r="E104" s="22" t="s">
        <v>1918</v>
      </c>
      <c r="F104" s="27" t="s">
        <v>1919</v>
      </c>
      <c r="G104" s="27"/>
      <c r="H104" s="28" t="s">
        <v>603</v>
      </c>
      <c r="I104" s="20">
        <v>40121</v>
      </c>
      <c r="J104" s="35"/>
      <c r="M104" s="60"/>
      <c r="N104" s="32">
        <v>42116</v>
      </c>
      <c r="O104" s="82"/>
      <c r="P104" s="19">
        <v>2</v>
      </c>
      <c r="Q104" s="68"/>
      <c r="R104" s="118"/>
      <c r="S104" s="21"/>
      <c r="T104" s="20"/>
      <c r="U104" s="20"/>
      <c r="V104" s="19"/>
      <c r="W104" s="3"/>
      <c r="X104" s="22"/>
      <c r="Y104" s="22"/>
      <c r="Z104" s="22" t="s">
        <v>1445</v>
      </c>
      <c r="AA104" s="20"/>
      <c r="AB104" s="94"/>
      <c r="AC104" s="21"/>
      <c r="AD104" s="21"/>
      <c r="AE104" s="21"/>
      <c r="AF104" s="85"/>
      <c r="AG104" s="21"/>
      <c r="AH104" s="21"/>
      <c r="AI104" s="89"/>
      <c r="AJ104" s="92"/>
      <c r="AK104" s="80"/>
      <c r="AL104" s="80"/>
      <c r="AM104" s="120">
        <v>42372</v>
      </c>
      <c r="AN104" s="126" t="s">
        <v>1961</v>
      </c>
      <c r="BC104" s="284">
        <v>42372</v>
      </c>
      <c r="BD104" s="288" t="s">
        <v>1961</v>
      </c>
    </row>
    <row r="105" spans="1:56" s="2" customFormat="1" ht="15.95" customHeight="1" x14ac:dyDescent="0.25">
      <c r="A105" s="86">
        <v>103</v>
      </c>
      <c r="B105" s="84">
        <f t="shared" si="56"/>
        <v>42372</v>
      </c>
      <c r="C105" s="29"/>
      <c r="D105" s="59" t="s">
        <v>907</v>
      </c>
      <c r="E105" s="22" t="s">
        <v>1920</v>
      </c>
      <c r="F105" s="27" t="s">
        <v>1921</v>
      </c>
      <c r="G105" s="27"/>
      <c r="H105" s="28" t="s">
        <v>603</v>
      </c>
      <c r="I105" s="20">
        <v>39865</v>
      </c>
      <c r="J105" s="35"/>
      <c r="M105" s="60"/>
      <c r="N105" s="32">
        <v>41838</v>
      </c>
      <c r="O105" s="82"/>
      <c r="P105" s="19">
        <v>3</v>
      </c>
      <c r="Q105" s="68"/>
      <c r="R105" s="118"/>
      <c r="S105" s="21"/>
      <c r="T105" s="20"/>
      <c r="U105" s="20"/>
      <c r="V105" s="19"/>
      <c r="W105" s="3"/>
      <c r="X105" s="22"/>
      <c r="Y105" s="22"/>
      <c r="Z105" s="22" t="s">
        <v>1445</v>
      </c>
      <c r="AA105" s="20"/>
      <c r="AB105" s="94"/>
      <c r="AC105" s="21"/>
      <c r="AD105" s="21"/>
      <c r="AE105" s="21"/>
      <c r="AF105" s="85"/>
      <c r="AG105" s="21"/>
      <c r="AH105" s="21"/>
      <c r="AI105" s="89"/>
      <c r="AJ105" s="92"/>
      <c r="AK105" s="80"/>
      <c r="AL105" s="80"/>
      <c r="AM105" s="120">
        <v>42372</v>
      </c>
      <c r="AN105" s="126" t="s">
        <v>1922</v>
      </c>
      <c r="BC105" s="284">
        <v>42372</v>
      </c>
      <c r="BD105" s="288" t="s">
        <v>1922</v>
      </c>
    </row>
    <row r="106" spans="1:56" s="2" customFormat="1" ht="15.95" customHeight="1" x14ac:dyDescent="0.25">
      <c r="A106" s="86">
        <v>104</v>
      </c>
      <c r="B106" s="84">
        <f t="shared" si="56"/>
        <v>42380</v>
      </c>
      <c r="C106" s="29"/>
      <c r="D106" s="59" t="s">
        <v>1439</v>
      </c>
      <c r="E106" s="22" t="s">
        <v>1923</v>
      </c>
      <c r="F106" s="27" t="s">
        <v>1924</v>
      </c>
      <c r="G106" s="27"/>
      <c r="H106" s="28" t="s">
        <v>603</v>
      </c>
      <c r="I106" s="20">
        <v>40323</v>
      </c>
      <c r="J106" s="35"/>
      <c r="M106" s="60"/>
      <c r="N106" s="32">
        <v>41969</v>
      </c>
      <c r="O106" s="82"/>
      <c r="P106" s="19">
        <v>3</v>
      </c>
      <c r="Q106" s="68"/>
      <c r="R106" s="118"/>
      <c r="S106" s="21"/>
      <c r="T106" s="20"/>
      <c r="U106" s="20"/>
      <c r="V106" s="19"/>
      <c r="W106" s="3"/>
      <c r="X106" s="22"/>
      <c r="Y106" s="22"/>
      <c r="Z106" s="22" t="s">
        <v>1445</v>
      </c>
      <c r="AA106" s="20"/>
      <c r="AB106" s="94"/>
      <c r="AC106" s="21"/>
      <c r="AD106" s="21"/>
      <c r="AE106" s="21"/>
      <c r="AF106" s="85"/>
      <c r="AG106" s="21"/>
      <c r="AH106" s="21"/>
      <c r="AI106" s="89"/>
      <c r="AJ106" s="92"/>
      <c r="AK106" s="80"/>
      <c r="AL106" s="80"/>
      <c r="AM106" s="120">
        <v>42380</v>
      </c>
      <c r="AN106" s="126" t="s">
        <v>1984</v>
      </c>
      <c r="BC106" s="284">
        <v>42380</v>
      </c>
      <c r="BD106" s="288" t="s">
        <v>1984</v>
      </c>
    </row>
    <row r="107" spans="1:56" s="2" customFormat="1" ht="15.95" customHeight="1" x14ac:dyDescent="0.25">
      <c r="A107" s="86">
        <v>105</v>
      </c>
      <c r="B107" s="84">
        <f t="shared" si="56"/>
        <v>42380</v>
      </c>
      <c r="C107" s="29"/>
      <c r="D107" s="59" t="s">
        <v>908</v>
      </c>
      <c r="E107" s="22" t="s">
        <v>338</v>
      </c>
      <c r="F107" s="27" t="s">
        <v>1925</v>
      </c>
      <c r="G107" s="27"/>
      <c r="H107" s="28" t="s">
        <v>87</v>
      </c>
      <c r="I107" s="20">
        <v>40652</v>
      </c>
      <c r="J107" s="35"/>
      <c r="M107" s="60"/>
      <c r="N107" s="32">
        <v>42014</v>
      </c>
      <c r="O107" s="82"/>
      <c r="P107" s="19">
        <v>2</v>
      </c>
      <c r="Q107" s="68"/>
      <c r="R107" s="118"/>
      <c r="S107" s="21"/>
      <c r="T107" s="20"/>
      <c r="U107" s="20"/>
      <c r="V107" s="19"/>
      <c r="W107" s="3"/>
      <c r="X107" s="22"/>
      <c r="Y107" s="22"/>
      <c r="Z107" s="22" t="s">
        <v>1926</v>
      </c>
      <c r="AA107" s="20"/>
      <c r="AB107" s="94"/>
      <c r="AC107" s="21"/>
      <c r="AD107" s="21"/>
      <c r="AE107" s="21"/>
      <c r="AF107" s="85"/>
      <c r="AG107" s="21"/>
      <c r="AH107" s="21"/>
      <c r="AI107" s="89"/>
      <c r="AJ107" s="92"/>
      <c r="AK107" s="80"/>
      <c r="AL107" s="80"/>
      <c r="AM107" s="120">
        <v>42380</v>
      </c>
      <c r="AN107" s="126" t="s">
        <v>1927</v>
      </c>
      <c r="BC107" s="284">
        <v>42380</v>
      </c>
      <c r="BD107" s="288" t="s">
        <v>1927</v>
      </c>
    </row>
    <row r="108" spans="1:56" s="2" customFormat="1" ht="15.95" customHeight="1" x14ac:dyDescent="0.25">
      <c r="A108" s="86">
        <v>106</v>
      </c>
      <c r="B108" s="84">
        <f t="shared" si="56"/>
        <v>42393</v>
      </c>
      <c r="C108" s="29"/>
      <c r="D108" s="59" t="s">
        <v>907</v>
      </c>
      <c r="E108" s="22" t="s">
        <v>745</v>
      </c>
      <c r="F108" s="27" t="s">
        <v>1928</v>
      </c>
      <c r="G108" s="27"/>
      <c r="H108" s="28" t="s">
        <v>78</v>
      </c>
      <c r="I108" s="20">
        <v>40189</v>
      </c>
      <c r="J108" s="35"/>
      <c r="M108" s="60"/>
      <c r="N108" s="32">
        <v>42089</v>
      </c>
      <c r="O108" s="82"/>
      <c r="P108" s="19">
        <v>3</v>
      </c>
      <c r="Q108" s="68"/>
      <c r="R108" s="118"/>
      <c r="S108" s="21"/>
      <c r="T108" s="20"/>
      <c r="U108" s="20"/>
      <c r="V108" s="19"/>
      <c r="W108" s="3"/>
      <c r="X108" s="22"/>
      <c r="Y108" s="22"/>
      <c r="Z108" s="22"/>
      <c r="AA108" s="20"/>
      <c r="AB108" s="94"/>
      <c r="AC108" s="21"/>
      <c r="AD108" s="21"/>
      <c r="AE108" s="21"/>
      <c r="AF108" s="85"/>
      <c r="AG108" s="21"/>
      <c r="AH108" s="21"/>
      <c r="AI108" s="89"/>
      <c r="AJ108" s="92"/>
      <c r="AK108" s="80"/>
      <c r="AL108" s="80"/>
      <c r="AM108" s="120">
        <v>42393</v>
      </c>
      <c r="AN108" s="126" t="s">
        <v>1558</v>
      </c>
      <c r="BC108" s="284">
        <v>42393</v>
      </c>
      <c r="BD108" s="288" t="s">
        <v>1558</v>
      </c>
    </row>
    <row r="109" spans="1:56" s="2" customFormat="1" ht="15.95" customHeight="1" x14ac:dyDescent="0.25">
      <c r="A109" s="86">
        <v>107</v>
      </c>
      <c r="B109" s="84">
        <f t="shared" si="56"/>
        <v>42393</v>
      </c>
      <c r="C109" s="29"/>
      <c r="D109" s="59" t="s">
        <v>909</v>
      </c>
      <c r="E109" s="22" t="s">
        <v>1929</v>
      </c>
      <c r="F109" s="27" t="s">
        <v>1930</v>
      </c>
      <c r="G109" s="27"/>
      <c r="H109" s="28" t="s">
        <v>603</v>
      </c>
      <c r="I109" s="20">
        <v>41654</v>
      </c>
      <c r="J109" s="35"/>
      <c r="M109" s="60"/>
      <c r="N109" s="32">
        <v>42032</v>
      </c>
      <c r="O109" s="82"/>
      <c r="P109" s="19">
        <v>1</v>
      </c>
      <c r="Q109" s="68"/>
      <c r="R109" s="118"/>
      <c r="S109" s="21"/>
      <c r="T109" s="20"/>
      <c r="U109" s="20"/>
      <c r="V109" s="19"/>
      <c r="W109" s="3"/>
      <c r="X109" s="22"/>
      <c r="Y109" s="22"/>
      <c r="Z109" s="22"/>
      <c r="AA109" s="20"/>
      <c r="AB109" s="94"/>
      <c r="AC109" s="21"/>
      <c r="AD109" s="21"/>
      <c r="AE109" s="21"/>
      <c r="AF109" s="85"/>
      <c r="AG109" s="21"/>
      <c r="AH109" s="21"/>
      <c r="AI109" s="89"/>
      <c r="AJ109" s="92"/>
      <c r="AK109" s="80"/>
      <c r="AL109" s="80"/>
      <c r="AM109" s="120">
        <v>42393</v>
      </c>
      <c r="AN109" s="126" t="s">
        <v>1931</v>
      </c>
      <c r="BC109" s="284">
        <v>42393</v>
      </c>
      <c r="BD109" s="288" t="s">
        <v>1931</v>
      </c>
    </row>
    <row r="110" spans="1:56" s="2" customFormat="1" ht="15.95" customHeight="1" x14ac:dyDescent="0.25">
      <c r="A110" s="86">
        <v>108</v>
      </c>
      <c r="B110" s="84">
        <f t="shared" si="56"/>
        <v>42393</v>
      </c>
      <c r="C110" s="29"/>
      <c r="D110" s="59" t="s">
        <v>903</v>
      </c>
      <c r="E110" s="22" t="s">
        <v>266</v>
      </c>
      <c r="F110" s="27" t="s">
        <v>1932</v>
      </c>
      <c r="G110" s="27"/>
      <c r="H110" s="28" t="s">
        <v>603</v>
      </c>
      <c r="I110" s="20">
        <v>40965</v>
      </c>
      <c r="J110" s="35"/>
      <c r="M110" s="60"/>
      <c r="N110" s="32">
        <v>41733</v>
      </c>
      <c r="O110" s="82"/>
      <c r="P110" s="19">
        <v>2</v>
      </c>
      <c r="Q110" s="68"/>
      <c r="R110" s="118"/>
      <c r="S110" s="21"/>
      <c r="T110" s="20"/>
      <c r="U110" s="20"/>
      <c r="V110" s="19"/>
      <c r="W110" s="3"/>
      <c r="X110" s="22"/>
      <c r="Y110" s="22"/>
      <c r="Z110" s="22"/>
      <c r="AA110" s="20"/>
      <c r="AB110" s="94"/>
      <c r="AC110" s="21"/>
      <c r="AD110" s="21"/>
      <c r="AE110" s="21"/>
      <c r="AF110" s="85"/>
      <c r="AG110" s="21"/>
      <c r="AH110" s="21"/>
      <c r="AI110" s="89"/>
      <c r="AJ110" s="92"/>
      <c r="AK110" s="80"/>
      <c r="AL110" s="80"/>
      <c r="AM110" s="120">
        <v>42393</v>
      </c>
      <c r="AN110" s="126" t="s">
        <v>1931</v>
      </c>
      <c r="BC110" s="284">
        <v>42393</v>
      </c>
      <c r="BD110" s="288" t="s">
        <v>1931</v>
      </c>
    </row>
    <row r="111" spans="1:56" s="2" customFormat="1" ht="15.95" customHeight="1" x14ac:dyDescent="0.25">
      <c r="A111" s="86">
        <v>109</v>
      </c>
      <c r="B111" s="84">
        <f t="shared" si="56"/>
        <v>42380</v>
      </c>
      <c r="C111" s="29"/>
      <c r="D111" s="59" t="s">
        <v>1456</v>
      </c>
      <c r="E111" s="22" t="s">
        <v>1933</v>
      </c>
      <c r="F111" s="27" t="s">
        <v>1934</v>
      </c>
      <c r="G111" s="27"/>
      <c r="H111" s="28" t="s">
        <v>603</v>
      </c>
      <c r="I111" s="20">
        <v>41654</v>
      </c>
      <c r="J111" s="35"/>
      <c r="K111" s="364"/>
      <c r="L111" s="364"/>
      <c r="M111" s="60"/>
      <c r="N111" s="32">
        <v>42377</v>
      </c>
      <c r="O111" s="82"/>
      <c r="P111" s="19">
        <v>1</v>
      </c>
      <c r="Q111" s="68"/>
      <c r="R111" s="118"/>
      <c r="S111" s="21"/>
      <c r="T111" s="20"/>
      <c r="U111" s="20"/>
      <c r="V111" s="19"/>
      <c r="W111" s="3"/>
      <c r="X111" s="22"/>
      <c r="Y111" s="22"/>
      <c r="Z111" s="22" t="s">
        <v>1935</v>
      </c>
      <c r="AA111" s="20"/>
      <c r="AB111" s="94"/>
      <c r="AC111" s="21"/>
      <c r="AD111" s="21"/>
      <c r="AE111" s="21"/>
      <c r="AF111" s="85"/>
      <c r="AG111" s="21"/>
      <c r="AH111" s="21"/>
      <c r="AI111" s="89"/>
      <c r="AJ111" s="92"/>
      <c r="AK111" s="80"/>
      <c r="AL111" s="80"/>
      <c r="AM111" s="120">
        <v>42380</v>
      </c>
      <c r="AN111" s="126" t="s">
        <v>1936</v>
      </c>
      <c r="BC111" s="284">
        <v>42380</v>
      </c>
      <c r="BD111" s="288" t="s">
        <v>1936</v>
      </c>
    </row>
    <row r="112" spans="1:56" s="2" customFormat="1" ht="15.95" customHeight="1" x14ac:dyDescent="0.25">
      <c r="A112" s="86">
        <v>110</v>
      </c>
      <c r="B112" s="84">
        <f t="shared" si="56"/>
        <v>42404</v>
      </c>
      <c r="C112" s="29"/>
      <c r="D112" s="59" t="s">
        <v>908</v>
      </c>
      <c r="E112" s="22" t="s">
        <v>1937</v>
      </c>
      <c r="F112" s="27" t="s">
        <v>1938</v>
      </c>
      <c r="G112" s="27"/>
      <c r="H112" s="28" t="s">
        <v>87</v>
      </c>
      <c r="I112" s="20">
        <v>40672</v>
      </c>
      <c r="J112" s="35"/>
      <c r="M112" s="60"/>
      <c r="N112" s="32">
        <v>41976</v>
      </c>
      <c r="O112" s="82"/>
      <c r="P112" s="19">
        <v>2</v>
      </c>
      <c r="Q112" s="68"/>
      <c r="R112" s="118"/>
      <c r="S112" s="21"/>
      <c r="T112" s="20"/>
      <c r="U112" s="20"/>
      <c r="V112" s="19"/>
      <c r="W112" s="3"/>
      <c r="X112" s="22"/>
      <c r="Y112" s="22"/>
      <c r="Z112" s="22"/>
      <c r="AA112" s="20"/>
      <c r="AB112" s="94"/>
      <c r="AC112" s="21"/>
      <c r="AD112" s="21"/>
      <c r="AE112" s="21"/>
      <c r="AF112" s="85"/>
      <c r="AG112" s="21"/>
      <c r="AH112" s="21"/>
      <c r="AI112" s="89"/>
      <c r="AJ112" s="92"/>
      <c r="AK112" s="80"/>
      <c r="AL112" s="80"/>
      <c r="AM112" s="120">
        <v>42404</v>
      </c>
      <c r="AN112" s="126" t="s">
        <v>1985</v>
      </c>
      <c r="BC112" s="284">
        <v>42404</v>
      </c>
      <c r="BD112" s="288" t="s">
        <v>1985</v>
      </c>
    </row>
    <row r="113" spans="1:56" s="2" customFormat="1" ht="15.95" customHeight="1" x14ac:dyDescent="0.25">
      <c r="A113" s="86">
        <v>111</v>
      </c>
      <c r="B113" s="84">
        <f t="shared" si="56"/>
        <v>42404</v>
      </c>
      <c r="C113" s="29"/>
      <c r="D113" s="59" t="s">
        <v>1439</v>
      </c>
      <c r="E113" s="22" t="s">
        <v>1940</v>
      </c>
      <c r="F113" s="27" t="s">
        <v>1939</v>
      </c>
      <c r="G113" s="27"/>
      <c r="H113" s="28" t="s">
        <v>603</v>
      </c>
      <c r="I113" s="20">
        <v>40583</v>
      </c>
      <c r="J113" s="35"/>
      <c r="K113" s="364"/>
      <c r="L113" s="364"/>
      <c r="M113" s="60"/>
      <c r="N113" s="32">
        <v>41541</v>
      </c>
      <c r="O113" s="82"/>
      <c r="P113" s="19">
        <v>2</v>
      </c>
      <c r="Q113" s="68"/>
      <c r="R113" s="118"/>
      <c r="S113" s="21"/>
      <c r="T113" s="20"/>
      <c r="U113" s="20"/>
      <c r="V113" s="19"/>
      <c r="W113" s="3"/>
      <c r="X113" s="22"/>
      <c r="Y113" s="22"/>
      <c r="Z113" s="22"/>
      <c r="AA113" s="20"/>
      <c r="AB113" s="94"/>
      <c r="AC113" s="21"/>
      <c r="AD113" s="21"/>
      <c r="AE113" s="21"/>
      <c r="AF113" s="85"/>
      <c r="AG113" s="21"/>
      <c r="AH113" s="21"/>
      <c r="AI113" s="89"/>
      <c r="AJ113" s="92"/>
      <c r="AK113" s="80"/>
      <c r="AL113" s="80"/>
      <c r="AM113" s="120">
        <v>42404</v>
      </c>
      <c r="AN113" s="126" t="s">
        <v>1986</v>
      </c>
      <c r="BC113" s="284">
        <v>42404</v>
      </c>
      <c r="BD113" s="288" t="s">
        <v>1986</v>
      </c>
    </row>
    <row r="114" spans="1:56" s="2" customFormat="1" ht="15.95" customHeight="1" x14ac:dyDescent="0.25">
      <c r="A114" s="86">
        <v>112</v>
      </c>
      <c r="B114" s="84">
        <f t="shared" si="56"/>
        <v>42405</v>
      </c>
      <c r="C114" s="29"/>
      <c r="D114" s="59" t="s">
        <v>908</v>
      </c>
      <c r="E114" s="22" t="s">
        <v>1941</v>
      </c>
      <c r="F114" s="27" t="s">
        <v>1942</v>
      </c>
      <c r="G114" s="27"/>
      <c r="H114" s="28" t="s">
        <v>87</v>
      </c>
      <c r="I114" s="20" t="s">
        <v>1959</v>
      </c>
      <c r="J114" s="35"/>
      <c r="K114" s="364"/>
      <c r="L114" s="364"/>
      <c r="M114" s="60"/>
      <c r="N114" s="32">
        <v>42031</v>
      </c>
      <c r="O114" s="82"/>
      <c r="P114" s="19">
        <v>2</v>
      </c>
      <c r="Q114" s="68"/>
      <c r="R114" s="118"/>
      <c r="S114" s="21"/>
      <c r="T114" s="20"/>
      <c r="U114" s="20"/>
      <c r="V114" s="19"/>
      <c r="W114" s="3"/>
      <c r="X114" s="22"/>
      <c r="Y114" s="22"/>
      <c r="Z114" s="22"/>
      <c r="AA114" s="20"/>
      <c r="AB114" s="94"/>
      <c r="AC114" s="21"/>
      <c r="AD114" s="21"/>
      <c r="AE114" s="21"/>
      <c r="AF114" s="85"/>
      <c r="AG114" s="21"/>
      <c r="AH114" s="21"/>
      <c r="AI114" s="89"/>
      <c r="AJ114" s="92"/>
      <c r="AK114" s="80"/>
      <c r="AL114" s="80"/>
      <c r="AM114" s="120">
        <v>42405</v>
      </c>
      <c r="AN114" s="126" t="s">
        <v>1987</v>
      </c>
      <c r="BC114" s="284">
        <v>42405</v>
      </c>
      <c r="BD114" s="288" t="s">
        <v>1987</v>
      </c>
    </row>
    <row r="115" spans="1:56" s="2" customFormat="1" ht="15.95" customHeight="1" x14ac:dyDescent="0.25">
      <c r="A115" s="86">
        <v>113</v>
      </c>
      <c r="B115" s="84">
        <f t="shared" si="56"/>
        <v>42407</v>
      </c>
      <c r="C115" s="29"/>
      <c r="D115" s="59" t="s">
        <v>798</v>
      </c>
      <c r="E115" s="22" t="s">
        <v>1943</v>
      </c>
      <c r="F115" s="27" t="s">
        <v>1944</v>
      </c>
      <c r="G115" s="27"/>
      <c r="H115" s="28" t="s">
        <v>78</v>
      </c>
      <c r="I115" s="20">
        <v>41323</v>
      </c>
      <c r="J115" s="35"/>
      <c r="M115" s="60"/>
      <c r="N115" s="32">
        <v>42164</v>
      </c>
      <c r="O115" s="82"/>
      <c r="P115" s="19">
        <v>1</v>
      </c>
      <c r="Q115" s="68"/>
      <c r="R115" s="118"/>
      <c r="S115" s="21"/>
      <c r="T115" s="20"/>
      <c r="U115" s="20"/>
      <c r="V115" s="19"/>
      <c r="W115" s="3"/>
      <c r="X115" s="22"/>
      <c r="Y115" s="22"/>
      <c r="Z115" s="22"/>
      <c r="AA115" s="20"/>
      <c r="AB115" s="94"/>
      <c r="AC115" s="21"/>
      <c r="AD115" s="21"/>
      <c r="AE115" s="21"/>
      <c r="AF115" s="85"/>
      <c r="AG115" s="21"/>
      <c r="AH115" s="21"/>
      <c r="AI115" s="89"/>
      <c r="AJ115" s="92"/>
      <c r="AK115" s="80"/>
      <c r="AL115" s="80"/>
      <c r="AM115" s="120">
        <v>42407</v>
      </c>
      <c r="AN115" s="126" t="s">
        <v>1963</v>
      </c>
      <c r="BC115" s="284">
        <v>42407</v>
      </c>
      <c r="BD115" s="288" t="s">
        <v>1963</v>
      </c>
    </row>
    <row r="116" spans="1:56" s="2" customFormat="1" ht="15.95" customHeight="1" x14ac:dyDescent="0.25">
      <c r="A116" s="86">
        <v>114</v>
      </c>
      <c r="B116" s="84">
        <f t="shared" si="56"/>
        <v>42410</v>
      </c>
      <c r="C116" s="29"/>
      <c r="D116" s="59" t="s">
        <v>907</v>
      </c>
      <c r="E116" s="22" t="s">
        <v>439</v>
      </c>
      <c r="F116" s="27" t="s">
        <v>1945</v>
      </c>
      <c r="G116" s="27"/>
      <c r="H116" s="28" t="s">
        <v>78</v>
      </c>
      <c r="I116" s="20">
        <v>40269</v>
      </c>
      <c r="J116" s="35"/>
      <c r="M116" s="60"/>
      <c r="N116" s="32">
        <v>42111</v>
      </c>
      <c r="O116" s="82"/>
      <c r="P116" s="19">
        <v>4</v>
      </c>
      <c r="Q116" s="68"/>
      <c r="R116" s="118"/>
      <c r="S116" s="21"/>
      <c r="T116" s="20"/>
      <c r="U116" s="20"/>
      <c r="V116" s="19"/>
      <c r="W116" s="3"/>
      <c r="X116" s="22"/>
      <c r="Y116" s="22"/>
      <c r="Z116" s="22"/>
      <c r="AA116" s="20"/>
      <c r="AB116" s="94"/>
      <c r="AC116" s="21"/>
      <c r="AD116" s="21"/>
      <c r="AE116" s="21"/>
      <c r="AF116" s="85"/>
      <c r="AG116" s="21"/>
      <c r="AH116" s="21"/>
      <c r="AI116" s="89"/>
      <c r="AJ116" s="92"/>
      <c r="AK116" s="80"/>
      <c r="AL116" s="80"/>
      <c r="AM116" s="120">
        <v>42410</v>
      </c>
      <c r="AN116" s="126" t="s">
        <v>1988</v>
      </c>
      <c r="BC116" s="284">
        <v>42410</v>
      </c>
      <c r="BD116" s="288" t="s">
        <v>1988</v>
      </c>
    </row>
    <row r="117" spans="1:56" s="2" customFormat="1" ht="15.95" customHeight="1" x14ac:dyDescent="0.25">
      <c r="A117" s="86">
        <v>115</v>
      </c>
      <c r="B117" s="84">
        <f t="shared" si="56"/>
        <v>42418</v>
      </c>
      <c r="C117" s="29"/>
      <c r="D117" s="59" t="s">
        <v>1914</v>
      </c>
      <c r="E117" s="22" t="s">
        <v>1946</v>
      </c>
      <c r="F117" s="27" t="s">
        <v>1947</v>
      </c>
      <c r="G117" s="27"/>
      <c r="H117" s="28"/>
      <c r="I117" s="20"/>
      <c r="J117" s="35"/>
      <c r="M117" s="60"/>
      <c r="N117" s="32">
        <v>42126</v>
      </c>
      <c r="O117" s="82"/>
      <c r="P117" s="19">
        <v>10</v>
      </c>
      <c r="Q117" s="68"/>
      <c r="R117" s="118"/>
      <c r="S117" s="21"/>
      <c r="T117" s="20"/>
      <c r="U117" s="20"/>
      <c r="V117" s="19"/>
      <c r="W117" s="3"/>
      <c r="X117" s="22"/>
      <c r="Y117" s="22"/>
      <c r="Z117" s="22"/>
      <c r="AA117" s="20"/>
      <c r="AB117" s="94"/>
      <c r="AC117" s="21"/>
      <c r="AD117" s="21"/>
      <c r="AE117" s="21"/>
      <c r="AF117" s="85"/>
      <c r="AG117" s="21"/>
      <c r="AH117" s="21"/>
      <c r="AI117" s="89"/>
      <c r="AJ117" s="92"/>
      <c r="AK117" s="80"/>
      <c r="AL117" s="80"/>
      <c r="AM117" s="120">
        <v>42418</v>
      </c>
      <c r="AN117" s="126" t="s">
        <v>1917</v>
      </c>
      <c r="BC117" s="284">
        <v>42418</v>
      </c>
      <c r="BD117" s="288" t="s">
        <v>1917</v>
      </c>
    </row>
    <row r="118" spans="1:56" s="2" customFormat="1" ht="15.95" customHeight="1" x14ac:dyDescent="0.25">
      <c r="A118" s="86">
        <v>116</v>
      </c>
      <c r="B118" s="84">
        <f t="shared" si="56"/>
        <v>42418</v>
      </c>
      <c r="C118" s="29"/>
      <c r="D118" s="59" t="s">
        <v>1914</v>
      </c>
      <c r="E118" s="22" t="s">
        <v>1948</v>
      </c>
      <c r="F118" s="27" t="s">
        <v>1949</v>
      </c>
      <c r="G118" s="27"/>
      <c r="H118" s="28" t="s">
        <v>912</v>
      </c>
      <c r="I118" s="20">
        <v>38305</v>
      </c>
      <c r="J118" s="35"/>
      <c r="M118" s="60"/>
      <c r="N118" s="32">
        <v>41916</v>
      </c>
      <c r="O118" s="82"/>
      <c r="P118" s="19">
        <v>6</v>
      </c>
      <c r="Q118" s="68"/>
      <c r="R118" s="118"/>
      <c r="S118" s="21"/>
      <c r="T118" s="20"/>
      <c r="U118" s="20"/>
      <c r="V118" s="19"/>
      <c r="W118" s="3"/>
      <c r="X118" s="22"/>
      <c r="Y118" s="22"/>
      <c r="Z118" s="22"/>
      <c r="AA118" s="20"/>
      <c r="AB118" s="94"/>
      <c r="AC118" s="21"/>
      <c r="AD118" s="21"/>
      <c r="AE118" s="21"/>
      <c r="AF118" s="85"/>
      <c r="AG118" s="21"/>
      <c r="AH118" s="21"/>
      <c r="AI118" s="89"/>
      <c r="AJ118" s="92"/>
      <c r="AK118" s="80"/>
      <c r="AL118" s="80"/>
      <c r="AM118" s="120">
        <v>42418</v>
      </c>
      <c r="AN118" s="126" t="s">
        <v>1917</v>
      </c>
      <c r="BC118" s="284">
        <v>42418</v>
      </c>
      <c r="BD118" s="288" t="s">
        <v>1917</v>
      </c>
    </row>
    <row r="119" spans="1:56" s="2" customFormat="1" ht="15.95" customHeight="1" x14ac:dyDescent="0.25">
      <c r="A119" s="86">
        <v>117</v>
      </c>
      <c r="B119" s="84">
        <f t="shared" si="56"/>
        <v>42418</v>
      </c>
      <c r="C119" s="29"/>
      <c r="D119" s="59" t="s">
        <v>907</v>
      </c>
      <c r="E119" s="22" t="s">
        <v>202</v>
      </c>
      <c r="F119" s="27" t="s">
        <v>1950</v>
      </c>
      <c r="G119" s="27"/>
      <c r="H119" s="28" t="s">
        <v>603</v>
      </c>
      <c r="I119" s="20">
        <v>40500</v>
      </c>
      <c r="J119" s="35"/>
      <c r="M119" s="60"/>
      <c r="N119" s="32">
        <v>42020</v>
      </c>
      <c r="O119" s="82"/>
      <c r="P119" s="19">
        <v>2</v>
      </c>
      <c r="Q119" s="68"/>
      <c r="R119" s="118"/>
      <c r="S119" s="21"/>
      <c r="T119" s="20"/>
      <c r="U119" s="20"/>
      <c r="V119" s="19"/>
      <c r="W119" s="3"/>
      <c r="X119" s="22"/>
      <c r="Y119" s="22"/>
      <c r="Z119" s="22"/>
      <c r="AA119" s="20"/>
      <c r="AB119" s="94"/>
      <c r="AC119" s="21"/>
      <c r="AD119" s="21"/>
      <c r="AE119" s="21"/>
      <c r="AF119" s="85"/>
      <c r="AG119" s="21"/>
      <c r="AH119" s="21"/>
      <c r="AI119" s="89"/>
      <c r="AJ119" s="92"/>
      <c r="AK119" s="80"/>
      <c r="AL119" s="80"/>
      <c r="AM119" s="120">
        <v>42418</v>
      </c>
      <c r="AN119" s="126" t="s">
        <v>1989</v>
      </c>
      <c r="BC119" s="284">
        <v>42418</v>
      </c>
      <c r="BD119" s="288" t="s">
        <v>1989</v>
      </c>
    </row>
    <row r="120" spans="1:56" s="2" customFormat="1" ht="15.95" customHeight="1" x14ac:dyDescent="0.25">
      <c r="A120" s="86">
        <v>118</v>
      </c>
      <c r="B120" s="84">
        <f t="shared" si="56"/>
        <v>42418</v>
      </c>
      <c r="C120" s="29"/>
      <c r="D120" s="59" t="s">
        <v>504</v>
      </c>
      <c r="E120" s="22" t="s">
        <v>1951</v>
      </c>
      <c r="F120" s="27" t="s">
        <v>1952</v>
      </c>
      <c r="G120" s="27"/>
      <c r="H120" s="28" t="s">
        <v>603</v>
      </c>
      <c r="I120" s="20">
        <v>41112</v>
      </c>
      <c r="J120" s="35"/>
      <c r="M120" s="60"/>
      <c r="N120" s="32">
        <v>41885</v>
      </c>
      <c r="O120" s="82"/>
      <c r="P120" s="19">
        <v>1</v>
      </c>
      <c r="Q120" s="68"/>
      <c r="R120" s="118"/>
      <c r="S120" s="21"/>
      <c r="T120" s="20"/>
      <c r="U120" s="20"/>
      <c r="V120" s="19"/>
      <c r="W120" s="3"/>
      <c r="X120" s="22"/>
      <c r="Y120" s="22"/>
      <c r="Z120" s="22"/>
      <c r="AA120" s="20"/>
      <c r="AB120" s="94"/>
      <c r="AC120" s="21"/>
      <c r="AD120" s="21"/>
      <c r="AE120" s="21"/>
      <c r="AF120" s="85"/>
      <c r="AG120" s="21"/>
      <c r="AH120" s="21"/>
      <c r="AI120" s="89"/>
      <c r="AJ120" s="92"/>
      <c r="AK120" s="80"/>
      <c r="AL120" s="80"/>
      <c r="AM120" s="120">
        <v>42418</v>
      </c>
      <c r="AN120" s="126" t="s">
        <v>1990</v>
      </c>
      <c r="BC120" s="284">
        <v>42418</v>
      </c>
      <c r="BD120" s="288" t="s">
        <v>1990</v>
      </c>
    </row>
    <row r="121" spans="1:56" s="2" customFormat="1" ht="15.95" customHeight="1" x14ac:dyDescent="0.25">
      <c r="A121" s="86">
        <v>119</v>
      </c>
      <c r="B121" s="84">
        <f t="shared" si="56"/>
        <v>42418</v>
      </c>
      <c r="C121" s="29"/>
      <c r="D121" s="59" t="s">
        <v>504</v>
      </c>
      <c r="E121" s="22" t="s">
        <v>194</v>
      </c>
      <c r="F121" s="27" t="s">
        <v>1953</v>
      </c>
      <c r="G121" s="27"/>
      <c r="H121" s="28" t="s">
        <v>603</v>
      </c>
      <c r="I121" s="20">
        <v>41085</v>
      </c>
      <c r="J121" s="35"/>
      <c r="M121" s="60"/>
      <c r="N121" s="32">
        <v>41937</v>
      </c>
      <c r="O121" s="82"/>
      <c r="P121" s="19">
        <v>1</v>
      </c>
      <c r="Q121" s="68"/>
      <c r="R121" s="118"/>
      <c r="S121" s="21"/>
      <c r="T121" s="20"/>
      <c r="U121" s="20"/>
      <c r="V121" s="19"/>
      <c r="W121" s="3"/>
      <c r="X121" s="22"/>
      <c r="Y121" s="22"/>
      <c r="Z121" s="22"/>
      <c r="AA121" s="20"/>
      <c r="AB121" s="94"/>
      <c r="AC121" s="21"/>
      <c r="AD121" s="21"/>
      <c r="AE121" s="21"/>
      <c r="AF121" s="85"/>
      <c r="AG121" s="21"/>
      <c r="AH121" s="21"/>
      <c r="AI121" s="89"/>
      <c r="AJ121" s="92"/>
      <c r="AK121" s="80"/>
      <c r="AL121" s="80"/>
      <c r="AM121" s="120">
        <v>42418</v>
      </c>
      <c r="AN121" s="126" t="s">
        <v>1991</v>
      </c>
      <c r="BC121" s="284">
        <v>42418</v>
      </c>
      <c r="BD121" s="288" t="s">
        <v>1991</v>
      </c>
    </row>
    <row r="122" spans="1:56" s="2" customFormat="1" ht="15.95" customHeight="1" x14ac:dyDescent="0.25">
      <c r="A122" s="86">
        <v>120</v>
      </c>
      <c r="B122" s="84">
        <f t="shared" si="56"/>
        <v>42422</v>
      </c>
      <c r="C122" s="29"/>
      <c r="D122" s="59" t="s">
        <v>1456</v>
      </c>
      <c r="E122" s="22" t="s">
        <v>120</v>
      </c>
      <c r="F122" s="27" t="s">
        <v>1954</v>
      </c>
      <c r="G122" s="27"/>
      <c r="H122" s="28" t="s">
        <v>87</v>
      </c>
      <c r="I122" s="20">
        <v>41628</v>
      </c>
      <c r="J122" s="35"/>
      <c r="M122" s="60"/>
      <c r="N122" s="32">
        <v>42422</v>
      </c>
      <c r="O122" s="82"/>
      <c r="P122" s="19">
        <v>1</v>
      </c>
      <c r="Q122" s="68"/>
      <c r="R122" s="118"/>
      <c r="S122" s="21"/>
      <c r="T122" s="20"/>
      <c r="U122" s="20"/>
      <c r="V122" s="19"/>
      <c r="W122" s="3"/>
      <c r="X122" s="22"/>
      <c r="Y122" s="22"/>
      <c r="Z122" s="22"/>
      <c r="AA122" s="20"/>
      <c r="AB122" s="94"/>
      <c r="AC122" s="21"/>
      <c r="AD122" s="21"/>
      <c r="AE122" s="21"/>
      <c r="AF122" s="85"/>
      <c r="AG122" s="21"/>
      <c r="AH122" s="21"/>
      <c r="AI122" s="89"/>
      <c r="AJ122" s="92"/>
      <c r="AK122" s="80"/>
      <c r="AL122" s="80"/>
      <c r="AM122" s="120">
        <v>42422</v>
      </c>
      <c r="AN122" s="126" t="s">
        <v>1992</v>
      </c>
      <c r="BC122" s="284">
        <v>42422</v>
      </c>
      <c r="BD122" s="288" t="s">
        <v>1992</v>
      </c>
    </row>
    <row r="123" spans="1:56" s="2" customFormat="1" ht="15.95" customHeight="1" x14ac:dyDescent="0.25">
      <c r="A123" s="86">
        <v>121</v>
      </c>
      <c r="B123" s="84">
        <f t="shared" si="56"/>
        <v>42428</v>
      </c>
      <c r="C123" s="29"/>
      <c r="D123" s="59" t="s">
        <v>903</v>
      </c>
      <c r="E123" s="22" t="s">
        <v>1956</v>
      </c>
      <c r="F123" s="27" t="s">
        <v>1955</v>
      </c>
      <c r="G123" s="27"/>
      <c r="H123" s="28" t="s">
        <v>603</v>
      </c>
      <c r="I123" s="20">
        <v>40061</v>
      </c>
      <c r="J123" s="35"/>
      <c r="M123" s="60"/>
      <c r="N123" s="32">
        <v>42090</v>
      </c>
      <c r="O123" s="82"/>
      <c r="P123" s="19">
        <v>3</v>
      </c>
      <c r="Q123" s="68"/>
      <c r="R123" s="118"/>
      <c r="S123" s="21"/>
      <c r="T123" s="20"/>
      <c r="U123" s="20"/>
      <c r="V123" s="19"/>
      <c r="W123" s="3"/>
      <c r="X123" s="22"/>
      <c r="Y123" s="22"/>
      <c r="Z123" s="22"/>
      <c r="AA123" s="20"/>
      <c r="AB123" s="94"/>
      <c r="AC123" s="21"/>
      <c r="AD123" s="21"/>
      <c r="AE123" s="21"/>
      <c r="AF123" s="85"/>
      <c r="AG123" s="21"/>
      <c r="AH123" s="21"/>
      <c r="AI123" s="89"/>
      <c r="AJ123" s="92"/>
      <c r="AK123" s="80"/>
      <c r="AL123" s="80"/>
      <c r="AM123" s="120">
        <v>42428</v>
      </c>
      <c r="AN123" s="126" t="s">
        <v>1993</v>
      </c>
      <c r="BC123" s="284">
        <v>42428</v>
      </c>
      <c r="BD123" s="288" t="s">
        <v>1993</v>
      </c>
    </row>
    <row r="124" spans="1:56" s="2" customFormat="1" ht="15.95" customHeight="1" x14ac:dyDescent="0.25">
      <c r="A124" s="86">
        <v>122</v>
      </c>
      <c r="B124" s="84">
        <f t="shared" si="56"/>
        <v>42428</v>
      </c>
      <c r="C124" s="29"/>
      <c r="D124" s="59" t="s">
        <v>1042</v>
      </c>
      <c r="E124" s="22" t="s">
        <v>1100</v>
      </c>
      <c r="F124" s="27" t="s">
        <v>1957</v>
      </c>
      <c r="G124" s="27"/>
      <c r="H124" s="28" t="s">
        <v>603</v>
      </c>
      <c r="I124" s="20">
        <v>41521</v>
      </c>
      <c r="J124" s="35"/>
      <c r="M124" s="60"/>
      <c r="N124" s="32">
        <v>42354</v>
      </c>
      <c r="O124" s="82"/>
      <c r="P124" s="19">
        <v>1</v>
      </c>
      <c r="Q124" s="68"/>
      <c r="R124" s="118"/>
      <c r="S124" s="21"/>
      <c r="T124" s="20"/>
      <c r="U124" s="20"/>
      <c r="V124" s="19"/>
      <c r="W124" s="3"/>
      <c r="X124" s="22"/>
      <c r="Y124" s="22"/>
      <c r="Z124" s="22"/>
      <c r="AA124" s="20"/>
      <c r="AB124" s="94"/>
      <c r="AC124" s="21"/>
      <c r="AD124" s="21"/>
      <c r="AE124" s="21"/>
      <c r="AF124" s="85"/>
      <c r="AG124" s="21"/>
      <c r="AH124" s="21"/>
      <c r="AI124" s="89"/>
      <c r="AJ124" s="92"/>
      <c r="AK124" s="80"/>
      <c r="AL124" s="80"/>
      <c r="AM124" s="120">
        <v>42428</v>
      </c>
      <c r="AN124" s="126" t="s">
        <v>1991</v>
      </c>
      <c r="BC124" s="284">
        <v>42428</v>
      </c>
      <c r="BD124" s="288" t="s">
        <v>1991</v>
      </c>
    </row>
    <row r="125" spans="1:56" s="2" customFormat="1" ht="15.95" customHeight="1" x14ac:dyDescent="0.25">
      <c r="A125" s="86">
        <v>123</v>
      </c>
      <c r="B125" s="84">
        <f t="shared" si="56"/>
        <v>42648</v>
      </c>
      <c r="C125" s="29" t="s">
        <v>613</v>
      </c>
      <c r="D125" s="59" t="s">
        <v>1502</v>
      </c>
      <c r="E125" s="22" t="s">
        <v>1500</v>
      </c>
      <c r="F125" s="27" t="s">
        <v>580</v>
      </c>
      <c r="G125" s="27"/>
      <c r="H125" s="28" t="s">
        <v>78</v>
      </c>
      <c r="I125" s="20">
        <v>41234</v>
      </c>
      <c r="J125" s="35">
        <f t="shared" ref="J125:J157" si="75">(B125-I125)/365</f>
        <v>3.8739726027397259</v>
      </c>
      <c r="K125" s="364"/>
      <c r="L125" s="364"/>
      <c r="M125" s="60">
        <v>42119</v>
      </c>
      <c r="N125" s="32">
        <v>42119</v>
      </c>
      <c r="O125" s="82">
        <f t="shared" ref="O125:O157" si="76">IF(AND(B125&gt;0,N125&gt;0),B125-N125,"-")</f>
        <v>529</v>
      </c>
      <c r="P125" s="19">
        <v>1</v>
      </c>
      <c r="Q125" s="68" t="s">
        <v>1483</v>
      </c>
      <c r="R125" s="118">
        <v>6845</v>
      </c>
      <c r="S125" s="21">
        <v>42554</v>
      </c>
      <c r="T125" s="20">
        <v>42393</v>
      </c>
      <c r="U125" s="20" t="str">
        <f t="shared" ref="U125:U157" si="77">IF(AND(Y125&gt;1,T125&gt;0),T125+18,"-")</f>
        <v>-</v>
      </c>
      <c r="V125" s="19" t="str">
        <f t="shared" ref="V125:V157" si="78">IF(AND(U125&gt;0,B125&gt;0,Y125&gt;1),B125-U125,"-")</f>
        <v>-</v>
      </c>
      <c r="W125" s="3">
        <v>7</v>
      </c>
      <c r="X125" s="22">
        <f t="shared" ref="X125:X157" si="79">IF(AND(N125&gt;0,T125&gt;0),T125-N125,"-")</f>
        <v>274</v>
      </c>
      <c r="Y125" s="22">
        <v>0</v>
      </c>
      <c r="Z125" s="22" t="str">
        <f t="shared" ref="Z125:Z157" si="80">IF(AND(O125&gt;140,Y125=0,N125&gt;0),"яловая","-")</f>
        <v>яловая</v>
      </c>
      <c r="AA125" s="20" t="str">
        <f t="shared" ref="AA125:AA157" si="81">IF(AND(T125&gt;0,OR(Y125=3,Y125=2)),T125+35,"-")</f>
        <v>-</v>
      </c>
      <c r="AB125" s="94" t="str">
        <f t="shared" ref="AB125:AB157" si="82">IF(AND(T125&gt;0,W125&gt;0,Q125&gt;0,OR(Y125=3,Y125=2)),B125-AA125,"---------")</f>
        <v>---------</v>
      </c>
      <c r="AC125" s="21"/>
      <c r="AD125" s="21" t="str">
        <f t="shared" ref="AD125:AD157" si="83">IF(AND($T125&gt;0,$N125&gt;0,$Y125=1),$T125+285-90,"-")</f>
        <v>-</v>
      </c>
      <c r="AE125" s="21" t="str">
        <f t="shared" ref="AE125:AE145" si="84">IF(AND(T125&gt;0,Y125=1,N125&gt;0),T125+285-60,"-")</f>
        <v>-</v>
      </c>
      <c r="AF125" s="85"/>
      <c r="AG125" s="21" t="str">
        <f t="shared" ref="AG125:AG157" si="85">IF(AND($T125&gt;0,$Y125=1),$T125+280-21,"-")</f>
        <v>-</v>
      </c>
      <c r="AH125" s="21" t="str">
        <f t="shared" ref="AH125:AH157" si="86">IF(AND(T125&gt;0,Y125=1),T125+280,"-")</f>
        <v>-</v>
      </c>
      <c r="AI125" s="89" t="str">
        <f t="shared" ref="AI125:AI157" si="87">IF(AND(B125&gt;0,AH125&gt;0,AC125&gt;0,Y125=1),B125-AH125,"-")</f>
        <v>-</v>
      </c>
      <c r="AJ125" s="92">
        <v>1</v>
      </c>
      <c r="AK125" s="80" t="str">
        <f t="shared" ref="AK125:AK136" si="88">IF(AND(Z125="яловая",O125&gt;300),"БРАК","-")</f>
        <v>БРАК</v>
      </c>
      <c r="AL125" s="80" t="s">
        <v>1863</v>
      </c>
      <c r="AM125" s="129">
        <v>42648</v>
      </c>
      <c r="AN125" s="126"/>
      <c r="BC125" s="284">
        <v>42648</v>
      </c>
      <c r="BD125" s="288"/>
    </row>
    <row r="126" spans="1:56" s="2" customFormat="1" ht="15.95" customHeight="1" x14ac:dyDescent="0.25">
      <c r="A126" s="86">
        <v>124</v>
      </c>
      <c r="B126" s="84">
        <f t="shared" si="56"/>
        <v>42648</v>
      </c>
      <c r="C126" s="29" t="s">
        <v>614</v>
      </c>
      <c r="D126" s="59" t="s">
        <v>1503</v>
      </c>
      <c r="E126" s="22" t="s">
        <v>51</v>
      </c>
      <c r="F126" s="27" t="s">
        <v>52</v>
      </c>
      <c r="G126" s="27"/>
      <c r="H126" s="28" t="s">
        <v>78</v>
      </c>
      <c r="I126" s="20">
        <v>40245</v>
      </c>
      <c r="J126" s="35">
        <f t="shared" si="75"/>
        <v>6.5835616438356164</v>
      </c>
      <c r="K126" s="364"/>
      <c r="L126" s="364"/>
      <c r="M126" s="60">
        <v>41030</v>
      </c>
      <c r="N126" s="32">
        <v>42543</v>
      </c>
      <c r="O126" s="82">
        <f t="shared" si="76"/>
        <v>105</v>
      </c>
      <c r="P126" s="19">
        <v>5</v>
      </c>
      <c r="Q126" s="68" t="s">
        <v>1448</v>
      </c>
      <c r="R126" s="118" t="s">
        <v>1814</v>
      </c>
      <c r="S126" s="21">
        <v>42616</v>
      </c>
      <c r="T126" s="20">
        <v>42616</v>
      </c>
      <c r="U126" s="20">
        <f t="shared" si="77"/>
        <v>42634</v>
      </c>
      <c r="V126" s="19">
        <f t="shared" si="78"/>
        <v>14</v>
      </c>
      <c r="W126" s="3">
        <v>1</v>
      </c>
      <c r="X126" s="22">
        <f t="shared" si="79"/>
        <v>73</v>
      </c>
      <c r="Y126" s="22">
        <v>3</v>
      </c>
      <c r="Z126" s="22" t="str">
        <f t="shared" si="80"/>
        <v>-</v>
      </c>
      <c r="AA126" s="20">
        <f t="shared" si="81"/>
        <v>42651</v>
      </c>
      <c r="AB126" s="94">
        <f t="shared" si="82"/>
        <v>-3</v>
      </c>
      <c r="AC126" s="21"/>
      <c r="AD126" s="21" t="str">
        <f t="shared" si="83"/>
        <v>-</v>
      </c>
      <c r="AE126" s="21" t="str">
        <f t="shared" si="84"/>
        <v>-</v>
      </c>
      <c r="AF126" s="85"/>
      <c r="AG126" s="21" t="str">
        <f t="shared" si="85"/>
        <v>-</v>
      </c>
      <c r="AH126" s="21" t="str">
        <f t="shared" si="86"/>
        <v>-</v>
      </c>
      <c r="AI126" s="89" t="str">
        <f t="shared" si="87"/>
        <v>-</v>
      </c>
      <c r="AJ126" s="92">
        <v>1</v>
      </c>
      <c r="AK126" s="80" t="str">
        <f t="shared" si="88"/>
        <v>-</v>
      </c>
      <c r="AL126" s="80"/>
      <c r="AM126" s="129">
        <v>42648</v>
      </c>
      <c r="AN126" s="126"/>
      <c r="BC126" s="284">
        <v>42648</v>
      </c>
      <c r="BD126" s="288"/>
    </row>
    <row r="127" spans="1:56" s="2" customFormat="1" ht="15.95" customHeight="1" x14ac:dyDescent="0.25">
      <c r="A127" s="86">
        <v>125</v>
      </c>
      <c r="B127" s="84">
        <f t="shared" si="56"/>
        <v>42648</v>
      </c>
      <c r="C127" s="29" t="s">
        <v>613</v>
      </c>
      <c r="D127" s="59" t="s">
        <v>1502</v>
      </c>
      <c r="E127" s="22" t="s">
        <v>144</v>
      </c>
      <c r="F127" s="27" t="s">
        <v>145</v>
      </c>
      <c r="G127" s="27"/>
      <c r="H127" s="28" t="s">
        <v>87</v>
      </c>
      <c r="I127" s="20">
        <v>40596</v>
      </c>
      <c r="J127" s="35">
        <f t="shared" si="75"/>
        <v>5.6219178082191785</v>
      </c>
      <c r="K127" s="364"/>
      <c r="L127" s="364"/>
      <c r="M127" s="60">
        <v>41590</v>
      </c>
      <c r="N127" s="32">
        <v>42400</v>
      </c>
      <c r="O127" s="82">
        <f t="shared" si="76"/>
        <v>248</v>
      </c>
      <c r="P127" s="19">
        <v>3</v>
      </c>
      <c r="Q127" s="68" t="s">
        <v>1451</v>
      </c>
      <c r="R127" s="118">
        <v>7762</v>
      </c>
      <c r="S127" s="21">
        <v>42461</v>
      </c>
      <c r="T127" s="20">
        <v>42566</v>
      </c>
      <c r="U127" s="20" t="str">
        <f t="shared" si="77"/>
        <v>-</v>
      </c>
      <c r="V127" s="19" t="str">
        <f t="shared" si="78"/>
        <v>-</v>
      </c>
      <c r="W127" s="3">
        <v>4</v>
      </c>
      <c r="X127" s="22">
        <f t="shared" si="79"/>
        <v>166</v>
      </c>
      <c r="Y127" s="22">
        <v>1</v>
      </c>
      <c r="Z127" s="22" t="str">
        <f t="shared" si="80"/>
        <v>-</v>
      </c>
      <c r="AA127" s="20" t="str">
        <f t="shared" si="81"/>
        <v>-</v>
      </c>
      <c r="AB127" s="94" t="str">
        <f t="shared" si="82"/>
        <v>---------</v>
      </c>
      <c r="AC127" s="21">
        <v>42605</v>
      </c>
      <c r="AD127" s="21">
        <f t="shared" si="83"/>
        <v>42761</v>
      </c>
      <c r="AE127" s="21">
        <f t="shared" si="84"/>
        <v>42791</v>
      </c>
      <c r="AF127" s="85"/>
      <c r="AG127" s="21">
        <f t="shared" si="85"/>
        <v>42825</v>
      </c>
      <c r="AH127" s="21">
        <f t="shared" si="86"/>
        <v>42846</v>
      </c>
      <c r="AI127" s="89">
        <f t="shared" si="87"/>
        <v>-198</v>
      </c>
      <c r="AJ127" s="92">
        <v>1</v>
      </c>
      <c r="AK127" s="80" t="str">
        <f t="shared" si="88"/>
        <v>-</v>
      </c>
      <c r="AL127" s="80"/>
      <c r="AM127" s="129">
        <v>42648</v>
      </c>
      <c r="AN127" s="126"/>
      <c r="BC127" s="284">
        <v>42648</v>
      </c>
      <c r="BD127" s="288"/>
    </row>
    <row r="128" spans="1:56" s="2" customFormat="1" ht="15.95" customHeight="1" x14ac:dyDescent="0.25">
      <c r="A128" s="86">
        <v>126</v>
      </c>
      <c r="B128" s="84">
        <f t="shared" si="56"/>
        <v>42650</v>
      </c>
      <c r="C128" s="29"/>
      <c r="D128" s="59" t="s">
        <v>1041</v>
      </c>
      <c r="E128" s="22" t="s">
        <v>1522</v>
      </c>
      <c r="F128" s="27" t="s">
        <v>1519</v>
      </c>
      <c r="G128" s="27"/>
      <c r="H128" s="28" t="s">
        <v>603</v>
      </c>
      <c r="I128" s="20">
        <v>42063</v>
      </c>
      <c r="J128" s="35">
        <f t="shared" si="75"/>
        <v>1.6082191780821917</v>
      </c>
      <c r="M128" s="60"/>
      <c r="N128" s="32"/>
      <c r="O128" s="82" t="str">
        <f t="shared" si="76"/>
        <v>-</v>
      </c>
      <c r="P128" s="19"/>
      <c r="Q128" s="68"/>
      <c r="R128" s="118"/>
      <c r="S128" s="21"/>
      <c r="T128" s="20"/>
      <c r="U128" s="20" t="str">
        <f t="shared" si="77"/>
        <v>-</v>
      </c>
      <c r="V128" s="19" t="str">
        <f t="shared" si="78"/>
        <v>-</v>
      </c>
      <c r="W128" s="3"/>
      <c r="X128" s="22" t="str">
        <f t="shared" si="79"/>
        <v>-</v>
      </c>
      <c r="Y128" s="22"/>
      <c r="Z128" s="22" t="str">
        <f t="shared" si="80"/>
        <v>-</v>
      </c>
      <c r="AA128" s="20" t="str">
        <f t="shared" si="81"/>
        <v>-</v>
      </c>
      <c r="AB128" s="94" t="str">
        <f t="shared" si="82"/>
        <v>---------</v>
      </c>
      <c r="AC128" s="21"/>
      <c r="AD128" s="21" t="str">
        <f t="shared" si="83"/>
        <v>-</v>
      </c>
      <c r="AE128" s="21" t="str">
        <f t="shared" si="84"/>
        <v>-</v>
      </c>
      <c r="AF128" s="85"/>
      <c r="AG128" s="21" t="str">
        <f t="shared" si="85"/>
        <v>-</v>
      </c>
      <c r="AH128" s="21" t="str">
        <f t="shared" si="86"/>
        <v>-</v>
      </c>
      <c r="AI128" s="89" t="str">
        <f t="shared" si="87"/>
        <v>-</v>
      </c>
      <c r="AJ128" s="92">
        <v>1</v>
      </c>
      <c r="AK128" s="80" t="str">
        <f t="shared" si="88"/>
        <v>-</v>
      </c>
      <c r="AL128" s="80"/>
      <c r="AM128" s="129">
        <v>42650</v>
      </c>
      <c r="AN128" s="126" t="s">
        <v>2015</v>
      </c>
      <c r="BC128" s="284">
        <v>42650</v>
      </c>
      <c r="BD128" s="288" t="s">
        <v>2015</v>
      </c>
    </row>
    <row r="129" spans="1:56" s="2" customFormat="1" ht="15.95" customHeight="1" x14ac:dyDescent="0.25">
      <c r="A129" s="86">
        <v>127</v>
      </c>
      <c r="B129" s="84">
        <f t="shared" si="56"/>
        <v>42653</v>
      </c>
      <c r="C129" s="29" t="s">
        <v>613</v>
      </c>
      <c r="D129" s="59" t="s">
        <v>1502</v>
      </c>
      <c r="E129" s="22" t="s">
        <v>200</v>
      </c>
      <c r="F129" s="27" t="s">
        <v>201</v>
      </c>
      <c r="G129" s="27"/>
      <c r="H129" s="28" t="s">
        <v>603</v>
      </c>
      <c r="I129" s="20">
        <v>40648</v>
      </c>
      <c r="J129" s="35">
        <f t="shared" si="75"/>
        <v>5.493150684931507</v>
      </c>
      <c r="M129" s="60">
        <v>41505</v>
      </c>
      <c r="N129" s="32">
        <v>41897</v>
      </c>
      <c r="O129" s="82">
        <f t="shared" si="76"/>
        <v>756</v>
      </c>
      <c r="P129" s="19">
        <v>2</v>
      </c>
      <c r="Q129" s="68" t="s">
        <v>1448</v>
      </c>
      <c r="R129" s="118">
        <v>107770</v>
      </c>
      <c r="S129" s="21">
        <v>41928</v>
      </c>
      <c r="T129" s="20">
        <v>42392</v>
      </c>
      <c r="U129" s="20" t="str">
        <f t="shared" si="77"/>
        <v>-</v>
      </c>
      <c r="V129" s="19" t="str">
        <f t="shared" si="78"/>
        <v>-</v>
      </c>
      <c r="W129" s="3">
        <v>11</v>
      </c>
      <c r="X129" s="22">
        <f t="shared" si="79"/>
        <v>495</v>
      </c>
      <c r="Y129" s="22">
        <v>0</v>
      </c>
      <c r="Z129" s="22" t="str">
        <f t="shared" si="80"/>
        <v>яловая</v>
      </c>
      <c r="AA129" s="20" t="str">
        <f t="shared" si="81"/>
        <v>-</v>
      </c>
      <c r="AB129" s="94" t="str">
        <f t="shared" si="82"/>
        <v>---------</v>
      </c>
      <c r="AC129" s="21"/>
      <c r="AD129" s="21" t="str">
        <f t="shared" si="83"/>
        <v>-</v>
      </c>
      <c r="AE129" s="21" t="str">
        <f t="shared" si="84"/>
        <v>-</v>
      </c>
      <c r="AF129" s="85"/>
      <c r="AG129" s="21" t="str">
        <f t="shared" si="85"/>
        <v>-</v>
      </c>
      <c r="AH129" s="21" t="str">
        <f t="shared" si="86"/>
        <v>-</v>
      </c>
      <c r="AI129" s="89" t="str">
        <f t="shared" si="87"/>
        <v>-</v>
      </c>
      <c r="AJ129" s="92">
        <v>1</v>
      </c>
      <c r="AK129" s="80" t="str">
        <f t="shared" si="88"/>
        <v>БРАК</v>
      </c>
      <c r="AL129" s="80" t="s">
        <v>1863</v>
      </c>
      <c r="AM129" s="120">
        <v>42653</v>
      </c>
      <c r="AN129" s="157" t="str">
        <f>IF(AND(N129&gt;0,T129&gt;0,W129&gt;0,Y129=1,AC129&gt;0,AF129&gt;0),"DRY COW","-")</f>
        <v>-</v>
      </c>
      <c r="BC129" s="284">
        <v>42653</v>
      </c>
      <c r="BD129" s="433" t="str">
        <f>IF(AND(AF129&gt;0,AL129&gt;0,AO129&gt;0,AQ129=1,AS129&gt;0,AV129&gt;0),"DRY COW","-")</f>
        <v>-</v>
      </c>
    </row>
    <row r="130" spans="1:56" s="2" customFormat="1" ht="15.95" customHeight="1" x14ac:dyDescent="0.25">
      <c r="A130" s="86">
        <v>128</v>
      </c>
      <c r="B130" s="84">
        <f t="shared" si="56"/>
        <v>42653</v>
      </c>
      <c r="C130" s="29" t="s">
        <v>613</v>
      </c>
      <c r="D130" s="59" t="s">
        <v>1502</v>
      </c>
      <c r="E130" s="22" t="s">
        <v>574</v>
      </c>
      <c r="F130" s="27" t="s">
        <v>575</v>
      </c>
      <c r="G130" s="27"/>
      <c r="H130" s="28" t="s">
        <v>78</v>
      </c>
      <c r="I130" s="20">
        <v>41419</v>
      </c>
      <c r="J130" s="35">
        <f t="shared" si="75"/>
        <v>3.3808219178082193</v>
      </c>
      <c r="M130" s="60">
        <v>42137</v>
      </c>
      <c r="N130" s="32">
        <v>42137</v>
      </c>
      <c r="O130" s="82">
        <f t="shared" si="76"/>
        <v>516</v>
      </c>
      <c r="P130" s="19">
        <v>1</v>
      </c>
      <c r="Q130" s="68" t="s">
        <v>1448</v>
      </c>
      <c r="R130" s="118">
        <v>6845</v>
      </c>
      <c r="S130" s="21">
        <v>42197</v>
      </c>
      <c r="T130" s="20">
        <v>42338</v>
      </c>
      <c r="U130" s="20" t="str">
        <f t="shared" si="77"/>
        <v>-</v>
      </c>
      <c r="V130" s="19" t="str">
        <f t="shared" si="78"/>
        <v>-</v>
      </c>
      <c r="W130" s="3">
        <v>4</v>
      </c>
      <c r="X130" s="22">
        <f t="shared" si="79"/>
        <v>201</v>
      </c>
      <c r="Y130" s="22">
        <v>0</v>
      </c>
      <c r="Z130" s="22" t="str">
        <f t="shared" si="80"/>
        <v>яловая</v>
      </c>
      <c r="AA130" s="20" t="str">
        <f t="shared" si="81"/>
        <v>-</v>
      </c>
      <c r="AB130" s="94" t="str">
        <f t="shared" si="82"/>
        <v>---------</v>
      </c>
      <c r="AC130" s="21"/>
      <c r="AD130" s="21" t="str">
        <f t="shared" si="83"/>
        <v>-</v>
      </c>
      <c r="AE130" s="21" t="str">
        <f t="shared" si="84"/>
        <v>-</v>
      </c>
      <c r="AF130" s="85"/>
      <c r="AG130" s="21" t="str">
        <f t="shared" si="85"/>
        <v>-</v>
      </c>
      <c r="AH130" s="21" t="str">
        <f t="shared" si="86"/>
        <v>-</v>
      </c>
      <c r="AI130" s="89" t="str">
        <f t="shared" si="87"/>
        <v>-</v>
      </c>
      <c r="AJ130" s="92">
        <v>1</v>
      </c>
      <c r="AK130" s="80" t="str">
        <f t="shared" si="88"/>
        <v>БРАК</v>
      </c>
      <c r="AL130" s="80" t="s">
        <v>1863</v>
      </c>
      <c r="AM130" s="120">
        <v>42653</v>
      </c>
      <c r="AN130" s="157" t="str">
        <f>IF(AND(N130&gt;0,T130&gt;0,W130&gt;0,Y130=1,AC130&gt;0,AF130&gt;0),"DRY COW","-")</f>
        <v>-</v>
      </c>
      <c r="BC130" s="284">
        <v>42653</v>
      </c>
      <c r="BD130" s="433" t="str">
        <f>IF(AND(AF130&gt;0,AL130&gt;0,AO130&gt;0,AQ130=1,AS130&gt;0,AV130&gt;0),"DRY COW","-")</f>
        <v>-</v>
      </c>
    </row>
    <row r="131" spans="1:56" s="2" customFormat="1" ht="15.95" customHeight="1" x14ac:dyDescent="0.25">
      <c r="A131" s="86">
        <v>129</v>
      </c>
      <c r="B131" s="84">
        <f t="shared" si="56"/>
        <v>42654</v>
      </c>
      <c r="C131" s="29" t="s">
        <v>613</v>
      </c>
      <c r="D131" s="59" t="s">
        <v>1502</v>
      </c>
      <c r="E131" s="22" t="s">
        <v>570</v>
      </c>
      <c r="F131" s="27" t="s">
        <v>571</v>
      </c>
      <c r="G131" s="27"/>
      <c r="H131" s="28" t="s">
        <v>78</v>
      </c>
      <c r="I131" s="20">
        <v>41407</v>
      </c>
      <c r="J131" s="35">
        <f t="shared" si="75"/>
        <v>3.4164383561643836</v>
      </c>
      <c r="M131" s="60">
        <v>42227</v>
      </c>
      <c r="N131" s="32">
        <v>42573</v>
      </c>
      <c r="O131" s="82">
        <f t="shared" si="76"/>
        <v>81</v>
      </c>
      <c r="P131" s="19">
        <v>2</v>
      </c>
      <c r="Q131" s="68"/>
      <c r="R131" s="118"/>
      <c r="S131" s="21"/>
      <c r="T131" s="20"/>
      <c r="U131" s="20" t="str">
        <f t="shared" si="77"/>
        <v>-</v>
      </c>
      <c r="V131" s="19" t="str">
        <f t="shared" si="78"/>
        <v>-</v>
      </c>
      <c r="W131" s="3">
        <v>0</v>
      </c>
      <c r="X131" s="22" t="str">
        <f t="shared" si="79"/>
        <v>-</v>
      </c>
      <c r="Y131" s="22">
        <v>0</v>
      </c>
      <c r="Z131" s="22" t="str">
        <f t="shared" si="80"/>
        <v>-</v>
      </c>
      <c r="AA131" s="20" t="str">
        <f t="shared" si="81"/>
        <v>-</v>
      </c>
      <c r="AB131" s="94" t="str">
        <f t="shared" si="82"/>
        <v>---------</v>
      </c>
      <c r="AC131" s="21"/>
      <c r="AD131" s="21" t="str">
        <f t="shared" si="83"/>
        <v>-</v>
      </c>
      <c r="AE131" s="21" t="str">
        <f t="shared" si="84"/>
        <v>-</v>
      </c>
      <c r="AF131" s="85"/>
      <c r="AG131" s="21" t="str">
        <f t="shared" si="85"/>
        <v>-</v>
      </c>
      <c r="AH131" s="21" t="str">
        <f t="shared" si="86"/>
        <v>-</v>
      </c>
      <c r="AI131" s="89" t="str">
        <f t="shared" si="87"/>
        <v>-</v>
      </c>
      <c r="AJ131" s="92">
        <v>1</v>
      </c>
      <c r="AK131" s="80" t="str">
        <f t="shared" si="88"/>
        <v>-</v>
      </c>
      <c r="AL131" s="80" t="s">
        <v>1863</v>
      </c>
      <c r="AM131" s="120">
        <v>42654</v>
      </c>
      <c r="AN131" s="157" t="s">
        <v>2121</v>
      </c>
      <c r="BC131" s="284">
        <v>42654</v>
      </c>
      <c r="BD131" s="433" t="s">
        <v>2121</v>
      </c>
    </row>
    <row r="132" spans="1:56" s="2" customFormat="1" ht="15.95" customHeight="1" x14ac:dyDescent="0.25">
      <c r="A132" s="86">
        <v>130</v>
      </c>
      <c r="B132" s="84">
        <f t="shared" si="56"/>
        <v>0</v>
      </c>
      <c r="C132" s="29" t="s">
        <v>613</v>
      </c>
      <c r="D132" s="59" t="s">
        <v>1502</v>
      </c>
      <c r="E132" s="22" t="s">
        <v>298</v>
      </c>
      <c r="F132" s="27" t="s">
        <v>299</v>
      </c>
      <c r="G132" s="27"/>
      <c r="H132" s="28" t="s">
        <v>603</v>
      </c>
      <c r="I132" s="20">
        <v>41093</v>
      </c>
      <c r="J132" s="35">
        <f t="shared" si="75"/>
        <v>-112.58356164383562</v>
      </c>
      <c r="M132" s="60">
        <v>42038</v>
      </c>
      <c r="N132" s="32">
        <v>42038</v>
      </c>
      <c r="O132" s="82" t="str">
        <f t="shared" si="76"/>
        <v>-</v>
      </c>
      <c r="P132" s="19">
        <v>1</v>
      </c>
      <c r="Q132" s="68" t="s">
        <v>1448</v>
      </c>
      <c r="R132" s="118">
        <v>8645</v>
      </c>
      <c r="S132" s="21">
        <v>42156</v>
      </c>
      <c r="T132" s="20">
        <v>42344</v>
      </c>
      <c r="U132" s="20" t="str">
        <f t="shared" si="77"/>
        <v>-</v>
      </c>
      <c r="V132" s="19" t="str">
        <f t="shared" si="78"/>
        <v>-</v>
      </c>
      <c r="W132" s="3">
        <v>4</v>
      </c>
      <c r="X132" s="22">
        <f t="shared" si="79"/>
        <v>306</v>
      </c>
      <c r="Y132" s="22">
        <v>0</v>
      </c>
      <c r="Z132" s="22" t="str">
        <f t="shared" si="80"/>
        <v>яловая</v>
      </c>
      <c r="AA132" s="20" t="str">
        <f t="shared" si="81"/>
        <v>-</v>
      </c>
      <c r="AB132" s="94" t="str">
        <f t="shared" si="82"/>
        <v>---------</v>
      </c>
      <c r="AC132" s="21"/>
      <c r="AD132" s="21" t="str">
        <f t="shared" si="83"/>
        <v>-</v>
      </c>
      <c r="AE132" s="21" t="str">
        <f t="shared" si="84"/>
        <v>-</v>
      </c>
      <c r="AF132" s="85"/>
      <c r="AG132" s="21" t="str">
        <f t="shared" si="85"/>
        <v>-</v>
      </c>
      <c r="AH132" s="21" t="str">
        <f t="shared" si="86"/>
        <v>-</v>
      </c>
      <c r="AI132" s="89" t="str">
        <f t="shared" si="87"/>
        <v>-</v>
      </c>
      <c r="AJ132" s="92">
        <v>1</v>
      </c>
      <c r="AK132" s="80" t="str">
        <f t="shared" si="88"/>
        <v>БРАК</v>
      </c>
      <c r="AL132" s="80" t="s">
        <v>1863</v>
      </c>
      <c r="AM132" s="120"/>
      <c r="AN132" s="157" t="s">
        <v>2122</v>
      </c>
      <c r="BC132" s="284"/>
      <c r="BD132" s="433" t="s">
        <v>2122</v>
      </c>
    </row>
    <row r="133" spans="1:56" s="2" customFormat="1" ht="15.95" customHeight="1" x14ac:dyDescent="0.25">
      <c r="A133" s="86">
        <v>131</v>
      </c>
      <c r="B133" s="84">
        <f t="shared" ref="B133:B196" si="89">BC133</f>
        <v>42655</v>
      </c>
      <c r="C133" s="29" t="s">
        <v>613</v>
      </c>
      <c r="D133" s="59" t="s">
        <v>1502</v>
      </c>
      <c r="E133" s="22" t="s">
        <v>638</v>
      </c>
      <c r="F133" s="27" t="s">
        <v>639</v>
      </c>
      <c r="G133" s="27"/>
      <c r="H133" s="28" t="s">
        <v>603</v>
      </c>
      <c r="I133" s="20">
        <v>41595</v>
      </c>
      <c r="J133" s="35">
        <f t="shared" si="75"/>
        <v>2.904109589041096</v>
      </c>
      <c r="M133" s="60">
        <v>42398</v>
      </c>
      <c r="N133" s="32">
        <v>42398</v>
      </c>
      <c r="O133" s="82">
        <f t="shared" si="76"/>
        <v>257</v>
      </c>
      <c r="P133" s="19">
        <v>1</v>
      </c>
      <c r="Q133" s="68" t="s">
        <v>1451</v>
      </c>
      <c r="R133" s="118">
        <v>9560</v>
      </c>
      <c r="S133" s="21">
        <v>42457</v>
      </c>
      <c r="T133" s="20">
        <v>42529</v>
      </c>
      <c r="U133" s="20" t="str">
        <f t="shared" si="77"/>
        <v>-</v>
      </c>
      <c r="V133" s="19" t="str">
        <f t="shared" si="78"/>
        <v>-</v>
      </c>
      <c r="W133" s="3">
        <v>2</v>
      </c>
      <c r="X133" s="22">
        <f t="shared" si="79"/>
        <v>131</v>
      </c>
      <c r="Y133" s="22">
        <v>1</v>
      </c>
      <c r="Z133" s="22" t="str">
        <f t="shared" si="80"/>
        <v>-</v>
      </c>
      <c r="AA133" s="20" t="str">
        <f t="shared" si="81"/>
        <v>-</v>
      </c>
      <c r="AB133" s="94" t="str">
        <f t="shared" si="82"/>
        <v>---------</v>
      </c>
      <c r="AC133" s="21">
        <v>42570</v>
      </c>
      <c r="AD133" s="21">
        <f t="shared" si="83"/>
        <v>42724</v>
      </c>
      <c r="AE133" s="21">
        <f t="shared" si="84"/>
        <v>42754</v>
      </c>
      <c r="AF133" s="85"/>
      <c r="AG133" s="21">
        <f t="shared" si="85"/>
        <v>42788</v>
      </c>
      <c r="AH133" s="21">
        <f t="shared" si="86"/>
        <v>42809</v>
      </c>
      <c r="AI133" s="89">
        <f t="shared" si="87"/>
        <v>-154</v>
      </c>
      <c r="AJ133" s="92">
        <v>1</v>
      </c>
      <c r="AK133" s="80" t="str">
        <f t="shared" si="88"/>
        <v>-</v>
      </c>
      <c r="AL133" s="80"/>
      <c r="AM133" s="120">
        <v>42655</v>
      </c>
      <c r="AN133" s="157" t="s">
        <v>2131</v>
      </c>
      <c r="BC133" s="284">
        <v>42655</v>
      </c>
      <c r="BD133" s="433" t="s">
        <v>2131</v>
      </c>
    </row>
    <row r="134" spans="1:56" s="2" customFormat="1" ht="15.95" customHeight="1" x14ac:dyDescent="0.25">
      <c r="A134" s="86">
        <v>132</v>
      </c>
      <c r="B134" s="84">
        <f t="shared" si="89"/>
        <v>42669</v>
      </c>
      <c r="C134" s="29"/>
      <c r="D134" s="59" t="s">
        <v>1046</v>
      </c>
      <c r="E134" s="22" t="s">
        <v>39</v>
      </c>
      <c r="F134" s="27" t="s">
        <v>40</v>
      </c>
      <c r="G134" s="27"/>
      <c r="H134" s="28" t="s">
        <v>78</v>
      </c>
      <c r="I134" s="20">
        <v>40238</v>
      </c>
      <c r="J134" s="35">
        <f t="shared" si="75"/>
        <v>6.6602739726027398</v>
      </c>
      <c r="M134" s="60">
        <v>41045</v>
      </c>
      <c r="N134" s="32">
        <v>41879</v>
      </c>
      <c r="O134" s="82">
        <f t="shared" si="76"/>
        <v>790</v>
      </c>
      <c r="P134" s="19">
        <v>3</v>
      </c>
      <c r="Q134" s="68" t="s">
        <v>1451</v>
      </c>
      <c r="R134" s="118">
        <v>6845</v>
      </c>
      <c r="S134" s="21">
        <v>41998</v>
      </c>
      <c r="T134" s="20">
        <v>42443</v>
      </c>
      <c r="U134" s="20" t="str">
        <f t="shared" si="77"/>
        <v>-</v>
      </c>
      <c r="V134" s="19" t="str">
        <f t="shared" si="78"/>
        <v>-</v>
      </c>
      <c r="W134" s="3">
        <v>7</v>
      </c>
      <c r="X134" s="22">
        <f t="shared" si="79"/>
        <v>564</v>
      </c>
      <c r="Y134" s="22">
        <v>1</v>
      </c>
      <c r="Z134" s="22" t="str">
        <f t="shared" si="80"/>
        <v>-</v>
      </c>
      <c r="AA134" s="20" t="str">
        <f t="shared" si="81"/>
        <v>-</v>
      </c>
      <c r="AB134" s="94" t="str">
        <f t="shared" si="82"/>
        <v>---------</v>
      </c>
      <c r="AC134" s="21">
        <v>42486</v>
      </c>
      <c r="AD134" s="21">
        <f t="shared" si="83"/>
        <v>42638</v>
      </c>
      <c r="AE134" s="21">
        <f t="shared" si="84"/>
        <v>42668</v>
      </c>
      <c r="AF134" s="85">
        <v>42601</v>
      </c>
      <c r="AG134" s="21">
        <f t="shared" si="85"/>
        <v>42702</v>
      </c>
      <c r="AH134" s="21">
        <f t="shared" si="86"/>
        <v>42723</v>
      </c>
      <c r="AI134" s="89">
        <f t="shared" si="87"/>
        <v>-54</v>
      </c>
      <c r="AJ134" s="92">
        <v>1</v>
      </c>
      <c r="AK134" s="80" t="str">
        <f t="shared" si="88"/>
        <v>-</v>
      </c>
      <c r="AL134" s="80"/>
      <c r="AM134" s="120">
        <v>42669</v>
      </c>
      <c r="AN134" s="157" t="s">
        <v>2157</v>
      </c>
      <c r="BC134" s="284">
        <v>42669</v>
      </c>
      <c r="BD134" s="433" t="s">
        <v>2157</v>
      </c>
    </row>
    <row r="135" spans="1:56" s="2" customFormat="1" ht="15.95" customHeight="1" x14ac:dyDescent="0.25">
      <c r="A135" s="86">
        <v>133</v>
      </c>
      <c r="B135" s="84">
        <f t="shared" si="89"/>
        <v>42676</v>
      </c>
      <c r="C135" s="29"/>
      <c r="D135" s="59" t="s">
        <v>1456</v>
      </c>
      <c r="E135" s="22" t="s">
        <v>1284</v>
      </c>
      <c r="F135" s="27" t="s">
        <v>1160</v>
      </c>
      <c r="G135" s="27"/>
      <c r="H135" s="28" t="s">
        <v>603</v>
      </c>
      <c r="I135" s="20">
        <v>41734</v>
      </c>
      <c r="J135" s="35">
        <f t="shared" si="75"/>
        <v>2.580821917808219</v>
      </c>
      <c r="M135" s="60">
        <v>42627</v>
      </c>
      <c r="N135" s="32">
        <v>42627</v>
      </c>
      <c r="O135" s="82">
        <f t="shared" si="76"/>
        <v>49</v>
      </c>
      <c r="P135" s="19">
        <v>1</v>
      </c>
      <c r="Q135" s="68"/>
      <c r="R135" s="118"/>
      <c r="S135" s="21"/>
      <c r="T135" s="20"/>
      <c r="U135" s="20" t="str">
        <f t="shared" si="77"/>
        <v>-</v>
      </c>
      <c r="V135" s="19" t="str">
        <f t="shared" si="78"/>
        <v>-</v>
      </c>
      <c r="W135" s="3">
        <v>0</v>
      </c>
      <c r="X135" s="22" t="str">
        <f t="shared" si="79"/>
        <v>-</v>
      </c>
      <c r="Y135" s="22">
        <v>0</v>
      </c>
      <c r="Z135" s="22" t="str">
        <f t="shared" si="80"/>
        <v>-</v>
      </c>
      <c r="AA135" s="20" t="str">
        <f t="shared" si="81"/>
        <v>-</v>
      </c>
      <c r="AB135" s="94" t="str">
        <f t="shared" si="82"/>
        <v>---------</v>
      </c>
      <c r="AC135" s="21"/>
      <c r="AD135" s="21" t="str">
        <f t="shared" si="83"/>
        <v>-</v>
      </c>
      <c r="AE135" s="21" t="str">
        <f t="shared" si="84"/>
        <v>-</v>
      </c>
      <c r="AF135" s="85"/>
      <c r="AG135" s="21" t="str">
        <f t="shared" si="85"/>
        <v>-</v>
      </c>
      <c r="AH135" s="21" t="str">
        <f t="shared" si="86"/>
        <v>-</v>
      </c>
      <c r="AI135" s="89" t="str">
        <f t="shared" si="87"/>
        <v>-</v>
      </c>
      <c r="AJ135" s="92">
        <v>1</v>
      </c>
      <c r="AK135" s="80" t="str">
        <f t="shared" si="88"/>
        <v>-</v>
      </c>
      <c r="AL135" s="80"/>
      <c r="AM135" s="120">
        <v>42676</v>
      </c>
      <c r="AN135" s="157" t="s">
        <v>2158</v>
      </c>
      <c r="BC135" s="284">
        <v>42676</v>
      </c>
      <c r="BD135" s="433" t="s">
        <v>2158</v>
      </c>
    </row>
    <row r="136" spans="1:56" s="2" customFormat="1" ht="15.95" customHeight="1" x14ac:dyDescent="0.25">
      <c r="A136" s="86">
        <v>134</v>
      </c>
      <c r="B136" s="84">
        <f t="shared" si="89"/>
        <v>42676</v>
      </c>
      <c r="C136" s="29" t="s">
        <v>613</v>
      </c>
      <c r="D136" s="59" t="s">
        <v>1502</v>
      </c>
      <c r="E136" s="22" t="s">
        <v>303</v>
      </c>
      <c r="F136" s="27" t="s">
        <v>304</v>
      </c>
      <c r="G136" s="27"/>
      <c r="H136" s="28" t="s">
        <v>603</v>
      </c>
      <c r="I136" s="20">
        <v>41177</v>
      </c>
      <c r="J136" s="35">
        <f t="shared" si="75"/>
        <v>4.1068493150684935</v>
      </c>
      <c r="M136" s="60">
        <v>42037</v>
      </c>
      <c r="N136" s="32">
        <v>42475</v>
      </c>
      <c r="O136" s="82">
        <f t="shared" si="76"/>
        <v>201</v>
      </c>
      <c r="P136" s="19">
        <v>2</v>
      </c>
      <c r="Q136" s="68"/>
      <c r="R136" s="118"/>
      <c r="S136" s="21"/>
      <c r="T136" s="20"/>
      <c r="U136" s="20" t="str">
        <f t="shared" si="77"/>
        <v>-</v>
      </c>
      <c r="V136" s="19" t="str">
        <f t="shared" si="78"/>
        <v>-</v>
      </c>
      <c r="W136" s="3">
        <v>0</v>
      </c>
      <c r="X136" s="22" t="str">
        <f t="shared" si="79"/>
        <v>-</v>
      </c>
      <c r="Y136" s="22">
        <v>0</v>
      </c>
      <c r="Z136" s="22" t="str">
        <f t="shared" si="80"/>
        <v>яловая</v>
      </c>
      <c r="AA136" s="20" t="str">
        <f t="shared" si="81"/>
        <v>-</v>
      </c>
      <c r="AB136" s="94" t="str">
        <f t="shared" si="82"/>
        <v>---------</v>
      </c>
      <c r="AC136" s="21"/>
      <c r="AD136" s="21" t="str">
        <f t="shared" si="83"/>
        <v>-</v>
      </c>
      <c r="AE136" s="21" t="str">
        <f t="shared" si="84"/>
        <v>-</v>
      </c>
      <c r="AF136" s="85"/>
      <c r="AG136" s="21" t="str">
        <f t="shared" si="85"/>
        <v>-</v>
      </c>
      <c r="AH136" s="21" t="str">
        <f t="shared" si="86"/>
        <v>-</v>
      </c>
      <c r="AI136" s="89" t="str">
        <f t="shared" si="87"/>
        <v>-</v>
      </c>
      <c r="AJ136" s="92">
        <v>1</v>
      </c>
      <c r="AK136" s="80" t="str">
        <f t="shared" si="88"/>
        <v>-</v>
      </c>
      <c r="AL136" s="80" t="s">
        <v>1863</v>
      </c>
      <c r="AM136" s="120">
        <v>42676</v>
      </c>
      <c r="AN136" s="157" t="s">
        <v>2163</v>
      </c>
      <c r="BC136" s="284">
        <v>42676</v>
      </c>
      <c r="BD136" s="433" t="s">
        <v>2163</v>
      </c>
    </row>
    <row r="137" spans="1:56" s="2" customFormat="1" ht="15.95" customHeight="1" x14ac:dyDescent="0.25">
      <c r="A137" s="86">
        <v>135</v>
      </c>
      <c r="B137" s="84">
        <f t="shared" si="89"/>
        <v>42676</v>
      </c>
      <c r="C137" s="29" t="s">
        <v>613</v>
      </c>
      <c r="D137" s="59" t="s">
        <v>1502</v>
      </c>
      <c r="E137" s="22" t="s">
        <v>727</v>
      </c>
      <c r="F137" s="27" t="s">
        <v>728</v>
      </c>
      <c r="G137" s="27"/>
      <c r="H137" s="28" t="s">
        <v>721</v>
      </c>
      <c r="I137" s="20">
        <v>41043</v>
      </c>
      <c r="J137" s="35">
        <f t="shared" si="75"/>
        <v>4.4739726027397264</v>
      </c>
      <c r="K137" s="364"/>
      <c r="L137" s="364"/>
      <c r="M137" s="60">
        <v>41795</v>
      </c>
      <c r="N137" s="32">
        <v>42518</v>
      </c>
      <c r="O137" s="82">
        <f t="shared" si="76"/>
        <v>158</v>
      </c>
      <c r="P137" s="19">
        <v>2</v>
      </c>
      <c r="Q137" s="68" t="s">
        <v>1448</v>
      </c>
      <c r="R137" s="118">
        <v>7762</v>
      </c>
      <c r="S137" s="21">
        <v>42578</v>
      </c>
      <c r="T137" s="20">
        <v>42602</v>
      </c>
      <c r="U137" s="20" t="str">
        <f t="shared" si="77"/>
        <v>-</v>
      </c>
      <c r="V137" s="19" t="str">
        <f t="shared" si="78"/>
        <v>-</v>
      </c>
      <c r="W137" s="3">
        <v>2</v>
      </c>
      <c r="X137" s="22">
        <f t="shared" si="79"/>
        <v>84</v>
      </c>
      <c r="Y137" s="22">
        <v>0</v>
      </c>
      <c r="Z137" s="22" t="str">
        <f t="shared" si="80"/>
        <v>яловая</v>
      </c>
      <c r="AA137" s="20" t="str">
        <f t="shared" si="81"/>
        <v>-</v>
      </c>
      <c r="AB137" s="94" t="str">
        <f t="shared" si="82"/>
        <v>---------</v>
      </c>
      <c r="AC137" s="21">
        <v>42644</v>
      </c>
      <c r="AD137" s="21" t="str">
        <f t="shared" si="83"/>
        <v>-</v>
      </c>
      <c r="AE137" s="21" t="str">
        <f t="shared" si="84"/>
        <v>-</v>
      </c>
      <c r="AF137" s="85"/>
      <c r="AG137" s="21" t="str">
        <f t="shared" si="85"/>
        <v>-</v>
      </c>
      <c r="AH137" s="21" t="str">
        <f t="shared" si="86"/>
        <v>-</v>
      </c>
      <c r="AI137" s="89" t="str">
        <f t="shared" si="87"/>
        <v>-</v>
      </c>
      <c r="AJ137" s="92">
        <v>1</v>
      </c>
      <c r="AK137" s="80" t="s">
        <v>1863</v>
      </c>
      <c r="AL137" s="80" t="s">
        <v>1863</v>
      </c>
      <c r="AM137" s="120">
        <v>42676</v>
      </c>
      <c r="AN137" s="157" t="s">
        <v>1997</v>
      </c>
      <c r="BC137" s="284">
        <v>42676</v>
      </c>
      <c r="BD137" s="433" t="s">
        <v>1997</v>
      </c>
    </row>
    <row r="138" spans="1:56" s="2" customFormat="1" ht="15.95" customHeight="1" x14ac:dyDescent="0.25">
      <c r="A138" s="86">
        <v>136</v>
      </c>
      <c r="B138" s="84">
        <f t="shared" si="89"/>
        <v>42676</v>
      </c>
      <c r="C138" s="29"/>
      <c r="D138" s="59" t="s">
        <v>1041</v>
      </c>
      <c r="E138" s="22" t="s">
        <v>1079</v>
      </c>
      <c r="F138" s="27" t="s">
        <v>969</v>
      </c>
      <c r="G138" s="27"/>
      <c r="H138" s="28" t="s">
        <v>603</v>
      </c>
      <c r="I138" s="20">
        <v>42013</v>
      </c>
      <c r="J138" s="35">
        <f t="shared" si="75"/>
        <v>1.8164383561643835</v>
      </c>
      <c r="M138" s="60"/>
      <c r="N138" s="32"/>
      <c r="O138" s="82" t="str">
        <f t="shared" si="76"/>
        <v>-</v>
      </c>
      <c r="P138" s="19"/>
      <c r="Q138" s="68" t="s">
        <v>1451</v>
      </c>
      <c r="R138" s="118">
        <v>9320</v>
      </c>
      <c r="S138" s="21">
        <v>42412</v>
      </c>
      <c r="T138" s="20">
        <v>42566</v>
      </c>
      <c r="U138" s="20" t="str">
        <f t="shared" si="77"/>
        <v>-</v>
      </c>
      <c r="V138" s="19" t="str">
        <f t="shared" si="78"/>
        <v>-</v>
      </c>
      <c r="W138" s="3">
        <v>4</v>
      </c>
      <c r="X138" s="22" t="str">
        <f t="shared" si="79"/>
        <v>-</v>
      </c>
      <c r="Y138" s="22">
        <v>0</v>
      </c>
      <c r="Z138" s="22" t="str">
        <f t="shared" si="80"/>
        <v>-</v>
      </c>
      <c r="AA138" s="20" t="str">
        <f t="shared" si="81"/>
        <v>-</v>
      </c>
      <c r="AB138" s="94" t="str">
        <f t="shared" si="82"/>
        <v>---------</v>
      </c>
      <c r="AC138" s="21">
        <v>42565</v>
      </c>
      <c r="AD138" s="21" t="str">
        <f t="shared" si="83"/>
        <v>-</v>
      </c>
      <c r="AE138" s="21" t="str">
        <f t="shared" si="84"/>
        <v>-</v>
      </c>
      <c r="AF138" s="85"/>
      <c r="AG138" s="21" t="str">
        <f t="shared" si="85"/>
        <v>-</v>
      </c>
      <c r="AH138" s="21" t="str">
        <f t="shared" si="86"/>
        <v>-</v>
      </c>
      <c r="AI138" s="89" t="str">
        <f t="shared" si="87"/>
        <v>-</v>
      </c>
      <c r="AJ138" s="92">
        <v>1</v>
      </c>
      <c r="AK138" s="80" t="str">
        <f t="shared" ref="AK138:AK157" si="90">IF(AND(Z138="яловая",O138&gt;300),"БРАК","-")</f>
        <v>-</v>
      </c>
      <c r="AL138" s="80"/>
      <c r="AM138" s="120">
        <v>42676</v>
      </c>
      <c r="AN138" s="157" t="s">
        <v>2162</v>
      </c>
      <c r="BC138" s="284">
        <v>42676</v>
      </c>
      <c r="BD138" s="433" t="s">
        <v>2162</v>
      </c>
    </row>
    <row r="139" spans="1:56" s="2" customFormat="1" ht="15.95" customHeight="1" x14ac:dyDescent="0.25">
      <c r="A139" s="86">
        <v>137</v>
      </c>
      <c r="B139" s="84">
        <f t="shared" si="89"/>
        <v>42679</v>
      </c>
      <c r="C139" s="29" t="s">
        <v>613</v>
      </c>
      <c r="D139" s="59" t="s">
        <v>1502</v>
      </c>
      <c r="E139" s="22" t="s">
        <v>843</v>
      </c>
      <c r="F139" s="27" t="s">
        <v>844</v>
      </c>
      <c r="G139" s="27"/>
      <c r="H139" s="28" t="s">
        <v>721</v>
      </c>
      <c r="I139" s="20">
        <v>40996</v>
      </c>
      <c r="J139" s="35">
        <f t="shared" si="75"/>
        <v>4.6109589041095891</v>
      </c>
      <c r="M139" s="60">
        <v>41799</v>
      </c>
      <c r="N139" s="32">
        <v>42302</v>
      </c>
      <c r="O139" s="82">
        <f t="shared" si="76"/>
        <v>377</v>
      </c>
      <c r="P139" s="19">
        <v>2</v>
      </c>
      <c r="Q139" s="68"/>
      <c r="R139" s="118"/>
      <c r="S139" s="21"/>
      <c r="T139" s="20"/>
      <c r="U139" s="20" t="str">
        <f t="shared" si="77"/>
        <v>-</v>
      </c>
      <c r="V139" s="19" t="str">
        <f t="shared" si="78"/>
        <v>-</v>
      </c>
      <c r="W139" s="3">
        <v>0</v>
      </c>
      <c r="X139" s="22" t="str">
        <f t="shared" si="79"/>
        <v>-</v>
      </c>
      <c r="Y139" s="22">
        <v>0</v>
      </c>
      <c r="Z139" s="22" t="str">
        <f t="shared" si="80"/>
        <v>яловая</v>
      </c>
      <c r="AA139" s="20" t="str">
        <f t="shared" si="81"/>
        <v>-</v>
      </c>
      <c r="AB139" s="94" t="str">
        <f t="shared" si="82"/>
        <v>---------</v>
      </c>
      <c r="AC139" s="21"/>
      <c r="AD139" s="21" t="str">
        <f t="shared" si="83"/>
        <v>-</v>
      </c>
      <c r="AE139" s="21" t="str">
        <f t="shared" si="84"/>
        <v>-</v>
      </c>
      <c r="AF139" s="85"/>
      <c r="AG139" s="21" t="str">
        <f t="shared" si="85"/>
        <v>-</v>
      </c>
      <c r="AH139" s="21" t="str">
        <f t="shared" si="86"/>
        <v>-</v>
      </c>
      <c r="AI139" s="89" t="str">
        <f t="shared" si="87"/>
        <v>-</v>
      </c>
      <c r="AJ139" s="92">
        <v>1</v>
      </c>
      <c r="AK139" s="80" t="str">
        <f t="shared" si="90"/>
        <v>БРАК</v>
      </c>
      <c r="AL139" s="80" t="s">
        <v>1863</v>
      </c>
      <c r="AM139" s="120">
        <v>42679</v>
      </c>
      <c r="AN139" s="157" t="str">
        <f>IF(AND(N139&gt;0,T139&gt;0,W139&gt;0,Y139=1,AC139&gt;0,AF139&gt;0),"DRY COW","-")</f>
        <v>-</v>
      </c>
      <c r="BC139" s="284">
        <v>42679</v>
      </c>
      <c r="BD139" s="433" t="str">
        <f>IF(AND(AF139&gt;0,AL139&gt;0,AO139&gt;0,AQ139=1,AS139&gt;0,AV139&gt;0),"DRY COW","-")</f>
        <v>-</v>
      </c>
    </row>
    <row r="140" spans="1:56" s="2" customFormat="1" ht="15.95" customHeight="1" x14ac:dyDescent="0.25">
      <c r="A140" s="86">
        <v>138</v>
      </c>
      <c r="B140" s="84">
        <f t="shared" si="89"/>
        <v>42679</v>
      </c>
      <c r="C140" s="29" t="s">
        <v>613</v>
      </c>
      <c r="D140" s="59" t="s">
        <v>1502</v>
      </c>
      <c r="E140" s="22" t="s">
        <v>150</v>
      </c>
      <c r="F140" s="27" t="s">
        <v>587</v>
      </c>
      <c r="G140" s="27"/>
      <c r="H140" s="28" t="s">
        <v>78</v>
      </c>
      <c r="I140" s="20">
        <v>41313</v>
      </c>
      <c r="J140" s="35">
        <f t="shared" si="75"/>
        <v>3.7424657534246575</v>
      </c>
      <c r="M140" s="60">
        <v>42144</v>
      </c>
      <c r="N140" s="32">
        <v>42144</v>
      </c>
      <c r="O140" s="82">
        <f t="shared" si="76"/>
        <v>535</v>
      </c>
      <c r="P140" s="19">
        <v>1</v>
      </c>
      <c r="Q140" s="68" t="s">
        <v>1481</v>
      </c>
      <c r="R140" s="118">
        <v>331129</v>
      </c>
      <c r="S140" s="21">
        <v>42184</v>
      </c>
      <c r="T140" s="20">
        <v>42491</v>
      </c>
      <c r="U140" s="20" t="str">
        <f t="shared" si="77"/>
        <v>-</v>
      </c>
      <c r="V140" s="19" t="str">
        <f t="shared" si="78"/>
        <v>-</v>
      </c>
      <c r="W140" s="3">
        <v>7</v>
      </c>
      <c r="X140" s="22">
        <f t="shared" si="79"/>
        <v>347</v>
      </c>
      <c r="Y140" s="22">
        <v>0</v>
      </c>
      <c r="Z140" s="22" t="str">
        <f t="shared" si="80"/>
        <v>яловая</v>
      </c>
      <c r="AA140" s="20" t="str">
        <f t="shared" si="81"/>
        <v>-</v>
      </c>
      <c r="AB140" s="94" t="str">
        <f t="shared" si="82"/>
        <v>---------</v>
      </c>
      <c r="AC140" s="21">
        <v>42542</v>
      </c>
      <c r="AD140" s="21" t="str">
        <f t="shared" si="83"/>
        <v>-</v>
      </c>
      <c r="AE140" s="21" t="str">
        <f t="shared" si="84"/>
        <v>-</v>
      </c>
      <c r="AF140" s="85"/>
      <c r="AG140" s="21" t="str">
        <f t="shared" si="85"/>
        <v>-</v>
      </c>
      <c r="AH140" s="21" t="str">
        <f t="shared" si="86"/>
        <v>-</v>
      </c>
      <c r="AI140" s="89" t="str">
        <f t="shared" si="87"/>
        <v>-</v>
      </c>
      <c r="AJ140" s="92">
        <v>1</v>
      </c>
      <c r="AK140" s="80" t="str">
        <f t="shared" si="90"/>
        <v>БРАК</v>
      </c>
      <c r="AL140" s="80" t="s">
        <v>1863</v>
      </c>
      <c r="AM140" s="120">
        <v>42679</v>
      </c>
      <c r="AN140" s="157" t="str">
        <f>IF(AND(N140&gt;0,T140&gt;0,W140&gt;0,Y140=1,AC140&gt;0,AF140&gt;0),"DRY COW","-")</f>
        <v>-</v>
      </c>
      <c r="BC140" s="284">
        <v>42679</v>
      </c>
      <c r="BD140" s="433" t="str">
        <f>IF(AND(AF140&gt;0,AL140&gt;0,AO140&gt;0,AQ140=1,AS140&gt;0,AV140&gt;0),"DRY COW","-")</f>
        <v>-</v>
      </c>
    </row>
    <row r="141" spans="1:56" s="2" customFormat="1" ht="15.95" customHeight="1" x14ac:dyDescent="0.25">
      <c r="A141" s="86">
        <v>139</v>
      </c>
      <c r="B141" s="84">
        <f t="shared" si="89"/>
        <v>42679</v>
      </c>
      <c r="C141" s="29" t="s">
        <v>615</v>
      </c>
      <c r="D141" s="59" t="s">
        <v>908</v>
      </c>
      <c r="E141" s="22" t="s">
        <v>375</v>
      </c>
      <c r="F141" s="27" t="s">
        <v>376</v>
      </c>
      <c r="G141" s="27"/>
      <c r="H141" s="28" t="s">
        <v>603</v>
      </c>
      <c r="I141" s="20">
        <v>40413</v>
      </c>
      <c r="J141" s="35">
        <f t="shared" si="75"/>
        <v>6.2082191780821914</v>
      </c>
      <c r="M141" s="60">
        <v>41573</v>
      </c>
      <c r="N141" s="32">
        <v>42499</v>
      </c>
      <c r="O141" s="82">
        <f t="shared" si="76"/>
        <v>180</v>
      </c>
      <c r="P141" s="19">
        <v>3</v>
      </c>
      <c r="Q141" s="68" t="s">
        <v>1451</v>
      </c>
      <c r="R141" s="118" t="s">
        <v>1815</v>
      </c>
      <c r="S141" s="21">
        <v>42612</v>
      </c>
      <c r="T141" s="20">
        <v>42612</v>
      </c>
      <c r="U141" s="20" t="str">
        <f t="shared" si="77"/>
        <v>-</v>
      </c>
      <c r="V141" s="19" t="str">
        <f t="shared" si="78"/>
        <v>-</v>
      </c>
      <c r="W141" s="3">
        <v>1</v>
      </c>
      <c r="X141" s="22">
        <f t="shared" si="79"/>
        <v>113</v>
      </c>
      <c r="Y141" s="22">
        <v>0</v>
      </c>
      <c r="Z141" s="22" t="str">
        <f t="shared" si="80"/>
        <v>яловая</v>
      </c>
      <c r="AA141" s="20" t="str">
        <f t="shared" si="81"/>
        <v>-</v>
      </c>
      <c r="AB141" s="94" t="str">
        <f t="shared" si="82"/>
        <v>---------</v>
      </c>
      <c r="AC141" s="21">
        <v>42649</v>
      </c>
      <c r="AD141" s="21" t="str">
        <f t="shared" si="83"/>
        <v>-</v>
      </c>
      <c r="AE141" s="21" t="str">
        <f t="shared" si="84"/>
        <v>-</v>
      </c>
      <c r="AF141" s="85"/>
      <c r="AG141" s="21" t="str">
        <f t="shared" si="85"/>
        <v>-</v>
      </c>
      <c r="AH141" s="21" t="str">
        <f t="shared" si="86"/>
        <v>-</v>
      </c>
      <c r="AI141" s="89" t="str">
        <f t="shared" si="87"/>
        <v>-</v>
      </c>
      <c r="AJ141" s="92">
        <v>1</v>
      </c>
      <c r="AK141" s="80" t="str">
        <f t="shared" si="90"/>
        <v>-</v>
      </c>
      <c r="AL141" s="80" t="s">
        <v>1863</v>
      </c>
      <c r="AM141" s="120">
        <v>42679</v>
      </c>
      <c r="AN141" s="157" t="str">
        <f>IF(AND(N141&gt;0,T141&gt;0,W141&gt;0,Y141=1,AC141&gt;0,AF141&gt;0),"DRY COW","-")</f>
        <v>-</v>
      </c>
      <c r="BC141" s="284">
        <v>42679</v>
      </c>
      <c r="BD141" s="433" t="str">
        <f>IF(AND(AF141&gt;0,AL141&gt;0,AO141&gt;0,AQ141=1,AS141&gt;0,AV141&gt;0),"DRY COW","-")</f>
        <v>-</v>
      </c>
    </row>
    <row r="142" spans="1:56" s="2" customFormat="1" ht="15.95" customHeight="1" x14ac:dyDescent="0.25">
      <c r="A142" s="86">
        <v>140</v>
      </c>
      <c r="B142" s="84">
        <f t="shared" si="89"/>
        <v>42695</v>
      </c>
      <c r="C142" s="29" t="s">
        <v>615</v>
      </c>
      <c r="D142" s="59" t="s">
        <v>1633</v>
      </c>
      <c r="E142" s="22" t="s">
        <v>47</v>
      </c>
      <c r="F142" s="27" t="s">
        <v>48</v>
      </c>
      <c r="G142" s="27"/>
      <c r="H142" s="28" t="s">
        <v>78</v>
      </c>
      <c r="I142" s="20">
        <v>40222</v>
      </c>
      <c r="J142" s="35">
        <f t="shared" si="75"/>
        <v>6.7753424657534245</v>
      </c>
      <c r="M142" s="60">
        <v>41075</v>
      </c>
      <c r="N142" s="32">
        <v>42562</v>
      </c>
      <c r="O142" s="82">
        <f t="shared" si="76"/>
        <v>133</v>
      </c>
      <c r="P142" s="19">
        <v>4</v>
      </c>
      <c r="Q142" s="68" t="s">
        <v>1451</v>
      </c>
      <c r="R142" s="118" t="s">
        <v>1809</v>
      </c>
      <c r="S142" s="21">
        <v>42644</v>
      </c>
      <c r="T142" s="20">
        <v>42689</v>
      </c>
      <c r="U142" s="20">
        <f t="shared" si="77"/>
        <v>42707</v>
      </c>
      <c r="V142" s="19">
        <f t="shared" si="78"/>
        <v>-12</v>
      </c>
      <c r="W142" s="3">
        <v>2</v>
      </c>
      <c r="X142" s="22">
        <f t="shared" si="79"/>
        <v>127</v>
      </c>
      <c r="Y142" s="22">
        <v>3</v>
      </c>
      <c r="Z142" s="22" t="str">
        <f t="shared" si="80"/>
        <v>-</v>
      </c>
      <c r="AA142" s="20">
        <f t="shared" si="81"/>
        <v>42724</v>
      </c>
      <c r="AB142" s="94">
        <f t="shared" si="82"/>
        <v>-29</v>
      </c>
      <c r="AC142" s="21">
        <v>42685</v>
      </c>
      <c r="AD142" s="21" t="str">
        <f t="shared" si="83"/>
        <v>-</v>
      </c>
      <c r="AE142" s="21" t="str">
        <f t="shared" si="84"/>
        <v>-</v>
      </c>
      <c r="AF142" s="85"/>
      <c r="AG142" s="21" t="str">
        <f t="shared" si="85"/>
        <v>-</v>
      </c>
      <c r="AH142" s="21" t="str">
        <f t="shared" si="86"/>
        <v>-</v>
      </c>
      <c r="AI142" s="89" t="str">
        <f t="shared" si="87"/>
        <v>-</v>
      </c>
      <c r="AJ142" s="92">
        <v>1</v>
      </c>
      <c r="AK142" s="80" t="str">
        <f t="shared" si="90"/>
        <v>-</v>
      </c>
      <c r="AL142" s="80"/>
      <c r="AM142" s="120">
        <v>42695</v>
      </c>
      <c r="AN142" s="157" t="s">
        <v>2218</v>
      </c>
      <c r="BC142" s="284">
        <v>42695</v>
      </c>
      <c r="BD142" s="433" t="s">
        <v>2218</v>
      </c>
    </row>
    <row r="143" spans="1:56" s="2" customFormat="1" ht="15.95" customHeight="1" x14ac:dyDescent="0.25">
      <c r="A143" s="86">
        <v>141</v>
      </c>
      <c r="B143" s="84">
        <f t="shared" si="89"/>
        <v>42695</v>
      </c>
      <c r="C143" s="29"/>
      <c r="D143" s="59" t="s">
        <v>1456</v>
      </c>
      <c r="E143" s="22" t="s">
        <v>266</v>
      </c>
      <c r="F143" s="27" t="s">
        <v>392</v>
      </c>
      <c r="G143" s="27"/>
      <c r="H143" s="28" t="s">
        <v>612</v>
      </c>
      <c r="I143" s="20">
        <v>38429</v>
      </c>
      <c r="J143" s="35">
        <f t="shared" si="75"/>
        <v>11.687671232876712</v>
      </c>
      <c r="M143" s="60">
        <v>39512</v>
      </c>
      <c r="N143" s="32">
        <v>42684</v>
      </c>
      <c r="O143" s="82">
        <f t="shared" si="76"/>
        <v>11</v>
      </c>
      <c r="P143" s="19">
        <v>7</v>
      </c>
      <c r="Q143" s="68"/>
      <c r="R143" s="118"/>
      <c r="S143" s="21"/>
      <c r="T143" s="20"/>
      <c r="U143" s="20" t="str">
        <f t="shared" si="77"/>
        <v>-</v>
      </c>
      <c r="V143" s="19" t="str">
        <f t="shared" si="78"/>
        <v>-</v>
      </c>
      <c r="W143" s="3">
        <v>0</v>
      </c>
      <c r="X143" s="22" t="str">
        <f t="shared" si="79"/>
        <v>-</v>
      </c>
      <c r="Y143" s="22">
        <v>0</v>
      </c>
      <c r="Z143" s="22" t="str">
        <f t="shared" si="80"/>
        <v>-</v>
      </c>
      <c r="AA143" s="20" t="str">
        <f t="shared" si="81"/>
        <v>-</v>
      </c>
      <c r="AB143" s="94" t="str">
        <f t="shared" si="82"/>
        <v>---------</v>
      </c>
      <c r="AC143" s="21"/>
      <c r="AD143" s="21" t="str">
        <f t="shared" si="83"/>
        <v>-</v>
      </c>
      <c r="AE143" s="21" t="str">
        <f t="shared" si="84"/>
        <v>-</v>
      </c>
      <c r="AF143" s="85"/>
      <c r="AG143" s="21" t="str">
        <f t="shared" si="85"/>
        <v>-</v>
      </c>
      <c r="AH143" s="21" t="str">
        <f t="shared" si="86"/>
        <v>-</v>
      </c>
      <c r="AI143" s="89" t="str">
        <f t="shared" si="87"/>
        <v>-</v>
      </c>
      <c r="AJ143" s="92">
        <v>1</v>
      </c>
      <c r="AK143" s="80" t="str">
        <f t="shared" si="90"/>
        <v>-</v>
      </c>
      <c r="AL143" s="80"/>
      <c r="AM143" s="120">
        <v>42695</v>
      </c>
      <c r="AN143" s="157" t="s">
        <v>2219</v>
      </c>
      <c r="BC143" s="284">
        <v>42695</v>
      </c>
      <c r="BD143" s="433" t="s">
        <v>2219</v>
      </c>
    </row>
    <row r="144" spans="1:56" s="2" customFormat="1" ht="15.95" customHeight="1" x14ac:dyDescent="0.25">
      <c r="A144" s="86">
        <v>142</v>
      </c>
      <c r="B144" s="84">
        <f t="shared" si="89"/>
        <v>42695</v>
      </c>
      <c r="C144" s="29"/>
      <c r="D144" s="59" t="s">
        <v>1456</v>
      </c>
      <c r="E144" s="22" t="s">
        <v>152</v>
      </c>
      <c r="F144" s="27" t="s">
        <v>153</v>
      </c>
      <c r="G144" s="27"/>
      <c r="H144" s="28" t="s">
        <v>603</v>
      </c>
      <c r="I144" s="20">
        <v>40115</v>
      </c>
      <c r="J144" s="35">
        <f t="shared" si="75"/>
        <v>7.0684931506849313</v>
      </c>
      <c r="M144" s="60">
        <v>41036</v>
      </c>
      <c r="N144" s="32">
        <v>42661</v>
      </c>
      <c r="O144" s="82">
        <f t="shared" si="76"/>
        <v>34</v>
      </c>
      <c r="P144" s="19">
        <v>5</v>
      </c>
      <c r="Q144" s="68"/>
      <c r="R144" s="118"/>
      <c r="S144" s="21"/>
      <c r="T144" s="20"/>
      <c r="U144" s="20" t="str">
        <f t="shared" si="77"/>
        <v>-</v>
      </c>
      <c r="V144" s="19" t="str">
        <f t="shared" si="78"/>
        <v>-</v>
      </c>
      <c r="W144" s="3">
        <v>0</v>
      </c>
      <c r="X144" s="22" t="str">
        <f t="shared" si="79"/>
        <v>-</v>
      </c>
      <c r="Y144" s="22">
        <v>0</v>
      </c>
      <c r="Z144" s="22" t="str">
        <f t="shared" si="80"/>
        <v>-</v>
      </c>
      <c r="AA144" s="20" t="str">
        <f t="shared" si="81"/>
        <v>-</v>
      </c>
      <c r="AB144" s="94" t="str">
        <f t="shared" si="82"/>
        <v>---------</v>
      </c>
      <c r="AC144" s="21"/>
      <c r="AD144" s="21" t="str">
        <f t="shared" si="83"/>
        <v>-</v>
      </c>
      <c r="AE144" s="21" t="str">
        <f t="shared" si="84"/>
        <v>-</v>
      </c>
      <c r="AF144" s="85"/>
      <c r="AG144" s="21" t="str">
        <f t="shared" si="85"/>
        <v>-</v>
      </c>
      <c r="AH144" s="21" t="str">
        <f t="shared" si="86"/>
        <v>-</v>
      </c>
      <c r="AI144" s="89" t="str">
        <f t="shared" si="87"/>
        <v>-</v>
      </c>
      <c r="AJ144" s="92">
        <v>1</v>
      </c>
      <c r="AK144" s="80" t="str">
        <f t="shared" si="90"/>
        <v>-</v>
      </c>
      <c r="AL144" s="80"/>
      <c r="AM144" s="120">
        <v>42695</v>
      </c>
      <c r="AN144" s="157" t="s">
        <v>2220</v>
      </c>
      <c r="BC144" s="284">
        <v>42695</v>
      </c>
      <c r="BD144" s="433" t="s">
        <v>2220</v>
      </c>
    </row>
    <row r="145" spans="1:56" s="2" customFormat="1" ht="15.95" customHeight="1" x14ac:dyDescent="0.25">
      <c r="A145" s="86">
        <v>143</v>
      </c>
      <c r="B145" s="84">
        <f t="shared" si="89"/>
        <v>42689</v>
      </c>
      <c r="C145" s="29" t="s">
        <v>2161</v>
      </c>
      <c r="D145" s="59" t="s">
        <v>1046</v>
      </c>
      <c r="E145" s="22" t="s">
        <v>1108</v>
      </c>
      <c r="F145" s="27" t="s">
        <v>1011</v>
      </c>
      <c r="G145" s="27"/>
      <c r="H145" s="28" t="s">
        <v>603</v>
      </c>
      <c r="I145" s="20">
        <v>42058</v>
      </c>
      <c r="J145" s="35">
        <f t="shared" si="75"/>
        <v>1.7287671232876711</v>
      </c>
      <c r="M145" s="60"/>
      <c r="N145" s="32"/>
      <c r="O145" s="82" t="str">
        <f t="shared" si="76"/>
        <v>-</v>
      </c>
      <c r="P145" s="19"/>
      <c r="Q145" s="68" t="s">
        <v>1448</v>
      </c>
      <c r="R145" s="118">
        <v>9320</v>
      </c>
      <c r="S145" s="21">
        <v>42425</v>
      </c>
      <c r="T145" s="20">
        <v>42575</v>
      </c>
      <c r="U145" s="20" t="str">
        <f t="shared" si="77"/>
        <v>-</v>
      </c>
      <c r="V145" s="19" t="str">
        <f t="shared" si="78"/>
        <v>-</v>
      </c>
      <c r="W145" s="3">
        <v>5</v>
      </c>
      <c r="X145" s="22" t="str">
        <f t="shared" si="79"/>
        <v>-</v>
      </c>
      <c r="Y145" s="22">
        <v>0</v>
      </c>
      <c r="Z145" s="22" t="str">
        <f t="shared" si="80"/>
        <v>-</v>
      </c>
      <c r="AA145" s="20" t="str">
        <f t="shared" si="81"/>
        <v>-</v>
      </c>
      <c r="AB145" s="94" t="str">
        <f t="shared" si="82"/>
        <v>---------</v>
      </c>
      <c r="AC145" s="21">
        <v>42641</v>
      </c>
      <c r="AD145" s="21" t="str">
        <f t="shared" si="83"/>
        <v>-</v>
      </c>
      <c r="AE145" s="21" t="str">
        <f t="shared" si="84"/>
        <v>-</v>
      </c>
      <c r="AF145" s="85"/>
      <c r="AG145" s="21" t="str">
        <f t="shared" si="85"/>
        <v>-</v>
      </c>
      <c r="AH145" s="21" t="str">
        <f t="shared" si="86"/>
        <v>-</v>
      </c>
      <c r="AI145" s="89" t="str">
        <f t="shared" si="87"/>
        <v>-</v>
      </c>
      <c r="AJ145" s="92">
        <v>1</v>
      </c>
      <c r="AK145" s="80" t="str">
        <f t="shared" si="90"/>
        <v>-</v>
      </c>
      <c r="AL145" s="80"/>
      <c r="AM145" s="120">
        <v>42689</v>
      </c>
      <c r="AN145" s="157" t="str">
        <f>IF(AND(N145&gt;0,T145&gt;0,W145&gt;0,Y145=1,AC145&gt;0,AF145&gt;0),"DRY COW","-")</f>
        <v>-</v>
      </c>
      <c r="BC145" s="284">
        <v>42689</v>
      </c>
      <c r="BD145" s="433" t="str">
        <f>IF(AND(AF145&gt;0,AL145&gt;0,AO145&gt;0,AQ145=1,AS145&gt;0,AV145&gt;0),"DRY COW","-")</f>
        <v>-</v>
      </c>
    </row>
    <row r="146" spans="1:56" s="2" customFormat="1" ht="15.95" customHeight="1" x14ac:dyDescent="0.25">
      <c r="A146" s="86">
        <v>144</v>
      </c>
      <c r="B146" s="84">
        <f t="shared" si="89"/>
        <v>42709</v>
      </c>
      <c r="C146" s="29" t="s">
        <v>613</v>
      </c>
      <c r="D146" s="59" t="s">
        <v>1502</v>
      </c>
      <c r="E146" s="22" t="s">
        <v>260</v>
      </c>
      <c r="F146" s="27" t="s">
        <v>261</v>
      </c>
      <c r="G146" s="27"/>
      <c r="H146" s="28" t="s">
        <v>603</v>
      </c>
      <c r="I146" s="20">
        <v>41258</v>
      </c>
      <c r="J146" s="35">
        <f t="shared" si="75"/>
        <v>3.9753424657534246</v>
      </c>
      <c r="M146" s="60">
        <v>41991</v>
      </c>
      <c r="N146" s="32">
        <v>41991</v>
      </c>
      <c r="O146" s="82">
        <f t="shared" si="76"/>
        <v>718</v>
      </c>
      <c r="P146" s="19">
        <v>1</v>
      </c>
      <c r="Q146" s="68" t="s">
        <v>1448</v>
      </c>
      <c r="R146" s="118">
        <v>6845</v>
      </c>
      <c r="S146" s="21">
        <v>42051</v>
      </c>
      <c r="T146" s="20">
        <v>42405</v>
      </c>
      <c r="U146" s="20" t="str">
        <f t="shared" si="77"/>
        <v>-</v>
      </c>
      <c r="V146" s="19" t="str">
        <f t="shared" si="78"/>
        <v>-</v>
      </c>
      <c r="W146" s="3">
        <v>7</v>
      </c>
      <c r="X146" s="22">
        <f t="shared" si="79"/>
        <v>414</v>
      </c>
      <c r="Y146" s="22">
        <v>0</v>
      </c>
      <c r="Z146" s="22" t="str">
        <f t="shared" si="80"/>
        <v>яловая</v>
      </c>
      <c r="AA146" s="20" t="str">
        <f t="shared" si="81"/>
        <v>-</v>
      </c>
      <c r="AB146" s="94" t="str">
        <f t="shared" si="82"/>
        <v>---------</v>
      </c>
      <c r="AC146" s="21">
        <v>42631</v>
      </c>
      <c r="AD146" s="21" t="str">
        <f t="shared" si="83"/>
        <v>-</v>
      </c>
      <c r="AE146" s="21" t="str">
        <f t="shared" ref="AE146:AE157" si="91">IF(AND(T146&gt;0,Y146=1,N146&gt;0),T146+280-60,"-")</f>
        <v>-</v>
      </c>
      <c r="AF146" s="85"/>
      <c r="AG146" s="21" t="str">
        <f t="shared" si="85"/>
        <v>-</v>
      </c>
      <c r="AH146" s="21" t="str">
        <f t="shared" si="86"/>
        <v>-</v>
      </c>
      <c r="AI146" s="89" t="str">
        <f t="shared" si="87"/>
        <v>-</v>
      </c>
      <c r="AJ146" s="92">
        <v>1</v>
      </c>
      <c r="AK146" s="80" t="str">
        <f t="shared" si="90"/>
        <v>БРАК</v>
      </c>
      <c r="AL146" s="80" t="s">
        <v>1863</v>
      </c>
      <c r="AM146" s="120">
        <v>42709</v>
      </c>
      <c r="AN146" s="157" t="str">
        <f>IF(AND(N146&gt;0,T146&gt;0,W146&gt;0,Y146=1,AC146&gt;0,AF146&gt;0),"DRY COW","-")</f>
        <v>-</v>
      </c>
      <c r="BC146" s="284">
        <v>42709</v>
      </c>
      <c r="BD146" s="433" t="str">
        <f>IF(AND(AF146&gt;0,AL146&gt;0,AO146&gt;0,AQ146=1,AS146&gt;0,AV146&gt;0),"DRY COW","-")</f>
        <v>-</v>
      </c>
    </row>
    <row r="147" spans="1:56" s="2" customFormat="1" ht="15.95" customHeight="1" x14ac:dyDescent="0.25">
      <c r="A147" s="86">
        <v>145</v>
      </c>
      <c r="B147" s="84">
        <f t="shared" si="89"/>
        <v>42709</v>
      </c>
      <c r="C147" s="29"/>
      <c r="D147" s="59" t="s">
        <v>1456</v>
      </c>
      <c r="E147" s="22" t="s">
        <v>194</v>
      </c>
      <c r="F147" s="27" t="s">
        <v>195</v>
      </c>
      <c r="G147" s="27"/>
      <c r="H147" s="28" t="s">
        <v>603</v>
      </c>
      <c r="I147" s="20">
        <v>39941</v>
      </c>
      <c r="J147" s="35">
        <f t="shared" si="75"/>
        <v>7.5835616438356164</v>
      </c>
      <c r="M147" s="60">
        <v>40864</v>
      </c>
      <c r="N147" s="32">
        <v>42662</v>
      </c>
      <c r="O147" s="82">
        <f t="shared" si="76"/>
        <v>47</v>
      </c>
      <c r="P147" s="19">
        <v>5</v>
      </c>
      <c r="Q147" s="68"/>
      <c r="R147" s="118"/>
      <c r="S147" s="21"/>
      <c r="T147" s="20"/>
      <c r="U147" s="20" t="str">
        <f t="shared" si="77"/>
        <v>-</v>
      </c>
      <c r="V147" s="19" t="str">
        <f t="shared" si="78"/>
        <v>-</v>
      </c>
      <c r="W147" s="3">
        <v>0</v>
      </c>
      <c r="X147" s="22" t="str">
        <f t="shared" si="79"/>
        <v>-</v>
      </c>
      <c r="Y147" s="22">
        <v>0</v>
      </c>
      <c r="Z147" s="22" t="str">
        <f t="shared" si="80"/>
        <v>-</v>
      </c>
      <c r="AA147" s="20" t="str">
        <f t="shared" si="81"/>
        <v>-</v>
      </c>
      <c r="AB147" s="94" t="str">
        <f t="shared" si="82"/>
        <v>---------</v>
      </c>
      <c r="AC147" s="21"/>
      <c r="AD147" s="21" t="str">
        <f t="shared" si="83"/>
        <v>-</v>
      </c>
      <c r="AE147" s="21" t="str">
        <f t="shared" si="91"/>
        <v>-</v>
      </c>
      <c r="AF147" s="85"/>
      <c r="AG147" s="21" t="str">
        <f t="shared" si="85"/>
        <v>-</v>
      </c>
      <c r="AH147" s="21" t="str">
        <f t="shared" si="86"/>
        <v>-</v>
      </c>
      <c r="AI147" s="89" t="str">
        <f t="shared" si="87"/>
        <v>-</v>
      </c>
      <c r="AJ147" s="92">
        <v>1</v>
      </c>
      <c r="AK147" s="80" t="str">
        <f t="shared" si="90"/>
        <v>-</v>
      </c>
      <c r="AL147" s="80" t="s">
        <v>1863</v>
      </c>
      <c r="AM147" s="120">
        <v>42709</v>
      </c>
      <c r="AN147" s="157" t="str">
        <f>IF(AND(N147&gt;0,T147&gt;0,W147&gt;0,Y147=1,AC147&gt;0,AF147&gt;0),"DRY COW","-")</f>
        <v>-</v>
      </c>
      <c r="BC147" s="284">
        <v>42709</v>
      </c>
      <c r="BD147" s="433" t="str">
        <f>IF(AND(AF147&gt;0,AL147&gt;0,AO147&gt;0,AQ147=1,AS147&gt;0,AV147&gt;0),"DRY COW","-")</f>
        <v>-</v>
      </c>
    </row>
    <row r="148" spans="1:56" s="2" customFormat="1" ht="15.95" customHeight="1" x14ac:dyDescent="0.25">
      <c r="A148" s="86">
        <v>146</v>
      </c>
      <c r="B148" s="84">
        <f t="shared" si="89"/>
        <v>42706</v>
      </c>
      <c r="C148" s="29" t="s">
        <v>2161</v>
      </c>
      <c r="D148" s="59" t="s">
        <v>1046</v>
      </c>
      <c r="E148" s="22" t="s">
        <v>1061</v>
      </c>
      <c r="F148" s="27" t="s">
        <v>979</v>
      </c>
      <c r="G148" s="27"/>
      <c r="H148" s="28" t="s">
        <v>603</v>
      </c>
      <c r="I148" s="20">
        <v>41935</v>
      </c>
      <c r="J148" s="35">
        <f t="shared" si="75"/>
        <v>2.1123287671232878</v>
      </c>
      <c r="M148" s="60"/>
      <c r="N148" s="32"/>
      <c r="O148" s="82" t="str">
        <f t="shared" si="76"/>
        <v>-</v>
      </c>
      <c r="P148" s="19"/>
      <c r="Q148" s="68" t="s">
        <v>1451</v>
      </c>
      <c r="R148" s="118">
        <v>6845</v>
      </c>
      <c r="S148" s="21">
        <v>42380</v>
      </c>
      <c r="T148" s="20">
        <v>42380</v>
      </c>
      <c r="U148" s="20" t="str">
        <f t="shared" si="77"/>
        <v>-</v>
      </c>
      <c r="V148" s="19" t="str">
        <f t="shared" si="78"/>
        <v>-</v>
      </c>
      <c r="W148" s="3">
        <v>1</v>
      </c>
      <c r="X148" s="22" t="str">
        <f t="shared" si="79"/>
        <v>-</v>
      </c>
      <c r="Y148" s="22">
        <v>0</v>
      </c>
      <c r="Z148" s="22" t="str">
        <f t="shared" si="80"/>
        <v>-</v>
      </c>
      <c r="AA148" s="20" t="str">
        <f t="shared" si="81"/>
        <v>-</v>
      </c>
      <c r="AB148" s="94" t="str">
        <f t="shared" si="82"/>
        <v>---------</v>
      </c>
      <c r="AC148" s="21">
        <v>42675</v>
      </c>
      <c r="AD148" s="21" t="str">
        <f t="shared" si="83"/>
        <v>-</v>
      </c>
      <c r="AE148" s="21" t="str">
        <f t="shared" si="91"/>
        <v>-</v>
      </c>
      <c r="AF148" s="85"/>
      <c r="AG148" s="21" t="str">
        <f t="shared" si="85"/>
        <v>-</v>
      </c>
      <c r="AH148" s="21" t="str">
        <f t="shared" si="86"/>
        <v>-</v>
      </c>
      <c r="AI148" s="89" t="str">
        <f t="shared" si="87"/>
        <v>-</v>
      </c>
      <c r="AJ148" s="92">
        <v>1</v>
      </c>
      <c r="AK148" s="80" t="str">
        <f t="shared" si="90"/>
        <v>-</v>
      </c>
      <c r="AL148" s="80" t="s">
        <v>2169</v>
      </c>
      <c r="AM148" s="120">
        <v>42706</v>
      </c>
      <c r="AN148" s="157" t="str">
        <f>IF(AND(N148&gt;0,T148&gt;0,W148&gt;0,Y148=1,AC148&gt;0,AF148&gt;0),"DRY COW","-")</f>
        <v>-</v>
      </c>
      <c r="BC148" s="284">
        <v>42706</v>
      </c>
      <c r="BD148" s="433" t="str">
        <f>IF(AND(AF148&gt;0,AL148&gt;0,AO148&gt;0,AQ148=1,AS148&gt;0,AV148&gt;0),"DRY COW","-")</f>
        <v>-</v>
      </c>
    </row>
    <row r="149" spans="1:56" s="2" customFormat="1" ht="15.95" customHeight="1" x14ac:dyDescent="0.25">
      <c r="A149" s="86">
        <v>147</v>
      </c>
      <c r="B149" s="84">
        <f t="shared" si="89"/>
        <v>42709</v>
      </c>
      <c r="C149" s="29"/>
      <c r="D149" s="59" t="s">
        <v>1456</v>
      </c>
      <c r="E149" s="22" t="s">
        <v>813</v>
      </c>
      <c r="F149" s="27" t="s">
        <v>814</v>
      </c>
      <c r="G149" s="27"/>
      <c r="H149" s="28" t="s">
        <v>603</v>
      </c>
      <c r="I149" s="20">
        <v>40964</v>
      </c>
      <c r="J149" s="35">
        <f t="shared" si="75"/>
        <v>4.7808219178082192</v>
      </c>
      <c r="M149" s="60">
        <v>41731</v>
      </c>
      <c r="N149" s="32">
        <v>42670</v>
      </c>
      <c r="O149" s="82">
        <f t="shared" si="76"/>
        <v>39</v>
      </c>
      <c r="P149" s="19">
        <v>3</v>
      </c>
      <c r="Q149" s="68"/>
      <c r="R149" s="118"/>
      <c r="S149" s="21"/>
      <c r="T149" s="20"/>
      <c r="U149" s="20" t="str">
        <f t="shared" si="77"/>
        <v>-</v>
      </c>
      <c r="V149" s="19" t="str">
        <f t="shared" si="78"/>
        <v>-</v>
      </c>
      <c r="W149" s="3">
        <v>0</v>
      </c>
      <c r="X149" s="22" t="str">
        <f t="shared" si="79"/>
        <v>-</v>
      </c>
      <c r="Y149" s="22">
        <v>0</v>
      </c>
      <c r="Z149" s="22" t="str">
        <f t="shared" si="80"/>
        <v>-</v>
      </c>
      <c r="AA149" s="20" t="str">
        <f t="shared" si="81"/>
        <v>-</v>
      </c>
      <c r="AB149" s="94" t="str">
        <f t="shared" si="82"/>
        <v>---------</v>
      </c>
      <c r="AC149" s="21"/>
      <c r="AD149" s="21" t="str">
        <f t="shared" si="83"/>
        <v>-</v>
      </c>
      <c r="AE149" s="21" t="str">
        <f t="shared" si="91"/>
        <v>-</v>
      </c>
      <c r="AF149" s="85"/>
      <c r="AG149" s="21" t="str">
        <f t="shared" si="85"/>
        <v>-</v>
      </c>
      <c r="AH149" s="21" t="str">
        <f t="shared" si="86"/>
        <v>-</v>
      </c>
      <c r="AI149" s="89" t="str">
        <f t="shared" si="87"/>
        <v>-</v>
      </c>
      <c r="AJ149" s="92">
        <v>1</v>
      </c>
      <c r="AK149" s="80" t="str">
        <f t="shared" si="90"/>
        <v>-</v>
      </c>
      <c r="AL149" s="80"/>
      <c r="AM149" s="120">
        <v>42709</v>
      </c>
      <c r="AN149" s="157" t="str">
        <f>IF(AND(N149&gt;0,T149&gt;0,W149&gt;0,Y149=1,AC149&gt;0,AF149&gt;0),"DRY COW","-")</f>
        <v>-</v>
      </c>
      <c r="BC149" s="284">
        <v>42709</v>
      </c>
      <c r="BD149" s="433" t="str">
        <f>IF(AND(AF149&gt;0,AL149&gt;0,AO149&gt;0,AQ149=1,AS149&gt;0,AV149&gt;0),"DRY COW","-")</f>
        <v>-</v>
      </c>
    </row>
    <row r="150" spans="1:56" s="2" customFormat="1" ht="15.95" customHeight="1" x14ac:dyDescent="0.25">
      <c r="A150" s="86">
        <v>148</v>
      </c>
      <c r="B150" s="84">
        <f t="shared" si="89"/>
        <v>42709</v>
      </c>
      <c r="C150" s="29" t="s">
        <v>613</v>
      </c>
      <c r="D150" s="59" t="s">
        <v>1502</v>
      </c>
      <c r="E150" s="22" t="s">
        <v>396</v>
      </c>
      <c r="F150" s="27" t="s">
        <v>397</v>
      </c>
      <c r="G150" s="27"/>
      <c r="H150" s="28" t="s">
        <v>603</v>
      </c>
      <c r="I150" s="20">
        <v>41061</v>
      </c>
      <c r="J150" s="35">
        <f t="shared" si="75"/>
        <v>4.515068493150685</v>
      </c>
      <c r="K150" s="364"/>
      <c r="L150" s="364"/>
      <c r="M150" s="60">
        <v>42285</v>
      </c>
      <c r="N150" s="32">
        <v>42285</v>
      </c>
      <c r="O150" s="82">
        <f t="shared" si="76"/>
        <v>424</v>
      </c>
      <c r="P150" s="19">
        <v>1</v>
      </c>
      <c r="Q150" s="68" t="s">
        <v>1451</v>
      </c>
      <c r="R150" s="118" t="s">
        <v>1820</v>
      </c>
      <c r="S150" s="21">
        <v>42335</v>
      </c>
      <c r="T150" s="20">
        <v>42655</v>
      </c>
      <c r="U150" s="20" t="str">
        <f t="shared" si="77"/>
        <v>-</v>
      </c>
      <c r="V150" s="19" t="str">
        <f t="shared" si="78"/>
        <v>-</v>
      </c>
      <c r="W150" s="3">
        <v>8</v>
      </c>
      <c r="X150" s="22">
        <f t="shared" si="79"/>
        <v>370</v>
      </c>
      <c r="Y150" s="22">
        <v>0</v>
      </c>
      <c r="Z150" s="22" t="str">
        <f t="shared" si="80"/>
        <v>яловая</v>
      </c>
      <c r="AA150" s="20" t="str">
        <f t="shared" si="81"/>
        <v>-</v>
      </c>
      <c r="AB150" s="94" t="str">
        <f t="shared" si="82"/>
        <v>---------</v>
      </c>
      <c r="AC150" s="21">
        <v>42699</v>
      </c>
      <c r="AD150" s="21" t="str">
        <f t="shared" si="83"/>
        <v>-</v>
      </c>
      <c r="AE150" s="21" t="str">
        <f t="shared" si="91"/>
        <v>-</v>
      </c>
      <c r="AF150" s="85"/>
      <c r="AG150" s="21" t="str">
        <f t="shared" si="85"/>
        <v>-</v>
      </c>
      <c r="AH150" s="21" t="str">
        <f t="shared" si="86"/>
        <v>-</v>
      </c>
      <c r="AI150" s="89" t="str">
        <f t="shared" si="87"/>
        <v>-</v>
      </c>
      <c r="AJ150" s="92">
        <v>1</v>
      </c>
      <c r="AK150" s="80" t="str">
        <f t="shared" si="90"/>
        <v>БРАК</v>
      </c>
      <c r="AL150" s="80" t="s">
        <v>1863</v>
      </c>
      <c r="AM150" s="120">
        <v>42709</v>
      </c>
      <c r="AN150" s="157"/>
      <c r="BC150" s="284">
        <v>42709</v>
      </c>
      <c r="BD150" s="433"/>
    </row>
    <row r="151" spans="1:56" s="2" customFormat="1" ht="15.95" customHeight="1" x14ac:dyDescent="0.25">
      <c r="A151" s="86">
        <v>149</v>
      </c>
      <c r="B151" s="84">
        <f t="shared" si="89"/>
        <v>42710</v>
      </c>
      <c r="C151" s="29" t="s">
        <v>614</v>
      </c>
      <c r="D151" s="59" t="s">
        <v>1503</v>
      </c>
      <c r="E151" s="22" t="s">
        <v>221</v>
      </c>
      <c r="F151" s="27" t="s">
        <v>222</v>
      </c>
      <c r="G151" s="27"/>
      <c r="H151" s="28" t="s">
        <v>603</v>
      </c>
      <c r="I151" s="20">
        <v>41268</v>
      </c>
      <c r="J151" s="35">
        <f t="shared" si="75"/>
        <v>3.9506849315068493</v>
      </c>
      <c r="M151" s="60">
        <v>41951</v>
      </c>
      <c r="N151" s="32">
        <v>42556</v>
      </c>
      <c r="O151" s="82">
        <f t="shared" si="76"/>
        <v>154</v>
      </c>
      <c r="P151" s="19">
        <v>3</v>
      </c>
      <c r="Q151" s="68" t="s">
        <v>2221</v>
      </c>
      <c r="R151" s="118" t="s">
        <v>1809</v>
      </c>
      <c r="S151" s="21">
        <v>42679</v>
      </c>
      <c r="T151" s="20">
        <v>42694</v>
      </c>
      <c r="U151" s="20">
        <f t="shared" si="77"/>
        <v>42712</v>
      </c>
      <c r="V151" s="19">
        <f t="shared" si="78"/>
        <v>-2</v>
      </c>
      <c r="W151" s="3">
        <v>2</v>
      </c>
      <c r="X151" s="22">
        <f t="shared" si="79"/>
        <v>138</v>
      </c>
      <c r="Y151" s="22">
        <v>3</v>
      </c>
      <c r="Z151" s="22" t="str">
        <f t="shared" si="80"/>
        <v>-</v>
      </c>
      <c r="AA151" s="20">
        <f t="shared" si="81"/>
        <v>42729</v>
      </c>
      <c r="AB151" s="94">
        <f t="shared" si="82"/>
        <v>-19</v>
      </c>
      <c r="AC151" s="21"/>
      <c r="AD151" s="21" t="str">
        <f t="shared" si="83"/>
        <v>-</v>
      </c>
      <c r="AE151" s="21" t="str">
        <f t="shared" si="91"/>
        <v>-</v>
      </c>
      <c r="AF151" s="85"/>
      <c r="AG151" s="21" t="str">
        <f t="shared" si="85"/>
        <v>-</v>
      </c>
      <c r="AH151" s="21" t="str">
        <f t="shared" si="86"/>
        <v>-</v>
      </c>
      <c r="AI151" s="89" t="str">
        <f t="shared" si="87"/>
        <v>-</v>
      </c>
      <c r="AJ151" s="92">
        <v>1</v>
      </c>
      <c r="AK151" s="80" t="str">
        <f t="shared" si="90"/>
        <v>-</v>
      </c>
      <c r="AL151" s="80"/>
      <c r="AM151" s="120">
        <v>42710</v>
      </c>
      <c r="AN151" s="157" t="s">
        <v>2246</v>
      </c>
      <c r="BC151" s="284">
        <v>42710</v>
      </c>
      <c r="BD151" s="433" t="s">
        <v>2246</v>
      </c>
    </row>
    <row r="152" spans="1:56" s="1" customFormat="1" ht="15.95" customHeight="1" x14ac:dyDescent="0.25">
      <c r="A152" s="86">
        <v>150</v>
      </c>
      <c r="B152" s="84">
        <f t="shared" si="89"/>
        <v>42715</v>
      </c>
      <c r="C152" s="29"/>
      <c r="D152" s="59" t="s">
        <v>475</v>
      </c>
      <c r="E152" s="22" t="s">
        <v>118</v>
      </c>
      <c r="F152" s="27" t="s">
        <v>119</v>
      </c>
      <c r="G152" s="27"/>
      <c r="H152" s="28" t="s">
        <v>603</v>
      </c>
      <c r="I152" s="20">
        <v>40528</v>
      </c>
      <c r="J152" s="35">
        <f t="shared" si="75"/>
        <v>5.9917808219178079</v>
      </c>
      <c r="M152" s="60">
        <v>41400</v>
      </c>
      <c r="N152" s="32">
        <v>42296</v>
      </c>
      <c r="O152" s="82">
        <f t="shared" si="76"/>
        <v>419</v>
      </c>
      <c r="P152" s="19">
        <v>3</v>
      </c>
      <c r="Q152" s="68" t="s">
        <v>1448</v>
      </c>
      <c r="R152" s="118">
        <v>6845</v>
      </c>
      <c r="S152" s="21">
        <v>42356</v>
      </c>
      <c r="T152" s="20">
        <v>42486</v>
      </c>
      <c r="U152" s="20" t="str">
        <f t="shared" si="77"/>
        <v>-</v>
      </c>
      <c r="V152" s="19" t="str">
        <f t="shared" si="78"/>
        <v>-</v>
      </c>
      <c r="W152" s="3">
        <v>5</v>
      </c>
      <c r="X152" s="22">
        <f t="shared" si="79"/>
        <v>190</v>
      </c>
      <c r="Y152" s="22">
        <v>1</v>
      </c>
      <c r="Z152" s="22" t="str">
        <f t="shared" si="80"/>
        <v>-</v>
      </c>
      <c r="AA152" s="20" t="str">
        <f t="shared" si="81"/>
        <v>-</v>
      </c>
      <c r="AB152" s="94" t="str">
        <f t="shared" si="82"/>
        <v>---------</v>
      </c>
      <c r="AC152" s="21">
        <v>42521</v>
      </c>
      <c r="AD152" s="21">
        <f t="shared" si="83"/>
        <v>42681</v>
      </c>
      <c r="AE152" s="21">
        <f t="shared" si="91"/>
        <v>42706</v>
      </c>
      <c r="AF152" s="85">
        <v>42709</v>
      </c>
      <c r="AG152" s="21">
        <f t="shared" si="85"/>
        <v>42745</v>
      </c>
      <c r="AH152" s="21">
        <f t="shared" si="86"/>
        <v>42766</v>
      </c>
      <c r="AI152" s="89">
        <f t="shared" si="87"/>
        <v>-51</v>
      </c>
      <c r="AJ152" s="92">
        <v>1</v>
      </c>
      <c r="AK152" s="80" t="str">
        <f t="shared" si="90"/>
        <v>-</v>
      </c>
      <c r="AL152" s="80"/>
      <c r="AM152" s="120">
        <v>42715</v>
      </c>
      <c r="AN152" s="157" t="s">
        <v>2254</v>
      </c>
      <c r="AO152" s="2"/>
      <c r="AP152" s="2"/>
      <c r="BC152" s="284">
        <v>42715</v>
      </c>
      <c r="BD152" s="433" t="s">
        <v>2254</v>
      </c>
    </row>
    <row r="153" spans="1:56" s="2" customFormat="1" ht="15.95" customHeight="1" x14ac:dyDescent="0.25">
      <c r="A153" s="86">
        <v>151</v>
      </c>
      <c r="B153" s="84">
        <f t="shared" si="89"/>
        <v>42715</v>
      </c>
      <c r="C153" s="29" t="s">
        <v>2253</v>
      </c>
      <c r="D153" s="59" t="s">
        <v>1503</v>
      </c>
      <c r="E153" s="22" t="s">
        <v>1055</v>
      </c>
      <c r="F153" s="27" t="s">
        <v>948</v>
      </c>
      <c r="G153" s="27"/>
      <c r="H153" s="28" t="s">
        <v>603</v>
      </c>
      <c r="I153" s="20">
        <v>41583</v>
      </c>
      <c r="J153" s="35">
        <f t="shared" si="75"/>
        <v>3.1013698630136988</v>
      </c>
      <c r="M153" s="61">
        <v>42646</v>
      </c>
      <c r="N153" s="32">
        <v>42646</v>
      </c>
      <c r="O153" s="82">
        <f t="shared" si="76"/>
        <v>69</v>
      </c>
      <c r="P153" s="19">
        <v>1</v>
      </c>
      <c r="Q153" s="68"/>
      <c r="R153" s="118"/>
      <c r="S153" s="21"/>
      <c r="T153" s="20"/>
      <c r="U153" s="20" t="str">
        <f t="shared" si="77"/>
        <v>-</v>
      </c>
      <c r="V153" s="19" t="str">
        <f t="shared" si="78"/>
        <v>-</v>
      </c>
      <c r="W153" s="3">
        <v>0</v>
      </c>
      <c r="X153" s="22" t="str">
        <f t="shared" si="79"/>
        <v>-</v>
      </c>
      <c r="Y153" s="22">
        <v>0</v>
      </c>
      <c r="Z153" s="22" t="str">
        <f t="shared" si="80"/>
        <v>-</v>
      </c>
      <c r="AA153" s="20" t="str">
        <f t="shared" si="81"/>
        <v>-</v>
      </c>
      <c r="AB153" s="94" t="str">
        <f t="shared" si="82"/>
        <v>---------</v>
      </c>
      <c r="AC153" s="21"/>
      <c r="AD153" s="21" t="str">
        <f t="shared" si="83"/>
        <v>-</v>
      </c>
      <c r="AE153" s="21" t="str">
        <f t="shared" si="91"/>
        <v>-</v>
      </c>
      <c r="AF153" s="85"/>
      <c r="AG153" s="21" t="str">
        <f t="shared" si="85"/>
        <v>-</v>
      </c>
      <c r="AH153" s="21" t="str">
        <f t="shared" si="86"/>
        <v>-</v>
      </c>
      <c r="AI153" s="89" t="str">
        <f t="shared" si="87"/>
        <v>-</v>
      </c>
      <c r="AJ153" s="92">
        <v>1</v>
      </c>
      <c r="AK153" s="80" t="str">
        <f t="shared" si="90"/>
        <v>-</v>
      </c>
      <c r="AL153" s="80"/>
      <c r="AM153" s="120">
        <v>42715</v>
      </c>
      <c r="AN153" s="157" t="s">
        <v>796</v>
      </c>
      <c r="BC153" s="284">
        <v>42715</v>
      </c>
      <c r="BD153" s="433" t="s">
        <v>796</v>
      </c>
    </row>
    <row r="154" spans="1:56" s="2" customFormat="1" ht="15.95" customHeight="1" x14ac:dyDescent="0.25">
      <c r="A154" s="86">
        <v>152</v>
      </c>
      <c r="B154" s="84">
        <f t="shared" si="89"/>
        <v>42718</v>
      </c>
      <c r="C154" s="29" t="s">
        <v>2169</v>
      </c>
      <c r="D154" s="59" t="s">
        <v>1456</v>
      </c>
      <c r="E154" s="22" t="s">
        <v>316</v>
      </c>
      <c r="F154" s="27" t="s">
        <v>317</v>
      </c>
      <c r="G154" s="27"/>
      <c r="H154" s="28" t="s">
        <v>603</v>
      </c>
      <c r="I154" s="20">
        <v>40541</v>
      </c>
      <c r="J154" s="35">
        <f t="shared" si="75"/>
        <v>5.9643835616438352</v>
      </c>
      <c r="M154" s="60">
        <v>41425</v>
      </c>
      <c r="N154" s="32">
        <v>42058</v>
      </c>
      <c r="O154" s="82">
        <f t="shared" si="76"/>
        <v>660</v>
      </c>
      <c r="P154" s="19">
        <v>2</v>
      </c>
      <c r="Q154" s="68" t="s">
        <v>1482</v>
      </c>
      <c r="R154" s="118">
        <v>331129</v>
      </c>
      <c r="S154" s="21">
        <v>42160</v>
      </c>
      <c r="T154" s="20">
        <v>42583</v>
      </c>
      <c r="U154" s="20" t="str">
        <f t="shared" si="77"/>
        <v>-</v>
      </c>
      <c r="V154" s="19" t="str">
        <f t="shared" si="78"/>
        <v>-</v>
      </c>
      <c r="W154" s="3">
        <v>10</v>
      </c>
      <c r="X154" s="22">
        <f t="shared" si="79"/>
        <v>525</v>
      </c>
      <c r="Y154" s="22">
        <v>0</v>
      </c>
      <c r="Z154" s="22" t="str">
        <f t="shared" si="80"/>
        <v>яловая</v>
      </c>
      <c r="AA154" s="20" t="str">
        <f t="shared" si="81"/>
        <v>-</v>
      </c>
      <c r="AB154" s="94" t="str">
        <f t="shared" si="82"/>
        <v>---------</v>
      </c>
      <c r="AC154" s="21">
        <v>42639</v>
      </c>
      <c r="AD154" s="21" t="str">
        <f t="shared" si="83"/>
        <v>-</v>
      </c>
      <c r="AE154" s="21" t="str">
        <f t="shared" si="91"/>
        <v>-</v>
      </c>
      <c r="AF154" s="85"/>
      <c r="AG154" s="21" t="str">
        <f t="shared" si="85"/>
        <v>-</v>
      </c>
      <c r="AH154" s="21" t="str">
        <f t="shared" si="86"/>
        <v>-</v>
      </c>
      <c r="AI154" s="89" t="str">
        <f t="shared" si="87"/>
        <v>-</v>
      </c>
      <c r="AJ154" s="92">
        <v>1</v>
      </c>
      <c r="AK154" s="80" t="str">
        <f t="shared" si="90"/>
        <v>БРАК</v>
      </c>
      <c r="AL154" s="80" t="s">
        <v>1863</v>
      </c>
      <c r="AM154" s="120">
        <v>42718</v>
      </c>
      <c r="AN154" s="157" t="str">
        <f>IF(AND(N154&gt;0,T154&gt;0,W154&gt;0,Y154=1,AC154&gt;0,AF154&gt;0),"DRY COW","-")</f>
        <v>-</v>
      </c>
      <c r="BC154" s="284">
        <v>42718</v>
      </c>
      <c r="BD154" s="433" t="str">
        <f>IF(AND(AF154&gt;0,AL154&gt;0,AO154&gt;0,AQ154=1,AS154&gt;0,AV154&gt;0),"DRY COW","-")</f>
        <v>-</v>
      </c>
    </row>
    <row r="155" spans="1:56" s="2" customFormat="1" ht="15.95" customHeight="1" x14ac:dyDescent="0.25">
      <c r="A155" s="86">
        <v>153</v>
      </c>
      <c r="B155" s="84">
        <f t="shared" si="89"/>
        <v>42718</v>
      </c>
      <c r="C155" s="29" t="s">
        <v>2169</v>
      </c>
      <c r="D155" s="59" t="s">
        <v>1456</v>
      </c>
      <c r="E155" s="22" t="s">
        <v>271</v>
      </c>
      <c r="F155" s="27" t="s">
        <v>272</v>
      </c>
      <c r="G155" s="27"/>
      <c r="H155" s="28" t="s">
        <v>603</v>
      </c>
      <c r="I155" s="20">
        <v>40923</v>
      </c>
      <c r="J155" s="35">
        <f t="shared" si="75"/>
        <v>4.9178082191780819</v>
      </c>
      <c r="M155" s="60">
        <v>42006</v>
      </c>
      <c r="N155" s="32">
        <v>42006</v>
      </c>
      <c r="O155" s="82">
        <f t="shared" si="76"/>
        <v>712</v>
      </c>
      <c r="P155" s="19">
        <v>1</v>
      </c>
      <c r="Q155" s="68" t="s">
        <v>1448</v>
      </c>
      <c r="R155" s="118">
        <v>6845</v>
      </c>
      <c r="S155" s="21">
        <v>42102</v>
      </c>
      <c r="T155" s="20">
        <v>42373</v>
      </c>
      <c r="U155" s="20" t="str">
        <f t="shared" si="77"/>
        <v>-</v>
      </c>
      <c r="V155" s="19" t="str">
        <f t="shared" si="78"/>
        <v>-</v>
      </c>
      <c r="W155" s="3">
        <v>6</v>
      </c>
      <c r="X155" s="22">
        <f t="shared" si="79"/>
        <v>367</v>
      </c>
      <c r="Y155" s="22">
        <v>0</v>
      </c>
      <c r="Z155" s="22" t="str">
        <f t="shared" si="80"/>
        <v>яловая</v>
      </c>
      <c r="AA155" s="20" t="str">
        <f t="shared" si="81"/>
        <v>-</v>
      </c>
      <c r="AB155" s="94" t="str">
        <f t="shared" si="82"/>
        <v>---------</v>
      </c>
      <c r="AC155" s="21"/>
      <c r="AD155" s="21" t="str">
        <f t="shared" si="83"/>
        <v>-</v>
      </c>
      <c r="AE155" s="21" t="str">
        <f t="shared" si="91"/>
        <v>-</v>
      </c>
      <c r="AF155" s="85"/>
      <c r="AG155" s="21" t="str">
        <f t="shared" si="85"/>
        <v>-</v>
      </c>
      <c r="AH155" s="21" t="str">
        <f t="shared" si="86"/>
        <v>-</v>
      </c>
      <c r="AI155" s="89" t="str">
        <f t="shared" si="87"/>
        <v>-</v>
      </c>
      <c r="AJ155" s="92">
        <v>1</v>
      </c>
      <c r="AK155" s="80" t="str">
        <f t="shared" si="90"/>
        <v>БРАК</v>
      </c>
      <c r="AL155" s="80" t="s">
        <v>1863</v>
      </c>
      <c r="AM155" s="120">
        <v>42718</v>
      </c>
      <c r="AN155" s="157" t="str">
        <f>IF(AND(N155&gt;0,T155&gt;0,W155&gt;0,Y155=1,AC155&gt;0,AF155&gt;0),"DRY COW","-")</f>
        <v>-</v>
      </c>
      <c r="BC155" s="284">
        <v>42718</v>
      </c>
      <c r="BD155" s="433" t="str">
        <f>IF(AND(AF155&gt;0,AL155&gt;0,AO155&gt;0,AQ155=1,AS155&gt;0,AV155&gt;0),"DRY COW","-")</f>
        <v>-</v>
      </c>
    </row>
    <row r="156" spans="1:56" s="2" customFormat="1" ht="15.95" customHeight="1" x14ac:dyDescent="0.25">
      <c r="A156" s="86">
        <v>154</v>
      </c>
      <c r="B156" s="84">
        <f t="shared" si="89"/>
        <v>42718</v>
      </c>
      <c r="C156" s="29" t="s">
        <v>2169</v>
      </c>
      <c r="D156" s="59" t="s">
        <v>1456</v>
      </c>
      <c r="E156" s="22" t="s">
        <v>753</v>
      </c>
      <c r="F156" s="27" t="s">
        <v>755</v>
      </c>
      <c r="G156" s="27"/>
      <c r="H156" s="28" t="s">
        <v>794</v>
      </c>
      <c r="I156" s="20">
        <v>38474</v>
      </c>
      <c r="J156" s="35">
        <f t="shared" si="75"/>
        <v>11.627397260273973</v>
      </c>
      <c r="M156" s="60">
        <v>39509</v>
      </c>
      <c r="N156" s="32">
        <v>42540</v>
      </c>
      <c r="O156" s="82">
        <f t="shared" si="76"/>
        <v>178</v>
      </c>
      <c r="P156" s="19">
        <v>8</v>
      </c>
      <c r="Q156" s="68" t="s">
        <v>1451</v>
      </c>
      <c r="R156" s="118" t="s">
        <v>1809</v>
      </c>
      <c r="S156" s="21">
        <v>42590</v>
      </c>
      <c r="T156" s="20">
        <v>42673</v>
      </c>
      <c r="U156" s="20" t="str">
        <f t="shared" si="77"/>
        <v>-</v>
      </c>
      <c r="V156" s="19" t="str">
        <f t="shared" si="78"/>
        <v>-</v>
      </c>
      <c r="W156" s="3">
        <v>2</v>
      </c>
      <c r="X156" s="22">
        <f t="shared" si="79"/>
        <v>133</v>
      </c>
      <c r="Y156" s="22">
        <v>0</v>
      </c>
      <c r="Z156" s="22" t="str">
        <f t="shared" si="80"/>
        <v>яловая</v>
      </c>
      <c r="AA156" s="20" t="str">
        <f t="shared" si="81"/>
        <v>-</v>
      </c>
      <c r="AB156" s="94" t="str">
        <f t="shared" si="82"/>
        <v>---------</v>
      </c>
      <c r="AC156" s="21">
        <v>42716</v>
      </c>
      <c r="AD156" s="21" t="str">
        <f t="shared" si="83"/>
        <v>-</v>
      </c>
      <c r="AE156" s="21" t="str">
        <f t="shared" si="91"/>
        <v>-</v>
      </c>
      <c r="AF156" s="85"/>
      <c r="AG156" s="21" t="str">
        <f t="shared" si="85"/>
        <v>-</v>
      </c>
      <c r="AH156" s="21" t="str">
        <f t="shared" si="86"/>
        <v>-</v>
      </c>
      <c r="AI156" s="89" t="str">
        <f t="shared" si="87"/>
        <v>-</v>
      </c>
      <c r="AJ156" s="92">
        <v>1</v>
      </c>
      <c r="AK156" s="80" t="str">
        <f t="shared" si="90"/>
        <v>-</v>
      </c>
      <c r="AL156" s="80"/>
      <c r="AM156" s="120">
        <v>42718</v>
      </c>
      <c r="AN156" s="157" t="str">
        <f>IF(AND(N156&gt;0,T156&gt;0,W156&gt;0,Y156=1,AC156&gt;0,AF156&gt;0),"DRY COW","-")</f>
        <v>-</v>
      </c>
      <c r="BC156" s="284">
        <v>42718</v>
      </c>
      <c r="BD156" s="433" t="str">
        <f>IF(AND(AF156&gt;0,AL156&gt;0,AO156&gt;0,AQ156=1,AS156&gt;0,AV156&gt;0),"DRY COW","-")</f>
        <v>-</v>
      </c>
    </row>
    <row r="157" spans="1:56" s="2" customFormat="1" ht="15.95" customHeight="1" x14ac:dyDescent="0.25">
      <c r="A157" s="86">
        <v>155</v>
      </c>
      <c r="B157" s="84">
        <f t="shared" si="89"/>
        <v>42718</v>
      </c>
      <c r="C157" s="180" t="s">
        <v>2169</v>
      </c>
      <c r="D157" s="181" t="s">
        <v>1456</v>
      </c>
      <c r="E157" s="182" t="s">
        <v>591</v>
      </c>
      <c r="F157" s="183" t="s">
        <v>1438</v>
      </c>
      <c r="G157" s="183"/>
      <c r="H157" s="184" t="s">
        <v>78</v>
      </c>
      <c r="I157" s="185">
        <v>41390</v>
      </c>
      <c r="J157" s="186">
        <f t="shared" si="75"/>
        <v>3.6383561643835618</v>
      </c>
      <c r="M157" s="187">
        <v>42125</v>
      </c>
      <c r="N157" s="188">
        <v>42125</v>
      </c>
      <c r="O157" s="189">
        <f t="shared" si="76"/>
        <v>593</v>
      </c>
      <c r="P157" s="190">
        <v>1</v>
      </c>
      <c r="Q157" s="191" t="s">
        <v>1451</v>
      </c>
      <c r="R157" s="192">
        <v>6845</v>
      </c>
      <c r="S157" s="193">
        <v>42237</v>
      </c>
      <c r="T157" s="185">
        <v>42444</v>
      </c>
      <c r="U157" s="185" t="str">
        <f t="shared" si="77"/>
        <v>-</v>
      </c>
      <c r="V157" s="190" t="str">
        <f t="shared" si="78"/>
        <v>-</v>
      </c>
      <c r="W157" s="194">
        <v>4</v>
      </c>
      <c r="X157" s="182">
        <f t="shared" si="79"/>
        <v>319</v>
      </c>
      <c r="Y157" s="182">
        <v>0</v>
      </c>
      <c r="Z157" s="182" t="str">
        <f t="shared" si="80"/>
        <v>яловая</v>
      </c>
      <c r="AA157" s="185" t="str">
        <f t="shared" si="81"/>
        <v>-</v>
      </c>
      <c r="AB157" s="195" t="str">
        <f t="shared" si="82"/>
        <v>---------</v>
      </c>
      <c r="AC157" s="193"/>
      <c r="AD157" s="193" t="str">
        <f t="shared" si="83"/>
        <v>-</v>
      </c>
      <c r="AE157" s="193" t="str">
        <f t="shared" si="91"/>
        <v>-</v>
      </c>
      <c r="AF157" s="196"/>
      <c r="AG157" s="193" t="str">
        <f t="shared" si="85"/>
        <v>-</v>
      </c>
      <c r="AH157" s="193" t="str">
        <f t="shared" si="86"/>
        <v>-</v>
      </c>
      <c r="AI157" s="197" t="str">
        <f t="shared" si="87"/>
        <v>-</v>
      </c>
      <c r="AJ157" s="198">
        <v>1</v>
      </c>
      <c r="AK157" s="199" t="str">
        <f t="shared" si="90"/>
        <v>БРАК</v>
      </c>
      <c r="AL157" s="199" t="s">
        <v>1863</v>
      </c>
      <c r="AM157" s="276">
        <v>42718</v>
      </c>
      <c r="AN157" s="237" t="str">
        <f>IF(AND(N157&gt;0,T157&gt;0,W157&gt;0,Y157=1,AC157&gt;0,AF157&gt;0),"DRY COW","-")</f>
        <v>-</v>
      </c>
      <c r="BC157" s="284">
        <v>42718</v>
      </c>
      <c r="BD157" s="433" t="str">
        <f>IF(AND(AF157&gt;0,AL157&gt;0,AO157&gt;0,AQ157=1,AS157&gt;0,AV157&gt;0),"DRY COW","-")</f>
        <v>-</v>
      </c>
    </row>
    <row r="158" spans="1:56" s="78" customFormat="1" ht="15.95" customHeight="1" x14ac:dyDescent="0.25">
      <c r="A158" s="86">
        <v>156</v>
      </c>
      <c r="B158" s="84">
        <f t="shared" si="89"/>
        <v>42720</v>
      </c>
      <c r="C158" s="29"/>
      <c r="D158" s="59" t="s">
        <v>1456</v>
      </c>
      <c r="E158" s="22" t="s">
        <v>505</v>
      </c>
      <c r="F158" s="27" t="s">
        <v>506</v>
      </c>
      <c r="G158" s="27"/>
      <c r="H158" s="28" t="s">
        <v>603</v>
      </c>
      <c r="I158" s="20">
        <v>39556</v>
      </c>
      <c r="J158" s="35">
        <v>8.6712328767123292</v>
      </c>
      <c r="M158" s="60">
        <v>40626</v>
      </c>
      <c r="N158" s="32">
        <v>42701</v>
      </c>
      <c r="O158" s="82">
        <v>20</v>
      </c>
      <c r="P158" s="19">
        <v>7</v>
      </c>
      <c r="Q158" s="68"/>
      <c r="R158" s="118"/>
      <c r="S158" s="21"/>
      <c r="T158" s="20"/>
      <c r="U158" s="20" t="s">
        <v>2266</v>
      </c>
      <c r="V158" s="19" t="s">
        <v>2266</v>
      </c>
      <c r="W158" s="3">
        <v>0</v>
      </c>
      <c r="X158" s="22" t="s">
        <v>2266</v>
      </c>
      <c r="Y158" s="22">
        <v>0</v>
      </c>
      <c r="Z158" s="22" t="s">
        <v>2266</v>
      </c>
      <c r="AA158" s="20" t="s">
        <v>2266</v>
      </c>
      <c r="AB158" s="94" t="s">
        <v>2267</v>
      </c>
      <c r="AC158" s="21"/>
      <c r="AD158" s="21" t="s">
        <v>2266</v>
      </c>
      <c r="AE158" s="21" t="s">
        <v>2266</v>
      </c>
      <c r="AF158" s="85"/>
      <c r="AG158" s="21" t="s">
        <v>2266</v>
      </c>
      <c r="AH158" s="21" t="s">
        <v>2266</v>
      </c>
      <c r="AI158" s="89" t="s">
        <v>2266</v>
      </c>
      <c r="AJ158" s="92">
        <v>1</v>
      </c>
      <c r="AK158" s="80" t="s">
        <v>2266</v>
      </c>
      <c r="AL158" s="80"/>
      <c r="AM158" s="120">
        <v>42720</v>
      </c>
      <c r="AN158" s="126" t="s">
        <v>2270</v>
      </c>
      <c r="BB158" s="290"/>
      <c r="BC158" s="284">
        <v>42720</v>
      </c>
      <c r="BD158" s="288" t="s">
        <v>2270</v>
      </c>
    </row>
    <row r="159" spans="1:56" s="2" customFormat="1" ht="15.95" customHeight="1" x14ac:dyDescent="0.25">
      <c r="A159" s="86">
        <v>157</v>
      </c>
      <c r="B159" s="84">
        <f t="shared" si="89"/>
        <v>42721</v>
      </c>
      <c r="C159" s="29" t="s">
        <v>615</v>
      </c>
      <c r="D159" s="59" t="s">
        <v>1633</v>
      </c>
      <c r="E159" s="22" t="s">
        <v>1322</v>
      </c>
      <c r="F159" s="27" t="s">
        <v>1205</v>
      </c>
      <c r="G159" s="27"/>
      <c r="H159" s="28" t="s">
        <v>603</v>
      </c>
      <c r="I159" s="20">
        <v>41844</v>
      </c>
      <c r="J159" s="35">
        <f t="shared" ref="J159:J180" si="92">(B159-I159)/365</f>
        <v>2.4027397260273973</v>
      </c>
      <c r="M159" s="60">
        <v>42564</v>
      </c>
      <c r="N159" s="32">
        <v>42564</v>
      </c>
      <c r="O159" s="82">
        <f t="shared" ref="O159:O180" si="93">IF(AND(B159&gt;0,N159&gt;0),B159-N159,"-")</f>
        <v>157</v>
      </c>
      <c r="P159" s="19">
        <v>1</v>
      </c>
      <c r="Q159" s="68" t="s">
        <v>1451</v>
      </c>
      <c r="R159" s="118" t="s">
        <v>1816</v>
      </c>
      <c r="S159" s="21">
        <v>42646</v>
      </c>
      <c r="T159" s="20">
        <v>42693</v>
      </c>
      <c r="U159" s="20">
        <f t="shared" ref="U159:U180" si="94">IF(AND(Y159&gt;1,T159&gt;0),T159+18,"-")</f>
        <v>42711</v>
      </c>
      <c r="V159" s="19">
        <f t="shared" ref="V159:V180" si="95">IF(AND(U159&gt;0,B159&gt;0,Y159&gt;1),B159-U159,"-")</f>
        <v>10</v>
      </c>
      <c r="W159" s="3">
        <v>2</v>
      </c>
      <c r="X159" s="22">
        <f t="shared" ref="X159:X180" si="96">IF(AND(N159&gt;0,T159&gt;0),T159-N159,"-")</f>
        <v>129</v>
      </c>
      <c r="Y159" s="22">
        <v>3</v>
      </c>
      <c r="Z159" s="22" t="str">
        <f t="shared" ref="Z159:Z166" si="97">IF(AND(O159&gt;140,Y159=0,N159&gt;0),"яловая","-")</f>
        <v>-</v>
      </c>
      <c r="AA159" s="20">
        <f t="shared" ref="AA159:AA180" si="98">IF(AND(T159&gt;0,OR(Y159=3,Y159=2)),T159+35,"-")</f>
        <v>42728</v>
      </c>
      <c r="AB159" s="94">
        <f t="shared" ref="AB159:AB180" si="99">IF(AND(T159&gt;0,W159&gt;0,Q159&gt;0,OR(Y159=3,Y159=2)),B159-AA159,"---------")</f>
        <v>-7</v>
      </c>
      <c r="AC159" s="21">
        <v>42688</v>
      </c>
      <c r="AD159" s="21" t="str">
        <f t="shared" ref="AD159:AD168" si="100">IF(AND($T159&gt;0,$N159&gt;0,$Y159=1),$T159+285-90,"-")</f>
        <v>-</v>
      </c>
      <c r="AE159" s="21" t="str">
        <f t="shared" ref="AE159:AE180" si="101">IF(AND(T159&gt;0,Y159=1,N159&gt;0),T159+280-60,"-")</f>
        <v>-</v>
      </c>
      <c r="AF159" s="85"/>
      <c r="AG159" s="21" t="str">
        <f t="shared" ref="AG159:AG180" si="102">IF(AND($T159&gt;0,$Y159=1),$T159+280-21,"-")</f>
        <v>-</v>
      </c>
      <c r="AH159" s="21" t="str">
        <f t="shared" ref="AH159:AH180" si="103">IF(AND(T159&gt;0,Y159=1),T159+280,"-")</f>
        <v>-</v>
      </c>
      <c r="AI159" s="89" t="str">
        <f t="shared" ref="AI159:AI180" si="104">IF(AND(B159&gt;0,AH159&gt;0,AC159&gt;0,Y159=1),B159-AH159,"-")</f>
        <v>-</v>
      </c>
      <c r="AJ159" s="92">
        <v>1</v>
      </c>
      <c r="AK159" s="80" t="str">
        <f t="shared" ref="AK159:AK180" si="105">IF(AND(Z159="яловая",O159&gt;300),"БРАК","-")</f>
        <v>-</v>
      </c>
      <c r="AL159" s="80"/>
      <c r="AM159" s="120">
        <v>42721</v>
      </c>
      <c r="AN159" s="157" t="s">
        <v>2271</v>
      </c>
      <c r="BC159" s="284">
        <v>42721</v>
      </c>
      <c r="BD159" s="433" t="s">
        <v>2271</v>
      </c>
    </row>
    <row r="160" spans="1:56" s="2" customFormat="1" ht="15.95" customHeight="1" x14ac:dyDescent="0.25">
      <c r="A160" s="86">
        <v>158</v>
      </c>
      <c r="B160" s="84">
        <f t="shared" si="89"/>
        <v>42729</v>
      </c>
      <c r="C160" s="29" t="s">
        <v>615</v>
      </c>
      <c r="D160" s="59" t="s">
        <v>1633</v>
      </c>
      <c r="E160" s="22" t="s">
        <v>1278</v>
      </c>
      <c r="F160" s="27" t="s">
        <v>1151</v>
      </c>
      <c r="G160" s="27"/>
      <c r="H160" s="28" t="s">
        <v>603</v>
      </c>
      <c r="I160" s="20">
        <v>41698</v>
      </c>
      <c r="J160" s="35">
        <f t="shared" si="92"/>
        <v>2.8246575342465752</v>
      </c>
      <c r="M160" s="60">
        <v>42575</v>
      </c>
      <c r="N160" s="32">
        <v>42575</v>
      </c>
      <c r="O160" s="82">
        <f t="shared" si="93"/>
        <v>154</v>
      </c>
      <c r="P160" s="19">
        <v>1</v>
      </c>
      <c r="Q160" s="68" t="s">
        <v>1451</v>
      </c>
      <c r="R160" s="118" t="s">
        <v>1809</v>
      </c>
      <c r="S160" s="21">
        <v>42657</v>
      </c>
      <c r="T160" s="20">
        <v>42705</v>
      </c>
      <c r="U160" s="20">
        <f t="shared" si="94"/>
        <v>42723</v>
      </c>
      <c r="V160" s="19">
        <f t="shared" si="95"/>
        <v>6</v>
      </c>
      <c r="W160" s="3">
        <v>2</v>
      </c>
      <c r="X160" s="22">
        <f t="shared" si="96"/>
        <v>130</v>
      </c>
      <c r="Y160" s="22">
        <v>3</v>
      </c>
      <c r="Z160" s="22" t="str">
        <f t="shared" si="97"/>
        <v>-</v>
      </c>
      <c r="AA160" s="20">
        <f t="shared" si="98"/>
        <v>42740</v>
      </c>
      <c r="AB160" s="94">
        <f t="shared" si="99"/>
        <v>-11</v>
      </c>
      <c r="AC160" s="21">
        <v>42699</v>
      </c>
      <c r="AD160" s="21" t="str">
        <f t="shared" si="100"/>
        <v>-</v>
      </c>
      <c r="AE160" s="21" t="str">
        <f t="shared" si="101"/>
        <v>-</v>
      </c>
      <c r="AF160" s="85"/>
      <c r="AG160" s="21" t="str">
        <f t="shared" si="102"/>
        <v>-</v>
      </c>
      <c r="AH160" s="21" t="str">
        <f t="shared" si="103"/>
        <v>-</v>
      </c>
      <c r="AI160" s="89" t="str">
        <f t="shared" si="104"/>
        <v>-</v>
      </c>
      <c r="AJ160" s="92">
        <v>1</v>
      </c>
      <c r="AK160" s="80" t="str">
        <f t="shared" si="105"/>
        <v>-</v>
      </c>
      <c r="AL160" s="80"/>
      <c r="AM160" s="120">
        <v>42729</v>
      </c>
      <c r="AN160" s="157" t="s">
        <v>2295</v>
      </c>
      <c r="BC160" s="284">
        <v>42729</v>
      </c>
      <c r="BD160" s="433" t="s">
        <v>2295</v>
      </c>
    </row>
    <row r="161" spans="1:56" s="2" customFormat="1" ht="15.95" customHeight="1" x14ac:dyDescent="0.25">
      <c r="A161" s="86">
        <v>159</v>
      </c>
      <c r="B161" s="84">
        <f t="shared" si="89"/>
        <v>42732</v>
      </c>
      <c r="C161" s="29" t="s">
        <v>2169</v>
      </c>
      <c r="D161" s="59" t="s">
        <v>1456</v>
      </c>
      <c r="E161" s="22" t="s">
        <v>1442</v>
      </c>
      <c r="F161" s="27" t="s">
        <v>1441</v>
      </c>
      <c r="G161" s="27"/>
      <c r="H161" s="28" t="s">
        <v>603</v>
      </c>
      <c r="I161" s="20">
        <v>39833</v>
      </c>
      <c r="J161" s="35">
        <f t="shared" si="92"/>
        <v>7.9424657534246572</v>
      </c>
      <c r="M161" s="60">
        <v>40665</v>
      </c>
      <c r="N161" s="32">
        <v>42455</v>
      </c>
      <c r="O161" s="82">
        <f t="shared" si="93"/>
        <v>277</v>
      </c>
      <c r="P161" s="19">
        <v>6</v>
      </c>
      <c r="Q161" s="68"/>
      <c r="R161" s="118"/>
      <c r="S161" s="21"/>
      <c r="T161" s="20"/>
      <c r="U161" s="20" t="str">
        <f t="shared" si="94"/>
        <v>-</v>
      </c>
      <c r="V161" s="19" t="str">
        <f t="shared" si="95"/>
        <v>-</v>
      </c>
      <c r="W161" s="3">
        <v>0</v>
      </c>
      <c r="X161" s="22" t="str">
        <f t="shared" si="96"/>
        <v>-</v>
      </c>
      <c r="Y161" s="22">
        <v>0</v>
      </c>
      <c r="Z161" s="22" t="str">
        <f t="shared" si="97"/>
        <v>яловая</v>
      </c>
      <c r="AA161" s="20" t="str">
        <f t="shared" si="98"/>
        <v>-</v>
      </c>
      <c r="AB161" s="94" t="str">
        <f t="shared" si="99"/>
        <v>---------</v>
      </c>
      <c r="AC161" s="21"/>
      <c r="AD161" s="21" t="str">
        <f t="shared" si="100"/>
        <v>-</v>
      </c>
      <c r="AE161" s="21" t="str">
        <f t="shared" si="101"/>
        <v>-</v>
      </c>
      <c r="AF161" s="85"/>
      <c r="AG161" s="21" t="str">
        <f t="shared" si="102"/>
        <v>-</v>
      </c>
      <c r="AH161" s="21" t="str">
        <f t="shared" si="103"/>
        <v>-</v>
      </c>
      <c r="AI161" s="89" t="str">
        <f t="shared" si="104"/>
        <v>-</v>
      </c>
      <c r="AJ161" s="92">
        <v>1</v>
      </c>
      <c r="AK161" s="80" t="str">
        <f t="shared" si="105"/>
        <v>-</v>
      </c>
      <c r="AL161" s="80" t="s">
        <v>1863</v>
      </c>
      <c r="AM161" s="120">
        <v>42732</v>
      </c>
      <c r="AN161" s="157" t="str">
        <f t="shared" ref="AN161:AN169" si="106">IF(AND(N161&gt;0,T161&gt;0,W161&gt;0,Y161=1,AC161&gt;0,AF161&gt;0),"DRY COW","-")</f>
        <v>-</v>
      </c>
      <c r="BC161" s="284">
        <v>42732</v>
      </c>
      <c r="BD161" s="433" t="str">
        <f t="shared" ref="BD161:BD169" si="107">IF(AND(AF161&gt;0,AL161&gt;0,AO161&gt;0,AQ161=1,AS161&gt;0,AV161&gt;0),"DRY COW","-")</f>
        <v>-</v>
      </c>
    </row>
    <row r="162" spans="1:56" s="2" customFormat="1" ht="15.95" customHeight="1" x14ac:dyDescent="0.25">
      <c r="A162" s="86">
        <v>160</v>
      </c>
      <c r="B162" s="84">
        <f t="shared" si="89"/>
        <v>42732</v>
      </c>
      <c r="C162" s="29" t="s">
        <v>2169</v>
      </c>
      <c r="D162" s="59" t="s">
        <v>1456</v>
      </c>
      <c r="E162" s="22" t="s">
        <v>319</v>
      </c>
      <c r="F162" s="27" t="s">
        <v>507</v>
      </c>
      <c r="G162" s="27"/>
      <c r="H162" s="28" t="s">
        <v>603</v>
      </c>
      <c r="I162" s="20">
        <v>39899</v>
      </c>
      <c r="J162" s="35">
        <f t="shared" si="92"/>
        <v>7.7616438356164386</v>
      </c>
      <c r="M162" s="60">
        <v>40935</v>
      </c>
      <c r="N162" s="32">
        <v>42297</v>
      </c>
      <c r="O162" s="82">
        <f t="shared" si="93"/>
        <v>435</v>
      </c>
      <c r="P162" s="19">
        <v>5</v>
      </c>
      <c r="Q162" s="68" t="s">
        <v>1451</v>
      </c>
      <c r="R162" s="118">
        <v>6845</v>
      </c>
      <c r="S162" s="21">
        <v>42385</v>
      </c>
      <c r="T162" s="20">
        <v>42412</v>
      </c>
      <c r="U162" s="20" t="str">
        <f t="shared" si="94"/>
        <v>-</v>
      </c>
      <c r="V162" s="19" t="str">
        <f t="shared" si="95"/>
        <v>-</v>
      </c>
      <c r="W162" s="3">
        <v>2</v>
      </c>
      <c r="X162" s="22">
        <f t="shared" si="96"/>
        <v>115</v>
      </c>
      <c r="Y162" s="22">
        <v>0</v>
      </c>
      <c r="Z162" s="22" t="str">
        <f t="shared" si="97"/>
        <v>яловая</v>
      </c>
      <c r="AA162" s="20" t="str">
        <f t="shared" si="98"/>
        <v>-</v>
      </c>
      <c r="AB162" s="94" t="str">
        <f t="shared" si="99"/>
        <v>---------</v>
      </c>
      <c r="AC162" s="21"/>
      <c r="AD162" s="21" t="str">
        <f t="shared" si="100"/>
        <v>-</v>
      </c>
      <c r="AE162" s="21" t="str">
        <f t="shared" si="101"/>
        <v>-</v>
      </c>
      <c r="AF162" s="85"/>
      <c r="AG162" s="21" t="str">
        <f t="shared" si="102"/>
        <v>-</v>
      </c>
      <c r="AH162" s="21" t="str">
        <f t="shared" si="103"/>
        <v>-</v>
      </c>
      <c r="AI162" s="89" t="str">
        <f t="shared" si="104"/>
        <v>-</v>
      </c>
      <c r="AJ162" s="92">
        <v>1</v>
      </c>
      <c r="AK162" s="80" t="str">
        <f t="shared" si="105"/>
        <v>БРАК</v>
      </c>
      <c r="AL162" s="80" t="s">
        <v>1863</v>
      </c>
      <c r="AM162" s="120">
        <v>42732</v>
      </c>
      <c r="AN162" s="157" t="str">
        <f t="shared" si="106"/>
        <v>-</v>
      </c>
      <c r="BC162" s="284">
        <v>42732</v>
      </c>
      <c r="BD162" s="433" t="str">
        <f t="shared" si="107"/>
        <v>-</v>
      </c>
    </row>
    <row r="163" spans="1:56" s="2" customFormat="1" ht="15.95" customHeight="1" x14ac:dyDescent="0.25">
      <c r="A163" s="86">
        <v>161</v>
      </c>
      <c r="B163" s="84">
        <f t="shared" si="89"/>
        <v>42732</v>
      </c>
      <c r="C163" s="29" t="s">
        <v>2275</v>
      </c>
      <c r="D163" s="59" t="s">
        <v>1502</v>
      </c>
      <c r="E163" s="22" t="s">
        <v>33</v>
      </c>
      <c r="F163" s="27" t="s">
        <v>34</v>
      </c>
      <c r="G163" s="27"/>
      <c r="H163" s="28" t="s">
        <v>78</v>
      </c>
      <c r="I163" s="20">
        <v>40326</v>
      </c>
      <c r="J163" s="35">
        <f t="shared" si="92"/>
        <v>6.5917808219178085</v>
      </c>
      <c r="M163" s="60">
        <v>41021</v>
      </c>
      <c r="N163" s="32">
        <v>42496</v>
      </c>
      <c r="O163" s="82">
        <f t="shared" si="93"/>
        <v>236</v>
      </c>
      <c r="P163" s="19">
        <v>4</v>
      </c>
      <c r="Q163" s="68" t="s">
        <v>1451</v>
      </c>
      <c r="R163" s="118" t="s">
        <v>1820</v>
      </c>
      <c r="S163" s="21">
        <v>42587</v>
      </c>
      <c r="T163" s="20">
        <v>42673</v>
      </c>
      <c r="U163" s="20" t="str">
        <f t="shared" si="94"/>
        <v>-</v>
      </c>
      <c r="V163" s="19" t="str">
        <f t="shared" si="95"/>
        <v>-</v>
      </c>
      <c r="W163" s="3">
        <v>3</v>
      </c>
      <c r="X163" s="22">
        <f t="shared" si="96"/>
        <v>177</v>
      </c>
      <c r="Y163" s="22">
        <v>0</v>
      </c>
      <c r="Z163" s="22" t="str">
        <f t="shared" si="97"/>
        <v>яловая</v>
      </c>
      <c r="AA163" s="20" t="str">
        <f t="shared" si="98"/>
        <v>-</v>
      </c>
      <c r="AB163" s="94" t="str">
        <f t="shared" si="99"/>
        <v>---------</v>
      </c>
      <c r="AC163" s="21">
        <v>42716</v>
      </c>
      <c r="AD163" s="21" t="str">
        <f t="shared" si="100"/>
        <v>-</v>
      </c>
      <c r="AE163" s="21" t="str">
        <f t="shared" si="101"/>
        <v>-</v>
      </c>
      <c r="AF163" s="85"/>
      <c r="AG163" s="21" t="str">
        <f t="shared" si="102"/>
        <v>-</v>
      </c>
      <c r="AH163" s="21" t="str">
        <f t="shared" si="103"/>
        <v>-</v>
      </c>
      <c r="AI163" s="89" t="str">
        <f t="shared" si="104"/>
        <v>-</v>
      </c>
      <c r="AJ163" s="92">
        <v>1</v>
      </c>
      <c r="AK163" s="80" t="str">
        <f t="shared" si="105"/>
        <v>-</v>
      </c>
      <c r="AL163" s="80"/>
      <c r="AM163" s="120">
        <v>42732</v>
      </c>
      <c r="AN163" s="157" t="str">
        <f t="shared" si="106"/>
        <v>-</v>
      </c>
      <c r="BC163" s="284">
        <v>42732</v>
      </c>
      <c r="BD163" s="433" t="str">
        <f t="shared" si="107"/>
        <v>-</v>
      </c>
    </row>
    <row r="164" spans="1:56" s="2" customFormat="1" ht="15.95" customHeight="1" x14ac:dyDescent="0.25">
      <c r="A164" s="86">
        <v>162</v>
      </c>
      <c r="B164" s="84">
        <f t="shared" si="89"/>
        <v>42731</v>
      </c>
      <c r="C164" s="29" t="s">
        <v>2169</v>
      </c>
      <c r="D164" s="59" t="s">
        <v>1456</v>
      </c>
      <c r="E164" s="22" t="s">
        <v>254</v>
      </c>
      <c r="F164" s="27" t="s">
        <v>255</v>
      </c>
      <c r="G164" s="27"/>
      <c r="H164" s="28" t="s">
        <v>603</v>
      </c>
      <c r="I164" s="20">
        <v>40930</v>
      </c>
      <c r="J164" s="35">
        <f t="shared" si="92"/>
        <v>4.934246575342466</v>
      </c>
      <c r="M164" s="60">
        <v>41983</v>
      </c>
      <c r="N164" s="32">
        <v>42541</v>
      </c>
      <c r="O164" s="82">
        <f t="shared" si="93"/>
        <v>190</v>
      </c>
      <c r="P164" s="19">
        <v>2</v>
      </c>
      <c r="Q164" s="68" t="s">
        <v>1451</v>
      </c>
      <c r="R164" s="118" t="s">
        <v>1809</v>
      </c>
      <c r="S164" s="21">
        <v>42616</v>
      </c>
      <c r="T164" s="20">
        <v>42673</v>
      </c>
      <c r="U164" s="20" t="str">
        <f t="shared" si="94"/>
        <v>-</v>
      </c>
      <c r="V164" s="19" t="str">
        <f t="shared" si="95"/>
        <v>-</v>
      </c>
      <c r="W164" s="3">
        <v>2</v>
      </c>
      <c r="X164" s="22">
        <f t="shared" si="96"/>
        <v>132</v>
      </c>
      <c r="Y164" s="22">
        <v>0</v>
      </c>
      <c r="Z164" s="22" t="str">
        <f t="shared" si="97"/>
        <v>яловая</v>
      </c>
      <c r="AA164" s="20" t="str">
        <f t="shared" si="98"/>
        <v>-</v>
      </c>
      <c r="AB164" s="94" t="str">
        <f t="shared" si="99"/>
        <v>---------</v>
      </c>
      <c r="AC164" s="21">
        <v>42716</v>
      </c>
      <c r="AD164" s="21" t="str">
        <f t="shared" si="100"/>
        <v>-</v>
      </c>
      <c r="AE164" s="21" t="str">
        <f t="shared" si="101"/>
        <v>-</v>
      </c>
      <c r="AF164" s="85"/>
      <c r="AG164" s="21" t="str">
        <f t="shared" si="102"/>
        <v>-</v>
      </c>
      <c r="AH164" s="21" t="str">
        <f t="shared" si="103"/>
        <v>-</v>
      </c>
      <c r="AI164" s="89" t="str">
        <f t="shared" si="104"/>
        <v>-</v>
      </c>
      <c r="AJ164" s="92">
        <v>1</v>
      </c>
      <c r="AK164" s="80" t="str">
        <f t="shared" si="105"/>
        <v>-</v>
      </c>
      <c r="AL164" s="80"/>
      <c r="AM164" s="120">
        <v>42731</v>
      </c>
      <c r="AN164" s="157" t="str">
        <f t="shared" si="106"/>
        <v>-</v>
      </c>
      <c r="BC164" s="284">
        <v>42731</v>
      </c>
      <c r="BD164" s="433" t="str">
        <f t="shared" si="107"/>
        <v>-</v>
      </c>
    </row>
    <row r="165" spans="1:56" s="2" customFormat="1" ht="15.95" customHeight="1" x14ac:dyDescent="0.25">
      <c r="A165" s="86">
        <v>163</v>
      </c>
      <c r="B165" s="84">
        <f t="shared" si="89"/>
        <v>42731</v>
      </c>
      <c r="C165" s="29" t="s">
        <v>2169</v>
      </c>
      <c r="D165" s="59" t="s">
        <v>1456</v>
      </c>
      <c r="E165" s="22" t="s">
        <v>268</v>
      </c>
      <c r="F165" s="27" t="s">
        <v>269</v>
      </c>
      <c r="G165" s="27"/>
      <c r="H165" s="28" t="s">
        <v>603</v>
      </c>
      <c r="I165" s="20">
        <v>41127</v>
      </c>
      <c r="J165" s="35">
        <f t="shared" si="92"/>
        <v>4.3945205479452056</v>
      </c>
      <c r="M165" s="60">
        <v>41997</v>
      </c>
      <c r="N165" s="32">
        <v>42400</v>
      </c>
      <c r="O165" s="82">
        <f t="shared" si="93"/>
        <v>331</v>
      </c>
      <c r="P165" s="19">
        <v>2</v>
      </c>
      <c r="Q165" s="68" t="s">
        <v>1448</v>
      </c>
      <c r="R165" s="118" t="s">
        <v>1810</v>
      </c>
      <c r="S165" s="21">
        <v>42461</v>
      </c>
      <c r="T165" s="20">
        <v>42660</v>
      </c>
      <c r="U165" s="20" t="str">
        <f t="shared" si="94"/>
        <v>-</v>
      </c>
      <c r="V165" s="19" t="str">
        <f t="shared" si="95"/>
        <v>-</v>
      </c>
      <c r="W165" s="3">
        <v>7</v>
      </c>
      <c r="X165" s="22">
        <f t="shared" si="96"/>
        <v>260</v>
      </c>
      <c r="Y165" s="22">
        <v>0</v>
      </c>
      <c r="Z165" s="22" t="str">
        <f t="shared" si="97"/>
        <v>яловая</v>
      </c>
      <c r="AA165" s="20" t="str">
        <f t="shared" si="98"/>
        <v>-</v>
      </c>
      <c r="AB165" s="94" t="str">
        <f t="shared" si="99"/>
        <v>---------</v>
      </c>
      <c r="AC165" s="21">
        <v>42704</v>
      </c>
      <c r="AD165" s="21" t="str">
        <f t="shared" si="100"/>
        <v>-</v>
      </c>
      <c r="AE165" s="21" t="str">
        <f t="shared" si="101"/>
        <v>-</v>
      </c>
      <c r="AF165" s="85"/>
      <c r="AG165" s="21" t="str">
        <f t="shared" si="102"/>
        <v>-</v>
      </c>
      <c r="AH165" s="21" t="str">
        <f t="shared" si="103"/>
        <v>-</v>
      </c>
      <c r="AI165" s="89" t="str">
        <f t="shared" si="104"/>
        <v>-</v>
      </c>
      <c r="AJ165" s="92">
        <v>1</v>
      </c>
      <c r="AK165" s="80" t="str">
        <f t="shared" si="105"/>
        <v>БРАК</v>
      </c>
      <c r="AL165" s="80"/>
      <c r="AM165" s="120">
        <v>42731</v>
      </c>
      <c r="AN165" s="157" t="str">
        <f t="shared" si="106"/>
        <v>-</v>
      </c>
      <c r="BC165" s="284">
        <v>42731</v>
      </c>
      <c r="BD165" s="433" t="str">
        <f t="shared" si="107"/>
        <v>-</v>
      </c>
    </row>
    <row r="166" spans="1:56" s="2" customFormat="1" ht="15.95" customHeight="1" x14ac:dyDescent="0.25">
      <c r="A166" s="86">
        <v>164</v>
      </c>
      <c r="B166" s="84">
        <f t="shared" si="89"/>
        <v>42731</v>
      </c>
      <c r="C166" s="29" t="s">
        <v>2169</v>
      </c>
      <c r="D166" s="59" t="s">
        <v>1456</v>
      </c>
      <c r="E166" s="22" t="s">
        <v>546</v>
      </c>
      <c r="F166" s="27" t="s">
        <v>596</v>
      </c>
      <c r="G166" s="27"/>
      <c r="H166" s="28" t="s">
        <v>78</v>
      </c>
      <c r="I166" s="20">
        <v>41335</v>
      </c>
      <c r="J166" s="35">
        <f t="shared" si="92"/>
        <v>3.8246575342465752</v>
      </c>
      <c r="M166" s="60">
        <v>42136</v>
      </c>
      <c r="N166" s="32">
        <v>42136</v>
      </c>
      <c r="O166" s="82">
        <f t="shared" si="93"/>
        <v>595</v>
      </c>
      <c r="P166" s="19">
        <v>1</v>
      </c>
      <c r="Q166" s="68" t="s">
        <v>619</v>
      </c>
      <c r="R166" s="118"/>
      <c r="S166" s="21"/>
      <c r="T166" s="20"/>
      <c r="U166" s="20" t="str">
        <f t="shared" si="94"/>
        <v>-</v>
      </c>
      <c r="V166" s="19" t="str">
        <f t="shared" si="95"/>
        <v>-</v>
      </c>
      <c r="W166" s="3">
        <v>0</v>
      </c>
      <c r="X166" s="22" t="str">
        <f t="shared" si="96"/>
        <v>-</v>
      </c>
      <c r="Y166" s="22">
        <v>0</v>
      </c>
      <c r="Z166" s="22" t="str">
        <f t="shared" si="97"/>
        <v>яловая</v>
      </c>
      <c r="AA166" s="20" t="str">
        <f t="shared" si="98"/>
        <v>-</v>
      </c>
      <c r="AB166" s="94" t="str">
        <f t="shared" si="99"/>
        <v>---------</v>
      </c>
      <c r="AC166" s="21"/>
      <c r="AD166" s="21" t="str">
        <f t="shared" si="100"/>
        <v>-</v>
      </c>
      <c r="AE166" s="21" t="str">
        <f t="shared" si="101"/>
        <v>-</v>
      </c>
      <c r="AF166" s="85"/>
      <c r="AG166" s="21" t="str">
        <f t="shared" si="102"/>
        <v>-</v>
      </c>
      <c r="AH166" s="21" t="str">
        <f t="shared" si="103"/>
        <v>-</v>
      </c>
      <c r="AI166" s="89" t="str">
        <f t="shared" si="104"/>
        <v>-</v>
      </c>
      <c r="AJ166" s="92">
        <v>1</v>
      </c>
      <c r="AK166" s="80" t="str">
        <f t="shared" si="105"/>
        <v>БРАК</v>
      </c>
      <c r="AL166" s="80" t="s">
        <v>1863</v>
      </c>
      <c r="AM166" s="120">
        <v>42731</v>
      </c>
      <c r="AN166" s="157" t="str">
        <f t="shared" si="106"/>
        <v>-</v>
      </c>
      <c r="BC166" s="284">
        <v>42731</v>
      </c>
      <c r="BD166" s="433" t="str">
        <f t="shared" si="107"/>
        <v>-</v>
      </c>
    </row>
    <row r="167" spans="1:56" s="1" customFormat="1" ht="15.95" customHeight="1" x14ac:dyDescent="0.25">
      <c r="A167" s="86">
        <v>165</v>
      </c>
      <c r="B167" s="84">
        <f t="shared" si="89"/>
        <v>42726</v>
      </c>
      <c r="C167" s="29"/>
      <c r="D167" s="59" t="s">
        <v>2251</v>
      </c>
      <c r="E167" s="22" t="s">
        <v>471</v>
      </c>
      <c r="F167" s="27" t="s">
        <v>951</v>
      </c>
      <c r="G167" s="27"/>
      <c r="H167" s="28" t="s">
        <v>603</v>
      </c>
      <c r="I167" s="20">
        <v>41778</v>
      </c>
      <c r="J167" s="35">
        <f t="shared" si="92"/>
        <v>2.5972602739726027</v>
      </c>
      <c r="M167" s="60"/>
      <c r="N167" s="32"/>
      <c r="O167" s="82" t="str">
        <f t="shared" si="93"/>
        <v>-</v>
      </c>
      <c r="P167" s="19">
        <v>0</v>
      </c>
      <c r="Q167" s="68" t="s">
        <v>1481</v>
      </c>
      <c r="R167" s="118">
        <v>331129</v>
      </c>
      <c r="S167" s="21">
        <v>42217</v>
      </c>
      <c r="T167" s="20">
        <v>42469</v>
      </c>
      <c r="U167" s="20" t="str">
        <f t="shared" si="94"/>
        <v>-</v>
      </c>
      <c r="V167" s="19" t="str">
        <f t="shared" si="95"/>
        <v>-</v>
      </c>
      <c r="W167" s="3">
        <v>8</v>
      </c>
      <c r="X167" s="22" t="str">
        <f t="shared" si="96"/>
        <v>-</v>
      </c>
      <c r="Y167" s="22"/>
      <c r="Z167" s="22" t="s">
        <v>1445</v>
      </c>
      <c r="AA167" s="20" t="str">
        <f t="shared" si="98"/>
        <v>-</v>
      </c>
      <c r="AB167" s="94" t="str">
        <f t="shared" si="99"/>
        <v>---------</v>
      </c>
      <c r="AC167" s="21">
        <v>42507</v>
      </c>
      <c r="AD167" s="21" t="str">
        <f t="shared" si="100"/>
        <v>-</v>
      </c>
      <c r="AE167" s="21" t="str">
        <f t="shared" si="101"/>
        <v>-</v>
      </c>
      <c r="AF167" s="85"/>
      <c r="AG167" s="21" t="str">
        <f t="shared" si="102"/>
        <v>-</v>
      </c>
      <c r="AH167" s="21" t="str">
        <f t="shared" si="103"/>
        <v>-</v>
      </c>
      <c r="AI167" s="89" t="str">
        <f t="shared" si="104"/>
        <v>-</v>
      </c>
      <c r="AJ167" s="92">
        <v>1</v>
      </c>
      <c r="AK167" s="80" t="str">
        <f t="shared" si="105"/>
        <v>БРАК</v>
      </c>
      <c r="AL167" s="80"/>
      <c r="AM167" s="120">
        <v>42726</v>
      </c>
      <c r="AN167" s="157" t="str">
        <f t="shared" si="106"/>
        <v>-</v>
      </c>
      <c r="AO167" s="2"/>
      <c r="AP167" s="2"/>
      <c r="BC167" s="284">
        <v>42726</v>
      </c>
      <c r="BD167" s="433" t="str">
        <f t="shared" si="107"/>
        <v>-</v>
      </c>
    </row>
    <row r="168" spans="1:56" s="1" customFormat="1" ht="15.95" customHeight="1" x14ac:dyDescent="0.25">
      <c r="A168" s="86">
        <v>166</v>
      </c>
      <c r="B168" s="84">
        <f t="shared" si="89"/>
        <v>42731</v>
      </c>
      <c r="C168" s="29" t="s">
        <v>2161</v>
      </c>
      <c r="D168" s="59" t="s">
        <v>1046</v>
      </c>
      <c r="E168" s="22" t="s">
        <v>1070</v>
      </c>
      <c r="F168" s="27" t="s">
        <v>989</v>
      </c>
      <c r="G168" s="27"/>
      <c r="H168" s="28" t="s">
        <v>603</v>
      </c>
      <c r="I168" s="20">
        <v>41977</v>
      </c>
      <c r="J168" s="35">
        <f t="shared" si="92"/>
        <v>2.0657534246575344</v>
      </c>
      <c r="M168" s="60"/>
      <c r="N168" s="32"/>
      <c r="O168" s="82" t="str">
        <f t="shared" si="93"/>
        <v>-</v>
      </c>
      <c r="P168" s="19">
        <v>0</v>
      </c>
      <c r="Q168" s="68" t="s">
        <v>1451</v>
      </c>
      <c r="R168" s="118">
        <v>6845</v>
      </c>
      <c r="S168" s="21">
        <v>42415</v>
      </c>
      <c r="T168" s="20">
        <v>42415</v>
      </c>
      <c r="U168" s="20" t="str">
        <f t="shared" si="94"/>
        <v>-</v>
      </c>
      <c r="V168" s="19" t="str">
        <f t="shared" si="95"/>
        <v>-</v>
      </c>
      <c r="W168" s="3">
        <v>1</v>
      </c>
      <c r="X168" s="22" t="str">
        <f t="shared" si="96"/>
        <v>-</v>
      </c>
      <c r="Y168" s="22">
        <v>0</v>
      </c>
      <c r="Z168" s="22" t="s">
        <v>1445</v>
      </c>
      <c r="AA168" s="20" t="str">
        <f t="shared" si="98"/>
        <v>-</v>
      </c>
      <c r="AB168" s="94" t="str">
        <f t="shared" si="99"/>
        <v>---------</v>
      </c>
      <c r="AC168" s="21">
        <v>42507</v>
      </c>
      <c r="AD168" s="21" t="str">
        <f t="shared" si="100"/>
        <v>-</v>
      </c>
      <c r="AE168" s="21" t="str">
        <f t="shared" si="101"/>
        <v>-</v>
      </c>
      <c r="AF168" s="85"/>
      <c r="AG168" s="21" t="str">
        <f t="shared" si="102"/>
        <v>-</v>
      </c>
      <c r="AH168" s="21" t="str">
        <f t="shared" si="103"/>
        <v>-</v>
      </c>
      <c r="AI168" s="89" t="str">
        <f t="shared" si="104"/>
        <v>-</v>
      </c>
      <c r="AJ168" s="92">
        <v>1</v>
      </c>
      <c r="AK168" s="80" t="str">
        <f t="shared" si="105"/>
        <v>БРАК</v>
      </c>
      <c r="AL168" s="80"/>
      <c r="AM168" s="120">
        <v>42731</v>
      </c>
      <c r="AN168" s="157" t="str">
        <f t="shared" si="106"/>
        <v>-</v>
      </c>
      <c r="AO168" s="2"/>
      <c r="AP168" s="2"/>
      <c r="BC168" s="284">
        <v>42731</v>
      </c>
      <c r="BD168" s="433" t="str">
        <f t="shared" si="107"/>
        <v>-</v>
      </c>
    </row>
    <row r="169" spans="1:56" s="1" customFormat="1" ht="15.95" customHeight="1" x14ac:dyDescent="0.25">
      <c r="A169" s="86">
        <v>167</v>
      </c>
      <c r="B169" s="84">
        <f t="shared" si="89"/>
        <v>42748</v>
      </c>
      <c r="C169" s="29" t="s">
        <v>2161</v>
      </c>
      <c r="D169" s="59" t="s">
        <v>1046</v>
      </c>
      <c r="E169" s="22" t="s">
        <v>1488</v>
      </c>
      <c r="F169" s="27" t="s">
        <v>1463</v>
      </c>
      <c r="G169" s="27"/>
      <c r="H169" s="28" t="s">
        <v>603</v>
      </c>
      <c r="I169" s="20">
        <v>42114</v>
      </c>
      <c r="J169" s="35">
        <f t="shared" si="92"/>
        <v>1.736986301369863</v>
      </c>
      <c r="M169" s="60"/>
      <c r="N169" s="32"/>
      <c r="O169" s="82" t="str">
        <f t="shared" si="93"/>
        <v>-</v>
      </c>
      <c r="P169" s="19"/>
      <c r="Q169" s="68" t="s">
        <v>1451</v>
      </c>
      <c r="R169" s="118" t="s">
        <v>1876</v>
      </c>
      <c r="S169" s="21">
        <v>42495</v>
      </c>
      <c r="T169" s="20">
        <v>42650</v>
      </c>
      <c r="U169" s="20" t="str">
        <f t="shared" si="94"/>
        <v>-</v>
      </c>
      <c r="V169" s="19" t="str">
        <f t="shared" si="95"/>
        <v>-</v>
      </c>
      <c r="W169" s="3">
        <v>5</v>
      </c>
      <c r="X169" s="22" t="str">
        <f t="shared" si="96"/>
        <v>-</v>
      </c>
      <c r="Y169" s="22">
        <v>0</v>
      </c>
      <c r="Z169" s="22" t="s">
        <v>1445</v>
      </c>
      <c r="AA169" s="20" t="str">
        <f t="shared" si="98"/>
        <v>-</v>
      </c>
      <c r="AB169" s="94" t="str">
        <f t="shared" si="99"/>
        <v>---------</v>
      </c>
      <c r="AC169" s="21">
        <v>42641</v>
      </c>
      <c r="AD169" s="21" t="str">
        <f t="shared" ref="AD169:AD180" si="108">IF(AND($T169&gt;0,$N169&gt;0,$Y169=1),$T169+280-90,"-")</f>
        <v>-</v>
      </c>
      <c r="AE169" s="21" t="str">
        <f t="shared" si="101"/>
        <v>-</v>
      </c>
      <c r="AF169" s="85"/>
      <c r="AG169" s="21" t="str">
        <f t="shared" si="102"/>
        <v>-</v>
      </c>
      <c r="AH169" s="21" t="str">
        <f t="shared" si="103"/>
        <v>-</v>
      </c>
      <c r="AI169" s="89" t="str">
        <f t="shared" si="104"/>
        <v>-</v>
      </c>
      <c r="AJ169" s="92">
        <v>1</v>
      </c>
      <c r="AK169" s="80" t="str">
        <f t="shared" si="105"/>
        <v>БРАК</v>
      </c>
      <c r="AL169" s="80"/>
      <c r="AM169" s="120">
        <v>42748</v>
      </c>
      <c r="AN169" s="157" t="str">
        <f t="shared" si="106"/>
        <v>-</v>
      </c>
      <c r="AO169" s="2"/>
      <c r="AP169" s="2"/>
      <c r="BC169" s="284">
        <v>42748</v>
      </c>
      <c r="BD169" s="433" t="str">
        <f t="shared" si="107"/>
        <v>-</v>
      </c>
    </row>
    <row r="170" spans="1:56" s="1" customFormat="1" ht="15.95" customHeight="1" x14ac:dyDescent="0.25">
      <c r="A170" s="86">
        <v>168</v>
      </c>
      <c r="B170" s="84">
        <f t="shared" si="89"/>
        <v>42749</v>
      </c>
      <c r="C170" s="29"/>
      <c r="D170" s="59" t="s">
        <v>475</v>
      </c>
      <c r="E170" s="22" t="s">
        <v>281</v>
      </c>
      <c r="F170" s="27" t="s">
        <v>282</v>
      </c>
      <c r="G170" s="27"/>
      <c r="H170" s="28" t="s">
        <v>603</v>
      </c>
      <c r="I170" s="20">
        <v>40750</v>
      </c>
      <c r="J170" s="35">
        <f t="shared" si="92"/>
        <v>5.4767123287671229</v>
      </c>
      <c r="M170" s="60">
        <v>42013</v>
      </c>
      <c r="N170" s="32">
        <v>42504</v>
      </c>
      <c r="O170" s="82">
        <f t="shared" si="93"/>
        <v>245</v>
      </c>
      <c r="P170" s="19">
        <v>2</v>
      </c>
      <c r="Q170" s="68" t="s">
        <v>1451</v>
      </c>
      <c r="R170" s="118" t="s">
        <v>1809</v>
      </c>
      <c r="S170" s="21">
        <v>42593</v>
      </c>
      <c r="T170" s="20">
        <v>42646</v>
      </c>
      <c r="U170" s="20" t="str">
        <f t="shared" si="94"/>
        <v>-</v>
      </c>
      <c r="V170" s="19" t="str">
        <f t="shared" si="95"/>
        <v>-</v>
      </c>
      <c r="W170" s="3">
        <v>2</v>
      </c>
      <c r="X170" s="22">
        <f t="shared" si="96"/>
        <v>142</v>
      </c>
      <c r="Y170" s="22">
        <v>1</v>
      </c>
      <c r="Z170" s="22" t="str">
        <f t="shared" ref="Z170:Z180" si="109">IF(AND(O170&gt;140,Y170=0,N170&gt;0),"яловая","-")</f>
        <v>-</v>
      </c>
      <c r="AA170" s="20" t="str">
        <f t="shared" si="98"/>
        <v>-</v>
      </c>
      <c r="AB170" s="94" t="str">
        <f t="shared" si="99"/>
        <v>---------</v>
      </c>
      <c r="AC170" s="21">
        <v>42681</v>
      </c>
      <c r="AD170" s="21">
        <f t="shared" si="108"/>
        <v>42836</v>
      </c>
      <c r="AE170" s="21">
        <f t="shared" si="101"/>
        <v>42866</v>
      </c>
      <c r="AF170" s="85">
        <v>42733</v>
      </c>
      <c r="AG170" s="21">
        <f t="shared" si="102"/>
        <v>42905</v>
      </c>
      <c r="AH170" s="21">
        <f t="shared" si="103"/>
        <v>42926</v>
      </c>
      <c r="AI170" s="89">
        <f t="shared" si="104"/>
        <v>-177</v>
      </c>
      <c r="AJ170" s="92">
        <v>1</v>
      </c>
      <c r="AK170" s="80" t="str">
        <f t="shared" si="105"/>
        <v>-</v>
      </c>
      <c r="AL170" s="80"/>
      <c r="AM170" s="120">
        <v>42749</v>
      </c>
      <c r="AN170" s="157" t="s">
        <v>2326</v>
      </c>
      <c r="AO170" s="2"/>
      <c r="AP170" s="2"/>
      <c r="BC170" s="284">
        <v>42749</v>
      </c>
      <c r="BD170" s="433" t="s">
        <v>2326</v>
      </c>
    </row>
    <row r="171" spans="1:56" s="1" customFormat="1" ht="15.95" customHeight="1" x14ac:dyDescent="0.25">
      <c r="A171" s="86">
        <v>169</v>
      </c>
      <c r="B171" s="84">
        <f t="shared" si="89"/>
        <v>42760</v>
      </c>
      <c r="C171" s="29" t="s">
        <v>2169</v>
      </c>
      <c r="D171" s="59" t="s">
        <v>1456</v>
      </c>
      <c r="E171" s="22" t="s">
        <v>510</v>
      </c>
      <c r="F171" s="27" t="s">
        <v>511</v>
      </c>
      <c r="G171" s="27"/>
      <c r="H171" s="28" t="s">
        <v>603</v>
      </c>
      <c r="I171" s="20">
        <v>40359</v>
      </c>
      <c r="J171" s="35">
        <f t="shared" si="92"/>
        <v>6.5780821917808217</v>
      </c>
      <c r="M171" s="60">
        <v>41151</v>
      </c>
      <c r="N171" s="32">
        <v>42289</v>
      </c>
      <c r="O171" s="82">
        <f t="shared" si="93"/>
        <v>471</v>
      </c>
      <c r="P171" s="19">
        <v>4</v>
      </c>
      <c r="Q171" s="68" t="s">
        <v>1481</v>
      </c>
      <c r="R171" s="118">
        <v>331129</v>
      </c>
      <c r="S171" s="21">
        <v>42335</v>
      </c>
      <c r="T171" s="20">
        <v>42495</v>
      </c>
      <c r="U171" s="20" t="str">
        <f t="shared" si="94"/>
        <v>-</v>
      </c>
      <c r="V171" s="19" t="str">
        <f t="shared" si="95"/>
        <v>-</v>
      </c>
      <c r="W171" s="3">
        <v>4</v>
      </c>
      <c r="X171" s="22">
        <f t="shared" si="96"/>
        <v>206</v>
      </c>
      <c r="Y171" s="22">
        <v>0</v>
      </c>
      <c r="Z171" s="22" t="str">
        <f t="shared" si="109"/>
        <v>яловая</v>
      </c>
      <c r="AA171" s="20" t="str">
        <f t="shared" si="98"/>
        <v>-</v>
      </c>
      <c r="AB171" s="94" t="str">
        <f t="shared" si="99"/>
        <v>---------</v>
      </c>
      <c r="AC171" s="21">
        <v>42549</v>
      </c>
      <c r="AD171" s="21" t="str">
        <f t="shared" si="108"/>
        <v>-</v>
      </c>
      <c r="AE171" s="21" t="str">
        <f t="shared" si="101"/>
        <v>-</v>
      </c>
      <c r="AF171" s="85"/>
      <c r="AG171" s="21" t="str">
        <f t="shared" si="102"/>
        <v>-</v>
      </c>
      <c r="AH171" s="21" t="str">
        <f t="shared" si="103"/>
        <v>-</v>
      </c>
      <c r="AI171" s="89" t="str">
        <f t="shared" si="104"/>
        <v>-</v>
      </c>
      <c r="AJ171" s="92">
        <v>1</v>
      </c>
      <c r="AK171" s="80" t="str">
        <f t="shared" si="105"/>
        <v>БРАК</v>
      </c>
      <c r="AL171" s="93" t="s">
        <v>1863</v>
      </c>
      <c r="AM171" s="120">
        <v>42760</v>
      </c>
      <c r="AN171" s="157" t="s">
        <v>2357</v>
      </c>
      <c r="AO171" s="2"/>
      <c r="AP171" s="2"/>
      <c r="BC171" s="284">
        <v>42760</v>
      </c>
      <c r="BD171" s="433" t="s">
        <v>2357</v>
      </c>
    </row>
    <row r="172" spans="1:56" s="1" customFormat="1" ht="15.95" customHeight="1" x14ac:dyDescent="0.25">
      <c r="A172" s="86">
        <v>170</v>
      </c>
      <c r="B172" s="84">
        <f t="shared" si="89"/>
        <v>42760</v>
      </c>
      <c r="C172" s="29" t="s">
        <v>2169</v>
      </c>
      <c r="D172" s="59" t="s">
        <v>1456</v>
      </c>
      <c r="E172" s="22" t="s">
        <v>623</v>
      </c>
      <c r="F172" s="27" t="s">
        <v>624</v>
      </c>
      <c r="G172" s="27"/>
      <c r="H172" s="28" t="s">
        <v>603</v>
      </c>
      <c r="I172" s="20">
        <v>41055</v>
      </c>
      <c r="J172" s="35">
        <f t="shared" si="92"/>
        <v>4.6712328767123283</v>
      </c>
      <c r="K172" s="368"/>
      <c r="L172" s="368"/>
      <c r="M172" s="60">
        <v>41932</v>
      </c>
      <c r="N172" s="32">
        <v>42347</v>
      </c>
      <c r="O172" s="82">
        <f t="shared" si="93"/>
        <v>413</v>
      </c>
      <c r="P172" s="19">
        <v>2</v>
      </c>
      <c r="Q172" s="68" t="s">
        <v>1448</v>
      </c>
      <c r="R172" s="118" t="s">
        <v>1810</v>
      </c>
      <c r="S172" s="21">
        <v>42421</v>
      </c>
      <c r="T172" s="20">
        <v>42668</v>
      </c>
      <c r="U172" s="20" t="str">
        <f t="shared" si="94"/>
        <v>-</v>
      </c>
      <c r="V172" s="19" t="str">
        <f t="shared" si="95"/>
        <v>-</v>
      </c>
      <c r="W172" s="3">
        <v>5</v>
      </c>
      <c r="X172" s="22">
        <f t="shared" si="96"/>
        <v>321</v>
      </c>
      <c r="Y172" s="22">
        <v>0</v>
      </c>
      <c r="Z172" s="22" t="str">
        <f t="shared" si="109"/>
        <v>яловая</v>
      </c>
      <c r="AA172" s="20" t="str">
        <f t="shared" si="98"/>
        <v>-</v>
      </c>
      <c r="AB172" s="94" t="str">
        <f t="shared" si="99"/>
        <v>---------</v>
      </c>
      <c r="AC172" s="21">
        <v>42708</v>
      </c>
      <c r="AD172" s="21" t="str">
        <f t="shared" si="108"/>
        <v>-</v>
      </c>
      <c r="AE172" s="21" t="str">
        <f t="shared" si="101"/>
        <v>-</v>
      </c>
      <c r="AF172" s="85"/>
      <c r="AG172" s="21" t="str">
        <f t="shared" si="102"/>
        <v>-</v>
      </c>
      <c r="AH172" s="21" t="str">
        <f t="shared" si="103"/>
        <v>-</v>
      </c>
      <c r="AI172" s="89" t="str">
        <f t="shared" si="104"/>
        <v>-</v>
      </c>
      <c r="AJ172" s="92">
        <v>1</v>
      </c>
      <c r="AK172" s="80" t="str">
        <f t="shared" si="105"/>
        <v>БРАК</v>
      </c>
      <c r="AL172" s="80" t="s">
        <v>1863</v>
      </c>
      <c r="AM172" s="120">
        <v>42760</v>
      </c>
      <c r="AN172" s="157" t="s">
        <v>2358</v>
      </c>
      <c r="AO172" s="2"/>
      <c r="AP172" s="2"/>
      <c r="BC172" s="284">
        <v>42760</v>
      </c>
      <c r="BD172" s="433" t="s">
        <v>2358</v>
      </c>
    </row>
    <row r="173" spans="1:56" s="1" customFormat="1" ht="15.95" customHeight="1" x14ac:dyDescent="0.25">
      <c r="A173" s="86">
        <v>171</v>
      </c>
      <c r="B173" s="84">
        <f t="shared" si="89"/>
        <v>42760</v>
      </c>
      <c r="C173" s="29" t="s">
        <v>2169</v>
      </c>
      <c r="D173" s="59" t="s">
        <v>1456</v>
      </c>
      <c r="E173" s="22" t="s">
        <v>215</v>
      </c>
      <c r="F173" s="27" t="s">
        <v>216</v>
      </c>
      <c r="G173" s="27"/>
      <c r="H173" s="28" t="s">
        <v>603</v>
      </c>
      <c r="I173" s="20">
        <v>41059</v>
      </c>
      <c r="J173" s="35">
        <f t="shared" si="92"/>
        <v>4.6602739726027398</v>
      </c>
      <c r="K173" s="368"/>
      <c r="L173" s="368"/>
      <c r="M173" s="60">
        <v>41941</v>
      </c>
      <c r="N173" s="32">
        <v>42538</v>
      </c>
      <c r="O173" s="82">
        <f t="shared" si="93"/>
        <v>222</v>
      </c>
      <c r="P173" s="19">
        <v>2</v>
      </c>
      <c r="Q173" s="68"/>
      <c r="R173" s="118"/>
      <c r="S173" s="21"/>
      <c r="T173" s="20"/>
      <c r="U173" s="20" t="str">
        <f t="shared" si="94"/>
        <v>-</v>
      </c>
      <c r="V173" s="19" t="str">
        <f t="shared" si="95"/>
        <v>-</v>
      </c>
      <c r="W173" s="3">
        <v>0</v>
      </c>
      <c r="X173" s="22" t="str">
        <f t="shared" si="96"/>
        <v>-</v>
      </c>
      <c r="Y173" s="22">
        <v>0</v>
      </c>
      <c r="Z173" s="22" t="str">
        <f t="shared" si="109"/>
        <v>яловая</v>
      </c>
      <c r="AA173" s="20" t="str">
        <f t="shared" si="98"/>
        <v>-</v>
      </c>
      <c r="AB173" s="94" t="str">
        <f t="shared" si="99"/>
        <v>---------</v>
      </c>
      <c r="AC173" s="21"/>
      <c r="AD173" s="21" t="str">
        <f t="shared" si="108"/>
        <v>-</v>
      </c>
      <c r="AE173" s="21" t="str">
        <f t="shared" si="101"/>
        <v>-</v>
      </c>
      <c r="AF173" s="85"/>
      <c r="AG173" s="21" t="str">
        <f t="shared" si="102"/>
        <v>-</v>
      </c>
      <c r="AH173" s="21" t="str">
        <f t="shared" si="103"/>
        <v>-</v>
      </c>
      <c r="AI173" s="89" t="str">
        <f t="shared" si="104"/>
        <v>-</v>
      </c>
      <c r="AJ173" s="92">
        <v>1</v>
      </c>
      <c r="AK173" s="80" t="str">
        <f t="shared" si="105"/>
        <v>-</v>
      </c>
      <c r="AL173" s="80" t="s">
        <v>1863</v>
      </c>
      <c r="AM173" s="120">
        <v>42760</v>
      </c>
      <c r="AN173" s="157" t="s">
        <v>2359</v>
      </c>
      <c r="AO173" s="2"/>
      <c r="AP173" s="2"/>
      <c r="BC173" s="284">
        <v>42760</v>
      </c>
      <c r="BD173" s="433" t="s">
        <v>2359</v>
      </c>
    </row>
    <row r="174" spans="1:56" s="1" customFormat="1" ht="15.95" customHeight="1" x14ac:dyDescent="0.25">
      <c r="A174" s="86">
        <v>172</v>
      </c>
      <c r="B174" s="84">
        <f t="shared" si="89"/>
        <v>42760</v>
      </c>
      <c r="C174" s="29" t="s">
        <v>2169</v>
      </c>
      <c r="D174" s="59" t="s">
        <v>1456</v>
      </c>
      <c r="E174" s="22" t="s">
        <v>499</v>
      </c>
      <c r="F174" s="27" t="s">
        <v>500</v>
      </c>
      <c r="G174" s="27"/>
      <c r="H174" s="28" t="s">
        <v>603</v>
      </c>
      <c r="I174" s="20">
        <v>41426</v>
      </c>
      <c r="J174" s="35">
        <f t="shared" si="92"/>
        <v>3.6547945205479451</v>
      </c>
      <c r="M174" s="60">
        <v>42146</v>
      </c>
      <c r="N174" s="32">
        <v>42146</v>
      </c>
      <c r="O174" s="82">
        <f t="shared" si="93"/>
        <v>614</v>
      </c>
      <c r="P174" s="19">
        <v>1</v>
      </c>
      <c r="Q174" s="68" t="s">
        <v>1481</v>
      </c>
      <c r="R174" s="118">
        <v>331129</v>
      </c>
      <c r="S174" s="21">
        <v>42583</v>
      </c>
      <c r="T174" s="20">
        <v>42499</v>
      </c>
      <c r="U174" s="20" t="str">
        <f t="shared" si="94"/>
        <v>-</v>
      </c>
      <c r="V174" s="19" t="str">
        <f t="shared" si="95"/>
        <v>-</v>
      </c>
      <c r="W174" s="3">
        <v>8</v>
      </c>
      <c r="X174" s="22">
        <f t="shared" si="96"/>
        <v>353</v>
      </c>
      <c r="Y174" s="22">
        <v>0</v>
      </c>
      <c r="Z174" s="22" t="str">
        <f t="shared" si="109"/>
        <v>яловая</v>
      </c>
      <c r="AA174" s="20" t="str">
        <f t="shared" si="98"/>
        <v>-</v>
      </c>
      <c r="AB174" s="94" t="str">
        <f t="shared" si="99"/>
        <v>---------</v>
      </c>
      <c r="AC174" s="21">
        <v>42549</v>
      </c>
      <c r="AD174" s="21" t="str">
        <f t="shared" si="108"/>
        <v>-</v>
      </c>
      <c r="AE174" s="21" t="str">
        <f t="shared" si="101"/>
        <v>-</v>
      </c>
      <c r="AF174" s="85"/>
      <c r="AG174" s="21" t="str">
        <f t="shared" si="102"/>
        <v>-</v>
      </c>
      <c r="AH174" s="21" t="str">
        <f t="shared" si="103"/>
        <v>-</v>
      </c>
      <c r="AI174" s="89" t="str">
        <f t="shared" si="104"/>
        <v>-</v>
      </c>
      <c r="AJ174" s="92">
        <v>1</v>
      </c>
      <c r="AK174" s="80" t="str">
        <f t="shared" si="105"/>
        <v>БРАК</v>
      </c>
      <c r="AL174" s="80" t="s">
        <v>1863</v>
      </c>
      <c r="AM174" s="120">
        <v>42760</v>
      </c>
      <c r="AN174" s="157" t="s">
        <v>2360</v>
      </c>
      <c r="AO174" s="2"/>
      <c r="AP174" s="2"/>
      <c r="BC174" s="284">
        <v>42760</v>
      </c>
      <c r="BD174" s="433" t="s">
        <v>2360</v>
      </c>
    </row>
    <row r="175" spans="1:56" s="1" customFormat="1" ht="15.95" customHeight="1" x14ac:dyDescent="0.25">
      <c r="A175" s="86">
        <v>173</v>
      </c>
      <c r="B175" s="84">
        <f t="shared" si="89"/>
        <v>42760</v>
      </c>
      <c r="C175" s="29" t="s">
        <v>2169</v>
      </c>
      <c r="D175" s="59" t="s">
        <v>1456</v>
      </c>
      <c r="E175" s="22" t="s">
        <v>303</v>
      </c>
      <c r="F175" s="27" t="s">
        <v>642</v>
      </c>
      <c r="G175" s="27"/>
      <c r="H175" s="28" t="s">
        <v>603</v>
      </c>
      <c r="I175" s="20">
        <v>41611</v>
      </c>
      <c r="J175" s="35">
        <f t="shared" si="92"/>
        <v>3.1479452054794521</v>
      </c>
      <c r="K175" s="368"/>
      <c r="L175" s="368"/>
      <c r="M175" s="60">
        <v>42400</v>
      </c>
      <c r="N175" s="32">
        <v>42400</v>
      </c>
      <c r="O175" s="82">
        <f t="shared" si="93"/>
        <v>360</v>
      </c>
      <c r="P175" s="19">
        <v>1</v>
      </c>
      <c r="Q175" s="68" t="s">
        <v>1481</v>
      </c>
      <c r="R175" s="118" t="s">
        <v>1845</v>
      </c>
      <c r="S175" s="21">
        <v>42458</v>
      </c>
      <c r="T175" s="20">
        <v>42694</v>
      </c>
      <c r="U175" s="20" t="str">
        <f t="shared" si="94"/>
        <v>-</v>
      </c>
      <c r="V175" s="19" t="str">
        <f t="shared" si="95"/>
        <v>-</v>
      </c>
      <c r="W175" s="3">
        <v>5</v>
      </c>
      <c r="X175" s="22">
        <f t="shared" si="96"/>
        <v>294</v>
      </c>
      <c r="Y175" s="22">
        <v>0</v>
      </c>
      <c r="Z175" s="22" t="str">
        <f t="shared" si="109"/>
        <v>яловая</v>
      </c>
      <c r="AA175" s="20" t="str">
        <f t="shared" si="98"/>
        <v>-</v>
      </c>
      <c r="AB175" s="94" t="str">
        <f t="shared" si="99"/>
        <v>---------</v>
      </c>
      <c r="AC175" s="21">
        <v>42754</v>
      </c>
      <c r="AD175" s="21" t="str">
        <f t="shared" si="108"/>
        <v>-</v>
      </c>
      <c r="AE175" s="21" t="str">
        <f t="shared" si="101"/>
        <v>-</v>
      </c>
      <c r="AF175" s="85"/>
      <c r="AG175" s="21" t="str">
        <f t="shared" si="102"/>
        <v>-</v>
      </c>
      <c r="AH175" s="21" t="str">
        <f t="shared" si="103"/>
        <v>-</v>
      </c>
      <c r="AI175" s="89" t="str">
        <f t="shared" si="104"/>
        <v>-</v>
      </c>
      <c r="AJ175" s="92">
        <v>1</v>
      </c>
      <c r="AK175" s="80" t="str">
        <f t="shared" si="105"/>
        <v>БРАК</v>
      </c>
      <c r="AL175" s="80" t="s">
        <v>1863</v>
      </c>
      <c r="AM175" s="120">
        <v>42760</v>
      </c>
      <c r="AN175" s="157" t="s">
        <v>2361</v>
      </c>
      <c r="AO175" s="2"/>
      <c r="AP175" s="2"/>
      <c r="BC175" s="284">
        <v>42760</v>
      </c>
      <c r="BD175" s="433" t="s">
        <v>2361</v>
      </c>
    </row>
    <row r="176" spans="1:56" s="1" customFormat="1" ht="15.95" customHeight="1" x14ac:dyDescent="0.25">
      <c r="A176" s="86">
        <v>174</v>
      </c>
      <c r="B176" s="84">
        <f t="shared" si="89"/>
        <v>42760</v>
      </c>
      <c r="C176" s="29" t="s">
        <v>2169</v>
      </c>
      <c r="D176" s="59" t="s">
        <v>1456</v>
      </c>
      <c r="E176" s="22" t="s">
        <v>99</v>
      </c>
      <c r="F176" s="27" t="s">
        <v>100</v>
      </c>
      <c r="G176" s="27"/>
      <c r="H176" s="28" t="s">
        <v>87</v>
      </c>
      <c r="I176" s="20">
        <v>40691</v>
      </c>
      <c r="J176" s="35">
        <f t="shared" si="92"/>
        <v>5.6684931506849319</v>
      </c>
      <c r="M176" s="60">
        <v>41684</v>
      </c>
      <c r="N176" s="32">
        <v>41684</v>
      </c>
      <c r="O176" s="82">
        <f t="shared" si="93"/>
        <v>1076</v>
      </c>
      <c r="P176" s="19">
        <v>1</v>
      </c>
      <c r="Q176" s="68" t="s">
        <v>1448</v>
      </c>
      <c r="R176" s="118">
        <v>56201</v>
      </c>
      <c r="S176" s="21">
        <v>41759</v>
      </c>
      <c r="T176" s="20">
        <v>42134</v>
      </c>
      <c r="U176" s="20" t="str">
        <f t="shared" si="94"/>
        <v>-</v>
      </c>
      <c r="V176" s="19" t="str">
        <f t="shared" si="95"/>
        <v>-</v>
      </c>
      <c r="W176" s="3">
        <v>0</v>
      </c>
      <c r="X176" s="22">
        <f t="shared" si="96"/>
        <v>450</v>
      </c>
      <c r="Y176" s="22">
        <v>0</v>
      </c>
      <c r="Z176" s="22" t="str">
        <f t="shared" si="109"/>
        <v>яловая</v>
      </c>
      <c r="AA176" s="20" t="str">
        <f t="shared" si="98"/>
        <v>-</v>
      </c>
      <c r="AB176" s="94" t="str">
        <f t="shared" si="99"/>
        <v>---------</v>
      </c>
      <c r="AC176" s="21"/>
      <c r="AD176" s="21" t="str">
        <f t="shared" si="108"/>
        <v>-</v>
      </c>
      <c r="AE176" s="21" t="str">
        <f t="shared" si="101"/>
        <v>-</v>
      </c>
      <c r="AF176" s="85"/>
      <c r="AG176" s="21" t="str">
        <f t="shared" si="102"/>
        <v>-</v>
      </c>
      <c r="AH176" s="21" t="str">
        <f t="shared" si="103"/>
        <v>-</v>
      </c>
      <c r="AI176" s="89" t="str">
        <f t="shared" si="104"/>
        <v>-</v>
      </c>
      <c r="AJ176" s="92">
        <v>1</v>
      </c>
      <c r="AK176" s="80" t="str">
        <f t="shared" si="105"/>
        <v>БРАК</v>
      </c>
      <c r="AL176" s="80" t="s">
        <v>1863</v>
      </c>
      <c r="AM176" s="120">
        <v>42760</v>
      </c>
      <c r="AN176" s="157" t="s">
        <v>2362</v>
      </c>
      <c r="AO176" s="2"/>
      <c r="AP176" s="2"/>
      <c r="BC176" s="284">
        <v>42760</v>
      </c>
      <c r="BD176" s="433" t="s">
        <v>2362</v>
      </c>
    </row>
    <row r="177" spans="1:56" s="1" customFormat="1" ht="15.95" customHeight="1" x14ac:dyDescent="0.25">
      <c r="A177" s="86">
        <v>175</v>
      </c>
      <c r="B177" s="84">
        <f t="shared" si="89"/>
        <v>42760</v>
      </c>
      <c r="C177" s="29" t="s">
        <v>2169</v>
      </c>
      <c r="D177" s="59" t="s">
        <v>1456</v>
      </c>
      <c r="E177" s="22" t="s">
        <v>65</v>
      </c>
      <c r="F177" s="27" t="s">
        <v>66</v>
      </c>
      <c r="G177" s="27"/>
      <c r="H177" s="28" t="s">
        <v>78</v>
      </c>
      <c r="I177" s="20">
        <v>40280</v>
      </c>
      <c r="J177" s="35">
        <f t="shared" si="92"/>
        <v>6.7945205479452051</v>
      </c>
      <c r="M177" s="60">
        <v>41049</v>
      </c>
      <c r="N177" s="32">
        <v>42445</v>
      </c>
      <c r="O177" s="82">
        <f t="shared" si="93"/>
        <v>315</v>
      </c>
      <c r="P177" s="19">
        <v>5</v>
      </c>
      <c r="Q177" s="68" t="s">
        <v>1897</v>
      </c>
      <c r="R177" s="118" t="s">
        <v>1875</v>
      </c>
      <c r="S177" s="21">
        <v>42633</v>
      </c>
      <c r="T177" s="20">
        <v>42633</v>
      </c>
      <c r="U177" s="20" t="str">
        <f t="shared" si="94"/>
        <v>-</v>
      </c>
      <c r="V177" s="19" t="str">
        <f t="shared" si="95"/>
        <v>-</v>
      </c>
      <c r="W177" s="3">
        <v>1</v>
      </c>
      <c r="X177" s="22">
        <f t="shared" si="96"/>
        <v>188</v>
      </c>
      <c r="Y177" s="22">
        <v>0</v>
      </c>
      <c r="Z177" s="22" t="str">
        <f t="shared" si="109"/>
        <v>яловая</v>
      </c>
      <c r="AA177" s="20" t="str">
        <f t="shared" si="98"/>
        <v>-</v>
      </c>
      <c r="AB177" s="94" t="str">
        <f t="shared" si="99"/>
        <v>---------</v>
      </c>
      <c r="AC177" s="21">
        <v>42716</v>
      </c>
      <c r="AD177" s="21" t="str">
        <f t="shared" si="108"/>
        <v>-</v>
      </c>
      <c r="AE177" s="21" t="str">
        <f t="shared" si="101"/>
        <v>-</v>
      </c>
      <c r="AF177" s="85"/>
      <c r="AG177" s="21" t="str">
        <f t="shared" si="102"/>
        <v>-</v>
      </c>
      <c r="AH177" s="21" t="str">
        <f t="shared" si="103"/>
        <v>-</v>
      </c>
      <c r="AI177" s="89" t="str">
        <f t="shared" si="104"/>
        <v>-</v>
      </c>
      <c r="AJ177" s="92">
        <v>1</v>
      </c>
      <c r="AK177" s="80" t="str">
        <f t="shared" si="105"/>
        <v>БРАК</v>
      </c>
      <c r="AL177" s="80" t="s">
        <v>1863</v>
      </c>
      <c r="AM177" s="120">
        <v>42760</v>
      </c>
      <c r="AN177" s="157" t="s">
        <v>2363</v>
      </c>
      <c r="AO177" s="2"/>
      <c r="AP177" s="2"/>
      <c r="BC177" s="284">
        <v>42760</v>
      </c>
      <c r="BD177" s="433" t="s">
        <v>2363</v>
      </c>
    </row>
    <row r="178" spans="1:56" s="1" customFormat="1" ht="15.95" customHeight="1" x14ac:dyDescent="0.25">
      <c r="A178" s="86">
        <v>176</v>
      </c>
      <c r="B178" s="84">
        <f t="shared" si="89"/>
        <v>42760</v>
      </c>
      <c r="C178" s="29" t="s">
        <v>2169</v>
      </c>
      <c r="D178" s="59" t="s">
        <v>1456</v>
      </c>
      <c r="E178" s="22" t="s">
        <v>583</v>
      </c>
      <c r="F178" s="27" t="s">
        <v>584</v>
      </c>
      <c r="G178" s="27"/>
      <c r="H178" s="28" t="s">
        <v>78</v>
      </c>
      <c r="I178" s="20">
        <v>41279</v>
      </c>
      <c r="J178" s="35">
        <f t="shared" si="92"/>
        <v>4.0575342465753428</v>
      </c>
      <c r="K178" s="368"/>
      <c r="L178" s="368"/>
      <c r="M178" s="60">
        <v>42223</v>
      </c>
      <c r="N178" s="32">
        <v>42223</v>
      </c>
      <c r="O178" s="82">
        <f t="shared" si="93"/>
        <v>537</v>
      </c>
      <c r="P178" s="19">
        <v>1</v>
      </c>
      <c r="Q178" s="68" t="s">
        <v>1448</v>
      </c>
      <c r="R178" s="118">
        <v>6845</v>
      </c>
      <c r="S178" s="21">
        <v>42320</v>
      </c>
      <c r="T178" s="20">
        <v>42320</v>
      </c>
      <c r="U178" s="20" t="str">
        <f t="shared" si="94"/>
        <v>-</v>
      </c>
      <c r="V178" s="19" t="str">
        <f t="shared" si="95"/>
        <v>-</v>
      </c>
      <c r="W178" s="3">
        <v>1</v>
      </c>
      <c r="X178" s="22">
        <f t="shared" si="96"/>
        <v>97</v>
      </c>
      <c r="Y178" s="22">
        <v>0</v>
      </c>
      <c r="Z178" s="22" t="str">
        <f t="shared" si="109"/>
        <v>яловая</v>
      </c>
      <c r="AA178" s="20" t="str">
        <f t="shared" si="98"/>
        <v>-</v>
      </c>
      <c r="AB178" s="94" t="str">
        <f t="shared" si="99"/>
        <v>---------</v>
      </c>
      <c r="AC178" s="21"/>
      <c r="AD178" s="21" t="str">
        <f t="shared" si="108"/>
        <v>-</v>
      </c>
      <c r="AE178" s="21" t="str">
        <f t="shared" si="101"/>
        <v>-</v>
      </c>
      <c r="AF178" s="85"/>
      <c r="AG178" s="21" t="str">
        <f t="shared" si="102"/>
        <v>-</v>
      </c>
      <c r="AH178" s="21" t="str">
        <f t="shared" si="103"/>
        <v>-</v>
      </c>
      <c r="AI178" s="89" t="str">
        <f t="shared" si="104"/>
        <v>-</v>
      </c>
      <c r="AJ178" s="92">
        <v>1</v>
      </c>
      <c r="AK178" s="80" t="str">
        <f t="shared" si="105"/>
        <v>БРАК</v>
      </c>
      <c r="AL178" s="80" t="s">
        <v>1863</v>
      </c>
      <c r="AM178" s="120">
        <v>42760</v>
      </c>
      <c r="AN178" s="157" t="s">
        <v>2386</v>
      </c>
      <c r="AO178" s="2"/>
      <c r="AP178" s="2"/>
      <c r="BC178" s="284">
        <v>42760</v>
      </c>
      <c r="BD178" s="433" t="s">
        <v>2386</v>
      </c>
    </row>
    <row r="179" spans="1:56" s="1" customFormat="1" ht="15.95" customHeight="1" x14ac:dyDescent="0.25">
      <c r="A179" s="86">
        <v>177</v>
      </c>
      <c r="B179" s="84">
        <f t="shared" si="89"/>
        <v>42760</v>
      </c>
      <c r="C179" s="29"/>
      <c r="D179" s="59" t="s">
        <v>1456</v>
      </c>
      <c r="E179" s="22" t="s">
        <v>1048</v>
      </c>
      <c r="F179" s="27" t="s">
        <v>797</v>
      </c>
      <c r="G179" s="27"/>
      <c r="H179" s="28" t="s">
        <v>603</v>
      </c>
      <c r="I179" s="20">
        <v>41999</v>
      </c>
      <c r="J179" s="35">
        <f t="shared" si="92"/>
        <v>2.0849315068493151</v>
      </c>
      <c r="M179" s="60">
        <v>42737</v>
      </c>
      <c r="N179" s="32">
        <v>42737</v>
      </c>
      <c r="O179" s="82">
        <f t="shared" si="93"/>
        <v>23</v>
      </c>
      <c r="P179" s="19">
        <v>1</v>
      </c>
      <c r="Q179" s="68"/>
      <c r="R179" s="118"/>
      <c r="S179" s="21"/>
      <c r="T179" s="20"/>
      <c r="U179" s="20" t="str">
        <f t="shared" si="94"/>
        <v>-</v>
      </c>
      <c r="V179" s="19" t="str">
        <f t="shared" si="95"/>
        <v>-</v>
      </c>
      <c r="W179" s="3">
        <v>0</v>
      </c>
      <c r="X179" s="22" t="str">
        <f t="shared" si="96"/>
        <v>-</v>
      </c>
      <c r="Y179" s="22">
        <v>0</v>
      </c>
      <c r="Z179" s="22" t="str">
        <f t="shared" si="109"/>
        <v>-</v>
      </c>
      <c r="AA179" s="20" t="str">
        <f t="shared" si="98"/>
        <v>-</v>
      </c>
      <c r="AB179" s="94" t="str">
        <f t="shared" si="99"/>
        <v>---------</v>
      </c>
      <c r="AC179" s="21"/>
      <c r="AD179" s="21" t="str">
        <f t="shared" si="108"/>
        <v>-</v>
      </c>
      <c r="AE179" s="21" t="str">
        <f t="shared" si="101"/>
        <v>-</v>
      </c>
      <c r="AF179" s="85"/>
      <c r="AG179" s="21" t="str">
        <f t="shared" si="102"/>
        <v>-</v>
      </c>
      <c r="AH179" s="21" t="str">
        <f t="shared" si="103"/>
        <v>-</v>
      </c>
      <c r="AI179" s="89" t="str">
        <f t="shared" si="104"/>
        <v>-</v>
      </c>
      <c r="AJ179" s="92">
        <v>1</v>
      </c>
      <c r="AK179" s="80" t="str">
        <f t="shared" si="105"/>
        <v>-</v>
      </c>
      <c r="AL179" s="80"/>
      <c r="AM179" s="120">
        <v>42760</v>
      </c>
      <c r="AN179" s="157" t="s">
        <v>2398</v>
      </c>
      <c r="AO179" s="2"/>
      <c r="AP179" s="2"/>
      <c r="BC179" s="284">
        <v>42760</v>
      </c>
      <c r="BD179" s="433" t="s">
        <v>2398</v>
      </c>
    </row>
    <row r="180" spans="1:56" s="2" customFormat="1" ht="15.95" customHeight="1" x14ac:dyDescent="0.25">
      <c r="A180" s="86">
        <v>178</v>
      </c>
      <c r="B180" s="84">
        <f t="shared" si="89"/>
        <v>42766</v>
      </c>
      <c r="C180" s="29" t="s">
        <v>613</v>
      </c>
      <c r="D180" s="59" t="s">
        <v>2181</v>
      </c>
      <c r="E180" s="22" t="s">
        <v>760</v>
      </c>
      <c r="F180" s="27" t="s">
        <v>761</v>
      </c>
      <c r="G180" s="27"/>
      <c r="H180" s="28" t="s">
        <v>603</v>
      </c>
      <c r="I180" s="20">
        <v>41036</v>
      </c>
      <c r="J180" s="35">
        <f t="shared" si="92"/>
        <v>4.7397260273972606</v>
      </c>
      <c r="M180" s="60">
        <v>41745</v>
      </c>
      <c r="N180" s="32">
        <v>42489</v>
      </c>
      <c r="O180" s="82">
        <f t="shared" si="93"/>
        <v>277</v>
      </c>
      <c r="P180" s="19">
        <v>3</v>
      </c>
      <c r="Q180" s="68" t="s">
        <v>1448</v>
      </c>
      <c r="R180" s="118">
        <v>9560</v>
      </c>
      <c r="S180" s="21">
        <v>42547</v>
      </c>
      <c r="T180" s="20">
        <v>42547</v>
      </c>
      <c r="U180" s="20" t="str">
        <f t="shared" si="94"/>
        <v>-</v>
      </c>
      <c r="V180" s="19" t="str">
        <f t="shared" si="95"/>
        <v>-</v>
      </c>
      <c r="W180" s="3">
        <v>1</v>
      </c>
      <c r="X180" s="22">
        <f t="shared" si="96"/>
        <v>58</v>
      </c>
      <c r="Y180" s="22">
        <v>0</v>
      </c>
      <c r="Z180" s="22" t="str">
        <f t="shared" si="109"/>
        <v>яловая</v>
      </c>
      <c r="AA180" s="20" t="str">
        <f t="shared" si="98"/>
        <v>-</v>
      </c>
      <c r="AB180" s="94" t="str">
        <f t="shared" si="99"/>
        <v>---------</v>
      </c>
      <c r="AC180" s="21">
        <v>42591</v>
      </c>
      <c r="AD180" s="21" t="str">
        <f t="shared" si="108"/>
        <v>-</v>
      </c>
      <c r="AE180" s="21" t="str">
        <f t="shared" si="101"/>
        <v>-</v>
      </c>
      <c r="AF180" s="85"/>
      <c r="AG180" s="21" t="str">
        <f t="shared" si="102"/>
        <v>-</v>
      </c>
      <c r="AH180" s="21" t="str">
        <f t="shared" si="103"/>
        <v>-</v>
      </c>
      <c r="AI180" s="89" t="str">
        <f t="shared" si="104"/>
        <v>-</v>
      </c>
      <c r="AJ180" s="92">
        <v>1</v>
      </c>
      <c r="AK180" s="80" t="str">
        <f t="shared" si="105"/>
        <v>-</v>
      </c>
      <c r="AL180" s="80" t="s">
        <v>1863</v>
      </c>
      <c r="AM180" s="120">
        <v>42766</v>
      </c>
      <c r="AN180" s="157" t="s">
        <v>2395</v>
      </c>
      <c r="BC180" s="284">
        <v>42766</v>
      </c>
      <c r="BD180" s="433" t="s">
        <v>2395</v>
      </c>
    </row>
    <row r="181" spans="1:56" s="2" customFormat="1" ht="15.95" customHeight="1" x14ac:dyDescent="0.25">
      <c r="A181" s="86">
        <v>179</v>
      </c>
      <c r="B181" s="84">
        <f t="shared" si="89"/>
        <v>42766</v>
      </c>
      <c r="C181" s="29" t="s">
        <v>613</v>
      </c>
      <c r="D181" s="59" t="s">
        <v>903</v>
      </c>
      <c r="E181" s="22" t="s">
        <v>526</v>
      </c>
      <c r="F181" s="27" t="s">
        <v>525</v>
      </c>
      <c r="G181" s="27"/>
      <c r="H181" s="28" t="s">
        <v>620</v>
      </c>
      <c r="I181" s="20">
        <v>41591</v>
      </c>
      <c r="J181" s="35">
        <v>3.2219178082191782</v>
      </c>
      <c r="M181" s="60">
        <v>42413</v>
      </c>
      <c r="N181" s="32">
        <v>42413</v>
      </c>
      <c r="O181" s="82">
        <v>354</v>
      </c>
      <c r="P181" s="19">
        <v>1</v>
      </c>
      <c r="Q181" s="68" t="s">
        <v>1451</v>
      </c>
      <c r="R181" s="118">
        <v>7762</v>
      </c>
      <c r="S181" s="21">
        <v>42488</v>
      </c>
      <c r="T181" s="20">
        <v>42558</v>
      </c>
      <c r="U181" s="20" t="s">
        <v>2266</v>
      </c>
      <c r="V181" s="19" t="s">
        <v>2266</v>
      </c>
      <c r="W181" s="3">
        <v>2</v>
      </c>
      <c r="X181" s="22">
        <v>145</v>
      </c>
      <c r="Y181" s="22">
        <v>0</v>
      </c>
      <c r="Z181" s="22" t="s">
        <v>1445</v>
      </c>
      <c r="AA181" s="20" t="s">
        <v>2266</v>
      </c>
      <c r="AB181" s="94" t="s">
        <v>2267</v>
      </c>
      <c r="AC181" s="21">
        <v>42612</v>
      </c>
      <c r="AD181" s="21" t="s">
        <v>2266</v>
      </c>
      <c r="AE181" s="21" t="s">
        <v>2266</v>
      </c>
      <c r="AF181" s="85"/>
      <c r="AG181" s="21" t="s">
        <v>2266</v>
      </c>
      <c r="AH181" s="21" t="s">
        <v>2266</v>
      </c>
      <c r="AI181" s="89" t="s">
        <v>2266</v>
      </c>
      <c r="AJ181" s="92">
        <v>1</v>
      </c>
      <c r="AK181" s="80" t="s">
        <v>1863</v>
      </c>
      <c r="AL181" s="80" t="s">
        <v>1863</v>
      </c>
      <c r="AM181" s="120">
        <v>42766</v>
      </c>
      <c r="AN181" s="157" t="s">
        <v>2266</v>
      </c>
      <c r="BC181" s="284">
        <v>42766</v>
      </c>
      <c r="BD181" s="433" t="s">
        <v>2266</v>
      </c>
    </row>
    <row r="182" spans="1:56" s="2" customFormat="1" ht="15.95" customHeight="1" x14ac:dyDescent="0.25">
      <c r="A182" s="86">
        <v>180</v>
      </c>
      <c r="B182" s="84">
        <f t="shared" si="89"/>
        <v>42772</v>
      </c>
      <c r="C182" s="29" t="s">
        <v>613</v>
      </c>
      <c r="D182" s="59" t="s">
        <v>2180</v>
      </c>
      <c r="E182" s="22" t="s">
        <v>1295</v>
      </c>
      <c r="F182" s="27" t="s">
        <v>1171</v>
      </c>
      <c r="G182" s="27"/>
      <c r="H182" s="28" t="s">
        <v>603</v>
      </c>
      <c r="I182" s="20">
        <v>41749</v>
      </c>
      <c r="J182" s="35">
        <v>2.8027397260273972</v>
      </c>
      <c r="M182" s="60">
        <v>42582</v>
      </c>
      <c r="N182" s="32">
        <v>42582</v>
      </c>
      <c r="O182" s="82">
        <v>190</v>
      </c>
      <c r="P182" s="19">
        <v>1</v>
      </c>
      <c r="Q182" s="68"/>
      <c r="R182" s="118"/>
      <c r="S182" s="21"/>
      <c r="T182" s="20"/>
      <c r="U182" s="20" t="s">
        <v>2266</v>
      </c>
      <c r="V182" s="19" t="s">
        <v>2266</v>
      </c>
      <c r="W182" s="3">
        <v>0</v>
      </c>
      <c r="X182" s="22" t="s">
        <v>2266</v>
      </c>
      <c r="Y182" s="22">
        <v>0</v>
      </c>
      <c r="Z182" s="22" t="s">
        <v>1445</v>
      </c>
      <c r="AA182" s="20" t="s">
        <v>2266</v>
      </c>
      <c r="AB182" s="94" t="s">
        <v>2267</v>
      </c>
      <c r="AC182" s="21"/>
      <c r="AD182" s="21" t="s">
        <v>2266</v>
      </c>
      <c r="AE182" s="21" t="s">
        <v>2266</v>
      </c>
      <c r="AF182" s="85"/>
      <c r="AG182" s="21" t="s">
        <v>2266</v>
      </c>
      <c r="AH182" s="21" t="s">
        <v>2266</v>
      </c>
      <c r="AI182" s="89" t="s">
        <v>2266</v>
      </c>
      <c r="AJ182" s="92">
        <v>1</v>
      </c>
      <c r="AK182" s="80"/>
      <c r="AL182" s="80" t="s">
        <v>1863</v>
      </c>
      <c r="AM182" s="120">
        <v>42772</v>
      </c>
      <c r="AN182" s="157" t="s">
        <v>2357</v>
      </c>
      <c r="BC182" s="284">
        <v>42772</v>
      </c>
      <c r="BD182" s="433" t="s">
        <v>2357</v>
      </c>
    </row>
    <row r="183" spans="1:56" s="2" customFormat="1" ht="15.95" customHeight="1" x14ac:dyDescent="0.25">
      <c r="A183" s="86">
        <v>181</v>
      </c>
      <c r="B183" s="84">
        <f t="shared" si="89"/>
        <v>42772</v>
      </c>
      <c r="C183" s="29" t="s">
        <v>615</v>
      </c>
      <c r="D183" s="59" t="s">
        <v>1633</v>
      </c>
      <c r="E183" s="22" t="s">
        <v>1368</v>
      </c>
      <c r="F183" s="27" t="s">
        <v>1254</v>
      </c>
      <c r="G183" s="27"/>
      <c r="H183" s="28" t="s">
        <v>603</v>
      </c>
      <c r="I183" s="20">
        <v>41634</v>
      </c>
      <c r="J183" s="35">
        <v>3.117808219178082</v>
      </c>
      <c r="M183" s="60">
        <v>42520</v>
      </c>
      <c r="N183" s="32">
        <v>42520</v>
      </c>
      <c r="O183" s="82">
        <v>252</v>
      </c>
      <c r="P183" s="19">
        <v>1</v>
      </c>
      <c r="Q183" s="68" t="s">
        <v>1448</v>
      </c>
      <c r="R183" s="118" t="s">
        <v>1809</v>
      </c>
      <c r="S183" s="21">
        <v>42573</v>
      </c>
      <c r="T183" s="20">
        <v>42709</v>
      </c>
      <c r="U183" s="20" t="s">
        <v>2266</v>
      </c>
      <c r="V183" s="19" t="s">
        <v>2266</v>
      </c>
      <c r="W183" s="3">
        <v>3</v>
      </c>
      <c r="X183" s="22">
        <v>189</v>
      </c>
      <c r="Y183" s="22">
        <v>0</v>
      </c>
      <c r="Z183" s="22" t="s">
        <v>1445</v>
      </c>
      <c r="AA183" s="20" t="s">
        <v>2266</v>
      </c>
      <c r="AB183" s="94" t="s">
        <v>2267</v>
      </c>
      <c r="AC183" s="21">
        <v>42758</v>
      </c>
      <c r="AD183" s="21" t="s">
        <v>2266</v>
      </c>
      <c r="AE183" s="21" t="s">
        <v>2266</v>
      </c>
      <c r="AF183" s="85"/>
      <c r="AG183" s="21" t="s">
        <v>2266</v>
      </c>
      <c r="AH183" s="21" t="s">
        <v>2266</v>
      </c>
      <c r="AI183" s="89" t="s">
        <v>2266</v>
      </c>
      <c r="AJ183" s="92">
        <v>1</v>
      </c>
      <c r="AK183" s="80" t="s">
        <v>2266</v>
      </c>
      <c r="AL183" s="80"/>
      <c r="AM183" s="120">
        <v>42772</v>
      </c>
      <c r="AN183" s="157" t="s">
        <v>2396</v>
      </c>
      <c r="BC183" s="284">
        <v>42772</v>
      </c>
      <c r="BD183" s="433" t="s">
        <v>2396</v>
      </c>
    </row>
    <row r="184" spans="1:56" s="2" customFormat="1" ht="15.95" customHeight="1" x14ac:dyDescent="0.25">
      <c r="A184" s="86">
        <v>182</v>
      </c>
      <c r="B184" s="84">
        <f t="shared" si="89"/>
        <v>42772</v>
      </c>
      <c r="C184" s="29" t="s">
        <v>614</v>
      </c>
      <c r="D184" s="59" t="s">
        <v>504</v>
      </c>
      <c r="E184" s="22" t="s">
        <v>716</v>
      </c>
      <c r="F184" s="27" t="s">
        <v>717</v>
      </c>
      <c r="G184" s="27"/>
      <c r="H184" s="28" t="s">
        <v>78</v>
      </c>
      <c r="I184" s="20">
        <v>41454</v>
      </c>
      <c r="J184" s="35">
        <v>3.6109589041095891</v>
      </c>
      <c r="M184" s="60">
        <v>42610</v>
      </c>
      <c r="N184" s="32">
        <v>42729</v>
      </c>
      <c r="O184" s="82">
        <v>43</v>
      </c>
      <c r="P184" s="19">
        <v>2</v>
      </c>
      <c r="Q184" s="68"/>
      <c r="R184" s="118"/>
      <c r="S184" s="21"/>
      <c r="T184" s="20"/>
      <c r="U184" s="20" t="s">
        <v>2266</v>
      </c>
      <c r="V184" s="19" t="s">
        <v>2266</v>
      </c>
      <c r="W184" s="3">
        <v>0</v>
      </c>
      <c r="X184" s="22" t="s">
        <v>2266</v>
      </c>
      <c r="Y184" s="22">
        <v>0</v>
      </c>
      <c r="Z184" s="22" t="s">
        <v>2266</v>
      </c>
      <c r="AA184" s="20" t="s">
        <v>2266</v>
      </c>
      <c r="AB184" s="94" t="s">
        <v>2267</v>
      </c>
      <c r="AC184" s="21"/>
      <c r="AD184" s="21" t="s">
        <v>2266</v>
      </c>
      <c r="AE184" s="21" t="s">
        <v>2266</v>
      </c>
      <c r="AF184" s="85"/>
      <c r="AG184" s="21" t="s">
        <v>2266</v>
      </c>
      <c r="AH184" s="21" t="s">
        <v>2266</v>
      </c>
      <c r="AI184" s="89" t="s">
        <v>2266</v>
      </c>
      <c r="AJ184" s="92">
        <v>1</v>
      </c>
      <c r="AK184" s="80" t="s">
        <v>2266</v>
      </c>
      <c r="AL184" s="80"/>
      <c r="AM184" s="120">
        <v>42772</v>
      </c>
      <c r="AN184" s="157" t="s">
        <v>2397</v>
      </c>
      <c r="BC184" s="284">
        <v>42772</v>
      </c>
      <c r="BD184" s="433" t="s">
        <v>2397</v>
      </c>
    </row>
    <row r="185" spans="1:56" s="2" customFormat="1" ht="15.95" customHeight="1" x14ac:dyDescent="0.25">
      <c r="A185" s="86">
        <v>183</v>
      </c>
      <c r="B185" s="84">
        <f t="shared" si="89"/>
        <v>0</v>
      </c>
      <c r="C185" s="29" t="s">
        <v>2169</v>
      </c>
      <c r="D185" s="59" t="s">
        <v>2387</v>
      </c>
      <c r="E185" s="22" t="s">
        <v>1102</v>
      </c>
      <c r="F185" s="27" t="s">
        <v>1017</v>
      </c>
      <c r="G185" s="27"/>
      <c r="H185" s="28" t="s">
        <v>603</v>
      </c>
      <c r="I185" s="20">
        <v>42070</v>
      </c>
      <c r="J185" s="35">
        <f t="shared" ref="J185:J216" si="110">(B185-I185)/365</f>
        <v>-115.26027397260275</v>
      </c>
      <c r="K185" s="364"/>
      <c r="L185" s="364"/>
      <c r="M185" s="60"/>
      <c r="N185" s="32"/>
      <c r="O185" s="82" t="str">
        <f t="shared" ref="O185:O216" si="111">IF(AND(B185&gt;0,N185&gt;0),B185-N185,"-")</f>
        <v>-</v>
      </c>
      <c r="P185" s="19"/>
      <c r="Q185" s="68" t="s">
        <v>1451</v>
      </c>
      <c r="R185" s="118">
        <v>6845</v>
      </c>
      <c r="S185" s="21">
        <v>42427</v>
      </c>
      <c r="T185" s="20">
        <v>42507</v>
      </c>
      <c r="U185" s="20" t="str">
        <f t="shared" ref="U185:U216" si="112">IF(AND(Y185&gt;1,T185&gt;0),T185+18,"-")</f>
        <v>-</v>
      </c>
      <c r="V185" s="19" t="str">
        <f t="shared" ref="V185:V216" si="113">IF(AND(U185&gt;0,B185&gt;0,Y185&gt;1),B185-U185,"-")</f>
        <v>-</v>
      </c>
      <c r="W185" s="3">
        <v>2</v>
      </c>
      <c r="X185" s="22" t="str">
        <f t="shared" ref="X185:X202" si="114">IF(AND(N185&gt;0,T185&gt;0),T185-N185,"-")</f>
        <v>-</v>
      </c>
      <c r="Y185" s="22">
        <v>0</v>
      </c>
      <c r="Z185" s="22" t="str">
        <f t="shared" ref="Z185:Z216" si="115">IF(AND(O185&gt;140,Y185=0,N185&gt;0),"яловая","-")</f>
        <v>-</v>
      </c>
      <c r="AA185" s="20" t="str">
        <f t="shared" ref="AA185:AA216" si="116">IF(AND(T185&gt;0,OR(Y185=3,Y185=2)),T185+35,"-")</f>
        <v>-</v>
      </c>
      <c r="AB185" s="94" t="str">
        <f t="shared" ref="AB185:AB216" si="117">IF(AND(T185&gt;0,W185&gt;0,Q185&gt;0,OR(Y185=3,Y185=2)),B185-AA185,"---------")</f>
        <v>---------</v>
      </c>
      <c r="AC185" s="21">
        <v>42767</v>
      </c>
      <c r="AD185" s="21" t="str">
        <f t="shared" ref="AD185:AD216" si="118">IF(AND($T185&gt;0,$N185&gt;0,$Y185=1),$T185+280-90,"-")</f>
        <v>-</v>
      </c>
      <c r="AE185" s="21" t="str">
        <f t="shared" ref="AE185:AE216" si="119">IF(AND(T185&gt;0,Y185=1,N185&gt;0),T185+280-60,"-")</f>
        <v>-</v>
      </c>
      <c r="AF185" s="85"/>
      <c r="AG185" s="21" t="str">
        <f t="shared" ref="AG185:AG216" si="120">IF(AND($T185&gt;0,$Y185=1),$T185+280-21,"-")</f>
        <v>-</v>
      </c>
      <c r="AH185" s="21" t="str">
        <f t="shared" ref="AH185:AH198" si="121">IF(AND(T185&gt;0,Y185=1),T185+280,"-")</f>
        <v>-</v>
      </c>
      <c r="AI185" s="89" t="str">
        <f t="shared" ref="AI185:AI216" si="122">IF(AND(B185&gt;0,AH185&gt;0,AC185&gt;0,Y185=1),B185-AH185,"-")</f>
        <v>-</v>
      </c>
      <c r="AJ185" s="92">
        <v>1</v>
      </c>
      <c r="AK185" s="80" t="str">
        <f t="shared" ref="AK185:AK201" si="123">IF(AND(Z185="яловая",O185&gt;300),"БРАК","-")</f>
        <v>-</v>
      </c>
      <c r="AL185" s="80"/>
      <c r="AM185" s="120"/>
      <c r="AN185" s="157" t="s">
        <v>2402</v>
      </c>
      <c r="BC185" s="284"/>
      <c r="BD185" s="433" t="s">
        <v>2402</v>
      </c>
    </row>
    <row r="186" spans="1:56" s="2" customFormat="1" ht="15.95" customHeight="1" x14ac:dyDescent="0.25">
      <c r="A186" s="86">
        <v>184</v>
      </c>
      <c r="B186" s="84">
        <f t="shared" si="89"/>
        <v>42786</v>
      </c>
      <c r="C186" s="29" t="s">
        <v>613</v>
      </c>
      <c r="D186" s="59" t="s">
        <v>904</v>
      </c>
      <c r="E186" s="22" t="s">
        <v>400</v>
      </c>
      <c r="F186" s="27" t="s">
        <v>401</v>
      </c>
      <c r="G186" s="27"/>
      <c r="H186" s="28" t="s">
        <v>603</v>
      </c>
      <c r="I186" s="20">
        <v>41364</v>
      </c>
      <c r="J186" s="35">
        <f t="shared" si="110"/>
        <v>3.8958904109589043</v>
      </c>
      <c r="M186" s="60">
        <v>42271</v>
      </c>
      <c r="N186" s="32">
        <v>42477</v>
      </c>
      <c r="O186" s="82">
        <f t="shared" si="111"/>
        <v>309</v>
      </c>
      <c r="P186" s="19">
        <v>1</v>
      </c>
      <c r="Q186" s="68" t="s">
        <v>1451</v>
      </c>
      <c r="R186" s="118">
        <v>6845</v>
      </c>
      <c r="S186" s="21">
        <v>42524</v>
      </c>
      <c r="T186" s="20">
        <v>42562</v>
      </c>
      <c r="U186" s="20" t="str">
        <f t="shared" si="112"/>
        <v>-</v>
      </c>
      <c r="V186" s="19" t="str">
        <f t="shared" si="113"/>
        <v>-</v>
      </c>
      <c r="W186" s="3">
        <v>2</v>
      </c>
      <c r="X186" s="22">
        <f t="shared" si="114"/>
        <v>85</v>
      </c>
      <c r="Y186" s="22">
        <v>0</v>
      </c>
      <c r="Z186" s="22" t="str">
        <f t="shared" si="115"/>
        <v>яловая</v>
      </c>
      <c r="AA186" s="20" t="str">
        <f t="shared" si="116"/>
        <v>-</v>
      </c>
      <c r="AB186" s="94" t="str">
        <f t="shared" si="117"/>
        <v>---------</v>
      </c>
      <c r="AC186" s="21"/>
      <c r="AD186" s="21" t="str">
        <f t="shared" si="118"/>
        <v>-</v>
      </c>
      <c r="AE186" s="21" t="str">
        <f t="shared" si="119"/>
        <v>-</v>
      </c>
      <c r="AF186" s="85"/>
      <c r="AG186" s="21" t="str">
        <f t="shared" si="120"/>
        <v>-</v>
      </c>
      <c r="AH186" s="21" t="str">
        <f t="shared" si="121"/>
        <v>-</v>
      </c>
      <c r="AI186" s="89" t="str">
        <f t="shared" si="122"/>
        <v>-</v>
      </c>
      <c r="AJ186" s="92">
        <v>1</v>
      </c>
      <c r="AK186" s="80" t="str">
        <f t="shared" si="123"/>
        <v>БРАК</v>
      </c>
      <c r="AL186" s="80" t="s">
        <v>1863</v>
      </c>
      <c r="AM186" s="120">
        <v>42786</v>
      </c>
      <c r="AN186" s="238" t="s">
        <v>2426</v>
      </c>
      <c r="BC186" s="284">
        <v>42786</v>
      </c>
      <c r="BD186" s="435" t="s">
        <v>2426</v>
      </c>
    </row>
    <row r="187" spans="1:56" s="2" customFormat="1" ht="15.95" customHeight="1" x14ac:dyDescent="0.25">
      <c r="A187" s="86">
        <v>185</v>
      </c>
      <c r="B187" s="84">
        <f t="shared" si="89"/>
        <v>42791</v>
      </c>
      <c r="C187" s="29" t="s">
        <v>2404</v>
      </c>
      <c r="D187" s="59" t="s">
        <v>1456</v>
      </c>
      <c r="E187" s="22" t="s">
        <v>136</v>
      </c>
      <c r="F187" s="27" t="s">
        <v>453</v>
      </c>
      <c r="G187" s="27"/>
      <c r="H187" s="28" t="s">
        <v>78</v>
      </c>
      <c r="I187" s="20">
        <v>41241</v>
      </c>
      <c r="J187" s="35">
        <f t="shared" si="110"/>
        <v>4.2465753424657535</v>
      </c>
      <c r="M187" s="60">
        <v>42183</v>
      </c>
      <c r="N187" s="32">
        <v>42783</v>
      </c>
      <c r="O187" s="82">
        <f t="shared" si="111"/>
        <v>8</v>
      </c>
      <c r="P187" s="19">
        <v>2</v>
      </c>
      <c r="Q187" s="68"/>
      <c r="R187" s="118"/>
      <c r="S187" s="21"/>
      <c r="T187" s="20"/>
      <c r="U187" s="20" t="str">
        <f t="shared" si="112"/>
        <v>-</v>
      </c>
      <c r="V187" s="19" t="str">
        <f t="shared" si="113"/>
        <v>-</v>
      </c>
      <c r="W187" s="3">
        <v>0</v>
      </c>
      <c r="X187" s="22" t="str">
        <f t="shared" si="114"/>
        <v>-</v>
      </c>
      <c r="Y187" s="22">
        <v>0</v>
      </c>
      <c r="Z187" s="22" t="str">
        <f t="shared" si="115"/>
        <v>-</v>
      </c>
      <c r="AA187" s="20" t="str">
        <f t="shared" si="116"/>
        <v>-</v>
      </c>
      <c r="AB187" s="94" t="str">
        <f t="shared" si="117"/>
        <v>---------</v>
      </c>
      <c r="AC187" s="21"/>
      <c r="AD187" s="21" t="str">
        <f t="shared" si="118"/>
        <v>-</v>
      </c>
      <c r="AE187" s="21" t="str">
        <f t="shared" si="119"/>
        <v>-</v>
      </c>
      <c r="AF187" s="85"/>
      <c r="AG187" s="21" t="str">
        <f t="shared" si="120"/>
        <v>-</v>
      </c>
      <c r="AH187" s="21" t="str">
        <f t="shared" si="121"/>
        <v>-</v>
      </c>
      <c r="AI187" s="89" t="str">
        <f t="shared" si="122"/>
        <v>-</v>
      </c>
      <c r="AJ187" s="92">
        <v>1</v>
      </c>
      <c r="AK187" s="80" t="str">
        <f t="shared" si="123"/>
        <v>-</v>
      </c>
      <c r="AL187" s="80"/>
      <c r="AM187" s="120">
        <v>42791</v>
      </c>
      <c r="AN187" s="238" t="s">
        <v>2439</v>
      </c>
      <c r="BC187" s="284">
        <v>42791</v>
      </c>
      <c r="BD187" s="435" t="s">
        <v>2439</v>
      </c>
    </row>
    <row r="188" spans="1:56" s="1" customFormat="1" ht="15.95" customHeight="1" x14ac:dyDescent="0.25">
      <c r="A188" s="86">
        <v>186</v>
      </c>
      <c r="B188" s="84">
        <f t="shared" si="89"/>
        <v>42802</v>
      </c>
      <c r="C188" s="29"/>
      <c r="D188" s="59" t="s">
        <v>475</v>
      </c>
      <c r="E188" s="22" t="s">
        <v>523</v>
      </c>
      <c r="F188" s="27" t="s">
        <v>524</v>
      </c>
      <c r="G188" s="27"/>
      <c r="H188" s="28" t="s">
        <v>620</v>
      </c>
      <c r="I188" s="20">
        <v>41577</v>
      </c>
      <c r="J188" s="35">
        <f t="shared" si="110"/>
        <v>3.3561643835616439</v>
      </c>
      <c r="M188" s="60">
        <v>42417</v>
      </c>
      <c r="N188" s="32">
        <v>42417</v>
      </c>
      <c r="O188" s="82">
        <f t="shared" si="111"/>
        <v>385</v>
      </c>
      <c r="P188" s="19">
        <v>1</v>
      </c>
      <c r="Q188" s="68" t="s">
        <v>1482</v>
      </c>
      <c r="R188" s="118" t="s">
        <v>1874</v>
      </c>
      <c r="S188" s="21">
        <v>42488</v>
      </c>
      <c r="T188" s="20">
        <v>42632</v>
      </c>
      <c r="U188" s="20" t="str">
        <f t="shared" si="112"/>
        <v>-</v>
      </c>
      <c r="V188" s="19" t="str">
        <f t="shared" si="113"/>
        <v>-</v>
      </c>
      <c r="W188" s="3">
        <v>3</v>
      </c>
      <c r="X188" s="22">
        <f t="shared" si="114"/>
        <v>215</v>
      </c>
      <c r="Y188" s="22">
        <v>0</v>
      </c>
      <c r="Z188" s="22" t="str">
        <f t="shared" si="115"/>
        <v>яловая</v>
      </c>
      <c r="AA188" s="20" t="str">
        <f t="shared" si="116"/>
        <v>-</v>
      </c>
      <c r="AB188" s="94" t="str">
        <f t="shared" si="117"/>
        <v>---------</v>
      </c>
      <c r="AC188" s="21">
        <v>42799</v>
      </c>
      <c r="AD188" s="21" t="str">
        <f t="shared" si="118"/>
        <v>-</v>
      </c>
      <c r="AE188" s="21" t="str">
        <f t="shared" si="119"/>
        <v>-</v>
      </c>
      <c r="AF188" s="85">
        <v>42733</v>
      </c>
      <c r="AG188" s="21" t="str">
        <f t="shared" si="120"/>
        <v>-</v>
      </c>
      <c r="AH188" s="21" t="str">
        <f t="shared" si="121"/>
        <v>-</v>
      </c>
      <c r="AI188" s="89" t="str">
        <f t="shared" si="122"/>
        <v>-</v>
      </c>
      <c r="AJ188" s="92">
        <v>1</v>
      </c>
      <c r="AK188" s="80" t="str">
        <f t="shared" si="123"/>
        <v>БРАК</v>
      </c>
      <c r="AL188" s="80"/>
      <c r="AM188" s="120">
        <v>42802</v>
      </c>
      <c r="AN188" s="238" t="s">
        <v>2479</v>
      </c>
      <c r="AO188" s="2"/>
      <c r="AP188" s="2"/>
      <c r="AQ188" s="2"/>
      <c r="BC188" s="284">
        <v>42802</v>
      </c>
      <c r="BD188" s="435" t="s">
        <v>2479</v>
      </c>
    </row>
    <row r="189" spans="1:56" s="1" customFormat="1" ht="15.95" customHeight="1" x14ac:dyDescent="0.25">
      <c r="A189" s="86">
        <v>187</v>
      </c>
      <c r="B189" s="84">
        <f t="shared" si="89"/>
        <v>42802</v>
      </c>
      <c r="C189" s="29"/>
      <c r="D189" s="59" t="s">
        <v>475</v>
      </c>
      <c r="E189" s="22" t="s">
        <v>733</v>
      </c>
      <c r="F189" s="27" t="s">
        <v>734</v>
      </c>
      <c r="G189" s="27"/>
      <c r="H189" s="28" t="s">
        <v>721</v>
      </c>
      <c r="I189" s="20">
        <v>41128</v>
      </c>
      <c r="J189" s="35">
        <f t="shared" si="110"/>
        <v>4.5863013698630137</v>
      </c>
      <c r="M189" s="60">
        <v>41904</v>
      </c>
      <c r="N189" s="32">
        <v>42507</v>
      </c>
      <c r="O189" s="82">
        <f t="shared" si="111"/>
        <v>295</v>
      </c>
      <c r="P189" s="19">
        <v>2</v>
      </c>
      <c r="Q189" s="68" t="s">
        <v>1451</v>
      </c>
      <c r="R189" s="118">
        <v>9560</v>
      </c>
      <c r="S189" s="21">
        <v>42559</v>
      </c>
      <c r="T189" s="20">
        <v>42559</v>
      </c>
      <c r="U189" s="20" t="str">
        <f t="shared" si="112"/>
        <v>-</v>
      </c>
      <c r="V189" s="19" t="str">
        <f t="shared" si="113"/>
        <v>-</v>
      </c>
      <c r="W189" s="3">
        <v>1</v>
      </c>
      <c r="X189" s="22">
        <f t="shared" si="114"/>
        <v>52</v>
      </c>
      <c r="Y189" s="22">
        <v>1</v>
      </c>
      <c r="Z189" s="22" t="str">
        <f t="shared" si="115"/>
        <v>-</v>
      </c>
      <c r="AA189" s="20" t="str">
        <f t="shared" si="116"/>
        <v>-</v>
      </c>
      <c r="AB189" s="94" t="str">
        <f t="shared" si="117"/>
        <v>---------</v>
      </c>
      <c r="AC189" s="21">
        <v>42598</v>
      </c>
      <c r="AD189" s="21">
        <f t="shared" si="118"/>
        <v>42749</v>
      </c>
      <c r="AE189" s="21">
        <f t="shared" si="119"/>
        <v>42779</v>
      </c>
      <c r="AF189" s="85">
        <v>42784</v>
      </c>
      <c r="AG189" s="21">
        <f t="shared" si="120"/>
        <v>42818</v>
      </c>
      <c r="AH189" s="21">
        <f t="shared" si="121"/>
        <v>42839</v>
      </c>
      <c r="AI189" s="89">
        <f t="shared" si="122"/>
        <v>-37</v>
      </c>
      <c r="AJ189" s="92">
        <v>1</v>
      </c>
      <c r="AK189" s="80" t="str">
        <f t="shared" si="123"/>
        <v>-</v>
      </c>
      <c r="AL189" s="80"/>
      <c r="AM189" s="120">
        <v>42802</v>
      </c>
      <c r="AN189" s="238" t="s">
        <v>2246</v>
      </c>
      <c r="AO189" s="2"/>
      <c r="AP189" s="2"/>
      <c r="AQ189" s="2"/>
      <c r="BC189" s="284">
        <v>42802</v>
      </c>
      <c r="BD189" s="435" t="s">
        <v>2246</v>
      </c>
    </row>
    <row r="190" spans="1:56" s="2" customFormat="1" ht="15.95" customHeight="1" x14ac:dyDescent="0.25">
      <c r="A190" s="86">
        <v>188</v>
      </c>
      <c r="B190" s="84">
        <f t="shared" si="89"/>
        <v>42807</v>
      </c>
      <c r="C190" s="29" t="s">
        <v>613</v>
      </c>
      <c r="D190" s="59" t="s">
        <v>2180</v>
      </c>
      <c r="E190" s="22" t="s">
        <v>126</v>
      </c>
      <c r="F190" s="27" t="s">
        <v>914</v>
      </c>
      <c r="G190" s="27"/>
      <c r="H190" s="28" t="s">
        <v>603</v>
      </c>
      <c r="I190" s="20">
        <v>39404</v>
      </c>
      <c r="J190" s="35">
        <f t="shared" si="110"/>
        <v>9.3232876712328761</v>
      </c>
      <c r="M190" s="60">
        <v>40475</v>
      </c>
      <c r="N190" s="32">
        <v>42735</v>
      </c>
      <c r="O190" s="82">
        <f t="shared" si="111"/>
        <v>72</v>
      </c>
      <c r="P190" s="19">
        <v>4</v>
      </c>
      <c r="Q190" s="68"/>
      <c r="R190" s="118"/>
      <c r="S190" s="21"/>
      <c r="T190" s="20"/>
      <c r="U190" s="20" t="str">
        <f t="shared" si="112"/>
        <v>-</v>
      </c>
      <c r="V190" s="19" t="str">
        <f t="shared" si="113"/>
        <v>-</v>
      </c>
      <c r="W190" s="3">
        <v>0</v>
      </c>
      <c r="X190" s="22" t="str">
        <f t="shared" si="114"/>
        <v>-</v>
      </c>
      <c r="Y190" s="22">
        <v>0</v>
      </c>
      <c r="Z190" s="22" t="str">
        <f t="shared" si="115"/>
        <v>-</v>
      </c>
      <c r="AA190" s="20" t="str">
        <f t="shared" si="116"/>
        <v>-</v>
      </c>
      <c r="AB190" s="94" t="str">
        <f t="shared" si="117"/>
        <v>---------</v>
      </c>
      <c r="AC190" s="21"/>
      <c r="AD190" s="21" t="str">
        <f t="shared" si="118"/>
        <v>-</v>
      </c>
      <c r="AE190" s="21" t="str">
        <f t="shared" si="119"/>
        <v>-</v>
      </c>
      <c r="AF190" s="85"/>
      <c r="AG190" s="21" t="str">
        <f t="shared" si="120"/>
        <v>-</v>
      </c>
      <c r="AH190" s="21" t="str">
        <f t="shared" si="121"/>
        <v>-</v>
      </c>
      <c r="AI190" s="89" t="str">
        <f t="shared" si="122"/>
        <v>-</v>
      </c>
      <c r="AJ190" s="92">
        <v>1</v>
      </c>
      <c r="AK190" s="80" t="str">
        <f t="shared" si="123"/>
        <v>-</v>
      </c>
      <c r="AL190" s="80"/>
      <c r="AM190" s="120">
        <v>42807</v>
      </c>
      <c r="AN190" s="238" t="s">
        <v>2497</v>
      </c>
      <c r="BC190" s="284">
        <v>42807</v>
      </c>
      <c r="BD190" s="435" t="s">
        <v>2497</v>
      </c>
    </row>
    <row r="191" spans="1:56" s="2" customFormat="1" ht="15.95" customHeight="1" x14ac:dyDescent="0.25">
      <c r="A191" s="86">
        <v>189</v>
      </c>
      <c r="B191" s="84">
        <f t="shared" si="89"/>
        <v>42807</v>
      </c>
      <c r="C191" s="29" t="s">
        <v>613</v>
      </c>
      <c r="D191" s="59" t="s">
        <v>903</v>
      </c>
      <c r="E191" s="22" t="s">
        <v>138</v>
      </c>
      <c r="F191" s="27" t="s">
        <v>139</v>
      </c>
      <c r="G191" s="27"/>
      <c r="H191" s="28" t="s">
        <v>87</v>
      </c>
      <c r="I191" s="20">
        <v>40648</v>
      </c>
      <c r="J191" s="35">
        <f t="shared" si="110"/>
        <v>5.9150684931506845</v>
      </c>
      <c r="K191" s="364"/>
      <c r="L191" s="364"/>
      <c r="M191" s="60">
        <v>41586</v>
      </c>
      <c r="N191" s="32">
        <v>42459</v>
      </c>
      <c r="O191" s="82">
        <f t="shared" si="111"/>
        <v>348</v>
      </c>
      <c r="P191" s="19">
        <v>2</v>
      </c>
      <c r="Q191" s="68" t="s">
        <v>1451</v>
      </c>
      <c r="R191" s="118" t="s">
        <v>1814</v>
      </c>
      <c r="S191" s="21">
        <v>42531</v>
      </c>
      <c r="T191" s="20">
        <v>42643</v>
      </c>
      <c r="U191" s="20" t="str">
        <f t="shared" si="112"/>
        <v>-</v>
      </c>
      <c r="V191" s="19" t="str">
        <f t="shared" si="113"/>
        <v>-</v>
      </c>
      <c r="W191" s="3">
        <v>3</v>
      </c>
      <c r="X191" s="22">
        <f t="shared" si="114"/>
        <v>184</v>
      </c>
      <c r="Y191" s="22">
        <v>1</v>
      </c>
      <c r="Z191" s="22" t="str">
        <f t="shared" si="115"/>
        <v>-</v>
      </c>
      <c r="AA191" s="20" t="str">
        <f t="shared" si="116"/>
        <v>-</v>
      </c>
      <c r="AB191" s="94" t="str">
        <f t="shared" si="117"/>
        <v>---------</v>
      </c>
      <c r="AC191" s="21">
        <v>42676</v>
      </c>
      <c r="AD191" s="21">
        <f t="shared" si="118"/>
        <v>42833</v>
      </c>
      <c r="AE191" s="21">
        <f t="shared" si="119"/>
        <v>42863</v>
      </c>
      <c r="AF191" s="85"/>
      <c r="AG191" s="21">
        <f t="shared" si="120"/>
        <v>42902</v>
      </c>
      <c r="AH191" s="21">
        <f t="shared" si="121"/>
        <v>42923</v>
      </c>
      <c r="AI191" s="89">
        <f t="shared" si="122"/>
        <v>-116</v>
      </c>
      <c r="AJ191" s="92">
        <v>1</v>
      </c>
      <c r="AK191" s="80" t="str">
        <f t="shared" si="123"/>
        <v>-</v>
      </c>
      <c r="AL191" s="80"/>
      <c r="AM191" s="120">
        <v>42807</v>
      </c>
      <c r="AN191" s="238" t="s">
        <v>2498</v>
      </c>
      <c r="BC191" s="284">
        <v>42807</v>
      </c>
      <c r="BD191" s="435" t="s">
        <v>2498</v>
      </c>
    </row>
    <row r="192" spans="1:56" s="2" customFormat="1" ht="15.95" customHeight="1" x14ac:dyDescent="0.25">
      <c r="A192" s="86">
        <v>190</v>
      </c>
      <c r="B192" s="84">
        <f t="shared" si="89"/>
        <v>42807</v>
      </c>
      <c r="C192" s="29" t="s">
        <v>614</v>
      </c>
      <c r="D192" s="59" t="s">
        <v>504</v>
      </c>
      <c r="E192" s="22" t="s">
        <v>219</v>
      </c>
      <c r="F192" s="27" t="s">
        <v>220</v>
      </c>
      <c r="G192" s="27"/>
      <c r="H192" s="28" t="s">
        <v>603</v>
      </c>
      <c r="I192" s="20">
        <v>41180</v>
      </c>
      <c r="J192" s="35">
        <f t="shared" si="110"/>
        <v>4.4575342465753423</v>
      </c>
      <c r="M192" s="60">
        <v>41948</v>
      </c>
      <c r="N192" s="32">
        <v>42732</v>
      </c>
      <c r="O192" s="82">
        <f t="shared" si="111"/>
        <v>75</v>
      </c>
      <c r="P192" s="19">
        <v>3</v>
      </c>
      <c r="Q192" s="68"/>
      <c r="R192" s="118"/>
      <c r="S192" s="21"/>
      <c r="T192" s="20"/>
      <c r="U192" s="20" t="str">
        <f t="shared" si="112"/>
        <v>-</v>
      </c>
      <c r="V192" s="19" t="str">
        <f t="shared" si="113"/>
        <v>-</v>
      </c>
      <c r="W192" s="3">
        <v>0</v>
      </c>
      <c r="X192" s="22" t="str">
        <f t="shared" si="114"/>
        <v>-</v>
      </c>
      <c r="Y192" s="22">
        <v>0</v>
      </c>
      <c r="Z192" s="22" t="str">
        <f t="shared" si="115"/>
        <v>-</v>
      </c>
      <c r="AA192" s="20" t="str">
        <f t="shared" si="116"/>
        <v>-</v>
      </c>
      <c r="AB192" s="94" t="str">
        <f t="shared" si="117"/>
        <v>---------</v>
      </c>
      <c r="AC192" s="21"/>
      <c r="AD192" s="21" t="str">
        <f t="shared" si="118"/>
        <v>-</v>
      </c>
      <c r="AE192" s="21" t="str">
        <f t="shared" si="119"/>
        <v>-</v>
      </c>
      <c r="AF192" s="85"/>
      <c r="AG192" s="21" t="str">
        <f t="shared" si="120"/>
        <v>-</v>
      </c>
      <c r="AH192" s="21" t="str">
        <f t="shared" si="121"/>
        <v>-</v>
      </c>
      <c r="AI192" s="89" t="str">
        <f t="shared" si="122"/>
        <v>-</v>
      </c>
      <c r="AJ192" s="92">
        <v>1</v>
      </c>
      <c r="AK192" s="80" t="str">
        <f t="shared" si="123"/>
        <v>-</v>
      </c>
      <c r="AL192" s="80"/>
      <c r="AM192" s="120">
        <v>42807</v>
      </c>
      <c r="AN192" s="238" t="s">
        <v>2499</v>
      </c>
      <c r="BC192" s="284">
        <v>42807</v>
      </c>
      <c r="BD192" s="435" t="s">
        <v>2499</v>
      </c>
    </row>
    <row r="193" spans="1:56" s="1" customFormat="1" ht="15.95" customHeight="1" x14ac:dyDescent="0.25">
      <c r="A193" s="86">
        <v>191</v>
      </c>
      <c r="B193" s="84">
        <f t="shared" si="89"/>
        <v>42807</v>
      </c>
      <c r="C193" s="29"/>
      <c r="D193" s="59" t="s">
        <v>1455</v>
      </c>
      <c r="E193" s="22" t="s">
        <v>1105</v>
      </c>
      <c r="F193" s="27" t="s">
        <v>1025</v>
      </c>
      <c r="G193" s="27"/>
      <c r="H193" s="28" t="s">
        <v>603</v>
      </c>
      <c r="I193" s="20">
        <v>42032</v>
      </c>
      <c r="J193" s="35">
        <f t="shared" si="110"/>
        <v>2.1232876712328768</v>
      </c>
      <c r="M193" s="60"/>
      <c r="N193" s="32"/>
      <c r="O193" s="82" t="str">
        <f t="shared" si="111"/>
        <v>-</v>
      </c>
      <c r="P193" s="19"/>
      <c r="Q193" s="68" t="s">
        <v>1448</v>
      </c>
      <c r="R193" s="118">
        <v>9320</v>
      </c>
      <c r="S193" s="21">
        <v>42444</v>
      </c>
      <c r="T193" s="20">
        <v>42541</v>
      </c>
      <c r="U193" s="20" t="str">
        <f t="shared" si="112"/>
        <v>-</v>
      </c>
      <c r="V193" s="19" t="str">
        <f t="shared" si="113"/>
        <v>-</v>
      </c>
      <c r="W193" s="3">
        <v>4</v>
      </c>
      <c r="X193" s="22" t="str">
        <f t="shared" si="114"/>
        <v>-</v>
      </c>
      <c r="Y193" s="22">
        <v>1</v>
      </c>
      <c r="Z193" s="22" t="str">
        <f t="shared" si="115"/>
        <v>-</v>
      </c>
      <c r="AA193" s="20" t="str">
        <f t="shared" si="116"/>
        <v>-</v>
      </c>
      <c r="AB193" s="94" t="str">
        <f t="shared" si="117"/>
        <v>---------</v>
      </c>
      <c r="AC193" s="21">
        <v>42641</v>
      </c>
      <c r="AD193" s="21" t="str">
        <f t="shared" si="118"/>
        <v>-</v>
      </c>
      <c r="AE193" s="21" t="str">
        <f t="shared" si="119"/>
        <v>-</v>
      </c>
      <c r="AF193" s="85"/>
      <c r="AG193" s="21">
        <f t="shared" si="120"/>
        <v>42800</v>
      </c>
      <c r="AH193" s="21">
        <f t="shared" si="121"/>
        <v>42821</v>
      </c>
      <c r="AI193" s="89">
        <f t="shared" si="122"/>
        <v>-14</v>
      </c>
      <c r="AJ193" s="92">
        <v>1</v>
      </c>
      <c r="AK193" s="80" t="str">
        <f t="shared" si="123"/>
        <v>-</v>
      </c>
      <c r="AL193" s="80"/>
      <c r="AM193" s="120">
        <v>42807</v>
      </c>
      <c r="AN193" s="238" t="s">
        <v>2500</v>
      </c>
      <c r="AO193" s="2"/>
      <c r="AP193" s="2"/>
      <c r="AQ193" s="2"/>
      <c r="BC193" s="284">
        <v>42807</v>
      </c>
      <c r="BD193" s="435" t="s">
        <v>2500</v>
      </c>
    </row>
    <row r="194" spans="1:56" s="1" customFormat="1" ht="15.95" customHeight="1" x14ac:dyDescent="0.25">
      <c r="A194" s="86">
        <v>192</v>
      </c>
      <c r="B194" s="84">
        <f t="shared" si="89"/>
        <v>42807</v>
      </c>
      <c r="C194" s="29"/>
      <c r="D194" s="59" t="s">
        <v>1455</v>
      </c>
      <c r="E194" s="22" t="s">
        <v>1101</v>
      </c>
      <c r="F194" s="27" t="s">
        <v>1027</v>
      </c>
      <c r="G194" s="27"/>
      <c r="H194" s="28" t="s">
        <v>603</v>
      </c>
      <c r="I194" s="20">
        <v>42064</v>
      </c>
      <c r="J194" s="35">
        <f t="shared" si="110"/>
        <v>2.0356164383561643</v>
      </c>
      <c r="M194" s="60"/>
      <c r="N194" s="32"/>
      <c r="O194" s="82" t="str">
        <f t="shared" si="111"/>
        <v>-</v>
      </c>
      <c r="P194" s="19"/>
      <c r="Q194" s="68" t="s">
        <v>1451</v>
      </c>
      <c r="R194" s="118">
        <v>9320</v>
      </c>
      <c r="S194" s="21">
        <v>42427</v>
      </c>
      <c r="T194" s="20">
        <v>42551</v>
      </c>
      <c r="U194" s="20" t="str">
        <f t="shared" si="112"/>
        <v>-</v>
      </c>
      <c r="V194" s="19" t="str">
        <f t="shared" si="113"/>
        <v>-</v>
      </c>
      <c r="W194" s="3">
        <v>2</v>
      </c>
      <c r="X194" s="22" t="str">
        <f t="shared" si="114"/>
        <v>-</v>
      </c>
      <c r="Y194" s="22">
        <v>1</v>
      </c>
      <c r="Z194" s="22" t="str">
        <f t="shared" si="115"/>
        <v>-</v>
      </c>
      <c r="AA194" s="20" t="str">
        <f t="shared" si="116"/>
        <v>-</v>
      </c>
      <c r="AB194" s="94" t="str">
        <f t="shared" si="117"/>
        <v>---------</v>
      </c>
      <c r="AC194" s="21">
        <v>42592</v>
      </c>
      <c r="AD194" s="21" t="str">
        <f t="shared" si="118"/>
        <v>-</v>
      </c>
      <c r="AE194" s="21" t="str">
        <f t="shared" si="119"/>
        <v>-</v>
      </c>
      <c r="AF194" s="85"/>
      <c r="AG194" s="21">
        <f t="shared" si="120"/>
        <v>42810</v>
      </c>
      <c r="AH194" s="21">
        <f t="shared" si="121"/>
        <v>42831</v>
      </c>
      <c r="AI194" s="89">
        <f t="shared" si="122"/>
        <v>-24</v>
      </c>
      <c r="AJ194" s="92">
        <v>1</v>
      </c>
      <c r="AK194" s="80" t="str">
        <f t="shared" si="123"/>
        <v>-</v>
      </c>
      <c r="AL194" s="80"/>
      <c r="AM194" s="120">
        <v>42807</v>
      </c>
      <c r="AN194" s="238" t="s">
        <v>2500</v>
      </c>
      <c r="AO194" s="2"/>
      <c r="AP194" s="2"/>
      <c r="AQ194" s="2"/>
      <c r="BC194" s="284">
        <v>42807</v>
      </c>
      <c r="BD194" s="435" t="s">
        <v>2500</v>
      </c>
    </row>
    <row r="195" spans="1:56" s="1" customFormat="1" ht="15.95" customHeight="1" x14ac:dyDescent="0.25">
      <c r="A195" s="86">
        <v>193</v>
      </c>
      <c r="B195" s="84">
        <f t="shared" si="89"/>
        <v>42807</v>
      </c>
      <c r="C195" s="29"/>
      <c r="D195" s="59" t="s">
        <v>1455</v>
      </c>
      <c r="E195" s="22" t="s">
        <v>1116</v>
      </c>
      <c r="F195" s="27" t="s">
        <v>1015</v>
      </c>
      <c r="G195" s="27"/>
      <c r="H195" s="28" t="s">
        <v>603</v>
      </c>
      <c r="I195" s="20">
        <v>42091</v>
      </c>
      <c r="J195" s="35">
        <f t="shared" si="110"/>
        <v>1.9616438356164383</v>
      </c>
      <c r="M195" s="60"/>
      <c r="N195" s="32"/>
      <c r="O195" s="82" t="str">
        <f t="shared" si="111"/>
        <v>-</v>
      </c>
      <c r="P195" s="19"/>
      <c r="Q195" s="68" t="s">
        <v>1451</v>
      </c>
      <c r="R195" s="118">
        <v>9320</v>
      </c>
      <c r="S195" s="21">
        <v>42550</v>
      </c>
      <c r="T195" s="20">
        <v>42550</v>
      </c>
      <c r="U195" s="20" t="str">
        <f t="shared" si="112"/>
        <v>-</v>
      </c>
      <c r="V195" s="19" t="str">
        <f t="shared" si="113"/>
        <v>-</v>
      </c>
      <c r="W195" s="3">
        <v>1</v>
      </c>
      <c r="X195" s="22" t="str">
        <f t="shared" si="114"/>
        <v>-</v>
      </c>
      <c r="Y195" s="22">
        <v>1</v>
      </c>
      <c r="Z195" s="22" t="str">
        <f t="shared" si="115"/>
        <v>-</v>
      </c>
      <c r="AA195" s="20" t="str">
        <f t="shared" si="116"/>
        <v>-</v>
      </c>
      <c r="AB195" s="94" t="str">
        <f t="shared" si="117"/>
        <v>---------</v>
      </c>
      <c r="AC195" s="21">
        <v>42641</v>
      </c>
      <c r="AD195" s="21" t="str">
        <f t="shared" si="118"/>
        <v>-</v>
      </c>
      <c r="AE195" s="21" t="str">
        <f t="shared" si="119"/>
        <v>-</v>
      </c>
      <c r="AF195" s="85"/>
      <c r="AG195" s="21">
        <f t="shared" si="120"/>
        <v>42809</v>
      </c>
      <c r="AH195" s="21">
        <f t="shared" si="121"/>
        <v>42830</v>
      </c>
      <c r="AI195" s="89">
        <f t="shared" si="122"/>
        <v>-23</v>
      </c>
      <c r="AJ195" s="92">
        <v>1</v>
      </c>
      <c r="AK195" s="80" t="str">
        <f t="shared" si="123"/>
        <v>-</v>
      </c>
      <c r="AL195" s="80"/>
      <c r="AM195" s="120">
        <v>42807</v>
      </c>
      <c r="AN195" s="238" t="s">
        <v>2500</v>
      </c>
      <c r="AO195" s="2"/>
      <c r="AP195" s="2"/>
      <c r="AQ195" s="2"/>
      <c r="BC195" s="284">
        <v>42807</v>
      </c>
      <c r="BD195" s="435" t="s">
        <v>2500</v>
      </c>
    </row>
    <row r="196" spans="1:56" s="1" customFormat="1" ht="15.95" customHeight="1" x14ac:dyDescent="0.25">
      <c r="A196" s="86">
        <v>194</v>
      </c>
      <c r="B196" s="84">
        <f t="shared" si="89"/>
        <v>42807</v>
      </c>
      <c r="C196" s="29"/>
      <c r="D196" s="59" t="s">
        <v>1455</v>
      </c>
      <c r="E196" s="22" t="s">
        <v>644</v>
      </c>
      <c r="F196" s="27" t="s">
        <v>1474</v>
      </c>
      <c r="G196" s="27"/>
      <c r="H196" s="28" t="s">
        <v>603</v>
      </c>
      <c r="I196" s="20">
        <v>42126</v>
      </c>
      <c r="J196" s="35">
        <f t="shared" si="110"/>
        <v>1.8657534246575342</v>
      </c>
      <c r="M196" s="60"/>
      <c r="N196" s="32"/>
      <c r="O196" s="82" t="str">
        <f t="shared" si="111"/>
        <v>-</v>
      </c>
      <c r="P196" s="19"/>
      <c r="Q196" s="68" t="s">
        <v>1451</v>
      </c>
      <c r="R196" s="118">
        <v>9320</v>
      </c>
      <c r="S196" s="21">
        <v>42537</v>
      </c>
      <c r="T196" s="20">
        <v>42537</v>
      </c>
      <c r="U196" s="20" t="str">
        <f t="shared" si="112"/>
        <v>-</v>
      </c>
      <c r="V196" s="19" t="str">
        <f t="shared" si="113"/>
        <v>-</v>
      </c>
      <c r="W196" s="3">
        <v>1</v>
      </c>
      <c r="X196" s="22" t="str">
        <f t="shared" si="114"/>
        <v>-</v>
      </c>
      <c r="Y196" s="22">
        <v>1</v>
      </c>
      <c r="Z196" s="22" t="str">
        <f t="shared" si="115"/>
        <v>-</v>
      </c>
      <c r="AA196" s="20" t="str">
        <f t="shared" si="116"/>
        <v>-</v>
      </c>
      <c r="AB196" s="94" t="str">
        <f t="shared" si="117"/>
        <v>---------</v>
      </c>
      <c r="AC196" s="21">
        <v>42592</v>
      </c>
      <c r="AD196" s="21" t="str">
        <f t="shared" si="118"/>
        <v>-</v>
      </c>
      <c r="AE196" s="21" t="str">
        <f t="shared" si="119"/>
        <v>-</v>
      </c>
      <c r="AF196" s="85"/>
      <c r="AG196" s="21">
        <f t="shared" si="120"/>
        <v>42796</v>
      </c>
      <c r="AH196" s="21">
        <f t="shared" si="121"/>
        <v>42817</v>
      </c>
      <c r="AI196" s="89">
        <f t="shared" si="122"/>
        <v>-10</v>
      </c>
      <c r="AJ196" s="92">
        <v>1</v>
      </c>
      <c r="AK196" s="80" t="str">
        <f t="shared" si="123"/>
        <v>-</v>
      </c>
      <c r="AL196" s="80"/>
      <c r="AM196" s="120">
        <v>42807</v>
      </c>
      <c r="AN196" s="238" t="s">
        <v>2500</v>
      </c>
      <c r="AO196" s="2"/>
      <c r="AP196" s="2"/>
      <c r="AQ196" s="2"/>
      <c r="BC196" s="284">
        <v>42807</v>
      </c>
      <c r="BD196" s="435" t="s">
        <v>2500</v>
      </c>
    </row>
    <row r="197" spans="1:56" s="1" customFormat="1" ht="15.95" customHeight="1" x14ac:dyDescent="0.25">
      <c r="A197" s="86">
        <v>195</v>
      </c>
      <c r="B197" s="84">
        <f t="shared" ref="B197:B260" si="124">BC197</f>
        <v>42807</v>
      </c>
      <c r="C197" s="29"/>
      <c r="D197" s="59" t="s">
        <v>1455</v>
      </c>
      <c r="E197" s="22" t="s">
        <v>1325</v>
      </c>
      <c r="F197" s="27" t="s">
        <v>1517</v>
      </c>
      <c r="G197" s="27"/>
      <c r="H197" s="28" t="s">
        <v>603</v>
      </c>
      <c r="I197" s="20">
        <v>42140</v>
      </c>
      <c r="J197" s="35">
        <f t="shared" si="110"/>
        <v>1.8273972602739725</v>
      </c>
      <c r="M197" s="60"/>
      <c r="N197" s="32"/>
      <c r="O197" s="82" t="str">
        <f t="shared" si="111"/>
        <v>-</v>
      </c>
      <c r="P197" s="19"/>
      <c r="Q197" s="68" t="s">
        <v>1448</v>
      </c>
      <c r="R197" s="118">
        <v>9320</v>
      </c>
      <c r="S197" s="21">
        <v>42534</v>
      </c>
      <c r="T197" s="20">
        <v>42555</v>
      </c>
      <c r="U197" s="20" t="str">
        <f t="shared" si="112"/>
        <v>-</v>
      </c>
      <c r="V197" s="19" t="str">
        <f t="shared" si="113"/>
        <v>-</v>
      </c>
      <c r="W197" s="3">
        <v>2</v>
      </c>
      <c r="X197" s="22" t="str">
        <f t="shared" si="114"/>
        <v>-</v>
      </c>
      <c r="Y197" s="22">
        <v>1</v>
      </c>
      <c r="Z197" s="22" t="str">
        <f t="shared" si="115"/>
        <v>-</v>
      </c>
      <c r="AA197" s="20" t="str">
        <f t="shared" si="116"/>
        <v>-</v>
      </c>
      <c r="AB197" s="94" t="str">
        <f t="shared" si="117"/>
        <v>---------</v>
      </c>
      <c r="AC197" s="21">
        <v>42592</v>
      </c>
      <c r="AD197" s="21" t="str">
        <f t="shared" si="118"/>
        <v>-</v>
      </c>
      <c r="AE197" s="21" t="str">
        <f t="shared" si="119"/>
        <v>-</v>
      </c>
      <c r="AF197" s="85"/>
      <c r="AG197" s="21">
        <f t="shared" si="120"/>
        <v>42814</v>
      </c>
      <c r="AH197" s="21">
        <f t="shared" si="121"/>
        <v>42835</v>
      </c>
      <c r="AI197" s="89">
        <f t="shared" si="122"/>
        <v>-28</v>
      </c>
      <c r="AJ197" s="92">
        <v>1</v>
      </c>
      <c r="AK197" s="80" t="str">
        <f t="shared" si="123"/>
        <v>-</v>
      </c>
      <c r="AL197" s="80"/>
      <c r="AM197" s="120">
        <v>42807</v>
      </c>
      <c r="AN197" s="238" t="s">
        <v>2500</v>
      </c>
      <c r="AO197" s="2"/>
      <c r="AP197" s="2"/>
      <c r="AQ197" s="2"/>
      <c r="BC197" s="284">
        <v>42807</v>
      </c>
      <c r="BD197" s="435" t="s">
        <v>2500</v>
      </c>
    </row>
    <row r="198" spans="1:56" s="1" customFormat="1" ht="15.95" customHeight="1" x14ac:dyDescent="0.25">
      <c r="A198" s="86">
        <v>196</v>
      </c>
      <c r="B198" s="84">
        <f t="shared" si="124"/>
        <v>42807</v>
      </c>
      <c r="C198" s="29"/>
      <c r="D198" s="59" t="s">
        <v>1455</v>
      </c>
      <c r="E198" s="22" t="s">
        <v>1345</v>
      </c>
      <c r="F198" s="27" t="s">
        <v>1516</v>
      </c>
      <c r="G198" s="27"/>
      <c r="H198" s="28" t="s">
        <v>603</v>
      </c>
      <c r="I198" s="20">
        <v>42209</v>
      </c>
      <c r="J198" s="35">
        <f t="shared" si="110"/>
        <v>1.6383561643835616</v>
      </c>
      <c r="M198" s="60"/>
      <c r="N198" s="32"/>
      <c r="O198" s="82" t="str">
        <f t="shared" si="111"/>
        <v>-</v>
      </c>
      <c r="P198" s="19"/>
      <c r="Q198" s="68" t="s">
        <v>1451</v>
      </c>
      <c r="R198" s="118">
        <v>9320</v>
      </c>
      <c r="S198" s="21">
        <v>42558</v>
      </c>
      <c r="T198" s="20">
        <v>42558</v>
      </c>
      <c r="U198" s="20" t="str">
        <f t="shared" si="112"/>
        <v>-</v>
      </c>
      <c r="V198" s="19" t="str">
        <f t="shared" si="113"/>
        <v>-</v>
      </c>
      <c r="W198" s="3">
        <v>1</v>
      </c>
      <c r="X198" s="22" t="str">
        <f t="shared" si="114"/>
        <v>-</v>
      </c>
      <c r="Y198" s="22">
        <v>1</v>
      </c>
      <c r="Z198" s="22" t="str">
        <f t="shared" si="115"/>
        <v>-</v>
      </c>
      <c r="AA198" s="20" t="str">
        <f t="shared" si="116"/>
        <v>-</v>
      </c>
      <c r="AB198" s="94" t="str">
        <f t="shared" si="117"/>
        <v>---------</v>
      </c>
      <c r="AC198" s="21">
        <v>42641</v>
      </c>
      <c r="AD198" s="21" t="str">
        <f t="shared" si="118"/>
        <v>-</v>
      </c>
      <c r="AE198" s="21" t="str">
        <f t="shared" si="119"/>
        <v>-</v>
      </c>
      <c r="AF198" s="85"/>
      <c r="AG198" s="21">
        <f t="shared" si="120"/>
        <v>42817</v>
      </c>
      <c r="AH198" s="21">
        <f t="shared" si="121"/>
        <v>42838</v>
      </c>
      <c r="AI198" s="89">
        <f t="shared" si="122"/>
        <v>-31</v>
      </c>
      <c r="AJ198" s="92">
        <v>1</v>
      </c>
      <c r="AK198" s="80" t="str">
        <f t="shared" si="123"/>
        <v>-</v>
      </c>
      <c r="AL198" s="80"/>
      <c r="AM198" s="120">
        <v>42807</v>
      </c>
      <c r="AN198" s="238" t="s">
        <v>2500</v>
      </c>
      <c r="AO198" s="2"/>
      <c r="AP198" s="2"/>
      <c r="AQ198" s="2"/>
      <c r="BC198" s="284">
        <v>42807</v>
      </c>
      <c r="BD198" s="435" t="s">
        <v>2500</v>
      </c>
    </row>
    <row r="199" spans="1:56" s="1" customFormat="1" ht="15.95" customHeight="1" x14ac:dyDescent="0.25">
      <c r="A199" s="86">
        <v>197</v>
      </c>
      <c r="B199" s="84">
        <f t="shared" si="124"/>
        <v>42807</v>
      </c>
      <c r="C199" s="29"/>
      <c r="D199" s="59" t="s">
        <v>1455</v>
      </c>
      <c r="E199" s="22" t="s">
        <v>1553</v>
      </c>
      <c r="F199" s="27" t="s">
        <v>1549</v>
      </c>
      <c r="G199" s="27"/>
      <c r="H199" s="28" t="s">
        <v>603</v>
      </c>
      <c r="I199" s="20">
        <v>42227</v>
      </c>
      <c r="J199" s="35">
        <f t="shared" si="110"/>
        <v>1.5890410958904109</v>
      </c>
      <c r="M199" s="60"/>
      <c r="N199" s="32"/>
      <c r="O199" s="82" t="str">
        <f t="shared" si="111"/>
        <v>-</v>
      </c>
      <c r="P199" s="19"/>
      <c r="Q199" s="68" t="s">
        <v>1451</v>
      </c>
      <c r="R199" s="118" t="s">
        <v>1876</v>
      </c>
      <c r="S199" s="21">
        <v>42626</v>
      </c>
      <c r="T199" s="20">
        <v>42657</v>
      </c>
      <c r="U199" s="20" t="str">
        <f t="shared" si="112"/>
        <v>-</v>
      </c>
      <c r="V199" s="19" t="str">
        <f t="shared" si="113"/>
        <v>-</v>
      </c>
      <c r="W199" s="3">
        <v>2</v>
      </c>
      <c r="X199" s="22" t="str">
        <f t="shared" si="114"/>
        <v>-</v>
      </c>
      <c r="Y199" s="22">
        <v>1</v>
      </c>
      <c r="Z199" s="22" t="str">
        <f t="shared" si="115"/>
        <v>-</v>
      </c>
      <c r="AA199" s="20" t="str">
        <f t="shared" si="116"/>
        <v>-</v>
      </c>
      <c r="AB199" s="94" t="str">
        <f t="shared" si="117"/>
        <v>---------</v>
      </c>
      <c r="AC199" s="21">
        <v>42705</v>
      </c>
      <c r="AD199" s="21" t="str">
        <f t="shared" si="118"/>
        <v>-</v>
      </c>
      <c r="AE199" s="21" t="str">
        <f t="shared" si="119"/>
        <v>-</v>
      </c>
      <c r="AF199" s="85"/>
      <c r="AG199" s="21">
        <f t="shared" si="120"/>
        <v>42916</v>
      </c>
      <c r="AH199" s="21" t="s">
        <v>619</v>
      </c>
      <c r="AI199" s="89" t="e">
        <f t="shared" si="122"/>
        <v>#VALUE!</v>
      </c>
      <c r="AJ199" s="92">
        <v>1</v>
      </c>
      <c r="AK199" s="80" t="str">
        <f t="shared" si="123"/>
        <v>-</v>
      </c>
      <c r="AL199" s="80"/>
      <c r="AM199" s="120">
        <v>42807</v>
      </c>
      <c r="AN199" s="238" t="s">
        <v>2500</v>
      </c>
      <c r="AO199" s="2"/>
      <c r="AP199" s="2"/>
      <c r="AQ199" s="2"/>
      <c r="BC199" s="284">
        <v>42807</v>
      </c>
      <c r="BD199" s="435" t="s">
        <v>2500</v>
      </c>
    </row>
    <row r="200" spans="1:56" s="1" customFormat="1" ht="15.95" customHeight="1" x14ac:dyDescent="0.25">
      <c r="A200" s="86">
        <v>198</v>
      </c>
      <c r="B200" s="84">
        <f t="shared" si="124"/>
        <v>42807</v>
      </c>
      <c r="C200" s="29"/>
      <c r="D200" s="59" t="s">
        <v>1455</v>
      </c>
      <c r="E200" s="22" t="s">
        <v>1861</v>
      </c>
      <c r="F200" s="27" t="s">
        <v>1858</v>
      </c>
      <c r="G200" s="27"/>
      <c r="H200" s="28" t="s">
        <v>603</v>
      </c>
      <c r="I200" s="20">
        <v>42235</v>
      </c>
      <c r="J200" s="35">
        <f t="shared" si="110"/>
        <v>1.5671232876712329</v>
      </c>
      <c r="M200" s="60"/>
      <c r="N200" s="32"/>
      <c r="O200" s="82" t="str">
        <f t="shared" si="111"/>
        <v>-</v>
      </c>
      <c r="P200" s="19"/>
      <c r="Q200" s="68" t="s">
        <v>1448</v>
      </c>
      <c r="R200" s="118" t="s">
        <v>1820</v>
      </c>
      <c r="S200" s="21">
        <v>42616</v>
      </c>
      <c r="T200" s="20">
        <v>42616</v>
      </c>
      <c r="U200" s="20" t="str">
        <f t="shared" si="112"/>
        <v>-</v>
      </c>
      <c r="V200" s="19" t="str">
        <f t="shared" si="113"/>
        <v>-</v>
      </c>
      <c r="W200" s="3">
        <v>1</v>
      </c>
      <c r="X200" s="22" t="str">
        <f t="shared" si="114"/>
        <v>-</v>
      </c>
      <c r="Y200" s="22">
        <v>1</v>
      </c>
      <c r="Z200" s="22" t="str">
        <f t="shared" si="115"/>
        <v>-</v>
      </c>
      <c r="AA200" s="20" t="str">
        <f t="shared" si="116"/>
        <v>-</v>
      </c>
      <c r="AB200" s="94" t="str">
        <f t="shared" si="117"/>
        <v>---------</v>
      </c>
      <c r="AC200" s="21">
        <v>42653</v>
      </c>
      <c r="AD200" s="21" t="str">
        <f t="shared" si="118"/>
        <v>-</v>
      </c>
      <c r="AE200" s="21" t="str">
        <f t="shared" si="119"/>
        <v>-</v>
      </c>
      <c r="AF200" s="85"/>
      <c r="AG200" s="21">
        <f t="shared" si="120"/>
        <v>42875</v>
      </c>
      <c r="AH200" s="21">
        <f t="shared" ref="AH200:AH231" si="125">IF(AND(T200&gt;0,Y200=1),T200+280,"-")</f>
        <v>42896</v>
      </c>
      <c r="AI200" s="89">
        <f t="shared" si="122"/>
        <v>-89</v>
      </c>
      <c r="AJ200" s="92">
        <v>1</v>
      </c>
      <c r="AK200" s="80" t="str">
        <f t="shared" si="123"/>
        <v>-</v>
      </c>
      <c r="AL200" s="80"/>
      <c r="AM200" s="120">
        <v>42807</v>
      </c>
      <c r="AN200" s="238" t="s">
        <v>2500</v>
      </c>
      <c r="AO200" s="2"/>
      <c r="AP200" s="2"/>
      <c r="AQ200" s="2"/>
      <c r="BC200" s="284">
        <v>42807</v>
      </c>
      <c r="BD200" s="435" t="s">
        <v>2500</v>
      </c>
    </row>
    <row r="201" spans="1:56" s="2" customFormat="1" ht="15.95" customHeight="1" x14ac:dyDescent="0.25">
      <c r="A201" s="86">
        <v>199</v>
      </c>
      <c r="B201" s="84">
        <f t="shared" si="124"/>
        <v>42810</v>
      </c>
      <c r="C201" s="29" t="s">
        <v>613</v>
      </c>
      <c r="D201" s="59" t="s">
        <v>903</v>
      </c>
      <c r="E201" s="22" t="s">
        <v>870</v>
      </c>
      <c r="F201" s="27" t="s">
        <v>871</v>
      </c>
      <c r="G201" s="27"/>
      <c r="H201" s="28" t="s">
        <v>603</v>
      </c>
      <c r="I201" s="20">
        <v>40822</v>
      </c>
      <c r="J201" s="35">
        <f t="shared" si="110"/>
        <v>5.4465753424657537</v>
      </c>
      <c r="K201" s="364"/>
      <c r="L201" s="364"/>
      <c r="M201" s="60">
        <v>41878</v>
      </c>
      <c r="N201" s="32">
        <v>41878</v>
      </c>
      <c r="O201" s="82">
        <f t="shared" si="111"/>
        <v>932</v>
      </c>
      <c r="P201" s="19">
        <v>1</v>
      </c>
      <c r="Q201" s="68" t="s">
        <v>1448</v>
      </c>
      <c r="R201" s="118">
        <v>6845</v>
      </c>
      <c r="S201" s="21">
        <v>42070</v>
      </c>
      <c r="T201" s="20">
        <v>42429</v>
      </c>
      <c r="U201" s="20" t="str">
        <f t="shared" si="112"/>
        <v>-</v>
      </c>
      <c r="V201" s="19" t="str">
        <f t="shared" si="113"/>
        <v>-</v>
      </c>
      <c r="W201" s="3">
        <v>9</v>
      </c>
      <c r="X201" s="22">
        <f t="shared" si="114"/>
        <v>551</v>
      </c>
      <c r="Y201" s="22">
        <v>0</v>
      </c>
      <c r="Z201" s="22" t="str">
        <f t="shared" si="115"/>
        <v>яловая</v>
      </c>
      <c r="AA201" s="20" t="str">
        <f t="shared" si="116"/>
        <v>-</v>
      </c>
      <c r="AB201" s="94" t="str">
        <f t="shared" si="117"/>
        <v>---------</v>
      </c>
      <c r="AC201" s="21"/>
      <c r="AD201" s="21" t="str">
        <f t="shared" si="118"/>
        <v>-</v>
      </c>
      <c r="AE201" s="21" t="str">
        <f t="shared" si="119"/>
        <v>-</v>
      </c>
      <c r="AF201" s="85"/>
      <c r="AG201" s="21" t="str">
        <f t="shared" si="120"/>
        <v>-</v>
      </c>
      <c r="AH201" s="21" t="str">
        <f t="shared" si="125"/>
        <v>-</v>
      </c>
      <c r="AI201" s="89" t="str">
        <f t="shared" si="122"/>
        <v>-</v>
      </c>
      <c r="AJ201" s="92">
        <v>1</v>
      </c>
      <c r="AK201" s="80" t="str">
        <f t="shared" si="123"/>
        <v>БРАК</v>
      </c>
      <c r="AL201" s="80" t="s">
        <v>1863</v>
      </c>
      <c r="AM201" s="120">
        <v>42810</v>
      </c>
      <c r="AN201" s="238" t="s">
        <v>2386</v>
      </c>
      <c r="BC201" s="284">
        <v>42810</v>
      </c>
      <c r="BD201" s="435" t="s">
        <v>2386</v>
      </c>
    </row>
    <row r="202" spans="1:56" s="2" customFormat="1" ht="15.95" customHeight="1" x14ac:dyDescent="0.25">
      <c r="A202" s="86">
        <v>200</v>
      </c>
      <c r="B202" s="84">
        <f t="shared" si="124"/>
        <v>42810</v>
      </c>
      <c r="C202" s="29" t="s">
        <v>613</v>
      </c>
      <c r="D202" s="59" t="s">
        <v>904</v>
      </c>
      <c r="E202" s="22" t="s">
        <v>37</v>
      </c>
      <c r="F202" s="27" t="s">
        <v>38</v>
      </c>
      <c r="G202" s="27"/>
      <c r="H202" s="28" t="s">
        <v>78</v>
      </c>
      <c r="I202" s="20">
        <v>40379</v>
      </c>
      <c r="J202" s="35">
        <f t="shared" si="110"/>
        <v>6.6602739726027398</v>
      </c>
      <c r="K202" s="364"/>
      <c r="L202" s="364"/>
      <c r="M202" s="60">
        <v>41065</v>
      </c>
      <c r="N202" s="32">
        <v>42295</v>
      </c>
      <c r="O202" s="82">
        <f t="shared" si="111"/>
        <v>515</v>
      </c>
      <c r="P202" s="19">
        <v>3</v>
      </c>
      <c r="Q202" s="68" t="s">
        <v>1451</v>
      </c>
      <c r="R202" s="118" t="s">
        <v>1875</v>
      </c>
      <c r="S202" s="21">
        <v>42393</v>
      </c>
      <c r="T202" s="20">
        <v>42673</v>
      </c>
      <c r="U202" s="20" t="str">
        <f t="shared" si="112"/>
        <v>-</v>
      </c>
      <c r="V202" s="19" t="str">
        <f t="shared" si="113"/>
        <v>-</v>
      </c>
      <c r="W202" s="3">
        <v>7</v>
      </c>
      <c r="X202" s="22">
        <f t="shared" si="114"/>
        <v>378</v>
      </c>
      <c r="Y202" s="22">
        <v>0</v>
      </c>
      <c r="Z202" s="22" t="str">
        <f t="shared" si="115"/>
        <v>яловая</v>
      </c>
      <c r="AA202" s="20" t="str">
        <f t="shared" si="116"/>
        <v>-</v>
      </c>
      <c r="AB202" s="94" t="str">
        <f t="shared" si="117"/>
        <v>---------</v>
      </c>
      <c r="AC202" s="21">
        <v>42718</v>
      </c>
      <c r="AD202" s="21" t="str">
        <f t="shared" si="118"/>
        <v>-</v>
      </c>
      <c r="AE202" s="21" t="str">
        <f t="shared" si="119"/>
        <v>-</v>
      </c>
      <c r="AF202" s="85"/>
      <c r="AG202" s="21" t="str">
        <f t="shared" si="120"/>
        <v>-</v>
      </c>
      <c r="AH202" s="21" t="str">
        <f t="shared" si="125"/>
        <v>-</v>
      </c>
      <c r="AI202" s="89" t="str">
        <f t="shared" si="122"/>
        <v>-</v>
      </c>
      <c r="AJ202" s="92">
        <v>1</v>
      </c>
      <c r="AK202" s="80"/>
      <c r="AL202" s="80" t="s">
        <v>1863</v>
      </c>
      <c r="AM202" s="120">
        <v>42810</v>
      </c>
      <c r="AN202" s="238" t="s">
        <v>2504</v>
      </c>
      <c r="BC202" s="284">
        <v>42810</v>
      </c>
      <c r="BD202" s="435" t="s">
        <v>2504</v>
      </c>
    </row>
    <row r="203" spans="1:56" s="2" customFormat="1" ht="15.95" customHeight="1" x14ac:dyDescent="0.25">
      <c r="A203" s="86">
        <v>201</v>
      </c>
      <c r="B203" s="84">
        <f t="shared" si="124"/>
        <v>42818</v>
      </c>
      <c r="C203" s="29" t="s">
        <v>614</v>
      </c>
      <c r="D203" s="59" t="s">
        <v>909</v>
      </c>
      <c r="E203" s="22" t="s">
        <v>181</v>
      </c>
      <c r="F203" s="27" t="s">
        <v>858</v>
      </c>
      <c r="G203" s="27"/>
      <c r="H203" s="28" t="s">
        <v>603</v>
      </c>
      <c r="I203" s="20">
        <v>39620</v>
      </c>
      <c r="J203" s="240">
        <f t="shared" si="110"/>
        <v>8.7616438356164377</v>
      </c>
      <c r="K203" s="240">
        <f t="shared" ref="K203:K234" si="126">(B203-I203)/30</f>
        <v>106.6</v>
      </c>
      <c r="L203" s="240">
        <f t="shared" ref="L203:L234" si="127">B203-I203</f>
        <v>3198</v>
      </c>
      <c r="M203" s="60">
        <v>40664</v>
      </c>
      <c r="N203" s="32">
        <v>42730</v>
      </c>
      <c r="O203" s="82">
        <f t="shared" si="111"/>
        <v>88</v>
      </c>
      <c r="P203" s="19">
        <v>4</v>
      </c>
      <c r="Q203" s="68"/>
      <c r="R203" s="118"/>
      <c r="S203" s="21"/>
      <c r="T203" s="20"/>
      <c r="U203" s="20" t="str">
        <f t="shared" si="112"/>
        <v>-</v>
      </c>
      <c r="V203" s="19" t="str">
        <f t="shared" si="113"/>
        <v>-</v>
      </c>
      <c r="W203" s="3">
        <v>0</v>
      </c>
      <c r="X203" s="22" t="s">
        <v>1935</v>
      </c>
      <c r="Y203" s="22">
        <v>0</v>
      </c>
      <c r="Z203" s="22" t="str">
        <f t="shared" si="115"/>
        <v>-</v>
      </c>
      <c r="AA203" s="20" t="str">
        <f t="shared" si="116"/>
        <v>-</v>
      </c>
      <c r="AB203" s="94" t="str">
        <f t="shared" si="117"/>
        <v>---------</v>
      </c>
      <c r="AC203" s="21"/>
      <c r="AD203" s="21" t="str">
        <f t="shared" si="118"/>
        <v>-</v>
      </c>
      <c r="AE203" s="21" t="str">
        <f t="shared" si="119"/>
        <v>-</v>
      </c>
      <c r="AF203" s="85"/>
      <c r="AG203" s="21" t="str">
        <f t="shared" si="120"/>
        <v>-</v>
      </c>
      <c r="AH203" s="21" t="str">
        <f t="shared" si="125"/>
        <v>-</v>
      </c>
      <c r="AI203" s="89" t="str">
        <f t="shared" si="122"/>
        <v>-</v>
      </c>
      <c r="AJ203" s="92">
        <v>1</v>
      </c>
      <c r="AK203" s="120">
        <v>42818</v>
      </c>
      <c r="AL203" s="269" t="s">
        <v>1922</v>
      </c>
      <c r="AX203" s="57"/>
      <c r="BA203" s="58"/>
      <c r="BC203" s="284">
        <v>42818</v>
      </c>
      <c r="BD203" s="288" t="s">
        <v>1922</v>
      </c>
    </row>
    <row r="204" spans="1:56" s="1" customFormat="1" ht="15.95" customHeight="1" x14ac:dyDescent="0.25">
      <c r="A204" s="86">
        <v>202</v>
      </c>
      <c r="B204" s="84">
        <f t="shared" si="124"/>
        <v>42817</v>
      </c>
      <c r="C204" s="29" t="s">
        <v>1554</v>
      </c>
      <c r="D204" s="59" t="s">
        <v>2236</v>
      </c>
      <c r="E204" s="22" t="s">
        <v>1557</v>
      </c>
      <c r="F204" s="27" t="s">
        <v>2238</v>
      </c>
      <c r="G204" s="27"/>
      <c r="H204" s="28" t="s">
        <v>603</v>
      </c>
      <c r="I204" s="20">
        <v>42379</v>
      </c>
      <c r="J204" s="240">
        <f t="shared" si="110"/>
        <v>1.2</v>
      </c>
      <c r="K204" s="240">
        <f t="shared" si="126"/>
        <v>14.6</v>
      </c>
      <c r="L204" s="240">
        <f t="shared" si="127"/>
        <v>438</v>
      </c>
      <c r="M204" s="60"/>
      <c r="N204" s="32"/>
      <c r="O204" s="82" t="str">
        <f t="shared" si="111"/>
        <v>-</v>
      </c>
      <c r="P204" s="19"/>
      <c r="Q204" s="68"/>
      <c r="R204" s="118"/>
      <c r="S204" s="21"/>
      <c r="T204" s="20"/>
      <c r="U204" s="20" t="str">
        <f t="shared" si="112"/>
        <v>-</v>
      </c>
      <c r="V204" s="19" t="str">
        <f t="shared" si="113"/>
        <v>-</v>
      </c>
      <c r="W204" s="3"/>
      <c r="X204" s="22" t="str">
        <f>IF(AND(N204&gt;0,T204&gt;0),T204-N204,"-")</f>
        <v>-</v>
      </c>
      <c r="Y204" s="22"/>
      <c r="Z204" s="22" t="str">
        <f t="shared" si="115"/>
        <v>-</v>
      </c>
      <c r="AA204" s="20" t="str">
        <f t="shared" si="116"/>
        <v>-</v>
      </c>
      <c r="AB204" s="94" t="str">
        <f t="shared" si="117"/>
        <v>---------</v>
      </c>
      <c r="AC204" s="21"/>
      <c r="AD204" s="21" t="str">
        <f t="shared" si="118"/>
        <v>-</v>
      </c>
      <c r="AE204" s="21" t="str">
        <f t="shared" si="119"/>
        <v>-</v>
      </c>
      <c r="AF204" s="85"/>
      <c r="AG204" s="21" t="str">
        <f t="shared" si="120"/>
        <v>-</v>
      </c>
      <c r="AH204" s="21" t="str">
        <f t="shared" si="125"/>
        <v>-</v>
      </c>
      <c r="AI204" s="89" t="str">
        <f t="shared" si="122"/>
        <v>-</v>
      </c>
      <c r="AJ204" s="92">
        <v>1</v>
      </c>
      <c r="AK204" s="120">
        <v>42817</v>
      </c>
      <c r="AL204" s="269" t="s">
        <v>2223</v>
      </c>
      <c r="AM204" s="2"/>
      <c r="AN204" s="2"/>
      <c r="AO204" s="2"/>
      <c r="AP204" s="2"/>
      <c r="AQ204" s="2"/>
      <c r="BC204" s="284">
        <v>42817</v>
      </c>
      <c r="BD204" s="288" t="s">
        <v>2223</v>
      </c>
    </row>
    <row r="205" spans="1:56" s="2" customFormat="1" ht="15.95" customHeight="1" x14ac:dyDescent="0.25">
      <c r="A205" s="86">
        <v>203</v>
      </c>
      <c r="B205" s="84">
        <f t="shared" si="124"/>
        <v>42818</v>
      </c>
      <c r="C205" s="29" t="s">
        <v>2404</v>
      </c>
      <c r="D205" s="59" t="s">
        <v>1456</v>
      </c>
      <c r="E205" s="22" t="s">
        <v>225</v>
      </c>
      <c r="F205" s="27" t="s">
        <v>226</v>
      </c>
      <c r="G205" s="27"/>
      <c r="H205" s="28" t="s">
        <v>603</v>
      </c>
      <c r="I205" s="20">
        <v>41176</v>
      </c>
      <c r="J205" s="240">
        <f t="shared" si="110"/>
        <v>4.4986301369863018</v>
      </c>
      <c r="K205" s="240">
        <f t="shared" si="126"/>
        <v>54.733333333333334</v>
      </c>
      <c r="L205" s="240">
        <f t="shared" si="127"/>
        <v>1642</v>
      </c>
      <c r="M205" s="60">
        <v>41957</v>
      </c>
      <c r="N205" s="32">
        <v>42818</v>
      </c>
      <c r="O205" s="82">
        <f t="shared" si="111"/>
        <v>0</v>
      </c>
      <c r="P205" s="19">
        <v>2</v>
      </c>
      <c r="Q205" s="68"/>
      <c r="R205" s="118"/>
      <c r="S205" s="21"/>
      <c r="T205" s="20"/>
      <c r="U205" s="20" t="str">
        <f t="shared" si="112"/>
        <v>-</v>
      </c>
      <c r="V205" s="19" t="str">
        <f t="shared" si="113"/>
        <v>-</v>
      </c>
      <c r="W205" s="3">
        <v>0</v>
      </c>
      <c r="X205" s="22" t="s">
        <v>1935</v>
      </c>
      <c r="Y205" s="22">
        <v>0</v>
      </c>
      <c r="Z205" s="22" t="str">
        <f t="shared" si="115"/>
        <v>-</v>
      </c>
      <c r="AA205" s="20" t="str">
        <f t="shared" si="116"/>
        <v>-</v>
      </c>
      <c r="AB205" s="94" t="str">
        <f t="shared" si="117"/>
        <v>---------</v>
      </c>
      <c r="AC205" s="21"/>
      <c r="AD205" s="21" t="str">
        <f t="shared" si="118"/>
        <v>-</v>
      </c>
      <c r="AE205" s="21" t="str">
        <f t="shared" si="119"/>
        <v>-</v>
      </c>
      <c r="AF205" s="85"/>
      <c r="AG205" s="21" t="str">
        <f t="shared" si="120"/>
        <v>-</v>
      </c>
      <c r="AH205" s="21" t="str">
        <f t="shared" si="125"/>
        <v>-</v>
      </c>
      <c r="AI205" s="89" t="str">
        <f t="shared" si="122"/>
        <v>-</v>
      </c>
      <c r="AJ205" s="92">
        <v>1</v>
      </c>
      <c r="AK205" s="120">
        <v>42818</v>
      </c>
      <c r="AL205" s="269" t="s">
        <v>2562</v>
      </c>
      <c r="BC205" s="284">
        <v>42818</v>
      </c>
      <c r="BD205" s="288" t="s">
        <v>2562</v>
      </c>
    </row>
    <row r="206" spans="1:56" s="2" customFormat="1" ht="15.95" customHeight="1" x14ac:dyDescent="0.25">
      <c r="A206" s="86">
        <v>204</v>
      </c>
      <c r="B206" s="84">
        <f t="shared" si="124"/>
        <v>42818</v>
      </c>
      <c r="C206" s="29" t="s">
        <v>2404</v>
      </c>
      <c r="D206" s="59" t="s">
        <v>1456</v>
      </c>
      <c r="E206" s="22" t="s">
        <v>556</v>
      </c>
      <c r="F206" s="27" t="s">
        <v>1470</v>
      </c>
      <c r="G206" s="27"/>
      <c r="H206" s="28" t="s">
        <v>603</v>
      </c>
      <c r="I206" s="20">
        <v>42099</v>
      </c>
      <c r="J206" s="240">
        <f t="shared" si="110"/>
        <v>1.9698630136986301</v>
      </c>
      <c r="K206" s="240">
        <f t="shared" si="126"/>
        <v>23.966666666666665</v>
      </c>
      <c r="L206" s="240">
        <f t="shared" si="127"/>
        <v>719</v>
      </c>
      <c r="M206" s="60">
        <v>42790</v>
      </c>
      <c r="N206" s="32">
        <v>42790</v>
      </c>
      <c r="O206" s="82">
        <f t="shared" si="111"/>
        <v>28</v>
      </c>
      <c r="P206" s="19">
        <v>1</v>
      </c>
      <c r="Q206" s="68"/>
      <c r="R206" s="118"/>
      <c r="S206" s="21"/>
      <c r="T206" s="20"/>
      <c r="U206" s="20" t="str">
        <f t="shared" si="112"/>
        <v>-</v>
      </c>
      <c r="V206" s="19" t="str">
        <f t="shared" si="113"/>
        <v>-</v>
      </c>
      <c r="W206" s="3">
        <v>0</v>
      </c>
      <c r="X206" s="22" t="s">
        <v>1935</v>
      </c>
      <c r="Y206" s="22">
        <v>0</v>
      </c>
      <c r="Z206" s="22" t="str">
        <f t="shared" si="115"/>
        <v>-</v>
      </c>
      <c r="AA206" s="20" t="str">
        <f t="shared" si="116"/>
        <v>-</v>
      </c>
      <c r="AB206" s="94" t="str">
        <f t="shared" si="117"/>
        <v>---------</v>
      </c>
      <c r="AC206" s="21"/>
      <c r="AD206" s="21" t="str">
        <f t="shared" si="118"/>
        <v>-</v>
      </c>
      <c r="AE206" s="21" t="str">
        <f t="shared" si="119"/>
        <v>-</v>
      </c>
      <c r="AF206" s="85"/>
      <c r="AG206" s="21" t="str">
        <f t="shared" si="120"/>
        <v>-</v>
      </c>
      <c r="AH206" s="21" t="str">
        <f t="shared" si="125"/>
        <v>-</v>
      </c>
      <c r="AI206" s="89" t="str">
        <f t="shared" si="122"/>
        <v>-</v>
      </c>
      <c r="AJ206" s="92">
        <v>1</v>
      </c>
      <c r="AK206" s="120">
        <v>42818</v>
      </c>
      <c r="AL206" s="269" t="s">
        <v>2563</v>
      </c>
      <c r="BC206" s="284">
        <v>42818</v>
      </c>
      <c r="BD206" s="288" t="s">
        <v>2563</v>
      </c>
    </row>
    <row r="207" spans="1:56" s="2" customFormat="1" ht="15.95" customHeight="1" x14ac:dyDescent="0.25">
      <c r="A207" s="86">
        <v>205</v>
      </c>
      <c r="B207" s="84">
        <f t="shared" si="124"/>
        <v>42821</v>
      </c>
      <c r="C207" s="29" t="s">
        <v>613</v>
      </c>
      <c r="D207" s="59" t="s">
        <v>2181</v>
      </c>
      <c r="E207" s="273" t="s">
        <v>301</v>
      </c>
      <c r="F207" s="274" t="s">
        <v>302</v>
      </c>
      <c r="G207" s="274"/>
      <c r="H207" s="28" t="s">
        <v>603</v>
      </c>
      <c r="I207" s="20">
        <v>41071</v>
      </c>
      <c r="J207" s="240">
        <f t="shared" si="110"/>
        <v>4.7945205479452051</v>
      </c>
      <c r="K207" s="240">
        <f t="shared" si="126"/>
        <v>58.333333333333336</v>
      </c>
      <c r="L207" s="240">
        <f t="shared" si="127"/>
        <v>1750</v>
      </c>
      <c r="M207" s="60">
        <v>41986</v>
      </c>
      <c r="N207" s="32">
        <v>42491</v>
      </c>
      <c r="O207" s="82">
        <f t="shared" si="111"/>
        <v>330</v>
      </c>
      <c r="P207" s="19">
        <v>2</v>
      </c>
      <c r="Q207" s="68" t="s">
        <v>2309</v>
      </c>
      <c r="R207" s="118" t="s">
        <v>1820</v>
      </c>
      <c r="S207" s="21">
        <v>42531</v>
      </c>
      <c r="T207" s="20">
        <v>42791</v>
      </c>
      <c r="U207" s="20">
        <f t="shared" si="112"/>
        <v>42809</v>
      </c>
      <c r="V207" s="19">
        <f t="shared" si="113"/>
        <v>12</v>
      </c>
      <c r="W207" s="3">
        <v>4</v>
      </c>
      <c r="X207" s="22">
        <f>IF(AND(N207&gt;0,T207&gt;0),T207-N207,"-")</f>
        <v>300</v>
      </c>
      <c r="Y207" s="22">
        <v>3</v>
      </c>
      <c r="Z207" s="22" t="str">
        <f t="shared" si="115"/>
        <v>-</v>
      </c>
      <c r="AA207" s="20">
        <f t="shared" si="116"/>
        <v>42826</v>
      </c>
      <c r="AB207" s="94">
        <f t="shared" si="117"/>
        <v>-5</v>
      </c>
      <c r="AC207" s="21">
        <v>42689</v>
      </c>
      <c r="AD207" s="21" t="str">
        <f t="shared" si="118"/>
        <v>-</v>
      </c>
      <c r="AE207" s="21" t="str">
        <f t="shared" si="119"/>
        <v>-</v>
      </c>
      <c r="AF207" s="85"/>
      <c r="AG207" s="21" t="str">
        <f t="shared" si="120"/>
        <v>-</v>
      </c>
      <c r="AH207" s="21" t="str">
        <f t="shared" si="125"/>
        <v>-</v>
      </c>
      <c r="AI207" s="89" t="str">
        <f t="shared" si="122"/>
        <v>-</v>
      </c>
      <c r="AJ207" s="92">
        <v>1</v>
      </c>
      <c r="AK207" s="120">
        <v>42821</v>
      </c>
      <c r="AL207" s="269" t="s">
        <v>2571</v>
      </c>
      <c r="BC207" s="284">
        <v>42821</v>
      </c>
      <c r="BD207" s="288" t="s">
        <v>2571</v>
      </c>
    </row>
    <row r="208" spans="1:56" s="2" customFormat="1" ht="15.95" customHeight="1" x14ac:dyDescent="0.25">
      <c r="A208" s="86">
        <v>206</v>
      </c>
      <c r="B208" s="84">
        <f t="shared" si="124"/>
        <v>42821</v>
      </c>
      <c r="C208" s="29" t="s">
        <v>615</v>
      </c>
      <c r="D208" s="59" t="s">
        <v>908</v>
      </c>
      <c r="E208" s="273" t="s">
        <v>714</v>
      </c>
      <c r="F208" s="274" t="s">
        <v>715</v>
      </c>
      <c r="G208" s="274"/>
      <c r="H208" s="28" t="s">
        <v>603</v>
      </c>
      <c r="I208" s="20">
        <v>41585</v>
      </c>
      <c r="J208" s="240">
        <f t="shared" si="110"/>
        <v>3.3863013698630136</v>
      </c>
      <c r="K208" s="240">
        <f t="shared" si="126"/>
        <v>41.2</v>
      </c>
      <c r="L208" s="240">
        <f t="shared" si="127"/>
        <v>1236</v>
      </c>
      <c r="M208" s="60">
        <v>42345</v>
      </c>
      <c r="N208" s="32">
        <v>42696</v>
      </c>
      <c r="O208" s="82">
        <f t="shared" si="111"/>
        <v>125</v>
      </c>
      <c r="P208" s="19">
        <v>2</v>
      </c>
      <c r="Q208" s="68" t="s">
        <v>1451</v>
      </c>
      <c r="R208" s="118" t="s">
        <v>1816</v>
      </c>
      <c r="S208" s="21">
        <v>42761</v>
      </c>
      <c r="T208" s="20">
        <v>42761</v>
      </c>
      <c r="U208" s="20" t="str">
        <f t="shared" si="112"/>
        <v>-</v>
      </c>
      <c r="V208" s="19" t="str">
        <f t="shared" si="113"/>
        <v>-</v>
      </c>
      <c r="W208" s="3">
        <v>1</v>
      </c>
      <c r="X208" s="22">
        <f>IF(AND(N208&gt;0,T208&gt;0),T208-N208,"-")</f>
        <v>65</v>
      </c>
      <c r="Y208" s="22">
        <v>1</v>
      </c>
      <c r="Z208" s="22" t="str">
        <f t="shared" si="115"/>
        <v>-</v>
      </c>
      <c r="AA208" s="20" t="str">
        <f t="shared" si="116"/>
        <v>-</v>
      </c>
      <c r="AB208" s="94" t="str">
        <f t="shared" si="117"/>
        <v>---------</v>
      </c>
      <c r="AC208" s="21">
        <v>42796</v>
      </c>
      <c r="AD208" s="21">
        <f t="shared" si="118"/>
        <v>42951</v>
      </c>
      <c r="AE208" s="21">
        <f t="shared" si="119"/>
        <v>42981</v>
      </c>
      <c r="AF208" s="85"/>
      <c r="AG208" s="21">
        <f t="shared" si="120"/>
        <v>43020</v>
      </c>
      <c r="AH208" s="21">
        <f t="shared" si="125"/>
        <v>43041</v>
      </c>
      <c r="AI208" s="89">
        <f t="shared" si="122"/>
        <v>-220</v>
      </c>
      <c r="AJ208" s="92">
        <v>1</v>
      </c>
      <c r="AK208" s="120">
        <v>42821</v>
      </c>
      <c r="AL208" s="269" t="s">
        <v>2571</v>
      </c>
      <c r="BC208" s="284">
        <v>42821</v>
      </c>
      <c r="BD208" s="288" t="s">
        <v>2571</v>
      </c>
    </row>
    <row r="209" spans="1:56" s="2" customFormat="1" ht="15.95" customHeight="1" x14ac:dyDescent="0.25">
      <c r="A209" s="86">
        <v>207</v>
      </c>
      <c r="B209" s="84">
        <f t="shared" si="124"/>
        <v>42822</v>
      </c>
      <c r="C209" s="29" t="s">
        <v>614</v>
      </c>
      <c r="D209" s="59" t="s">
        <v>909</v>
      </c>
      <c r="E209" s="22" t="s">
        <v>398</v>
      </c>
      <c r="F209" s="27" t="s">
        <v>399</v>
      </c>
      <c r="G209" s="27"/>
      <c r="H209" s="28" t="s">
        <v>603</v>
      </c>
      <c r="I209" s="20">
        <v>41262</v>
      </c>
      <c r="J209" s="240">
        <f t="shared" si="110"/>
        <v>4.2739726027397262</v>
      </c>
      <c r="K209" s="240">
        <f t="shared" si="126"/>
        <v>52</v>
      </c>
      <c r="L209" s="240">
        <f t="shared" si="127"/>
        <v>1560</v>
      </c>
      <c r="M209" s="60">
        <v>42281</v>
      </c>
      <c r="N209" s="32">
        <v>42768</v>
      </c>
      <c r="O209" s="82">
        <f t="shared" si="111"/>
        <v>54</v>
      </c>
      <c r="P209" s="19">
        <v>2</v>
      </c>
      <c r="Q209" s="68"/>
      <c r="R209" s="118"/>
      <c r="S209" s="21"/>
      <c r="T209" s="20"/>
      <c r="U209" s="20" t="str">
        <f t="shared" si="112"/>
        <v>-</v>
      </c>
      <c r="V209" s="19" t="str">
        <f t="shared" si="113"/>
        <v>-</v>
      </c>
      <c r="W209" s="3">
        <v>0</v>
      </c>
      <c r="X209" s="22" t="str">
        <f>IF(AND(N209&gt;0,T209&gt;0),T209-N209,"-")</f>
        <v>-</v>
      </c>
      <c r="Y209" s="22">
        <v>0</v>
      </c>
      <c r="Z209" s="22" t="str">
        <f t="shared" si="115"/>
        <v>-</v>
      </c>
      <c r="AA209" s="20" t="str">
        <f t="shared" si="116"/>
        <v>-</v>
      </c>
      <c r="AB209" s="94" t="str">
        <f t="shared" si="117"/>
        <v>---------</v>
      </c>
      <c r="AC209" s="21"/>
      <c r="AD209" s="21" t="str">
        <f t="shared" si="118"/>
        <v>-</v>
      </c>
      <c r="AE209" s="21" t="str">
        <f t="shared" si="119"/>
        <v>-</v>
      </c>
      <c r="AF209" s="85"/>
      <c r="AG209" s="21" t="str">
        <f t="shared" si="120"/>
        <v>-</v>
      </c>
      <c r="AH209" s="21" t="str">
        <f t="shared" si="125"/>
        <v>-</v>
      </c>
      <c r="AI209" s="89" t="str">
        <f t="shared" si="122"/>
        <v>-</v>
      </c>
      <c r="AJ209" s="92">
        <v>1</v>
      </c>
      <c r="AK209" s="120">
        <v>42822</v>
      </c>
      <c r="AL209" s="269" t="s">
        <v>2572</v>
      </c>
      <c r="BC209" s="284">
        <v>42822</v>
      </c>
      <c r="BD209" s="288" t="s">
        <v>2572</v>
      </c>
    </row>
    <row r="210" spans="1:56" s="2" customFormat="1" ht="15.95" customHeight="1" x14ac:dyDescent="0.25">
      <c r="A210" s="86">
        <v>208</v>
      </c>
      <c r="B210" s="84">
        <f t="shared" si="124"/>
        <v>42830</v>
      </c>
      <c r="C210" s="29" t="s">
        <v>2404</v>
      </c>
      <c r="D210" s="59" t="s">
        <v>2432</v>
      </c>
      <c r="E210" s="22" t="s">
        <v>1419</v>
      </c>
      <c r="F210" s="27" t="s">
        <v>1420</v>
      </c>
      <c r="G210" s="27"/>
      <c r="H210" s="28" t="s">
        <v>603</v>
      </c>
      <c r="I210" s="20">
        <v>40308</v>
      </c>
      <c r="J210" s="240">
        <f t="shared" si="110"/>
        <v>6.9095890410958907</v>
      </c>
      <c r="K210" s="240">
        <f t="shared" si="126"/>
        <v>84.066666666666663</v>
      </c>
      <c r="L210" s="240">
        <f t="shared" si="127"/>
        <v>2522</v>
      </c>
      <c r="M210" s="60">
        <v>41158</v>
      </c>
      <c r="N210" s="32">
        <v>42471</v>
      </c>
      <c r="O210" s="82">
        <f t="shared" si="111"/>
        <v>359</v>
      </c>
      <c r="P210" s="19">
        <v>4</v>
      </c>
      <c r="Q210" s="68" t="s">
        <v>1483</v>
      </c>
      <c r="R210" s="118">
        <v>7762</v>
      </c>
      <c r="S210" s="21">
        <v>42557</v>
      </c>
      <c r="T210" s="20">
        <v>42557</v>
      </c>
      <c r="U210" s="20" t="str">
        <f t="shared" si="112"/>
        <v>-</v>
      </c>
      <c r="V210" s="19" t="str">
        <f t="shared" si="113"/>
        <v>-</v>
      </c>
      <c r="W210" s="3">
        <v>1</v>
      </c>
      <c r="X210" s="22"/>
      <c r="Y210" s="22">
        <v>0</v>
      </c>
      <c r="Z210" s="22" t="str">
        <f t="shared" si="115"/>
        <v>яловая</v>
      </c>
      <c r="AA210" s="20" t="str">
        <f t="shared" si="116"/>
        <v>-</v>
      </c>
      <c r="AB210" s="94" t="str">
        <f t="shared" si="117"/>
        <v>---------</v>
      </c>
      <c r="AC210" s="21">
        <v>42598</v>
      </c>
      <c r="AD210" s="21" t="str">
        <f t="shared" si="118"/>
        <v>-</v>
      </c>
      <c r="AE210" s="21" t="str">
        <f t="shared" si="119"/>
        <v>-</v>
      </c>
      <c r="AF210" s="85">
        <v>42782</v>
      </c>
      <c r="AG210" s="21" t="str">
        <f t="shared" si="120"/>
        <v>-</v>
      </c>
      <c r="AH210" s="21" t="str">
        <f t="shared" si="125"/>
        <v>-</v>
      </c>
      <c r="AI210" s="89" t="str">
        <f t="shared" si="122"/>
        <v>-</v>
      </c>
      <c r="AJ210" s="92">
        <v>1</v>
      </c>
      <c r="AK210" s="120">
        <v>42830</v>
      </c>
      <c r="AL210" s="269" t="s">
        <v>2402</v>
      </c>
      <c r="BC210" s="284">
        <v>42830</v>
      </c>
      <c r="BD210" s="288" t="s">
        <v>2402</v>
      </c>
    </row>
    <row r="211" spans="1:56" s="2" customFormat="1" ht="15.95" customHeight="1" x14ac:dyDescent="0.25">
      <c r="A211" s="86">
        <v>209</v>
      </c>
      <c r="B211" s="84">
        <f t="shared" si="124"/>
        <v>42830</v>
      </c>
      <c r="C211" s="29" t="s">
        <v>615</v>
      </c>
      <c r="D211" s="59" t="s">
        <v>1633</v>
      </c>
      <c r="E211" s="22" t="s">
        <v>229</v>
      </c>
      <c r="F211" s="27" t="s">
        <v>889</v>
      </c>
      <c r="G211" s="27"/>
      <c r="H211" s="28" t="s">
        <v>603</v>
      </c>
      <c r="I211" s="20">
        <v>41154</v>
      </c>
      <c r="J211" s="240">
        <f t="shared" si="110"/>
        <v>4.5917808219178085</v>
      </c>
      <c r="K211" s="240">
        <f t="shared" si="126"/>
        <v>55.866666666666667</v>
      </c>
      <c r="L211" s="240">
        <f t="shared" si="127"/>
        <v>1676</v>
      </c>
      <c r="M211" s="60">
        <v>41920</v>
      </c>
      <c r="N211" s="32">
        <v>42673</v>
      </c>
      <c r="O211" s="82">
        <f t="shared" si="111"/>
        <v>157</v>
      </c>
      <c r="P211" s="19">
        <v>3</v>
      </c>
      <c r="Q211" s="68"/>
      <c r="R211" s="118"/>
      <c r="S211" s="21">
        <v>42690</v>
      </c>
      <c r="T211" s="20">
        <v>42690</v>
      </c>
      <c r="U211" s="20">
        <f t="shared" si="112"/>
        <v>42708</v>
      </c>
      <c r="V211" s="19">
        <f t="shared" si="113"/>
        <v>122</v>
      </c>
      <c r="W211" s="3">
        <v>0</v>
      </c>
      <c r="X211" s="22"/>
      <c r="Y211" s="22">
        <v>5</v>
      </c>
      <c r="Z211" s="22" t="str">
        <f t="shared" si="115"/>
        <v>-</v>
      </c>
      <c r="AA211" s="20" t="str">
        <f t="shared" si="116"/>
        <v>-</v>
      </c>
      <c r="AB211" s="94" t="str">
        <f t="shared" si="117"/>
        <v>---------</v>
      </c>
      <c r="AC211" s="21"/>
      <c r="AD211" s="21" t="str">
        <f t="shared" si="118"/>
        <v>-</v>
      </c>
      <c r="AE211" s="21" t="str">
        <f t="shared" si="119"/>
        <v>-</v>
      </c>
      <c r="AF211" s="85"/>
      <c r="AG211" s="21" t="str">
        <f t="shared" si="120"/>
        <v>-</v>
      </c>
      <c r="AH211" s="21" t="str">
        <f t="shared" si="125"/>
        <v>-</v>
      </c>
      <c r="AI211" s="89" t="str">
        <f t="shared" si="122"/>
        <v>-</v>
      </c>
      <c r="AJ211" s="92">
        <v>1</v>
      </c>
      <c r="AK211" s="120">
        <v>42830</v>
      </c>
      <c r="AL211" s="269" t="s">
        <v>2631</v>
      </c>
      <c r="BC211" s="284">
        <v>42830</v>
      </c>
      <c r="BD211" s="288" t="s">
        <v>2631</v>
      </c>
    </row>
    <row r="212" spans="1:56" s="2" customFormat="1" ht="15.95" customHeight="1" x14ac:dyDescent="0.25">
      <c r="A212" s="86">
        <v>210</v>
      </c>
      <c r="B212" s="84">
        <f t="shared" si="124"/>
        <v>42836</v>
      </c>
      <c r="C212" s="29" t="s">
        <v>615</v>
      </c>
      <c r="D212" s="59" t="s">
        <v>908</v>
      </c>
      <c r="E212" s="212" t="s">
        <v>790</v>
      </c>
      <c r="F212" s="27" t="s">
        <v>791</v>
      </c>
      <c r="G212" s="27"/>
      <c r="H212" s="28" t="s">
        <v>795</v>
      </c>
      <c r="I212" s="20">
        <v>38237</v>
      </c>
      <c r="J212" s="240">
        <f t="shared" si="110"/>
        <v>12.6</v>
      </c>
      <c r="K212" s="240">
        <f t="shared" si="126"/>
        <v>153.30000000000001</v>
      </c>
      <c r="L212" s="240">
        <f t="shared" si="127"/>
        <v>4599</v>
      </c>
      <c r="M212" s="60">
        <v>39452</v>
      </c>
      <c r="N212" s="32">
        <v>42515</v>
      </c>
      <c r="O212" s="82">
        <f t="shared" si="111"/>
        <v>321</v>
      </c>
      <c r="P212" s="19">
        <v>8</v>
      </c>
      <c r="Q212" s="68" t="s">
        <v>1451</v>
      </c>
      <c r="R212" s="118" t="s">
        <v>2269</v>
      </c>
      <c r="S212" s="21">
        <v>42580</v>
      </c>
      <c r="T212" s="20">
        <v>42737</v>
      </c>
      <c r="U212" s="20" t="str">
        <f t="shared" si="112"/>
        <v>-</v>
      </c>
      <c r="V212" s="19" t="str">
        <f t="shared" si="113"/>
        <v>-</v>
      </c>
      <c r="W212" s="3">
        <v>4</v>
      </c>
      <c r="X212" s="22">
        <f t="shared" ref="X212:X243" si="128">IF(AND(N212&gt;0,T212&gt;0),T212-N212,"-")</f>
        <v>222</v>
      </c>
      <c r="Y212" s="22">
        <v>0</v>
      </c>
      <c r="Z212" s="22" t="str">
        <f t="shared" si="115"/>
        <v>яловая</v>
      </c>
      <c r="AA212" s="20" t="str">
        <f t="shared" si="116"/>
        <v>-</v>
      </c>
      <c r="AB212" s="94" t="str">
        <f t="shared" si="117"/>
        <v>---------</v>
      </c>
      <c r="AC212" s="21">
        <v>42681</v>
      </c>
      <c r="AD212" s="21" t="str">
        <f t="shared" si="118"/>
        <v>-</v>
      </c>
      <c r="AE212" s="21" t="str">
        <f t="shared" si="119"/>
        <v>-</v>
      </c>
      <c r="AF212" s="85"/>
      <c r="AG212" s="21" t="str">
        <f t="shared" si="120"/>
        <v>-</v>
      </c>
      <c r="AH212" s="21" t="str">
        <f t="shared" si="125"/>
        <v>-</v>
      </c>
      <c r="AI212" s="89" t="str">
        <f t="shared" si="122"/>
        <v>-</v>
      </c>
      <c r="AJ212" s="92">
        <v>1</v>
      </c>
      <c r="AK212" s="129">
        <v>42836</v>
      </c>
      <c r="AL212" s="269" t="s">
        <v>1917</v>
      </c>
      <c r="AM212" s="22" t="str">
        <f t="shared" ref="AM212:AM257" si="129">IF(AND(Y212=1,P212=0),"НЕТЕЛЬ","-")</f>
        <v>-</v>
      </c>
      <c r="AN212" s="234"/>
      <c r="AO212" s="22" t="str">
        <f t="shared" ref="AO212:AO257" si="130">IF(AND(N212&gt;0,T212&gt;0,W212&gt;0,Y212=1,AC212&gt;0,AF212&gt;0),"DRY COW","-")</f>
        <v>-</v>
      </c>
      <c r="AP212" s="121"/>
      <c r="BC212" s="284">
        <v>42836</v>
      </c>
      <c r="BD212" s="288" t="s">
        <v>1917</v>
      </c>
    </row>
    <row r="213" spans="1:56" s="2" customFormat="1" ht="15.95" customHeight="1" x14ac:dyDescent="0.25">
      <c r="A213" s="86">
        <v>211</v>
      </c>
      <c r="B213" s="84">
        <f t="shared" si="124"/>
        <v>42836</v>
      </c>
      <c r="C213" s="29" t="s">
        <v>613</v>
      </c>
      <c r="D213" s="59" t="s">
        <v>2180</v>
      </c>
      <c r="E213" s="22" t="s">
        <v>861</v>
      </c>
      <c r="F213" s="27" t="s">
        <v>862</v>
      </c>
      <c r="G213" s="27"/>
      <c r="H213" s="28" t="s">
        <v>795</v>
      </c>
      <c r="I213" s="20">
        <v>37565</v>
      </c>
      <c r="J213" s="240">
        <f t="shared" si="110"/>
        <v>14.441095890410958</v>
      </c>
      <c r="K213" s="240">
        <f t="shared" si="126"/>
        <v>175.7</v>
      </c>
      <c r="L213" s="240">
        <f t="shared" si="127"/>
        <v>5271</v>
      </c>
      <c r="M213" s="60">
        <v>38508</v>
      </c>
      <c r="N213" s="32">
        <v>42522</v>
      </c>
      <c r="O213" s="82">
        <f t="shared" si="111"/>
        <v>314</v>
      </c>
      <c r="P213" s="19">
        <v>10</v>
      </c>
      <c r="Q213" s="68"/>
      <c r="R213" s="118"/>
      <c r="S213" s="21"/>
      <c r="T213" s="20"/>
      <c r="U213" s="20" t="str">
        <f t="shared" si="112"/>
        <v>-</v>
      </c>
      <c r="V213" s="19" t="str">
        <f t="shared" si="113"/>
        <v>-</v>
      </c>
      <c r="W213" s="3">
        <v>0</v>
      </c>
      <c r="X213" s="22" t="str">
        <f t="shared" si="128"/>
        <v>-</v>
      </c>
      <c r="Y213" s="22">
        <v>0</v>
      </c>
      <c r="Z213" s="22" t="str">
        <f t="shared" si="115"/>
        <v>яловая</v>
      </c>
      <c r="AA213" s="20" t="str">
        <f t="shared" si="116"/>
        <v>-</v>
      </c>
      <c r="AB213" s="94" t="str">
        <f t="shared" si="117"/>
        <v>---------</v>
      </c>
      <c r="AC213" s="21"/>
      <c r="AD213" s="21" t="str">
        <f t="shared" si="118"/>
        <v>-</v>
      </c>
      <c r="AE213" s="21" t="str">
        <f t="shared" si="119"/>
        <v>-</v>
      </c>
      <c r="AF213" s="85"/>
      <c r="AG213" s="21" t="str">
        <f t="shared" si="120"/>
        <v>-</v>
      </c>
      <c r="AH213" s="21" t="str">
        <f t="shared" si="125"/>
        <v>-</v>
      </c>
      <c r="AI213" s="89" t="str">
        <f t="shared" si="122"/>
        <v>-</v>
      </c>
      <c r="AJ213" s="92">
        <v>1</v>
      </c>
      <c r="AK213" s="129">
        <v>42836</v>
      </c>
      <c r="AL213" s="269" t="s">
        <v>1917</v>
      </c>
      <c r="AM213" s="22" t="str">
        <f t="shared" si="129"/>
        <v>-</v>
      </c>
      <c r="AN213" s="234"/>
      <c r="AO213" s="22" t="str">
        <f t="shared" si="130"/>
        <v>-</v>
      </c>
      <c r="AP213" s="121"/>
      <c r="BC213" s="284">
        <v>42836</v>
      </c>
      <c r="BD213" s="288" t="s">
        <v>1917</v>
      </c>
    </row>
    <row r="214" spans="1:56" s="2" customFormat="1" ht="15.95" customHeight="1" x14ac:dyDescent="0.25">
      <c r="A214" s="86">
        <v>212</v>
      </c>
      <c r="B214" s="84">
        <f t="shared" si="124"/>
        <v>42836</v>
      </c>
      <c r="C214" s="29" t="s">
        <v>615</v>
      </c>
      <c r="D214" s="59" t="s">
        <v>908</v>
      </c>
      <c r="E214" s="22" t="s">
        <v>231</v>
      </c>
      <c r="F214" s="27" t="s">
        <v>232</v>
      </c>
      <c r="G214" s="27"/>
      <c r="H214" s="28" t="s">
        <v>603</v>
      </c>
      <c r="I214" s="20">
        <v>40861</v>
      </c>
      <c r="J214" s="240">
        <f t="shared" si="110"/>
        <v>5.4109589041095889</v>
      </c>
      <c r="K214" s="240">
        <f t="shared" si="126"/>
        <v>65.833333333333329</v>
      </c>
      <c r="L214" s="240">
        <f t="shared" si="127"/>
        <v>1975</v>
      </c>
      <c r="M214" s="60">
        <v>41963</v>
      </c>
      <c r="N214" s="32">
        <v>42525</v>
      </c>
      <c r="O214" s="82">
        <f t="shared" si="111"/>
        <v>311</v>
      </c>
      <c r="P214" s="19">
        <v>2</v>
      </c>
      <c r="Q214" s="68" t="s">
        <v>1451</v>
      </c>
      <c r="R214" s="118" t="s">
        <v>1820</v>
      </c>
      <c r="S214" s="21">
        <v>42598</v>
      </c>
      <c r="T214" s="20">
        <v>42717</v>
      </c>
      <c r="U214" s="20" t="str">
        <f t="shared" si="112"/>
        <v>-</v>
      </c>
      <c r="V214" s="19" t="str">
        <f t="shared" si="113"/>
        <v>-</v>
      </c>
      <c r="W214" s="3">
        <v>5</v>
      </c>
      <c r="X214" s="22">
        <f t="shared" si="128"/>
        <v>192</v>
      </c>
      <c r="Y214" s="22">
        <v>0</v>
      </c>
      <c r="Z214" s="22" t="str">
        <f t="shared" si="115"/>
        <v>яловая</v>
      </c>
      <c r="AA214" s="20" t="str">
        <f t="shared" si="116"/>
        <v>-</v>
      </c>
      <c r="AB214" s="94" t="str">
        <f t="shared" si="117"/>
        <v>---------</v>
      </c>
      <c r="AC214" s="21">
        <v>42759</v>
      </c>
      <c r="AD214" s="21" t="str">
        <f t="shared" si="118"/>
        <v>-</v>
      </c>
      <c r="AE214" s="21" t="str">
        <f t="shared" si="119"/>
        <v>-</v>
      </c>
      <c r="AF214" s="85"/>
      <c r="AG214" s="21" t="str">
        <f t="shared" si="120"/>
        <v>-</v>
      </c>
      <c r="AH214" s="21" t="str">
        <f t="shared" si="125"/>
        <v>-</v>
      </c>
      <c r="AI214" s="89" t="str">
        <f t="shared" si="122"/>
        <v>-</v>
      </c>
      <c r="AJ214" s="92">
        <v>1</v>
      </c>
      <c r="AK214" s="129">
        <v>42836</v>
      </c>
      <c r="AL214" s="269" t="s">
        <v>2633</v>
      </c>
      <c r="AM214" s="22" t="str">
        <f t="shared" si="129"/>
        <v>-</v>
      </c>
      <c r="AN214" s="234"/>
      <c r="AO214" s="22" t="str">
        <f t="shared" si="130"/>
        <v>-</v>
      </c>
      <c r="AP214" s="121"/>
      <c r="BC214" s="284">
        <v>42836</v>
      </c>
      <c r="BD214" s="288" t="s">
        <v>2633</v>
      </c>
    </row>
    <row r="215" spans="1:56" s="2" customFormat="1" ht="15.95" customHeight="1" x14ac:dyDescent="0.25">
      <c r="A215" s="86">
        <v>213</v>
      </c>
      <c r="B215" s="84">
        <f t="shared" si="124"/>
        <v>42836</v>
      </c>
      <c r="C215" s="29" t="s">
        <v>615</v>
      </c>
      <c r="D215" s="59" t="s">
        <v>908</v>
      </c>
      <c r="E215" s="22" t="s">
        <v>747</v>
      </c>
      <c r="F215" s="27" t="s">
        <v>748</v>
      </c>
      <c r="G215" s="27"/>
      <c r="H215" s="28" t="s">
        <v>722</v>
      </c>
      <c r="I215" s="20">
        <v>40461</v>
      </c>
      <c r="J215" s="240">
        <f t="shared" si="110"/>
        <v>6.506849315068493</v>
      </c>
      <c r="K215" s="240">
        <f t="shared" si="126"/>
        <v>79.166666666666671</v>
      </c>
      <c r="L215" s="240">
        <f t="shared" si="127"/>
        <v>2375</v>
      </c>
      <c r="M215" s="60">
        <v>41254</v>
      </c>
      <c r="N215" s="32">
        <v>42549</v>
      </c>
      <c r="O215" s="82">
        <f t="shared" si="111"/>
        <v>287</v>
      </c>
      <c r="P215" s="19">
        <v>4</v>
      </c>
      <c r="Q215" s="68" t="s">
        <v>1448</v>
      </c>
      <c r="R215" s="118" t="s">
        <v>2294</v>
      </c>
      <c r="S215" s="21">
        <v>42609</v>
      </c>
      <c r="T215" s="20">
        <v>42763</v>
      </c>
      <c r="U215" s="20" t="str">
        <f t="shared" si="112"/>
        <v>-</v>
      </c>
      <c r="V215" s="19" t="str">
        <f t="shared" si="113"/>
        <v>-</v>
      </c>
      <c r="W215" s="3">
        <v>5</v>
      </c>
      <c r="X215" s="22">
        <f t="shared" si="128"/>
        <v>214</v>
      </c>
      <c r="Y215" s="22">
        <v>0</v>
      </c>
      <c r="Z215" s="22" t="str">
        <f t="shared" si="115"/>
        <v>яловая</v>
      </c>
      <c r="AA215" s="20" t="str">
        <f t="shared" si="116"/>
        <v>-</v>
      </c>
      <c r="AB215" s="94" t="str">
        <f t="shared" si="117"/>
        <v>---------</v>
      </c>
      <c r="AC215" s="21">
        <v>42804</v>
      </c>
      <c r="AD215" s="21" t="str">
        <f t="shared" si="118"/>
        <v>-</v>
      </c>
      <c r="AE215" s="21" t="str">
        <f t="shared" si="119"/>
        <v>-</v>
      </c>
      <c r="AF215" s="85"/>
      <c r="AG215" s="21" t="str">
        <f t="shared" si="120"/>
        <v>-</v>
      </c>
      <c r="AH215" s="21" t="str">
        <f t="shared" si="125"/>
        <v>-</v>
      </c>
      <c r="AI215" s="89" t="str">
        <f t="shared" si="122"/>
        <v>-</v>
      </c>
      <c r="AJ215" s="92">
        <v>1</v>
      </c>
      <c r="AK215" s="129">
        <v>42836</v>
      </c>
      <c r="AL215" s="269" t="s">
        <v>2634</v>
      </c>
      <c r="AM215" s="22" t="str">
        <f t="shared" si="129"/>
        <v>-</v>
      </c>
      <c r="AN215" s="234"/>
      <c r="AO215" s="22" t="str">
        <f t="shared" si="130"/>
        <v>-</v>
      </c>
      <c r="AP215" s="121"/>
      <c r="BC215" s="284">
        <v>42836</v>
      </c>
      <c r="BD215" s="288" t="s">
        <v>2634</v>
      </c>
    </row>
    <row r="216" spans="1:56" s="2" customFormat="1" ht="15.95" customHeight="1" x14ac:dyDescent="0.25">
      <c r="A216" s="86">
        <v>214</v>
      </c>
      <c r="B216" s="84">
        <f t="shared" si="124"/>
        <v>42836</v>
      </c>
      <c r="C216" s="29" t="s">
        <v>615</v>
      </c>
      <c r="D216" s="59" t="s">
        <v>1633</v>
      </c>
      <c r="E216" s="22" t="s">
        <v>743</v>
      </c>
      <c r="F216" s="27" t="s">
        <v>744</v>
      </c>
      <c r="G216" s="27"/>
      <c r="H216" s="28" t="s">
        <v>603</v>
      </c>
      <c r="I216" s="20">
        <v>39067</v>
      </c>
      <c r="J216" s="240">
        <f t="shared" si="110"/>
        <v>10.326027397260274</v>
      </c>
      <c r="K216" s="240">
        <f t="shared" si="126"/>
        <v>125.63333333333334</v>
      </c>
      <c r="L216" s="240">
        <f t="shared" si="127"/>
        <v>3769</v>
      </c>
      <c r="M216" s="60">
        <v>39976</v>
      </c>
      <c r="N216" s="32">
        <v>42516</v>
      </c>
      <c r="O216" s="82">
        <f t="shared" si="111"/>
        <v>320</v>
      </c>
      <c r="P216" s="19">
        <v>7</v>
      </c>
      <c r="Q216" s="68" t="s">
        <v>1451</v>
      </c>
      <c r="R216" s="118" t="s">
        <v>1820</v>
      </c>
      <c r="S216" s="21">
        <v>42590</v>
      </c>
      <c r="T216" s="20">
        <v>42654</v>
      </c>
      <c r="U216" s="20" t="str">
        <f t="shared" si="112"/>
        <v>-</v>
      </c>
      <c r="V216" s="19" t="str">
        <f t="shared" si="113"/>
        <v>-</v>
      </c>
      <c r="W216" s="3">
        <v>4</v>
      </c>
      <c r="X216" s="22">
        <f t="shared" si="128"/>
        <v>138</v>
      </c>
      <c r="Y216" s="22">
        <v>0</v>
      </c>
      <c r="Z216" s="22" t="str">
        <f t="shared" si="115"/>
        <v>яловая</v>
      </c>
      <c r="AA216" s="20" t="str">
        <f t="shared" si="116"/>
        <v>-</v>
      </c>
      <c r="AB216" s="94" t="str">
        <f t="shared" si="117"/>
        <v>---------</v>
      </c>
      <c r="AC216" s="21">
        <v>42716</v>
      </c>
      <c r="AD216" s="21" t="str">
        <f t="shared" si="118"/>
        <v>-</v>
      </c>
      <c r="AE216" s="21" t="str">
        <f t="shared" si="119"/>
        <v>-</v>
      </c>
      <c r="AF216" s="85"/>
      <c r="AG216" s="21" t="str">
        <f t="shared" si="120"/>
        <v>-</v>
      </c>
      <c r="AH216" s="21" t="str">
        <f t="shared" si="125"/>
        <v>-</v>
      </c>
      <c r="AI216" s="89" t="str">
        <f t="shared" si="122"/>
        <v>-</v>
      </c>
      <c r="AJ216" s="92">
        <v>1</v>
      </c>
      <c r="AK216" s="129">
        <v>42836</v>
      </c>
      <c r="AL216" s="269" t="s">
        <v>2634</v>
      </c>
      <c r="AM216" s="22" t="str">
        <f t="shared" si="129"/>
        <v>-</v>
      </c>
      <c r="AN216" s="234"/>
      <c r="AO216" s="22" t="str">
        <f t="shared" si="130"/>
        <v>-</v>
      </c>
      <c r="AP216" s="121">
        <v>1</v>
      </c>
      <c r="BC216" s="284">
        <v>42836</v>
      </c>
      <c r="BD216" s="288" t="s">
        <v>2634</v>
      </c>
    </row>
    <row r="217" spans="1:56" s="2" customFormat="1" ht="15.95" customHeight="1" x14ac:dyDescent="0.25">
      <c r="A217" s="86">
        <v>215</v>
      </c>
      <c r="B217" s="84">
        <f t="shared" si="124"/>
        <v>42836</v>
      </c>
      <c r="C217" s="29" t="s">
        <v>615</v>
      </c>
      <c r="D217" s="59" t="s">
        <v>1633</v>
      </c>
      <c r="E217" s="22" t="s">
        <v>917</v>
      </c>
      <c r="F217" s="27" t="s">
        <v>918</v>
      </c>
      <c r="G217" s="27"/>
      <c r="H217" s="28" t="s">
        <v>721</v>
      </c>
      <c r="I217" s="20">
        <v>40991</v>
      </c>
      <c r="J217" s="240">
        <f t="shared" ref="J217:J248" si="131">(B217-I217)/365</f>
        <v>5.0547945205479454</v>
      </c>
      <c r="K217" s="240">
        <f t="shared" si="126"/>
        <v>61.5</v>
      </c>
      <c r="L217" s="240">
        <f t="shared" si="127"/>
        <v>1845</v>
      </c>
      <c r="M217" s="60">
        <v>41892</v>
      </c>
      <c r="N217" s="32">
        <v>42556</v>
      </c>
      <c r="O217" s="82">
        <f t="shared" ref="O217:O248" si="132">IF(AND(B217&gt;0,N217&gt;0),B217-N217,"-")</f>
        <v>280</v>
      </c>
      <c r="P217" s="19">
        <v>2</v>
      </c>
      <c r="Q217" s="68" t="s">
        <v>1451</v>
      </c>
      <c r="R217" s="118" t="s">
        <v>2269</v>
      </c>
      <c r="S217" s="21">
        <v>42639</v>
      </c>
      <c r="T217" s="20">
        <v>42734</v>
      </c>
      <c r="U217" s="20" t="str">
        <f t="shared" ref="U217:U248" si="133">IF(AND(Y217&gt;1,T217&gt;0),T217+18,"-")</f>
        <v>-</v>
      </c>
      <c r="V217" s="19" t="str">
        <f t="shared" ref="V217:V248" si="134">IF(AND(U217&gt;0,B217&gt;0,Y217&gt;1),B217-U217,"-")</f>
        <v>-</v>
      </c>
      <c r="W217" s="3">
        <v>3</v>
      </c>
      <c r="X217" s="22">
        <f t="shared" si="128"/>
        <v>178</v>
      </c>
      <c r="Y217" s="22">
        <v>0</v>
      </c>
      <c r="Z217" s="22" t="str">
        <f t="shared" ref="Z217:Z248" si="135">IF(AND(O217&gt;140,Y217=0,N217&gt;0),"яловая","-")</f>
        <v>яловая</v>
      </c>
      <c r="AA217" s="20" t="str">
        <f t="shared" ref="AA217:AA248" si="136">IF(AND(T217&gt;0,OR(Y217=3,Y217=2)),T217+35,"-")</f>
        <v>-</v>
      </c>
      <c r="AB217" s="94" t="str">
        <f t="shared" ref="AB217:AB248" si="137">IF(AND(T217&gt;0,W217&gt;0,Q217&gt;0,OR(Y217=3,Y217=2)),B217-AA217,"---------")</f>
        <v>---------</v>
      </c>
      <c r="AC217" s="21">
        <v>42776</v>
      </c>
      <c r="AD217" s="21" t="str">
        <f t="shared" ref="AD217:AD248" si="138">IF(AND($T217&gt;0,$N217&gt;0,$Y217=1),$T217+280-90,"-")</f>
        <v>-</v>
      </c>
      <c r="AE217" s="21" t="str">
        <f t="shared" ref="AE217:AE248" si="139">IF(AND(T217&gt;0,Y217=1,N217&gt;0),T217+280-60,"-")</f>
        <v>-</v>
      </c>
      <c r="AF217" s="85"/>
      <c r="AG217" s="21" t="str">
        <f t="shared" ref="AG217:AG248" si="140">IF(AND($T217&gt;0,$Y217=1),$T217+280-21,"-")</f>
        <v>-</v>
      </c>
      <c r="AH217" s="21" t="str">
        <f t="shared" si="125"/>
        <v>-</v>
      </c>
      <c r="AI217" s="89" t="str">
        <f t="shared" ref="AI217:AI248" si="141">IF(AND(B217&gt;0,AH217&gt;0,AC217&gt;0,Y217=1),B217-AH217,"-")</f>
        <v>-</v>
      </c>
      <c r="AJ217" s="92">
        <v>1</v>
      </c>
      <c r="AK217" s="129">
        <v>42836</v>
      </c>
      <c r="AL217" s="269" t="s">
        <v>2634</v>
      </c>
      <c r="AM217" s="22" t="str">
        <f t="shared" si="129"/>
        <v>-</v>
      </c>
      <c r="AN217" s="234"/>
      <c r="AO217" s="22" t="str">
        <f t="shared" si="130"/>
        <v>-</v>
      </c>
      <c r="AP217" s="121">
        <v>1</v>
      </c>
      <c r="BC217" s="284">
        <v>42836</v>
      </c>
      <c r="BD217" s="288" t="s">
        <v>2634</v>
      </c>
    </row>
    <row r="218" spans="1:56" s="2" customFormat="1" ht="15.95" customHeight="1" x14ac:dyDescent="0.25">
      <c r="A218" s="86">
        <v>216</v>
      </c>
      <c r="B218" s="84">
        <f t="shared" si="124"/>
        <v>42836</v>
      </c>
      <c r="C218" s="29" t="s">
        <v>613</v>
      </c>
      <c r="D218" s="59" t="s">
        <v>2181</v>
      </c>
      <c r="E218" s="22" t="s">
        <v>229</v>
      </c>
      <c r="F218" s="27" t="s">
        <v>406</v>
      </c>
      <c r="G218" s="27"/>
      <c r="H218" s="28" t="s">
        <v>603</v>
      </c>
      <c r="I218" s="20">
        <v>41401</v>
      </c>
      <c r="J218" s="240">
        <f t="shared" si="131"/>
        <v>3.9315068493150687</v>
      </c>
      <c r="K218" s="240">
        <f t="shared" si="126"/>
        <v>47.833333333333336</v>
      </c>
      <c r="L218" s="240">
        <f t="shared" si="127"/>
        <v>1435</v>
      </c>
      <c r="M218" s="60">
        <v>42285</v>
      </c>
      <c r="N218" s="32">
        <v>42603</v>
      </c>
      <c r="O218" s="82">
        <f t="shared" si="132"/>
        <v>233</v>
      </c>
      <c r="P218" s="19">
        <v>2</v>
      </c>
      <c r="Q218" s="68" t="s">
        <v>1451</v>
      </c>
      <c r="R218" s="118" t="s">
        <v>1875</v>
      </c>
      <c r="S218" s="21">
        <v>42667</v>
      </c>
      <c r="T218" s="20">
        <v>42794</v>
      </c>
      <c r="U218" s="20" t="str">
        <f t="shared" si="133"/>
        <v>-</v>
      </c>
      <c r="V218" s="19" t="str">
        <f t="shared" si="134"/>
        <v>-</v>
      </c>
      <c r="W218" s="3">
        <v>4</v>
      </c>
      <c r="X218" s="22">
        <f t="shared" si="128"/>
        <v>191</v>
      </c>
      <c r="Y218" s="22">
        <v>0</v>
      </c>
      <c r="Z218" s="22" t="str">
        <f t="shared" si="135"/>
        <v>яловая</v>
      </c>
      <c r="AA218" s="20" t="str">
        <f t="shared" si="136"/>
        <v>-</v>
      </c>
      <c r="AB218" s="94" t="str">
        <f t="shared" si="137"/>
        <v>---------</v>
      </c>
      <c r="AC218" s="21">
        <v>42835</v>
      </c>
      <c r="AD218" s="21" t="str">
        <f t="shared" si="138"/>
        <v>-</v>
      </c>
      <c r="AE218" s="21" t="str">
        <f t="shared" si="139"/>
        <v>-</v>
      </c>
      <c r="AF218" s="85"/>
      <c r="AG218" s="21" t="str">
        <f t="shared" si="140"/>
        <v>-</v>
      </c>
      <c r="AH218" s="21" t="str">
        <f t="shared" si="125"/>
        <v>-</v>
      </c>
      <c r="AI218" s="89" t="str">
        <f t="shared" si="141"/>
        <v>-</v>
      </c>
      <c r="AJ218" s="92">
        <v>1</v>
      </c>
      <c r="AK218" s="129">
        <v>42836</v>
      </c>
      <c r="AL218" s="269" t="s">
        <v>2635</v>
      </c>
      <c r="AM218" s="22" t="str">
        <f t="shared" si="129"/>
        <v>-</v>
      </c>
      <c r="AN218" s="234"/>
      <c r="AO218" s="22" t="str">
        <f t="shared" si="130"/>
        <v>-</v>
      </c>
      <c r="AP218" s="121"/>
      <c r="BC218" s="284">
        <v>42836</v>
      </c>
      <c r="BD218" s="288" t="s">
        <v>2635</v>
      </c>
    </row>
    <row r="219" spans="1:56" s="1" customFormat="1" ht="15.95" customHeight="1" x14ac:dyDescent="0.25">
      <c r="A219" s="86">
        <v>217</v>
      </c>
      <c r="B219" s="84">
        <f t="shared" si="124"/>
        <v>42836</v>
      </c>
      <c r="C219" s="29" t="s">
        <v>613</v>
      </c>
      <c r="D219" s="59" t="s">
        <v>903</v>
      </c>
      <c r="E219" s="22" t="s">
        <v>448</v>
      </c>
      <c r="F219" s="27" t="s">
        <v>449</v>
      </c>
      <c r="G219" s="27"/>
      <c r="H219" s="28" t="s">
        <v>78</v>
      </c>
      <c r="I219" s="20">
        <v>41334</v>
      </c>
      <c r="J219" s="240">
        <f t="shared" si="131"/>
        <v>4.1150684931506847</v>
      </c>
      <c r="K219" s="240">
        <f t="shared" si="126"/>
        <v>50.06666666666667</v>
      </c>
      <c r="L219" s="240">
        <f t="shared" si="127"/>
        <v>1502</v>
      </c>
      <c r="M219" s="60">
        <v>42139</v>
      </c>
      <c r="N219" s="32">
        <v>42590</v>
      </c>
      <c r="O219" s="82">
        <f t="shared" si="132"/>
        <v>246</v>
      </c>
      <c r="P219" s="19">
        <v>2</v>
      </c>
      <c r="Q219" s="68" t="s">
        <v>1448</v>
      </c>
      <c r="R219" s="118" t="s">
        <v>2294</v>
      </c>
      <c r="S219" s="21">
        <v>42672</v>
      </c>
      <c r="T219" s="20">
        <v>42740</v>
      </c>
      <c r="U219" s="20" t="str">
        <f t="shared" si="133"/>
        <v>-</v>
      </c>
      <c r="V219" s="19" t="str">
        <f t="shared" si="134"/>
        <v>-</v>
      </c>
      <c r="W219" s="3">
        <v>3</v>
      </c>
      <c r="X219" s="22">
        <f t="shared" si="128"/>
        <v>150</v>
      </c>
      <c r="Y219" s="22">
        <v>0</v>
      </c>
      <c r="Z219" s="22" t="str">
        <f t="shared" si="135"/>
        <v>яловая</v>
      </c>
      <c r="AA219" s="20" t="str">
        <f t="shared" si="136"/>
        <v>-</v>
      </c>
      <c r="AB219" s="94" t="str">
        <f t="shared" si="137"/>
        <v>---------</v>
      </c>
      <c r="AC219" s="21">
        <v>42781</v>
      </c>
      <c r="AD219" s="21" t="str">
        <f t="shared" si="138"/>
        <v>-</v>
      </c>
      <c r="AE219" s="21" t="str">
        <f t="shared" si="139"/>
        <v>-</v>
      </c>
      <c r="AF219" s="85"/>
      <c r="AG219" s="21" t="str">
        <f t="shared" si="140"/>
        <v>-</v>
      </c>
      <c r="AH219" s="21" t="str">
        <f t="shared" si="125"/>
        <v>-</v>
      </c>
      <c r="AI219" s="89" t="str">
        <f t="shared" si="141"/>
        <v>-</v>
      </c>
      <c r="AJ219" s="92">
        <v>1</v>
      </c>
      <c r="AK219" s="120">
        <v>42836</v>
      </c>
      <c r="AL219" s="269" t="s">
        <v>2634</v>
      </c>
      <c r="AM219" s="22" t="str">
        <f t="shared" si="129"/>
        <v>-</v>
      </c>
      <c r="AN219" s="234"/>
      <c r="AO219" s="22" t="str">
        <f t="shared" si="130"/>
        <v>-</v>
      </c>
      <c r="AP219" s="121"/>
      <c r="AQ219" s="2"/>
      <c r="AR219" s="2"/>
      <c r="AS219" s="2"/>
      <c r="AT219" s="2"/>
      <c r="BC219" s="284">
        <v>42836</v>
      </c>
      <c r="BD219" s="288" t="s">
        <v>2634</v>
      </c>
    </row>
    <row r="220" spans="1:56" s="2" customFormat="1" ht="15.95" customHeight="1" x14ac:dyDescent="0.25">
      <c r="A220" s="86">
        <v>218</v>
      </c>
      <c r="B220" s="84">
        <f t="shared" si="124"/>
        <v>42842</v>
      </c>
      <c r="C220" s="29" t="s">
        <v>613</v>
      </c>
      <c r="D220" s="59" t="s">
        <v>904</v>
      </c>
      <c r="E220" s="273" t="s">
        <v>217</v>
      </c>
      <c r="F220" s="274" t="s">
        <v>1140</v>
      </c>
      <c r="G220" s="274"/>
      <c r="H220" s="28" t="s">
        <v>603</v>
      </c>
      <c r="I220" s="20">
        <v>41638</v>
      </c>
      <c r="J220" s="240">
        <f t="shared" si="131"/>
        <v>3.2986301369863016</v>
      </c>
      <c r="K220" s="240">
        <f t="shared" si="126"/>
        <v>40.133333333333333</v>
      </c>
      <c r="L220" s="240">
        <f t="shared" si="127"/>
        <v>1204</v>
      </c>
      <c r="M220" s="60">
        <v>42571</v>
      </c>
      <c r="N220" s="32">
        <v>42571</v>
      </c>
      <c r="O220" s="82">
        <f t="shared" si="132"/>
        <v>271</v>
      </c>
      <c r="P220" s="19">
        <v>1</v>
      </c>
      <c r="Q220" s="68" t="s">
        <v>1451</v>
      </c>
      <c r="R220" s="118" t="s">
        <v>222</v>
      </c>
      <c r="S220" s="21">
        <v>42663</v>
      </c>
      <c r="T220" s="20">
        <v>42829</v>
      </c>
      <c r="U220" s="20">
        <f t="shared" si="133"/>
        <v>42847</v>
      </c>
      <c r="V220" s="19">
        <f t="shared" si="134"/>
        <v>-5</v>
      </c>
      <c r="W220" s="3">
        <v>5</v>
      </c>
      <c r="X220" s="22">
        <f t="shared" si="128"/>
        <v>258</v>
      </c>
      <c r="Y220" s="22">
        <v>3</v>
      </c>
      <c r="Z220" s="22" t="str">
        <f t="shared" si="135"/>
        <v>-</v>
      </c>
      <c r="AA220" s="20">
        <f t="shared" si="136"/>
        <v>42864</v>
      </c>
      <c r="AB220" s="94">
        <f t="shared" si="137"/>
        <v>-22</v>
      </c>
      <c r="AC220" s="21">
        <v>42821</v>
      </c>
      <c r="AD220" s="21" t="str">
        <f t="shared" si="138"/>
        <v>-</v>
      </c>
      <c r="AE220" s="21" t="str">
        <f t="shared" si="139"/>
        <v>-</v>
      </c>
      <c r="AF220" s="85"/>
      <c r="AG220" s="21" t="str">
        <f t="shared" si="140"/>
        <v>-</v>
      </c>
      <c r="AH220" s="21" t="str">
        <f t="shared" si="125"/>
        <v>-</v>
      </c>
      <c r="AI220" s="89" t="str">
        <f t="shared" si="141"/>
        <v>-</v>
      </c>
      <c r="AJ220" s="92">
        <v>1</v>
      </c>
      <c r="AK220" s="120">
        <v>42842</v>
      </c>
      <c r="AL220" s="269" t="s">
        <v>2652</v>
      </c>
      <c r="AM220" s="22" t="str">
        <f t="shared" si="129"/>
        <v>-</v>
      </c>
      <c r="AN220" s="234"/>
      <c r="AO220" s="22" t="str">
        <f t="shared" si="130"/>
        <v>-</v>
      </c>
      <c r="AP220" s="121"/>
      <c r="AU220" s="1"/>
      <c r="AV220" s="1"/>
      <c r="AW220" s="1"/>
      <c r="AX220" s="1"/>
      <c r="AY220" s="1"/>
      <c r="AZ220" s="1"/>
      <c r="BA220" s="1"/>
      <c r="BB220" s="1"/>
      <c r="BC220" s="284">
        <v>42842</v>
      </c>
      <c r="BD220" s="288" t="s">
        <v>2652</v>
      </c>
    </row>
    <row r="221" spans="1:56" s="2" customFormat="1" ht="15.95" customHeight="1" x14ac:dyDescent="0.25">
      <c r="A221" s="86">
        <v>219</v>
      </c>
      <c r="B221" s="84">
        <f t="shared" si="124"/>
        <v>42843</v>
      </c>
      <c r="C221" s="29" t="s">
        <v>613</v>
      </c>
      <c r="D221" s="59" t="s">
        <v>904</v>
      </c>
      <c r="E221" s="22" t="s">
        <v>751</v>
      </c>
      <c r="F221" s="27" t="s">
        <v>752</v>
      </c>
      <c r="G221" s="27"/>
      <c r="H221" s="28" t="s">
        <v>603</v>
      </c>
      <c r="I221" s="20">
        <v>40867</v>
      </c>
      <c r="J221" s="240">
        <f t="shared" si="131"/>
        <v>5.4136986301369863</v>
      </c>
      <c r="K221" s="240">
        <f t="shared" si="126"/>
        <v>65.86666666666666</v>
      </c>
      <c r="L221" s="240">
        <f t="shared" si="127"/>
        <v>1976</v>
      </c>
      <c r="M221" s="60">
        <v>41654</v>
      </c>
      <c r="N221" s="32">
        <v>42570</v>
      </c>
      <c r="O221" s="82">
        <f t="shared" si="132"/>
        <v>273</v>
      </c>
      <c r="P221" s="19">
        <v>3</v>
      </c>
      <c r="Q221" s="68" t="s">
        <v>1451</v>
      </c>
      <c r="R221" s="118" t="s">
        <v>1816</v>
      </c>
      <c r="S221" s="21">
        <v>42652</v>
      </c>
      <c r="T221" s="20">
        <v>42698</v>
      </c>
      <c r="U221" s="20" t="str">
        <f t="shared" si="133"/>
        <v>-</v>
      </c>
      <c r="V221" s="19" t="str">
        <f t="shared" si="134"/>
        <v>-</v>
      </c>
      <c r="W221" s="3">
        <v>2</v>
      </c>
      <c r="X221" s="22">
        <f t="shared" si="128"/>
        <v>128</v>
      </c>
      <c r="Y221" s="22">
        <v>0</v>
      </c>
      <c r="Z221" s="22" t="str">
        <f t="shared" si="135"/>
        <v>яловая</v>
      </c>
      <c r="AA221" s="20" t="str">
        <f t="shared" si="136"/>
        <v>-</v>
      </c>
      <c r="AB221" s="94" t="str">
        <f t="shared" si="137"/>
        <v>---------</v>
      </c>
      <c r="AC221" s="21">
        <v>42744</v>
      </c>
      <c r="AD221" s="21" t="str">
        <f t="shared" si="138"/>
        <v>-</v>
      </c>
      <c r="AE221" s="21" t="str">
        <f t="shared" si="139"/>
        <v>-</v>
      </c>
      <c r="AF221" s="85"/>
      <c r="AG221" s="21" t="str">
        <f t="shared" si="140"/>
        <v>-</v>
      </c>
      <c r="AH221" s="21" t="str">
        <f t="shared" si="125"/>
        <v>-</v>
      </c>
      <c r="AI221" s="89" t="str">
        <f t="shared" si="141"/>
        <v>-</v>
      </c>
      <c r="AJ221" s="92">
        <v>1</v>
      </c>
      <c r="AK221" s="120">
        <v>42843</v>
      </c>
      <c r="AL221" s="269" t="s">
        <v>2402</v>
      </c>
      <c r="AM221" s="22" t="str">
        <f t="shared" si="129"/>
        <v>-</v>
      </c>
      <c r="AN221" s="234"/>
      <c r="AO221" s="22" t="str">
        <f t="shared" si="130"/>
        <v>-</v>
      </c>
      <c r="AP221" s="121"/>
      <c r="BC221" s="284">
        <v>42843</v>
      </c>
      <c r="BD221" s="288" t="s">
        <v>2402</v>
      </c>
    </row>
    <row r="222" spans="1:56" s="2" customFormat="1" ht="15.95" customHeight="1" x14ac:dyDescent="0.25">
      <c r="A222" s="86">
        <v>220</v>
      </c>
      <c r="B222" s="84">
        <f t="shared" si="124"/>
        <v>42847</v>
      </c>
      <c r="C222" s="29" t="s">
        <v>613</v>
      </c>
      <c r="D222" s="59" t="s">
        <v>2180</v>
      </c>
      <c r="E222" s="22" t="s">
        <v>629</v>
      </c>
      <c r="F222" s="27" t="s">
        <v>809</v>
      </c>
      <c r="G222" s="27"/>
      <c r="H222" s="28" t="s">
        <v>603</v>
      </c>
      <c r="I222" s="20">
        <v>40872</v>
      </c>
      <c r="J222" s="240">
        <f t="shared" si="131"/>
        <v>5.4109589041095889</v>
      </c>
      <c r="K222" s="240">
        <f t="shared" si="126"/>
        <v>65.833333333333329</v>
      </c>
      <c r="L222" s="240">
        <f t="shared" si="127"/>
        <v>1975</v>
      </c>
      <c r="M222" s="60">
        <v>41610</v>
      </c>
      <c r="N222" s="32">
        <v>42539</v>
      </c>
      <c r="O222" s="82">
        <f t="shared" si="132"/>
        <v>308</v>
      </c>
      <c r="P222" s="19">
        <v>3</v>
      </c>
      <c r="Q222" s="68" t="s">
        <v>1451</v>
      </c>
      <c r="R222" s="118" t="s">
        <v>1875</v>
      </c>
      <c r="S222" s="21">
        <v>42615</v>
      </c>
      <c r="T222" s="20">
        <v>42717</v>
      </c>
      <c r="U222" s="20" t="str">
        <f t="shared" si="133"/>
        <v>-</v>
      </c>
      <c r="V222" s="19" t="str">
        <f t="shared" si="134"/>
        <v>-</v>
      </c>
      <c r="W222" s="3">
        <v>4</v>
      </c>
      <c r="X222" s="22">
        <f t="shared" si="128"/>
        <v>178</v>
      </c>
      <c r="Y222" s="22">
        <v>1</v>
      </c>
      <c r="Z222" s="22" t="str">
        <f t="shared" si="135"/>
        <v>-</v>
      </c>
      <c r="AA222" s="20" t="str">
        <f t="shared" si="136"/>
        <v>-</v>
      </c>
      <c r="AB222" s="94" t="str">
        <f t="shared" si="137"/>
        <v>---------</v>
      </c>
      <c r="AC222" s="21">
        <v>42751</v>
      </c>
      <c r="AD222" s="21">
        <f t="shared" si="138"/>
        <v>42907</v>
      </c>
      <c r="AE222" s="21">
        <f t="shared" si="139"/>
        <v>42937</v>
      </c>
      <c r="AF222" s="85"/>
      <c r="AG222" s="21">
        <f t="shared" si="140"/>
        <v>42976</v>
      </c>
      <c r="AH222" s="21">
        <f t="shared" si="125"/>
        <v>42997</v>
      </c>
      <c r="AI222" s="89">
        <f t="shared" si="141"/>
        <v>-150</v>
      </c>
      <c r="AJ222" s="92">
        <v>1</v>
      </c>
      <c r="AK222" s="80" t="str">
        <f t="shared" ref="AK222:AK229" si="142">IF(AND(Z222="яловая",O222&gt;300),"БРАК","-")</f>
        <v>-</v>
      </c>
      <c r="AL222" s="80"/>
      <c r="AM222" s="22" t="str">
        <f t="shared" si="129"/>
        <v>-</v>
      </c>
      <c r="AN222" s="234"/>
      <c r="AO222" s="22" t="str">
        <f t="shared" si="130"/>
        <v>-</v>
      </c>
      <c r="AP222" s="121"/>
      <c r="AU222" s="1"/>
      <c r="AV222" s="1"/>
      <c r="AW222" s="1"/>
      <c r="AX222" s="1"/>
      <c r="AY222" s="1"/>
      <c r="AZ222" s="1"/>
      <c r="BA222" s="1"/>
      <c r="BB222" s="1"/>
      <c r="BC222" s="284">
        <v>42847</v>
      </c>
      <c r="BD222" s="436" t="s">
        <v>2669</v>
      </c>
    </row>
    <row r="223" spans="1:56" s="2" customFormat="1" ht="15.95" customHeight="1" x14ac:dyDescent="0.25">
      <c r="A223" s="86">
        <v>221</v>
      </c>
      <c r="B223" s="84">
        <f t="shared" si="124"/>
        <v>42847</v>
      </c>
      <c r="C223" s="29" t="s">
        <v>614</v>
      </c>
      <c r="D223" s="59" t="s">
        <v>1439</v>
      </c>
      <c r="E223" s="273" t="s">
        <v>1110</v>
      </c>
      <c r="F223" s="274" t="s">
        <v>1019</v>
      </c>
      <c r="G223" s="274"/>
      <c r="H223" s="28" t="s">
        <v>603</v>
      </c>
      <c r="I223" s="20">
        <v>42080</v>
      </c>
      <c r="J223" s="240">
        <f t="shared" si="131"/>
        <v>2.1013698630136988</v>
      </c>
      <c r="K223" s="240">
        <f t="shared" si="126"/>
        <v>25.566666666666666</v>
      </c>
      <c r="L223" s="240">
        <f t="shared" si="127"/>
        <v>767</v>
      </c>
      <c r="M223" s="60">
        <v>42759</v>
      </c>
      <c r="N223" s="32">
        <v>42759</v>
      </c>
      <c r="O223" s="82">
        <f t="shared" si="132"/>
        <v>88</v>
      </c>
      <c r="P223" s="19">
        <v>1</v>
      </c>
      <c r="Q223" s="68" t="s">
        <v>1451</v>
      </c>
      <c r="R223" s="118" t="s">
        <v>2335</v>
      </c>
      <c r="S223" s="21">
        <v>42817</v>
      </c>
      <c r="T223" s="20">
        <v>42817</v>
      </c>
      <c r="U223" s="20">
        <f t="shared" si="133"/>
        <v>42835</v>
      </c>
      <c r="V223" s="19">
        <f t="shared" si="134"/>
        <v>12</v>
      </c>
      <c r="W223" s="3">
        <v>1</v>
      </c>
      <c r="X223" s="22">
        <f t="shared" si="128"/>
        <v>58</v>
      </c>
      <c r="Y223" s="22">
        <v>3</v>
      </c>
      <c r="Z223" s="22" t="str">
        <f t="shared" si="135"/>
        <v>-</v>
      </c>
      <c r="AA223" s="20">
        <f t="shared" si="136"/>
        <v>42852</v>
      </c>
      <c r="AB223" s="94">
        <f t="shared" si="137"/>
        <v>-5</v>
      </c>
      <c r="AC223" s="21"/>
      <c r="AD223" s="21" t="str">
        <f t="shared" si="138"/>
        <v>-</v>
      </c>
      <c r="AE223" s="21" t="str">
        <f t="shared" si="139"/>
        <v>-</v>
      </c>
      <c r="AF223" s="85"/>
      <c r="AG223" s="21" t="str">
        <f t="shared" si="140"/>
        <v>-</v>
      </c>
      <c r="AH223" s="21" t="str">
        <f t="shared" si="125"/>
        <v>-</v>
      </c>
      <c r="AI223" s="89" t="str">
        <f t="shared" si="141"/>
        <v>-</v>
      </c>
      <c r="AJ223" s="92">
        <v>1</v>
      </c>
      <c r="AK223" s="80" t="str">
        <f t="shared" si="142"/>
        <v>-</v>
      </c>
      <c r="AL223" s="80"/>
      <c r="AM223" s="22" t="str">
        <f t="shared" si="129"/>
        <v>-</v>
      </c>
      <c r="AN223" s="234"/>
      <c r="AO223" s="22" t="str">
        <f t="shared" si="130"/>
        <v>-</v>
      </c>
      <c r="AP223" s="121">
        <v>1</v>
      </c>
      <c r="BC223" s="284">
        <v>42847</v>
      </c>
      <c r="BD223" s="314" t="s">
        <v>2668</v>
      </c>
    </row>
    <row r="224" spans="1:56" s="2" customFormat="1" ht="15.95" customHeight="1" x14ac:dyDescent="0.25">
      <c r="A224" s="86">
        <v>222</v>
      </c>
      <c r="B224" s="84">
        <f t="shared" si="124"/>
        <v>42847</v>
      </c>
      <c r="C224" s="29" t="s">
        <v>613</v>
      </c>
      <c r="D224" s="59" t="s">
        <v>903</v>
      </c>
      <c r="E224" s="273" t="s">
        <v>1486</v>
      </c>
      <c r="F224" s="274" t="s">
        <v>1475</v>
      </c>
      <c r="G224" s="274"/>
      <c r="H224" s="28" t="s">
        <v>603</v>
      </c>
      <c r="I224" s="20">
        <v>42089</v>
      </c>
      <c r="J224" s="240">
        <f t="shared" si="131"/>
        <v>2.0767123287671234</v>
      </c>
      <c r="K224" s="240">
        <f t="shared" si="126"/>
        <v>25.266666666666666</v>
      </c>
      <c r="L224" s="240">
        <f t="shared" si="127"/>
        <v>758</v>
      </c>
      <c r="M224" s="60">
        <v>42780</v>
      </c>
      <c r="N224" s="32">
        <v>42780</v>
      </c>
      <c r="O224" s="82">
        <f t="shared" si="132"/>
        <v>67</v>
      </c>
      <c r="P224" s="19">
        <v>1</v>
      </c>
      <c r="Q224" s="68"/>
      <c r="R224" s="118"/>
      <c r="S224" s="21"/>
      <c r="T224" s="20"/>
      <c r="U224" s="20" t="str">
        <f t="shared" si="133"/>
        <v>-</v>
      </c>
      <c r="V224" s="19" t="str">
        <f t="shared" si="134"/>
        <v>-</v>
      </c>
      <c r="W224" s="3">
        <v>0</v>
      </c>
      <c r="X224" s="22" t="str">
        <f t="shared" si="128"/>
        <v>-</v>
      </c>
      <c r="Y224" s="22">
        <v>0</v>
      </c>
      <c r="Z224" s="22" t="str">
        <f t="shared" si="135"/>
        <v>-</v>
      </c>
      <c r="AA224" s="20" t="str">
        <f t="shared" si="136"/>
        <v>-</v>
      </c>
      <c r="AB224" s="94" t="str">
        <f t="shared" si="137"/>
        <v>---------</v>
      </c>
      <c r="AC224" s="21"/>
      <c r="AD224" s="21" t="str">
        <f t="shared" si="138"/>
        <v>-</v>
      </c>
      <c r="AE224" s="21" t="str">
        <f t="shared" si="139"/>
        <v>-</v>
      </c>
      <c r="AF224" s="85"/>
      <c r="AG224" s="21" t="str">
        <f t="shared" si="140"/>
        <v>-</v>
      </c>
      <c r="AH224" s="21" t="str">
        <f t="shared" si="125"/>
        <v>-</v>
      </c>
      <c r="AI224" s="89" t="str">
        <f t="shared" si="141"/>
        <v>-</v>
      </c>
      <c r="AJ224" s="92">
        <v>1</v>
      </c>
      <c r="AK224" s="80" t="str">
        <f t="shared" si="142"/>
        <v>-</v>
      </c>
      <c r="AL224" s="80"/>
      <c r="AM224" s="22" t="str">
        <f t="shared" si="129"/>
        <v>-</v>
      </c>
      <c r="AN224" s="234"/>
      <c r="AO224" s="22" t="str">
        <f t="shared" si="130"/>
        <v>-</v>
      </c>
      <c r="AP224" s="121">
        <v>1</v>
      </c>
      <c r="AU224" s="1"/>
      <c r="AV224" s="1"/>
      <c r="AW224" s="1"/>
      <c r="AX224" s="1"/>
      <c r="AY224" s="1"/>
      <c r="AZ224" s="1"/>
      <c r="BA224" s="1"/>
      <c r="BB224" s="1"/>
      <c r="BC224" s="284">
        <v>42847</v>
      </c>
      <c r="BD224" s="436" t="s">
        <v>2668</v>
      </c>
    </row>
    <row r="225" spans="1:56" s="2" customFormat="1" ht="15.95" customHeight="1" x14ac:dyDescent="0.25">
      <c r="A225" s="86">
        <v>223</v>
      </c>
      <c r="B225" s="84">
        <f t="shared" si="124"/>
        <v>42847</v>
      </c>
      <c r="C225" s="29" t="s">
        <v>614</v>
      </c>
      <c r="D225" s="59" t="s">
        <v>504</v>
      </c>
      <c r="E225" s="273" t="s">
        <v>866</v>
      </c>
      <c r="F225" s="239" t="s">
        <v>867</v>
      </c>
      <c r="G225" s="239"/>
      <c r="H225" s="28" t="s">
        <v>603</v>
      </c>
      <c r="I225" s="20">
        <v>40332</v>
      </c>
      <c r="J225" s="240">
        <f t="shared" si="131"/>
        <v>6.8904109589041092</v>
      </c>
      <c r="K225" s="240">
        <f t="shared" si="126"/>
        <v>83.833333333333329</v>
      </c>
      <c r="L225" s="240">
        <f t="shared" si="127"/>
        <v>2515</v>
      </c>
      <c r="M225" s="60">
        <v>41351</v>
      </c>
      <c r="N225" s="32">
        <v>42686</v>
      </c>
      <c r="O225" s="82">
        <f t="shared" si="132"/>
        <v>161</v>
      </c>
      <c r="P225" s="19">
        <v>4</v>
      </c>
      <c r="Q225" s="68" t="s">
        <v>1451</v>
      </c>
      <c r="R225" s="118" t="s">
        <v>1816</v>
      </c>
      <c r="S225" s="21">
        <v>42747</v>
      </c>
      <c r="T225" s="20">
        <v>42752</v>
      </c>
      <c r="U225" s="20" t="str">
        <f t="shared" si="133"/>
        <v>-</v>
      </c>
      <c r="V225" s="19" t="str">
        <f t="shared" si="134"/>
        <v>-</v>
      </c>
      <c r="W225" s="3">
        <v>2</v>
      </c>
      <c r="X225" s="22">
        <f t="shared" si="128"/>
        <v>66</v>
      </c>
      <c r="Y225" s="22">
        <v>1</v>
      </c>
      <c r="Z225" s="22" t="str">
        <f t="shared" si="135"/>
        <v>-</v>
      </c>
      <c r="AA225" s="20" t="str">
        <f t="shared" si="136"/>
        <v>-</v>
      </c>
      <c r="AB225" s="94" t="str">
        <f t="shared" si="137"/>
        <v>---------</v>
      </c>
      <c r="AC225" s="21">
        <v>42787</v>
      </c>
      <c r="AD225" s="21">
        <f t="shared" si="138"/>
        <v>42942</v>
      </c>
      <c r="AE225" s="21">
        <f t="shared" si="139"/>
        <v>42972</v>
      </c>
      <c r="AF225" s="85"/>
      <c r="AG225" s="21">
        <f t="shared" si="140"/>
        <v>43011</v>
      </c>
      <c r="AH225" s="21">
        <f t="shared" si="125"/>
        <v>43032</v>
      </c>
      <c r="AI225" s="89">
        <f t="shared" si="141"/>
        <v>-185</v>
      </c>
      <c r="AJ225" s="92">
        <v>1</v>
      </c>
      <c r="AK225" s="80" t="str">
        <f t="shared" si="142"/>
        <v>-</v>
      </c>
      <c r="AL225" s="80"/>
      <c r="AM225" s="22" t="str">
        <f t="shared" si="129"/>
        <v>-</v>
      </c>
      <c r="AN225" s="234"/>
      <c r="AO225" s="22" t="str">
        <f t="shared" si="130"/>
        <v>-</v>
      </c>
      <c r="AP225" s="121">
        <v>1</v>
      </c>
      <c r="BC225" s="284">
        <v>42847</v>
      </c>
      <c r="BD225" s="436" t="s">
        <v>2668</v>
      </c>
    </row>
    <row r="226" spans="1:56" s="2" customFormat="1" ht="15.95" customHeight="1" x14ac:dyDescent="0.25">
      <c r="A226" s="86">
        <v>224</v>
      </c>
      <c r="B226" s="84">
        <f t="shared" si="124"/>
        <v>42855</v>
      </c>
      <c r="C226" s="29" t="s">
        <v>2404</v>
      </c>
      <c r="D226" s="59" t="s">
        <v>1456</v>
      </c>
      <c r="E226" s="22" t="s">
        <v>697</v>
      </c>
      <c r="F226" s="27" t="s">
        <v>935</v>
      </c>
      <c r="G226" s="27"/>
      <c r="H226" s="28" t="s">
        <v>620</v>
      </c>
      <c r="I226" s="20">
        <v>41597</v>
      </c>
      <c r="J226" s="240">
        <f t="shared" si="131"/>
        <v>3.4465753424657533</v>
      </c>
      <c r="K226" s="240">
        <f t="shared" si="126"/>
        <v>41.93333333333333</v>
      </c>
      <c r="L226" s="240">
        <f t="shared" si="127"/>
        <v>1258</v>
      </c>
      <c r="M226" s="61">
        <v>42441</v>
      </c>
      <c r="N226" s="32">
        <v>42831</v>
      </c>
      <c r="O226" s="82">
        <f t="shared" si="132"/>
        <v>24</v>
      </c>
      <c r="P226" s="19">
        <v>2</v>
      </c>
      <c r="Q226" s="68"/>
      <c r="R226" s="118"/>
      <c r="S226" s="21"/>
      <c r="T226" s="20"/>
      <c r="U226" s="20" t="str">
        <f t="shared" si="133"/>
        <v>-</v>
      </c>
      <c r="V226" s="19" t="str">
        <f t="shared" si="134"/>
        <v>-</v>
      </c>
      <c r="W226" s="3">
        <v>0</v>
      </c>
      <c r="X226" s="22" t="str">
        <f t="shared" si="128"/>
        <v>-</v>
      </c>
      <c r="Y226" s="22">
        <v>0</v>
      </c>
      <c r="Z226" s="22" t="str">
        <f t="shared" si="135"/>
        <v>-</v>
      </c>
      <c r="AA226" s="20" t="str">
        <f t="shared" si="136"/>
        <v>-</v>
      </c>
      <c r="AB226" s="94" t="str">
        <f t="shared" si="137"/>
        <v>---------</v>
      </c>
      <c r="AC226" s="21"/>
      <c r="AD226" s="21" t="str">
        <f t="shared" si="138"/>
        <v>-</v>
      </c>
      <c r="AE226" s="21" t="str">
        <f t="shared" si="139"/>
        <v>-</v>
      </c>
      <c r="AF226" s="85"/>
      <c r="AG226" s="21" t="str">
        <f t="shared" si="140"/>
        <v>-</v>
      </c>
      <c r="AH226" s="21" t="str">
        <f t="shared" si="125"/>
        <v>-</v>
      </c>
      <c r="AI226" s="89" t="str">
        <f t="shared" si="141"/>
        <v>-</v>
      </c>
      <c r="AJ226" s="92">
        <v>1</v>
      </c>
      <c r="AK226" s="80" t="str">
        <f t="shared" si="142"/>
        <v>-</v>
      </c>
      <c r="AL226" s="80"/>
      <c r="AM226" s="22" t="str">
        <f t="shared" si="129"/>
        <v>-</v>
      </c>
      <c r="AN226" s="234"/>
      <c r="AO226" s="22" t="str">
        <f t="shared" si="130"/>
        <v>-</v>
      </c>
      <c r="AP226" s="121"/>
      <c r="AU226" s="1"/>
      <c r="AV226" s="1"/>
      <c r="AW226" s="1"/>
      <c r="AX226" s="1"/>
      <c r="AY226" s="1"/>
      <c r="AZ226" s="1"/>
      <c r="BA226" s="1"/>
      <c r="BB226" s="1"/>
      <c r="BC226" s="284">
        <v>42855</v>
      </c>
      <c r="BD226" s="436" t="s">
        <v>2684</v>
      </c>
    </row>
    <row r="227" spans="1:56" s="2" customFormat="1" ht="15.95" customHeight="1" x14ac:dyDescent="0.25">
      <c r="A227" s="86">
        <v>225</v>
      </c>
      <c r="B227" s="84">
        <f t="shared" si="124"/>
        <v>42855</v>
      </c>
      <c r="C227" s="29" t="s">
        <v>614</v>
      </c>
      <c r="D227" s="59" t="s">
        <v>1439</v>
      </c>
      <c r="E227" s="22" t="s">
        <v>1122</v>
      </c>
      <c r="F227" s="27" t="s">
        <v>1038</v>
      </c>
      <c r="G227" s="27"/>
      <c r="H227" s="28" t="s">
        <v>603</v>
      </c>
      <c r="I227" s="20">
        <v>42051</v>
      </c>
      <c r="J227" s="240">
        <f t="shared" si="131"/>
        <v>2.2027397260273971</v>
      </c>
      <c r="K227" s="240">
        <f t="shared" si="126"/>
        <v>26.8</v>
      </c>
      <c r="L227" s="240">
        <f t="shared" si="127"/>
        <v>804</v>
      </c>
      <c r="M227" s="60">
        <v>42748</v>
      </c>
      <c r="N227" s="32">
        <v>42748</v>
      </c>
      <c r="O227" s="82">
        <f t="shared" si="132"/>
        <v>107</v>
      </c>
      <c r="P227" s="19">
        <v>1</v>
      </c>
      <c r="Q227" s="68" t="s">
        <v>1451</v>
      </c>
      <c r="R227" s="118" t="s">
        <v>2335</v>
      </c>
      <c r="S227" s="21">
        <v>42810</v>
      </c>
      <c r="T227" s="20">
        <v>42810</v>
      </c>
      <c r="U227" s="20" t="str">
        <f t="shared" si="133"/>
        <v>-</v>
      </c>
      <c r="V227" s="19" t="str">
        <f t="shared" si="134"/>
        <v>-</v>
      </c>
      <c r="W227" s="3">
        <v>1</v>
      </c>
      <c r="X227" s="22">
        <f t="shared" si="128"/>
        <v>62</v>
      </c>
      <c r="Y227" s="22">
        <v>1</v>
      </c>
      <c r="Z227" s="22" t="str">
        <f t="shared" si="135"/>
        <v>-</v>
      </c>
      <c r="AA227" s="20" t="str">
        <f t="shared" si="136"/>
        <v>-</v>
      </c>
      <c r="AB227" s="94" t="str">
        <f t="shared" si="137"/>
        <v>---------</v>
      </c>
      <c r="AC227" s="21">
        <v>42845</v>
      </c>
      <c r="AD227" s="21">
        <f t="shared" si="138"/>
        <v>43000</v>
      </c>
      <c r="AE227" s="21">
        <f t="shared" si="139"/>
        <v>43030</v>
      </c>
      <c r="AF227" s="85"/>
      <c r="AG227" s="21">
        <f t="shared" si="140"/>
        <v>43069</v>
      </c>
      <c r="AH227" s="21">
        <f t="shared" si="125"/>
        <v>43090</v>
      </c>
      <c r="AI227" s="89">
        <f t="shared" si="141"/>
        <v>-235</v>
      </c>
      <c r="AJ227" s="92">
        <v>1</v>
      </c>
      <c r="AK227" s="80" t="str">
        <f t="shared" si="142"/>
        <v>-</v>
      </c>
      <c r="AL227" s="80"/>
      <c r="AM227" s="22" t="str">
        <f t="shared" si="129"/>
        <v>-</v>
      </c>
      <c r="AN227" s="234"/>
      <c r="AO227" s="22" t="str">
        <f t="shared" si="130"/>
        <v>-</v>
      </c>
      <c r="AP227" s="121"/>
      <c r="BC227" s="284">
        <v>42855</v>
      </c>
      <c r="BD227" s="314" t="s">
        <v>2685</v>
      </c>
    </row>
    <row r="228" spans="1:56" s="2" customFormat="1" ht="15.95" customHeight="1" x14ac:dyDescent="0.25">
      <c r="A228" s="86">
        <v>226</v>
      </c>
      <c r="B228" s="84">
        <f t="shared" si="124"/>
        <v>42855</v>
      </c>
      <c r="C228" s="29" t="s">
        <v>614</v>
      </c>
      <c r="D228" s="59" t="s">
        <v>1439</v>
      </c>
      <c r="E228" s="22" t="s">
        <v>937</v>
      </c>
      <c r="F228" s="27" t="s">
        <v>938</v>
      </c>
      <c r="G228" s="27"/>
      <c r="H228" s="28" t="s">
        <v>603</v>
      </c>
      <c r="I228" s="20">
        <v>41586</v>
      </c>
      <c r="J228" s="240">
        <f t="shared" si="131"/>
        <v>3.4767123287671233</v>
      </c>
      <c r="K228" s="240">
        <f t="shared" si="126"/>
        <v>42.3</v>
      </c>
      <c r="L228" s="240">
        <f t="shared" si="127"/>
        <v>1269</v>
      </c>
      <c r="M228" s="61">
        <v>42448</v>
      </c>
      <c r="N228" s="32">
        <v>42817</v>
      </c>
      <c r="O228" s="82">
        <f t="shared" si="132"/>
        <v>38</v>
      </c>
      <c r="P228" s="19">
        <v>2</v>
      </c>
      <c r="Q228" s="68"/>
      <c r="R228" s="118"/>
      <c r="S228" s="21"/>
      <c r="T228" s="20"/>
      <c r="U228" s="20" t="str">
        <f t="shared" si="133"/>
        <v>-</v>
      </c>
      <c r="V228" s="19" t="str">
        <f t="shared" si="134"/>
        <v>-</v>
      </c>
      <c r="W228" s="3">
        <v>0</v>
      </c>
      <c r="X228" s="22" t="str">
        <f t="shared" si="128"/>
        <v>-</v>
      </c>
      <c r="Y228" s="22">
        <v>0</v>
      </c>
      <c r="Z228" s="22" t="str">
        <f t="shared" si="135"/>
        <v>-</v>
      </c>
      <c r="AA228" s="20" t="str">
        <f t="shared" si="136"/>
        <v>-</v>
      </c>
      <c r="AB228" s="94" t="str">
        <f t="shared" si="137"/>
        <v>---------</v>
      </c>
      <c r="AC228" s="21"/>
      <c r="AD228" s="21" t="str">
        <f t="shared" si="138"/>
        <v>-</v>
      </c>
      <c r="AE228" s="21" t="str">
        <f t="shared" si="139"/>
        <v>-</v>
      </c>
      <c r="AF228" s="85"/>
      <c r="AG228" s="21" t="str">
        <f t="shared" si="140"/>
        <v>-</v>
      </c>
      <c r="AH228" s="21" t="str">
        <f t="shared" si="125"/>
        <v>-</v>
      </c>
      <c r="AI228" s="89" t="str">
        <f t="shared" si="141"/>
        <v>-</v>
      </c>
      <c r="AJ228" s="92">
        <v>1</v>
      </c>
      <c r="AK228" s="80" t="str">
        <f t="shared" si="142"/>
        <v>-</v>
      </c>
      <c r="AL228" s="80"/>
      <c r="AM228" s="22" t="str">
        <f t="shared" si="129"/>
        <v>-</v>
      </c>
      <c r="AN228" s="234"/>
      <c r="AO228" s="22" t="str">
        <f t="shared" si="130"/>
        <v>-</v>
      </c>
      <c r="AP228" s="121"/>
      <c r="BC228" s="284">
        <v>42855</v>
      </c>
      <c r="BD228" s="314" t="s">
        <v>2692</v>
      </c>
    </row>
    <row r="229" spans="1:56" s="2" customFormat="1" ht="15.95" customHeight="1" x14ac:dyDescent="0.25">
      <c r="A229" s="86">
        <v>227</v>
      </c>
      <c r="B229" s="84">
        <f t="shared" si="124"/>
        <v>42865</v>
      </c>
      <c r="C229" s="29" t="s">
        <v>614</v>
      </c>
      <c r="D229" s="59" t="s">
        <v>909</v>
      </c>
      <c r="E229" s="22" t="s">
        <v>1092</v>
      </c>
      <c r="F229" s="27" t="s">
        <v>1004</v>
      </c>
      <c r="G229" s="27"/>
      <c r="H229" s="28" t="s">
        <v>603</v>
      </c>
      <c r="I229" s="20">
        <v>42000</v>
      </c>
      <c r="J229" s="240">
        <f t="shared" si="131"/>
        <v>2.3698630136986303</v>
      </c>
      <c r="K229" s="240">
        <f t="shared" si="126"/>
        <v>28.833333333333332</v>
      </c>
      <c r="L229" s="240">
        <f t="shared" si="127"/>
        <v>865</v>
      </c>
      <c r="M229" s="60">
        <v>42791</v>
      </c>
      <c r="N229" s="32">
        <v>42791</v>
      </c>
      <c r="O229" s="82">
        <f t="shared" si="132"/>
        <v>74</v>
      </c>
      <c r="P229" s="19">
        <v>1</v>
      </c>
      <c r="Q229" s="68"/>
      <c r="R229" s="118"/>
      <c r="S229" s="21"/>
      <c r="T229" s="20"/>
      <c r="U229" s="20" t="str">
        <f t="shared" si="133"/>
        <v>-</v>
      </c>
      <c r="V229" s="19" t="str">
        <f t="shared" si="134"/>
        <v>-</v>
      </c>
      <c r="W229" s="3">
        <v>0</v>
      </c>
      <c r="X229" s="22" t="str">
        <f t="shared" si="128"/>
        <v>-</v>
      </c>
      <c r="Y229" s="22">
        <v>0</v>
      </c>
      <c r="Z229" s="22" t="str">
        <f t="shared" si="135"/>
        <v>-</v>
      </c>
      <c r="AA229" s="20" t="str">
        <f t="shared" si="136"/>
        <v>-</v>
      </c>
      <c r="AB229" s="94" t="str">
        <f t="shared" si="137"/>
        <v>---------</v>
      </c>
      <c r="AC229" s="21"/>
      <c r="AD229" s="21" t="str">
        <f t="shared" si="138"/>
        <v>-</v>
      </c>
      <c r="AE229" s="21" t="str">
        <f t="shared" si="139"/>
        <v>-</v>
      </c>
      <c r="AF229" s="85"/>
      <c r="AG229" s="21" t="str">
        <f t="shared" si="140"/>
        <v>-</v>
      </c>
      <c r="AH229" s="21" t="str">
        <f t="shared" si="125"/>
        <v>-</v>
      </c>
      <c r="AI229" s="89" t="str">
        <f t="shared" si="141"/>
        <v>-</v>
      </c>
      <c r="AJ229" s="92">
        <v>1</v>
      </c>
      <c r="AK229" s="80" t="str">
        <f t="shared" si="142"/>
        <v>-</v>
      </c>
      <c r="AL229" s="80"/>
      <c r="AM229" s="22" t="str">
        <f t="shared" si="129"/>
        <v>-</v>
      </c>
      <c r="AN229" s="234"/>
      <c r="AO229" s="22" t="str">
        <f t="shared" si="130"/>
        <v>-</v>
      </c>
      <c r="AP229" s="121"/>
      <c r="BC229" s="284">
        <v>42865</v>
      </c>
      <c r="BD229" s="288" t="s">
        <v>2717</v>
      </c>
    </row>
    <row r="230" spans="1:56" s="2" customFormat="1" ht="15.95" customHeight="1" x14ac:dyDescent="0.25">
      <c r="A230" s="86">
        <v>228</v>
      </c>
      <c r="B230" s="84">
        <f t="shared" si="124"/>
        <v>42865</v>
      </c>
      <c r="C230" s="29" t="s">
        <v>614</v>
      </c>
      <c r="D230" s="59" t="s">
        <v>2658</v>
      </c>
      <c r="E230" s="22" t="s">
        <v>488</v>
      </c>
      <c r="F230" s="27" t="s">
        <v>1029</v>
      </c>
      <c r="G230" s="27"/>
      <c r="H230" s="28" t="s">
        <v>603</v>
      </c>
      <c r="I230" s="20">
        <v>42060</v>
      </c>
      <c r="J230" s="240">
        <f t="shared" si="131"/>
        <v>2.2054794520547945</v>
      </c>
      <c r="K230" s="240">
        <f t="shared" si="126"/>
        <v>26.833333333333332</v>
      </c>
      <c r="L230" s="240">
        <f t="shared" si="127"/>
        <v>805</v>
      </c>
      <c r="M230" s="60">
        <v>42739</v>
      </c>
      <c r="N230" s="32">
        <v>42739</v>
      </c>
      <c r="O230" s="82">
        <f t="shared" si="132"/>
        <v>126</v>
      </c>
      <c r="P230" s="19">
        <v>1</v>
      </c>
      <c r="Q230" s="68" t="s">
        <v>1451</v>
      </c>
      <c r="R230" s="118" t="s">
        <v>2335</v>
      </c>
      <c r="S230" s="21">
        <v>42817</v>
      </c>
      <c r="T230" s="20">
        <v>42817</v>
      </c>
      <c r="U230" s="20" t="str">
        <f t="shared" si="133"/>
        <v>-</v>
      </c>
      <c r="V230" s="19" t="str">
        <f t="shared" si="134"/>
        <v>-</v>
      </c>
      <c r="W230" s="3">
        <v>1</v>
      </c>
      <c r="X230" s="22">
        <f t="shared" si="128"/>
        <v>78</v>
      </c>
      <c r="Y230" s="22">
        <v>0</v>
      </c>
      <c r="Z230" s="22" t="str">
        <f t="shared" si="135"/>
        <v>-</v>
      </c>
      <c r="AA230" s="20" t="str">
        <f t="shared" si="136"/>
        <v>-</v>
      </c>
      <c r="AB230" s="94" t="str">
        <f t="shared" si="137"/>
        <v>---------</v>
      </c>
      <c r="AC230" s="21">
        <v>42859</v>
      </c>
      <c r="AD230" s="21" t="str">
        <f t="shared" si="138"/>
        <v>-</v>
      </c>
      <c r="AE230" s="21" t="str">
        <f t="shared" si="139"/>
        <v>-</v>
      </c>
      <c r="AF230" s="85"/>
      <c r="AG230" s="21" t="str">
        <f t="shared" si="140"/>
        <v>-</v>
      </c>
      <c r="AH230" s="21" t="str">
        <f t="shared" si="125"/>
        <v>-</v>
      </c>
      <c r="AI230" s="89" t="str">
        <f t="shared" si="141"/>
        <v>-</v>
      </c>
      <c r="AJ230" s="92">
        <v>1</v>
      </c>
      <c r="AK230" s="80" t="s">
        <v>1863</v>
      </c>
      <c r="AL230" s="80"/>
      <c r="AM230" s="22" t="str">
        <f t="shared" si="129"/>
        <v>-</v>
      </c>
      <c r="AN230" s="234"/>
      <c r="AO230" s="22" t="str">
        <f t="shared" si="130"/>
        <v>-</v>
      </c>
      <c r="AP230" s="121"/>
      <c r="AU230" s="1"/>
      <c r="AV230" s="1"/>
      <c r="AW230" s="1"/>
      <c r="AX230" s="1"/>
      <c r="AY230" s="1"/>
      <c r="AZ230" s="1"/>
      <c r="BA230" s="1"/>
      <c r="BB230" s="1"/>
      <c r="BC230" s="284">
        <v>42865</v>
      </c>
      <c r="BD230" s="288" t="s">
        <v>2718</v>
      </c>
    </row>
    <row r="231" spans="1:56" s="2" customFormat="1" ht="15.95" customHeight="1" x14ac:dyDescent="0.25">
      <c r="A231" s="86">
        <v>229</v>
      </c>
      <c r="B231" s="84">
        <f t="shared" si="124"/>
        <v>42873</v>
      </c>
      <c r="C231" s="29" t="s">
        <v>2404</v>
      </c>
      <c r="D231" s="59" t="s">
        <v>1456</v>
      </c>
      <c r="E231" s="22" t="s">
        <v>352</v>
      </c>
      <c r="F231" s="239" t="s">
        <v>353</v>
      </c>
      <c r="G231" s="239"/>
      <c r="H231" s="28" t="s">
        <v>603</v>
      </c>
      <c r="I231" s="20">
        <v>40563</v>
      </c>
      <c r="J231" s="240">
        <f t="shared" si="131"/>
        <v>6.3287671232876717</v>
      </c>
      <c r="K231" s="240">
        <f t="shared" si="126"/>
        <v>77</v>
      </c>
      <c r="L231" s="240">
        <f t="shared" si="127"/>
        <v>2310</v>
      </c>
      <c r="M231" s="60">
        <v>41374</v>
      </c>
      <c r="N231" s="32">
        <v>42873</v>
      </c>
      <c r="O231" s="82">
        <f t="shared" si="132"/>
        <v>0</v>
      </c>
      <c r="P231" s="19">
        <v>5</v>
      </c>
      <c r="Q231" s="68"/>
      <c r="R231" s="118"/>
      <c r="S231" s="21"/>
      <c r="T231" s="20"/>
      <c r="U231" s="20" t="str">
        <f t="shared" si="133"/>
        <v>-</v>
      </c>
      <c r="V231" s="19" t="str">
        <f t="shared" si="134"/>
        <v>-</v>
      </c>
      <c r="W231" s="3">
        <v>0</v>
      </c>
      <c r="X231" s="22" t="str">
        <f t="shared" si="128"/>
        <v>-</v>
      </c>
      <c r="Y231" s="22">
        <v>0</v>
      </c>
      <c r="Z231" s="22" t="str">
        <f t="shared" si="135"/>
        <v>-</v>
      </c>
      <c r="AA231" s="20" t="str">
        <f t="shared" si="136"/>
        <v>-</v>
      </c>
      <c r="AB231" s="94" t="str">
        <f t="shared" si="137"/>
        <v>---------</v>
      </c>
      <c r="AC231" s="21"/>
      <c r="AD231" s="21" t="str">
        <f t="shared" si="138"/>
        <v>-</v>
      </c>
      <c r="AE231" s="21" t="str">
        <f t="shared" si="139"/>
        <v>-</v>
      </c>
      <c r="AF231" s="85"/>
      <c r="AG231" s="21" t="str">
        <f t="shared" si="140"/>
        <v>-</v>
      </c>
      <c r="AH231" s="21" t="str">
        <f t="shared" si="125"/>
        <v>-</v>
      </c>
      <c r="AI231" s="89" t="str">
        <f t="shared" si="141"/>
        <v>-</v>
      </c>
      <c r="AJ231" s="92">
        <v>1</v>
      </c>
      <c r="AK231" s="80" t="str">
        <f t="shared" ref="AK231:AK257" si="143">IF(AND(Z231="яловая",O231&gt;300),"БРАК","-")</f>
        <v>-</v>
      </c>
      <c r="AL231" s="80"/>
      <c r="AM231" s="22" t="str">
        <f t="shared" si="129"/>
        <v>-</v>
      </c>
      <c r="AN231" s="234"/>
      <c r="AO231" s="22" t="str">
        <f t="shared" si="130"/>
        <v>-</v>
      </c>
      <c r="AP231" s="121">
        <v>1</v>
      </c>
      <c r="BC231" s="317">
        <v>42873</v>
      </c>
      <c r="BD231" s="314" t="s">
        <v>2743</v>
      </c>
    </row>
    <row r="232" spans="1:56" s="2" customFormat="1" ht="15.95" customHeight="1" x14ac:dyDescent="0.25">
      <c r="A232" s="86">
        <v>230</v>
      </c>
      <c r="B232" s="84">
        <f t="shared" si="124"/>
        <v>42877</v>
      </c>
      <c r="C232" s="29" t="s">
        <v>2404</v>
      </c>
      <c r="D232" s="59" t="s">
        <v>2432</v>
      </c>
      <c r="E232" s="22" t="s">
        <v>83</v>
      </c>
      <c r="F232" s="239" t="s">
        <v>107</v>
      </c>
      <c r="G232" s="239"/>
      <c r="H232" s="28" t="s">
        <v>603</v>
      </c>
      <c r="I232" s="20">
        <v>40151</v>
      </c>
      <c r="J232" s="240">
        <f t="shared" si="131"/>
        <v>7.4684931506849317</v>
      </c>
      <c r="K232" s="240">
        <f t="shared" si="126"/>
        <v>90.86666666666666</v>
      </c>
      <c r="L232" s="240">
        <f t="shared" si="127"/>
        <v>2726</v>
      </c>
      <c r="M232" s="60">
        <v>41164</v>
      </c>
      <c r="N232" s="32">
        <v>42509</v>
      </c>
      <c r="O232" s="82">
        <f t="shared" si="132"/>
        <v>368</v>
      </c>
      <c r="P232" s="19">
        <v>4</v>
      </c>
      <c r="Q232" s="68" t="s">
        <v>1448</v>
      </c>
      <c r="R232" s="118" t="s">
        <v>1816</v>
      </c>
      <c r="S232" s="21">
        <v>42609</v>
      </c>
      <c r="T232" s="20">
        <v>42609</v>
      </c>
      <c r="U232" s="20" t="str">
        <f t="shared" si="133"/>
        <v>-</v>
      </c>
      <c r="V232" s="19" t="str">
        <f t="shared" si="134"/>
        <v>-</v>
      </c>
      <c r="W232" s="3">
        <v>1</v>
      </c>
      <c r="X232" s="22">
        <f t="shared" si="128"/>
        <v>100</v>
      </c>
      <c r="Y232" s="22">
        <v>1</v>
      </c>
      <c r="Z232" s="22" t="str">
        <f t="shared" si="135"/>
        <v>-</v>
      </c>
      <c r="AA232" s="20" t="str">
        <f t="shared" si="136"/>
        <v>-</v>
      </c>
      <c r="AB232" s="94" t="str">
        <f t="shared" si="137"/>
        <v>---------</v>
      </c>
      <c r="AC232" s="21">
        <v>42644</v>
      </c>
      <c r="AD232" s="21">
        <f t="shared" si="138"/>
        <v>42799</v>
      </c>
      <c r="AE232" s="21">
        <f t="shared" si="139"/>
        <v>42829</v>
      </c>
      <c r="AF232" s="85">
        <v>42716</v>
      </c>
      <c r="AG232" s="21">
        <f t="shared" si="140"/>
        <v>42868</v>
      </c>
      <c r="AH232" s="21">
        <f t="shared" ref="AH232:AH257" si="144">IF(AND(T232&gt;0,Y232=1),T232+280,"-")</f>
        <v>42889</v>
      </c>
      <c r="AI232" s="89">
        <f t="shared" si="141"/>
        <v>-12</v>
      </c>
      <c r="AJ232" s="92">
        <v>1</v>
      </c>
      <c r="AK232" s="80" t="str">
        <f t="shared" si="143"/>
        <v>-</v>
      </c>
      <c r="AL232" s="80"/>
      <c r="AM232" s="22" t="str">
        <f t="shared" si="129"/>
        <v>-</v>
      </c>
      <c r="AN232" s="234"/>
      <c r="AO232" s="22" t="str">
        <f t="shared" si="130"/>
        <v>DRY COW</v>
      </c>
      <c r="AP232" s="121">
        <v>1</v>
      </c>
      <c r="BC232" s="317">
        <v>42877</v>
      </c>
      <c r="BD232" s="314" t="s">
        <v>2748</v>
      </c>
    </row>
    <row r="233" spans="1:56" s="2" customFormat="1" ht="15.95" customHeight="1" x14ac:dyDescent="0.25">
      <c r="A233" s="86">
        <v>231</v>
      </c>
      <c r="B233" s="84">
        <f t="shared" si="124"/>
        <v>42877</v>
      </c>
      <c r="C233" s="29" t="s">
        <v>615</v>
      </c>
      <c r="D233" s="59" t="s">
        <v>1633</v>
      </c>
      <c r="E233" s="22" t="s">
        <v>296</v>
      </c>
      <c r="F233" s="239" t="s">
        <v>297</v>
      </c>
      <c r="G233" s="27"/>
      <c r="H233" s="28" t="s">
        <v>603</v>
      </c>
      <c r="I233" s="20">
        <v>41108</v>
      </c>
      <c r="J233" s="240">
        <f t="shared" si="131"/>
        <v>4.8465753424657532</v>
      </c>
      <c r="K233" s="240">
        <f t="shared" si="126"/>
        <v>58.966666666666669</v>
      </c>
      <c r="L233" s="240">
        <f t="shared" si="127"/>
        <v>1769</v>
      </c>
      <c r="M233" s="60">
        <v>42036</v>
      </c>
      <c r="N233" s="32">
        <v>42539</v>
      </c>
      <c r="O233" s="82">
        <f t="shared" si="132"/>
        <v>338</v>
      </c>
      <c r="P233" s="19">
        <v>2</v>
      </c>
      <c r="Q233" s="68" t="s">
        <v>1448</v>
      </c>
      <c r="R233" s="118" t="s">
        <v>1816</v>
      </c>
      <c r="S233" s="21">
        <v>42615</v>
      </c>
      <c r="T233" s="20">
        <v>42615</v>
      </c>
      <c r="U233" s="20" t="str">
        <f t="shared" si="133"/>
        <v>-</v>
      </c>
      <c r="V233" s="19" t="str">
        <f t="shared" si="134"/>
        <v>-</v>
      </c>
      <c r="W233" s="3">
        <v>1</v>
      </c>
      <c r="X233" s="22">
        <f t="shared" si="128"/>
        <v>76</v>
      </c>
      <c r="Y233" s="22">
        <v>0</v>
      </c>
      <c r="Z233" s="22" t="str">
        <f t="shared" si="135"/>
        <v>яловая</v>
      </c>
      <c r="AA233" s="20" t="str">
        <f t="shared" si="136"/>
        <v>-</v>
      </c>
      <c r="AB233" s="94" t="str">
        <f t="shared" si="137"/>
        <v>---------</v>
      </c>
      <c r="AC233" s="21">
        <v>42663</v>
      </c>
      <c r="AD233" s="21" t="str">
        <f t="shared" si="138"/>
        <v>-</v>
      </c>
      <c r="AE233" s="21" t="str">
        <f t="shared" si="139"/>
        <v>-</v>
      </c>
      <c r="AF233" s="85"/>
      <c r="AG233" s="21" t="str">
        <f t="shared" si="140"/>
        <v>-</v>
      </c>
      <c r="AH233" s="21" t="str">
        <f t="shared" si="144"/>
        <v>-</v>
      </c>
      <c r="AI233" s="89" t="str">
        <f t="shared" si="141"/>
        <v>-</v>
      </c>
      <c r="AJ233" s="92">
        <v>1</v>
      </c>
      <c r="AK233" s="80" t="str">
        <f t="shared" si="143"/>
        <v>БРАК</v>
      </c>
      <c r="AL233" s="80" t="s">
        <v>1863</v>
      </c>
      <c r="AM233" s="22" t="str">
        <f t="shared" si="129"/>
        <v>-</v>
      </c>
      <c r="AN233" s="234"/>
      <c r="AO233" s="22" t="str">
        <f t="shared" si="130"/>
        <v>-</v>
      </c>
      <c r="AP233" s="121">
        <v>1</v>
      </c>
      <c r="BC233" s="317">
        <v>42877</v>
      </c>
      <c r="BD233" s="314" t="s">
        <v>2361</v>
      </c>
    </row>
    <row r="234" spans="1:56" s="2" customFormat="1" ht="15.95" customHeight="1" x14ac:dyDescent="0.25">
      <c r="A234" s="86">
        <v>232</v>
      </c>
      <c r="B234" s="84">
        <f t="shared" si="124"/>
        <v>42877</v>
      </c>
      <c r="C234" s="29" t="s">
        <v>613</v>
      </c>
      <c r="D234" s="59" t="s">
        <v>2181</v>
      </c>
      <c r="E234" s="22" t="s">
        <v>775</v>
      </c>
      <c r="F234" s="27" t="s">
        <v>776</v>
      </c>
      <c r="G234" s="27"/>
      <c r="H234" s="28" t="s">
        <v>603</v>
      </c>
      <c r="I234" s="20">
        <v>40633</v>
      </c>
      <c r="J234" s="240">
        <f t="shared" si="131"/>
        <v>6.1479452054794521</v>
      </c>
      <c r="K234" s="240">
        <f t="shared" si="126"/>
        <v>74.8</v>
      </c>
      <c r="L234" s="240">
        <f t="shared" si="127"/>
        <v>2244</v>
      </c>
      <c r="M234" s="60">
        <v>41677</v>
      </c>
      <c r="N234" s="32">
        <v>42549</v>
      </c>
      <c r="O234" s="82">
        <f t="shared" si="132"/>
        <v>328</v>
      </c>
      <c r="P234" s="19">
        <v>3</v>
      </c>
      <c r="Q234" s="68" t="s">
        <v>1451</v>
      </c>
      <c r="R234" s="118" t="s">
        <v>2294</v>
      </c>
      <c r="S234" s="21">
        <v>42630</v>
      </c>
      <c r="T234" s="20">
        <v>42795</v>
      </c>
      <c r="U234" s="20" t="str">
        <f t="shared" si="133"/>
        <v>-</v>
      </c>
      <c r="V234" s="19" t="str">
        <f t="shared" si="134"/>
        <v>-</v>
      </c>
      <c r="W234" s="3">
        <v>5</v>
      </c>
      <c r="X234" s="22">
        <f t="shared" si="128"/>
        <v>246</v>
      </c>
      <c r="Y234" s="22">
        <v>0</v>
      </c>
      <c r="Z234" s="22" t="str">
        <f t="shared" si="135"/>
        <v>яловая</v>
      </c>
      <c r="AA234" s="20" t="str">
        <f t="shared" si="136"/>
        <v>-</v>
      </c>
      <c r="AB234" s="94" t="str">
        <f t="shared" si="137"/>
        <v>---------</v>
      </c>
      <c r="AC234" s="21">
        <v>42837</v>
      </c>
      <c r="AD234" s="21" t="str">
        <f t="shared" si="138"/>
        <v>-</v>
      </c>
      <c r="AE234" s="21" t="str">
        <f t="shared" si="139"/>
        <v>-</v>
      </c>
      <c r="AF234" s="85"/>
      <c r="AG234" s="21" t="str">
        <f t="shared" si="140"/>
        <v>-</v>
      </c>
      <c r="AH234" s="21" t="str">
        <f t="shared" si="144"/>
        <v>-</v>
      </c>
      <c r="AI234" s="89" t="str">
        <f t="shared" si="141"/>
        <v>-</v>
      </c>
      <c r="AJ234" s="92">
        <v>1</v>
      </c>
      <c r="AK234" s="80" t="str">
        <f t="shared" si="143"/>
        <v>БРАК</v>
      </c>
      <c r="AL234" s="80" t="s">
        <v>2650</v>
      </c>
      <c r="AM234" s="22" t="str">
        <f t="shared" si="129"/>
        <v>-</v>
      </c>
      <c r="AN234" s="234"/>
      <c r="AO234" s="22" t="str">
        <f t="shared" si="130"/>
        <v>-</v>
      </c>
      <c r="AP234" s="121"/>
      <c r="BC234" s="317">
        <v>42877</v>
      </c>
      <c r="BD234" s="314" t="s">
        <v>2402</v>
      </c>
    </row>
    <row r="235" spans="1:56" s="2" customFormat="1" ht="15.95" customHeight="1" x14ac:dyDescent="0.25">
      <c r="A235" s="86">
        <v>233</v>
      </c>
      <c r="B235" s="84">
        <f t="shared" si="124"/>
        <v>42877</v>
      </c>
      <c r="C235" s="29" t="s">
        <v>615</v>
      </c>
      <c r="D235" s="59" t="s">
        <v>908</v>
      </c>
      <c r="E235" s="22" t="s">
        <v>344</v>
      </c>
      <c r="F235" s="27" t="s">
        <v>345</v>
      </c>
      <c r="G235" s="27"/>
      <c r="H235" s="28" t="s">
        <v>603</v>
      </c>
      <c r="I235" s="20">
        <v>40560</v>
      </c>
      <c r="J235" s="240">
        <f t="shared" si="131"/>
        <v>6.3479452054794523</v>
      </c>
      <c r="K235" s="240">
        <f t="shared" ref="K235:K264" si="145">(B235-I235)/30</f>
        <v>77.233333333333334</v>
      </c>
      <c r="L235" s="240">
        <f t="shared" ref="L235:L264" si="146">B235-I235</f>
        <v>2317</v>
      </c>
      <c r="M235" s="60">
        <v>41512</v>
      </c>
      <c r="N235" s="32">
        <v>42559</v>
      </c>
      <c r="O235" s="82">
        <f t="shared" si="132"/>
        <v>318</v>
      </c>
      <c r="P235" s="19">
        <v>3</v>
      </c>
      <c r="Q235" s="68" t="s">
        <v>2366</v>
      </c>
      <c r="R235" s="118" t="s">
        <v>2294</v>
      </c>
      <c r="S235" s="21">
        <v>42660</v>
      </c>
      <c r="T235" s="20">
        <v>42798</v>
      </c>
      <c r="U235" s="20" t="str">
        <f t="shared" si="133"/>
        <v>-</v>
      </c>
      <c r="V235" s="19" t="str">
        <f t="shared" si="134"/>
        <v>-</v>
      </c>
      <c r="W235" s="3">
        <v>6</v>
      </c>
      <c r="X235" s="22">
        <f t="shared" si="128"/>
        <v>239</v>
      </c>
      <c r="Y235" s="22">
        <v>0</v>
      </c>
      <c r="Z235" s="22" t="str">
        <f t="shared" si="135"/>
        <v>яловая</v>
      </c>
      <c r="AA235" s="20" t="str">
        <f t="shared" si="136"/>
        <v>-</v>
      </c>
      <c r="AB235" s="94" t="str">
        <f t="shared" si="137"/>
        <v>---------</v>
      </c>
      <c r="AC235" s="21">
        <v>42839</v>
      </c>
      <c r="AD235" s="21" t="str">
        <f t="shared" si="138"/>
        <v>-</v>
      </c>
      <c r="AE235" s="21" t="str">
        <f t="shared" si="139"/>
        <v>-</v>
      </c>
      <c r="AF235" s="85"/>
      <c r="AG235" s="21" t="str">
        <f t="shared" si="140"/>
        <v>-</v>
      </c>
      <c r="AH235" s="21" t="str">
        <f t="shared" si="144"/>
        <v>-</v>
      </c>
      <c r="AI235" s="89" t="str">
        <f t="shared" si="141"/>
        <v>-</v>
      </c>
      <c r="AJ235" s="92">
        <v>1</v>
      </c>
      <c r="AK235" s="80" t="str">
        <f t="shared" si="143"/>
        <v>БРАК</v>
      </c>
      <c r="AL235" s="80" t="s">
        <v>2650</v>
      </c>
      <c r="AM235" s="22" t="str">
        <f t="shared" si="129"/>
        <v>-</v>
      </c>
      <c r="AN235" s="234"/>
      <c r="AO235" s="22" t="str">
        <f t="shared" si="130"/>
        <v>-</v>
      </c>
      <c r="AP235" s="121"/>
      <c r="BC235" s="317">
        <v>42877</v>
      </c>
      <c r="BD235" s="314" t="s">
        <v>2402</v>
      </c>
    </row>
    <row r="236" spans="1:56" s="2" customFormat="1" ht="15.95" customHeight="1" x14ac:dyDescent="0.25">
      <c r="A236" s="86">
        <v>234</v>
      </c>
      <c r="B236" s="84">
        <f t="shared" si="124"/>
        <v>42877</v>
      </c>
      <c r="C236" s="29" t="s">
        <v>615</v>
      </c>
      <c r="D236" s="59" t="s">
        <v>908</v>
      </c>
      <c r="E236" s="22" t="s">
        <v>1343</v>
      </c>
      <c r="F236" s="27" t="s">
        <v>1227</v>
      </c>
      <c r="G236" s="27"/>
      <c r="H236" s="28" t="s">
        <v>603</v>
      </c>
      <c r="I236" s="20">
        <v>41904</v>
      </c>
      <c r="J236" s="240">
        <f t="shared" si="131"/>
        <v>2.6657534246575341</v>
      </c>
      <c r="K236" s="240">
        <f t="shared" si="145"/>
        <v>32.43333333333333</v>
      </c>
      <c r="L236" s="240">
        <f t="shared" si="146"/>
        <v>973</v>
      </c>
      <c r="M236" s="60">
        <v>42565</v>
      </c>
      <c r="N236" s="32">
        <v>42565</v>
      </c>
      <c r="O236" s="82">
        <f t="shared" si="132"/>
        <v>312</v>
      </c>
      <c r="P236" s="19">
        <v>1</v>
      </c>
      <c r="Q236" s="68" t="s">
        <v>1451</v>
      </c>
      <c r="R236" s="118" t="s">
        <v>1875</v>
      </c>
      <c r="S236" s="21">
        <v>42642</v>
      </c>
      <c r="T236" s="20">
        <v>42795</v>
      </c>
      <c r="U236" s="20" t="str">
        <f t="shared" si="133"/>
        <v>-</v>
      </c>
      <c r="V236" s="19" t="str">
        <f t="shared" si="134"/>
        <v>-</v>
      </c>
      <c r="W236" s="3">
        <v>5</v>
      </c>
      <c r="X236" s="22">
        <f t="shared" si="128"/>
        <v>230</v>
      </c>
      <c r="Y236" s="22">
        <v>0</v>
      </c>
      <c r="Z236" s="22" t="str">
        <f t="shared" si="135"/>
        <v>яловая</v>
      </c>
      <c r="AA236" s="20" t="str">
        <f t="shared" si="136"/>
        <v>-</v>
      </c>
      <c r="AB236" s="94" t="str">
        <f t="shared" si="137"/>
        <v>---------</v>
      </c>
      <c r="AC236" s="21">
        <v>42837</v>
      </c>
      <c r="AD236" s="21" t="str">
        <f t="shared" si="138"/>
        <v>-</v>
      </c>
      <c r="AE236" s="21" t="str">
        <f t="shared" si="139"/>
        <v>-</v>
      </c>
      <c r="AF236" s="85"/>
      <c r="AG236" s="21" t="str">
        <f t="shared" si="140"/>
        <v>-</v>
      </c>
      <c r="AH236" s="21" t="str">
        <f t="shared" si="144"/>
        <v>-</v>
      </c>
      <c r="AI236" s="89" t="str">
        <f t="shared" si="141"/>
        <v>-</v>
      </c>
      <c r="AJ236" s="92">
        <v>1</v>
      </c>
      <c r="AK236" s="80" t="str">
        <f t="shared" si="143"/>
        <v>БРАК</v>
      </c>
      <c r="AL236" s="80" t="s">
        <v>2650</v>
      </c>
      <c r="AM236" s="22" t="str">
        <f t="shared" si="129"/>
        <v>-</v>
      </c>
      <c r="AN236" s="234"/>
      <c r="AO236" s="22" t="str">
        <f t="shared" si="130"/>
        <v>-</v>
      </c>
      <c r="AP236" s="121"/>
      <c r="BC236" s="317">
        <v>42877</v>
      </c>
      <c r="BD236" s="314" t="s">
        <v>2402</v>
      </c>
    </row>
    <row r="237" spans="1:56" s="2" customFormat="1" ht="15.95" customHeight="1" x14ac:dyDescent="0.25">
      <c r="A237" s="86">
        <v>235</v>
      </c>
      <c r="B237" s="84">
        <f t="shared" si="124"/>
        <v>42877</v>
      </c>
      <c r="C237" s="29" t="s">
        <v>615</v>
      </c>
      <c r="D237" s="59" t="s">
        <v>1633</v>
      </c>
      <c r="E237" s="22" t="s">
        <v>894</v>
      </c>
      <c r="F237" s="239" t="s">
        <v>1149</v>
      </c>
      <c r="G237" s="27"/>
      <c r="H237" s="28" t="s">
        <v>603</v>
      </c>
      <c r="I237" s="20">
        <v>41695</v>
      </c>
      <c r="J237" s="240">
        <f t="shared" si="131"/>
        <v>3.2383561643835614</v>
      </c>
      <c r="K237" s="240">
        <f t="shared" si="145"/>
        <v>39.4</v>
      </c>
      <c r="L237" s="240">
        <f t="shared" si="146"/>
        <v>1182</v>
      </c>
      <c r="M237" s="60">
        <v>42559</v>
      </c>
      <c r="N237" s="32">
        <v>42559</v>
      </c>
      <c r="O237" s="82">
        <f t="shared" si="132"/>
        <v>318</v>
      </c>
      <c r="P237" s="19">
        <v>1</v>
      </c>
      <c r="Q237" s="68" t="s">
        <v>1451</v>
      </c>
      <c r="R237" s="118" t="s">
        <v>1809</v>
      </c>
      <c r="S237" s="21">
        <v>42679</v>
      </c>
      <c r="T237" s="20">
        <v>42679</v>
      </c>
      <c r="U237" s="20" t="str">
        <f t="shared" si="133"/>
        <v>-</v>
      </c>
      <c r="V237" s="19" t="str">
        <f t="shared" si="134"/>
        <v>-</v>
      </c>
      <c r="W237" s="3">
        <v>1</v>
      </c>
      <c r="X237" s="22">
        <f t="shared" si="128"/>
        <v>120</v>
      </c>
      <c r="Y237" s="22">
        <v>1</v>
      </c>
      <c r="Z237" s="22" t="str">
        <f t="shared" si="135"/>
        <v>-</v>
      </c>
      <c r="AA237" s="20" t="str">
        <f t="shared" si="136"/>
        <v>-</v>
      </c>
      <c r="AB237" s="94" t="str">
        <f t="shared" si="137"/>
        <v>---------</v>
      </c>
      <c r="AC237" s="21">
        <v>42713</v>
      </c>
      <c r="AD237" s="21">
        <f t="shared" si="138"/>
        <v>42869</v>
      </c>
      <c r="AE237" s="21">
        <f t="shared" si="139"/>
        <v>42899</v>
      </c>
      <c r="AF237" s="85"/>
      <c r="AG237" s="21">
        <f t="shared" si="140"/>
        <v>42938</v>
      </c>
      <c r="AH237" s="21">
        <f t="shared" si="144"/>
        <v>42959</v>
      </c>
      <c r="AI237" s="89">
        <f t="shared" si="141"/>
        <v>-82</v>
      </c>
      <c r="AJ237" s="92">
        <v>1</v>
      </c>
      <c r="AK237" s="80" t="str">
        <f t="shared" si="143"/>
        <v>-</v>
      </c>
      <c r="AL237" s="80"/>
      <c r="AM237" s="22" t="str">
        <f t="shared" si="129"/>
        <v>-</v>
      </c>
      <c r="AN237" s="234"/>
      <c r="AO237" s="22" t="str">
        <f t="shared" si="130"/>
        <v>-</v>
      </c>
      <c r="AP237" s="121">
        <v>1</v>
      </c>
      <c r="BC237" s="317">
        <v>42877</v>
      </c>
      <c r="BD237" s="314" t="s">
        <v>2668</v>
      </c>
    </row>
    <row r="238" spans="1:56" s="2" customFormat="1" ht="15.95" customHeight="1" x14ac:dyDescent="0.25">
      <c r="A238" s="86">
        <v>236</v>
      </c>
      <c r="B238" s="84">
        <f t="shared" si="124"/>
        <v>42877</v>
      </c>
      <c r="C238" s="29" t="s">
        <v>615</v>
      </c>
      <c r="D238" s="59" t="s">
        <v>1633</v>
      </c>
      <c r="E238" s="22" t="s">
        <v>549</v>
      </c>
      <c r="F238" s="239" t="s">
        <v>729</v>
      </c>
      <c r="G238" s="27"/>
      <c r="H238" s="28" t="s">
        <v>603</v>
      </c>
      <c r="I238" s="20">
        <v>40934</v>
      </c>
      <c r="J238" s="240">
        <f t="shared" si="131"/>
        <v>5.3232876712328769</v>
      </c>
      <c r="K238" s="240">
        <f t="shared" si="145"/>
        <v>64.766666666666666</v>
      </c>
      <c r="L238" s="240">
        <f t="shared" si="146"/>
        <v>1943</v>
      </c>
      <c r="M238" s="60">
        <v>41845</v>
      </c>
      <c r="N238" s="32">
        <v>42527</v>
      </c>
      <c r="O238" s="82">
        <f t="shared" si="132"/>
        <v>350</v>
      </c>
      <c r="P238" s="19">
        <v>2</v>
      </c>
      <c r="Q238" s="68" t="s">
        <v>1451</v>
      </c>
      <c r="R238" s="118" t="s">
        <v>1875</v>
      </c>
      <c r="S238" s="21">
        <v>42615</v>
      </c>
      <c r="T238" s="20">
        <v>42767</v>
      </c>
      <c r="U238" s="20" t="str">
        <f t="shared" si="133"/>
        <v>-</v>
      </c>
      <c r="V238" s="19" t="str">
        <f t="shared" si="134"/>
        <v>-</v>
      </c>
      <c r="W238" s="3">
        <v>3</v>
      </c>
      <c r="X238" s="22">
        <f t="shared" si="128"/>
        <v>240</v>
      </c>
      <c r="Y238" s="22">
        <v>1</v>
      </c>
      <c r="Z238" s="22" t="str">
        <f t="shared" si="135"/>
        <v>-</v>
      </c>
      <c r="AA238" s="20" t="str">
        <f t="shared" si="136"/>
        <v>-</v>
      </c>
      <c r="AB238" s="94" t="str">
        <f t="shared" si="137"/>
        <v>---------</v>
      </c>
      <c r="AC238" s="21">
        <v>42802</v>
      </c>
      <c r="AD238" s="21">
        <f t="shared" si="138"/>
        <v>42957</v>
      </c>
      <c r="AE238" s="21">
        <f t="shared" si="139"/>
        <v>42987</v>
      </c>
      <c r="AF238" s="85"/>
      <c r="AG238" s="21">
        <f t="shared" si="140"/>
        <v>43026</v>
      </c>
      <c r="AH238" s="21">
        <f t="shared" si="144"/>
        <v>43047</v>
      </c>
      <c r="AI238" s="89">
        <f t="shared" si="141"/>
        <v>-170</v>
      </c>
      <c r="AJ238" s="92">
        <v>1</v>
      </c>
      <c r="AK238" s="80" t="str">
        <f t="shared" si="143"/>
        <v>-</v>
      </c>
      <c r="AL238" s="80"/>
      <c r="AM238" s="22" t="str">
        <f t="shared" si="129"/>
        <v>-</v>
      </c>
      <c r="AN238" s="234"/>
      <c r="AO238" s="22" t="str">
        <f t="shared" si="130"/>
        <v>-</v>
      </c>
      <c r="AP238" s="121">
        <v>1</v>
      </c>
      <c r="BC238" s="317">
        <v>42877</v>
      </c>
      <c r="BD238" s="314" t="s">
        <v>2668</v>
      </c>
    </row>
    <row r="239" spans="1:56" s="2" customFormat="1" ht="15.95" customHeight="1" x14ac:dyDescent="0.25">
      <c r="A239" s="86">
        <v>237</v>
      </c>
      <c r="B239" s="84">
        <f t="shared" si="124"/>
        <v>42877</v>
      </c>
      <c r="C239" s="29" t="s">
        <v>615</v>
      </c>
      <c r="D239" s="59" t="s">
        <v>908</v>
      </c>
      <c r="E239" s="22" t="s">
        <v>661</v>
      </c>
      <c r="F239" s="27" t="s">
        <v>662</v>
      </c>
      <c r="G239" s="27"/>
      <c r="H239" s="28" t="s">
        <v>87</v>
      </c>
      <c r="I239" s="20">
        <v>41458</v>
      </c>
      <c r="J239" s="240">
        <f t="shared" si="131"/>
        <v>3.8876712328767122</v>
      </c>
      <c r="K239" s="240">
        <f t="shared" si="145"/>
        <v>47.3</v>
      </c>
      <c r="L239" s="240">
        <f t="shared" si="146"/>
        <v>1419</v>
      </c>
      <c r="M239" s="60">
        <v>42422</v>
      </c>
      <c r="N239" s="32">
        <v>42422</v>
      </c>
      <c r="O239" s="82">
        <f t="shared" si="132"/>
        <v>455</v>
      </c>
      <c r="P239" s="19">
        <v>1</v>
      </c>
      <c r="Q239" s="68" t="s">
        <v>1451</v>
      </c>
      <c r="R239" s="118" t="s">
        <v>1810</v>
      </c>
      <c r="S239" s="21">
        <v>42495</v>
      </c>
      <c r="T239" s="20">
        <v>42647</v>
      </c>
      <c r="U239" s="20" t="str">
        <f t="shared" si="133"/>
        <v>-</v>
      </c>
      <c r="V239" s="19" t="str">
        <f t="shared" si="134"/>
        <v>-</v>
      </c>
      <c r="W239" s="3">
        <v>7</v>
      </c>
      <c r="X239" s="22">
        <f t="shared" si="128"/>
        <v>225</v>
      </c>
      <c r="Y239" s="22">
        <v>0</v>
      </c>
      <c r="Z239" s="22" t="str">
        <f t="shared" si="135"/>
        <v>яловая</v>
      </c>
      <c r="AA239" s="20" t="str">
        <f t="shared" si="136"/>
        <v>-</v>
      </c>
      <c r="AB239" s="94" t="str">
        <f t="shared" si="137"/>
        <v>---------</v>
      </c>
      <c r="AC239" s="21">
        <v>42689</v>
      </c>
      <c r="AD239" s="21" t="str">
        <f t="shared" si="138"/>
        <v>-</v>
      </c>
      <c r="AE239" s="21" t="str">
        <f t="shared" si="139"/>
        <v>-</v>
      </c>
      <c r="AF239" s="85"/>
      <c r="AG239" s="21" t="str">
        <f t="shared" si="140"/>
        <v>-</v>
      </c>
      <c r="AH239" s="21" t="str">
        <f t="shared" si="144"/>
        <v>-</v>
      </c>
      <c r="AI239" s="89" t="str">
        <f t="shared" si="141"/>
        <v>-</v>
      </c>
      <c r="AJ239" s="92">
        <v>1</v>
      </c>
      <c r="AK239" s="80" t="str">
        <f t="shared" si="143"/>
        <v>БРАК</v>
      </c>
      <c r="AL239" s="80" t="s">
        <v>1863</v>
      </c>
      <c r="AM239" s="22" t="str">
        <f t="shared" si="129"/>
        <v>-</v>
      </c>
      <c r="AN239" s="234"/>
      <c r="AO239" s="22" t="str">
        <f t="shared" si="130"/>
        <v>-</v>
      </c>
      <c r="AP239" s="121"/>
      <c r="BC239" s="317">
        <v>42877</v>
      </c>
      <c r="BD239" s="314" t="s">
        <v>2402</v>
      </c>
    </row>
    <row r="240" spans="1:56" s="2" customFormat="1" ht="15.95" customHeight="1" x14ac:dyDescent="0.25">
      <c r="A240" s="86">
        <v>238</v>
      </c>
      <c r="B240" s="84">
        <f t="shared" si="124"/>
        <v>42877</v>
      </c>
      <c r="C240" s="29" t="s">
        <v>614</v>
      </c>
      <c r="D240" s="59" t="s">
        <v>504</v>
      </c>
      <c r="E240" s="22" t="s">
        <v>419</v>
      </c>
      <c r="F240" s="239" t="s">
        <v>420</v>
      </c>
      <c r="G240" s="27"/>
      <c r="H240" s="28" t="s">
        <v>603</v>
      </c>
      <c r="I240" s="20">
        <v>41505</v>
      </c>
      <c r="J240" s="240">
        <f t="shared" si="131"/>
        <v>3.7589041095890412</v>
      </c>
      <c r="K240" s="240">
        <f t="shared" si="145"/>
        <v>45.733333333333334</v>
      </c>
      <c r="L240" s="240">
        <f t="shared" si="146"/>
        <v>1372</v>
      </c>
      <c r="M240" s="60">
        <v>42336</v>
      </c>
      <c r="N240" s="32">
        <v>42832</v>
      </c>
      <c r="O240" s="82">
        <f t="shared" si="132"/>
        <v>45</v>
      </c>
      <c r="P240" s="19">
        <v>2</v>
      </c>
      <c r="Q240" s="68"/>
      <c r="R240" s="118"/>
      <c r="S240" s="21"/>
      <c r="T240" s="20"/>
      <c r="U240" s="20" t="str">
        <f t="shared" si="133"/>
        <v>-</v>
      </c>
      <c r="V240" s="19" t="str">
        <f t="shared" si="134"/>
        <v>-</v>
      </c>
      <c r="W240" s="3">
        <v>0</v>
      </c>
      <c r="X240" s="22" t="str">
        <f t="shared" si="128"/>
        <v>-</v>
      </c>
      <c r="Y240" s="22">
        <v>0</v>
      </c>
      <c r="Z240" s="22" t="str">
        <f t="shared" si="135"/>
        <v>-</v>
      </c>
      <c r="AA240" s="20" t="str">
        <f t="shared" si="136"/>
        <v>-</v>
      </c>
      <c r="AB240" s="94" t="str">
        <f t="shared" si="137"/>
        <v>---------</v>
      </c>
      <c r="AC240" s="21"/>
      <c r="AD240" s="21" t="str">
        <f t="shared" si="138"/>
        <v>-</v>
      </c>
      <c r="AE240" s="21" t="str">
        <f t="shared" si="139"/>
        <v>-</v>
      </c>
      <c r="AF240" s="85"/>
      <c r="AG240" s="21" t="str">
        <f t="shared" si="140"/>
        <v>-</v>
      </c>
      <c r="AH240" s="21" t="str">
        <f t="shared" si="144"/>
        <v>-</v>
      </c>
      <c r="AI240" s="89" t="str">
        <f t="shared" si="141"/>
        <v>-</v>
      </c>
      <c r="AJ240" s="92">
        <v>1</v>
      </c>
      <c r="AK240" s="80" t="str">
        <f t="shared" si="143"/>
        <v>-</v>
      </c>
      <c r="AL240" s="80"/>
      <c r="AM240" s="22" t="str">
        <f t="shared" si="129"/>
        <v>-</v>
      </c>
      <c r="AN240" s="234"/>
      <c r="AO240" s="22" t="str">
        <f t="shared" si="130"/>
        <v>-</v>
      </c>
      <c r="AP240" s="121">
        <v>1</v>
      </c>
      <c r="AU240" s="1"/>
      <c r="AV240" s="1"/>
      <c r="AW240" s="1"/>
      <c r="AX240" s="1"/>
      <c r="AY240" s="1"/>
      <c r="AZ240" s="1"/>
      <c r="BA240" s="1"/>
      <c r="BB240" s="1"/>
      <c r="BC240" s="317">
        <v>42877</v>
      </c>
      <c r="BD240" s="436" t="s">
        <v>2668</v>
      </c>
    </row>
    <row r="241" spans="1:56" s="2" customFormat="1" ht="15.95" customHeight="1" x14ac:dyDescent="0.25">
      <c r="A241" s="86">
        <v>239</v>
      </c>
      <c r="B241" s="84">
        <f t="shared" si="124"/>
        <v>42877</v>
      </c>
      <c r="C241" s="29" t="s">
        <v>2601</v>
      </c>
      <c r="D241" s="59" t="s">
        <v>2582</v>
      </c>
      <c r="E241" s="22" t="s">
        <v>1557</v>
      </c>
      <c r="F241" s="27" t="s">
        <v>1874</v>
      </c>
      <c r="G241" s="27"/>
      <c r="H241" s="28" t="s">
        <v>603</v>
      </c>
      <c r="I241" s="20">
        <v>42123</v>
      </c>
      <c r="J241" s="240">
        <f t="shared" si="131"/>
        <v>2.0657534246575344</v>
      </c>
      <c r="K241" s="240">
        <f t="shared" si="145"/>
        <v>25.133333333333333</v>
      </c>
      <c r="L241" s="240">
        <f t="shared" si="146"/>
        <v>754</v>
      </c>
      <c r="M241" s="60"/>
      <c r="N241" s="32"/>
      <c r="O241" s="82" t="str">
        <f t="shared" si="132"/>
        <v>-</v>
      </c>
      <c r="P241" s="19"/>
      <c r="Q241" s="68"/>
      <c r="R241" s="118"/>
      <c r="S241" s="21"/>
      <c r="T241" s="20"/>
      <c r="U241" s="20" t="str">
        <f t="shared" si="133"/>
        <v>-</v>
      </c>
      <c r="V241" s="19" t="str">
        <f t="shared" si="134"/>
        <v>-</v>
      </c>
      <c r="W241" s="3">
        <v>0</v>
      </c>
      <c r="X241" s="22" t="str">
        <f t="shared" si="128"/>
        <v>-</v>
      </c>
      <c r="Y241" s="22">
        <v>0</v>
      </c>
      <c r="Z241" s="22" t="str">
        <f t="shared" si="135"/>
        <v>-</v>
      </c>
      <c r="AA241" s="20" t="str">
        <f t="shared" si="136"/>
        <v>-</v>
      </c>
      <c r="AB241" s="94" t="str">
        <f t="shared" si="137"/>
        <v>---------</v>
      </c>
      <c r="AC241" s="21"/>
      <c r="AD241" s="21" t="str">
        <f t="shared" si="138"/>
        <v>-</v>
      </c>
      <c r="AE241" s="21" t="str">
        <f t="shared" si="139"/>
        <v>-</v>
      </c>
      <c r="AF241" s="85"/>
      <c r="AG241" s="21" t="str">
        <f t="shared" si="140"/>
        <v>-</v>
      </c>
      <c r="AH241" s="21" t="str">
        <f t="shared" si="144"/>
        <v>-</v>
      </c>
      <c r="AI241" s="89" t="str">
        <f t="shared" si="141"/>
        <v>-</v>
      </c>
      <c r="AJ241" s="92">
        <v>1</v>
      </c>
      <c r="AK241" s="80" t="str">
        <f t="shared" si="143"/>
        <v>-</v>
      </c>
      <c r="AL241" s="80"/>
      <c r="AM241" s="22" t="str">
        <f t="shared" si="129"/>
        <v>-</v>
      </c>
      <c r="AN241" s="234"/>
      <c r="AO241" s="22" t="str">
        <f t="shared" si="130"/>
        <v>-</v>
      </c>
      <c r="AP241" s="121"/>
      <c r="BC241" s="317">
        <v>42877</v>
      </c>
      <c r="BD241" s="314" t="s">
        <v>2749</v>
      </c>
    </row>
    <row r="242" spans="1:56" s="2" customFormat="1" ht="15.95" customHeight="1" x14ac:dyDescent="0.25">
      <c r="A242" s="86">
        <v>240</v>
      </c>
      <c r="B242" s="84">
        <f t="shared" si="124"/>
        <v>42880</v>
      </c>
      <c r="C242" s="29" t="s">
        <v>614</v>
      </c>
      <c r="D242" s="59" t="s">
        <v>504</v>
      </c>
      <c r="E242" s="22" t="s">
        <v>192</v>
      </c>
      <c r="F242" s="295" t="s">
        <v>193</v>
      </c>
      <c r="G242" s="27"/>
      <c r="H242" s="28" t="s">
        <v>87</v>
      </c>
      <c r="I242" s="20">
        <v>40587</v>
      </c>
      <c r="J242" s="240">
        <f t="shared" si="131"/>
        <v>6.2821917808219174</v>
      </c>
      <c r="K242" s="240">
        <f t="shared" si="145"/>
        <v>76.433333333333337</v>
      </c>
      <c r="L242" s="240">
        <f t="shared" si="146"/>
        <v>2293</v>
      </c>
      <c r="M242" s="60">
        <v>41668</v>
      </c>
      <c r="N242" s="32">
        <v>42802</v>
      </c>
      <c r="O242" s="82">
        <f t="shared" si="132"/>
        <v>78</v>
      </c>
      <c r="P242" s="19">
        <v>3</v>
      </c>
      <c r="Q242" s="68"/>
      <c r="R242" s="118"/>
      <c r="S242" s="21"/>
      <c r="T242" s="20"/>
      <c r="U242" s="20" t="str">
        <f t="shared" si="133"/>
        <v>-</v>
      </c>
      <c r="V242" s="19" t="str">
        <f t="shared" si="134"/>
        <v>-</v>
      </c>
      <c r="W242" s="3">
        <v>0</v>
      </c>
      <c r="X242" s="22" t="str">
        <f t="shared" si="128"/>
        <v>-</v>
      </c>
      <c r="Y242" s="22">
        <v>0</v>
      </c>
      <c r="Z242" s="22" t="str">
        <f t="shared" si="135"/>
        <v>-</v>
      </c>
      <c r="AA242" s="20" t="str">
        <f t="shared" si="136"/>
        <v>-</v>
      </c>
      <c r="AB242" s="94" t="str">
        <f t="shared" si="137"/>
        <v>---------</v>
      </c>
      <c r="AC242" s="21"/>
      <c r="AD242" s="21" t="str">
        <f t="shared" si="138"/>
        <v>-</v>
      </c>
      <c r="AE242" s="21" t="str">
        <f t="shared" si="139"/>
        <v>-</v>
      </c>
      <c r="AF242" s="85"/>
      <c r="AG242" s="21" t="str">
        <f t="shared" si="140"/>
        <v>-</v>
      </c>
      <c r="AH242" s="21" t="str">
        <f t="shared" si="144"/>
        <v>-</v>
      </c>
      <c r="AI242" s="89" t="str">
        <f t="shared" si="141"/>
        <v>-</v>
      </c>
      <c r="AJ242" s="92">
        <v>1</v>
      </c>
      <c r="AK242" s="80" t="str">
        <f t="shared" si="143"/>
        <v>-</v>
      </c>
      <c r="AL242" s="80"/>
      <c r="AM242" s="22" t="str">
        <f t="shared" si="129"/>
        <v>-</v>
      </c>
      <c r="AN242" s="234"/>
      <c r="AO242" s="22" t="str">
        <f t="shared" si="130"/>
        <v>-</v>
      </c>
      <c r="AP242" s="121">
        <v>1</v>
      </c>
      <c r="AQ242" s="120"/>
      <c r="AR242" s="296"/>
      <c r="AS242" s="80" t="str">
        <f>IF(AND(AQ242&gt;0,AR242&gt;0),B242-AQ242,"не вакцинировано")</f>
        <v>не вакцинировано</v>
      </c>
      <c r="AT242" s="120"/>
      <c r="AU242" s="296"/>
      <c r="AV242" s="80" t="str">
        <f>IF(AND(AQ242&gt;0,AR242&gt;0,AT242&gt;0,AU242&gt;0),AT242-AQ242,"-")</f>
        <v>-</v>
      </c>
      <c r="AW242" s="80" t="str">
        <f>IF(AND(AT242&gt;0,AU242&gt;0),B242-AT242,"бустерная доза не введена")</f>
        <v>бустерная доза не введена</v>
      </c>
      <c r="AX242" s="80" t="str">
        <f>IF(AND(AW242&gt;240,BC242=0),"ТРЕБУЕТСЯ РЕВАКЦИНАЦИЯ","-")</f>
        <v>-</v>
      </c>
      <c r="AY242" s="80" t="str">
        <f>IF(AND(AZ242&gt;0,BA242&gt;0,BB242&gt;240),"ТРЕБУЕТСЯ РЕВАКЦИНАЦИЯ","-")</f>
        <v>-</v>
      </c>
      <c r="AZ242" s="93"/>
      <c r="BA242" s="296"/>
      <c r="BB242" s="315" t="str">
        <f>IF(AND(AZ242&gt;0,BA242&gt;0),B242-AZ242,"-")</f>
        <v>-</v>
      </c>
      <c r="BC242" s="297">
        <v>42880</v>
      </c>
      <c r="BD242" s="436" t="s">
        <v>2779</v>
      </c>
    </row>
    <row r="243" spans="1:56" s="2" customFormat="1" ht="15.95" customHeight="1" thickBot="1" x14ac:dyDescent="0.3">
      <c r="A243" s="86">
        <v>241</v>
      </c>
      <c r="B243" s="84">
        <f t="shared" si="124"/>
        <v>42880</v>
      </c>
      <c r="C243" s="29" t="s">
        <v>2404</v>
      </c>
      <c r="D243" s="59" t="s">
        <v>2432</v>
      </c>
      <c r="E243" s="22" t="s">
        <v>49</v>
      </c>
      <c r="F243" s="239" t="s">
        <v>50</v>
      </c>
      <c r="G243" s="27"/>
      <c r="H243" s="28" t="s">
        <v>78</v>
      </c>
      <c r="I243" s="20">
        <v>40226</v>
      </c>
      <c r="J243" s="240">
        <f t="shared" si="131"/>
        <v>7.2712328767123289</v>
      </c>
      <c r="K243" s="240">
        <f t="shared" si="145"/>
        <v>88.466666666666669</v>
      </c>
      <c r="L243" s="240">
        <f t="shared" si="146"/>
        <v>2654</v>
      </c>
      <c r="M243" s="60">
        <v>41087</v>
      </c>
      <c r="N243" s="32">
        <v>42531</v>
      </c>
      <c r="O243" s="82">
        <f t="shared" si="132"/>
        <v>349</v>
      </c>
      <c r="P243" s="19">
        <v>4</v>
      </c>
      <c r="Q243" s="68" t="s">
        <v>1448</v>
      </c>
      <c r="R243" s="118" t="s">
        <v>1816</v>
      </c>
      <c r="S243" s="21">
        <v>42615</v>
      </c>
      <c r="T243" s="20">
        <v>42615</v>
      </c>
      <c r="U243" s="20" t="str">
        <f t="shared" si="133"/>
        <v>-</v>
      </c>
      <c r="V243" s="19" t="str">
        <f t="shared" si="134"/>
        <v>-</v>
      </c>
      <c r="W243" s="3">
        <v>1</v>
      </c>
      <c r="X243" s="22">
        <f t="shared" si="128"/>
        <v>84</v>
      </c>
      <c r="Y243" s="22">
        <v>1</v>
      </c>
      <c r="Z243" s="22" t="str">
        <f t="shared" si="135"/>
        <v>-</v>
      </c>
      <c r="AA243" s="20" t="str">
        <f t="shared" si="136"/>
        <v>-</v>
      </c>
      <c r="AB243" s="94" t="str">
        <f t="shared" si="137"/>
        <v>---------</v>
      </c>
      <c r="AC243" s="21">
        <v>42663</v>
      </c>
      <c r="AD243" s="21">
        <f t="shared" si="138"/>
        <v>42805</v>
      </c>
      <c r="AE243" s="21">
        <f t="shared" si="139"/>
        <v>42835</v>
      </c>
      <c r="AF243" s="85">
        <v>42837</v>
      </c>
      <c r="AG243" s="21">
        <f t="shared" si="140"/>
        <v>42874</v>
      </c>
      <c r="AH243" s="21">
        <f t="shared" si="144"/>
        <v>42895</v>
      </c>
      <c r="AI243" s="89">
        <f t="shared" si="141"/>
        <v>-15</v>
      </c>
      <c r="AJ243" s="92">
        <v>1</v>
      </c>
      <c r="AK243" s="80" t="str">
        <f t="shared" si="143"/>
        <v>-</v>
      </c>
      <c r="AL243" s="80"/>
      <c r="AM243" s="22" t="str">
        <f t="shared" si="129"/>
        <v>-</v>
      </c>
      <c r="AN243" s="234"/>
      <c r="AO243" s="22" t="str">
        <f t="shared" si="130"/>
        <v>DRY COW</v>
      </c>
      <c r="AP243" s="121"/>
      <c r="AQ243" s="120"/>
      <c r="AR243" s="296"/>
      <c r="AS243" s="80" t="str">
        <f>IF(AND(AQ243&gt;0,AR243&gt;0),B243-AQ243,"не вакцинировано")</f>
        <v>не вакцинировано</v>
      </c>
      <c r="AT243" s="120"/>
      <c r="AU243" s="296"/>
      <c r="AV243" s="80" t="str">
        <f>IF(AND(AQ243&gt;0,AR243&gt;0,AT243&gt;0,AU243&gt;0),AT243-AQ243,"-")</f>
        <v>-</v>
      </c>
      <c r="AW243" s="80" t="str">
        <f>IF(AND(AT243&gt;0,AU243&gt;0),B243-AT243,"бустерная доза не введена")</f>
        <v>бустерная доза не введена</v>
      </c>
      <c r="AX243" s="80" t="str">
        <f>IF(AND(AW243&gt;240,BC243=0),"ТРЕБУЕТСЯ РЕВАКЦИНАЦИЯ","-")</f>
        <v>-</v>
      </c>
      <c r="AY243" s="80" t="str">
        <f>IF(AND(AZ243&gt;0,BA243&gt;0,BB243&gt;240),"ТРЕБУЕТСЯ РЕВАКЦИНАЦИЯ","-")</f>
        <v>-</v>
      </c>
      <c r="AZ243" s="93"/>
      <c r="BA243" s="296"/>
      <c r="BB243" s="315" t="str">
        <f>IF(AND(AZ243&gt;0,BA243&gt;0),B243-AZ243,"-")</f>
        <v>-</v>
      </c>
      <c r="BC243" s="297">
        <v>42880</v>
      </c>
      <c r="BD243" s="314" t="s">
        <v>2780</v>
      </c>
    </row>
    <row r="244" spans="1:56" s="2" customFormat="1" ht="15.95" customHeight="1" thickTop="1" thickBot="1" x14ac:dyDescent="0.3">
      <c r="A244" s="86">
        <v>242</v>
      </c>
      <c r="B244" s="84">
        <f t="shared" si="124"/>
        <v>42883</v>
      </c>
      <c r="C244" s="29" t="s">
        <v>613</v>
      </c>
      <c r="D244" s="59" t="s">
        <v>904</v>
      </c>
      <c r="E244" s="22" t="s">
        <v>421</v>
      </c>
      <c r="F244" s="295" t="s">
        <v>422</v>
      </c>
      <c r="G244" s="27"/>
      <c r="H244" s="28" t="s">
        <v>603</v>
      </c>
      <c r="I244" s="20">
        <v>41518</v>
      </c>
      <c r="J244" s="240">
        <f t="shared" si="131"/>
        <v>3.7397260273972601</v>
      </c>
      <c r="K244" s="240">
        <f t="shared" si="145"/>
        <v>45.5</v>
      </c>
      <c r="L244" s="298">
        <f t="shared" si="146"/>
        <v>1365</v>
      </c>
      <c r="M244" s="60">
        <v>42321</v>
      </c>
      <c r="N244" s="32">
        <v>42733</v>
      </c>
      <c r="O244" s="82">
        <f t="shared" si="132"/>
        <v>150</v>
      </c>
      <c r="P244" s="19">
        <v>2</v>
      </c>
      <c r="Q244" s="68" t="s">
        <v>2309</v>
      </c>
      <c r="R244" s="118" t="s">
        <v>2269</v>
      </c>
      <c r="S244" s="21">
        <v>42789</v>
      </c>
      <c r="T244" s="20">
        <v>42789</v>
      </c>
      <c r="U244" s="20" t="str">
        <f t="shared" si="133"/>
        <v>-</v>
      </c>
      <c r="V244" s="19" t="str">
        <f t="shared" si="134"/>
        <v>-</v>
      </c>
      <c r="W244" s="3">
        <v>1</v>
      </c>
      <c r="X244" s="22">
        <f t="shared" ref="X244:X264" si="147">IF(AND(N244&gt;0,T244&gt;0),T244-N244,"-")</f>
        <v>56</v>
      </c>
      <c r="Y244" s="22">
        <v>1</v>
      </c>
      <c r="Z244" s="22" t="str">
        <f t="shared" si="135"/>
        <v>-</v>
      </c>
      <c r="AA244" s="20" t="str">
        <f t="shared" si="136"/>
        <v>-</v>
      </c>
      <c r="AB244" s="94" t="str">
        <f t="shared" si="137"/>
        <v>---------</v>
      </c>
      <c r="AC244" s="21">
        <v>42823</v>
      </c>
      <c r="AD244" s="21">
        <f t="shared" si="138"/>
        <v>42979</v>
      </c>
      <c r="AE244" s="21">
        <f t="shared" si="139"/>
        <v>43009</v>
      </c>
      <c r="AF244" s="85"/>
      <c r="AG244" s="21">
        <f t="shared" si="140"/>
        <v>43048</v>
      </c>
      <c r="AH244" s="21">
        <f t="shared" si="144"/>
        <v>43069</v>
      </c>
      <c r="AI244" s="89">
        <f t="shared" si="141"/>
        <v>-186</v>
      </c>
      <c r="AJ244" s="92">
        <v>1</v>
      </c>
      <c r="AK244" s="80" t="str">
        <f t="shared" si="143"/>
        <v>-</v>
      </c>
      <c r="AL244" s="80"/>
      <c r="AM244" s="22" t="str">
        <f t="shared" si="129"/>
        <v>-</v>
      </c>
      <c r="AN244" s="234"/>
      <c r="AO244" s="22" t="str">
        <f t="shared" si="130"/>
        <v>-</v>
      </c>
      <c r="AP244" s="300">
        <v>1</v>
      </c>
      <c r="AQ244" s="304" t="str">
        <f>IF(AND(OR(E244="тёлочка",E244="бычок"),L244&gt;7,AS244&lt;2),"ПОДЛЕЖИТ ВАКЦИНАЦИИ","-")</f>
        <v>-</v>
      </c>
      <c r="AR244" s="121"/>
      <c r="AS244" s="300"/>
      <c r="AT244" s="305" t="str">
        <f t="shared" ref="AT244:AT257" si="148">IF(AND(AR244&gt;0,AS244=2),AR244-I244,"ЖИВОТНОЕ НЕ ВАКЦИНИРОВАНО")</f>
        <v>ЖИВОТНОЕ НЕ ВАКЦИНИРОВАНО</v>
      </c>
      <c r="AU244" s="121" t="str">
        <f t="shared" ref="AU244:AU257" si="149">IF(AND(AR244&gt;0,AS244=2),B244-AR244,"-")</f>
        <v>-</v>
      </c>
      <c r="AV244" s="301"/>
      <c r="AW244" s="296"/>
      <c r="AX244" s="303" t="str">
        <f>IF(AND(AV244&gt;0,AW244=5),B244-AV244,"не вакцинировано")</f>
        <v>не вакцинировано</v>
      </c>
      <c r="AY244" s="120"/>
      <c r="AZ244" s="296"/>
      <c r="BA244" s="303" t="str">
        <f>IF(AND(AV244&gt;0,AW244=5,AY244&gt;0,AZ244=5),AY244-AV244,"-")</f>
        <v>-</v>
      </c>
      <c r="BB244" s="316" t="str">
        <f>IF(AND(AY244&gt;0,AZ244=5),B244-AY244,"бустерная доза не введена")</f>
        <v>бустерная доза не введена</v>
      </c>
      <c r="BC244" s="318">
        <v>42883</v>
      </c>
      <c r="BD244" s="314" t="s">
        <v>2778</v>
      </c>
    </row>
    <row r="245" spans="1:56" s="2" customFormat="1" ht="15.95" customHeight="1" thickTop="1" thickBot="1" x14ac:dyDescent="0.3">
      <c r="A245" s="86">
        <v>243</v>
      </c>
      <c r="B245" s="84">
        <f t="shared" si="124"/>
        <v>42883</v>
      </c>
      <c r="C245" s="29" t="s">
        <v>613</v>
      </c>
      <c r="D245" s="59" t="s">
        <v>904</v>
      </c>
      <c r="E245" s="22" t="s">
        <v>425</v>
      </c>
      <c r="F245" s="295" t="s">
        <v>426</v>
      </c>
      <c r="G245" s="27"/>
      <c r="H245" s="28" t="s">
        <v>603</v>
      </c>
      <c r="I245" s="20">
        <v>41535</v>
      </c>
      <c r="J245" s="240">
        <f t="shared" si="131"/>
        <v>3.6931506849315068</v>
      </c>
      <c r="K245" s="240">
        <f t="shared" si="145"/>
        <v>44.93333333333333</v>
      </c>
      <c r="L245" s="298">
        <f t="shared" si="146"/>
        <v>1348</v>
      </c>
      <c r="M245" s="60">
        <v>42235</v>
      </c>
      <c r="N245" s="32">
        <v>42581</v>
      </c>
      <c r="O245" s="82">
        <f t="shared" si="132"/>
        <v>302</v>
      </c>
      <c r="P245" s="19">
        <v>2</v>
      </c>
      <c r="Q245" s="68" t="s">
        <v>1451</v>
      </c>
      <c r="R245" s="118" t="s">
        <v>1809</v>
      </c>
      <c r="S245" s="21">
        <v>42663</v>
      </c>
      <c r="T245" s="20">
        <v>42709</v>
      </c>
      <c r="U245" s="20" t="str">
        <f t="shared" si="133"/>
        <v>-</v>
      </c>
      <c r="V245" s="19" t="str">
        <f t="shared" si="134"/>
        <v>-</v>
      </c>
      <c r="W245" s="3">
        <v>3</v>
      </c>
      <c r="X245" s="22">
        <f t="shared" si="147"/>
        <v>128</v>
      </c>
      <c r="Y245" s="22">
        <v>1</v>
      </c>
      <c r="Z245" s="22" t="str">
        <f t="shared" si="135"/>
        <v>-</v>
      </c>
      <c r="AA245" s="20" t="str">
        <f t="shared" si="136"/>
        <v>-</v>
      </c>
      <c r="AB245" s="94" t="str">
        <f t="shared" si="137"/>
        <v>---------</v>
      </c>
      <c r="AC245" s="21">
        <v>42751</v>
      </c>
      <c r="AD245" s="21">
        <f t="shared" si="138"/>
        <v>42899</v>
      </c>
      <c r="AE245" s="21">
        <f t="shared" si="139"/>
        <v>42929</v>
      </c>
      <c r="AF245" s="85"/>
      <c r="AG245" s="21">
        <f t="shared" si="140"/>
        <v>42968</v>
      </c>
      <c r="AH245" s="21">
        <f t="shared" si="144"/>
        <v>42989</v>
      </c>
      <c r="AI245" s="89">
        <f t="shared" si="141"/>
        <v>-106</v>
      </c>
      <c r="AJ245" s="92">
        <v>1</v>
      </c>
      <c r="AK245" s="80" t="str">
        <f t="shared" si="143"/>
        <v>-</v>
      </c>
      <c r="AL245" s="80"/>
      <c r="AM245" s="22" t="str">
        <f t="shared" si="129"/>
        <v>-</v>
      </c>
      <c r="AN245" s="234"/>
      <c r="AO245" s="22" t="str">
        <f t="shared" si="130"/>
        <v>-</v>
      </c>
      <c r="AP245" s="300">
        <v>1</v>
      </c>
      <c r="AQ245" s="304" t="str">
        <f>IF(AND(OR(E245="тёлочка",E245="бычок"),L245&gt;7,AS245&lt;2),"ПОДЛЕЖИТ ВАКЦИНАЦИИ","-")</f>
        <v>-</v>
      </c>
      <c r="AR245" s="121"/>
      <c r="AS245" s="300"/>
      <c r="AT245" s="305" t="str">
        <f t="shared" si="148"/>
        <v>ЖИВОТНОЕ НЕ ВАКЦИНИРОВАНО</v>
      </c>
      <c r="AU245" s="121" t="str">
        <f t="shared" si="149"/>
        <v>-</v>
      </c>
      <c r="AV245" s="301"/>
      <c r="AW245" s="296"/>
      <c r="AX245" s="303" t="str">
        <f>IF(AND(AV245&gt;0,AW245=5),B245-AV245,"не вакцинировано")</f>
        <v>не вакцинировано</v>
      </c>
      <c r="AY245" s="120"/>
      <c r="AZ245" s="296"/>
      <c r="BA245" s="303" t="str">
        <f>IF(AND(AV245&gt;0,AW245=5,AY245&gt;0,AZ245=5),AY245-AV245,"-")</f>
        <v>-</v>
      </c>
      <c r="BB245" s="303" t="str">
        <f>IF(AND(AY245&gt;0,AZ245=5),B245-AY245,"бустерная доза не введена")</f>
        <v>бустерная доза не введена</v>
      </c>
      <c r="BC245" s="318">
        <v>42883</v>
      </c>
      <c r="BD245" s="314" t="s">
        <v>2778</v>
      </c>
    </row>
    <row r="246" spans="1:56" s="2" customFormat="1" ht="15.95" customHeight="1" thickTop="1" thickBot="1" x14ac:dyDescent="0.3">
      <c r="A246" s="86">
        <v>244</v>
      </c>
      <c r="B246" s="84">
        <f t="shared" si="124"/>
        <v>42883</v>
      </c>
      <c r="C246" s="29" t="s">
        <v>613</v>
      </c>
      <c r="D246" s="59" t="s">
        <v>904</v>
      </c>
      <c r="E246" s="22" t="s">
        <v>1333</v>
      </c>
      <c r="F246" s="295" t="s">
        <v>1217</v>
      </c>
      <c r="G246" s="27"/>
      <c r="H246" s="28" t="s">
        <v>603</v>
      </c>
      <c r="I246" s="20">
        <v>41879</v>
      </c>
      <c r="J246" s="240">
        <f t="shared" si="131"/>
        <v>2.7506849315068491</v>
      </c>
      <c r="K246" s="240">
        <f t="shared" si="145"/>
        <v>33.466666666666669</v>
      </c>
      <c r="L246" s="298">
        <f t="shared" si="146"/>
        <v>1004</v>
      </c>
      <c r="M246" s="60">
        <v>42564</v>
      </c>
      <c r="N246" s="32">
        <v>42564</v>
      </c>
      <c r="O246" s="82">
        <f t="shared" si="132"/>
        <v>319</v>
      </c>
      <c r="P246" s="19">
        <v>1</v>
      </c>
      <c r="Q246" s="68" t="s">
        <v>2309</v>
      </c>
      <c r="R246" s="118" t="s">
        <v>2294</v>
      </c>
      <c r="S246" s="21">
        <v>42646</v>
      </c>
      <c r="T246" s="20">
        <v>42740</v>
      </c>
      <c r="U246" s="20" t="str">
        <f t="shared" si="133"/>
        <v>-</v>
      </c>
      <c r="V246" s="19" t="str">
        <f t="shared" si="134"/>
        <v>-</v>
      </c>
      <c r="W246" s="3">
        <v>3</v>
      </c>
      <c r="X246" s="22">
        <f t="shared" si="147"/>
        <v>176</v>
      </c>
      <c r="Y246" s="22">
        <v>1</v>
      </c>
      <c r="Z246" s="22" t="str">
        <f t="shared" si="135"/>
        <v>-</v>
      </c>
      <c r="AA246" s="20" t="str">
        <f t="shared" si="136"/>
        <v>-</v>
      </c>
      <c r="AB246" s="94" t="str">
        <f t="shared" si="137"/>
        <v>---------</v>
      </c>
      <c r="AC246" s="21">
        <v>42775</v>
      </c>
      <c r="AD246" s="21">
        <f t="shared" si="138"/>
        <v>42930</v>
      </c>
      <c r="AE246" s="21">
        <f t="shared" si="139"/>
        <v>42960</v>
      </c>
      <c r="AF246" s="85"/>
      <c r="AG246" s="21">
        <f t="shared" si="140"/>
        <v>42999</v>
      </c>
      <c r="AH246" s="21">
        <f t="shared" si="144"/>
        <v>43020</v>
      </c>
      <c r="AI246" s="89">
        <f t="shared" si="141"/>
        <v>-137</v>
      </c>
      <c r="AJ246" s="92">
        <v>1</v>
      </c>
      <c r="AK246" s="80" t="str">
        <f t="shared" si="143"/>
        <v>-</v>
      </c>
      <c r="AL246" s="80"/>
      <c r="AM246" s="22" t="str">
        <f t="shared" si="129"/>
        <v>-</v>
      </c>
      <c r="AN246" s="234"/>
      <c r="AO246" s="22" t="str">
        <f t="shared" si="130"/>
        <v>-</v>
      </c>
      <c r="AP246" s="300">
        <v>1</v>
      </c>
      <c r="AQ246" s="304" t="str">
        <f>IF(AND(OR(E246="тёлочка",E246="бычок"),L246&gt;7,AS246&lt;2),"ПОДЛЕЖИТ ВАКЦИНАЦИИ","-")</f>
        <v>-</v>
      </c>
      <c r="AR246" s="121"/>
      <c r="AS246" s="300"/>
      <c r="AT246" s="305" t="str">
        <f t="shared" si="148"/>
        <v>ЖИВОТНОЕ НЕ ВАКЦИНИРОВАНО</v>
      </c>
      <c r="AU246" s="121" t="str">
        <f t="shared" si="149"/>
        <v>-</v>
      </c>
      <c r="AV246" s="301"/>
      <c r="AW246" s="296"/>
      <c r="AX246" s="303" t="str">
        <f>IF(AND(AV246&gt;0,AW246=5),B246-AV246,"не вакцинировано")</f>
        <v>не вакцинировано</v>
      </c>
      <c r="AY246" s="120"/>
      <c r="AZ246" s="296"/>
      <c r="BA246" s="303" t="str">
        <f>IF(AND(AV246&gt;0,AW246=5,AY246&gt;0,AZ246=5),AY246-AV246,"-")</f>
        <v>-</v>
      </c>
      <c r="BB246" s="303" t="str">
        <f>IF(AND(AY246&gt;0,AZ246=5),B246-AY246,"бустерная доза не введена")</f>
        <v>бустерная доза не введена</v>
      </c>
      <c r="BC246" s="318">
        <v>42883</v>
      </c>
      <c r="BD246" s="314" t="s">
        <v>2778</v>
      </c>
    </row>
    <row r="247" spans="1:56" s="2" customFormat="1" ht="15.95" customHeight="1" thickTop="1" thickBot="1" x14ac:dyDescent="0.3">
      <c r="A247" s="86">
        <v>245</v>
      </c>
      <c r="B247" s="84">
        <f t="shared" si="124"/>
        <v>42888</v>
      </c>
      <c r="C247" s="29" t="s">
        <v>2556</v>
      </c>
      <c r="D247" s="59" t="s">
        <v>2586</v>
      </c>
      <c r="E247" s="22" t="s">
        <v>1327</v>
      </c>
      <c r="F247" s="295" t="s">
        <v>1210</v>
      </c>
      <c r="G247" s="27"/>
      <c r="H247" s="28" t="s">
        <v>603</v>
      </c>
      <c r="I247" s="20">
        <v>41865</v>
      </c>
      <c r="J247" s="240">
        <f t="shared" si="131"/>
        <v>2.8027397260273972</v>
      </c>
      <c r="K247" s="240">
        <f t="shared" si="145"/>
        <v>34.1</v>
      </c>
      <c r="L247" s="298">
        <f t="shared" si="146"/>
        <v>1023</v>
      </c>
      <c r="M247" s="60">
        <v>42570</v>
      </c>
      <c r="N247" s="32">
        <v>42570</v>
      </c>
      <c r="O247" s="82">
        <f t="shared" si="132"/>
        <v>318</v>
      </c>
      <c r="P247" s="19">
        <v>1</v>
      </c>
      <c r="Q247" s="68" t="s">
        <v>1451</v>
      </c>
      <c r="R247" s="118" t="s">
        <v>1810</v>
      </c>
      <c r="S247" s="21">
        <v>42646</v>
      </c>
      <c r="T247" s="20">
        <v>42646</v>
      </c>
      <c r="U247" s="20" t="str">
        <f t="shared" si="133"/>
        <v>-</v>
      </c>
      <c r="V247" s="19" t="str">
        <f t="shared" si="134"/>
        <v>-</v>
      </c>
      <c r="W247" s="3">
        <v>1</v>
      </c>
      <c r="X247" s="22">
        <f t="shared" si="147"/>
        <v>76</v>
      </c>
      <c r="Y247" s="22">
        <v>1</v>
      </c>
      <c r="Z247" s="22" t="str">
        <f t="shared" si="135"/>
        <v>-</v>
      </c>
      <c r="AA247" s="20" t="str">
        <f t="shared" si="136"/>
        <v>-</v>
      </c>
      <c r="AB247" s="94" t="str">
        <f t="shared" si="137"/>
        <v>---------</v>
      </c>
      <c r="AC247" s="21">
        <v>42681</v>
      </c>
      <c r="AD247" s="21">
        <f t="shared" si="138"/>
        <v>42836</v>
      </c>
      <c r="AE247" s="21">
        <f t="shared" si="139"/>
        <v>42866</v>
      </c>
      <c r="AF247" s="85">
        <v>42875</v>
      </c>
      <c r="AG247" s="21">
        <f t="shared" si="140"/>
        <v>42905</v>
      </c>
      <c r="AH247" s="21">
        <f t="shared" si="144"/>
        <v>42926</v>
      </c>
      <c r="AI247" s="89">
        <f t="shared" si="141"/>
        <v>-38</v>
      </c>
      <c r="AJ247" s="92">
        <v>1</v>
      </c>
      <c r="AK247" s="80" t="str">
        <f t="shared" si="143"/>
        <v>-</v>
      </c>
      <c r="AL247" s="80"/>
      <c r="AM247" s="22" t="str">
        <f t="shared" si="129"/>
        <v>-</v>
      </c>
      <c r="AN247" s="234"/>
      <c r="AO247" s="22" t="str">
        <f t="shared" si="130"/>
        <v>DRY COW</v>
      </c>
      <c r="AP247" s="300">
        <v>1</v>
      </c>
      <c r="AQ247" s="304" t="str">
        <f t="shared" ref="AQ247:AQ253" si="150">IF(AND(OR(E247="тёлочка",E247="бычок"),L247&gt;5,AS247&lt;2),"ПОДЛЕЖИТ ВАКЦИНАЦИИ","-")</f>
        <v>-</v>
      </c>
      <c r="AR247" s="121"/>
      <c r="AS247" s="300"/>
      <c r="AT247" s="305" t="str">
        <f t="shared" si="148"/>
        <v>ЖИВОТНОЕ НЕ ВАКЦИНИРОВАНО</v>
      </c>
      <c r="AU247" s="319" t="str">
        <f t="shared" si="149"/>
        <v>-</v>
      </c>
      <c r="AV247" s="320"/>
      <c r="AW247" s="296"/>
      <c r="AX247" s="303" t="str">
        <f>IF(AND(AV247&gt;0,AW247=5),B247-AV247,"не вакцинировано")</f>
        <v>не вакцинировано</v>
      </c>
      <c r="AY247" s="120"/>
      <c r="AZ247" s="296"/>
      <c r="BA247" s="303" t="str">
        <f>IF(AND(AV247&gt;0,AW247=5,AY247&gt;0,AZ247=5),AY247-AV247,"-")</f>
        <v>-</v>
      </c>
      <c r="BB247" s="303" t="str">
        <f>IF(AND(AY247&gt;0,AZ247=5),B247-AY247,"бустерная доза не введена")</f>
        <v>бустерная доза не введена</v>
      </c>
      <c r="BC247" s="318">
        <v>42888</v>
      </c>
      <c r="BD247" s="322" t="s">
        <v>2748</v>
      </c>
    </row>
    <row r="248" spans="1:56" s="2" customFormat="1" ht="15.95" customHeight="1" thickTop="1" x14ac:dyDescent="0.25">
      <c r="A248" s="86">
        <v>246</v>
      </c>
      <c r="B248" s="84">
        <f t="shared" si="124"/>
        <v>42893</v>
      </c>
      <c r="C248" s="29" t="s">
        <v>613</v>
      </c>
      <c r="D248" s="59" t="s">
        <v>904</v>
      </c>
      <c r="E248" s="22" t="s">
        <v>493</v>
      </c>
      <c r="F248" s="295" t="s">
        <v>972</v>
      </c>
      <c r="G248" s="324">
        <f>SUMIFS(МОЛОКО!L9:L6958,МОЛОКО!F9:F6958,"2440",МОЛОКО!L9:L6958,"&gt;0")</f>
        <v>0</v>
      </c>
      <c r="H248" s="28" t="s">
        <v>603</v>
      </c>
      <c r="I248" s="20">
        <v>41983</v>
      </c>
      <c r="J248" s="240">
        <f t="shared" si="131"/>
        <v>2.493150684931507</v>
      </c>
      <c r="K248" s="240">
        <f t="shared" si="145"/>
        <v>30.333333333333332</v>
      </c>
      <c r="L248" s="298">
        <f t="shared" si="146"/>
        <v>910</v>
      </c>
      <c r="M248" s="60">
        <v>42635</v>
      </c>
      <c r="N248" s="32">
        <v>42635</v>
      </c>
      <c r="O248" s="82">
        <f t="shared" si="132"/>
        <v>258</v>
      </c>
      <c r="P248" s="19">
        <v>1</v>
      </c>
      <c r="Q248" s="68" t="s">
        <v>1451</v>
      </c>
      <c r="R248" s="118" t="s">
        <v>1809</v>
      </c>
      <c r="S248" s="21">
        <v>42692</v>
      </c>
      <c r="T248" s="20">
        <v>42692</v>
      </c>
      <c r="U248" s="20" t="str">
        <f t="shared" si="133"/>
        <v>-</v>
      </c>
      <c r="V248" s="19" t="str">
        <f t="shared" si="134"/>
        <v>-</v>
      </c>
      <c r="W248" s="3">
        <v>1</v>
      </c>
      <c r="X248" s="22">
        <f t="shared" si="147"/>
        <v>57</v>
      </c>
      <c r="Y248" s="22">
        <v>1</v>
      </c>
      <c r="Z248" s="22" t="str">
        <f t="shared" si="135"/>
        <v>-</v>
      </c>
      <c r="AA248" s="20" t="str">
        <f t="shared" si="136"/>
        <v>-</v>
      </c>
      <c r="AB248" s="94" t="str">
        <f t="shared" si="137"/>
        <v>---------</v>
      </c>
      <c r="AC248" s="21">
        <v>42734</v>
      </c>
      <c r="AD248" s="21">
        <f t="shared" si="138"/>
        <v>42882</v>
      </c>
      <c r="AE248" s="21">
        <f t="shared" si="139"/>
        <v>42912</v>
      </c>
      <c r="AF248" s="85"/>
      <c r="AG248" s="21">
        <f t="shared" si="140"/>
        <v>42951</v>
      </c>
      <c r="AH248" s="21">
        <f t="shared" si="144"/>
        <v>42972</v>
      </c>
      <c r="AI248" s="89">
        <f t="shared" si="141"/>
        <v>-79</v>
      </c>
      <c r="AJ248" s="92">
        <v>1</v>
      </c>
      <c r="AK248" s="80" t="str">
        <f t="shared" si="143"/>
        <v>-</v>
      </c>
      <c r="AL248" s="80"/>
      <c r="AM248" s="22" t="str">
        <f t="shared" si="129"/>
        <v>-</v>
      </c>
      <c r="AN248" s="234"/>
      <c r="AO248" s="22" t="str">
        <f t="shared" si="130"/>
        <v>-</v>
      </c>
      <c r="AP248" s="300">
        <v>1</v>
      </c>
      <c r="AQ248" s="304" t="str">
        <f t="shared" si="150"/>
        <v>-</v>
      </c>
      <c r="AR248" s="121"/>
      <c r="AS248" s="300"/>
      <c r="AT248" s="305" t="str">
        <f t="shared" si="148"/>
        <v>ЖИВОТНОЕ НЕ ВАКЦИНИРОВАНО</v>
      </c>
      <c r="AU248" s="319" t="str">
        <f t="shared" si="149"/>
        <v>-</v>
      </c>
      <c r="AV248" s="321" t="str">
        <f t="shared" ref="AV248:AV257" si="151">IF(AND(L248&gt;60,AX248&lt;5),"ПОДЛЕЖИТ ВАКЦИНАЦИИ","-")</f>
        <v>ПОДЛЕЖИТ ВАКЦИНАЦИИ</v>
      </c>
      <c r="AW248" s="306"/>
      <c r="AX248" s="308"/>
      <c r="AY248" s="309" t="str">
        <f t="shared" ref="AY248:AY257" si="152">IF(AND(AW248&gt;0,AX248=5),B248-AW248,"-")</f>
        <v>-</v>
      </c>
      <c r="AZ248" s="310" t="str">
        <f t="shared" ref="AZ248:AZ257" si="153">IF(AND(AX248=5,AY248&gt;20,BC248&lt;5),"ТРЕБУЕТСЯ БУСТЕРНАЯ ДОЗА","-")</f>
        <v>-</v>
      </c>
      <c r="BA248" s="313" t="str">
        <f t="shared" ref="BA248:BA257" si="154">IF(AND(AW248&gt;0,AX248=5),AW248+21,"-")</f>
        <v>-</v>
      </c>
      <c r="BB248" s="306"/>
      <c r="BC248" s="318">
        <v>42893</v>
      </c>
      <c r="BD248" s="314" t="s">
        <v>2778</v>
      </c>
    </row>
    <row r="249" spans="1:56" s="2" customFormat="1" ht="15.95" customHeight="1" x14ac:dyDescent="0.25">
      <c r="A249" s="86">
        <v>247</v>
      </c>
      <c r="B249" s="84">
        <f t="shared" si="124"/>
        <v>42893</v>
      </c>
      <c r="C249" s="29" t="s">
        <v>615</v>
      </c>
      <c r="D249" s="59" t="s">
        <v>1633</v>
      </c>
      <c r="E249" s="22" t="s">
        <v>527</v>
      </c>
      <c r="F249" s="295" t="s">
        <v>1380</v>
      </c>
      <c r="G249" s="324">
        <v>19</v>
      </c>
      <c r="H249" s="28" t="s">
        <v>78</v>
      </c>
      <c r="I249" s="20">
        <v>41194</v>
      </c>
      <c r="J249" s="240">
        <f t="shared" ref="J249:J264" si="155">(B249-I249)/365</f>
        <v>4.6547945205479451</v>
      </c>
      <c r="K249" s="240">
        <f t="shared" si="145"/>
        <v>56.633333333333333</v>
      </c>
      <c r="L249" s="298">
        <f t="shared" si="146"/>
        <v>1699</v>
      </c>
      <c r="M249" s="60">
        <v>42140</v>
      </c>
      <c r="N249" s="32">
        <v>42473</v>
      </c>
      <c r="O249" s="82">
        <f t="shared" ref="O249:O264" si="156">IF(AND(B249&gt;0,N249&gt;0),B249-N249,"-")</f>
        <v>420</v>
      </c>
      <c r="P249" s="19">
        <v>2</v>
      </c>
      <c r="Q249" s="68" t="s">
        <v>1482</v>
      </c>
      <c r="R249" s="118" t="s">
        <v>1874</v>
      </c>
      <c r="S249" s="21">
        <v>42582</v>
      </c>
      <c r="T249" s="20">
        <v>42863</v>
      </c>
      <c r="U249" s="20">
        <f t="shared" ref="U249:U264" si="157">IF(AND(Y249&gt;1,T249&gt;0),T249+18,"-")</f>
        <v>42881</v>
      </c>
      <c r="V249" s="19">
        <f t="shared" ref="V249:V264" si="158">IF(AND(U249&gt;0,B249&gt;0,Y249&gt;1),B249-U249,"-")</f>
        <v>12</v>
      </c>
      <c r="W249" s="3">
        <v>7</v>
      </c>
      <c r="X249" s="22">
        <f t="shared" si="147"/>
        <v>390</v>
      </c>
      <c r="Y249" s="22">
        <v>3</v>
      </c>
      <c r="Z249" s="22" t="str">
        <f t="shared" ref="Z249:Z257" si="159">IF(AND(O249&gt;140,Y249=0,N249&gt;0),"яловая","-")</f>
        <v>-</v>
      </c>
      <c r="AA249" s="20">
        <f t="shared" ref="AA249:AA257" si="160">IF(AND(T249&gt;0,OR(Y249=3,Y249=2)),T249+35,"-")</f>
        <v>42898</v>
      </c>
      <c r="AB249" s="94">
        <f t="shared" ref="AB249:AB257" si="161">IF(AND(T249&gt;0,W249&gt;0,Q249&gt;0,OR(Y249=3,Y249=2)),B249-AA249,"---------")</f>
        <v>-5</v>
      </c>
      <c r="AC249" s="21">
        <v>42857</v>
      </c>
      <c r="AD249" s="21" t="str">
        <f t="shared" ref="AD249:AD257" si="162">IF(AND($T249&gt;0,$N249&gt;0,$Y249=1),$T249+280-90,"-")</f>
        <v>-</v>
      </c>
      <c r="AE249" s="21" t="str">
        <f t="shared" ref="AE249:AE257" si="163">IF(AND(T249&gt;0,Y249=1,N249&gt;0),T249+280-60,"-")</f>
        <v>-</v>
      </c>
      <c r="AF249" s="85"/>
      <c r="AG249" s="21" t="str">
        <f t="shared" ref="AG249:AG257" si="164">IF(AND($T249&gt;0,$Y249=1),$T249+280-21,"-")</f>
        <v>-</v>
      </c>
      <c r="AH249" s="21" t="str">
        <f t="shared" si="144"/>
        <v>-</v>
      </c>
      <c r="AI249" s="89" t="str">
        <f t="shared" ref="AI249:AI257" si="165">IF(AND(B249&gt;0,AH249&gt;0,AC249&gt;0,Y249=1),B249-AH249,"-")</f>
        <v>-</v>
      </c>
      <c r="AJ249" s="92">
        <v>1</v>
      </c>
      <c r="AK249" s="80" t="str">
        <f t="shared" si="143"/>
        <v>-</v>
      </c>
      <c r="AL249" s="80"/>
      <c r="AM249" s="22" t="str">
        <f t="shared" si="129"/>
        <v>-</v>
      </c>
      <c r="AN249" s="234"/>
      <c r="AO249" s="22" t="str">
        <f t="shared" si="130"/>
        <v>-</v>
      </c>
      <c r="AP249" s="300">
        <v>1</v>
      </c>
      <c r="AQ249" s="304" t="str">
        <f t="shared" si="150"/>
        <v>-</v>
      </c>
      <c r="AR249" s="121"/>
      <c r="AS249" s="300"/>
      <c r="AT249" s="305" t="str">
        <f t="shared" si="148"/>
        <v>ЖИВОТНОЕ НЕ ВАКЦИНИРОВАНО</v>
      </c>
      <c r="AU249" s="319" t="str">
        <f t="shared" si="149"/>
        <v>-</v>
      </c>
      <c r="AV249" s="321" t="str">
        <f t="shared" si="151"/>
        <v>ПОДЛЕЖИТ ВАКЦИНАЦИИ</v>
      </c>
      <c r="AW249" s="306"/>
      <c r="AX249" s="308"/>
      <c r="AY249" s="309" t="str">
        <f t="shared" si="152"/>
        <v>-</v>
      </c>
      <c r="AZ249" s="310" t="str">
        <f t="shared" si="153"/>
        <v>-</v>
      </c>
      <c r="BA249" s="313" t="str">
        <f t="shared" si="154"/>
        <v>-</v>
      </c>
      <c r="BB249" s="306"/>
      <c r="BC249" s="318">
        <v>42893</v>
      </c>
      <c r="BD249" s="314" t="s">
        <v>2778</v>
      </c>
    </row>
    <row r="250" spans="1:56" s="2" customFormat="1" ht="15.95" customHeight="1" x14ac:dyDescent="0.25">
      <c r="A250" s="86">
        <v>248</v>
      </c>
      <c r="B250" s="84">
        <f t="shared" si="124"/>
        <v>42894</v>
      </c>
      <c r="C250" s="29" t="s">
        <v>614</v>
      </c>
      <c r="D250" s="59" t="s">
        <v>504</v>
      </c>
      <c r="E250" s="22" t="s">
        <v>762</v>
      </c>
      <c r="F250" s="295" t="s">
        <v>763</v>
      </c>
      <c r="G250" s="324">
        <f>SUMIFS(МОЛОКО!L9:L6958,МОЛОКО!F9:F6958,"1615",МОЛОКО!L9:L6958,"&gt;0")</f>
        <v>0</v>
      </c>
      <c r="H250" s="28" t="s">
        <v>603</v>
      </c>
      <c r="I250" s="20">
        <v>41087</v>
      </c>
      <c r="J250" s="240">
        <f t="shared" si="155"/>
        <v>4.9506849315068493</v>
      </c>
      <c r="K250" s="240">
        <f t="shared" si="145"/>
        <v>60.233333333333334</v>
      </c>
      <c r="L250" s="298">
        <f t="shared" si="146"/>
        <v>1807</v>
      </c>
      <c r="M250" s="60">
        <v>41798</v>
      </c>
      <c r="N250" s="32">
        <v>42835</v>
      </c>
      <c r="O250" s="82">
        <f t="shared" si="156"/>
        <v>59</v>
      </c>
      <c r="P250" s="19">
        <v>3</v>
      </c>
      <c r="Q250" s="68"/>
      <c r="R250" s="118"/>
      <c r="S250" s="21"/>
      <c r="T250" s="20"/>
      <c r="U250" s="20" t="str">
        <f t="shared" si="157"/>
        <v>-</v>
      </c>
      <c r="V250" s="19" t="str">
        <f t="shared" si="158"/>
        <v>-</v>
      </c>
      <c r="W250" s="3">
        <v>0</v>
      </c>
      <c r="X250" s="22" t="str">
        <f t="shared" si="147"/>
        <v>-</v>
      </c>
      <c r="Y250" s="22">
        <v>0</v>
      </c>
      <c r="Z250" s="22" t="str">
        <f t="shared" si="159"/>
        <v>-</v>
      </c>
      <c r="AA250" s="20" t="str">
        <f t="shared" si="160"/>
        <v>-</v>
      </c>
      <c r="AB250" s="94" t="str">
        <f t="shared" si="161"/>
        <v>---------</v>
      </c>
      <c r="AC250" s="21"/>
      <c r="AD250" s="21" t="str">
        <f t="shared" si="162"/>
        <v>-</v>
      </c>
      <c r="AE250" s="21" t="str">
        <f t="shared" si="163"/>
        <v>-</v>
      </c>
      <c r="AF250" s="85"/>
      <c r="AG250" s="21" t="str">
        <f t="shared" si="164"/>
        <v>-</v>
      </c>
      <c r="AH250" s="21" t="str">
        <f t="shared" si="144"/>
        <v>-</v>
      </c>
      <c r="AI250" s="89" t="str">
        <f t="shared" si="165"/>
        <v>-</v>
      </c>
      <c r="AJ250" s="92">
        <v>1</v>
      </c>
      <c r="AK250" s="80" t="str">
        <f t="shared" si="143"/>
        <v>-</v>
      </c>
      <c r="AL250" s="80"/>
      <c r="AM250" s="22" t="str">
        <f t="shared" si="129"/>
        <v>-</v>
      </c>
      <c r="AN250" s="234"/>
      <c r="AO250" s="22" t="str">
        <f t="shared" si="130"/>
        <v>-</v>
      </c>
      <c r="AP250" s="300">
        <v>1</v>
      </c>
      <c r="AQ250" s="304" t="str">
        <f t="shared" si="150"/>
        <v>-</v>
      </c>
      <c r="AR250" s="121"/>
      <c r="AS250" s="300"/>
      <c r="AT250" s="305" t="str">
        <f t="shared" si="148"/>
        <v>ЖИВОТНОЕ НЕ ВАКЦИНИРОВАНО</v>
      </c>
      <c r="AU250" s="319" t="str">
        <f t="shared" si="149"/>
        <v>-</v>
      </c>
      <c r="AV250" s="321" t="str">
        <f t="shared" si="151"/>
        <v>ПОДЛЕЖИТ ВАКЦИНАЦИИ</v>
      </c>
      <c r="AW250" s="306"/>
      <c r="AX250" s="308"/>
      <c r="AY250" s="309" t="str">
        <f t="shared" si="152"/>
        <v>-</v>
      </c>
      <c r="AZ250" s="310" t="str">
        <f t="shared" si="153"/>
        <v>-</v>
      </c>
      <c r="BA250" s="313" t="str">
        <f t="shared" si="154"/>
        <v>-</v>
      </c>
      <c r="BB250" s="306"/>
      <c r="BC250" s="318">
        <v>42894</v>
      </c>
      <c r="BD250" s="325" t="s">
        <v>2668</v>
      </c>
    </row>
    <row r="251" spans="1:56" s="2" customFormat="1" ht="15.95" customHeight="1" x14ac:dyDescent="0.25">
      <c r="A251" s="86">
        <v>249</v>
      </c>
      <c r="B251" s="84">
        <f t="shared" si="124"/>
        <v>42894</v>
      </c>
      <c r="C251" s="29" t="s">
        <v>614</v>
      </c>
      <c r="D251" s="59" t="s">
        <v>504</v>
      </c>
      <c r="E251" s="22" t="s">
        <v>601</v>
      </c>
      <c r="F251" s="295" t="s">
        <v>602</v>
      </c>
      <c r="G251" s="324">
        <f>SUMIFS(МОЛОКО!L9:L6958,МОЛОКО!F9:F6958,"1633",МОЛОКО!L9:L6958,"&gt;0")</f>
        <v>0</v>
      </c>
      <c r="H251" s="28" t="s">
        <v>603</v>
      </c>
      <c r="I251" s="20">
        <v>41111</v>
      </c>
      <c r="J251" s="240">
        <f t="shared" si="155"/>
        <v>4.8849315068493153</v>
      </c>
      <c r="K251" s="240">
        <f t="shared" si="145"/>
        <v>59.43333333333333</v>
      </c>
      <c r="L251" s="298">
        <f t="shared" si="146"/>
        <v>1783</v>
      </c>
      <c r="M251" s="60">
        <v>41884</v>
      </c>
      <c r="N251" s="32">
        <v>42776</v>
      </c>
      <c r="O251" s="82">
        <f t="shared" si="156"/>
        <v>118</v>
      </c>
      <c r="P251" s="19">
        <v>3</v>
      </c>
      <c r="Q251" s="68" t="s">
        <v>1451</v>
      </c>
      <c r="R251" s="118" t="s">
        <v>2610</v>
      </c>
      <c r="S251" s="21">
        <v>42838</v>
      </c>
      <c r="T251" s="20">
        <v>42838</v>
      </c>
      <c r="U251" s="20" t="str">
        <f t="shared" si="157"/>
        <v>-</v>
      </c>
      <c r="V251" s="19" t="str">
        <f t="shared" si="158"/>
        <v>-</v>
      </c>
      <c r="W251" s="3">
        <v>1</v>
      </c>
      <c r="X251" s="22">
        <f t="shared" si="147"/>
        <v>62</v>
      </c>
      <c r="Y251" s="22">
        <v>0</v>
      </c>
      <c r="Z251" s="22" t="str">
        <f t="shared" si="159"/>
        <v>-</v>
      </c>
      <c r="AA251" s="20" t="str">
        <f t="shared" si="160"/>
        <v>-</v>
      </c>
      <c r="AB251" s="94" t="str">
        <f t="shared" si="161"/>
        <v>---------</v>
      </c>
      <c r="AC251" s="21">
        <v>42881</v>
      </c>
      <c r="AD251" s="21" t="str">
        <f t="shared" si="162"/>
        <v>-</v>
      </c>
      <c r="AE251" s="21" t="str">
        <f t="shared" si="163"/>
        <v>-</v>
      </c>
      <c r="AF251" s="85"/>
      <c r="AG251" s="21" t="str">
        <f t="shared" si="164"/>
        <v>-</v>
      </c>
      <c r="AH251" s="21" t="str">
        <f t="shared" si="144"/>
        <v>-</v>
      </c>
      <c r="AI251" s="89" t="str">
        <f t="shared" si="165"/>
        <v>-</v>
      </c>
      <c r="AJ251" s="92">
        <v>1</v>
      </c>
      <c r="AK251" s="80" t="str">
        <f t="shared" si="143"/>
        <v>-</v>
      </c>
      <c r="AL251" s="80"/>
      <c r="AM251" s="22" t="str">
        <f t="shared" si="129"/>
        <v>-</v>
      </c>
      <c r="AN251" s="234"/>
      <c r="AO251" s="22" t="str">
        <f t="shared" si="130"/>
        <v>-</v>
      </c>
      <c r="AP251" s="300">
        <v>1</v>
      </c>
      <c r="AQ251" s="304" t="str">
        <f t="shared" si="150"/>
        <v>-</v>
      </c>
      <c r="AR251" s="121"/>
      <c r="AS251" s="300"/>
      <c r="AT251" s="305" t="str">
        <f t="shared" si="148"/>
        <v>ЖИВОТНОЕ НЕ ВАКЦИНИРОВАНО</v>
      </c>
      <c r="AU251" s="319" t="str">
        <f t="shared" si="149"/>
        <v>-</v>
      </c>
      <c r="AV251" s="321" t="str">
        <f t="shared" si="151"/>
        <v>ПОДЛЕЖИТ ВАКЦИНАЦИИ</v>
      </c>
      <c r="AW251" s="306"/>
      <c r="AX251" s="308"/>
      <c r="AY251" s="309" t="str">
        <f t="shared" si="152"/>
        <v>-</v>
      </c>
      <c r="AZ251" s="310" t="str">
        <f t="shared" si="153"/>
        <v>-</v>
      </c>
      <c r="BA251" s="313" t="str">
        <f t="shared" si="154"/>
        <v>-</v>
      </c>
      <c r="BB251" s="306"/>
      <c r="BC251" s="318">
        <v>42894</v>
      </c>
      <c r="BD251" s="363" t="str">
        <f t="shared" ref="BD251:BD257" si="166">IF(AND(BB251&gt;0,BC251=5),H251-BB251,"-")</f>
        <v>-</v>
      </c>
    </row>
    <row r="252" spans="1:56" s="2" customFormat="1" ht="15.95" customHeight="1" x14ac:dyDescent="0.25">
      <c r="A252" s="86">
        <v>250</v>
      </c>
      <c r="B252" s="84">
        <f t="shared" si="124"/>
        <v>42894</v>
      </c>
      <c r="C252" s="29" t="s">
        <v>2404</v>
      </c>
      <c r="D252" s="59" t="s">
        <v>1456</v>
      </c>
      <c r="E252" s="22" t="s">
        <v>816</v>
      </c>
      <c r="F252" s="27" t="s">
        <v>817</v>
      </c>
      <c r="G252" s="324">
        <v>24.5</v>
      </c>
      <c r="H252" s="28" t="s">
        <v>603</v>
      </c>
      <c r="I252" s="20">
        <v>40993</v>
      </c>
      <c r="J252" s="240">
        <f t="shared" si="155"/>
        <v>5.2082191780821914</v>
      </c>
      <c r="K252" s="240">
        <f t="shared" si="145"/>
        <v>63.366666666666667</v>
      </c>
      <c r="L252" s="298">
        <f t="shared" si="146"/>
        <v>1901</v>
      </c>
      <c r="M252" s="60">
        <v>41740</v>
      </c>
      <c r="N252" s="32">
        <v>42883</v>
      </c>
      <c r="O252" s="82">
        <f t="shared" si="156"/>
        <v>11</v>
      </c>
      <c r="P252" s="19">
        <v>4</v>
      </c>
      <c r="Q252" s="68"/>
      <c r="R252" s="118"/>
      <c r="S252" s="21"/>
      <c r="T252" s="20"/>
      <c r="U252" s="20" t="str">
        <f t="shared" si="157"/>
        <v>-</v>
      </c>
      <c r="V252" s="19" t="str">
        <f t="shared" si="158"/>
        <v>-</v>
      </c>
      <c r="W252" s="3">
        <v>0</v>
      </c>
      <c r="X252" s="22" t="str">
        <f t="shared" si="147"/>
        <v>-</v>
      </c>
      <c r="Y252" s="22">
        <v>0</v>
      </c>
      <c r="Z252" s="22" t="str">
        <f t="shared" si="159"/>
        <v>-</v>
      </c>
      <c r="AA252" s="20" t="str">
        <f t="shared" si="160"/>
        <v>-</v>
      </c>
      <c r="AB252" s="94" t="str">
        <f t="shared" si="161"/>
        <v>---------</v>
      </c>
      <c r="AC252" s="21"/>
      <c r="AD252" s="21" t="str">
        <f t="shared" si="162"/>
        <v>-</v>
      </c>
      <c r="AE252" s="21" t="str">
        <f t="shared" si="163"/>
        <v>-</v>
      </c>
      <c r="AF252" s="85"/>
      <c r="AG252" s="21" t="str">
        <f t="shared" si="164"/>
        <v>-</v>
      </c>
      <c r="AH252" s="21" t="str">
        <f t="shared" si="144"/>
        <v>-</v>
      </c>
      <c r="AI252" s="89" t="str">
        <f t="shared" si="165"/>
        <v>-</v>
      </c>
      <c r="AJ252" s="92">
        <v>1</v>
      </c>
      <c r="AK252" s="80" t="str">
        <f t="shared" si="143"/>
        <v>-</v>
      </c>
      <c r="AL252" s="80"/>
      <c r="AM252" s="22" t="str">
        <f t="shared" si="129"/>
        <v>-</v>
      </c>
      <c r="AN252" s="234"/>
      <c r="AO252" s="22" t="str">
        <f t="shared" si="130"/>
        <v>-</v>
      </c>
      <c r="AP252" s="300"/>
      <c r="AQ252" s="304" t="str">
        <f t="shared" si="150"/>
        <v>-</v>
      </c>
      <c r="AR252" s="121"/>
      <c r="AS252" s="300"/>
      <c r="AT252" s="305" t="str">
        <f t="shared" si="148"/>
        <v>ЖИВОТНОЕ НЕ ВАКЦИНИРОВАНО</v>
      </c>
      <c r="AU252" s="319" t="str">
        <f t="shared" si="149"/>
        <v>-</v>
      </c>
      <c r="AV252" s="321" t="str">
        <f t="shared" si="151"/>
        <v>ПОДЛЕЖИТ ВАКЦИНАЦИИ</v>
      </c>
      <c r="AW252" s="306"/>
      <c r="AX252" s="308"/>
      <c r="AY252" s="309" t="str">
        <f t="shared" si="152"/>
        <v>-</v>
      </c>
      <c r="AZ252" s="310" t="str">
        <f t="shared" si="153"/>
        <v>-</v>
      </c>
      <c r="BA252" s="313" t="str">
        <f t="shared" si="154"/>
        <v>-</v>
      </c>
      <c r="BB252" s="306"/>
      <c r="BC252" s="318">
        <v>42894</v>
      </c>
      <c r="BD252" s="363" t="str">
        <f t="shared" si="166"/>
        <v>-</v>
      </c>
    </row>
    <row r="253" spans="1:56" s="2" customFormat="1" ht="15.95" customHeight="1" x14ac:dyDescent="0.25">
      <c r="A253" s="86">
        <v>251</v>
      </c>
      <c r="B253" s="84">
        <f t="shared" si="124"/>
        <v>42897</v>
      </c>
      <c r="C253" s="29" t="s">
        <v>2404</v>
      </c>
      <c r="D253" s="59" t="s">
        <v>1456</v>
      </c>
      <c r="E253" s="22" t="s">
        <v>323</v>
      </c>
      <c r="F253" s="27" t="s">
        <v>773</v>
      </c>
      <c r="G253" s="324"/>
      <c r="H253" s="28" t="s">
        <v>721</v>
      </c>
      <c r="I253" s="20">
        <v>41080</v>
      </c>
      <c r="J253" s="240">
        <f t="shared" si="155"/>
        <v>4.978082191780822</v>
      </c>
      <c r="K253" s="240">
        <f t="shared" si="145"/>
        <v>60.56666666666667</v>
      </c>
      <c r="L253" s="298">
        <f t="shared" si="146"/>
        <v>1817</v>
      </c>
      <c r="M253" s="60">
        <v>41870</v>
      </c>
      <c r="N253" s="32">
        <v>42895</v>
      </c>
      <c r="O253" s="82">
        <f t="shared" si="156"/>
        <v>2</v>
      </c>
      <c r="P253" s="19">
        <v>3</v>
      </c>
      <c r="Q253" s="68"/>
      <c r="R253" s="118"/>
      <c r="S253" s="21"/>
      <c r="T253" s="20"/>
      <c r="U253" s="20" t="str">
        <f t="shared" si="157"/>
        <v>-</v>
      </c>
      <c r="V253" s="19" t="str">
        <f t="shared" si="158"/>
        <v>-</v>
      </c>
      <c r="W253" s="3">
        <v>0</v>
      </c>
      <c r="X253" s="22" t="str">
        <f t="shared" si="147"/>
        <v>-</v>
      </c>
      <c r="Y253" s="22">
        <v>0</v>
      </c>
      <c r="Z253" s="22" t="str">
        <f t="shared" si="159"/>
        <v>-</v>
      </c>
      <c r="AA253" s="20" t="str">
        <f t="shared" si="160"/>
        <v>-</v>
      </c>
      <c r="AB253" s="94" t="str">
        <f t="shared" si="161"/>
        <v>---------</v>
      </c>
      <c r="AC253" s="21"/>
      <c r="AD253" s="21" t="str">
        <f t="shared" si="162"/>
        <v>-</v>
      </c>
      <c r="AE253" s="21" t="str">
        <f t="shared" si="163"/>
        <v>-</v>
      </c>
      <c r="AF253" s="85"/>
      <c r="AG253" s="21" t="str">
        <f t="shared" si="164"/>
        <v>-</v>
      </c>
      <c r="AH253" s="21" t="str">
        <f t="shared" si="144"/>
        <v>-</v>
      </c>
      <c r="AI253" s="89" t="str">
        <f t="shared" si="165"/>
        <v>-</v>
      </c>
      <c r="AJ253" s="92">
        <v>1</v>
      </c>
      <c r="AK253" s="80" t="str">
        <f t="shared" si="143"/>
        <v>-</v>
      </c>
      <c r="AL253" s="80"/>
      <c r="AM253" s="22" t="str">
        <f t="shared" si="129"/>
        <v>-</v>
      </c>
      <c r="AN253" s="234"/>
      <c r="AO253" s="22" t="str">
        <f t="shared" si="130"/>
        <v>-</v>
      </c>
      <c r="AP253" s="300"/>
      <c r="AQ253" s="304" t="str">
        <f t="shared" si="150"/>
        <v>-</v>
      </c>
      <c r="AR253" s="121"/>
      <c r="AS253" s="300"/>
      <c r="AT253" s="305" t="str">
        <f t="shared" si="148"/>
        <v>ЖИВОТНОЕ НЕ ВАКЦИНИРОВАНО</v>
      </c>
      <c r="AU253" s="319" t="str">
        <f t="shared" si="149"/>
        <v>-</v>
      </c>
      <c r="AV253" s="321" t="str">
        <f t="shared" si="151"/>
        <v>ПОДЛЕЖИТ ВАКЦИНАЦИИ</v>
      </c>
      <c r="AW253" s="306"/>
      <c r="AX253" s="308"/>
      <c r="AY253" s="309" t="str">
        <f t="shared" si="152"/>
        <v>-</v>
      </c>
      <c r="AZ253" s="310" t="str">
        <f t="shared" si="153"/>
        <v>-</v>
      </c>
      <c r="BA253" s="313" t="str">
        <f t="shared" si="154"/>
        <v>-</v>
      </c>
      <c r="BB253" s="306"/>
      <c r="BC253" s="318">
        <v>42897</v>
      </c>
      <c r="BD253" s="363" t="str">
        <f t="shared" si="166"/>
        <v>-</v>
      </c>
    </row>
    <row r="254" spans="1:56" s="2" customFormat="1" ht="15.95" customHeight="1" x14ac:dyDescent="0.25">
      <c r="A254" s="86">
        <v>252</v>
      </c>
      <c r="B254" s="84">
        <f t="shared" si="124"/>
        <v>42905</v>
      </c>
      <c r="C254" s="29" t="s">
        <v>2404</v>
      </c>
      <c r="D254" s="59" t="s">
        <v>1456</v>
      </c>
      <c r="E254" s="22" t="s">
        <v>1105</v>
      </c>
      <c r="F254" s="27" t="s">
        <v>1826</v>
      </c>
      <c r="G254" s="324">
        <f>SUMIFS(МОЛОКО!L9:L6958,МОЛОКО!F9:F6958,"2674",МОЛОКО!L9:L6958,"&gt;0")</f>
        <v>0</v>
      </c>
      <c r="H254" s="28" t="s">
        <v>603</v>
      </c>
      <c r="I254" s="20">
        <v>42226</v>
      </c>
      <c r="J254" s="240">
        <f t="shared" si="155"/>
        <v>1.8602739726027397</v>
      </c>
      <c r="K254" s="240">
        <f t="shared" si="145"/>
        <v>22.633333333333333</v>
      </c>
      <c r="L254" s="298">
        <f t="shared" si="146"/>
        <v>679</v>
      </c>
      <c r="M254" s="60">
        <v>42902</v>
      </c>
      <c r="N254" s="32">
        <v>42902</v>
      </c>
      <c r="O254" s="82">
        <f t="shared" si="156"/>
        <v>3</v>
      </c>
      <c r="P254" s="19">
        <v>1</v>
      </c>
      <c r="Q254" s="68"/>
      <c r="R254" s="118"/>
      <c r="S254" s="21"/>
      <c r="T254" s="20"/>
      <c r="U254" s="20" t="str">
        <f t="shared" si="157"/>
        <v>-</v>
      </c>
      <c r="V254" s="19" t="str">
        <f t="shared" si="158"/>
        <v>-</v>
      </c>
      <c r="W254" s="3">
        <v>0</v>
      </c>
      <c r="X254" s="22" t="str">
        <f t="shared" si="147"/>
        <v>-</v>
      </c>
      <c r="Y254" s="22">
        <v>0</v>
      </c>
      <c r="Z254" s="22" t="str">
        <f t="shared" si="159"/>
        <v>-</v>
      </c>
      <c r="AA254" s="20" t="str">
        <f t="shared" si="160"/>
        <v>-</v>
      </c>
      <c r="AB254" s="94" t="str">
        <f t="shared" si="161"/>
        <v>---------</v>
      </c>
      <c r="AC254" s="21"/>
      <c r="AD254" s="21" t="str">
        <f t="shared" si="162"/>
        <v>-</v>
      </c>
      <c r="AE254" s="21" t="str">
        <f t="shared" si="163"/>
        <v>-</v>
      </c>
      <c r="AF254" s="85"/>
      <c r="AG254" s="21" t="str">
        <f t="shared" si="164"/>
        <v>-</v>
      </c>
      <c r="AH254" s="21" t="str">
        <f t="shared" si="144"/>
        <v>-</v>
      </c>
      <c r="AI254" s="89" t="str">
        <f t="shared" si="165"/>
        <v>-</v>
      </c>
      <c r="AJ254" s="92">
        <v>1</v>
      </c>
      <c r="AK254" s="80" t="str">
        <f t="shared" si="143"/>
        <v>-</v>
      </c>
      <c r="AL254" s="80"/>
      <c r="AM254" s="22" t="str">
        <f t="shared" si="129"/>
        <v>-</v>
      </c>
      <c r="AN254" s="234"/>
      <c r="AO254" s="22" t="str">
        <f t="shared" si="130"/>
        <v>-</v>
      </c>
      <c r="AP254" s="300"/>
      <c r="AQ254" s="304" t="str">
        <f>IF(AND(OR(E254="тёлочка",E254="бычок"),L254&gt;5,AS254&lt;2,L254&lt;60),"ПОДЛЕЖИТ ВАКЦИНАЦИИ","-")</f>
        <v>-</v>
      </c>
      <c r="AR254" s="121"/>
      <c r="AS254" s="326"/>
      <c r="AT254" s="305" t="str">
        <f t="shared" si="148"/>
        <v>ЖИВОТНОЕ НЕ ВАКЦИНИРОВАНО</v>
      </c>
      <c r="AU254" s="319" t="str">
        <f t="shared" si="149"/>
        <v>-</v>
      </c>
      <c r="AV254" s="321" t="str">
        <f t="shared" si="151"/>
        <v>ПОДЛЕЖИТ ВАКЦИНАЦИИ</v>
      </c>
      <c r="AW254" s="306"/>
      <c r="AX254" s="308"/>
      <c r="AY254" s="309" t="str">
        <f t="shared" si="152"/>
        <v>-</v>
      </c>
      <c r="AZ254" s="310" t="str">
        <f t="shared" si="153"/>
        <v>-</v>
      </c>
      <c r="BA254" s="313" t="str">
        <f t="shared" si="154"/>
        <v>-</v>
      </c>
      <c r="BB254" s="306"/>
      <c r="BC254" s="318">
        <v>42905</v>
      </c>
      <c r="BD254" s="363" t="str">
        <f t="shared" si="166"/>
        <v>-</v>
      </c>
    </row>
    <row r="255" spans="1:56" s="2" customFormat="1" ht="15.95" customHeight="1" x14ac:dyDescent="0.25">
      <c r="A255" s="86">
        <v>253</v>
      </c>
      <c r="B255" s="84">
        <f t="shared" si="124"/>
        <v>42906</v>
      </c>
      <c r="C255" s="29" t="s">
        <v>2404</v>
      </c>
      <c r="D255" s="59" t="s">
        <v>1456</v>
      </c>
      <c r="E255" s="22" t="s">
        <v>126</v>
      </c>
      <c r="F255" s="27" t="s">
        <v>127</v>
      </c>
      <c r="G255" s="324">
        <f>SUMIFS(МОЛОКО!L9:L6958,МОЛОКО!F9:F6958,"11053",МОЛОКО!L9:L6958,"&gt;0")</f>
        <v>0</v>
      </c>
      <c r="H255" s="28" t="s">
        <v>603</v>
      </c>
      <c r="I255" s="20">
        <v>40595</v>
      </c>
      <c r="J255" s="240">
        <f t="shared" si="155"/>
        <v>6.3315068493150681</v>
      </c>
      <c r="K255" s="240">
        <f t="shared" si="145"/>
        <v>77.033333333333331</v>
      </c>
      <c r="L255" s="298">
        <f t="shared" si="146"/>
        <v>2311</v>
      </c>
      <c r="M255" s="60">
        <v>41574</v>
      </c>
      <c r="N255" s="32">
        <v>42888</v>
      </c>
      <c r="O255" s="82">
        <f t="shared" si="156"/>
        <v>18</v>
      </c>
      <c r="P255" s="19">
        <v>4</v>
      </c>
      <c r="Q255" s="68"/>
      <c r="R255" s="118"/>
      <c r="S255" s="21"/>
      <c r="T255" s="20"/>
      <c r="U255" s="20" t="str">
        <f t="shared" si="157"/>
        <v>-</v>
      </c>
      <c r="V255" s="19" t="str">
        <f t="shared" si="158"/>
        <v>-</v>
      </c>
      <c r="W255" s="3">
        <v>0</v>
      </c>
      <c r="X255" s="22" t="str">
        <f t="shared" si="147"/>
        <v>-</v>
      </c>
      <c r="Y255" s="22">
        <v>0</v>
      </c>
      <c r="Z255" s="22" t="str">
        <f t="shared" si="159"/>
        <v>-</v>
      </c>
      <c r="AA255" s="20" t="str">
        <f t="shared" si="160"/>
        <v>-</v>
      </c>
      <c r="AB255" s="94" t="str">
        <f t="shared" si="161"/>
        <v>---------</v>
      </c>
      <c r="AC255" s="21"/>
      <c r="AD255" s="21" t="str">
        <f t="shared" si="162"/>
        <v>-</v>
      </c>
      <c r="AE255" s="21" t="str">
        <f t="shared" si="163"/>
        <v>-</v>
      </c>
      <c r="AF255" s="85"/>
      <c r="AG255" s="21" t="str">
        <f t="shared" si="164"/>
        <v>-</v>
      </c>
      <c r="AH255" s="21" t="str">
        <f t="shared" si="144"/>
        <v>-</v>
      </c>
      <c r="AI255" s="89" t="str">
        <f t="shared" si="165"/>
        <v>-</v>
      </c>
      <c r="AJ255" s="92">
        <v>1</v>
      </c>
      <c r="AK255" s="80" t="str">
        <f t="shared" si="143"/>
        <v>-</v>
      </c>
      <c r="AL255" s="80"/>
      <c r="AM255" s="22" t="str">
        <f t="shared" si="129"/>
        <v>-</v>
      </c>
      <c r="AN255" s="234"/>
      <c r="AO255" s="22" t="str">
        <f t="shared" si="130"/>
        <v>-</v>
      </c>
      <c r="AP255" s="300"/>
      <c r="AQ255" s="304" t="str">
        <f>IF(AND(OR(E255="тёлочка",E255="бычок"),L255&gt;5,AS255&lt;2,L255&lt;60),"ПОДЛЕЖИТ ВАКЦИНАЦИИ","-")</f>
        <v>-</v>
      </c>
      <c r="AR255" s="121"/>
      <c r="AS255" s="326"/>
      <c r="AT255" s="305" t="str">
        <f t="shared" si="148"/>
        <v>ЖИВОТНОЕ НЕ ВАКЦИНИРОВАНО</v>
      </c>
      <c r="AU255" s="319" t="str">
        <f t="shared" si="149"/>
        <v>-</v>
      </c>
      <c r="AV255" s="321" t="str">
        <f t="shared" si="151"/>
        <v>ПОДЛЕЖИТ ВАКЦИНАЦИИ</v>
      </c>
      <c r="AW255" s="306"/>
      <c r="AX255" s="308"/>
      <c r="AY255" s="309" t="str">
        <f t="shared" si="152"/>
        <v>-</v>
      </c>
      <c r="AZ255" s="310" t="str">
        <f t="shared" si="153"/>
        <v>-</v>
      </c>
      <c r="BA255" s="313" t="str">
        <f t="shared" si="154"/>
        <v>-</v>
      </c>
      <c r="BB255" s="306"/>
      <c r="BC255" s="318">
        <v>42906</v>
      </c>
      <c r="BD255" s="363" t="str">
        <f t="shared" si="166"/>
        <v>-</v>
      </c>
    </row>
    <row r="256" spans="1:56" s="2" customFormat="1" ht="15.95" customHeight="1" x14ac:dyDescent="0.25">
      <c r="A256" s="86">
        <v>254</v>
      </c>
      <c r="B256" s="84">
        <f t="shared" si="124"/>
        <v>42906</v>
      </c>
      <c r="C256" s="29" t="s">
        <v>2865</v>
      </c>
      <c r="D256" s="59" t="s">
        <v>2850</v>
      </c>
      <c r="E256" s="22" t="s">
        <v>1274</v>
      </c>
      <c r="F256" s="295" t="s">
        <v>1141</v>
      </c>
      <c r="G256" s="324">
        <f>SUMIFS(МОЛОКО!L9:L6958,МОЛОКО!F9:F6958,"2088",МОЛОКО!L9:L6958,"&gt;0")</f>
        <v>0</v>
      </c>
      <c r="H256" s="28" t="s">
        <v>603</v>
      </c>
      <c r="I256" s="20">
        <v>41639</v>
      </c>
      <c r="J256" s="240">
        <f t="shared" si="155"/>
        <v>3.4712328767123286</v>
      </c>
      <c r="K256" s="240">
        <f t="shared" si="145"/>
        <v>42.233333333333334</v>
      </c>
      <c r="L256" s="298">
        <f t="shared" si="146"/>
        <v>1267</v>
      </c>
      <c r="M256" s="60">
        <v>42561</v>
      </c>
      <c r="N256" s="32">
        <v>42561</v>
      </c>
      <c r="O256" s="82">
        <f t="shared" si="156"/>
        <v>345</v>
      </c>
      <c r="P256" s="19">
        <v>1</v>
      </c>
      <c r="Q256" s="68" t="s">
        <v>2366</v>
      </c>
      <c r="R256" s="118" t="s">
        <v>2294</v>
      </c>
      <c r="S256" s="21">
        <v>42655</v>
      </c>
      <c r="T256" s="20">
        <v>42791</v>
      </c>
      <c r="U256" s="20" t="str">
        <f t="shared" si="157"/>
        <v>-</v>
      </c>
      <c r="V256" s="19" t="str">
        <f t="shared" si="158"/>
        <v>-</v>
      </c>
      <c r="W256" s="3">
        <v>4</v>
      </c>
      <c r="X256" s="22">
        <f t="shared" si="147"/>
        <v>230</v>
      </c>
      <c r="Y256" s="22">
        <v>0</v>
      </c>
      <c r="Z256" s="22" t="str">
        <f t="shared" si="159"/>
        <v>яловая</v>
      </c>
      <c r="AA256" s="20" t="str">
        <f t="shared" si="160"/>
        <v>-</v>
      </c>
      <c r="AB256" s="94" t="str">
        <f t="shared" si="161"/>
        <v>---------</v>
      </c>
      <c r="AC256" s="21">
        <v>42832</v>
      </c>
      <c r="AD256" s="21" t="str">
        <f t="shared" si="162"/>
        <v>-</v>
      </c>
      <c r="AE256" s="21" t="str">
        <f t="shared" si="163"/>
        <v>-</v>
      </c>
      <c r="AF256" s="85"/>
      <c r="AG256" s="21" t="str">
        <f t="shared" si="164"/>
        <v>-</v>
      </c>
      <c r="AH256" s="21" t="str">
        <f t="shared" si="144"/>
        <v>-</v>
      </c>
      <c r="AI256" s="89" t="str">
        <f t="shared" si="165"/>
        <v>-</v>
      </c>
      <c r="AJ256" s="92">
        <v>1</v>
      </c>
      <c r="AK256" s="80" t="str">
        <f t="shared" si="143"/>
        <v>БРАК</v>
      </c>
      <c r="AL256" s="80"/>
      <c r="AM256" s="22" t="str">
        <f t="shared" si="129"/>
        <v>-</v>
      </c>
      <c r="AN256" s="234"/>
      <c r="AO256" s="22" t="str">
        <f t="shared" si="130"/>
        <v>-</v>
      </c>
      <c r="AP256" s="300">
        <v>1</v>
      </c>
      <c r="AQ256" s="304" t="str">
        <f>IF(AND(OR(E256="тёлочка",E256="бычок"),L256&gt;5,AS256&lt;2,L256&lt;60),"ПОДЛЕЖИТ ВАКЦИНАЦИИ","-")</f>
        <v>-</v>
      </c>
      <c r="AR256" s="121"/>
      <c r="AS256" s="326"/>
      <c r="AT256" s="305" t="str">
        <f t="shared" si="148"/>
        <v>ЖИВОТНОЕ НЕ ВАКЦИНИРОВАНО</v>
      </c>
      <c r="AU256" s="319" t="str">
        <f t="shared" si="149"/>
        <v>-</v>
      </c>
      <c r="AV256" s="321" t="str">
        <f t="shared" si="151"/>
        <v>-</v>
      </c>
      <c r="AW256" s="307">
        <v>42887</v>
      </c>
      <c r="AX256" s="308">
        <v>5</v>
      </c>
      <c r="AY256" s="309">
        <f t="shared" si="152"/>
        <v>19</v>
      </c>
      <c r="AZ256" s="310" t="str">
        <f t="shared" si="153"/>
        <v>-</v>
      </c>
      <c r="BA256" s="313">
        <f t="shared" si="154"/>
        <v>42908</v>
      </c>
      <c r="BB256" s="306"/>
      <c r="BC256" s="318">
        <v>42906</v>
      </c>
      <c r="BD256" s="363" t="str">
        <f t="shared" si="166"/>
        <v>-</v>
      </c>
    </row>
    <row r="257" spans="1:56" s="2" customFormat="1" ht="15.95" customHeight="1" x14ac:dyDescent="0.25">
      <c r="A257" s="86">
        <v>255</v>
      </c>
      <c r="B257" s="84">
        <f t="shared" si="124"/>
        <v>42906</v>
      </c>
      <c r="C257" s="29" t="s">
        <v>614</v>
      </c>
      <c r="D257" s="59" t="s">
        <v>2864</v>
      </c>
      <c r="E257" s="22" t="s">
        <v>1350</v>
      </c>
      <c r="F257" s="27" t="s">
        <v>1480</v>
      </c>
      <c r="G257" s="324">
        <f>SUMIFS(МОЛОКО!L9:L6958,МОЛОКО!F9:F6958,"2630",МОЛОКО!L9:L6958,"&gt;0")</f>
        <v>0</v>
      </c>
      <c r="H257" s="28" t="s">
        <v>603</v>
      </c>
      <c r="I257" s="20">
        <v>42140</v>
      </c>
      <c r="J257" s="240">
        <f t="shared" si="155"/>
        <v>2.0986301369863014</v>
      </c>
      <c r="K257" s="240">
        <f t="shared" si="145"/>
        <v>25.533333333333335</v>
      </c>
      <c r="L257" s="298">
        <f t="shared" si="146"/>
        <v>766</v>
      </c>
      <c r="M257" s="60">
        <v>42783</v>
      </c>
      <c r="N257" s="32">
        <v>42783</v>
      </c>
      <c r="O257" s="82">
        <f t="shared" si="156"/>
        <v>123</v>
      </c>
      <c r="P257" s="19">
        <v>1</v>
      </c>
      <c r="Q257" s="68" t="s">
        <v>2309</v>
      </c>
      <c r="R257" s="118" t="s">
        <v>2335</v>
      </c>
      <c r="S257" s="21">
        <v>42845</v>
      </c>
      <c r="T257" s="20">
        <v>42845</v>
      </c>
      <c r="U257" s="20" t="str">
        <f t="shared" si="157"/>
        <v>-</v>
      </c>
      <c r="V257" s="19" t="str">
        <f t="shared" si="158"/>
        <v>-</v>
      </c>
      <c r="W257" s="3">
        <v>1</v>
      </c>
      <c r="X257" s="22">
        <f t="shared" si="147"/>
        <v>62</v>
      </c>
      <c r="Y257" s="22">
        <v>0</v>
      </c>
      <c r="Z257" s="22" t="str">
        <f t="shared" si="159"/>
        <v>-</v>
      </c>
      <c r="AA257" s="20" t="str">
        <f t="shared" si="160"/>
        <v>-</v>
      </c>
      <c r="AB257" s="94" t="str">
        <f t="shared" si="161"/>
        <v>---------</v>
      </c>
      <c r="AC257" s="21">
        <v>42889</v>
      </c>
      <c r="AD257" s="21" t="str">
        <f t="shared" si="162"/>
        <v>-</v>
      </c>
      <c r="AE257" s="21" t="str">
        <f t="shared" si="163"/>
        <v>-</v>
      </c>
      <c r="AF257" s="85"/>
      <c r="AG257" s="21" t="str">
        <f t="shared" si="164"/>
        <v>-</v>
      </c>
      <c r="AH257" s="21" t="str">
        <f t="shared" si="144"/>
        <v>-</v>
      </c>
      <c r="AI257" s="89" t="str">
        <f t="shared" si="165"/>
        <v>-</v>
      </c>
      <c r="AJ257" s="92">
        <v>1</v>
      </c>
      <c r="AK257" s="80" t="str">
        <f t="shared" si="143"/>
        <v>-</v>
      </c>
      <c r="AL257" s="80"/>
      <c r="AM257" s="22" t="str">
        <f t="shared" si="129"/>
        <v>-</v>
      </c>
      <c r="AN257" s="234"/>
      <c r="AO257" s="22" t="str">
        <f t="shared" si="130"/>
        <v>-</v>
      </c>
      <c r="AP257" s="300"/>
      <c r="AQ257" s="304" t="str">
        <f>IF(AND(OR(E257="тёлочка",E257="бычок"),L257&gt;5,AS257&lt;2,L257&lt;60),"ПОДЛЕЖИТ ВАКЦИНАЦИИ","-")</f>
        <v>-</v>
      </c>
      <c r="AR257" s="121"/>
      <c r="AS257" s="326"/>
      <c r="AT257" s="305" t="str">
        <f t="shared" si="148"/>
        <v>ЖИВОТНОЕ НЕ ВАКЦИНИРОВАНО</v>
      </c>
      <c r="AU257" s="319" t="str">
        <f t="shared" si="149"/>
        <v>-</v>
      </c>
      <c r="AV257" s="321" t="str">
        <f t="shared" si="151"/>
        <v>-</v>
      </c>
      <c r="AW257" s="307">
        <v>42887</v>
      </c>
      <c r="AX257" s="308">
        <v>5</v>
      </c>
      <c r="AY257" s="309">
        <f t="shared" si="152"/>
        <v>19</v>
      </c>
      <c r="AZ257" s="310" t="str">
        <f t="shared" si="153"/>
        <v>-</v>
      </c>
      <c r="BA257" s="313">
        <f t="shared" si="154"/>
        <v>42908</v>
      </c>
      <c r="BB257" s="306"/>
      <c r="BC257" s="318">
        <v>42906</v>
      </c>
      <c r="BD257" s="363" t="str">
        <f t="shared" si="166"/>
        <v>-</v>
      </c>
    </row>
    <row r="258" spans="1:56" s="2" customFormat="1" ht="15.95" customHeight="1" x14ac:dyDescent="0.25">
      <c r="A258" s="86">
        <v>256</v>
      </c>
      <c r="B258" s="84">
        <f t="shared" si="124"/>
        <v>42919</v>
      </c>
      <c r="C258" s="29" t="s">
        <v>2404</v>
      </c>
      <c r="D258" s="327" t="s">
        <v>2432</v>
      </c>
      <c r="E258" s="22" t="s">
        <v>656</v>
      </c>
      <c r="F258" s="27" t="s">
        <v>657</v>
      </c>
      <c r="G258" s="324">
        <f>SUMIFS(МОЛОКО!L9:L6958,МОЛОКО!F9:F6958,"7159",МОЛОКО!L9:L6958,"&gt;0")</f>
        <v>0</v>
      </c>
      <c r="H258" s="28" t="s">
        <v>721</v>
      </c>
      <c r="I258" s="20">
        <v>41072</v>
      </c>
      <c r="J258" s="240">
        <f t="shared" si="155"/>
        <v>5.0602739726027401</v>
      </c>
      <c r="K258" s="240">
        <f t="shared" si="145"/>
        <v>61.56666666666667</v>
      </c>
      <c r="L258" s="298">
        <f t="shared" si="146"/>
        <v>1847</v>
      </c>
      <c r="M258" s="60">
        <v>41870</v>
      </c>
      <c r="N258" s="32">
        <v>42645</v>
      </c>
      <c r="O258" s="82">
        <f t="shared" si="156"/>
        <v>274</v>
      </c>
      <c r="P258" s="19">
        <v>3</v>
      </c>
      <c r="Q258" s="68" t="s">
        <v>1451</v>
      </c>
      <c r="R258" s="118" t="s">
        <v>1816</v>
      </c>
      <c r="S258" s="21">
        <v>42705</v>
      </c>
      <c r="T258" s="20">
        <v>42705</v>
      </c>
      <c r="U258" s="20" t="str">
        <f t="shared" si="157"/>
        <v>-</v>
      </c>
      <c r="V258" s="19" t="str">
        <f t="shared" si="158"/>
        <v>-</v>
      </c>
      <c r="W258" s="3">
        <v>1</v>
      </c>
      <c r="X258" s="22">
        <f t="shared" si="147"/>
        <v>60</v>
      </c>
      <c r="Y258" s="22">
        <v>1</v>
      </c>
      <c r="Z258" s="329" t="str">
        <f t="shared" ref="Z258:Z264" si="167">IF(AND(Y258=1,AA258&gt;71,OR(ISBLANK(AB258),AB258=2)),"ПОДЛЕЖИТ ПЕРЕПРОВЕРКЕ","-----")</f>
        <v>ПОДЛЕЖИТ ПЕРЕПРОВЕРКЕ</v>
      </c>
      <c r="AA258" s="328">
        <f t="shared" ref="AA258:AA264" si="168">IF(AND(O258&gt;-1,W258&gt;0,Y258=1,AB258=1),"-----",B258-T258)</f>
        <v>214</v>
      </c>
      <c r="AB258" s="19"/>
      <c r="AC258" s="331">
        <f t="shared" ref="AC258:AC264" si="169">IF(AND(AB258&lt;1,Z258="ПОДЛЕЖИТ ПЕРЕПРОВЕРКЕ",Y258=1),T258+72,"-----")</f>
        <v>42777</v>
      </c>
      <c r="AD258" s="20"/>
      <c r="AE258" s="22" t="str">
        <f t="shared" ref="AE258:AE264" si="170">IF(AND(O258&gt;140,Y258=0,N258&gt;0),"яловая","-")</f>
        <v>-</v>
      </c>
      <c r="AF258" s="20" t="str">
        <f t="shared" ref="AF258:AF264" si="171">IF(AND(T258&gt;0,OR(Y258=3,Y258=2)),T258+35,"-")</f>
        <v>-</v>
      </c>
      <c r="AG258" s="94" t="str">
        <f t="shared" ref="AG258:AG264" si="172">IF(AND(T258&gt;0,W258&gt;0,Q258&gt;0,OR(Y258=3,Y258=2)),B258-AF258,"---------")</f>
        <v>---------</v>
      </c>
      <c r="AH258" s="21">
        <v>42748</v>
      </c>
      <c r="AI258" s="21">
        <f t="shared" ref="AI258:AI264" si="173">IF(AND($T258&gt;0,$N258&gt;0,$Y258=1),$T258+280-90,"-")</f>
        <v>42895</v>
      </c>
      <c r="AJ258" s="21">
        <f t="shared" ref="AJ258:AJ264" si="174">IF(AND(T258&gt;0,Y258=1,N258&gt;0),T258+280-60,"-")</f>
        <v>42925</v>
      </c>
      <c r="AK258" s="85">
        <v>42907</v>
      </c>
      <c r="AL258" s="21">
        <f t="shared" ref="AL258:AL264" si="175">IF(AND($T258&gt;0,$Y258=1),$T258+280-21,"-")</f>
        <v>42964</v>
      </c>
      <c r="AM258" s="21">
        <f t="shared" ref="AM258:AM264" si="176">IF(AND(T258&gt;0,Y258=1),T258+280,"-")</f>
        <v>42985</v>
      </c>
      <c r="AN258" s="89">
        <f t="shared" ref="AN258:AN264" si="177">IF(AND(B258&gt;0,AM258&gt;0,AH258&gt;0,Y258=1),B258-AM258,"-")</f>
        <v>-66</v>
      </c>
      <c r="AO258" s="92">
        <v>1</v>
      </c>
      <c r="AP258" s="80" t="str">
        <f t="shared" ref="AP258:AP264" si="178">IF(AND(AE258="яловая",O258&gt;300),"БРАК","-")</f>
        <v>-</v>
      </c>
      <c r="AQ258" s="80"/>
      <c r="AR258" s="22" t="str">
        <f t="shared" ref="AR258:AR264" si="179">IF(AND(Y258=1,P258=0),"НЕТЕЛЬ","-")</f>
        <v>-</v>
      </c>
      <c r="AS258" s="234"/>
      <c r="AT258" s="22" t="str">
        <f t="shared" ref="AT258:AT264" si="180">IF(AND(N258&gt;0,T258&gt;0,W258&gt;0,Y258=1,AH258&gt;0,AK258&gt;0),"DRY COW","-")</f>
        <v>DRY COW</v>
      </c>
      <c r="AU258" s="300"/>
      <c r="AV258" s="304" t="str">
        <f>IF(AND(OR(E258="тёлочка",E258="бычок"),L258&gt;5,AX258&lt;2,L258&lt;60),"ПОДЛЕЖИТ ВАКЦИНАЦИИ","-")</f>
        <v>-</v>
      </c>
      <c r="AW258" s="121"/>
      <c r="AX258" s="326"/>
      <c r="AY258" s="330" t="str">
        <f t="shared" ref="AY258:AY264" si="181">IF(AND(AW258&gt;0,AX258=2),AW258-I258,"Ж-Е НЕ ВАКЦ.")</f>
        <v>Ж-Е НЕ ВАКЦ.</v>
      </c>
      <c r="AZ258" s="332" t="str">
        <f t="shared" ref="AZ258:AZ264" si="182">IF(AND(AW258&gt;0,AX258=2),B258-AW258,"-")</f>
        <v>-</v>
      </c>
      <c r="BA258" s="321" t="str">
        <f t="shared" ref="BA258:BA264" si="183">IF(AND(L258&gt;60,BC258&lt;5),"ПОДЛЕЖИТ ВАКЦИНАЦИИ","-")</f>
        <v>-</v>
      </c>
      <c r="BB258" s="307">
        <v>42887</v>
      </c>
      <c r="BC258" s="318">
        <v>42919</v>
      </c>
      <c r="BD258" s="363" t="str">
        <f>IF(AND(BB258&gt;0,BC258=5),B258-BB258,"-")</f>
        <v>-</v>
      </c>
    </row>
    <row r="259" spans="1:56" s="2" customFormat="1" ht="15.95" customHeight="1" x14ac:dyDescent="0.25">
      <c r="A259" s="86">
        <v>257</v>
      </c>
      <c r="B259" s="84">
        <f t="shared" si="124"/>
        <v>42919</v>
      </c>
      <c r="C259" s="29" t="s">
        <v>614</v>
      </c>
      <c r="D259" s="59" t="s">
        <v>2863</v>
      </c>
      <c r="E259" s="22" t="s">
        <v>724</v>
      </c>
      <c r="F259" s="27" t="s">
        <v>725</v>
      </c>
      <c r="G259" s="324">
        <f>SUMIFS(МОЛОКО!L9:L6958,МОЛОКО!F9:F6958,"1960",МОЛОКО!L9:L6958,"&gt;0")</f>
        <v>0</v>
      </c>
      <c r="H259" s="28" t="s">
        <v>603</v>
      </c>
      <c r="I259" s="20">
        <v>41530</v>
      </c>
      <c r="J259" s="240">
        <f t="shared" si="155"/>
        <v>3.8054794520547945</v>
      </c>
      <c r="K259" s="240">
        <f t="shared" si="145"/>
        <v>46.3</v>
      </c>
      <c r="L259" s="298">
        <f t="shared" si="146"/>
        <v>1389</v>
      </c>
      <c r="M259" s="60">
        <v>42388</v>
      </c>
      <c r="N259" s="32">
        <v>42773</v>
      </c>
      <c r="O259" s="82">
        <f t="shared" si="156"/>
        <v>146</v>
      </c>
      <c r="P259" s="19">
        <v>2</v>
      </c>
      <c r="Q259" s="68" t="s">
        <v>2309</v>
      </c>
      <c r="R259" s="118" t="s">
        <v>2663</v>
      </c>
      <c r="S259" s="21">
        <v>42831</v>
      </c>
      <c r="T259" s="20">
        <v>42851</v>
      </c>
      <c r="U259" s="20" t="str">
        <f t="shared" si="157"/>
        <v>-</v>
      </c>
      <c r="V259" s="19" t="str">
        <f t="shared" si="158"/>
        <v>-</v>
      </c>
      <c r="W259" s="3">
        <v>1</v>
      </c>
      <c r="X259" s="22">
        <f t="shared" si="147"/>
        <v>78</v>
      </c>
      <c r="Y259" s="22">
        <v>1</v>
      </c>
      <c r="Z259" s="329" t="str">
        <f t="shared" si="167"/>
        <v>-----</v>
      </c>
      <c r="AA259" s="328">
        <f t="shared" si="168"/>
        <v>68</v>
      </c>
      <c r="AB259" s="19"/>
      <c r="AC259" s="331" t="str">
        <f t="shared" si="169"/>
        <v>-----</v>
      </c>
      <c r="AD259" s="20"/>
      <c r="AE259" s="22" t="str">
        <f t="shared" si="170"/>
        <v>-</v>
      </c>
      <c r="AF259" s="20" t="str">
        <f t="shared" si="171"/>
        <v>-</v>
      </c>
      <c r="AG259" s="94" t="str">
        <f t="shared" si="172"/>
        <v>---------</v>
      </c>
      <c r="AH259" s="21">
        <v>42897</v>
      </c>
      <c r="AI259" s="21">
        <f t="shared" si="173"/>
        <v>43041</v>
      </c>
      <c r="AJ259" s="21">
        <f t="shared" si="174"/>
        <v>43071</v>
      </c>
      <c r="AK259" s="85"/>
      <c r="AL259" s="21">
        <f t="shared" si="175"/>
        <v>43110</v>
      </c>
      <c r="AM259" s="21">
        <f t="shared" si="176"/>
        <v>43131</v>
      </c>
      <c r="AN259" s="89">
        <f t="shared" si="177"/>
        <v>-212</v>
      </c>
      <c r="AO259" s="92">
        <v>1</v>
      </c>
      <c r="AP259" s="80" t="str">
        <f t="shared" si="178"/>
        <v>-</v>
      </c>
      <c r="AQ259" s="80"/>
      <c r="AR259" s="22" t="str">
        <f t="shared" si="179"/>
        <v>-</v>
      </c>
      <c r="AS259" s="234"/>
      <c r="AT259" s="22" t="str">
        <f t="shared" si="180"/>
        <v>-</v>
      </c>
      <c r="AU259" s="300"/>
      <c r="AV259" s="304" t="str">
        <f>IF(AND(OR(E259="тёлочка",E259="бычок"),L259&gt;5,AX259&lt;2,L259&lt;60),"ПОДЛЕЖИТ ВАКЦИНАЦИИ","-")</f>
        <v>-</v>
      </c>
      <c r="AW259" s="121"/>
      <c r="AX259" s="326"/>
      <c r="AY259" s="330" t="str">
        <f t="shared" si="181"/>
        <v>Ж-Е НЕ ВАКЦ.</v>
      </c>
      <c r="AZ259" s="332" t="str">
        <f t="shared" si="182"/>
        <v>-</v>
      </c>
      <c r="BA259" s="321" t="str">
        <f t="shared" si="183"/>
        <v>-</v>
      </c>
      <c r="BB259" s="307">
        <v>42887</v>
      </c>
      <c r="BC259" s="318">
        <v>42919</v>
      </c>
      <c r="BD259" s="363" t="str">
        <f>IF(AND(BB259&gt;0,BC259=5),B259-BB259,"-")</f>
        <v>-</v>
      </c>
    </row>
    <row r="260" spans="1:56" s="2" customFormat="1" ht="15.95" customHeight="1" x14ac:dyDescent="0.25">
      <c r="A260" s="86">
        <v>258</v>
      </c>
      <c r="B260" s="84">
        <f t="shared" si="124"/>
        <v>42933</v>
      </c>
      <c r="C260" s="29" t="s">
        <v>2865</v>
      </c>
      <c r="D260" s="59" t="s">
        <v>2850</v>
      </c>
      <c r="E260" s="22" t="s">
        <v>684</v>
      </c>
      <c r="F260" s="295" t="s">
        <v>685</v>
      </c>
      <c r="G260" s="324">
        <f>SUMIFS(МОЛОКО!L9:L6958,МОЛОКО!F9:F6958,"72",МОЛОКО!L9:L6958,"&gt;0")</f>
        <v>0</v>
      </c>
      <c r="H260" s="28" t="s">
        <v>603</v>
      </c>
      <c r="I260" s="20">
        <v>40917</v>
      </c>
      <c r="J260" s="240">
        <f t="shared" si="155"/>
        <v>5.5232876712328771</v>
      </c>
      <c r="K260" s="240">
        <f t="shared" si="145"/>
        <v>67.2</v>
      </c>
      <c r="L260" s="298">
        <f t="shared" si="146"/>
        <v>2016</v>
      </c>
      <c r="M260" s="60">
        <v>41782</v>
      </c>
      <c r="N260" s="32">
        <v>42799</v>
      </c>
      <c r="O260" s="82">
        <f t="shared" si="156"/>
        <v>134</v>
      </c>
      <c r="P260" s="19">
        <v>3</v>
      </c>
      <c r="Q260" s="68" t="s">
        <v>2366</v>
      </c>
      <c r="R260" s="118" t="s">
        <v>1810</v>
      </c>
      <c r="S260" s="21">
        <v>42866</v>
      </c>
      <c r="T260" s="20">
        <v>42914</v>
      </c>
      <c r="U260" s="20">
        <f t="shared" si="157"/>
        <v>42932</v>
      </c>
      <c r="V260" s="19">
        <f t="shared" si="158"/>
        <v>1</v>
      </c>
      <c r="W260" s="3">
        <v>2</v>
      </c>
      <c r="X260" s="22">
        <f t="shared" si="147"/>
        <v>115</v>
      </c>
      <c r="Y260" s="22">
        <v>3</v>
      </c>
      <c r="Z260" s="329" t="str">
        <f t="shared" si="167"/>
        <v>-----</v>
      </c>
      <c r="AA260" s="328">
        <f t="shared" si="168"/>
        <v>19</v>
      </c>
      <c r="AB260" s="19"/>
      <c r="AC260" s="331" t="str">
        <f t="shared" si="169"/>
        <v>-----</v>
      </c>
      <c r="AD260" s="20"/>
      <c r="AE260" s="22" t="str">
        <f t="shared" si="170"/>
        <v>-</v>
      </c>
      <c r="AF260" s="20">
        <f t="shared" si="171"/>
        <v>42949</v>
      </c>
      <c r="AG260" s="94">
        <f t="shared" si="172"/>
        <v>-16</v>
      </c>
      <c r="AH260" s="21">
        <v>42908</v>
      </c>
      <c r="AI260" s="21" t="str">
        <f t="shared" si="173"/>
        <v>-</v>
      </c>
      <c r="AJ260" s="21" t="str">
        <f t="shared" si="174"/>
        <v>-</v>
      </c>
      <c r="AK260" s="85"/>
      <c r="AL260" s="21" t="str">
        <f t="shared" si="175"/>
        <v>-</v>
      </c>
      <c r="AM260" s="21" t="str">
        <f t="shared" si="176"/>
        <v>-</v>
      </c>
      <c r="AN260" s="89" t="str">
        <f t="shared" si="177"/>
        <v>-</v>
      </c>
      <c r="AO260" s="92">
        <v>1</v>
      </c>
      <c r="AP260" s="80" t="str">
        <f t="shared" si="178"/>
        <v>-</v>
      </c>
      <c r="AQ260" s="80"/>
      <c r="AR260" s="22" t="str">
        <f t="shared" si="179"/>
        <v>-</v>
      </c>
      <c r="AS260" s="234"/>
      <c r="AT260" s="22" t="str">
        <f t="shared" si="180"/>
        <v>-</v>
      </c>
      <c r="AU260" s="300">
        <v>1</v>
      </c>
      <c r="AV260" s="304" t="str">
        <f t="shared" ref="AV260:AV267" si="184">IF(AND(OR(E260="тёлочка",E260="бычок"),L260&gt;0,AX260&lt;2,L260&lt;60),"ПОДЛЕЖИТ ВАКЦИНАЦИИ","-")</f>
        <v>-</v>
      </c>
      <c r="AW260" s="121"/>
      <c r="AX260" s="326"/>
      <c r="AY260" s="330" t="str">
        <f t="shared" si="181"/>
        <v>Ж-Е НЕ ВАКЦ.</v>
      </c>
      <c r="AZ260" s="332" t="str">
        <f t="shared" si="182"/>
        <v>-</v>
      </c>
      <c r="BA260" s="321" t="str">
        <f t="shared" si="183"/>
        <v>-</v>
      </c>
      <c r="BB260" s="307">
        <v>42887</v>
      </c>
      <c r="BC260" s="318">
        <v>42933</v>
      </c>
      <c r="BD260" s="363" t="s">
        <v>2954</v>
      </c>
    </row>
    <row r="261" spans="1:56" s="2" customFormat="1" ht="15.95" customHeight="1" x14ac:dyDescent="0.25">
      <c r="A261" s="86">
        <v>259</v>
      </c>
      <c r="B261" s="84">
        <f t="shared" ref="B261:B282" si="185">BC261</f>
        <v>42933</v>
      </c>
      <c r="C261" s="29" t="s">
        <v>2404</v>
      </c>
      <c r="D261" s="59" t="s">
        <v>1456</v>
      </c>
      <c r="E261" s="22" t="s">
        <v>35</v>
      </c>
      <c r="F261" s="27" t="s">
        <v>335</v>
      </c>
      <c r="G261" s="324">
        <f>SUMIFS(МОЛОКО!L9:L6958,МОЛОКО!F9:F6958,"1089",МОЛОКО!L9:L6958,"&gt;0")</f>
        <v>0</v>
      </c>
      <c r="H261" s="28" t="s">
        <v>603</v>
      </c>
      <c r="I261" s="20">
        <v>40456</v>
      </c>
      <c r="J261" s="240">
        <f t="shared" si="155"/>
        <v>6.7863013698630139</v>
      </c>
      <c r="K261" s="240">
        <f t="shared" si="145"/>
        <v>82.566666666666663</v>
      </c>
      <c r="L261" s="298">
        <f t="shared" si="146"/>
        <v>2477</v>
      </c>
      <c r="M261" s="60">
        <v>41378</v>
      </c>
      <c r="N261" s="32">
        <v>42926</v>
      </c>
      <c r="O261" s="82">
        <f t="shared" si="156"/>
        <v>7</v>
      </c>
      <c r="P261" s="19">
        <v>4</v>
      </c>
      <c r="Q261" s="68"/>
      <c r="R261" s="118"/>
      <c r="S261" s="21"/>
      <c r="T261" s="20"/>
      <c r="U261" s="20" t="str">
        <f t="shared" si="157"/>
        <v>-</v>
      </c>
      <c r="V261" s="19" t="str">
        <f t="shared" si="158"/>
        <v>-</v>
      </c>
      <c r="W261" s="3">
        <v>0</v>
      </c>
      <c r="X261" s="22" t="str">
        <f t="shared" si="147"/>
        <v>-</v>
      </c>
      <c r="Y261" s="22">
        <v>0</v>
      </c>
      <c r="Z261" s="329" t="str">
        <f t="shared" si="167"/>
        <v>-----</v>
      </c>
      <c r="AA261" s="328">
        <f t="shared" si="168"/>
        <v>42933</v>
      </c>
      <c r="AB261" s="19"/>
      <c r="AC261" s="331" t="str">
        <f t="shared" si="169"/>
        <v>-----</v>
      </c>
      <c r="AD261" s="20"/>
      <c r="AE261" s="22" t="str">
        <f t="shared" si="170"/>
        <v>-</v>
      </c>
      <c r="AF261" s="20" t="str">
        <f t="shared" si="171"/>
        <v>-</v>
      </c>
      <c r="AG261" s="94" t="str">
        <f t="shared" si="172"/>
        <v>---------</v>
      </c>
      <c r="AH261" s="21"/>
      <c r="AI261" s="21" t="str">
        <f t="shared" si="173"/>
        <v>-</v>
      </c>
      <c r="AJ261" s="21" t="str">
        <f t="shared" si="174"/>
        <v>-</v>
      </c>
      <c r="AK261" s="85"/>
      <c r="AL261" s="21" t="str">
        <f t="shared" si="175"/>
        <v>-</v>
      </c>
      <c r="AM261" s="21" t="str">
        <f t="shared" si="176"/>
        <v>-</v>
      </c>
      <c r="AN261" s="89" t="str">
        <f t="shared" si="177"/>
        <v>-</v>
      </c>
      <c r="AO261" s="92">
        <v>1</v>
      </c>
      <c r="AP261" s="80" t="str">
        <f t="shared" si="178"/>
        <v>-</v>
      </c>
      <c r="AQ261" s="80"/>
      <c r="AR261" s="22" t="str">
        <f t="shared" si="179"/>
        <v>-</v>
      </c>
      <c r="AS261" s="234"/>
      <c r="AT261" s="22" t="str">
        <f t="shared" si="180"/>
        <v>-</v>
      </c>
      <c r="AU261" s="300"/>
      <c r="AV261" s="304" t="str">
        <f t="shared" si="184"/>
        <v>-</v>
      </c>
      <c r="AW261" s="121"/>
      <c r="AX261" s="326"/>
      <c r="AY261" s="330" t="str">
        <f t="shared" si="181"/>
        <v>Ж-Е НЕ ВАКЦ.</v>
      </c>
      <c r="AZ261" s="332" t="str">
        <f t="shared" si="182"/>
        <v>-</v>
      </c>
      <c r="BA261" s="321" t="str">
        <f t="shared" si="183"/>
        <v>-</v>
      </c>
      <c r="BB261" s="306"/>
      <c r="BC261" s="318">
        <v>42933</v>
      </c>
      <c r="BD261" s="363" t="s">
        <v>2954</v>
      </c>
    </row>
    <row r="262" spans="1:56" s="2" customFormat="1" ht="15.95" customHeight="1" x14ac:dyDescent="0.25">
      <c r="A262" s="86">
        <v>260</v>
      </c>
      <c r="B262" s="84">
        <f t="shared" si="185"/>
        <v>42933</v>
      </c>
      <c r="C262" s="29" t="s">
        <v>614</v>
      </c>
      <c r="D262" s="59" t="s">
        <v>2941</v>
      </c>
      <c r="E262" s="22" t="s">
        <v>112</v>
      </c>
      <c r="F262" s="27" t="s">
        <v>113</v>
      </c>
      <c r="G262" s="324">
        <f>SUMIFS(МОЛОКО!L9:L6958,МОЛОКО!F9:F6958,"1689",МОЛОКО!L9:L6958,"&gt;0")</f>
        <v>0</v>
      </c>
      <c r="H262" s="28" t="s">
        <v>603</v>
      </c>
      <c r="I262" s="20">
        <v>41173</v>
      </c>
      <c r="J262" s="240">
        <f t="shared" si="155"/>
        <v>4.8219178082191778</v>
      </c>
      <c r="K262" s="240">
        <f t="shared" si="145"/>
        <v>58.666666666666664</v>
      </c>
      <c r="L262" s="298">
        <f t="shared" si="146"/>
        <v>1760</v>
      </c>
      <c r="M262" s="60">
        <v>42083</v>
      </c>
      <c r="N262" s="32">
        <v>42872</v>
      </c>
      <c r="O262" s="82">
        <f t="shared" si="156"/>
        <v>61</v>
      </c>
      <c r="P262" s="19">
        <v>3</v>
      </c>
      <c r="Q262" s="68"/>
      <c r="R262" s="118"/>
      <c r="S262" s="21"/>
      <c r="T262" s="20"/>
      <c r="U262" s="20" t="str">
        <f t="shared" si="157"/>
        <v>-</v>
      </c>
      <c r="V262" s="19" t="str">
        <f t="shared" si="158"/>
        <v>-</v>
      </c>
      <c r="W262" s="3">
        <v>0</v>
      </c>
      <c r="X262" s="22" t="str">
        <f t="shared" si="147"/>
        <v>-</v>
      </c>
      <c r="Y262" s="22">
        <v>0</v>
      </c>
      <c r="Z262" s="329" t="str">
        <f t="shared" si="167"/>
        <v>-----</v>
      </c>
      <c r="AA262" s="328">
        <f t="shared" si="168"/>
        <v>42933</v>
      </c>
      <c r="AB262" s="19"/>
      <c r="AC262" s="331" t="str">
        <f t="shared" si="169"/>
        <v>-----</v>
      </c>
      <c r="AD262" s="20"/>
      <c r="AE262" s="22" t="str">
        <f t="shared" si="170"/>
        <v>-</v>
      </c>
      <c r="AF262" s="20" t="str">
        <f t="shared" si="171"/>
        <v>-</v>
      </c>
      <c r="AG262" s="94" t="str">
        <f t="shared" si="172"/>
        <v>---------</v>
      </c>
      <c r="AH262" s="21"/>
      <c r="AI262" s="21" t="str">
        <f t="shared" si="173"/>
        <v>-</v>
      </c>
      <c r="AJ262" s="21" t="str">
        <f t="shared" si="174"/>
        <v>-</v>
      </c>
      <c r="AK262" s="85"/>
      <c r="AL262" s="21" t="str">
        <f t="shared" si="175"/>
        <v>-</v>
      </c>
      <c r="AM262" s="21" t="str">
        <f t="shared" si="176"/>
        <v>-</v>
      </c>
      <c r="AN262" s="89" t="str">
        <f t="shared" si="177"/>
        <v>-</v>
      </c>
      <c r="AO262" s="92">
        <v>1</v>
      </c>
      <c r="AP262" s="80" t="str">
        <f t="shared" si="178"/>
        <v>-</v>
      </c>
      <c r="AQ262" s="80" t="s">
        <v>1863</v>
      </c>
      <c r="AR262" s="22" t="str">
        <f t="shared" si="179"/>
        <v>-</v>
      </c>
      <c r="AS262" s="234"/>
      <c r="AT262" s="22" t="str">
        <f t="shared" si="180"/>
        <v>-</v>
      </c>
      <c r="AU262" s="300"/>
      <c r="AV262" s="304" t="str">
        <f t="shared" si="184"/>
        <v>-</v>
      </c>
      <c r="AW262" s="121"/>
      <c r="AX262" s="326"/>
      <c r="AY262" s="330" t="str">
        <f t="shared" si="181"/>
        <v>Ж-Е НЕ ВАКЦ.</v>
      </c>
      <c r="AZ262" s="332" t="str">
        <f t="shared" si="182"/>
        <v>-</v>
      </c>
      <c r="BA262" s="321" t="str">
        <f t="shared" si="183"/>
        <v>-</v>
      </c>
      <c r="BB262" s="307">
        <v>42888</v>
      </c>
      <c r="BC262" s="318">
        <v>42933</v>
      </c>
      <c r="BD262" s="363" t="s">
        <v>1972</v>
      </c>
    </row>
    <row r="263" spans="1:56" s="2" customFormat="1" ht="15.95" customHeight="1" x14ac:dyDescent="0.25">
      <c r="A263" s="86">
        <v>261</v>
      </c>
      <c r="B263" s="84">
        <f t="shared" si="185"/>
        <v>42935</v>
      </c>
      <c r="C263" s="29" t="s">
        <v>2865</v>
      </c>
      <c r="D263" s="327" t="s">
        <v>2851</v>
      </c>
      <c r="E263" s="22" t="s">
        <v>881</v>
      </c>
      <c r="F263" s="27" t="s">
        <v>882</v>
      </c>
      <c r="G263" s="324">
        <f>SUMIFS(МОЛОКО!L9:L6958,МОЛОКО!F9:F6958,"1601",МОЛОКО!L9:L6958,"&gt;0")</f>
        <v>0</v>
      </c>
      <c r="H263" s="28" t="s">
        <v>603</v>
      </c>
      <c r="I263" s="20">
        <v>41075</v>
      </c>
      <c r="J263" s="240">
        <f t="shared" si="155"/>
        <v>5.095890410958904</v>
      </c>
      <c r="K263" s="240">
        <f t="shared" si="145"/>
        <v>62</v>
      </c>
      <c r="L263" s="298">
        <f t="shared" si="146"/>
        <v>1860</v>
      </c>
      <c r="M263" s="60">
        <v>41882</v>
      </c>
      <c r="N263" s="32">
        <v>42570</v>
      </c>
      <c r="O263" s="82">
        <f t="shared" si="156"/>
        <v>365</v>
      </c>
      <c r="P263" s="19">
        <v>2</v>
      </c>
      <c r="Q263" s="68"/>
      <c r="R263" s="118"/>
      <c r="S263" s="21"/>
      <c r="T263" s="20"/>
      <c r="U263" s="20" t="str">
        <f t="shared" si="157"/>
        <v>-</v>
      </c>
      <c r="V263" s="19" t="str">
        <f t="shared" si="158"/>
        <v>-</v>
      </c>
      <c r="W263" s="3">
        <v>0</v>
      </c>
      <c r="X263" s="22" t="str">
        <f t="shared" si="147"/>
        <v>-</v>
      </c>
      <c r="Y263" s="22">
        <v>0</v>
      </c>
      <c r="Z263" s="329" t="str">
        <f t="shared" si="167"/>
        <v>-----</v>
      </c>
      <c r="AA263" s="328">
        <f t="shared" si="168"/>
        <v>42935</v>
      </c>
      <c r="AB263" s="19"/>
      <c r="AC263" s="331" t="str">
        <f t="shared" si="169"/>
        <v>-----</v>
      </c>
      <c r="AD263" s="20"/>
      <c r="AE263" s="22" t="str">
        <f t="shared" si="170"/>
        <v>яловая</v>
      </c>
      <c r="AF263" s="20" t="str">
        <f t="shared" si="171"/>
        <v>-</v>
      </c>
      <c r="AG263" s="94" t="str">
        <f t="shared" si="172"/>
        <v>---------</v>
      </c>
      <c r="AH263" s="21"/>
      <c r="AI263" s="21" t="str">
        <f t="shared" si="173"/>
        <v>-</v>
      </c>
      <c r="AJ263" s="21" t="str">
        <f t="shared" si="174"/>
        <v>-</v>
      </c>
      <c r="AK263" s="85"/>
      <c r="AL263" s="21" t="str">
        <f t="shared" si="175"/>
        <v>-</v>
      </c>
      <c r="AM263" s="21" t="str">
        <f t="shared" si="176"/>
        <v>-</v>
      </c>
      <c r="AN263" s="89" t="str">
        <f t="shared" si="177"/>
        <v>-</v>
      </c>
      <c r="AO263" s="92">
        <v>1</v>
      </c>
      <c r="AP263" s="80" t="str">
        <f t="shared" si="178"/>
        <v>БРАК</v>
      </c>
      <c r="AQ263" s="80" t="s">
        <v>1863</v>
      </c>
      <c r="AR263" s="22" t="str">
        <f t="shared" si="179"/>
        <v>-</v>
      </c>
      <c r="AS263" s="234"/>
      <c r="AT263" s="22" t="str">
        <f t="shared" si="180"/>
        <v>-</v>
      </c>
      <c r="AU263" s="300"/>
      <c r="AV263" s="304" t="str">
        <f t="shared" si="184"/>
        <v>-</v>
      </c>
      <c r="AW263" s="121"/>
      <c r="AX263" s="326"/>
      <c r="AY263" s="330" t="str">
        <f t="shared" si="181"/>
        <v>Ж-Е НЕ ВАКЦ.</v>
      </c>
      <c r="AZ263" s="332" t="str">
        <f t="shared" si="182"/>
        <v>-</v>
      </c>
      <c r="BA263" s="321" t="str">
        <f t="shared" si="183"/>
        <v>-</v>
      </c>
      <c r="BB263" s="307">
        <v>42887</v>
      </c>
      <c r="BC263" s="318">
        <v>42935</v>
      </c>
      <c r="BD263" s="363" t="s">
        <v>2955</v>
      </c>
    </row>
    <row r="264" spans="1:56" s="2" customFormat="1" ht="15.95" customHeight="1" x14ac:dyDescent="0.25">
      <c r="A264" s="86">
        <v>262</v>
      </c>
      <c r="B264" s="84">
        <f t="shared" si="185"/>
        <v>42935</v>
      </c>
      <c r="C264" s="29" t="s">
        <v>2865</v>
      </c>
      <c r="D264" s="59" t="s">
        <v>2850</v>
      </c>
      <c r="E264" s="22" t="s">
        <v>206</v>
      </c>
      <c r="F264" s="295" t="s">
        <v>207</v>
      </c>
      <c r="G264" s="324">
        <f>SUMIFS(МОЛОКО!L9:L6958,МОЛОКО!F9:F6958,"1390",МОЛОКО!L9:L6958,"&gt;0")</f>
        <v>0</v>
      </c>
      <c r="H264" s="28" t="s">
        <v>603</v>
      </c>
      <c r="I264" s="20">
        <v>40848</v>
      </c>
      <c r="J264" s="240">
        <f t="shared" si="155"/>
        <v>5.7178082191780826</v>
      </c>
      <c r="K264" s="240">
        <f t="shared" si="145"/>
        <v>69.566666666666663</v>
      </c>
      <c r="L264" s="298">
        <f t="shared" si="146"/>
        <v>2087</v>
      </c>
      <c r="M264" s="60">
        <v>41826</v>
      </c>
      <c r="N264" s="32">
        <v>42662</v>
      </c>
      <c r="O264" s="82">
        <f t="shared" si="156"/>
        <v>273</v>
      </c>
      <c r="P264" s="19">
        <v>3</v>
      </c>
      <c r="Q264" s="68" t="s">
        <v>1451</v>
      </c>
      <c r="R264" s="118" t="s">
        <v>1816</v>
      </c>
      <c r="S264" s="21">
        <v>42729</v>
      </c>
      <c r="T264" s="20">
        <v>42729</v>
      </c>
      <c r="U264" s="20" t="str">
        <f t="shared" si="157"/>
        <v>-</v>
      </c>
      <c r="V264" s="19" t="str">
        <f t="shared" si="158"/>
        <v>-</v>
      </c>
      <c r="W264" s="3">
        <v>1</v>
      </c>
      <c r="X264" s="22">
        <f t="shared" si="147"/>
        <v>67</v>
      </c>
      <c r="Y264" s="22">
        <v>1</v>
      </c>
      <c r="Z264" s="329" t="str">
        <f t="shared" si="167"/>
        <v>ПОДЛЕЖИТ ПЕРЕПРОВЕРКЕ</v>
      </c>
      <c r="AA264" s="328">
        <f t="shared" si="168"/>
        <v>206</v>
      </c>
      <c r="AB264" s="19"/>
      <c r="AC264" s="331">
        <f t="shared" si="169"/>
        <v>42801</v>
      </c>
      <c r="AD264" s="20"/>
      <c r="AE264" s="22" t="str">
        <f t="shared" si="170"/>
        <v>-</v>
      </c>
      <c r="AF264" s="20" t="str">
        <f t="shared" si="171"/>
        <v>-</v>
      </c>
      <c r="AG264" s="94" t="str">
        <f t="shared" si="172"/>
        <v>---------</v>
      </c>
      <c r="AH264" s="21">
        <v>42764</v>
      </c>
      <c r="AI264" s="21">
        <f t="shared" si="173"/>
        <v>42919</v>
      </c>
      <c r="AJ264" s="21">
        <f t="shared" si="174"/>
        <v>42949</v>
      </c>
      <c r="AK264" s="85"/>
      <c r="AL264" s="21">
        <f t="shared" si="175"/>
        <v>42988</v>
      </c>
      <c r="AM264" s="21">
        <f t="shared" si="176"/>
        <v>43009</v>
      </c>
      <c r="AN264" s="89">
        <f t="shared" si="177"/>
        <v>-74</v>
      </c>
      <c r="AO264" s="92">
        <v>1</v>
      </c>
      <c r="AP264" s="80" t="str">
        <f t="shared" si="178"/>
        <v>-</v>
      </c>
      <c r="AQ264" s="80"/>
      <c r="AR264" s="22" t="str">
        <f t="shared" si="179"/>
        <v>-</v>
      </c>
      <c r="AS264" s="234"/>
      <c r="AT264" s="22" t="str">
        <f t="shared" si="180"/>
        <v>-</v>
      </c>
      <c r="AU264" s="300">
        <v>1</v>
      </c>
      <c r="AV264" s="304" t="str">
        <f t="shared" si="184"/>
        <v>-</v>
      </c>
      <c r="AW264" s="121"/>
      <c r="AX264" s="326"/>
      <c r="AY264" s="330" t="str">
        <f t="shared" si="181"/>
        <v>Ж-Е НЕ ВАКЦ.</v>
      </c>
      <c r="AZ264" s="332" t="str">
        <f t="shared" si="182"/>
        <v>-</v>
      </c>
      <c r="BA264" s="321" t="str">
        <f t="shared" si="183"/>
        <v>-</v>
      </c>
      <c r="BB264" s="307">
        <v>42887</v>
      </c>
      <c r="BC264" s="318">
        <v>42935</v>
      </c>
      <c r="BD264" s="363"/>
    </row>
    <row r="265" spans="1:56" s="2" customFormat="1" ht="15.95" customHeight="1" x14ac:dyDescent="0.25">
      <c r="A265" s="86">
        <v>263</v>
      </c>
      <c r="B265" s="84">
        <f t="shared" si="185"/>
        <v>42949</v>
      </c>
      <c r="C265" s="29" t="s">
        <v>614</v>
      </c>
      <c r="D265" s="59" t="s">
        <v>2941</v>
      </c>
      <c r="E265" s="22" t="s">
        <v>782</v>
      </c>
      <c r="F265" s="27" t="s">
        <v>783</v>
      </c>
      <c r="G265" s="324">
        <f>SUMIFS(МОЛОКО!L9:L6958,МОЛОКО!F9:F6958,"1694",МОЛОКО!L9:L6958,"&gt;0")</f>
        <v>0</v>
      </c>
      <c r="H265" s="28" t="s">
        <v>603</v>
      </c>
      <c r="I265" s="20">
        <v>41177</v>
      </c>
      <c r="J265" s="240">
        <f t="shared" ref="J265:J272" si="186">(B265-I265)/365</f>
        <v>4.8547945205479452</v>
      </c>
      <c r="K265" s="240">
        <f t="shared" ref="K265:K272" si="187">(B265-I265)/30</f>
        <v>59.06666666666667</v>
      </c>
      <c r="L265" s="298">
        <f t="shared" ref="L265:L272" si="188">B265-I265</f>
        <v>1772</v>
      </c>
      <c r="M265" s="60">
        <v>41936</v>
      </c>
      <c r="N265" s="32">
        <v>42867</v>
      </c>
      <c r="O265" s="82">
        <f t="shared" ref="O265:O272" si="189">IF(AND(B265&gt;0,N265&gt;0),B265-N265,"-")</f>
        <v>82</v>
      </c>
      <c r="P265" s="19">
        <v>3</v>
      </c>
      <c r="Q265" s="68" t="s">
        <v>1451</v>
      </c>
      <c r="R265" s="118" t="s">
        <v>2269</v>
      </c>
      <c r="S265" s="21">
        <v>42929</v>
      </c>
      <c r="T265" s="20">
        <v>42929</v>
      </c>
      <c r="U265" s="20">
        <f t="shared" ref="U265:U272" si="190">IF(AND(Y265&gt;1,T265&gt;0),T265+18,"-")</f>
        <v>42947</v>
      </c>
      <c r="V265" s="19">
        <f t="shared" ref="V265:V272" si="191">IF(AND(U265&gt;0,B265&gt;0,Y265&gt;1),B265-U265,"-")</f>
        <v>2</v>
      </c>
      <c r="W265" s="3">
        <v>1</v>
      </c>
      <c r="X265" s="22">
        <f t="shared" ref="X265:X272" si="192">IF(AND(N265&gt;0,T265&gt;0),T265-N265,"-")</f>
        <v>62</v>
      </c>
      <c r="Y265" s="22">
        <v>3</v>
      </c>
      <c r="Z265" s="329" t="str">
        <f t="shared" ref="Z265:Z272" si="193">IF(AND(Y265=1,AA265&gt;71,OR(ISBLANK(AB265),AB265=2)),"ПОДЛЕЖИТ ПЕРЕПРОВЕРКЕ","-----")</f>
        <v>-----</v>
      </c>
      <c r="AA265" s="328">
        <f t="shared" ref="AA265:AA272" si="194">IF(AND(O265&gt;-1,W265&gt;0,Y265=1,AB265=1),"-----",B265-T265)</f>
        <v>20</v>
      </c>
      <c r="AB265" s="19"/>
      <c r="AC265" s="331" t="str">
        <f t="shared" ref="AC265:AC272" si="195">IF(AND(AB265&lt;1,Z265="ПОДЛЕЖИТ ПЕРЕПРОВЕРКЕ",Y265=1),T265+72,"-----")</f>
        <v>-----</v>
      </c>
      <c r="AD265" s="20"/>
      <c r="AE265" s="22" t="str">
        <f t="shared" ref="AE265:AE272" si="196">IF(AND(O265&gt;120,Y265=0,N265&gt;0),"яловая","-")</f>
        <v>-</v>
      </c>
      <c r="AF265" s="20">
        <f t="shared" ref="AF265:AF272" si="197">IF(AND(T265&gt;0,OR(Y265=3,Y265=2)),T265+35,"-")</f>
        <v>42964</v>
      </c>
      <c r="AG265" s="94">
        <f t="shared" ref="AG265:AG272" si="198">IF(AND(T265&gt;0,W265&gt;0,Q265&gt;0,OR(Y265=3,Y265=2)),B265-AF265,"---------")</f>
        <v>-15</v>
      </c>
      <c r="AH265" s="21"/>
      <c r="AI265" s="21" t="str">
        <f t="shared" ref="AI265:AI272" si="199">IF(AND($T265&gt;0,$N265&gt;0,$Y265=1),$T265+280-90,"-")</f>
        <v>-</v>
      </c>
      <c r="AJ265" s="21" t="str">
        <f t="shared" ref="AJ265:AJ272" si="200">IF(AND(T265&gt;0,Y265=1,N265&gt;0),T265+280-60,"-")</f>
        <v>-</v>
      </c>
      <c r="AK265" s="85"/>
      <c r="AL265" s="21" t="str">
        <f t="shared" ref="AL265:AL272" si="201">IF(AND($T265&gt;0,$Y265=1),$T265+280-21,"-")</f>
        <v>-</v>
      </c>
      <c r="AM265" s="21" t="str">
        <f t="shared" ref="AM265:AM272" si="202">IF(AND(T265&gt;0,Y265=1),T265+280,"-")</f>
        <v>-</v>
      </c>
      <c r="AN265" s="89" t="str">
        <f t="shared" ref="AN265:AN272" si="203">IF(AND(B265&gt;0,AM265&gt;0,AH265&gt;0,Y265=1),B265-AM265,"-")</f>
        <v>-</v>
      </c>
      <c r="AO265" s="92">
        <v>1</v>
      </c>
      <c r="AP265" s="80" t="str">
        <f t="shared" ref="AP265:AP272" si="204">IF(AND(AE265="яловая",O265&gt;300),"БРАК","-")</f>
        <v>-</v>
      </c>
      <c r="AQ265" s="80"/>
      <c r="AR265" s="22" t="str">
        <f t="shared" ref="AR265:AR272" si="205">IF(AND(Y265=1,P265=0),"НЕТЕЛЬ","-")</f>
        <v>-</v>
      </c>
      <c r="AS265" s="234"/>
      <c r="AT265" s="22" t="str">
        <f t="shared" ref="AT265:AT272" si="206">IF(AND(N265&gt;0,T265&gt;0,W265&gt;0,Y265=1,AH265&gt;0,AK265&gt;0),"DRY COW","-")</f>
        <v>-</v>
      </c>
      <c r="AU265" s="300"/>
      <c r="AV265" s="304" t="str">
        <f t="shared" si="184"/>
        <v>-</v>
      </c>
      <c r="AW265" s="121"/>
      <c r="AX265" s="326"/>
      <c r="AY265" s="330" t="str">
        <f t="shared" ref="AY265:AY272" si="207">IF(AND(AW265&gt;0,AX265=2),AW265-I265,"Ж-Е НЕ ВАКЦ.")</f>
        <v>Ж-Е НЕ ВАКЦ.</v>
      </c>
      <c r="AZ265" s="332" t="str">
        <f t="shared" ref="AZ265:AZ272" si="208">IF(AND(AW265&gt;0,AX265=2),B265-AW265,"-")</f>
        <v>-</v>
      </c>
      <c r="BA265" s="321" t="str">
        <f t="shared" ref="BA265:BA272" si="209">IF(AND(L265&gt;60,BC265&lt;5),"ПОДЛЕЖИТ ВАКЦИНАЦИИ","-")</f>
        <v>-</v>
      </c>
      <c r="BB265" s="307">
        <v>42888</v>
      </c>
      <c r="BC265" s="318">
        <v>42949</v>
      </c>
      <c r="BD265" s="363" t="s">
        <v>3031</v>
      </c>
    </row>
    <row r="266" spans="1:56" s="2" customFormat="1" ht="15.95" customHeight="1" x14ac:dyDescent="0.25">
      <c r="A266" s="86">
        <v>264</v>
      </c>
      <c r="B266" s="84">
        <f t="shared" si="185"/>
        <v>42949</v>
      </c>
      <c r="C266" s="29" t="s">
        <v>614</v>
      </c>
      <c r="D266" s="59" t="s">
        <v>2941</v>
      </c>
      <c r="E266" s="22" t="s">
        <v>35</v>
      </c>
      <c r="F266" s="27" t="s">
        <v>36</v>
      </c>
      <c r="G266" s="324">
        <f>SUMIFS(МОЛОКО!L9:L6958,МОЛОКО!F9:F6958,"55985",МОЛОКО!L9:L6958,"&gt;0")</f>
        <v>0</v>
      </c>
      <c r="H266" s="28" t="s">
        <v>78</v>
      </c>
      <c r="I266" s="20">
        <v>40339</v>
      </c>
      <c r="J266" s="240">
        <f t="shared" si="186"/>
        <v>7.1506849315068495</v>
      </c>
      <c r="K266" s="240">
        <f t="shared" si="187"/>
        <v>87</v>
      </c>
      <c r="L266" s="298">
        <f t="shared" si="188"/>
        <v>2610</v>
      </c>
      <c r="M266" s="60">
        <v>41053</v>
      </c>
      <c r="N266" s="32">
        <v>42878</v>
      </c>
      <c r="O266" s="82">
        <f t="shared" si="189"/>
        <v>71</v>
      </c>
      <c r="P266" s="19">
        <v>5</v>
      </c>
      <c r="Q266" s="68"/>
      <c r="R266" s="118"/>
      <c r="S266" s="21"/>
      <c r="T266" s="20"/>
      <c r="U266" s="20" t="str">
        <f t="shared" si="190"/>
        <v>-</v>
      </c>
      <c r="V266" s="19" t="str">
        <f t="shared" si="191"/>
        <v>-</v>
      </c>
      <c r="W266" s="3">
        <v>0</v>
      </c>
      <c r="X266" s="22" t="str">
        <f t="shared" si="192"/>
        <v>-</v>
      </c>
      <c r="Y266" s="22">
        <v>0</v>
      </c>
      <c r="Z266" s="329" t="str">
        <f t="shared" si="193"/>
        <v>-----</v>
      </c>
      <c r="AA266" s="328">
        <f t="shared" si="194"/>
        <v>42949</v>
      </c>
      <c r="AB266" s="19"/>
      <c r="AC266" s="331" t="str">
        <f t="shared" si="195"/>
        <v>-----</v>
      </c>
      <c r="AD266" s="20"/>
      <c r="AE266" s="22" t="str">
        <f t="shared" si="196"/>
        <v>-</v>
      </c>
      <c r="AF266" s="20" t="str">
        <f t="shared" si="197"/>
        <v>-</v>
      </c>
      <c r="AG266" s="94" t="str">
        <f t="shared" si="198"/>
        <v>---------</v>
      </c>
      <c r="AH266" s="21"/>
      <c r="AI266" s="21" t="str">
        <f t="shared" si="199"/>
        <v>-</v>
      </c>
      <c r="AJ266" s="21" t="str">
        <f t="shared" si="200"/>
        <v>-</v>
      </c>
      <c r="AK266" s="85"/>
      <c r="AL266" s="21" t="str">
        <f t="shared" si="201"/>
        <v>-</v>
      </c>
      <c r="AM266" s="21" t="str">
        <f t="shared" si="202"/>
        <v>-</v>
      </c>
      <c r="AN266" s="89" t="str">
        <f t="shared" si="203"/>
        <v>-</v>
      </c>
      <c r="AO266" s="92">
        <v>1</v>
      </c>
      <c r="AP266" s="80" t="str">
        <f t="shared" si="204"/>
        <v>-</v>
      </c>
      <c r="AQ266" s="80" t="s">
        <v>2919</v>
      </c>
      <c r="AR266" s="22" t="str">
        <f t="shared" si="205"/>
        <v>-</v>
      </c>
      <c r="AS266" s="234"/>
      <c r="AT266" s="22" t="str">
        <f t="shared" si="206"/>
        <v>-</v>
      </c>
      <c r="AU266" s="300"/>
      <c r="AV266" s="304" t="str">
        <f t="shared" si="184"/>
        <v>-</v>
      </c>
      <c r="AW266" s="121"/>
      <c r="AX266" s="326"/>
      <c r="AY266" s="330" t="str">
        <f t="shared" si="207"/>
        <v>Ж-Е НЕ ВАКЦ.</v>
      </c>
      <c r="AZ266" s="332" t="str">
        <f t="shared" si="208"/>
        <v>-</v>
      </c>
      <c r="BA266" s="321" t="str">
        <f t="shared" si="209"/>
        <v>-</v>
      </c>
      <c r="BB266" s="307">
        <v>42904</v>
      </c>
      <c r="BC266" s="318">
        <v>42949</v>
      </c>
      <c r="BD266" s="363" t="s">
        <v>3032</v>
      </c>
    </row>
    <row r="267" spans="1:56" s="2" customFormat="1" ht="15.95" customHeight="1" x14ac:dyDescent="0.25">
      <c r="A267" s="86">
        <v>265</v>
      </c>
      <c r="B267" s="84">
        <f t="shared" si="185"/>
        <v>42949</v>
      </c>
      <c r="C267" s="29" t="s">
        <v>2865</v>
      </c>
      <c r="D267" s="59" t="s">
        <v>2850</v>
      </c>
      <c r="E267" s="22" t="s">
        <v>1265</v>
      </c>
      <c r="F267" s="295" t="s">
        <v>1128</v>
      </c>
      <c r="G267" s="324">
        <f>SUMIFS(МОЛОКО!L9:L6958,МОЛОКО!F9:F6958,"1938",МОЛОКО!L9:L6958,"&gt;0")</f>
        <v>0</v>
      </c>
      <c r="H267" s="28" t="s">
        <v>603</v>
      </c>
      <c r="I267" s="20">
        <v>41512</v>
      </c>
      <c r="J267" s="240">
        <f t="shared" si="186"/>
        <v>3.9369863013698629</v>
      </c>
      <c r="K267" s="240">
        <f t="shared" si="187"/>
        <v>47.9</v>
      </c>
      <c r="L267" s="298">
        <f t="shared" si="188"/>
        <v>1437</v>
      </c>
      <c r="M267" s="60">
        <v>42560</v>
      </c>
      <c r="N267" s="32">
        <v>42560</v>
      </c>
      <c r="O267" s="82">
        <f t="shared" si="189"/>
        <v>389</v>
      </c>
      <c r="P267" s="19">
        <v>1</v>
      </c>
      <c r="Q267" s="68" t="s">
        <v>1451</v>
      </c>
      <c r="R267" s="118" t="s">
        <v>1820</v>
      </c>
      <c r="S267" s="21">
        <v>42625</v>
      </c>
      <c r="T267" s="20">
        <v>42717</v>
      </c>
      <c r="U267" s="20" t="str">
        <f t="shared" si="190"/>
        <v>-</v>
      </c>
      <c r="V267" s="19" t="str">
        <f t="shared" si="191"/>
        <v>-</v>
      </c>
      <c r="W267" s="3">
        <v>3</v>
      </c>
      <c r="X267" s="22">
        <f t="shared" si="192"/>
        <v>157</v>
      </c>
      <c r="Y267" s="22">
        <v>0</v>
      </c>
      <c r="Z267" s="329" t="str">
        <f t="shared" si="193"/>
        <v>-----</v>
      </c>
      <c r="AA267" s="328">
        <f t="shared" si="194"/>
        <v>232</v>
      </c>
      <c r="AB267" s="19"/>
      <c r="AC267" s="331" t="str">
        <f t="shared" si="195"/>
        <v>-----</v>
      </c>
      <c r="AD267" s="20"/>
      <c r="AE267" s="22" t="str">
        <f t="shared" si="196"/>
        <v>яловая</v>
      </c>
      <c r="AF267" s="20" t="str">
        <f t="shared" si="197"/>
        <v>-</v>
      </c>
      <c r="AG267" s="94" t="str">
        <f t="shared" si="198"/>
        <v>---------</v>
      </c>
      <c r="AH267" s="21">
        <v>42752</v>
      </c>
      <c r="AI267" s="21" t="str">
        <f t="shared" si="199"/>
        <v>-</v>
      </c>
      <c r="AJ267" s="21" t="str">
        <f t="shared" si="200"/>
        <v>-</v>
      </c>
      <c r="AK267" s="85"/>
      <c r="AL267" s="21" t="str">
        <f t="shared" si="201"/>
        <v>-</v>
      </c>
      <c r="AM267" s="21" t="str">
        <f t="shared" si="202"/>
        <v>-</v>
      </c>
      <c r="AN267" s="89" t="str">
        <f t="shared" si="203"/>
        <v>-</v>
      </c>
      <c r="AO267" s="92">
        <v>1</v>
      </c>
      <c r="AP267" s="80" t="str">
        <f t="shared" si="204"/>
        <v>БРАК</v>
      </c>
      <c r="AQ267" s="80" t="s">
        <v>1863</v>
      </c>
      <c r="AR267" s="22" t="str">
        <f t="shared" si="205"/>
        <v>-</v>
      </c>
      <c r="AS267" s="234" t="s">
        <v>2667</v>
      </c>
      <c r="AT267" s="22" t="str">
        <f t="shared" si="206"/>
        <v>-</v>
      </c>
      <c r="AU267" s="300">
        <v>1</v>
      </c>
      <c r="AV267" s="304" t="str">
        <f t="shared" si="184"/>
        <v>-</v>
      </c>
      <c r="AW267" s="121"/>
      <c r="AX267" s="326"/>
      <c r="AY267" s="330" t="str">
        <f t="shared" si="207"/>
        <v>Ж-Е НЕ ВАКЦ.</v>
      </c>
      <c r="AZ267" s="332" t="str">
        <f t="shared" si="208"/>
        <v>-</v>
      </c>
      <c r="BA267" s="321" t="str">
        <f t="shared" si="209"/>
        <v>-</v>
      </c>
      <c r="BB267" s="307">
        <v>42887</v>
      </c>
      <c r="BC267" s="318">
        <v>42949</v>
      </c>
      <c r="BD267" s="363" t="s">
        <v>2955</v>
      </c>
    </row>
    <row r="268" spans="1:56" s="1" customFormat="1" ht="15.95" customHeight="1" x14ac:dyDescent="0.25">
      <c r="A268" s="86">
        <v>266</v>
      </c>
      <c r="B268" s="84">
        <f t="shared" si="185"/>
        <v>42950</v>
      </c>
      <c r="C268" s="29" t="s">
        <v>2404</v>
      </c>
      <c r="D268" s="59" t="s">
        <v>1456</v>
      </c>
      <c r="E268" s="22" t="s">
        <v>652</v>
      </c>
      <c r="F268" s="239" t="s">
        <v>653</v>
      </c>
      <c r="G268" s="324">
        <f>SUMIFS(МОЛОКО!L19:L6968,МОЛОКО!F19:F6968,"2383",МОЛОКО!L19:L6968,"&gt;0")</f>
        <v>30</v>
      </c>
      <c r="H268" s="28" t="s">
        <v>722</v>
      </c>
      <c r="I268" s="20">
        <v>38599</v>
      </c>
      <c r="J268" s="240">
        <f t="shared" si="186"/>
        <v>11.920547945205479</v>
      </c>
      <c r="K268" s="240">
        <f t="shared" si="187"/>
        <v>145.03333333333333</v>
      </c>
      <c r="L268" s="298">
        <f t="shared" si="188"/>
        <v>4351</v>
      </c>
      <c r="M268" s="60">
        <v>39450</v>
      </c>
      <c r="N268" s="32">
        <v>42948</v>
      </c>
      <c r="O268" s="82">
        <f t="shared" si="189"/>
        <v>2</v>
      </c>
      <c r="P268" s="19">
        <v>8</v>
      </c>
      <c r="Q268" s="68"/>
      <c r="R268" s="118"/>
      <c r="S268" s="21"/>
      <c r="T268" s="20"/>
      <c r="U268" s="20" t="str">
        <f t="shared" si="190"/>
        <v>-</v>
      </c>
      <c r="V268" s="19" t="str">
        <f t="shared" si="191"/>
        <v>-</v>
      </c>
      <c r="W268" s="3">
        <v>0</v>
      </c>
      <c r="X268" s="22" t="str">
        <f t="shared" si="192"/>
        <v>-</v>
      </c>
      <c r="Y268" s="22">
        <v>0</v>
      </c>
      <c r="Z268" s="329" t="str">
        <f t="shared" si="193"/>
        <v>-----</v>
      </c>
      <c r="AA268" s="328">
        <f t="shared" si="194"/>
        <v>42950</v>
      </c>
      <c r="AB268" s="19"/>
      <c r="AC268" s="331" t="str">
        <f t="shared" si="195"/>
        <v>-----</v>
      </c>
      <c r="AD268" s="20"/>
      <c r="AE268" s="22" t="str">
        <f t="shared" si="196"/>
        <v>-</v>
      </c>
      <c r="AF268" s="20" t="str">
        <f t="shared" si="197"/>
        <v>-</v>
      </c>
      <c r="AG268" s="94" t="str">
        <f t="shared" si="198"/>
        <v>---------</v>
      </c>
      <c r="AH268" s="21"/>
      <c r="AI268" s="21" t="str">
        <f t="shared" si="199"/>
        <v>-</v>
      </c>
      <c r="AJ268" s="21" t="str">
        <f t="shared" si="200"/>
        <v>-</v>
      </c>
      <c r="AK268" s="85"/>
      <c r="AL268" s="21" t="str">
        <f t="shared" si="201"/>
        <v>-</v>
      </c>
      <c r="AM268" s="21" t="str">
        <f t="shared" si="202"/>
        <v>-</v>
      </c>
      <c r="AN268" s="89" t="str">
        <f t="shared" si="203"/>
        <v>-</v>
      </c>
      <c r="AO268" s="92">
        <v>1</v>
      </c>
      <c r="AP268" s="80" t="str">
        <f t="shared" si="204"/>
        <v>-</v>
      </c>
      <c r="AQ268" s="80"/>
      <c r="AR268" s="22" t="str">
        <f t="shared" si="205"/>
        <v>-</v>
      </c>
      <c r="AS268" s="234"/>
      <c r="AT268" s="22" t="str">
        <f t="shared" si="206"/>
        <v>-</v>
      </c>
      <c r="AU268" s="300"/>
      <c r="AV268" s="304" t="str">
        <f t="shared" ref="AV268:AV274" si="210">IF(AND(OR(E268="тёлочка",E268="бычок"),L268&gt;0,AX268&lt;2,L268&lt;60),"ПОДЛЕЖИТ ВАКЦИНАЦИИ","-")</f>
        <v>-</v>
      </c>
      <c r="AW268" s="121"/>
      <c r="AX268" s="326"/>
      <c r="AY268" s="330" t="str">
        <f t="shared" si="207"/>
        <v>Ж-Е НЕ ВАКЦ.</v>
      </c>
      <c r="AZ268" s="332" t="str">
        <f t="shared" si="208"/>
        <v>-</v>
      </c>
      <c r="BA268" s="321" t="str">
        <f t="shared" si="209"/>
        <v>-</v>
      </c>
      <c r="BB268" s="307"/>
      <c r="BC268" s="318">
        <v>42950</v>
      </c>
      <c r="BD268" s="363" t="s">
        <v>3038</v>
      </c>
    </row>
    <row r="269" spans="1:56" s="2" customFormat="1" ht="15.95" customHeight="1" x14ac:dyDescent="0.25">
      <c r="A269" s="86">
        <v>267</v>
      </c>
      <c r="B269" s="84">
        <f t="shared" si="185"/>
        <v>42958</v>
      </c>
      <c r="C269" s="29" t="s">
        <v>615</v>
      </c>
      <c r="D269" s="59" t="s">
        <v>2658</v>
      </c>
      <c r="E269" s="22" t="s">
        <v>523</v>
      </c>
      <c r="F269" s="272" t="s">
        <v>1546</v>
      </c>
      <c r="G269" s="324">
        <f>SUMIFS(МОЛОКО!L9:L6958,МОЛОКО!F9:F6958,"2666",МОЛОКО!L9:L6958,"&gt;0")</f>
        <v>0</v>
      </c>
      <c r="H269" s="28" t="s">
        <v>603</v>
      </c>
      <c r="I269" s="20">
        <v>42213</v>
      </c>
      <c r="J269" s="240">
        <f t="shared" si="186"/>
        <v>2.0410958904109591</v>
      </c>
      <c r="K269" s="240">
        <f t="shared" si="187"/>
        <v>24.833333333333332</v>
      </c>
      <c r="L269" s="298">
        <f t="shared" si="188"/>
        <v>745</v>
      </c>
      <c r="M269" s="60">
        <v>42906</v>
      </c>
      <c r="N269" s="32">
        <v>42906</v>
      </c>
      <c r="O269" s="82">
        <f t="shared" si="189"/>
        <v>52</v>
      </c>
      <c r="P269" s="19">
        <v>1</v>
      </c>
      <c r="Q269" s="68"/>
      <c r="R269" s="118"/>
      <c r="S269" s="21"/>
      <c r="T269" s="20"/>
      <c r="U269" s="20" t="str">
        <f t="shared" si="190"/>
        <v>-</v>
      </c>
      <c r="V269" s="19" t="str">
        <f t="shared" si="191"/>
        <v>-</v>
      </c>
      <c r="W269" s="3">
        <v>0</v>
      </c>
      <c r="X269" s="22" t="str">
        <f t="shared" si="192"/>
        <v>-</v>
      </c>
      <c r="Y269" s="22">
        <v>0</v>
      </c>
      <c r="Z269" s="329" t="str">
        <f t="shared" si="193"/>
        <v>-----</v>
      </c>
      <c r="AA269" s="328">
        <f t="shared" si="194"/>
        <v>42958</v>
      </c>
      <c r="AB269" s="19"/>
      <c r="AC269" s="331" t="str">
        <f t="shared" si="195"/>
        <v>-----</v>
      </c>
      <c r="AD269" s="20"/>
      <c r="AE269" s="22" t="str">
        <f t="shared" si="196"/>
        <v>-</v>
      </c>
      <c r="AF269" s="20" t="str">
        <f t="shared" si="197"/>
        <v>-</v>
      </c>
      <c r="AG269" s="94" t="str">
        <f t="shared" si="198"/>
        <v>---------</v>
      </c>
      <c r="AH269" s="21"/>
      <c r="AI269" s="21" t="str">
        <f t="shared" si="199"/>
        <v>-</v>
      </c>
      <c r="AJ269" s="21" t="str">
        <f t="shared" si="200"/>
        <v>-</v>
      </c>
      <c r="AK269" s="85"/>
      <c r="AL269" s="21" t="str">
        <f t="shared" si="201"/>
        <v>-</v>
      </c>
      <c r="AM269" s="21" t="str">
        <f t="shared" si="202"/>
        <v>-</v>
      </c>
      <c r="AN269" s="89" t="str">
        <f t="shared" si="203"/>
        <v>-</v>
      </c>
      <c r="AO269" s="92">
        <v>1</v>
      </c>
      <c r="AP269" s="80" t="str">
        <f t="shared" si="204"/>
        <v>-</v>
      </c>
      <c r="AQ269" s="80"/>
      <c r="AR269" s="22" t="str">
        <f t="shared" si="205"/>
        <v>-</v>
      </c>
      <c r="AS269" s="234"/>
      <c r="AT269" s="22" t="str">
        <f t="shared" si="206"/>
        <v>-</v>
      </c>
      <c r="AU269" s="300">
        <v>1</v>
      </c>
      <c r="AV269" s="304" t="str">
        <f t="shared" si="210"/>
        <v>-</v>
      </c>
      <c r="AW269" s="121"/>
      <c r="AX269" s="326"/>
      <c r="AY269" s="330" t="str">
        <f t="shared" si="207"/>
        <v>Ж-Е НЕ ВАКЦ.</v>
      </c>
      <c r="AZ269" s="332" t="str">
        <f t="shared" si="208"/>
        <v>-</v>
      </c>
      <c r="BA269" s="321" t="str">
        <f t="shared" si="209"/>
        <v>-</v>
      </c>
      <c r="BB269" s="307">
        <v>42940</v>
      </c>
      <c r="BC269" s="318">
        <v>42958</v>
      </c>
      <c r="BD269" s="363" t="s">
        <v>2326</v>
      </c>
    </row>
    <row r="270" spans="1:56" s="2" customFormat="1" ht="15.95" customHeight="1" x14ac:dyDescent="0.25">
      <c r="A270" s="86">
        <v>268</v>
      </c>
      <c r="B270" s="84">
        <f t="shared" si="185"/>
        <v>42960</v>
      </c>
      <c r="C270" s="29" t="s">
        <v>614</v>
      </c>
      <c r="D270" s="59" t="s">
        <v>2941</v>
      </c>
      <c r="E270" s="22" t="s">
        <v>1431</v>
      </c>
      <c r="F270" s="27" t="s">
        <v>1430</v>
      </c>
      <c r="G270" s="324">
        <f>SUMIFS(МОЛОКО!L9:L6958,МОЛОКО!F9:F6958,"2230",МОЛОКО!L9:L6958,"&gt;0")</f>
        <v>0</v>
      </c>
      <c r="H270" s="28" t="s">
        <v>603</v>
      </c>
      <c r="I270" s="20">
        <v>41782</v>
      </c>
      <c r="J270" s="240">
        <f t="shared" si="186"/>
        <v>3.2273972602739724</v>
      </c>
      <c r="K270" s="240">
        <f t="shared" si="187"/>
        <v>39.266666666666666</v>
      </c>
      <c r="L270" s="298">
        <f t="shared" si="188"/>
        <v>1178</v>
      </c>
      <c r="M270" s="60">
        <v>42493</v>
      </c>
      <c r="N270" s="32">
        <v>42922</v>
      </c>
      <c r="O270" s="82">
        <f t="shared" si="189"/>
        <v>38</v>
      </c>
      <c r="P270" s="19">
        <v>2</v>
      </c>
      <c r="Q270" s="68"/>
      <c r="R270" s="118"/>
      <c r="S270" s="21"/>
      <c r="T270" s="20"/>
      <c r="U270" s="20" t="str">
        <f t="shared" si="190"/>
        <v>-</v>
      </c>
      <c r="V270" s="19" t="str">
        <f t="shared" si="191"/>
        <v>-</v>
      </c>
      <c r="W270" s="3">
        <v>0</v>
      </c>
      <c r="X270" s="22" t="str">
        <f t="shared" si="192"/>
        <v>-</v>
      </c>
      <c r="Y270" s="22">
        <v>0</v>
      </c>
      <c r="Z270" s="329" t="str">
        <f t="shared" si="193"/>
        <v>-----</v>
      </c>
      <c r="AA270" s="328">
        <f t="shared" si="194"/>
        <v>42960</v>
      </c>
      <c r="AB270" s="19"/>
      <c r="AC270" s="331" t="str">
        <f t="shared" si="195"/>
        <v>-----</v>
      </c>
      <c r="AD270" s="20"/>
      <c r="AE270" s="22" t="str">
        <f t="shared" si="196"/>
        <v>-</v>
      </c>
      <c r="AF270" s="20" t="str">
        <f t="shared" si="197"/>
        <v>-</v>
      </c>
      <c r="AG270" s="94" t="str">
        <f t="shared" si="198"/>
        <v>---------</v>
      </c>
      <c r="AH270" s="21"/>
      <c r="AI270" s="21" t="str">
        <f t="shared" si="199"/>
        <v>-</v>
      </c>
      <c r="AJ270" s="21" t="str">
        <f t="shared" si="200"/>
        <v>-</v>
      </c>
      <c r="AK270" s="85"/>
      <c r="AL270" s="21" t="str">
        <f t="shared" si="201"/>
        <v>-</v>
      </c>
      <c r="AM270" s="21" t="str">
        <f t="shared" si="202"/>
        <v>-</v>
      </c>
      <c r="AN270" s="89" t="str">
        <f t="shared" si="203"/>
        <v>-</v>
      </c>
      <c r="AO270" s="92">
        <v>1</v>
      </c>
      <c r="AP270" s="80" t="str">
        <f t="shared" si="204"/>
        <v>-</v>
      </c>
      <c r="AQ270" s="80"/>
      <c r="AR270" s="22" t="str">
        <f t="shared" si="205"/>
        <v>-</v>
      </c>
      <c r="AS270" s="234"/>
      <c r="AT270" s="22" t="str">
        <f t="shared" si="206"/>
        <v>-</v>
      </c>
      <c r="AU270" s="300"/>
      <c r="AV270" s="304" t="str">
        <f t="shared" si="210"/>
        <v>-</v>
      </c>
      <c r="AW270" s="121"/>
      <c r="AX270" s="326"/>
      <c r="AY270" s="330" t="str">
        <f t="shared" si="207"/>
        <v>Ж-Е НЕ ВАКЦ.</v>
      </c>
      <c r="AZ270" s="332" t="str">
        <f t="shared" si="208"/>
        <v>-</v>
      </c>
      <c r="BA270" s="321" t="str">
        <f t="shared" si="209"/>
        <v>-</v>
      </c>
      <c r="BB270" s="306"/>
      <c r="BC270" s="318">
        <v>42960</v>
      </c>
      <c r="BD270" s="363" t="s">
        <v>3071</v>
      </c>
    </row>
    <row r="271" spans="1:56" s="2" customFormat="1" ht="15.95" customHeight="1" x14ac:dyDescent="0.25">
      <c r="A271" s="86">
        <v>269</v>
      </c>
      <c r="B271" s="84">
        <f t="shared" si="185"/>
        <v>42960</v>
      </c>
      <c r="C271" s="29" t="s">
        <v>615</v>
      </c>
      <c r="D271" s="59" t="s">
        <v>2658</v>
      </c>
      <c r="E271" s="22" t="s">
        <v>61</v>
      </c>
      <c r="F271" s="295" t="s">
        <v>62</v>
      </c>
      <c r="G271" s="324">
        <f>SUMIFS(МОЛОКО!L9:L6958,МОЛОКО!F9:F6958,"175816",МОЛОКО!L9:L6958,"&gt;0")</f>
        <v>0</v>
      </c>
      <c r="H271" s="28" t="s">
        <v>78</v>
      </c>
      <c r="I271" s="20">
        <v>40247</v>
      </c>
      <c r="J271" s="240">
        <f t="shared" si="186"/>
        <v>7.4328767123287669</v>
      </c>
      <c r="K271" s="240">
        <f t="shared" si="187"/>
        <v>90.433333333333337</v>
      </c>
      <c r="L271" s="298">
        <f t="shared" si="188"/>
        <v>2713</v>
      </c>
      <c r="M271" s="60">
        <v>41034</v>
      </c>
      <c r="N271" s="32">
        <v>42918</v>
      </c>
      <c r="O271" s="82">
        <f t="shared" si="189"/>
        <v>42</v>
      </c>
      <c r="P271" s="19">
        <v>5</v>
      </c>
      <c r="Q271" s="68"/>
      <c r="R271" s="118"/>
      <c r="S271" s="21"/>
      <c r="T271" s="20"/>
      <c r="U271" s="20" t="str">
        <f t="shared" si="190"/>
        <v>-</v>
      </c>
      <c r="V271" s="19" t="str">
        <f t="shared" si="191"/>
        <v>-</v>
      </c>
      <c r="W271" s="3">
        <v>0</v>
      </c>
      <c r="X271" s="22" t="str">
        <f t="shared" si="192"/>
        <v>-</v>
      </c>
      <c r="Y271" s="22">
        <v>0</v>
      </c>
      <c r="Z271" s="329" t="str">
        <f t="shared" si="193"/>
        <v>-----</v>
      </c>
      <c r="AA271" s="328">
        <f t="shared" si="194"/>
        <v>42960</v>
      </c>
      <c r="AB271" s="19"/>
      <c r="AC271" s="331" t="str">
        <f t="shared" si="195"/>
        <v>-----</v>
      </c>
      <c r="AD271" s="20"/>
      <c r="AE271" s="22" t="str">
        <f t="shared" si="196"/>
        <v>-</v>
      </c>
      <c r="AF271" s="20" t="str">
        <f t="shared" si="197"/>
        <v>-</v>
      </c>
      <c r="AG271" s="94" t="str">
        <f t="shared" si="198"/>
        <v>---------</v>
      </c>
      <c r="AH271" s="21"/>
      <c r="AI271" s="21" t="str">
        <f t="shared" si="199"/>
        <v>-</v>
      </c>
      <c r="AJ271" s="21" t="str">
        <f t="shared" si="200"/>
        <v>-</v>
      </c>
      <c r="AK271" s="85"/>
      <c r="AL271" s="21" t="str">
        <f t="shared" si="201"/>
        <v>-</v>
      </c>
      <c r="AM271" s="21" t="str">
        <f t="shared" si="202"/>
        <v>-</v>
      </c>
      <c r="AN271" s="89" t="str">
        <f t="shared" si="203"/>
        <v>-</v>
      </c>
      <c r="AO271" s="92">
        <v>1</v>
      </c>
      <c r="AP271" s="80" t="str">
        <f t="shared" si="204"/>
        <v>-</v>
      </c>
      <c r="AQ271" s="80"/>
      <c r="AR271" s="22" t="str">
        <f t="shared" si="205"/>
        <v>-</v>
      </c>
      <c r="AS271" s="234"/>
      <c r="AT271" s="22" t="str">
        <f t="shared" si="206"/>
        <v>-</v>
      </c>
      <c r="AU271" s="300">
        <v>1</v>
      </c>
      <c r="AV271" s="304" t="str">
        <f t="shared" si="210"/>
        <v>-</v>
      </c>
      <c r="AW271" s="121"/>
      <c r="AX271" s="326"/>
      <c r="AY271" s="330" t="str">
        <f t="shared" si="207"/>
        <v>Ж-Е НЕ ВАКЦ.</v>
      </c>
      <c r="AZ271" s="332" t="str">
        <f t="shared" si="208"/>
        <v>-</v>
      </c>
      <c r="BA271" s="321" t="str">
        <f t="shared" si="209"/>
        <v>-</v>
      </c>
      <c r="BB271" s="306"/>
      <c r="BC271" s="318">
        <v>42960</v>
      </c>
      <c r="BD271" s="363" t="s">
        <v>3069</v>
      </c>
    </row>
    <row r="272" spans="1:56" s="2" customFormat="1" ht="15.95" customHeight="1" x14ac:dyDescent="0.25">
      <c r="A272" s="86">
        <v>270</v>
      </c>
      <c r="B272" s="84">
        <f t="shared" si="185"/>
        <v>42960</v>
      </c>
      <c r="C272" s="29" t="s">
        <v>2404</v>
      </c>
      <c r="D272" s="59" t="s">
        <v>1456</v>
      </c>
      <c r="E272" s="22" t="s">
        <v>673</v>
      </c>
      <c r="F272" s="27" t="s">
        <v>674</v>
      </c>
      <c r="G272" s="324">
        <f>SUMIFS(МОЛОКО!L9:L6958,МОЛОКО!F9:F6958,"13334",МОЛОКО!L9:L6958,"&gt;0")</f>
        <v>0</v>
      </c>
      <c r="H272" s="28" t="s">
        <v>87</v>
      </c>
      <c r="I272" s="20">
        <v>41577</v>
      </c>
      <c r="J272" s="240">
        <f t="shared" si="186"/>
        <v>3.7890410958904108</v>
      </c>
      <c r="K272" s="240">
        <f t="shared" si="187"/>
        <v>46.1</v>
      </c>
      <c r="L272" s="298">
        <f t="shared" si="188"/>
        <v>1383</v>
      </c>
      <c r="M272" s="60">
        <v>42418</v>
      </c>
      <c r="N272" s="32">
        <v>42948</v>
      </c>
      <c r="O272" s="82">
        <f t="shared" si="189"/>
        <v>12</v>
      </c>
      <c r="P272" s="19">
        <v>2</v>
      </c>
      <c r="Q272" s="68"/>
      <c r="R272" s="118"/>
      <c r="S272" s="21"/>
      <c r="T272" s="20"/>
      <c r="U272" s="20" t="str">
        <f t="shared" si="190"/>
        <v>-</v>
      </c>
      <c r="V272" s="19" t="str">
        <f t="shared" si="191"/>
        <v>-</v>
      </c>
      <c r="W272" s="3">
        <v>0</v>
      </c>
      <c r="X272" s="22" t="str">
        <f t="shared" si="192"/>
        <v>-</v>
      </c>
      <c r="Y272" s="22">
        <v>0</v>
      </c>
      <c r="Z272" s="329" t="str">
        <f t="shared" si="193"/>
        <v>-----</v>
      </c>
      <c r="AA272" s="328">
        <f t="shared" si="194"/>
        <v>42960</v>
      </c>
      <c r="AB272" s="19"/>
      <c r="AC272" s="331" t="str">
        <f t="shared" si="195"/>
        <v>-----</v>
      </c>
      <c r="AD272" s="20"/>
      <c r="AE272" s="22" t="str">
        <f t="shared" si="196"/>
        <v>-</v>
      </c>
      <c r="AF272" s="20" t="str">
        <f t="shared" si="197"/>
        <v>-</v>
      </c>
      <c r="AG272" s="94" t="str">
        <f t="shared" si="198"/>
        <v>---------</v>
      </c>
      <c r="AH272" s="21"/>
      <c r="AI272" s="21" t="str">
        <f t="shared" si="199"/>
        <v>-</v>
      </c>
      <c r="AJ272" s="21" t="str">
        <f t="shared" si="200"/>
        <v>-</v>
      </c>
      <c r="AK272" s="85"/>
      <c r="AL272" s="21" t="str">
        <f t="shared" si="201"/>
        <v>-</v>
      </c>
      <c r="AM272" s="21" t="str">
        <f t="shared" si="202"/>
        <v>-</v>
      </c>
      <c r="AN272" s="89" t="str">
        <f t="shared" si="203"/>
        <v>-</v>
      </c>
      <c r="AO272" s="92">
        <v>1</v>
      </c>
      <c r="AP272" s="80" t="str">
        <f t="shared" si="204"/>
        <v>-</v>
      </c>
      <c r="AQ272" s="80"/>
      <c r="AR272" s="22" t="str">
        <f t="shared" si="205"/>
        <v>-</v>
      </c>
      <c r="AS272" s="234"/>
      <c r="AT272" s="22" t="str">
        <f t="shared" si="206"/>
        <v>-</v>
      </c>
      <c r="AU272" s="300"/>
      <c r="AV272" s="304" t="str">
        <f t="shared" si="210"/>
        <v>-</v>
      </c>
      <c r="AW272" s="121"/>
      <c r="AX272" s="326"/>
      <c r="AY272" s="330" t="str">
        <f t="shared" si="207"/>
        <v>Ж-Е НЕ ВАКЦ.</v>
      </c>
      <c r="AZ272" s="332" t="str">
        <f t="shared" si="208"/>
        <v>-</v>
      </c>
      <c r="BA272" s="321" t="str">
        <f t="shared" si="209"/>
        <v>-</v>
      </c>
      <c r="BB272" s="307"/>
      <c r="BC272" s="318">
        <v>42960</v>
      </c>
      <c r="BD272" s="363" t="s">
        <v>3070</v>
      </c>
    </row>
    <row r="273" spans="1:107" s="2" customFormat="1" ht="15.95" customHeight="1" x14ac:dyDescent="0.25">
      <c r="A273" s="86">
        <v>271</v>
      </c>
      <c r="B273" s="84">
        <f t="shared" si="185"/>
        <v>42967</v>
      </c>
      <c r="C273" s="29" t="s">
        <v>2404</v>
      </c>
      <c r="D273" s="59" t="s">
        <v>1456</v>
      </c>
      <c r="E273" s="22" t="s">
        <v>122</v>
      </c>
      <c r="F273" s="295" t="s">
        <v>123</v>
      </c>
      <c r="G273" s="324">
        <f>SUMIFS(МОЛОКО!L9:L6958,МОЛОКО!F9:F6958,"11129",МОЛОКО!L9:L6958,"&gt;0")</f>
        <v>0</v>
      </c>
      <c r="H273" s="28" t="s">
        <v>87</v>
      </c>
      <c r="I273" s="20">
        <v>40637</v>
      </c>
      <c r="J273" s="240">
        <f t="shared" ref="J273:J278" si="211">(B273-I273)/365</f>
        <v>6.3835616438356162</v>
      </c>
      <c r="K273" s="240">
        <f t="shared" ref="K273:K278" si="212">(B273-I273)/30</f>
        <v>77.666666666666671</v>
      </c>
      <c r="L273" s="298">
        <f t="shared" ref="L273:L278" si="213">B273-I273</f>
        <v>2330</v>
      </c>
      <c r="M273" s="60">
        <v>41568</v>
      </c>
      <c r="N273" s="32">
        <v>42955</v>
      </c>
      <c r="O273" s="82">
        <f t="shared" ref="O273:O278" si="214">IF(AND(B273&gt;0,N273&gt;0),B273-N273,"-")</f>
        <v>12</v>
      </c>
      <c r="P273" s="19">
        <v>4</v>
      </c>
      <c r="Q273" s="68"/>
      <c r="R273" s="118"/>
      <c r="S273" s="21"/>
      <c r="T273" s="20"/>
      <c r="U273" s="20" t="str">
        <f t="shared" ref="U273:U278" si="215">IF(AND(Y273&gt;1,T273&gt;0),T273+18,"-")</f>
        <v>-</v>
      </c>
      <c r="V273" s="19" t="str">
        <f t="shared" ref="V273:V278" si="216">IF(AND(U273&gt;0,B273&gt;0,Y273&gt;1),B273-U273,"-")</f>
        <v>-</v>
      </c>
      <c r="W273" s="3">
        <v>0</v>
      </c>
      <c r="X273" s="22" t="str">
        <f t="shared" ref="X273:X278" si="217">IF(AND(N273&gt;0,T273&gt;0),T273-N273,"-")</f>
        <v>-</v>
      </c>
      <c r="Y273" s="22">
        <v>0</v>
      </c>
      <c r="Z273" s="329" t="str">
        <f t="shared" ref="Z273:Z278" si="218">IF(AND(Y273=1,AA273&gt;71,OR(ISBLANK(AB273),AB273=2)),"ПОДЛЕЖИТ ПЕРЕПРОВЕРКЕ","-----")</f>
        <v>-----</v>
      </c>
      <c r="AA273" s="328">
        <f t="shared" ref="AA273:AA278" si="219">IF(AND(O273&gt;-1,W273&gt;0,Y273=1,AB273=1),"-----",B273-T273)</f>
        <v>42967</v>
      </c>
      <c r="AB273" s="19"/>
      <c r="AC273" s="331" t="str">
        <f t="shared" ref="AC273:AC278" si="220">IF(AND(AB273&lt;1,Z273="ПОДЛЕЖИТ ПЕРЕПРОВЕРКЕ",Y273=1),T273+72,"-----")</f>
        <v>-----</v>
      </c>
      <c r="AD273" s="20"/>
      <c r="AE273" s="22" t="str">
        <f t="shared" ref="AE273:AE278" si="221">IF(AND(O273&gt;120,Y273=0,N273&gt;0),"яловая","-")</f>
        <v>-</v>
      </c>
      <c r="AF273" s="20" t="str">
        <f t="shared" ref="AF273:AF278" si="222">IF(AND(T273&gt;0,OR(Y273=3,Y273=2)),T273+35,"-")</f>
        <v>-</v>
      </c>
      <c r="AG273" s="94" t="str">
        <f t="shared" ref="AG273:AG278" si="223">IF(AND(T273&gt;0,W273&gt;0,Q273&gt;0,OR(Y273=3,Y273=2)),B273-AF273,"---------")</f>
        <v>---------</v>
      </c>
      <c r="AH273" s="21"/>
      <c r="AI273" s="21" t="str">
        <f t="shared" ref="AI273:AI278" si="224">IF(AND($T273&gt;0,$N273&gt;0,$Y273=1),$T273+280-90,"-")</f>
        <v>-</v>
      </c>
      <c r="AJ273" s="21" t="str">
        <f t="shared" ref="AJ273:AJ278" si="225">IF(AND(T273&gt;0,Y273=1,N273&gt;0),T273+280-60,"-")</f>
        <v>-</v>
      </c>
      <c r="AK273" s="85"/>
      <c r="AL273" s="21" t="str">
        <f t="shared" ref="AL273:AL278" si="226">IF(AND($T273&gt;0,$Y273=1),$T273+280-21,"-")</f>
        <v>-</v>
      </c>
      <c r="AM273" s="21" t="str">
        <f t="shared" ref="AM273:AM278" si="227">IF(AND(T273&gt;0,Y273=1),T273+280,"-")</f>
        <v>-</v>
      </c>
      <c r="AN273" s="89" t="str">
        <f t="shared" ref="AN273:AN278" si="228">IF(AND(B273&gt;0,AM273&gt;0,AH273&gt;0,Y273=1),B273-AM273,"-")</f>
        <v>-</v>
      </c>
      <c r="AO273" s="92">
        <v>1</v>
      </c>
      <c r="AP273" s="80" t="str">
        <f t="shared" ref="AP273:AP278" si="229">IF(AND(AE273="яловая",O273&gt;300),"БРАК","-")</f>
        <v>-</v>
      </c>
      <c r="AQ273" s="80"/>
      <c r="AR273" s="22" t="str">
        <f t="shared" ref="AR273:AR278" si="230">IF(AND(Y273=1,P273=0),"НЕТЕЛЬ","-")</f>
        <v>-</v>
      </c>
      <c r="AS273" s="234"/>
      <c r="AT273" s="22" t="str">
        <f t="shared" ref="AT273:AT278" si="231">IF(AND(N273&gt;0,T273&gt;0,W273&gt;0,Y273=1,AH273&gt;0,AK273&gt;0),"DRY COW","-")</f>
        <v>-</v>
      </c>
      <c r="AU273" s="300">
        <v>1</v>
      </c>
      <c r="AV273" s="304" t="str">
        <f t="shared" si="210"/>
        <v>-</v>
      </c>
      <c r="AW273" s="121"/>
      <c r="AX273" s="326"/>
      <c r="AY273" s="330" t="str">
        <f>IF(AND(AW273&gt;0,AX273=2),AW273-I273,"Ж-Е НЕ ВАКЦ.")</f>
        <v>Ж-Е НЕ ВАКЦ.</v>
      </c>
      <c r="AZ273" s="332" t="str">
        <f>IF(AND(AW273&gt;0,AX273=2),B273-AW273,"-")</f>
        <v>-</v>
      </c>
      <c r="BA273" s="321" t="str">
        <f>IF(AND(L273&gt;60,BC273&lt;5),"ПОДЛЕЖИТ ВАКЦИНАЦИИ","-")</f>
        <v>-</v>
      </c>
      <c r="BB273" s="307"/>
      <c r="BC273" s="318">
        <v>42967</v>
      </c>
      <c r="BD273" s="363" t="s">
        <v>3102</v>
      </c>
    </row>
    <row r="274" spans="1:107" s="2" customFormat="1" ht="15.95" customHeight="1" x14ac:dyDescent="0.25">
      <c r="A274" s="86">
        <v>272</v>
      </c>
      <c r="B274" s="84">
        <f t="shared" si="185"/>
        <v>42967</v>
      </c>
      <c r="C274" s="29" t="s">
        <v>2404</v>
      </c>
      <c r="D274" s="327" t="s">
        <v>1456</v>
      </c>
      <c r="E274" s="22" t="s">
        <v>827</v>
      </c>
      <c r="F274" s="27" t="s">
        <v>893</v>
      </c>
      <c r="G274" s="324">
        <f>SUMIFS(МОЛОКО!L9:L6958,МОЛОКО!F9:F6958,"1731",МОЛОКО!L9:L6958,"&gt;0")</f>
        <v>0</v>
      </c>
      <c r="H274" s="28" t="s">
        <v>603</v>
      </c>
      <c r="I274" s="20">
        <v>41238</v>
      </c>
      <c r="J274" s="240">
        <f t="shared" si="211"/>
        <v>4.7369863013698632</v>
      </c>
      <c r="K274" s="240">
        <f t="shared" si="212"/>
        <v>57.633333333333333</v>
      </c>
      <c r="L274" s="298">
        <f t="shared" si="213"/>
        <v>1729</v>
      </c>
      <c r="M274" s="60">
        <v>42251</v>
      </c>
      <c r="N274" s="32">
        <v>42959</v>
      </c>
      <c r="O274" s="82">
        <f t="shared" si="214"/>
        <v>8</v>
      </c>
      <c r="P274" s="19">
        <v>4</v>
      </c>
      <c r="Q274" s="68"/>
      <c r="R274" s="118"/>
      <c r="S274" s="21"/>
      <c r="T274" s="20"/>
      <c r="U274" s="20" t="str">
        <f t="shared" si="215"/>
        <v>-</v>
      </c>
      <c r="V274" s="19" t="str">
        <f t="shared" si="216"/>
        <v>-</v>
      </c>
      <c r="W274" s="3">
        <v>0</v>
      </c>
      <c r="X274" s="22" t="str">
        <f t="shared" si="217"/>
        <v>-</v>
      </c>
      <c r="Y274" s="22">
        <v>0</v>
      </c>
      <c r="Z274" s="329" t="str">
        <f t="shared" si="218"/>
        <v>-----</v>
      </c>
      <c r="AA274" s="328">
        <f t="shared" si="219"/>
        <v>42967</v>
      </c>
      <c r="AB274" s="19"/>
      <c r="AC274" s="331" t="str">
        <f t="shared" si="220"/>
        <v>-----</v>
      </c>
      <c r="AD274" s="20"/>
      <c r="AE274" s="22" t="str">
        <f t="shared" si="221"/>
        <v>-</v>
      </c>
      <c r="AF274" s="20" t="str">
        <f t="shared" si="222"/>
        <v>-</v>
      </c>
      <c r="AG274" s="94" t="str">
        <f t="shared" si="223"/>
        <v>---------</v>
      </c>
      <c r="AH274" s="21"/>
      <c r="AI274" s="21" t="str">
        <f t="shared" si="224"/>
        <v>-</v>
      </c>
      <c r="AJ274" s="21" t="str">
        <f t="shared" si="225"/>
        <v>-</v>
      </c>
      <c r="AK274" s="85"/>
      <c r="AL274" s="21" t="str">
        <f t="shared" si="226"/>
        <v>-</v>
      </c>
      <c r="AM274" s="21" t="str">
        <f t="shared" si="227"/>
        <v>-</v>
      </c>
      <c r="AN274" s="89" t="str">
        <f t="shared" si="228"/>
        <v>-</v>
      </c>
      <c r="AO274" s="92">
        <v>1</v>
      </c>
      <c r="AP274" s="80" t="str">
        <f t="shared" si="229"/>
        <v>-</v>
      </c>
      <c r="AQ274" s="80"/>
      <c r="AR274" s="22" t="str">
        <f t="shared" si="230"/>
        <v>-</v>
      </c>
      <c r="AS274" s="234"/>
      <c r="AT274" s="22" t="str">
        <f t="shared" si="231"/>
        <v>-</v>
      </c>
      <c r="AU274" s="300"/>
      <c r="AV274" s="304" t="str">
        <f t="shared" si="210"/>
        <v>-</v>
      </c>
      <c r="AW274" s="121"/>
      <c r="AX274" s="326"/>
      <c r="AY274" s="330" t="str">
        <f>IF(AND(AW274&gt;0,AX274=2),AW274-I274,"Ж-Е НЕ ВАКЦ.")</f>
        <v>Ж-Е НЕ ВАКЦ.</v>
      </c>
      <c r="AZ274" s="332" t="str">
        <f>IF(AND(AW274&gt;0,AX274=2),B274-AW274,"-")</f>
        <v>-</v>
      </c>
      <c r="BA274" s="321" t="str">
        <f>IF(AND(L274&gt;60,BC274&lt;5),"ПОДЛЕЖИТ ВАКЦИНАЦИИ","-")</f>
        <v>-</v>
      </c>
      <c r="BB274" s="307">
        <v>42887</v>
      </c>
      <c r="BC274" s="318">
        <v>42967</v>
      </c>
      <c r="BD274" s="363" t="s">
        <v>3085</v>
      </c>
    </row>
    <row r="275" spans="1:107" s="1" customFormat="1" ht="15.95" customHeight="1" x14ac:dyDescent="0.25">
      <c r="A275" s="86">
        <v>273</v>
      </c>
      <c r="B275" s="84">
        <f t="shared" si="185"/>
        <v>42973</v>
      </c>
      <c r="C275" s="29" t="s">
        <v>2404</v>
      </c>
      <c r="D275" s="59" t="s">
        <v>2432</v>
      </c>
      <c r="E275" s="22" t="s">
        <v>1496</v>
      </c>
      <c r="F275" s="239" t="s">
        <v>1462</v>
      </c>
      <c r="G275" s="324">
        <f>SUMIFS(МОЛОКО!L9:L6958,МОЛОКО!F9:F6958,"2654",МОЛОКО!L9:L6958,"&gt;0")</f>
        <v>0</v>
      </c>
      <c r="H275" s="28" t="s">
        <v>603</v>
      </c>
      <c r="I275" s="20">
        <v>42183</v>
      </c>
      <c r="J275" s="240">
        <f t="shared" si="211"/>
        <v>2.1643835616438358</v>
      </c>
      <c r="K275" s="240">
        <f t="shared" si="212"/>
        <v>26.333333333333332</v>
      </c>
      <c r="L275" s="298">
        <f t="shared" si="213"/>
        <v>790</v>
      </c>
      <c r="M275" s="60">
        <v>42858</v>
      </c>
      <c r="N275" s="32">
        <v>42858</v>
      </c>
      <c r="O275" s="82">
        <f t="shared" si="214"/>
        <v>115</v>
      </c>
      <c r="P275" s="19">
        <v>1</v>
      </c>
      <c r="Q275" s="68"/>
      <c r="R275" s="118"/>
      <c r="S275" s="21"/>
      <c r="T275" s="20"/>
      <c r="U275" s="20" t="str">
        <f t="shared" si="215"/>
        <v>-</v>
      </c>
      <c r="V275" s="19" t="str">
        <f t="shared" si="216"/>
        <v>-</v>
      </c>
      <c r="W275" s="3">
        <v>0</v>
      </c>
      <c r="X275" s="22" t="str">
        <f t="shared" si="217"/>
        <v>-</v>
      </c>
      <c r="Y275" s="22">
        <v>0</v>
      </c>
      <c r="Z275" s="329" t="str">
        <f t="shared" si="218"/>
        <v>-----</v>
      </c>
      <c r="AA275" s="328">
        <f t="shared" si="219"/>
        <v>42973</v>
      </c>
      <c r="AB275" s="19"/>
      <c r="AC275" s="331" t="str">
        <f t="shared" si="220"/>
        <v>-----</v>
      </c>
      <c r="AD275" s="20"/>
      <c r="AE275" s="22" t="str">
        <f t="shared" si="221"/>
        <v>-</v>
      </c>
      <c r="AF275" s="20" t="str">
        <f t="shared" si="222"/>
        <v>-</v>
      </c>
      <c r="AG275" s="94" t="str">
        <f t="shared" si="223"/>
        <v>---------</v>
      </c>
      <c r="AH275" s="21"/>
      <c r="AI275" s="21" t="str">
        <f t="shared" si="224"/>
        <v>-</v>
      </c>
      <c r="AJ275" s="21" t="str">
        <f t="shared" si="225"/>
        <v>-</v>
      </c>
      <c r="AK275" s="85"/>
      <c r="AL275" s="21" t="str">
        <f t="shared" si="226"/>
        <v>-</v>
      </c>
      <c r="AM275" s="21" t="str">
        <f t="shared" si="227"/>
        <v>-</v>
      </c>
      <c r="AN275" s="89" t="str">
        <f t="shared" si="228"/>
        <v>-</v>
      </c>
      <c r="AO275" s="92">
        <v>1</v>
      </c>
      <c r="AP275" s="80" t="str">
        <f t="shared" si="229"/>
        <v>-</v>
      </c>
      <c r="AQ275" s="80" t="s">
        <v>1863</v>
      </c>
      <c r="AR275" s="22" t="str">
        <f t="shared" si="230"/>
        <v>-</v>
      </c>
      <c r="AS275" s="234"/>
      <c r="AT275" s="22" t="str">
        <f t="shared" si="231"/>
        <v>-</v>
      </c>
      <c r="AU275" s="300"/>
      <c r="AV275" s="304" t="str">
        <f>IF(AND(OR(E275="тёлочка",E275="бычок"),L275&gt;0,AX275&lt;2,L275&lt;60),"ПОДЛЕЖИТ ВАКЦИНАЦИИ","-")</f>
        <v>-</v>
      </c>
      <c r="AW275" s="121"/>
      <c r="AX275" s="326"/>
      <c r="AY275" s="330" t="str">
        <f>IF(AND(AW275&gt;0,AX275=2),AW275-I275,"Ж-Е НЕ ВАКЦ.")</f>
        <v>Ж-Е НЕ ВАКЦ.</v>
      </c>
      <c r="AZ275" s="332" t="str">
        <f>IF(AND(AW275&gt;0,AX275=2),B275-AW275,"-")</f>
        <v>-</v>
      </c>
      <c r="BA275" s="321" t="str">
        <f>IF(AND(L275&gt;60,BC275&lt;5),"ПОДЛЕЖИТ ВАКЦИНАЦИИ","-")</f>
        <v>-</v>
      </c>
      <c r="BB275" s="307">
        <v>42887</v>
      </c>
      <c r="BC275" s="318">
        <v>42973</v>
      </c>
      <c r="BD275" s="363" t="s">
        <v>1855</v>
      </c>
    </row>
    <row r="276" spans="1:107" s="1" customFormat="1" ht="15.95" customHeight="1" x14ac:dyDescent="0.25">
      <c r="A276" s="86">
        <v>274</v>
      </c>
      <c r="B276" s="84">
        <f t="shared" si="185"/>
        <v>42973</v>
      </c>
      <c r="C276" s="29" t="s">
        <v>615</v>
      </c>
      <c r="D276" s="59" t="s">
        <v>2658</v>
      </c>
      <c r="E276" s="22" t="s">
        <v>831</v>
      </c>
      <c r="F276" s="295" t="s">
        <v>832</v>
      </c>
      <c r="G276" s="324">
        <f>SUMIFS(МОЛОКО!L9:L6958,МОЛОКО!F9:F6958,"1590",МОЛОКО!L9:L6958,"&gt;0")</f>
        <v>0</v>
      </c>
      <c r="H276" s="28" t="s">
        <v>603</v>
      </c>
      <c r="I276" s="20">
        <v>41060</v>
      </c>
      <c r="J276" s="240">
        <f t="shared" si="211"/>
        <v>5.2410958904109588</v>
      </c>
      <c r="K276" s="240">
        <f t="shared" si="212"/>
        <v>63.766666666666666</v>
      </c>
      <c r="L276" s="298">
        <f t="shared" si="213"/>
        <v>1913</v>
      </c>
      <c r="M276" s="60">
        <v>42080</v>
      </c>
      <c r="N276" s="32">
        <v>42962</v>
      </c>
      <c r="O276" s="82">
        <f t="shared" si="214"/>
        <v>11</v>
      </c>
      <c r="P276" s="19">
        <v>3</v>
      </c>
      <c r="Q276" s="68"/>
      <c r="R276" s="118"/>
      <c r="S276" s="21"/>
      <c r="T276" s="20"/>
      <c r="U276" s="20" t="str">
        <f t="shared" si="215"/>
        <v>-</v>
      </c>
      <c r="V276" s="19" t="str">
        <f t="shared" si="216"/>
        <v>-</v>
      </c>
      <c r="W276" s="3">
        <v>0</v>
      </c>
      <c r="X276" s="22" t="str">
        <f t="shared" si="217"/>
        <v>-</v>
      </c>
      <c r="Y276" s="22">
        <v>0</v>
      </c>
      <c r="Z276" s="329" t="str">
        <f t="shared" si="218"/>
        <v>-----</v>
      </c>
      <c r="AA276" s="328">
        <f t="shared" si="219"/>
        <v>42973</v>
      </c>
      <c r="AB276" s="19"/>
      <c r="AC276" s="331" t="str">
        <f t="shared" si="220"/>
        <v>-----</v>
      </c>
      <c r="AD276" s="20"/>
      <c r="AE276" s="22" t="str">
        <f t="shared" si="221"/>
        <v>-</v>
      </c>
      <c r="AF276" s="20" t="str">
        <f t="shared" si="222"/>
        <v>-</v>
      </c>
      <c r="AG276" s="94" t="str">
        <f t="shared" si="223"/>
        <v>---------</v>
      </c>
      <c r="AH276" s="21"/>
      <c r="AI276" s="21" t="str">
        <f t="shared" si="224"/>
        <v>-</v>
      </c>
      <c r="AJ276" s="21" t="str">
        <f t="shared" si="225"/>
        <v>-</v>
      </c>
      <c r="AK276" s="85"/>
      <c r="AL276" s="21" t="str">
        <f t="shared" si="226"/>
        <v>-</v>
      </c>
      <c r="AM276" s="21" t="str">
        <f t="shared" si="227"/>
        <v>-</v>
      </c>
      <c r="AN276" s="89" t="str">
        <f t="shared" si="228"/>
        <v>-</v>
      </c>
      <c r="AO276" s="92">
        <v>1</v>
      </c>
      <c r="AP276" s="80" t="str">
        <f t="shared" si="229"/>
        <v>-</v>
      </c>
      <c r="AQ276" s="80"/>
      <c r="AR276" s="22" t="str">
        <f t="shared" si="230"/>
        <v>-</v>
      </c>
      <c r="AS276" s="234"/>
      <c r="AT276" s="22" t="str">
        <f t="shared" si="231"/>
        <v>-</v>
      </c>
      <c r="AU276" s="300">
        <v>1</v>
      </c>
      <c r="AV276" s="304" t="str">
        <f>IF(AND(OR(E276="тёлочка",E276="бычок"),L276&gt;0,AX276&lt;2,L276&lt;60),"ПОДЛЕЖИТ ВАКЦИНАЦИИ","-")</f>
        <v>-</v>
      </c>
      <c r="AW276" s="121"/>
      <c r="AX276" s="326"/>
      <c r="AY276" s="330" t="str">
        <f>IF(AND(AW276&gt;0,AX276=2),AW276-I276,"Ж-Е НЕ ВАКЦ.")</f>
        <v>Ж-Е НЕ ВАКЦ.</v>
      </c>
      <c r="AZ276" s="332" t="str">
        <f>IF(AND(AW276&gt;0,AX276=2),B276-AW276,"-")</f>
        <v>-</v>
      </c>
      <c r="BA276" s="321" t="str">
        <f>IF(AND(L276&gt;60,BC276&lt;5),"ПОДЛЕЖИТ ВАКЦИНАЦИИ","-")</f>
        <v>-</v>
      </c>
      <c r="BB276" s="306"/>
      <c r="BC276" s="318">
        <v>42973</v>
      </c>
      <c r="BD276" s="363" t="s">
        <v>3119</v>
      </c>
    </row>
    <row r="277" spans="1:107" s="2" customFormat="1" ht="15.95" customHeight="1" x14ac:dyDescent="0.25">
      <c r="A277" s="86">
        <v>275</v>
      </c>
      <c r="B277" s="84">
        <f t="shared" si="185"/>
        <v>42980</v>
      </c>
      <c r="C277" s="29" t="s">
        <v>615</v>
      </c>
      <c r="D277" s="59" t="s">
        <v>2658</v>
      </c>
      <c r="E277" s="22" t="s">
        <v>43</v>
      </c>
      <c r="F277" s="295" t="s">
        <v>44</v>
      </c>
      <c r="G277" s="324">
        <f>SUMIFS(МОЛОКО!L9:L6958,МОЛОКО!F9:F6958,"83352",МОЛОКО!L9:L6958,"&gt;0")</f>
        <v>0</v>
      </c>
      <c r="H277" s="28" t="s">
        <v>78</v>
      </c>
      <c r="I277" s="20">
        <v>40216</v>
      </c>
      <c r="J277" s="240">
        <f t="shared" si="211"/>
        <v>7.5726027397260278</v>
      </c>
      <c r="K277" s="240">
        <f t="shared" si="212"/>
        <v>92.13333333333334</v>
      </c>
      <c r="L277" s="298">
        <f t="shared" si="213"/>
        <v>2764</v>
      </c>
      <c r="M277" s="60">
        <v>41046</v>
      </c>
      <c r="N277" s="32">
        <v>42920</v>
      </c>
      <c r="O277" s="82">
        <f t="shared" si="214"/>
        <v>60</v>
      </c>
      <c r="P277" s="19">
        <v>6</v>
      </c>
      <c r="Q277" s="68"/>
      <c r="R277" s="118"/>
      <c r="S277" s="21"/>
      <c r="T277" s="20"/>
      <c r="U277" s="20" t="str">
        <f t="shared" si="215"/>
        <v>-</v>
      </c>
      <c r="V277" s="19" t="str">
        <f t="shared" si="216"/>
        <v>-</v>
      </c>
      <c r="W277" s="3">
        <v>0</v>
      </c>
      <c r="X277" s="22" t="str">
        <f t="shared" si="217"/>
        <v>-</v>
      </c>
      <c r="Y277" s="22">
        <v>0</v>
      </c>
      <c r="Z277" s="329" t="str">
        <f t="shared" si="218"/>
        <v>-----</v>
      </c>
      <c r="AA277" s="328">
        <f t="shared" si="219"/>
        <v>42980</v>
      </c>
      <c r="AB277" s="19"/>
      <c r="AC277" s="331" t="str">
        <f t="shared" si="220"/>
        <v>-----</v>
      </c>
      <c r="AD277" s="20"/>
      <c r="AE277" s="22" t="str">
        <f t="shared" si="221"/>
        <v>-</v>
      </c>
      <c r="AF277" s="20" t="str">
        <f t="shared" si="222"/>
        <v>-</v>
      </c>
      <c r="AG277" s="94" t="str">
        <f t="shared" si="223"/>
        <v>---------</v>
      </c>
      <c r="AH277" s="21"/>
      <c r="AI277" s="21" t="str">
        <f t="shared" si="224"/>
        <v>-</v>
      </c>
      <c r="AJ277" s="21" t="str">
        <f t="shared" si="225"/>
        <v>-</v>
      </c>
      <c r="AK277" s="85"/>
      <c r="AL277" s="21" t="str">
        <f t="shared" si="226"/>
        <v>-</v>
      </c>
      <c r="AM277" s="21" t="str">
        <f t="shared" si="227"/>
        <v>-</v>
      </c>
      <c r="AN277" s="89" t="str">
        <f t="shared" si="228"/>
        <v>-</v>
      </c>
      <c r="AO277" s="92">
        <v>1</v>
      </c>
      <c r="AP277" s="80" t="str">
        <f t="shared" si="229"/>
        <v>-</v>
      </c>
      <c r="AQ277" s="80"/>
      <c r="AR277" s="22" t="str">
        <f t="shared" si="230"/>
        <v>-</v>
      </c>
      <c r="AS277" s="234"/>
      <c r="AT277" s="22" t="str">
        <f t="shared" si="231"/>
        <v>-</v>
      </c>
      <c r="AU277" s="300">
        <v>1</v>
      </c>
      <c r="AV277" s="429"/>
      <c r="AW277" s="431"/>
      <c r="AX277" s="121" t="str">
        <f>IF(AND(AV277&gt;0,AW277&gt;0),B277-AV277,"-")</f>
        <v>-</v>
      </c>
      <c r="AY277" s="432" t="str">
        <f>IF(AND(AV277&gt;0,AW277&gt;0),(AV277-I277)/30,"-")</f>
        <v>-</v>
      </c>
      <c r="AZ277" s="428" t="str">
        <f>IF(AND(OR(E277="тёлочка",E277="бычок"),L277&gt;0,BB277&lt;2,L277&lt;60),"ПОДЛЕЖИТ ВАКЦИНАЦИИ","-")</f>
        <v>-</v>
      </c>
      <c r="BA277" s="121"/>
      <c r="BB277" s="326"/>
      <c r="BC277" s="318">
        <v>42980</v>
      </c>
      <c r="BD277" s="437" t="s">
        <v>3120</v>
      </c>
    </row>
    <row r="278" spans="1:107" s="2" customFormat="1" ht="15.95" customHeight="1" x14ac:dyDescent="0.25">
      <c r="A278" s="86">
        <v>276</v>
      </c>
      <c r="B278" s="84">
        <f t="shared" si="185"/>
        <v>42985</v>
      </c>
      <c r="C278" s="29" t="s">
        <v>2865</v>
      </c>
      <c r="D278" s="59" t="s">
        <v>2850</v>
      </c>
      <c r="E278" s="22" t="s">
        <v>864</v>
      </c>
      <c r="F278" s="295" t="s">
        <v>865</v>
      </c>
      <c r="G278" s="324">
        <f>SUMIFS(МОЛОКО!L9:L6958,МОЛОКО!F9:F6958,"598",МОЛОКО!L9:L6958,"&gt;0")</f>
        <v>0</v>
      </c>
      <c r="H278" s="28" t="s">
        <v>603</v>
      </c>
      <c r="I278" s="20">
        <v>39901</v>
      </c>
      <c r="J278" s="240">
        <f t="shared" si="211"/>
        <v>8.4493150684931511</v>
      </c>
      <c r="K278" s="240">
        <f t="shared" si="212"/>
        <v>102.8</v>
      </c>
      <c r="L278" s="298">
        <f t="shared" si="213"/>
        <v>3084</v>
      </c>
      <c r="M278" s="60">
        <v>40653</v>
      </c>
      <c r="N278" s="32">
        <v>42760</v>
      </c>
      <c r="O278" s="82">
        <f t="shared" si="214"/>
        <v>225</v>
      </c>
      <c r="P278" s="19">
        <v>5</v>
      </c>
      <c r="Q278" s="68" t="s">
        <v>1451</v>
      </c>
      <c r="R278" s="118" t="s">
        <v>2335</v>
      </c>
      <c r="S278" s="21">
        <v>42824</v>
      </c>
      <c r="T278" s="20">
        <v>42824</v>
      </c>
      <c r="U278" s="20" t="str">
        <f t="shared" si="215"/>
        <v>-</v>
      </c>
      <c r="V278" s="19" t="str">
        <f t="shared" si="216"/>
        <v>-</v>
      </c>
      <c r="W278" s="3">
        <v>1</v>
      </c>
      <c r="X278" s="22">
        <f t="shared" si="217"/>
        <v>64</v>
      </c>
      <c r="Y278" s="22">
        <v>0</v>
      </c>
      <c r="Z278" s="329" t="str">
        <f t="shared" si="218"/>
        <v>-----</v>
      </c>
      <c r="AA278" s="328">
        <f t="shared" si="219"/>
        <v>161</v>
      </c>
      <c r="AB278" s="19"/>
      <c r="AC278" s="331" t="str">
        <f t="shared" si="220"/>
        <v>-----</v>
      </c>
      <c r="AD278" s="20"/>
      <c r="AE278" s="22" t="str">
        <f t="shared" si="221"/>
        <v>яловая</v>
      </c>
      <c r="AF278" s="20" t="str">
        <f t="shared" si="222"/>
        <v>-</v>
      </c>
      <c r="AG278" s="94" t="str">
        <f t="shared" si="223"/>
        <v>---------</v>
      </c>
      <c r="AH278" s="21">
        <v>42865</v>
      </c>
      <c r="AI278" s="21" t="str">
        <f t="shared" si="224"/>
        <v>-</v>
      </c>
      <c r="AJ278" s="21" t="str">
        <f t="shared" si="225"/>
        <v>-</v>
      </c>
      <c r="AK278" s="85"/>
      <c r="AL278" s="21" t="str">
        <f t="shared" si="226"/>
        <v>-</v>
      </c>
      <c r="AM278" s="21" t="str">
        <f t="shared" si="227"/>
        <v>-</v>
      </c>
      <c r="AN278" s="89" t="str">
        <f t="shared" si="228"/>
        <v>-</v>
      </c>
      <c r="AO278" s="92">
        <v>1</v>
      </c>
      <c r="AP278" s="80" t="str">
        <f t="shared" si="229"/>
        <v>-</v>
      </c>
      <c r="AQ278" s="80" t="s">
        <v>1863</v>
      </c>
      <c r="AR278" s="22" t="str">
        <f t="shared" si="230"/>
        <v>-</v>
      </c>
      <c r="AS278" s="234"/>
      <c r="AT278" s="22" t="str">
        <f t="shared" si="231"/>
        <v>-</v>
      </c>
      <c r="AU278" s="300">
        <v>1</v>
      </c>
      <c r="AV278" s="430">
        <v>42981</v>
      </c>
      <c r="AW278" s="431">
        <v>5</v>
      </c>
      <c r="AX278" s="121">
        <f>IF(AND(AV278&gt;0,AW278&gt;0),B278-AV278,"-")</f>
        <v>4</v>
      </c>
      <c r="AY278" s="432">
        <f>IF(AND(AV278&gt;0,AW278&gt;0),(AV278-I278)/30,"-")</f>
        <v>102.66666666666667</v>
      </c>
      <c r="AZ278" s="428" t="str">
        <f>IF(AND(OR(E278="тёлочка",E278="бычок"),L278&gt;0,BB278&lt;2,L278&lt;60),"ПОДЛЕЖИТ ВАКЦИНАЦИИ","-")</f>
        <v>-</v>
      </c>
      <c r="BA278" s="121"/>
      <c r="BB278" s="326"/>
      <c r="BC278" s="318">
        <v>42985</v>
      </c>
      <c r="BD278" s="439" t="s">
        <v>3130</v>
      </c>
    </row>
    <row r="279" spans="1:107" s="2" customFormat="1" ht="15.6" customHeight="1" x14ac:dyDescent="0.25">
      <c r="A279" s="86">
        <v>277</v>
      </c>
      <c r="B279" s="84">
        <f t="shared" si="185"/>
        <v>42986</v>
      </c>
      <c r="C279" s="29" t="s">
        <v>615</v>
      </c>
      <c r="D279" s="59" t="s">
        <v>2658</v>
      </c>
      <c r="E279" s="22" t="s">
        <v>185</v>
      </c>
      <c r="F279" s="295" t="s">
        <v>285</v>
      </c>
      <c r="G279" s="324">
        <f>SUMIFS(МОЛОКО!L9:L6958,МОЛОКО!F9:F6958,"784",МОЛОКО!L9:L6958,"&gt;0")</f>
        <v>0</v>
      </c>
      <c r="H279" s="28" t="s">
        <v>603</v>
      </c>
      <c r="I279" s="20">
        <v>40124</v>
      </c>
      <c r="J279" s="240">
        <f>(B279-I279)/365</f>
        <v>7.8410958904109593</v>
      </c>
      <c r="K279" s="240">
        <f>(B279-I279)/30</f>
        <v>95.4</v>
      </c>
      <c r="L279" s="298">
        <f>B279-I279</f>
        <v>2862</v>
      </c>
      <c r="M279" s="60">
        <v>41173</v>
      </c>
      <c r="N279" s="32">
        <v>42850</v>
      </c>
      <c r="O279" s="82">
        <f>IF(AND(B279&gt;0,N279&gt;0),B279-N279,"-")</f>
        <v>136</v>
      </c>
      <c r="P279" s="19">
        <v>5</v>
      </c>
      <c r="Q279" s="68" t="s">
        <v>1451</v>
      </c>
      <c r="R279" s="118" t="s">
        <v>1816</v>
      </c>
      <c r="S279" s="21">
        <v>42911</v>
      </c>
      <c r="T279" s="20">
        <v>42911</v>
      </c>
      <c r="U279" s="20" t="str">
        <f>IF(AND(Y279&gt;1,T279&gt;0),T279+18,"-")</f>
        <v>-</v>
      </c>
      <c r="V279" s="19" t="str">
        <f>IF(AND(U279&gt;0,B279&gt;0,Y279&gt;1),B279-U279,"-")</f>
        <v>-</v>
      </c>
      <c r="W279" s="3">
        <v>1</v>
      </c>
      <c r="X279" s="22">
        <f>IF(AND(N279&gt;0,T279&gt;0),T279-N279,"-")</f>
        <v>61</v>
      </c>
      <c r="Y279" s="22">
        <v>0</v>
      </c>
      <c r="Z279" s="329" t="str">
        <f>IF(AND(Y279=1,AA279&gt;71,OR(ISBLANK(AB279),AB279=2)),"ПОДЛЕЖИТ ПЕРЕПРОВЕРКЕ","-----")</f>
        <v>-----</v>
      </c>
      <c r="AA279" s="328">
        <f>IF(AND(O279&gt;-1,W279&gt;0,Y279=1,AB279=1),"-----",B279-T279)</f>
        <v>75</v>
      </c>
      <c r="AB279" s="19"/>
      <c r="AC279" s="331" t="str">
        <f>IF(AND(AB279&lt;1,Z279="ПОДЛЕЖИТ ПЕРЕПРОВЕРКЕ",Y279=1),T279+72,"-----")</f>
        <v>-----</v>
      </c>
      <c r="AD279" s="20"/>
      <c r="AE279" s="22" t="str">
        <f>IF(AND(O279&gt;120,Y279=0,N279&gt;0),"яловая","-")</f>
        <v>яловая</v>
      </c>
      <c r="AF279" s="20" t="str">
        <f>IF(AND(T279&gt;0,OR(Y279=3,Y279=2)),T279+35,"-")</f>
        <v>-</v>
      </c>
      <c r="AG279" s="94" t="str">
        <f>IF(AND(T279&gt;0,W279&gt;0,Q279&gt;0,OR(Y279=3,Y279=2)),B279-AF279,"---------")</f>
        <v>---------</v>
      </c>
      <c r="AH279" s="21">
        <v>42944</v>
      </c>
      <c r="AI279" s="21" t="str">
        <f>IF(AND($T279&gt;0,$N279&gt;0,$Y279=1),$T279+280-90,"-")</f>
        <v>-</v>
      </c>
      <c r="AJ279" s="21" t="str">
        <f>IF(AND(T279&gt;0,Y279=1,N279&gt;0),T279+280-60,"-")</f>
        <v>-</v>
      </c>
      <c r="AK279" s="85"/>
      <c r="AL279" s="21" t="str">
        <f>IF(AND($T279&gt;0,$Y279=1),$T279+280-21,"-")</f>
        <v>-</v>
      </c>
      <c r="AM279" s="21" t="str">
        <f>IF(AND(T279&gt;0,Y279=1),T279+280,"-")</f>
        <v>-</v>
      </c>
      <c r="AN279" s="89" t="str">
        <f>IF(AND(B279&gt;0,AM279&gt;0,AH279&gt;0,Y279=1),B279-AM279,"-")</f>
        <v>-</v>
      </c>
      <c r="AO279" s="92">
        <v>1</v>
      </c>
      <c r="AP279" s="80" t="str">
        <f>IF(AND(AE279="яловая",O279&gt;300),"БРАК","-")</f>
        <v>-</v>
      </c>
      <c r="AQ279" s="80" t="s">
        <v>1863</v>
      </c>
      <c r="AR279" s="22" t="str">
        <f>IF(AND(Y279=1,P279=0),"НЕТЕЛЬ","-")</f>
        <v>-</v>
      </c>
      <c r="AS279" s="234"/>
      <c r="AT279" s="22" t="str">
        <f>IF(AND(N279&gt;0,T279&gt;0,W279&gt;0,Y279=1,AH279&gt;0,AK279&gt;0),"DRY COW","-")</f>
        <v>-</v>
      </c>
      <c r="AU279" s="300">
        <v>1</v>
      </c>
      <c r="AV279" s="429"/>
      <c r="AW279" s="431"/>
      <c r="AX279" s="121" t="str">
        <f>IF(AND(AV279&gt;0,AW279&gt;0),B279-AV279,"-")</f>
        <v>-</v>
      </c>
      <c r="AY279" s="432" t="str">
        <f>IF(AND(AV279&gt;0,AW279&gt;0),(AV279-I279)/30,"-")</f>
        <v>-</v>
      </c>
      <c r="AZ279" s="428" t="str">
        <f>IF(AND(OR(E279="тёлочка",E279="бычок"),L279&gt;0,BB279&lt;2,L279&lt;60),"ПОДЛЕЖИТ ВАКЦИНАЦИИ","-")</f>
        <v>-</v>
      </c>
      <c r="BA279" s="121"/>
      <c r="BB279" s="326"/>
      <c r="BC279" s="318">
        <v>42986</v>
      </c>
      <c r="BD279" s="440" t="s">
        <v>3132</v>
      </c>
    </row>
    <row r="280" spans="1:107" s="2" customFormat="1" ht="15.95" customHeight="1" x14ac:dyDescent="0.25">
      <c r="A280" s="86">
        <v>278</v>
      </c>
      <c r="B280" s="84">
        <f t="shared" si="185"/>
        <v>42986</v>
      </c>
      <c r="C280" s="29" t="s">
        <v>613</v>
      </c>
      <c r="D280" s="59" t="s">
        <v>3078</v>
      </c>
      <c r="E280" s="22" t="s">
        <v>277</v>
      </c>
      <c r="F280" s="27" t="s">
        <v>278</v>
      </c>
      <c r="G280" s="324">
        <f>SUMIFS(МОЛОКО!L9:L6958,МОЛОКО!F9:F6958,"1679",МОЛОКО!L9:L6958,"&gt;0")</f>
        <v>0</v>
      </c>
      <c r="H280" s="28" t="s">
        <v>603</v>
      </c>
      <c r="I280" s="20">
        <v>41162</v>
      </c>
      <c r="J280" s="240">
        <f>(B280-I280)/365</f>
        <v>4.9972602739726026</v>
      </c>
      <c r="K280" s="240">
        <f>(B280-I280)/30</f>
        <v>60.8</v>
      </c>
      <c r="L280" s="298">
        <f>B280-I280</f>
        <v>1824</v>
      </c>
      <c r="M280" s="60">
        <v>42011</v>
      </c>
      <c r="N280" s="32">
        <v>42846</v>
      </c>
      <c r="O280" s="82">
        <f>IF(AND(B280&gt;0,N280&gt;0),B280-N280,"-")</f>
        <v>140</v>
      </c>
      <c r="P280" s="19">
        <v>3</v>
      </c>
      <c r="Q280" s="68" t="s">
        <v>2366</v>
      </c>
      <c r="R280" s="118" t="s">
        <v>1876</v>
      </c>
      <c r="S280" s="21">
        <v>42908</v>
      </c>
      <c r="T280" s="20">
        <v>42908</v>
      </c>
      <c r="U280" s="20" t="str">
        <f>IF(AND(Y280&gt;1,T280&gt;0),T280+18,"-")</f>
        <v>-</v>
      </c>
      <c r="V280" s="19" t="str">
        <f>IF(AND(U280&gt;0,B280&gt;0,Y280&gt;1),B280-U280,"-")</f>
        <v>-</v>
      </c>
      <c r="W280" s="3">
        <v>1</v>
      </c>
      <c r="X280" s="22">
        <f>IF(AND(N280&gt;0,T280&gt;0),T280-N280,"-")</f>
        <v>62</v>
      </c>
      <c r="Y280" s="22">
        <v>0</v>
      </c>
      <c r="Z280" s="329" t="str">
        <f>IF(AND(Y280=1,AA280&gt;71,OR(ISBLANK(AB280),AB280=2)),"ПОДЛЕЖИТ ПЕРЕПРОВЕРКЕ","-----")</f>
        <v>-----</v>
      </c>
      <c r="AA280" s="328">
        <f>IF(AND(O280&gt;-1,W280&gt;0,Y280=1,AB280=1),"-----",B280-T280)</f>
        <v>78</v>
      </c>
      <c r="AB280" s="19"/>
      <c r="AC280" s="331" t="str">
        <f>IF(AND(AB280&lt;1,Z280="ПОДЛЕЖИТ ПЕРЕПРОВЕРКЕ",Y280=1),T280+72,"-----")</f>
        <v>-----</v>
      </c>
      <c r="AD280" s="20"/>
      <c r="AE280" s="22" t="str">
        <f>IF(AND(O280&gt;120,Y280=0,N280&gt;0),"яловая","-")</f>
        <v>яловая</v>
      </c>
      <c r="AF280" s="20" t="str">
        <f>IF(AND(T280&gt;0,OR(Y280=3,Y280=2)),T280+35,"-")</f>
        <v>-</v>
      </c>
      <c r="AG280" s="94" t="str">
        <f>IF(AND(T280&gt;0,W280&gt;0,Q280&gt;0,OR(Y280=3,Y280=2)),B280-AF280,"---------")</f>
        <v>---------</v>
      </c>
      <c r="AH280" s="21">
        <v>42944</v>
      </c>
      <c r="AI280" s="21" t="str">
        <f>IF(AND($T280&gt;0,$N280&gt;0,$Y280=1),$T280+280-90,"-")</f>
        <v>-</v>
      </c>
      <c r="AJ280" s="21" t="str">
        <f>IF(AND(T280&gt;0,Y280=1,N280&gt;0),T280+280-60,"-")</f>
        <v>-</v>
      </c>
      <c r="AK280" s="85"/>
      <c r="AL280" s="21" t="str">
        <f>IF(AND($T280&gt;0,$Y280=1),$T280+280-21,"-")</f>
        <v>-</v>
      </c>
      <c r="AM280" s="21" t="str">
        <f>IF(AND(T280&gt;0,Y280=1),T280+280,"-")</f>
        <v>-</v>
      </c>
      <c r="AN280" s="89" t="str">
        <f>IF(AND(B280&gt;0,AM280&gt;0,AH280&gt;0,Y280=1),B280-AM280,"-")</f>
        <v>-</v>
      </c>
      <c r="AO280" s="92">
        <v>1</v>
      </c>
      <c r="AP280" s="80" t="str">
        <f>IF(AND(AE280="яловая",O280&gt;300),"БРАК","-")</f>
        <v>-</v>
      </c>
      <c r="AQ280" s="80"/>
      <c r="AR280" s="22" t="str">
        <f>IF(AND(Y280=1,P280=0),"НЕТЕЛЬ","-")</f>
        <v>-</v>
      </c>
      <c r="AS280" s="234"/>
      <c r="AT280" s="22" t="str">
        <f>IF(AND(N280&gt;0,T280&gt;0,W280&gt;0,Y280=1,AH280&gt;0,AK280&gt;0),"DRY COW","-")</f>
        <v>-</v>
      </c>
      <c r="AU280" s="300"/>
      <c r="AV280" s="429"/>
      <c r="AW280" s="431"/>
      <c r="AX280" s="121" t="str">
        <f>IF(AND(AV280&gt;0,AW280&gt;0),B280-AV280,"-")</f>
        <v>-</v>
      </c>
      <c r="AY280" s="432" t="str">
        <f>IF(AND(AV280&gt;0,AW280&gt;0),(AV280-I280)/30,"-")</f>
        <v>-</v>
      </c>
      <c r="AZ280" s="428" t="str">
        <f>IF(AND(OR(E280="тёлочка",E280="бычок"),L280&gt;0,BB280&lt;2,L280&lt;60),"ПОДЛЕЖИТ ВАКЦИНАЦИИ","-")</f>
        <v>-</v>
      </c>
      <c r="BA280" s="121"/>
      <c r="BB280" s="326"/>
      <c r="BC280" s="318">
        <v>42986</v>
      </c>
      <c r="BD280" s="440" t="s">
        <v>3133</v>
      </c>
    </row>
    <row r="281" spans="1:107" s="2" customFormat="1" ht="15.95" customHeight="1" x14ac:dyDescent="0.25">
      <c r="A281" s="86">
        <v>279</v>
      </c>
      <c r="B281" s="84">
        <f t="shared" si="185"/>
        <v>42986</v>
      </c>
      <c r="C281" s="29" t="s">
        <v>2865</v>
      </c>
      <c r="D281" s="427" t="s">
        <v>2851</v>
      </c>
      <c r="E281" s="22" t="s">
        <v>67</v>
      </c>
      <c r="F281" s="27" t="s">
        <v>443</v>
      </c>
      <c r="G281" s="324">
        <f>SUMIFS(МОЛОКО!L9:L6958,МОЛОКО!F9:F6958,"44034",МОЛОКО!L9:L6958,"&gt;0")</f>
        <v>0</v>
      </c>
      <c r="H281" s="28" t="s">
        <v>78</v>
      </c>
      <c r="I281" s="20">
        <v>41487</v>
      </c>
      <c r="J281" s="240">
        <f>(B281-I281)/365</f>
        <v>4.1068493150684935</v>
      </c>
      <c r="K281" s="240">
        <f>(B281-I281)/30</f>
        <v>49.966666666666669</v>
      </c>
      <c r="L281" s="298">
        <f>B281-I281</f>
        <v>1499</v>
      </c>
      <c r="M281" s="60">
        <v>42233</v>
      </c>
      <c r="N281" s="32">
        <v>42617</v>
      </c>
      <c r="O281" s="82">
        <f>IF(AND(B281&gt;0,N281&gt;0),B281-N281,"-")</f>
        <v>369</v>
      </c>
      <c r="P281" s="19">
        <v>2</v>
      </c>
      <c r="Q281" s="68" t="s">
        <v>2366</v>
      </c>
      <c r="R281" s="118" t="s">
        <v>1875</v>
      </c>
      <c r="S281" s="21">
        <v>42900</v>
      </c>
      <c r="T281" s="20">
        <v>42900</v>
      </c>
      <c r="U281" s="20" t="str">
        <f>IF(AND(Y281&gt;1,T281&gt;0),T281+18,"-")</f>
        <v>-</v>
      </c>
      <c r="V281" s="19" t="str">
        <f>IF(AND(U281&gt;0,B281&gt;0,Y281&gt;1),B281-U281,"-")</f>
        <v>-</v>
      </c>
      <c r="W281" s="3">
        <v>1</v>
      </c>
      <c r="X281" s="22">
        <f>IF(AND(N281&gt;0,T281&gt;0),T281-N281,"-")</f>
        <v>283</v>
      </c>
      <c r="Y281" s="22">
        <v>0</v>
      </c>
      <c r="Z281" s="329" t="str">
        <f>IF(AND(Y281=1,AA281&gt;71,OR(ISBLANK(AB281),AB281=2)),"ПОДЛЕЖИТ ПЕРЕПРОВЕРКЕ","-----")</f>
        <v>-----</v>
      </c>
      <c r="AA281" s="328">
        <f>IF(AND(O281&gt;-1,W281&gt;0,Y281=1,AB281=1),"-----",B281-T281)</f>
        <v>86</v>
      </c>
      <c r="AB281" s="19"/>
      <c r="AC281" s="331" t="str">
        <f>IF(AND(AB281&lt;1,Z281="ПОДЛЕЖИТ ПЕРЕПРОВЕРКЕ",Y281=1),T281+72,"-----")</f>
        <v>-----</v>
      </c>
      <c r="AD281" s="20"/>
      <c r="AE281" s="22" t="str">
        <f>IF(AND(O281&gt;120,Y281=0,N281&gt;0),"яловая","-")</f>
        <v>яловая</v>
      </c>
      <c r="AF281" s="20" t="str">
        <f>IF(AND(T281&gt;0,OR(Y281=3,Y281=2)),T281+35,"-")</f>
        <v>-</v>
      </c>
      <c r="AG281" s="94" t="str">
        <f>IF(AND(T281&gt;0,W281&gt;0,Q281&gt;0,OR(Y281=3,Y281=2)),B281-AF281,"---------")</f>
        <v>---------</v>
      </c>
      <c r="AH281" s="21">
        <v>42928</v>
      </c>
      <c r="AI281" s="21" t="str">
        <f>IF(AND($T281&gt;0,$N281&gt;0,$Y281=1),$T281+280-90,"-")</f>
        <v>-</v>
      </c>
      <c r="AJ281" s="21" t="str">
        <f>IF(AND(T281&gt;0,Y281=1,N281&gt;0),T281+280-60,"-")</f>
        <v>-</v>
      </c>
      <c r="AK281" s="85"/>
      <c r="AL281" s="21" t="str">
        <f>IF(AND($T281&gt;0,$Y281=1),$T281+280-21,"-")</f>
        <v>-</v>
      </c>
      <c r="AM281" s="21" t="str">
        <f>IF(AND(T281&gt;0,Y281=1),T281+280,"-")</f>
        <v>-</v>
      </c>
      <c r="AN281" s="89" t="str">
        <f>IF(AND(B281&gt;0,AM281&gt;0,AH281&gt;0,Y281=1),B281-AM281,"-")</f>
        <v>-</v>
      </c>
      <c r="AO281" s="92">
        <v>1</v>
      </c>
      <c r="AP281" s="80" t="str">
        <f>IF(AND(AE281="яловая",O281&gt;300),"БРАК","-")</f>
        <v>БРАК</v>
      </c>
      <c r="AQ281" s="80" t="s">
        <v>1863</v>
      </c>
      <c r="AR281" s="22" t="str">
        <f>IF(AND(Y281=1,P281=0),"НЕТЕЛЬ","-")</f>
        <v>-</v>
      </c>
      <c r="AS281" s="234"/>
      <c r="AT281" s="22" t="str">
        <f>IF(AND(N281&gt;0,T281&gt;0,W281&gt;0,Y281=1,AH281&gt;0,AK281&gt;0),"DRY COW","-")</f>
        <v>-</v>
      </c>
      <c r="AU281" s="300"/>
      <c r="AV281" s="429"/>
      <c r="AW281" s="431"/>
      <c r="AX281" s="121" t="str">
        <f>IF(AND(AV281&gt;0,AW281&gt;0),B281-AV281,"-")</f>
        <v>-</v>
      </c>
      <c r="AY281" s="432" t="str">
        <f>IF(AND(AV281&gt;0,AW281&gt;0),(AV281-I281)/30,"-")</f>
        <v>-</v>
      </c>
      <c r="AZ281" s="428" t="str">
        <f>IF(AND(OR(E281="тёлочка",E281="бычок"),L281&gt;0,BB281&lt;2,L281&lt;60),"ПОДЛЕЖИТ ВАКЦИНАЦИИ","-")</f>
        <v>-</v>
      </c>
      <c r="BA281" s="121"/>
      <c r="BB281" s="326"/>
      <c r="BC281" s="318">
        <v>42986</v>
      </c>
      <c r="BD281" s="440" t="s">
        <v>3134</v>
      </c>
    </row>
    <row r="282" spans="1:107" s="2" customFormat="1" ht="15.95" customHeight="1" x14ac:dyDescent="0.25">
      <c r="A282" s="86">
        <v>280</v>
      </c>
      <c r="B282" s="84">
        <f t="shared" si="185"/>
        <v>42987</v>
      </c>
      <c r="C282" s="29" t="s">
        <v>613</v>
      </c>
      <c r="D282" s="59" t="s">
        <v>3078</v>
      </c>
      <c r="E282" s="22" t="s">
        <v>1552</v>
      </c>
      <c r="F282" s="27" t="s">
        <v>1547</v>
      </c>
      <c r="G282" s="324">
        <f>SUMIFS(МОЛОКО!L169:L7119,МОЛОКО!F169:F7119,"2681",МОЛОКО!L169:L7119,"&gt;0")</f>
        <v>0</v>
      </c>
      <c r="H282" s="28" t="s">
        <v>603</v>
      </c>
      <c r="I282" s="20">
        <v>42229</v>
      </c>
      <c r="J282" s="240">
        <f t="shared" ref="J282" si="232">(B282-I282)/365</f>
        <v>2.0767123287671234</v>
      </c>
      <c r="K282" s="240">
        <f t="shared" ref="K282" si="233">(B282-I282)/30</f>
        <v>25.266666666666666</v>
      </c>
      <c r="L282" s="298">
        <f t="shared" ref="L282" si="234">B282-I282</f>
        <v>758</v>
      </c>
      <c r="M282" s="60">
        <v>42928</v>
      </c>
      <c r="N282" s="32">
        <v>42928</v>
      </c>
      <c r="O282" s="82">
        <f t="shared" ref="O282" si="235">IF(AND(B282&gt;0,N282&gt;0),B282-N282,"-")</f>
        <v>59</v>
      </c>
      <c r="P282" s="19">
        <v>1</v>
      </c>
      <c r="Q282" s="68"/>
      <c r="R282" s="118"/>
      <c r="S282" s="21"/>
      <c r="T282" s="20"/>
      <c r="U282" s="20" t="str">
        <f t="shared" ref="U282" si="236">IF(AND(Y282&gt;1,T282&gt;0),T282+18,"-")</f>
        <v>-</v>
      </c>
      <c r="V282" s="19" t="str">
        <f t="shared" ref="V282" si="237">IF(AND(U282&gt;0,B282&gt;0,Y282&gt;1),B282-U282,"-")</f>
        <v>-</v>
      </c>
      <c r="W282" s="3">
        <v>0</v>
      </c>
      <c r="X282" s="22" t="str">
        <f t="shared" ref="X282" si="238">IF(AND(N282&gt;0,T282&gt;0),T282-N282,"-")</f>
        <v>-</v>
      </c>
      <c r="Y282" s="22">
        <v>0</v>
      </c>
      <c r="Z282" s="329" t="str">
        <f t="shared" ref="Z282" si="239">IF(AND(Y282=1,AA282&gt;71,OR(ISBLANK(AB282),AB282=2)),"ПОДЛЕЖИТ ПЕРЕПРОВЕРКЕ","-----")</f>
        <v>-----</v>
      </c>
      <c r="AA282" s="328">
        <f t="shared" ref="AA282" si="240">IF(AND(O282&gt;-1,W282&gt;0,Y282=1,AB282=1),"-----",B282-T282)</f>
        <v>42987</v>
      </c>
      <c r="AB282" s="19"/>
      <c r="AC282" s="331" t="str">
        <f t="shared" ref="AC282" si="241">IF(AND(AB282&lt;1,Z282="ПОДЛЕЖИТ ПЕРЕПРОВЕРКЕ",Y282=1),T282+72,"-----")</f>
        <v>-----</v>
      </c>
      <c r="AD282" s="20"/>
      <c r="AE282" s="22" t="str">
        <f t="shared" ref="AE282" si="242">IF(AND(O282&gt;120,Y282=0,N282&gt;0),"яловая","-")</f>
        <v>-</v>
      </c>
      <c r="AF282" s="20" t="str">
        <f t="shared" ref="AF282" si="243">IF(AND(T282&gt;0,OR(Y282=3,Y282=2)),T282+35,"-")</f>
        <v>-</v>
      </c>
      <c r="AG282" s="94" t="str">
        <f t="shared" ref="AG282" si="244">IF(AND(T282&gt;0,W282&gt;0,Q282&gt;0,OR(Y282=3,Y282=2)),B282-AF282,"---------")</f>
        <v>---------</v>
      </c>
      <c r="AH282" s="21"/>
      <c r="AI282" s="21" t="str">
        <f t="shared" ref="AI282" si="245">IF(AND($T282&gt;0,$N282&gt;0,$Y282=1),$T282+280-90,"-")</f>
        <v>-</v>
      </c>
      <c r="AJ282" s="21" t="str">
        <f t="shared" ref="AJ282" si="246">IF(AND(T282&gt;0,Y282=1,N282&gt;0),T282+280-60,"-")</f>
        <v>-</v>
      </c>
      <c r="AK282" s="85"/>
      <c r="AL282" s="21" t="str">
        <f t="shared" ref="AL282" si="247">IF(AND($T282&gt;0,$Y282=1),$T282+280-21,"-")</f>
        <v>-</v>
      </c>
      <c r="AM282" s="21" t="str">
        <f t="shared" ref="AM282" si="248">IF(AND(T282&gt;0,Y282=1),T282+280,"-")</f>
        <v>-</v>
      </c>
      <c r="AN282" s="89" t="str">
        <f t="shared" ref="AN282" si="249">IF(AND(B282&gt;0,AM282&gt;0,AH282&gt;0,Y282=1),B282-AM282,"-")</f>
        <v>-</v>
      </c>
      <c r="AO282" s="92">
        <v>1</v>
      </c>
      <c r="AP282" s="80" t="str">
        <f t="shared" ref="AP282" si="250">IF(AND(AE282="яловая",O282&gt;300),"БРАК","-")</f>
        <v>-</v>
      </c>
      <c r="AQ282" s="80"/>
      <c r="AR282" s="22" t="str">
        <f t="shared" ref="AR282" si="251">IF(AND(Y282=1,P282=0),"НЕТЕЛЬ","-")</f>
        <v>-</v>
      </c>
      <c r="AS282" s="234"/>
      <c r="AT282" s="22" t="str">
        <f t="shared" ref="AT282" si="252">IF(AND(N282&gt;0,T282&gt;0,W282&gt;0,Y282=1,AH282&gt;0,AK282&gt;0),"DRY COW","-")</f>
        <v>-</v>
      </c>
      <c r="AU282" s="300"/>
      <c r="AV282" s="429"/>
      <c r="AW282" s="431"/>
      <c r="AX282" s="121" t="str">
        <f t="shared" ref="AX282" si="253">IF(AND(AV282&gt;0,AW282&gt;0),B282-AV282,"-")</f>
        <v>-</v>
      </c>
      <c r="AY282" s="432" t="str">
        <f t="shared" ref="AY282" si="254">IF(AND(AV282&gt;0,AW282&gt;0),(AV282-I282)/30,"-")</f>
        <v>-</v>
      </c>
      <c r="AZ282" s="428" t="str">
        <f t="shared" ref="AZ282" si="255">IF(AND(OR(E282="тёлочка",E282="бычок"),L282&gt;0,BB282&lt;2,L282&lt;60),"ПОДЛЕЖИТ ВАКЦИНАЦИИ","-")</f>
        <v>-</v>
      </c>
      <c r="BA282" s="121"/>
      <c r="BB282" s="326"/>
      <c r="BC282" s="318">
        <v>42987</v>
      </c>
      <c r="BD282" s="440" t="s">
        <v>3135</v>
      </c>
    </row>
    <row r="283" spans="1:107" s="2" customFormat="1" ht="15.95" customHeight="1" x14ac:dyDescent="0.25">
      <c r="A283" s="86">
        <v>281</v>
      </c>
      <c r="B283" s="84">
        <f t="shared" ref="B283:B288" ca="1" si="256">TODAY()</f>
        <v>43134</v>
      </c>
      <c r="C283" s="29" t="s">
        <v>2865</v>
      </c>
      <c r="D283" s="59" t="s">
        <v>2850</v>
      </c>
      <c r="E283" s="22" t="s">
        <v>924</v>
      </c>
      <c r="F283" s="295" t="s">
        <v>925</v>
      </c>
      <c r="G283" s="324">
        <f>SUMIFS(МОЛОКО!L9:L6958,МОЛОКО!F9:F6958,"7245",МОЛОКО!L9:L6958,"&gt;0")</f>
        <v>0</v>
      </c>
      <c r="H283" s="28" t="s">
        <v>721</v>
      </c>
      <c r="I283" s="20">
        <v>41128</v>
      </c>
      <c r="J283" s="240">
        <f t="shared" ref="J283:J288" ca="1" si="257">(B283-I283)/365</f>
        <v>5.4958904109589044</v>
      </c>
      <c r="K283" s="240">
        <f t="shared" ref="K283:K288" ca="1" si="258">(B283-I283)/30</f>
        <v>66.86666666666666</v>
      </c>
      <c r="L283" s="298">
        <f t="shared" ref="L283:L288" ca="1" si="259">B283-I283</f>
        <v>2006</v>
      </c>
      <c r="M283" s="60">
        <v>41879</v>
      </c>
      <c r="N283" s="32">
        <v>42607</v>
      </c>
      <c r="O283" s="82">
        <f t="shared" ref="O283:O288" ca="1" si="260">IF(AND(B283&gt;0,N283&gt;0),B283-N283,"-")</f>
        <v>527</v>
      </c>
      <c r="P283" s="19">
        <v>2</v>
      </c>
      <c r="Q283" s="68" t="s">
        <v>1451</v>
      </c>
      <c r="R283" s="118" t="s">
        <v>1809</v>
      </c>
      <c r="S283" s="21">
        <v>42664</v>
      </c>
      <c r="T283" s="20">
        <v>42711</v>
      </c>
      <c r="U283" s="20" t="str">
        <f t="shared" ref="U283:U288" si="261">IF(AND(Y283&gt;1,T283&gt;0),T283+18,"-")</f>
        <v>-</v>
      </c>
      <c r="V283" s="19" t="str">
        <f t="shared" ref="V283:V288" ca="1" si="262">IF(AND(U283&gt;0,B283&gt;0,Y283&gt;1),B283-U283,"-")</f>
        <v>-</v>
      </c>
      <c r="W283" s="3">
        <v>2</v>
      </c>
      <c r="X283" s="22">
        <f t="shared" ref="X283:X288" si="263">IF(AND(N283&gt;0,T283&gt;0),T283-N283,"-")</f>
        <v>104</v>
      </c>
      <c r="Y283" s="22">
        <v>0</v>
      </c>
      <c r="Z283" s="329" t="str">
        <f t="shared" ref="Z283:Z288" ca="1" si="264">IF(AND(Y283=1,AA283&gt;71,OR(ISBLANK(AB283),AB283=2)),"ПОДЛЕЖИТ ПЕРЕПРОВЕРКЕ","-----")</f>
        <v>-----</v>
      </c>
      <c r="AA283" s="328">
        <f t="shared" ref="AA283:AA288" ca="1" si="265">IF(AND(O283&gt;-1,W283&gt;0,Y283=1,AB283=1),"-----",B283-T283)</f>
        <v>423</v>
      </c>
      <c r="AB283" s="19"/>
      <c r="AC283" s="331" t="str">
        <f t="shared" ref="AC283:AC288" ca="1" si="266">IF(AND(AB283&lt;1,Z283="ПОДЛЕЖИТ ПЕРЕПРОВЕРКЕ",Y283=1),T283+72,"-----")</f>
        <v>-----</v>
      </c>
      <c r="AD283" s="20"/>
      <c r="AE283" s="22" t="str">
        <f t="shared" ref="AE283:AE288" ca="1" si="267">IF(AND(O283&gt;120,Y283=0,N283&gt;0),"яловая","-")</f>
        <v>яловая</v>
      </c>
      <c r="AF283" s="20" t="str">
        <f t="shared" ref="AF283:AF288" si="268">IF(AND(T283&gt;0,OR(Y283=3,Y283=2)),T283+35,"-")</f>
        <v>-</v>
      </c>
      <c r="AG283" s="94" t="str">
        <f t="shared" ref="AG283:AG288" si="269">IF(AND(T283&gt;0,W283&gt;0,Q283&gt;0,OR(Y283=3,Y283=2)),B283-AF283,"---------")</f>
        <v>---------</v>
      </c>
      <c r="AH283" s="21"/>
      <c r="AI283" s="21" t="str">
        <f t="shared" ref="AI283:AI288" si="270">IF(AND($T283&gt;0,$N283&gt;0,$Y283=1),$T283+280-90,"-")</f>
        <v>-</v>
      </c>
      <c r="AJ283" s="21" t="str">
        <f t="shared" ref="AJ283:AJ288" si="271">IF(AND(T283&gt;0,Y283=1,N283&gt;0),T283+280-60,"-")</f>
        <v>-</v>
      </c>
      <c r="AK283" s="85"/>
      <c r="AL283" s="21" t="str">
        <f t="shared" ref="AL283:AL288" si="272">IF(AND($T283&gt;0,$Y283=1),$T283+280-21,"-")</f>
        <v>-</v>
      </c>
      <c r="AM283" s="21" t="str">
        <f t="shared" ref="AM283:AM288" si="273">IF(AND(T283&gt;0,Y283=1),T283+280,"-")</f>
        <v>-</v>
      </c>
      <c r="AN283" s="89" t="str">
        <f t="shared" ref="AN283:AN288" ca="1" si="274">IF(AND(B283&gt;0,AM283&gt;0,AH283&gt;0,Y283=1),B283-AM283,"-")</f>
        <v>-</v>
      </c>
      <c r="AO283" s="92">
        <v>1</v>
      </c>
      <c r="AP283" s="80" t="str">
        <f t="shared" ref="AP283:AP288" ca="1" si="275">IF(AND(AE283="яловая",O283&gt;300),"БРАК","-")</f>
        <v>БРАК</v>
      </c>
      <c r="AQ283" s="441" t="s">
        <v>1863</v>
      </c>
      <c r="AR283" s="22" t="str">
        <f t="shared" ref="AR283:AR288" si="276">IF(AND(Y283=1,P283=0),"НЕТЕЛЬ","-")</f>
        <v>-</v>
      </c>
      <c r="AS283" s="234">
        <v>42851</v>
      </c>
      <c r="AT283" s="22" t="str">
        <f t="shared" ref="AT283:AT288" si="277">IF(AND(N283&gt;0,T283&gt;0,W283&gt;0,Y283=1,AH283&gt;0,AK283&gt;0),"DRY COW","-")</f>
        <v>-</v>
      </c>
      <c r="AU283" s="300">
        <v>1</v>
      </c>
      <c r="AV283" s="430">
        <v>42981</v>
      </c>
      <c r="AW283" s="431">
        <v>5</v>
      </c>
      <c r="AX283" s="121">
        <f t="shared" ref="AX283:AX288" ca="1" si="278">IF(AND(AV283&gt;0,AW283&gt;0),B283-AV283,"-")</f>
        <v>153</v>
      </c>
      <c r="AY283" s="432">
        <f t="shared" ref="AY283:AY288" si="279">IF(AND(AV283&gt;0,AW283&gt;0),(AV283-I283)/30,"-")</f>
        <v>61.766666666666666</v>
      </c>
      <c r="AZ283" s="428" t="str">
        <f ca="1">IF(AND(OR(E283="тёлочка",E283="бычок"),L283&gt;0,BB283&lt;2,L283&lt;60),"ПОДЛЕЖИТ ВАКЦИНАЦИИ","-")</f>
        <v>-</v>
      </c>
      <c r="BA283" s="121"/>
      <c r="BB283" s="326"/>
      <c r="BC283" s="318">
        <v>43000</v>
      </c>
      <c r="BD283" s="440" t="s">
        <v>1863</v>
      </c>
      <c r="BE283" s="321" t="str">
        <f ca="1">IF(AND(L283&gt;60,BG283&lt;5),"ПОДЛЕЖИТ ВАКЦИНАЦИИ","-")</f>
        <v>-</v>
      </c>
      <c r="BF283" s="307">
        <v>42887</v>
      </c>
      <c r="BG283" s="308">
        <v>5</v>
      </c>
      <c r="BH283" s="309">
        <f ca="1">IF(AND(BF283&gt;0,BG283=5),B283-BF283,"-")</f>
        <v>247</v>
      </c>
      <c r="BI283" s="310" t="str">
        <f ca="1">IF(AND(BG283=5,BH283&gt;20,BL283&lt;5),"ТРЕБУЕТСЯ БУСТЕРНАЯ ДОЗА","-")</f>
        <v>-</v>
      </c>
      <c r="BJ283" s="313">
        <f>IF(AND(BF283&gt;0,BG283=5),BF283+21,"-")</f>
        <v>42908</v>
      </c>
      <c r="BK283" s="307">
        <v>42908</v>
      </c>
      <c r="BL283" s="308">
        <v>5</v>
      </c>
      <c r="BM283" s="309">
        <f ca="1">IF(AND(BK283&gt;0,BL283=5),B283-BK283,"-")</f>
        <v>226</v>
      </c>
      <c r="BN283" s="309">
        <f>IF(AND(BJ283&gt;0,BK283&gt;0,BL283=5),BJ283-BK283,"-")</f>
        <v>0</v>
      </c>
      <c r="BO283" s="311" t="str">
        <f>IF(AND(BL283=5,BN283=0),"УСПЕШНО","-")</f>
        <v>УСПЕШНО</v>
      </c>
      <c r="BP283" s="312" t="str">
        <f ca="1">IF(AND(BF283&gt;0,BG283=5,BK283&gt;0,BL283=5,BM283&gt;240,BR283&lt;5),"НЕОБХОДИМА РЕВАКЦИНАЦИЯ","-")</f>
        <v>-</v>
      </c>
      <c r="BQ283" s="307"/>
      <c r="BR283" s="308"/>
      <c r="BS283" s="309" t="str">
        <f>IF(AND(BQ283&gt;0,BR283=5),N283-BQ283,"-")</f>
        <v>-</v>
      </c>
      <c r="BT283" s="310" t="str">
        <f>IF(AND(BQ283&gt;0,BR283=5,BS283&gt;240),"НЕОБХОДИМА РЕВАКЦИНАЦИЯ","-")</f>
        <v>-</v>
      </c>
      <c r="BU283" s="321" t="str">
        <f ca="1">IF(AND(Y283=1,AN283&gt;-90,BW283&lt;2),"ТРЕБУЕТСЯ ВАКЦИНАЦИЯ","-")</f>
        <v>-</v>
      </c>
      <c r="BV283" s="306"/>
      <c r="BW283" s="308"/>
      <c r="BX283" s="309" t="str">
        <f>IF(AND(BV283&gt;0,BW283=2),BV283-T283,"-")</f>
        <v>-</v>
      </c>
      <c r="BY283" s="309" t="str">
        <f>IF(AND(BV283&gt;0,BW283=2),B283-BV283,"-")</f>
        <v>-</v>
      </c>
      <c r="BZ283" s="310" t="str">
        <f>IF(AND(BW283=2,BY283&gt;20,CC283&lt;2),"ТРЕБУЕТСЯ БУСТЕРНАЯ ДОЗА","-")</f>
        <v>-</v>
      </c>
      <c r="CA283" s="313" t="str">
        <f>IF(AND(BV283&gt;0,BW283=2),BV283+21,"-")</f>
        <v>-</v>
      </c>
      <c r="CB283" s="306"/>
      <c r="CC283" s="308"/>
      <c r="CD283" s="309" t="str">
        <f>IF(AND(CA283&gt;0,CB283&gt;0,CC283=2),CB283-CA283,"-")</f>
        <v>-</v>
      </c>
      <c r="CE283" s="311" t="str">
        <f>IF(AND(CC283=2,CD283=0),"УСПЕШНО","-")</f>
        <v>-</v>
      </c>
      <c r="CF283" s="309" t="str">
        <f>IF(AND(CB283&gt;0,CC283=2),CB283-T283,"-")</f>
        <v>-</v>
      </c>
      <c r="CG283" s="312" t="str">
        <f ca="1">IF(AND(BV283&gt;0,BW283=2,CB283&gt;0,CC283=2,Y283=1,AN283&gt;-50,CI283&lt;2),"ТРЕБУЕТСЯ РЕВАКЦИНАЦИЯ","-")</f>
        <v>-</v>
      </c>
      <c r="CH283" s="78"/>
      <c r="CI283" s="308"/>
      <c r="CJ283" s="384">
        <f ca="1">IF(O283&gt;90,N283+100,"-----")</f>
        <v>42707</v>
      </c>
      <c r="CK283" s="359" t="str">
        <f ca="1">IF(AND(O283&gt;99,ISBLANK(CL283),CM283&lt;100),"ПОДЛЕЖИТ ОБРАБОТКЕ","-----")</f>
        <v>-----</v>
      </c>
      <c r="CL283" s="362">
        <v>42943</v>
      </c>
      <c r="CM283" s="361">
        <f ca="1">IF(CL283&gt;0,B283-CL283,"-")</f>
        <v>191</v>
      </c>
      <c r="CN283" s="360" t="s">
        <v>2937</v>
      </c>
      <c r="CO283" s="360" t="s">
        <v>2937</v>
      </c>
      <c r="CP283" s="360" t="s">
        <v>2938</v>
      </c>
      <c r="CQ283" s="360" t="s">
        <v>2938</v>
      </c>
      <c r="CR283" s="384" t="str">
        <f>IF(AND(Y283=1,P283&gt;0),AJ283-14,"----")</f>
        <v>----</v>
      </c>
      <c r="CS283" s="359" t="str">
        <f ca="1">IF(AND(Y283=1,AN283&gt;-205,ISBLANK(CT283),CU283&lt;100),"ПОДЛЕЖИТ ОБРАБОТКЕ","-----")</f>
        <v>-----</v>
      </c>
      <c r="CT283" s="358"/>
      <c r="CU283" s="361" t="str">
        <f>IF(CT283&gt;0,B283-CT283,"-")</f>
        <v>-</v>
      </c>
      <c r="CV283" s="360"/>
      <c r="CW283" s="360"/>
      <c r="CX283" s="360"/>
      <c r="CY283" s="360"/>
    </row>
    <row r="284" spans="1:107" s="2" customFormat="1" ht="15.6" customHeight="1" x14ac:dyDescent="0.25">
      <c r="A284" s="86">
        <v>282</v>
      </c>
      <c r="B284" s="84">
        <f t="shared" ca="1" si="256"/>
        <v>43134</v>
      </c>
      <c r="C284" s="29" t="s">
        <v>613</v>
      </c>
      <c r="D284" s="59" t="s">
        <v>3078</v>
      </c>
      <c r="E284" s="22" t="s">
        <v>59</v>
      </c>
      <c r="F284" s="27" t="s">
        <v>60</v>
      </c>
      <c r="G284" s="324">
        <f>SUMIFS(МОЛОКО!L9:L6958,МОЛОКО!F9:F6958,"175551",МОЛОКО!L9:L6958,"&gt;0")</f>
        <v>0</v>
      </c>
      <c r="H284" s="28" t="s">
        <v>78</v>
      </c>
      <c r="I284" s="20">
        <v>40226</v>
      </c>
      <c r="J284" s="240">
        <f t="shared" ca="1" si="257"/>
        <v>7.9671232876712326</v>
      </c>
      <c r="K284" s="240">
        <f t="shared" ca="1" si="258"/>
        <v>96.933333333333337</v>
      </c>
      <c r="L284" s="298">
        <f t="shared" ca="1" si="259"/>
        <v>2908</v>
      </c>
      <c r="M284" s="60">
        <v>41086</v>
      </c>
      <c r="N284" s="32">
        <v>42930</v>
      </c>
      <c r="O284" s="82">
        <f t="shared" ca="1" si="260"/>
        <v>204</v>
      </c>
      <c r="P284" s="19">
        <v>5</v>
      </c>
      <c r="Q284" s="68"/>
      <c r="R284" s="118"/>
      <c r="S284" s="21"/>
      <c r="T284" s="20"/>
      <c r="U284" s="20" t="str">
        <f t="shared" si="261"/>
        <v>-</v>
      </c>
      <c r="V284" s="19" t="str">
        <f t="shared" ca="1" si="262"/>
        <v>-</v>
      </c>
      <c r="W284" s="3">
        <v>0</v>
      </c>
      <c r="X284" s="22" t="str">
        <f t="shared" si="263"/>
        <v>-</v>
      </c>
      <c r="Y284" s="22">
        <v>0</v>
      </c>
      <c r="Z284" s="329" t="str">
        <f t="shared" ca="1" si="264"/>
        <v>-----</v>
      </c>
      <c r="AA284" s="328">
        <f t="shared" ca="1" si="265"/>
        <v>43134</v>
      </c>
      <c r="AB284" s="19"/>
      <c r="AC284" s="331" t="str">
        <f t="shared" ca="1" si="266"/>
        <v>-----</v>
      </c>
      <c r="AD284" s="20"/>
      <c r="AE284" s="22" t="str">
        <f t="shared" ca="1" si="267"/>
        <v>яловая</v>
      </c>
      <c r="AF284" s="20" t="str">
        <f t="shared" si="268"/>
        <v>-</v>
      </c>
      <c r="AG284" s="94" t="str">
        <f t="shared" si="269"/>
        <v>---------</v>
      </c>
      <c r="AH284" s="21"/>
      <c r="AI284" s="21" t="str">
        <f t="shared" si="270"/>
        <v>-</v>
      </c>
      <c r="AJ284" s="21" t="str">
        <f t="shared" si="271"/>
        <v>-</v>
      </c>
      <c r="AK284" s="85"/>
      <c r="AL284" s="21" t="str">
        <f t="shared" si="272"/>
        <v>-</v>
      </c>
      <c r="AM284" s="21" t="str">
        <f t="shared" si="273"/>
        <v>-</v>
      </c>
      <c r="AN284" s="89" t="str">
        <f t="shared" ca="1" si="274"/>
        <v>-</v>
      </c>
      <c r="AO284" s="92">
        <v>1</v>
      </c>
      <c r="AP284" s="80" t="str">
        <f t="shared" ca="1" si="275"/>
        <v>-</v>
      </c>
      <c r="AQ284" s="441"/>
      <c r="AR284" s="22" t="str">
        <f t="shared" si="276"/>
        <v>-</v>
      </c>
      <c r="AS284" s="234"/>
      <c r="AT284" s="22" t="str">
        <f t="shared" si="277"/>
        <v>-</v>
      </c>
      <c r="AU284" s="300"/>
      <c r="AV284" s="430">
        <v>42980</v>
      </c>
      <c r="AW284" s="431">
        <v>5</v>
      </c>
      <c r="AX284" s="121">
        <f t="shared" ca="1" si="278"/>
        <v>154</v>
      </c>
      <c r="AY284" s="432">
        <f t="shared" si="279"/>
        <v>91.8</v>
      </c>
      <c r="AZ284" s="428" t="str">
        <f ca="1">IF(AND(OR(E284="тёлочка",E284="бычок"),L284&gt;0,BB284&lt;2,L284&lt;60),"ПОДЛЕЖИТ ВАКЦИНАЦИИ","-")</f>
        <v>-</v>
      </c>
      <c r="BA284" s="121"/>
      <c r="BB284" s="326"/>
      <c r="BC284" s="318">
        <v>43000</v>
      </c>
      <c r="BD284" s="444" t="s">
        <v>3167</v>
      </c>
      <c r="BE284" s="321" t="str">
        <f ca="1">IF(AND(L284&gt;60,BG284&lt;5),"ПОДЛЕЖИТ ВАКЦИНАЦИИ","-")</f>
        <v>-</v>
      </c>
      <c r="BF284" s="307">
        <v>42964</v>
      </c>
      <c r="BG284" s="308">
        <v>5</v>
      </c>
      <c r="BH284" s="309">
        <f ca="1">IF(AND(BF284&gt;0,BG284=5),B284-BF284,"-")</f>
        <v>170</v>
      </c>
      <c r="BI284" s="310" t="str">
        <f ca="1">IF(AND(BG284=5,BH284&gt;20,BL284&lt;5),"ТРЕБУЕТСЯ БУСТЕРНАЯ ДОЗА","-")</f>
        <v>-</v>
      </c>
      <c r="BJ284" s="313">
        <f>IF(AND(BF284&gt;0,BG284=5),BF284+21,"-")</f>
        <v>42985</v>
      </c>
      <c r="BK284" s="307">
        <v>42985</v>
      </c>
      <c r="BL284" s="308">
        <v>5</v>
      </c>
      <c r="BM284" s="309">
        <f ca="1">IF(AND(BK284&gt;0,BL284=5),B284-BK284,"-")</f>
        <v>149</v>
      </c>
      <c r="BN284" s="309">
        <f>IF(AND(BJ284&gt;0,BK284&gt;0,BL284=5),BJ284-BK284,"-")</f>
        <v>0</v>
      </c>
      <c r="BO284" s="311" t="str">
        <f>IF(AND(BL284=5,BN284=0),"УСПЕШНО","-")</f>
        <v>УСПЕШНО</v>
      </c>
      <c r="BP284" s="312" t="str">
        <f ca="1">IF(AND(BF284&gt;0,BG284=5,BK284&gt;0,BL284=5,BM284&gt;240,BR284&lt;5),"НЕОБХОДИМА РЕВАКЦИНАЦИЯ","-")</f>
        <v>-</v>
      </c>
      <c r="BQ284" s="307"/>
      <c r="BR284" s="308"/>
      <c r="BS284" s="309" t="str">
        <f>IF(AND(BQ284&gt;0,BR284=5),N284-BQ284,"-")</f>
        <v>-</v>
      </c>
      <c r="BT284" s="310" t="str">
        <f>IF(AND(BQ284&gt;0,BR284=5,BS284&gt;240),"НЕОБХОДИМА РЕВАКЦИНАЦИЯ","-")</f>
        <v>-</v>
      </c>
      <c r="BU284" s="321" t="str">
        <f ca="1">IF(AND(Y284=1,AN284&gt;-90,BW284&lt;2),"ТРЕБУЕТСЯ ВАКЦИНАЦИЯ","-")</f>
        <v>-</v>
      </c>
      <c r="BV284" s="307">
        <v>42882</v>
      </c>
      <c r="BW284" s="308">
        <v>2</v>
      </c>
      <c r="BX284" s="309">
        <f>IF(AND(BV284&gt;0,BW284=2),BV284-T284,"-")</f>
        <v>42882</v>
      </c>
      <c r="BY284" s="309">
        <f ca="1">IF(AND(BV284&gt;0,BW284=2),B284-BV284,"-")</f>
        <v>252</v>
      </c>
      <c r="BZ284" s="310" t="str">
        <f ca="1">IF(AND(BW284=2,BY284&gt;20,CC284&lt;2),"ТРЕБУЕТСЯ БУСТЕРНАЯ ДОЗА","-")</f>
        <v>-</v>
      </c>
      <c r="CA284" s="313">
        <f>IF(AND(BV284&gt;0,BW284=2),BV284+21,"-")</f>
        <v>42903</v>
      </c>
      <c r="CB284" s="307">
        <v>42903</v>
      </c>
      <c r="CC284" s="308">
        <v>2</v>
      </c>
      <c r="CD284" s="309">
        <f>IF(AND(CA284&gt;0,CB284&gt;0,CC284=2),CB284-CA284,"-")</f>
        <v>0</v>
      </c>
      <c r="CE284" s="311" t="str">
        <f>IF(AND(CC284=2,CD284=0),"УСПЕШНО","-")</f>
        <v>УСПЕШНО</v>
      </c>
      <c r="CF284" s="309">
        <f>IF(AND(CB284&gt;0,CC284=2),CB284-T284,"-")</f>
        <v>42903</v>
      </c>
      <c r="CG284" s="312" t="str">
        <f ca="1">IF(AND(BV284&gt;0,BW284=2,CB284&gt;0,CC284=2,Y284=1,AN284&gt;-50,CI284&lt;2),"ТРЕБУЕТСЯ РЕВАКЦИНАЦИЯ","-")</f>
        <v>-</v>
      </c>
      <c r="CH284" s="78"/>
      <c r="CI284" s="308"/>
      <c r="CJ284" s="384">
        <f ca="1">IF(O284&gt;90,N284+100,"-----")</f>
        <v>43030</v>
      </c>
      <c r="CK284" s="359" t="str">
        <f ca="1">IF(AND(O284&gt;99,ISBLANK(CL284),CM284&lt;100),"ПОДЛЕЖИТ ОБРАБОТКЕ","-----")</f>
        <v>-----</v>
      </c>
      <c r="CL284" s="358"/>
      <c r="CM284" s="361" t="str">
        <f>IF(CL284&gt;0,B284-CL284,"-")</f>
        <v>-</v>
      </c>
      <c r="CN284" s="360"/>
      <c r="CO284" s="360"/>
      <c r="CP284" s="360"/>
      <c r="CQ284" s="360"/>
      <c r="CR284" s="384" t="str">
        <f>IF(AND(Y284=1,P284&gt;0),AJ284-14,"----")</f>
        <v>----</v>
      </c>
      <c r="CS284" s="359" t="str">
        <f ca="1">IF(AND(Y284=1,AN284&gt;-205,ISBLANK(CT284),CU284&lt;100),"ПОДЛЕЖИТ ОБРАБОТКЕ","-----")</f>
        <v>-----</v>
      </c>
      <c r="CT284" s="358"/>
      <c r="CU284" s="361" t="str">
        <f>IF(CT284&gt;0,B284-CT284,"-")</f>
        <v>-</v>
      </c>
      <c r="CV284" s="360"/>
      <c r="CW284" s="360"/>
      <c r="CX284" s="360"/>
      <c r="CY284" s="360"/>
    </row>
    <row r="285" spans="1:107" s="2" customFormat="1" ht="15.95" customHeight="1" x14ac:dyDescent="0.25">
      <c r="A285" s="77">
        <v>230</v>
      </c>
      <c r="B285" s="84">
        <f t="shared" ca="1" si="256"/>
        <v>43134</v>
      </c>
      <c r="C285" s="29" t="s">
        <v>615</v>
      </c>
      <c r="D285" s="59" t="s">
        <v>2658</v>
      </c>
      <c r="E285" s="22" t="s">
        <v>104</v>
      </c>
      <c r="F285" s="295" t="s">
        <v>1539</v>
      </c>
      <c r="G285" s="324">
        <f>SUMIFS(МОЛОКО!L9:L6958,МОЛОКО!F9:F6958,"1240(1270)",МОЛОКО!L9:L6958,"&gt;0")</f>
        <v>0</v>
      </c>
      <c r="H285" s="28" t="s">
        <v>603</v>
      </c>
      <c r="I285" s="20">
        <v>40628</v>
      </c>
      <c r="J285" s="240">
        <f t="shared" ca="1" si="257"/>
        <v>6.8657534246575347</v>
      </c>
      <c r="K285" s="240">
        <f t="shared" ca="1" si="258"/>
        <v>83.533333333333331</v>
      </c>
      <c r="L285" s="298">
        <f t="shared" ca="1" si="259"/>
        <v>2506</v>
      </c>
      <c r="M285" s="60">
        <v>41473</v>
      </c>
      <c r="N285" s="32">
        <v>42984</v>
      </c>
      <c r="O285" s="82">
        <f t="shared" ca="1" si="260"/>
        <v>150</v>
      </c>
      <c r="P285" s="19">
        <v>4</v>
      </c>
      <c r="Q285" s="68"/>
      <c r="R285" s="118"/>
      <c r="S285" s="21"/>
      <c r="T285" s="20"/>
      <c r="U285" s="20" t="str">
        <f t="shared" si="261"/>
        <v>-</v>
      </c>
      <c r="V285" s="19" t="str">
        <f t="shared" ca="1" si="262"/>
        <v>-</v>
      </c>
      <c r="W285" s="3">
        <v>0</v>
      </c>
      <c r="X285" s="22" t="str">
        <f t="shared" si="263"/>
        <v>-</v>
      </c>
      <c r="Y285" s="22">
        <v>0</v>
      </c>
      <c r="Z285" s="329" t="str">
        <f t="shared" ca="1" si="264"/>
        <v>-----</v>
      </c>
      <c r="AA285" s="328">
        <f t="shared" ca="1" si="265"/>
        <v>43134</v>
      </c>
      <c r="AB285" s="19"/>
      <c r="AC285" s="331" t="str">
        <f t="shared" ca="1" si="266"/>
        <v>-----</v>
      </c>
      <c r="AD285" s="20"/>
      <c r="AE285" s="22" t="str">
        <f t="shared" ca="1" si="267"/>
        <v>яловая</v>
      </c>
      <c r="AF285" s="20" t="str">
        <f t="shared" si="268"/>
        <v>-</v>
      </c>
      <c r="AG285" s="94" t="str">
        <f t="shared" si="269"/>
        <v>---------</v>
      </c>
      <c r="AH285" s="21"/>
      <c r="AI285" s="21" t="str">
        <f t="shared" si="270"/>
        <v>-</v>
      </c>
      <c r="AJ285" s="21" t="str">
        <f t="shared" si="271"/>
        <v>-</v>
      </c>
      <c r="AK285" s="85"/>
      <c r="AL285" s="21" t="str">
        <f t="shared" si="272"/>
        <v>-</v>
      </c>
      <c r="AM285" s="21" t="str">
        <f t="shared" si="273"/>
        <v>-</v>
      </c>
      <c r="AN285" s="89" t="str">
        <f t="shared" ca="1" si="274"/>
        <v>-</v>
      </c>
      <c r="AO285" s="92">
        <v>1</v>
      </c>
      <c r="AP285" s="80" t="str">
        <f t="shared" ca="1" si="275"/>
        <v>-</v>
      </c>
      <c r="AQ285" s="441"/>
      <c r="AR285" s="22" t="str">
        <f t="shared" si="276"/>
        <v>-</v>
      </c>
      <c r="AS285" s="234"/>
      <c r="AT285" s="22" t="str">
        <f t="shared" si="277"/>
        <v>-</v>
      </c>
      <c r="AU285" s="300">
        <v>1</v>
      </c>
      <c r="AV285" s="430">
        <v>42982</v>
      </c>
      <c r="AW285" s="431">
        <v>5</v>
      </c>
      <c r="AX285" s="121">
        <f t="shared" ca="1" si="278"/>
        <v>152</v>
      </c>
      <c r="AY285" s="432">
        <f t="shared" si="279"/>
        <v>78.466666666666669</v>
      </c>
      <c r="AZ285" s="445"/>
      <c r="BA285" s="431"/>
      <c r="BB285" s="121" t="str">
        <f t="shared" ref="BB285:BB293" si="280">IF(AND(AZ285&gt;0,BA285&gt;0),B285-AZ285,"-")</f>
        <v>-</v>
      </c>
      <c r="BC285" s="318">
        <v>43005</v>
      </c>
      <c r="BD285" s="428" t="str">
        <f ca="1">IF(AND(OR(E285="тёлочка",E285="бычок"),L285&gt;0,BF285&lt;2,L285&lt;60),"ПОДЛЕЖИТ ВАКЦИНАЦИИ","-")</f>
        <v>-</v>
      </c>
      <c r="BE285" s="121"/>
      <c r="BF285" s="326"/>
      <c r="BG285" s="330" t="str">
        <f>IF(AND(BE285&gt;0,BF285=2),BE285-I285,"Ж-Е НЕ ВАКЦ.")</f>
        <v>Ж-Е НЕ ВАКЦ.</v>
      </c>
      <c r="BH285" s="332" t="str">
        <f>IF(AND(BE285&gt;0,BF285=2),B285-BE285,"-")</f>
        <v>-</v>
      </c>
      <c r="BI285" s="321" t="str">
        <f ca="1">IF(AND(L285&gt;60,BK285&lt;5),"ПОДЛЕЖИТ ВАКЦИНАЦИИ","-")</f>
        <v>-</v>
      </c>
      <c r="BJ285" s="307">
        <v>42887</v>
      </c>
      <c r="BK285" s="308">
        <v>5</v>
      </c>
      <c r="BL285" s="309">
        <f ca="1">IF(AND(BJ285&gt;0,BK285=5),B285-BJ285,"-")</f>
        <v>247</v>
      </c>
      <c r="BM285" s="310" t="str">
        <f ca="1">IF(AND(BK285=5,BL285&gt;20,BP285&lt;5),"ТРЕБУЕТСЯ БУСТЕРНАЯ ДОЗА","-")</f>
        <v>-</v>
      </c>
      <c r="BN285" s="313">
        <f>IF(AND(BJ285&gt;0,BK285=5),BJ285+21,"-")</f>
        <v>42908</v>
      </c>
      <c r="BO285" s="307">
        <v>42908</v>
      </c>
      <c r="BP285" s="308">
        <v>5</v>
      </c>
      <c r="BQ285" s="309">
        <f ca="1">IF(AND(BO285&gt;0,BP285=5),B285-BO285,"-")</f>
        <v>226</v>
      </c>
      <c r="BR285" s="309">
        <f>IF(AND(BN285&gt;0,BO285&gt;0,BP285=5),BN285-BO285,"-")</f>
        <v>0</v>
      </c>
      <c r="BS285" s="311" t="str">
        <f>IF(AND(BP285=5,BR285=0),"УСПЕШНО","-")</f>
        <v>УСПЕШНО</v>
      </c>
      <c r="BT285" s="312" t="str">
        <f ca="1">IF(AND(BJ285&gt;0,BK285=5,BO285&gt;0,BP285=5,BQ285&gt;240,BV285&lt;5),"НЕОБХОДИМА РЕВАКЦИНАЦИЯ","-")</f>
        <v>-</v>
      </c>
      <c r="BU285" s="307"/>
      <c r="BV285" s="308"/>
      <c r="BW285" s="309" t="str">
        <f>IF(AND(BU285&gt;0,BV285=5),N285-BU285,"-")</f>
        <v>-</v>
      </c>
      <c r="BX285" s="310" t="str">
        <f>IF(AND(BU285&gt;0,BV285=5,BW285&gt;240),"НЕОБХОДИМА РЕВАКЦИНАЦИЯ","-")</f>
        <v>-</v>
      </c>
      <c r="BY285" s="321" t="str">
        <f ca="1">IF(AND(Y285=1,AN285&gt;-90,CA285&lt;2),"ТРЕБУЕТСЯ ВАКЦИНАЦИЯ","-")</f>
        <v>-</v>
      </c>
      <c r="BZ285" s="307">
        <v>42925</v>
      </c>
      <c r="CA285" s="308">
        <v>2</v>
      </c>
      <c r="CB285" s="309">
        <f>IF(AND(BZ285&gt;0,CA285=2),BZ285-T285,"-")</f>
        <v>42925</v>
      </c>
      <c r="CC285" s="309">
        <f ca="1">IF(AND(BZ285&gt;0,CA285=2),B285-BZ285,"-")</f>
        <v>209</v>
      </c>
      <c r="CD285" s="310" t="str">
        <f ca="1">IF(AND(CA285=2,CC285&gt;20,CG285&lt;2),"ТРЕБУЕТСЯ БУСТЕРНАЯ ДОЗА","-")</f>
        <v>-</v>
      </c>
      <c r="CE285" s="313">
        <f t="shared" ref="CE285:CE293" si="281">IF(AND(BZ285&gt;0,CA285=2),BZ285+21,"-")</f>
        <v>42946</v>
      </c>
      <c r="CF285" s="307">
        <v>42946</v>
      </c>
      <c r="CG285" s="308">
        <v>2</v>
      </c>
      <c r="CH285" s="309">
        <f t="shared" ref="CH285" si="282">IF(AND(CE285&gt;0,CF285&gt;0,CG285=2),CF285-CE285,"-")</f>
        <v>0</v>
      </c>
      <c r="CI285" s="311" t="str">
        <f t="shared" ref="CI285:CI293" si="283">IF(AND(CG285=2,CH285=0),"УСПЕШНО","-")</f>
        <v>УСПЕШНО</v>
      </c>
      <c r="CJ285" s="309">
        <f t="shared" ref="CJ285:CJ293" si="284">IF(AND(CF285&gt;0,CG285=2),CF285-T285,"-")</f>
        <v>42946</v>
      </c>
      <c r="CK285" s="312" t="str">
        <f t="shared" ref="CK285:CK293" ca="1" si="285">IF(AND(BZ285&gt;0,CA285=2,CF285&gt;0,CG285=2,Y285=1,AN285&gt;-50,CM285&lt;2),"ТРЕБУЕТСЯ РЕВАКЦИНАЦИЯ","-")</f>
        <v>-</v>
      </c>
      <c r="CL285" s="78"/>
      <c r="CM285" s="308"/>
      <c r="CN285" s="384">
        <f ca="1">IF(O285&gt;90,N285+100,"-----")</f>
        <v>43084</v>
      </c>
      <c r="CO285" s="359" t="str">
        <f ca="1">IF(AND(O285&gt;99,ISBLANK(CP285),CQ285&lt;100),"ПОДЛЕЖИТ ОБРАБОТКЕ","-----")</f>
        <v>-----</v>
      </c>
      <c r="CP285" s="358"/>
      <c r="CQ285" s="361" t="str">
        <f>IF(CP285&gt;0,B285-CP285,"-")</f>
        <v>-</v>
      </c>
      <c r="CR285" s="360"/>
      <c r="CS285" s="360"/>
      <c r="CT285" s="360"/>
      <c r="CU285" s="360"/>
      <c r="CV285" s="384" t="str">
        <f>IF(AND(Y285=1,P285&gt;0),AJ285-14,"----")</f>
        <v>----</v>
      </c>
      <c r="CW285" s="359" t="str">
        <f ca="1">IF(AND(Y285=1,AN285&gt;-205,ISBLANK(CX285),CY285&lt;100),"ПОДЛЕЖИТ ОБРАБОТКЕ","-----")</f>
        <v>-----</v>
      </c>
      <c r="CX285" s="358"/>
      <c r="CY285" s="361" t="str">
        <f>IF(CX285&gt;0,B285-CX285,"-")</f>
        <v>-</v>
      </c>
      <c r="CZ285" s="360"/>
      <c r="DA285" s="360"/>
      <c r="DB285" s="360"/>
      <c r="DC285" s="360"/>
    </row>
    <row r="286" spans="1:107" s="493" customFormat="1" ht="15.95" customHeight="1" x14ac:dyDescent="0.25">
      <c r="A286" s="447">
        <v>5</v>
      </c>
      <c r="B286" s="448">
        <f t="shared" ca="1" si="256"/>
        <v>43134</v>
      </c>
      <c r="C286" s="449" t="s">
        <v>614</v>
      </c>
      <c r="D286" s="59" t="s">
        <v>3201</v>
      </c>
      <c r="E286" s="450" t="s">
        <v>281</v>
      </c>
      <c r="F286" s="451" t="s">
        <v>1415</v>
      </c>
      <c r="G286" s="503">
        <f>SUMIFS(МОЛОКО!L8:L6958,МОЛОКО!F8:F6958,"1541",МОЛОКО!L8:L6958,"&gt;0")</f>
        <v>0</v>
      </c>
      <c r="H286" s="453" t="s">
        <v>603</v>
      </c>
      <c r="I286" s="454">
        <v>41030</v>
      </c>
      <c r="J286" s="455">
        <f t="shared" ca="1" si="257"/>
        <v>5.7643835616438359</v>
      </c>
      <c r="K286" s="455">
        <f t="shared" ca="1" si="258"/>
        <v>70.13333333333334</v>
      </c>
      <c r="L286" s="456">
        <f t="shared" ca="1" si="259"/>
        <v>2104</v>
      </c>
      <c r="M286" s="457">
        <v>41839</v>
      </c>
      <c r="N286" s="458">
        <v>42856</v>
      </c>
      <c r="O286" s="459">
        <f t="shared" ca="1" si="260"/>
        <v>278</v>
      </c>
      <c r="P286" s="460">
        <v>3</v>
      </c>
      <c r="Q286" s="461" t="s">
        <v>2366</v>
      </c>
      <c r="R286" s="462" t="s">
        <v>2962</v>
      </c>
      <c r="S286" s="463">
        <v>42940</v>
      </c>
      <c r="T286" s="454">
        <v>42940</v>
      </c>
      <c r="U286" s="454" t="str">
        <f t="shared" si="261"/>
        <v>-</v>
      </c>
      <c r="V286" s="460" t="str">
        <f t="shared" ca="1" si="262"/>
        <v>-</v>
      </c>
      <c r="W286" s="464">
        <v>1</v>
      </c>
      <c r="X286" s="450">
        <f t="shared" si="263"/>
        <v>84</v>
      </c>
      <c r="Y286" s="450">
        <v>1</v>
      </c>
      <c r="Z286" s="465" t="str">
        <f t="shared" ca="1" si="264"/>
        <v>ПОДЛЕЖИТ ПЕРЕПРОВЕРКЕ</v>
      </c>
      <c r="AA286" s="466">
        <f t="shared" ca="1" si="265"/>
        <v>194</v>
      </c>
      <c r="AB286" s="460"/>
      <c r="AC286" s="467">
        <f t="shared" ca="1" si="266"/>
        <v>43012</v>
      </c>
      <c r="AD286" s="454"/>
      <c r="AE286" s="450" t="str">
        <f t="shared" ca="1" si="267"/>
        <v>-</v>
      </c>
      <c r="AF286" s="454" t="str">
        <f t="shared" si="268"/>
        <v>-</v>
      </c>
      <c r="AG286" s="468" t="str">
        <f t="shared" si="269"/>
        <v>---------</v>
      </c>
      <c r="AH286" s="463">
        <v>42972</v>
      </c>
      <c r="AI286" s="463">
        <f t="shared" si="270"/>
        <v>43130</v>
      </c>
      <c r="AJ286" s="463">
        <f t="shared" si="271"/>
        <v>43160</v>
      </c>
      <c r="AK286" s="469"/>
      <c r="AL286" s="463">
        <f t="shared" si="272"/>
        <v>43199</v>
      </c>
      <c r="AM286" s="463">
        <f t="shared" si="273"/>
        <v>43220</v>
      </c>
      <c r="AN286" s="470">
        <f t="shared" ca="1" si="274"/>
        <v>-86</v>
      </c>
      <c r="AO286" s="471">
        <v>1</v>
      </c>
      <c r="AP286" s="472" t="str">
        <f t="shared" ca="1" si="275"/>
        <v>-</v>
      </c>
      <c r="AQ286" s="473"/>
      <c r="AR286" s="450" t="str">
        <f t="shared" si="276"/>
        <v>-</v>
      </c>
      <c r="AS286" s="474"/>
      <c r="AT286" s="450" t="str">
        <f t="shared" si="277"/>
        <v>-</v>
      </c>
      <c r="AU286" s="475"/>
      <c r="AV286" s="476">
        <v>42980</v>
      </c>
      <c r="AW286" s="477">
        <v>5</v>
      </c>
      <c r="AX286" s="478">
        <f t="shared" ca="1" si="278"/>
        <v>154</v>
      </c>
      <c r="AY286" s="479">
        <f t="shared" si="279"/>
        <v>65</v>
      </c>
      <c r="AZ286" s="480"/>
      <c r="BA286" s="477"/>
      <c r="BB286" s="478" t="str">
        <f t="shared" si="280"/>
        <v>-</v>
      </c>
      <c r="BC286" s="572">
        <v>43013</v>
      </c>
      <c r="BD286" s="1060" t="s">
        <v>3213</v>
      </c>
      <c r="BE286" s="1061"/>
      <c r="BF286" s="1061"/>
      <c r="BG286" s="1061"/>
      <c r="BH286" s="1061"/>
      <c r="BI286" s="1061"/>
      <c r="BJ286" s="1061"/>
      <c r="BK286" s="1061"/>
      <c r="BL286" s="1061"/>
      <c r="BM286" s="1061"/>
      <c r="BN286" s="1061"/>
      <c r="BO286" s="1061"/>
      <c r="BP286" s="1061"/>
      <c r="BQ286" s="1061"/>
      <c r="BR286" s="1061"/>
      <c r="BS286" s="1061"/>
      <c r="BT286" s="1061"/>
      <c r="BU286" s="1061"/>
      <c r="BV286" s="1061"/>
      <c r="BW286" s="1061"/>
      <c r="BX286" s="1061"/>
      <c r="BY286" s="1061"/>
      <c r="BZ286" s="1061"/>
      <c r="CA286" s="1061"/>
      <c r="CB286" s="1061"/>
      <c r="CC286" s="1061"/>
      <c r="CD286" s="1062"/>
      <c r="CE286" s="483" t="str">
        <f t="shared" si="281"/>
        <v>-</v>
      </c>
      <c r="CF286" s="486"/>
      <c r="CG286" s="481"/>
      <c r="CH286" s="482" t="str">
        <f>IF(AND(CE286&gt;0,CF286&gt;0,CG286=2),CF286-CE286,"-")</f>
        <v>-</v>
      </c>
      <c r="CI286" s="484" t="str">
        <f t="shared" si="283"/>
        <v>-</v>
      </c>
      <c r="CJ286" s="482" t="str">
        <f t="shared" si="284"/>
        <v>-</v>
      </c>
      <c r="CK286" s="485" t="str">
        <f t="shared" ca="1" si="285"/>
        <v>-</v>
      </c>
      <c r="CL286" s="487"/>
      <c r="CM286" s="481"/>
      <c r="CN286" s="488">
        <f ca="1">IF(O286&gt;90,N286+100,"-----")</f>
        <v>42956</v>
      </c>
      <c r="CO286" s="489" t="str">
        <f ca="1">IF(AND(O286&gt;99,ISBLANK(CP286),CQ286&lt;100),"ПОДЛЕЖИТ ОБРАБОТКЕ","-----")</f>
        <v>-----</v>
      </c>
      <c r="CP286" s="490">
        <v>42954</v>
      </c>
      <c r="CQ286" s="491">
        <f ca="1">IF(CP286&gt;0,B286-CP286,"-")</f>
        <v>180</v>
      </c>
      <c r="CR286" s="492" t="s">
        <v>2937</v>
      </c>
      <c r="CS286" s="492" t="s">
        <v>2937</v>
      </c>
      <c r="CT286" s="492" t="s">
        <v>2937</v>
      </c>
      <c r="CU286" s="492" t="s">
        <v>2937</v>
      </c>
      <c r="CV286" s="488">
        <f>IF(AND(Y286=1,P286&gt;0),AJ286-14,"----")</f>
        <v>43146</v>
      </c>
      <c r="CW286" s="489" t="str">
        <f ca="1">IF(AND(Y286=1,AN286&gt;-205,ISBLANK(CX286),CY286&lt;100),"ПОДЛЕЖИТ ОБРАБОТКЕ","-----")</f>
        <v>-----</v>
      </c>
      <c r="CX286" s="490"/>
      <c r="CY286" s="491" t="str">
        <f>IF(CX286&gt;0,B286-CX286,"-")</f>
        <v>-</v>
      </c>
      <c r="CZ286" s="492"/>
      <c r="DA286" s="492"/>
      <c r="DB286" s="492"/>
      <c r="DC286" s="492"/>
    </row>
    <row r="287" spans="1:107" s="493" customFormat="1" ht="15.95" customHeight="1" x14ac:dyDescent="0.25">
      <c r="A287" s="447">
        <v>85</v>
      </c>
      <c r="B287" s="448">
        <f t="shared" ca="1" si="256"/>
        <v>43134</v>
      </c>
      <c r="C287" s="449" t="s">
        <v>614</v>
      </c>
      <c r="D287" s="59" t="s">
        <v>3202</v>
      </c>
      <c r="E287" s="450" t="s">
        <v>53</v>
      </c>
      <c r="F287" s="451" t="s">
        <v>54</v>
      </c>
      <c r="G287" s="452">
        <f>SUMIFS(МОЛОКО!L9:L6958,МОЛОКО!F9:F6958,"175530",МОЛОКО!L9:L6958,"&gt;0")</f>
        <v>0</v>
      </c>
      <c r="H287" s="453" t="s">
        <v>78</v>
      </c>
      <c r="I287" s="454">
        <v>40276</v>
      </c>
      <c r="J287" s="455">
        <f t="shared" ca="1" si="257"/>
        <v>7.8301369863013699</v>
      </c>
      <c r="K287" s="455">
        <f t="shared" ca="1" si="258"/>
        <v>95.266666666666666</v>
      </c>
      <c r="L287" s="456">
        <f t="shared" ca="1" si="259"/>
        <v>2858</v>
      </c>
      <c r="M287" s="457">
        <v>41078</v>
      </c>
      <c r="N287" s="458">
        <v>43003</v>
      </c>
      <c r="O287" s="459">
        <f t="shared" ca="1" si="260"/>
        <v>131</v>
      </c>
      <c r="P287" s="460">
        <v>5</v>
      </c>
      <c r="Q287" s="461"/>
      <c r="R287" s="462"/>
      <c r="S287" s="463"/>
      <c r="T287" s="454"/>
      <c r="U287" s="454" t="str">
        <f t="shared" si="261"/>
        <v>-</v>
      </c>
      <c r="V287" s="460" t="str">
        <f t="shared" ca="1" si="262"/>
        <v>-</v>
      </c>
      <c r="W287" s="464">
        <v>0</v>
      </c>
      <c r="X287" s="450" t="str">
        <f t="shared" si="263"/>
        <v>-</v>
      </c>
      <c r="Y287" s="450">
        <v>0</v>
      </c>
      <c r="Z287" s="465" t="str">
        <f t="shared" ca="1" si="264"/>
        <v>-----</v>
      </c>
      <c r="AA287" s="466">
        <f t="shared" ca="1" si="265"/>
        <v>43134</v>
      </c>
      <c r="AB287" s="460"/>
      <c r="AC287" s="467" t="str">
        <f t="shared" ca="1" si="266"/>
        <v>-----</v>
      </c>
      <c r="AD287" s="454"/>
      <c r="AE287" s="450" t="str">
        <f t="shared" ca="1" si="267"/>
        <v>яловая</v>
      </c>
      <c r="AF287" s="454" t="str">
        <f t="shared" si="268"/>
        <v>-</v>
      </c>
      <c r="AG287" s="468" t="str">
        <f t="shared" si="269"/>
        <v>---------</v>
      </c>
      <c r="AH287" s="463"/>
      <c r="AI287" s="463" t="str">
        <f t="shared" si="270"/>
        <v>-</v>
      </c>
      <c r="AJ287" s="463" t="str">
        <f t="shared" si="271"/>
        <v>-</v>
      </c>
      <c r="AK287" s="469"/>
      <c r="AL287" s="463" t="str">
        <f t="shared" si="272"/>
        <v>-</v>
      </c>
      <c r="AM287" s="463" t="str">
        <f t="shared" si="273"/>
        <v>-</v>
      </c>
      <c r="AN287" s="470" t="str">
        <f t="shared" ca="1" si="274"/>
        <v>-</v>
      </c>
      <c r="AO287" s="471">
        <v>1</v>
      </c>
      <c r="AP287" s="472" t="str">
        <f t="shared" ca="1" si="275"/>
        <v>-</v>
      </c>
      <c r="AQ287" s="473"/>
      <c r="AR287" s="450" t="str">
        <f t="shared" si="276"/>
        <v>-</v>
      </c>
      <c r="AS287" s="474"/>
      <c r="AT287" s="450" t="str">
        <f t="shared" si="277"/>
        <v>-</v>
      </c>
      <c r="AU287" s="475"/>
      <c r="AV287" s="476">
        <v>42982</v>
      </c>
      <c r="AW287" s="477">
        <v>5</v>
      </c>
      <c r="AX287" s="478">
        <f t="shared" ca="1" si="278"/>
        <v>152</v>
      </c>
      <c r="AY287" s="479">
        <f t="shared" si="279"/>
        <v>90.2</v>
      </c>
      <c r="AZ287" s="480"/>
      <c r="BA287" s="477"/>
      <c r="BB287" s="478" t="str">
        <f t="shared" si="280"/>
        <v>-</v>
      </c>
      <c r="BC287" s="572">
        <v>43013</v>
      </c>
      <c r="BD287" s="1060" t="s">
        <v>3214</v>
      </c>
      <c r="BE287" s="1061"/>
      <c r="BF287" s="1061"/>
      <c r="BG287" s="1061"/>
      <c r="BH287" s="1061"/>
      <c r="BI287" s="1061"/>
      <c r="BJ287" s="1061"/>
      <c r="BK287" s="1061"/>
      <c r="BL287" s="1061"/>
      <c r="BM287" s="1061"/>
      <c r="BN287" s="1061"/>
      <c r="BO287" s="1061"/>
      <c r="BP287" s="1061"/>
      <c r="BQ287" s="1061"/>
      <c r="BR287" s="1061"/>
      <c r="BS287" s="1061"/>
      <c r="BT287" s="1061"/>
      <c r="BU287" s="1061"/>
      <c r="BV287" s="1061"/>
      <c r="BW287" s="1061"/>
      <c r="BX287" s="1061"/>
      <c r="BY287" s="1061"/>
      <c r="BZ287" s="1061"/>
      <c r="CA287" s="1061"/>
      <c r="CB287" s="1061"/>
      <c r="CC287" s="1061"/>
      <c r="CD287" s="1062"/>
      <c r="CE287" s="483" t="str">
        <f t="shared" si="281"/>
        <v>-</v>
      </c>
      <c r="CF287" s="486"/>
      <c r="CG287" s="481"/>
      <c r="CH287" s="482" t="str">
        <f>IF(AND(CE287&gt;0,CF287&gt;0,CG287=2),CF287-CE287,"-")</f>
        <v>-</v>
      </c>
      <c r="CI287" s="484" t="str">
        <f t="shared" si="283"/>
        <v>-</v>
      </c>
      <c r="CJ287" s="482" t="str">
        <f t="shared" si="284"/>
        <v>-</v>
      </c>
      <c r="CK287" s="485" t="str">
        <f t="shared" ca="1" si="285"/>
        <v>-</v>
      </c>
      <c r="CL287" s="487"/>
      <c r="CM287" s="481"/>
      <c r="CN287" s="488">
        <f ca="1">IF(O287&gt;90,N287+100,"-----")</f>
        <v>43103</v>
      </c>
      <c r="CO287" s="489" t="str">
        <f ca="1">IF(AND(O287&gt;99,ISBLANK(CP287),CQ287&lt;100),"ПОДЛЕЖИТ ОБРАБОТКЕ","-----")</f>
        <v>-----</v>
      </c>
      <c r="CP287" s="490"/>
      <c r="CQ287" s="491" t="str">
        <f>IF(CP287&gt;0,B287-CP287,"-")</f>
        <v>-</v>
      </c>
      <c r="CR287" s="492"/>
      <c r="CS287" s="492"/>
      <c r="CT287" s="492"/>
      <c r="CU287" s="492"/>
      <c r="CV287" s="488" t="str">
        <f>IF(AND(Y287=1,P287&gt;0),AJ287-14,"----")</f>
        <v>----</v>
      </c>
      <c r="CW287" s="489" t="str">
        <f ca="1">IF(AND(Y287=1,AN287&gt;-205,ISBLANK(CX287),CY287&lt;100),"ПОДЛЕЖИТ ОБРАБОТКЕ","-----")</f>
        <v>-----</v>
      </c>
      <c r="CX287" s="490"/>
      <c r="CY287" s="491" t="str">
        <f>IF(CX287&gt;0,B287-CX287,"-")</f>
        <v>-</v>
      </c>
      <c r="CZ287" s="492"/>
      <c r="DA287" s="492"/>
      <c r="DB287" s="492"/>
      <c r="DC287" s="492"/>
    </row>
    <row r="288" spans="1:107" s="699" customFormat="1" ht="15.95" customHeight="1" x14ac:dyDescent="0.25">
      <c r="A288" s="647">
        <v>354</v>
      </c>
      <c r="B288" s="648">
        <f t="shared" ca="1" si="256"/>
        <v>43134</v>
      </c>
      <c r="C288" s="649" t="s">
        <v>613</v>
      </c>
      <c r="D288" s="650" t="s">
        <v>3204</v>
      </c>
      <c r="E288" s="651" t="s">
        <v>1060</v>
      </c>
      <c r="F288" s="652" t="s">
        <v>1905</v>
      </c>
      <c r="G288" s="700">
        <v>27.6</v>
      </c>
      <c r="H288" s="653" t="s">
        <v>603</v>
      </c>
      <c r="I288" s="654">
        <v>42262</v>
      </c>
      <c r="J288" s="655">
        <f t="shared" ca="1" si="257"/>
        <v>2.3890410958904109</v>
      </c>
      <c r="K288" s="655">
        <f t="shared" ca="1" si="258"/>
        <v>29.066666666666666</v>
      </c>
      <c r="L288" s="656">
        <f t="shared" ca="1" si="259"/>
        <v>872</v>
      </c>
      <c r="M288" s="657">
        <v>42910</v>
      </c>
      <c r="N288" s="658">
        <v>42910</v>
      </c>
      <c r="O288" s="659">
        <f t="shared" ca="1" si="260"/>
        <v>224</v>
      </c>
      <c r="P288" s="660">
        <v>1</v>
      </c>
      <c r="Q288" s="661" t="s">
        <v>2366</v>
      </c>
      <c r="R288" s="662" t="s">
        <v>3020</v>
      </c>
      <c r="S288" s="663">
        <v>42971</v>
      </c>
      <c r="T288" s="654">
        <v>42971</v>
      </c>
      <c r="U288" s="654" t="str">
        <f t="shared" si="261"/>
        <v>-</v>
      </c>
      <c r="V288" s="660" t="str">
        <f t="shared" ca="1" si="262"/>
        <v>-</v>
      </c>
      <c r="W288" s="664">
        <v>1</v>
      </c>
      <c r="X288" s="651">
        <f t="shared" si="263"/>
        <v>61</v>
      </c>
      <c r="Y288" s="651">
        <v>1</v>
      </c>
      <c r="Z288" s="665" t="str">
        <f t="shared" ca="1" si="264"/>
        <v>ПОДЛЕЖИТ ПЕРЕПРОВЕРКЕ</v>
      </c>
      <c r="AA288" s="666">
        <f t="shared" ca="1" si="265"/>
        <v>163</v>
      </c>
      <c r="AB288" s="660"/>
      <c r="AC288" s="667">
        <f t="shared" ca="1" si="266"/>
        <v>43043</v>
      </c>
      <c r="AD288" s="654"/>
      <c r="AE288" s="651" t="str">
        <f t="shared" ca="1" si="267"/>
        <v>-</v>
      </c>
      <c r="AF288" s="654" t="str">
        <f t="shared" si="268"/>
        <v>-</v>
      </c>
      <c r="AG288" s="668" t="str">
        <f t="shared" si="269"/>
        <v>---------</v>
      </c>
      <c r="AH288" s="663">
        <v>43003</v>
      </c>
      <c r="AI288" s="663">
        <f t="shared" si="270"/>
        <v>43161</v>
      </c>
      <c r="AJ288" s="663">
        <f t="shared" si="271"/>
        <v>43191</v>
      </c>
      <c r="AK288" s="669"/>
      <c r="AL288" s="663">
        <f t="shared" si="272"/>
        <v>43230</v>
      </c>
      <c r="AM288" s="663">
        <f t="shared" si="273"/>
        <v>43251</v>
      </c>
      <c r="AN288" s="670">
        <f t="shared" ca="1" si="274"/>
        <v>-117</v>
      </c>
      <c r="AO288" s="671">
        <v>1</v>
      </c>
      <c r="AP288" s="672" t="str">
        <f t="shared" ca="1" si="275"/>
        <v>-</v>
      </c>
      <c r="AQ288" s="673"/>
      <c r="AR288" s="651" t="str">
        <f t="shared" si="276"/>
        <v>-</v>
      </c>
      <c r="AS288" s="674"/>
      <c r="AT288" s="651" t="str">
        <f t="shared" si="277"/>
        <v>-</v>
      </c>
      <c r="AU288" s="675"/>
      <c r="AV288" s="676">
        <v>42980</v>
      </c>
      <c r="AW288" s="677">
        <v>5</v>
      </c>
      <c r="AX288" s="678">
        <f t="shared" ca="1" si="278"/>
        <v>154</v>
      </c>
      <c r="AY288" s="679">
        <f t="shared" si="279"/>
        <v>23.933333333333334</v>
      </c>
      <c r="AZ288" s="680">
        <v>43001</v>
      </c>
      <c r="BA288" s="677">
        <v>2</v>
      </c>
      <c r="BB288" s="678">
        <f t="shared" ca="1" si="280"/>
        <v>133</v>
      </c>
      <c r="BC288" s="572">
        <v>43019</v>
      </c>
      <c r="BD288" s="701" t="s">
        <v>2326</v>
      </c>
      <c r="BE288" s="678"/>
      <c r="BF288" s="681"/>
      <c r="BG288" s="682" t="str">
        <f>IF(AND(BE288&gt;0,BF288=2),BE288-I288,"Ж-Е НЕ ВАКЦ.")</f>
        <v>Ж-Е НЕ ВАКЦ.</v>
      </c>
      <c r="BH288" s="683" t="str">
        <f>IF(AND(BE288&gt;0,BF288=2),B288-BE288,"-")</f>
        <v>-</v>
      </c>
      <c r="BI288" s="684" t="str">
        <f ca="1">IF(AND(L288&gt;42,BK288&lt;5),"ПОДЛЕЖИТ ВАКЦИНАЦИИ","-")</f>
        <v>-</v>
      </c>
      <c r="BJ288" s="685">
        <v>42894</v>
      </c>
      <c r="BK288" s="686">
        <v>5</v>
      </c>
      <c r="BL288" s="687">
        <f ca="1">IF(AND(BJ288&gt;0,BK288=5),B288-BJ288,"-")</f>
        <v>240</v>
      </c>
      <c r="BM288" s="688" t="str">
        <f ca="1">IF(AND(BK288=5,BL288&gt;20,BP288&lt;5),"ТРЕБУЕТСЯ БУСТЕРНАЯ ДОЗА","-")</f>
        <v>-</v>
      </c>
      <c r="BN288" s="689">
        <f>IF(AND(BJ288&gt;0,BK288=5),BJ288+21,"-")</f>
        <v>42915</v>
      </c>
      <c r="BO288" s="685">
        <v>42915</v>
      </c>
      <c r="BP288" s="686">
        <v>5</v>
      </c>
      <c r="BQ288" s="687">
        <f ca="1">IF(AND(BO288&gt;0,BP288=5),B288-BO288,"-")</f>
        <v>219</v>
      </c>
      <c r="BR288" s="687">
        <f>IF(AND(BN288&gt;0,BO288&gt;0,BP288=5),BN288-BO288,"-")</f>
        <v>0</v>
      </c>
      <c r="BS288" s="690" t="str">
        <f>IF(AND(BP288=5,BR288=0),"УСПЕШНО","-")</f>
        <v>УСПЕШНО</v>
      </c>
      <c r="BT288" s="691" t="str">
        <f ca="1">IF(AND(BJ288&gt;0,BK288=5,BO288&gt;0,BP288=5,BQ288&gt;240,BV288&lt;5),"НЕОБХОДИМА РЕВАКЦИНАЦИЯ","-")</f>
        <v>-</v>
      </c>
      <c r="BU288" s="685"/>
      <c r="BV288" s="686"/>
      <c r="BW288" s="687" t="str">
        <f>IF(AND(BU288&gt;0,BV288=5),N288-BU288,"-")</f>
        <v>-</v>
      </c>
      <c r="BX288" s="688" t="str">
        <f>IF(AND(BU288&gt;0,BV288=5,BW288&gt;240),"НЕОБХОДИМА РЕВАКЦИНАЦИЯ","-")</f>
        <v>-</v>
      </c>
      <c r="BY288" s="684" t="str">
        <f ca="1">IF(AND(Y288=1,AN288&gt;-70,CA288&lt;2),"ТРЕБУЕТСЯ ВАКЦИНАЦИЯ","-")</f>
        <v>-</v>
      </c>
      <c r="BZ288" s="692"/>
      <c r="CA288" s="686"/>
      <c r="CB288" s="687" t="str">
        <f>IF(AND(BZ288&gt;0,CA288=2),BZ288-T288,"-")</f>
        <v>-</v>
      </c>
      <c r="CC288" s="687" t="str">
        <f>IF(AND(BZ288&gt;0,CA288=2),B288-BZ288,"-")</f>
        <v>-</v>
      </c>
      <c r="CD288" s="688" t="str">
        <f>IF(AND(CA288=2,CC288&gt;20,CG288&lt;2),"ТРЕБУЕТСЯ БУСТЕРНАЯ ДОЗА","-")</f>
        <v>-</v>
      </c>
      <c r="CE288" s="689" t="str">
        <f t="shared" si="281"/>
        <v>-</v>
      </c>
      <c r="CF288" s="692"/>
      <c r="CG288" s="686"/>
      <c r="CH288" s="687" t="str">
        <f>IF(AND(CE288&gt;0,CF288&gt;0,CG288=2),CF288-CE288,"-")</f>
        <v>-</v>
      </c>
      <c r="CI288" s="690" t="str">
        <f t="shared" si="283"/>
        <v>-</v>
      </c>
      <c r="CJ288" s="687" t="str">
        <f t="shared" si="284"/>
        <v>-</v>
      </c>
      <c r="CK288" s="691" t="str">
        <f t="shared" ca="1" si="285"/>
        <v>-</v>
      </c>
      <c r="CL288" s="693"/>
      <c r="CM288" s="686"/>
      <c r="CN288" s="694">
        <f ca="1">IF(O288&gt;90,N288+100,"-----")</f>
        <v>43010</v>
      </c>
      <c r="CO288" s="695" t="str">
        <f ca="1">IF(AND(O288&gt;99,ISBLANK(CP288),CQ288&lt;100),"ПОДЛЕЖИТ ОБРАБОТКЕ","-----")</f>
        <v>-----</v>
      </c>
      <c r="CP288" s="696">
        <v>42952</v>
      </c>
      <c r="CQ288" s="697">
        <f ca="1">IF(CP288&gt;0,B288-CP288,"-")</f>
        <v>182</v>
      </c>
      <c r="CR288" s="698" t="s">
        <v>2937</v>
      </c>
      <c r="CS288" s="698" t="s">
        <v>2937</v>
      </c>
      <c r="CT288" s="698" t="s">
        <v>2937</v>
      </c>
      <c r="CU288" s="698" t="s">
        <v>2938</v>
      </c>
      <c r="CV288" s="694">
        <f>IF(AND(Y288=1,P288&gt;0),AJ288-14,"----")</f>
        <v>43177</v>
      </c>
      <c r="CW288" s="695" t="str">
        <f ca="1">IF(AND(Y288=1,AN288&gt;-205,ISBLANK(CX288),CY288&lt;100),"ПОДЛЕЖИТ ОБРАБОТКЕ","-----")</f>
        <v>-----</v>
      </c>
      <c r="CX288" s="696">
        <v>42976</v>
      </c>
      <c r="CY288" s="697">
        <f ca="1">IF(CX288&gt;0,B288-CX288,"-")</f>
        <v>158</v>
      </c>
      <c r="CZ288" s="698" t="s">
        <v>2937</v>
      </c>
      <c r="DA288" s="698" t="s">
        <v>2937</v>
      </c>
      <c r="DB288" s="698" t="s">
        <v>2937</v>
      </c>
      <c r="DC288" s="698" t="s">
        <v>2937</v>
      </c>
    </row>
    <row r="289" spans="1:107" s="842" customFormat="1" ht="15.95" customHeight="1" x14ac:dyDescent="0.25">
      <c r="A289" s="790">
        <v>489</v>
      </c>
      <c r="B289" s="791">
        <f ca="1">TODAY()</f>
        <v>43134</v>
      </c>
      <c r="C289" s="847" t="s">
        <v>2404</v>
      </c>
      <c r="D289" s="793" t="s">
        <v>1456</v>
      </c>
      <c r="E289" s="794" t="s">
        <v>1111</v>
      </c>
      <c r="F289" s="795" t="s">
        <v>1823</v>
      </c>
      <c r="G289" s="845"/>
      <c r="H289" s="797" t="s">
        <v>603</v>
      </c>
      <c r="I289" s="798">
        <v>42228</v>
      </c>
      <c r="J289" s="799">
        <f ca="1">(B289-I289)/365</f>
        <v>2.4821917808219176</v>
      </c>
      <c r="K289" s="799">
        <f ca="1">(B289-I289)/30</f>
        <v>30.2</v>
      </c>
      <c r="L289" s="800">
        <f ca="1">B289-I289</f>
        <v>906</v>
      </c>
      <c r="M289" s="801">
        <v>43023</v>
      </c>
      <c r="N289" s="802">
        <v>43023</v>
      </c>
      <c r="O289" s="803">
        <f ca="1">IF(AND(B289&gt;0,N289&gt;0),B289-N289,"-")</f>
        <v>111</v>
      </c>
      <c r="P289" s="804">
        <v>1</v>
      </c>
      <c r="Q289" s="805"/>
      <c r="R289" s="806"/>
      <c r="S289" s="807"/>
      <c r="T289" s="798"/>
      <c r="U289" s="798" t="str">
        <f>IF(AND(Y289&gt;1,T289&gt;0),T289+18,"-")</f>
        <v>-</v>
      </c>
      <c r="V289" s="804" t="str">
        <f ca="1">IF(AND(U289&gt;0,B289&gt;0,Y289&gt;1),B289-U289,"-")</f>
        <v>-</v>
      </c>
      <c r="W289" s="808">
        <v>0</v>
      </c>
      <c r="X289" s="794" t="str">
        <f>IF(AND(N289&gt;0,T289&gt;0),T289-N289,"-")</f>
        <v>-</v>
      </c>
      <c r="Y289" s="794">
        <v>0</v>
      </c>
      <c r="Z289" s="809" t="str">
        <f ca="1">IF(AND(Y289=1,AA289&gt;71,OR(ISBLANK(AB289),AB289=2)),"ПОДЛЕЖИТ ПЕРЕПРОВЕРКЕ","-----")</f>
        <v>-----</v>
      </c>
      <c r="AA289" s="810">
        <f ca="1">IF(AND(O289&gt;-1,W289&gt;0,Y289=1,AB289=1),"-----",B289-T289)</f>
        <v>43134</v>
      </c>
      <c r="AB289" s="804"/>
      <c r="AC289" s="811" t="str">
        <f ca="1">IF(AND(AB289&lt;1,Z289="ПОДЛЕЖИТ ПЕРЕПРОВЕРКЕ",Y289=1),T289+72,"-----")</f>
        <v>-----</v>
      </c>
      <c r="AD289" s="798"/>
      <c r="AE289" s="794" t="str">
        <f ca="1">IF(AND(O289&gt;120,Y289=0,N289&gt;0),"яловая","-")</f>
        <v>-</v>
      </c>
      <c r="AF289" s="798" t="str">
        <f>IF(AND(T289&gt;0,OR(Y289=3,Y289=2)),T289+35,"-")</f>
        <v>-</v>
      </c>
      <c r="AG289" s="812" t="str">
        <f>IF(AND(T289&gt;0,W289&gt;0,Q289&gt;0,OR(Y289=3,Y289=2)),B289-AF289,"---------")</f>
        <v>---------</v>
      </c>
      <c r="AH289" s="807"/>
      <c r="AI289" s="807" t="str">
        <f>IF(AND($T289&gt;0,$N289&gt;0,$Y289=1),$T289+280-90,"-")</f>
        <v>-</v>
      </c>
      <c r="AJ289" s="807" t="str">
        <f>IF(AND(T289&gt;0,Y289=1,N289&gt;0),T289+280-60,"-")</f>
        <v>-</v>
      </c>
      <c r="AK289" s="813"/>
      <c r="AL289" s="807" t="str">
        <f>IF(AND($T289&gt;0,$Y289=1),$T289+280-21,"-")</f>
        <v>-</v>
      </c>
      <c r="AM289" s="807" t="str">
        <f>IF(AND(T289&gt;0,Y289=1),T289+280,"-")</f>
        <v>-</v>
      </c>
      <c r="AN289" s="814" t="str">
        <f ca="1">IF(AND(B289&gt;0,AM289&gt;0,AH289&gt;0,Y289=1),B289-AM289,"-")</f>
        <v>-</v>
      </c>
      <c r="AO289" s="815">
        <v>1</v>
      </c>
      <c r="AP289" s="816" t="str">
        <f ca="1">IF(AND(AE289="яловая",O289&gt;300),"БРАК","-")</f>
        <v>-</v>
      </c>
      <c r="AQ289" s="817"/>
      <c r="AR289" s="794" t="str">
        <f>IF(AND(Y289=1,P289=0),"НЕТЕЛЬ","-")</f>
        <v>-</v>
      </c>
      <c r="AS289" s="818"/>
      <c r="AT289" s="794" t="str">
        <f>IF(AND(N289&gt;0,T289&gt;0,W289&gt;0,Y289=1,AH289&gt;0,AK289&gt;0),"DRY COW","-")</f>
        <v>-</v>
      </c>
      <c r="AU289" s="819"/>
      <c r="AV289" s="820">
        <v>42978</v>
      </c>
      <c r="AW289" s="821">
        <v>5</v>
      </c>
      <c r="AX289" s="822">
        <f ca="1">IF(AND(AV289&gt;0,AW289&gt;0),B289-AV289,"-")</f>
        <v>156</v>
      </c>
      <c r="AY289" s="823">
        <f>IF(AND(AV289&gt;0,AW289&gt;0),(AV289-I289)/30,"-")</f>
        <v>25</v>
      </c>
      <c r="AZ289" s="824"/>
      <c r="BA289" s="821"/>
      <c r="BB289" s="822" t="str">
        <f t="shared" si="280"/>
        <v>-</v>
      </c>
      <c r="BC289" s="572">
        <v>43025</v>
      </c>
      <c r="BD289" s="825" t="str">
        <f ca="1">IF(AND(OR(E289="тёлочка",E289="бычок"),L289&gt;0,BF289&lt;2,L289&lt;60),"ПОДЛЕЖИТ ВАКЦИНАЦИИ","-")</f>
        <v>-</v>
      </c>
      <c r="BE289" s="826"/>
      <c r="BF289" s="827"/>
      <c r="BG289" s="828" t="str">
        <f>IF(AND(BE289&gt;0,BF289=2),BE289-I289,"Ж-Е НЕ ВАКЦ.")</f>
        <v>Ж-Е НЕ ВАКЦ.</v>
      </c>
      <c r="BH289" s="829" t="str">
        <f>IF(AND(BE289&gt;0,BF289=2),B289-BE289,"-")</f>
        <v>-</v>
      </c>
      <c r="BI289" s="830" t="str">
        <f ca="1">IF(AND(L289&gt;42,BK289&lt;5),"ПОДЛЕЖИТ ВАКЦИНАЦИИ","-")</f>
        <v>-</v>
      </c>
      <c r="BJ289" s="831">
        <v>42894</v>
      </c>
      <c r="BK289" s="832">
        <v>5</v>
      </c>
      <c r="BL289" s="833">
        <f ca="1">IF(AND(BJ289&gt;0,BK289=5),B289-BJ289,"-")</f>
        <v>240</v>
      </c>
      <c r="BM289" s="834" t="str">
        <f ca="1">IF(AND(BK289=5,BL289&gt;20,BP289&lt;5),"ТРЕБУЕТСЯ БУСТЕРНАЯ ДОЗА","-")</f>
        <v>-</v>
      </c>
      <c r="BN289" s="835">
        <f>IF(AND(BJ289&gt;0,BK289=5),BJ289+21,"-")</f>
        <v>42915</v>
      </c>
      <c r="BO289" s="831">
        <v>42915</v>
      </c>
      <c r="BP289" s="832">
        <v>5</v>
      </c>
      <c r="BQ289" s="833">
        <f ca="1">IF(AND(BO289&gt;0,BP289=5),B289-BO289,"-")</f>
        <v>219</v>
      </c>
      <c r="BR289" s="836">
        <f>IF(AND(BN289&gt;0,BO289&gt;0,BP289=5),BN289-BO289,"-")</f>
        <v>0</v>
      </c>
      <c r="BS289" s="837" t="str">
        <f>IF(AND(BP289=5,BR289=0),"УСПЕШНО","-")</f>
        <v>УСПЕШНО</v>
      </c>
      <c r="BT289" s="838" t="str">
        <f ca="1">IF(AND(BJ289&gt;0,BK289=5,BO289&gt;0,BP289=5,BQ289&gt;240,BV289&lt;5),"НЕОБХОДИМА РЕВАКЦИНАЦИЯ","-")</f>
        <v>-</v>
      </c>
      <c r="BU289" s="831"/>
      <c r="BV289" s="832"/>
      <c r="BW289" s="833" t="str">
        <f>IF(AND(BU289&gt;0,BV289=5),N289-BU289,"-")</f>
        <v>-</v>
      </c>
      <c r="BX289" s="834" t="str">
        <f>IF(AND(BU289&gt;0,BV289=5,BW289&gt;240),"НЕОБХОДИМА РЕВАКЦИНАЦИЯ","-")</f>
        <v>-</v>
      </c>
      <c r="BY289" s="830" t="str">
        <f ca="1">IF(AND(Y289=1,AN289&gt;-70,CA289&lt;2),"ТРЕБУЕТСЯ ВАКЦИНАЦИЯ","-")</f>
        <v>-</v>
      </c>
      <c r="BZ289" s="831">
        <v>42958</v>
      </c>
      <c r="CA289" s="832">
        <v>2</v>
      </c>
      <c r="CB289" s="833">
        <f>IF(AND(BZ289&gt;0,CA289=2),BZ289-T289,"-")</f>
        <v>42958</v>
      </c>
      <c r="CC289" s="833">
        <f ca="1">IF(AND(BZ289&gt;0,CA289=2),B289-BZ289,"-")</f>
        <v>176</v>
      </c>
      <c r="CD289" s="834" t="str">
        <f ca="1">IF(AND(CA289=2,CC289&gt;20,CG289&lt;2),"ТРЕБУЕТСЯ БУСТЕРНАЯ ДОЗА","-")</f>
        <v>-</v>
      </c>
      <c r="CE289" s="835">
        <f t="shared" si="281"/>
        <v>42979</v>
      </c>
      <c r="CF289" s="831">
        <v>42980</v>
      </c>
      <c r="CG289" s="832">
        <v>2</v>
      </c>
      <c r="CH289" s="833">
        <f>IF(AND(CE289&gt;0,CF289&gt;0,CG289=2),CF289-CE289,"-")</f>
        <v>1</v>
      </c>
      <c r="CI289" s="840" t="str">
        <f t="shared" si="283"/>
        <v>-</v>
      </c>
      <c r="CJ289" s="833">
        <f t="shared" si="284"/>
        <v>42980</v>
      </c>
      <c r="CK289" s="838" t="str">
        <f t="shared" ca="1" si="285"/>
        <v>-</v>
      </c>
      <c r="CL289" s="841"/>
      <c r="CM289" s="832"/>
    </row>
    <row r="290" spans="1:107" s="842" customFormat="1" ht="15.95" customHeight="1" x14ac:dyDescent="0.25">
      <c r="A290" s="790">
        <v>507</v>
      </c>
      <c r="B290" s="791">
        <f ca="1">TODAY()</f>
        <v>43134</v>
      </c>
      <c r="C290" s="792" t="s">
        <v>2404</v>
      </c>
      <c r="D290" s="59" t="s">
        <v>1456</v>
      </c>
      <c r="E290" s="794" t="s">
        <v>340</v>
      </c>
      <c r="F290" s="854" t="s">
        <v>341</v>
      </c>
      <c r="G290" s="845">
        <f>SUMIFS(МОЛОКО!L9:L6958,МОЛОКО!F9:F6958,"1054",МОЛОКО!L9:L6958,"&gt;0")</f>
        <v>0</v>
      </c>
      <c r="H290" s="797" t="s">
        <v>603</v>
      </c>
      <c r="I290" s="798">
        <v>40411</v>
      </c>
      <c r="J290" s="799">
        <f ca="1">(B290-I290)/365</f>
        <v>7.4602739726027396</v>
      </c>
      <c r="K290" s="799">
        <f ca="1">(B290-I290)/30</f>
        <v>90.766666666666666</v>
      </c>
      <c r="L290" s="800">
        <f ca="1">B290-I290</f>
        <v>2723</v>
      </c>
      <c r="M290" s="801">
        <v>41309</v>
      </c>
      <c r="N290" s="802">
        <v>43025</v>
      </c>
      <c r="O290" s="803">
        <f ca="1">IF(AND(B290&gt;0,N290&gt;0),B290-N290,"-")</f>
        <v>109</v>
      </c>
      <c r="P290" s="804">
        <v>4</v>
      </c>
      <c r="Q290" s="805"/>
      <c r="R290" s="806"/>
      <c r="S290" s="807"/>
      <c r="T290" s="798"/>
      <c r="U290" s="798" t="str">
        <f>IF(AND(Y290&gt;1,T290&gt;0),T290+18,"-")</f>
        <v>-</v>
      </c>
      <c r="V290" s="804" t="str">
        <f ca="1">IF(AND(U290&gt;0,B290&gt;0,Y290&gt;1),B290-U290,"-")</f>
        <v>-</v>
      </c>
      <c r="W290" s="808">
        <v>0</v>
      </c>
      <c r="X290" s="794" t="str">
        <f>IF(AND(N290&gt;0,T290&gt;0),T290-N290,"-")</f>
        <v>-</v>
      </c>
      <c r="Y290" s="794">
        <v>0</v>
      </c>
      <c r="Z290" s="809" t="str">
        <f ca="1">IF(AND(Y290=1,AA290&gt;71,OR(ISBLANK(AB290),AB290=2)),"ПОДЛЕЖИТ ПЕРЕПРОВЕРКЕ","-----")</f>
        <v>-----</v>
      </c>
      <c r="AA290" s="810">
        <f ca="1">IF(AND(O290&gt;-1,W290&gt;0,Y290=1,AB290=1),"-----",B290-T290)</f>
        <v>43134</v>
      </c>
      <c r="AB290" s="804"/>
      <c r="AC290" s="811" t="str">
        <f ca="1">IF(AND(AB290&lt;1,Z290="ПОДЛЕЖИТ ПЕРЕПРОВЕРКЕ",Y290=1),T290+72,"-----")</f>
        <v>-----</v>
      </c>
      <c r="AD290" s="798"/>
      <c r="AE290" s="794" t="str">
        <f ca="1">IF(AND(O290&gt;120,Y290=0,N290&gt;0),"яловая","-")</f>
        <v>-</v>
      </c>
      <c r="AF290" s="798" t="str">
        <f>IF(AND(T290&gt;0,OR(Y290=3,Y290=2)),T290+35,"-")</f>
        <v>-</v>
      </c>
      <c r="AG290" s="812" t="str">
        <f>IF(AND(T290&gt;0,W290&gt;0,Q290&gt;0,OR(Y290=3,Y290=2)),B290-AF290,"---------")</f>
        <v>---------</v>
      </c>
      <c r="AH290" s="807"/>
      <c r="AI290" s="807" t="str">
        <f>IF(AND($T290&gt;0,$N290&gt;0,$Y290=1),$T290+280-90,"-")</f>
        <v>-</v>
      </c>
      <c r="AJ290" s="807" t="str">
        <f>IF(AND(T290&gt;0,Y290=1,N290&gt;0),T290+280-60,"-")</f>
        <v>-</v>
      </c>
      <c r="AK290" s="813"/>
      <c r="AL290" s="807" t="str">
        <f>IF(AND($T290&gt;0,$Y290=1),$T290+280-21,"-")</f>
        <v>-</v>
      </c>
      <c r="AM290" s="807" t="str">
        <f>IF(AND(T290&gt;0,Y290=1),T290+280,"-")</f>
        <v>-</v>
      </c>
      <c r="AN290" s="814" t="str">
        <f ca="1">IF(AND(B290&gt;0,AM290&gt;0,AH290&gt;0,Y290=1),B290-AM290,"-")</f>
        <v>-</v>
      </c>
      <c r="AO290" s="815">
        <v>1</v>
      </c>
      <c r="AP290" s="816" t="str">
        <f ca="1">IF(AND(AE290="яловая",O290&gt;300),"БРАК","-")</f>
        <v>-</v>
      </c>
      <c r="AQ290" s="817"/>
      <c r="AR290" s="794" t="str">
        <f>IF(AND(Y290=1,P290=0),"НЕТЕЛЬ","-")</f>
        <v>-</v>
      </c>
      <c r="AS290" s="818"/>
      <c r="AT290" s="794" t="str">
        <f>IF(AND(N290&gt;0,T290&gt;0,W290&gt;0,Y290=1,AH290&gt;0,AK290&gt;0),"DRY COW","-")</f>
        <v>-</v>
      </c>
      <c r="AU290" s="819">
        <v>1</v>
      </c>
      <c r="AV290" s="820">
        <v>42978</v>
      </c>
      <c r="AW290" s="821">
        <v>5</v>
      </c>
      <c r="AX290" s="822">
        <f ca="1">IF(AND(AV290&gt;0,AW290&gt;0),B290-AV290,"-")</f>
        <v>156</v>
      </c>
      <c r="AY290" s="823">
        <f>IF(AND(AV290&gt;0,AW290&gt;0),(AV290-I290)/30,"-")</f>
        <v>85.566666666666663</v>
      </c>
      <c r="AZ290" s="824"/>
      <c r="BA290" s="821"/>
      <c r="BB290" s="822" t="str">
        <f t="shared" si="280"/>
        <v>-</v>
      </c>
      <c r="BC290" s="572">
        <v>43025</v>
      </c>
      <c r="BD290" s="825" t="str">
        <f ca="1">IF(AND(OR(E290="тёлочка",E290="бычок"),L290&gt;0,BF290&lt;2,L290&lt;60),"ПОДЛЕЖИТ ВАКЦИНАЦИИ","-")</f>
        <v>-</v>
      </c>
      <c r="BE290" s="826"/>
      <c r="BF290" s="827"/>
      <c r="BG290" s="828" t="str">
        <f>IF(AND(BE290&gt;0,BF290=2),BE290-I290,"Ж-Е НЕ ВАКЦ.")</f>
        <v>Ж-Е НЕ ВАКЦ.</v>
      </c>
      <c r="BH290" s="829" t="str">
        <f>IF(AND(BE290&gt;0,BF290=2),B290-BE290,"-")</f>
        <v>-</v>
      </c>
      <c r="BI290" s="830" t="str">
        <f ca="1">IF(AND(L290&gt;42,BK290&lt;5),"ПОДЛЕЖИТ ВАКЦИНАЦИИ","-")</f>
        <v>-</v>
      </c>
      <c r="BJ290" s="831">
        <v>42887</v>
      </c>
      <c r="BK290" s="832">
        <v>5</v>
      </c>
      <c r="BL290" s="833">
        <f ca="1">IF(AND(BJ290&gt;0,BK290=5),B290-BJ290,"-")</f>
        <v>247</v>
      </c>
      <c r="BM290" s="834" t="str">
        <f ca="1">IF(AND(BK290=5,BL290&gt;20,BP290&lt;5),"ТРЕБУЕТСЯ БУСТЕРНАЯ ДОЗА","-")</f>
        <v>-</v>
      </c>
      <c r="BN290" s="835">
        <f>IF(AND(BJ290&gt;0,BK290=5),BJ290+21,"-")</f>
        <v>42908</v>
      </c>
      <c r="BO290" s="831">
        <v>42908</v>
      </c>
      <c r="BP290" s="832">
        <v>5</v>
      </c>
      <c r="BQ290" s="833">
        <f ca="1">IF(AND(BO290&gt;0,BP290=5),B290-BO290,"-")</f>
        <v>226</v>
      </c>
      <c r="BR290" s="836">
        <f>IF(AND(BN290&gt;0,BO290&gt;0,BP290=5),BN290-BO290,"-")</f>
        <v>0</v>
      </c>
      <c r="BS290" s="837" t="str">
        <f>IF(AND(BP290=5,BR290=0),"УСПЕШНО","-")</f>
        <v>УСПЕШНО</v>
      </c>
      <c r="BT290" s="838" t="str">
        <f ca="1">IF(AND(BJ290&gt;0,BK290=5,BO290&gt;0,BP290=5,BQ290&gt;240,BV290&lt;5),"НЕОБХОДИМА РЕВАКЦИНАЦИЯ","-")</f>
        <v>-</v>
      </c>
      <c r="BU290" s="831"/>
      <c r="BV290" s="832"/>
      <c r="BW290" s="833" t="str">
        <f>IF(AND(BU290&gt;0,BV290=5),N290-BU290,"-")</f>
        <v>-</v>
      </c>
      <c r="BX290" s="834" t="str">
        <f>IF(AND(BU290&gt;0,BV290=5,BW290&gt;240),"НЕОБХОДИМА РЕВАКЦИНАЦИЯ","-")</f>
        <v>-</v>
      </c>
      <c r="BY290" s="830" t="str">
        <f ca="1">IF(AND(Y290=1,AN290&gt;-70,CA290&lt;2),"ТРЕБУЕТСЯ ВАКЦИНАЦИЯ","-")</f>
        <v>-</v>
      </c>
      <c r="BZ290" s="831">
        <v>42962</v>
      </c>
      <c r="CA290" s="832">
        <v>2</v>
      </c>
      <c r="CB290" s="833">
        <f>IF(AND(BZ290&gt;0,CA290=2),BZ290-T290,"-")</f>
        <v>42962</v>
      </c>
      <c r="CC290" s="833">
        <f ca="1">IF(AND(BZ290&gt;0,CA290=2),B290-BZ290,"-")</f>
        <v>172</v>
      </c>
      <c r="CD290" s="834" t="str">
        <f ca="1">IF(AND(CA290=2,CC290&gt;20,CG290&lt;2),"ТРЕБУЕТСЯ БУСТЕРНАЯ ДОЗА","-")</f>
        <v>-</v>
      </c>
      <c r="CE290" s="835">
        <f t="shared" si="281"/>
        <v>42983</v>
      </c>
      <c r="CF290" s="831">
        <v>42983</v>
      </c>
      <c r="CG290" s="832">
        <v>2</v>
      </c>
      <c r="CH290" s="833">
        <f>IF(AND(CE290&gt;0,CF290&gt;0,CG290=2),CF290-CE290,"-")</f>
        <v>0</v>
      </c>
      <c r="CI290" s="840" t="str">
        <f t="shared" si="283"/>
        <v>УСПЕШНО</v>
      </c>
      <c r="CJ290" s="833">
        <f t="shared" si="284"/>
        <v>42983</v>
      </c>
      <c r="CK290" s="838" t="str">
        <f t="shared" ca="1" si="285"/>
        <v>-</v>
      </c>
      <c r="CL290" s="841"/>
      <c r="CM290" s="832"/>
    </row>
    <row r="291" spans="1:107" s="842" customFormat="1" ht="15.95" customHeight="1" x14ac:dyDescent="0.25">
      <c r="A291" s="790">
        <v>299</v>
      </c>
      <c r="B291" s="791">
        <f t="shared" ref="B291:B293" ca="1" si="286">TODAY()</f>
        <v>43134</v>
      </c>
      <c r="C291" s="792" t="s">
        <v>613</v>
      </c>
      <c r="D291" s="793" t="s">
        <v>3203</v>
      </c>
      <c r="E291" s="794" t="s">
        <v>1268</v>
      </c>
      <c r="F291" s="795" t="s">
        <v>1134</v>
      </c>
      <c r="G291" s="845">
        <v>8.8000000000000007</v>
      </c>
      <c r="H291" s="797" t="s">
        <v>603</v>
      </c>
      <c r="I291" s="798">
        <v>41609</v>
      </c>
      <c r="J291" s="799">
        <f t="shared" ref="J291:J293" ca="1" si="287">(B291-I291)/365</f>
        <v>4.1780821917808222</v>
      </c>
      <c r="K291" s="799">
        <f t="shared" ref="K291:K293" ca="1" si="288">(B291-I291)/30</f>
        <v>50.833333333333336</v>
      </c>
      <c r="L291" s="800">
        <f t="shared" ref="L291:L293" ca="1" si="289">B291-I291</f>
        <v>1525</v>
      </c>
      <c r="M291" s="801">
        <v>42552</v>
      </c>
      <c r="N291" s="802">
        <v>42552</v>
      </c>
      <c r="O291" s="803">
        <f t="shared" ref="O291:O293" ca="1" si="290">IF(AND(B291&gt;0,N291&gt;0),B291-N291,"-")</f>
        <v>582</v>
      </c>
      <c r="P291" s="804">
        <v>1</v>
      </c>
      <c r="Q291" s="805" t="s">
        <v>1451</v>
      </c>
      <c r="R291" s="806" t="s">
        <v>1875</v>
      </c>
      <c r="S291" s="807">
        <v>42634</v>
      </c>
      <c r="T291" s="798">
        <v>42854</v>
      </c>
      <c r="U291" s="798" t="str">
        <f t="shared" ref="U291:U293" si="291">IF(AND(Y291&gt;1,T291&gt;0),T291+18,"-")</f>
        <v>-</v>
      </c>
      <c r="V291" s="804" t="str">
        <f t="shared" ref="V291:V293" ca="1" si="292">IF(AND(U291&gt;0,B291&gt;0,Y291&gt;1),B291-U291,"-")</f>
        <v>-</v>
      </c>
      <c r="W291" s="808">
        <v>3</v>
      </c>
      <c r="X291" s="794">
        <f t="shared" ref="X291:X293" si="293">IF(AND(N291&gt;0,T291&gt;0),T291-N291,"-")</f>
        <v>302</v>
      </c>
      <c r="Y291" s="794">
        <v>0</v>
      </c>
      <c r="Z291" s="809" t="str">
        <f t="shared" ref="Z291:Z293" ca="1" si="294">IF(AND(Y291=1,AA291&gt;71,OR(ISBLANK(AB291),AB291=2)),"ПОДЛЕЖИТ ПЕРЕПРОВЕРКЕ","-----")</f>
        <v>-----</v>
      </c>
      <c r="AA291" s="810">
        <f t="shared" ref="AA291:AA293" ca="1" si="295">IF(AND(O291&gt;-1,W291&gt;0,Y291=1,AB291=1),"-----",B291-T291)</f>
        <v>280</v>
      </c>
      <c r="AB291" s="804"/>
      <c r="AC291" s="811" t="str">
        <f t="shared" ref="AC291:AC293" ca="1" si="296">IF(AND(AB291&lt;1,Z291="ПОДЛЕЖИТ ПЕРЕПРОВЕРКЕ",Y291=1),T291+72,"-----")</f>
        <v>-----</v>
      </c>
      <c r="AD291" s="798"/>
      <c r="AE291" s="794" t="str">
        <f t="shared" ref="AE291:AE293" ca="1" si="297">IF(AND(O291&gt;120,Y291=0,N291&gt;0),"яловая","-")</f>
        <v>яловая</v>
      </c>
      <c r="AF291" s="798" t="str">
        <f t="shared" ref="AF291:AF293" si="298">IF(AND(T291&gt;0,OR(Y291=3,Y291=2)),T291+35,"-")</f>
        <v>-</v>
      </c>
      <c r="AG291" s="812" t="str">
        <f t="shared" ref="AG291:AG293" si="299">IF(AND(T291&gt;0,W291&gt;0,Q291&gt;0,OR(Y291=3,Y291=2)),B291-AF291,"---------")</f>
        <v>---------</v>
      </c>
      <c r="AH291" s="807">
        <v>42928</v>
      </c>
      <c r="AI291" s="807" t="str">
        <f t="shared" ref="AI291:AI293" si="300">IF(AND($T291&gt;0,$N291&gt;0,$Y291=1),$T291+280-90,"-")</f>
        <v>-</v>
      </c>
      <c r="AJ291" s="807" t="str">
        <f t="shared" ref="AJ291:AJ293" si="301">IF(AND(T291&gt;0,Y291=1,N291&gt;0),T291+280-60,"-")</f>
        <v>-</v>
      </c>
      <c r="AK291" s="813"/>
      <c r="AL291" s="807" t="str">
        <f t="shared" ref="AL291:AL293" si="302">IF(AND($T291&gt;0,$Y291=1),$T291+280-21,"-")</f>
        <v>-</v>
      </c>
      <c r="AM291" s="807" t="str">
        <f t="shared" ref="AM291:AM293" si="303">IF(AND(T291&gt;0,Y291=1),T291+280,"-")</f>
        <v>-</v>
      </c>
      <c r="AN291" s="814" t="str">
        <f t="shared" ref="AN291:AN293" ca="1" si="304">IF(AND(B291&gt;0,AM291&gt;0,AH291&gt;0,Y291=1),B291-AM291,"-")</f>
        <v>-</v>
      </c>
      <c r="AO291" s="815">
        <v>1</v>
      </c>
      <c r="AP291" s="816" t="str">
        <f t="shared" ref="AP291:AP293" ca="1" si="305">IF(AND(AE291="яловая",O291&gt;300),"БРАК","-")</f>
        <v>БРАК</v>
      </c>
      <c r="AQ291" s="817" t="s">
        <v>1863</v>
      </c>
      <c r="AR291" s="794" t="str">
        <f t="shared" ref="AR291:AR293" si="306">IF(AND(Y291=1,P291=0),"НЕТЕЛЬ","-")</f>
        <v>-</v>
      </c>
      <c r="AS291" s="818"/>
      <c r="AT291" s="794" t="str">
        <f t="shared" ref="AT291:AT293" si="307">IF(AND(N291&gt;0,T291&gt;0,W291&gt;0,Y291=1,AH291&gt;0,AK291&gt;0),"DRY COW","-")</f>
        <v>-</v>
      </c>
      <c r="AU291" s="819"/>
      <c r="AV291" s="820">
        <v>42981</v>
      </c>
      <c r="AW291" s="821">
        <v>5</v>
      </c>
      <c r="AX291" s="822">
        <f t="shared" ref="AX291:AX293" ca="1" si="308">IF(AND(AV291&gt;0,AW291&gt;0),B291-AV291,"-")</f>
        <v>153</v>
      </c>
      <c r="AY291" s="823">
        <f t="shared" ref="AY291:AY293" si="309">IF(AND(AV291&gt;0,AW291&gt;0),(AV291-I291)/30,"-")</f>
        <v>45.733333333333334</v>
      </c>
      <c r="AZ291" s="824">
        <v>43001</v>
      </c>
      <c r="BA291" s="821">
        <v>2</v>
      </c>
      <c r="BB291" s="822">
        <f t="shared" ca="1" si="280"/>
        <v>133</v>
      </c>
      <c r="BC291" s="572">
        <v>43026</v>
      </c>
      <c r="BD291" s="825" t="str">
        <f t="shared" ref="BD291:BD293" ca="1" si="310">IF(AND(OR(E291="тёлочка",E291="бычок"),L291&gt;0,BF291&lt;2,L291&lt;60),"ПОДЛЕЖИТ ВАКЦИНАЦИИ","-")</f>
        <v>-</v>
      </c>
      <c r="BE291" s="826"/>
      <c r="BF291" s="827"/>
      <c r="BG291" s="828" t="str">
        <f t="shared" ref="BG291:BG293" si="311">IF(AND(BE291&gt;0,BF291=2),BE291-I291,"Ж-Е НЕ ВАКЦ.")</f>
        <v>Ж-Е НЕ ВАКЦ.</v>
      </c>
      <c r="BH291" s="829" t="str">
        <f t="shared" ref="BH291:BH293" si="312">IF(AND(BE291&gt;0,BF291=2),B291-BE291,"-")</f>
        <v>-</v>
      </c>
      <c r="BI291" s="830" t="str">
        <f t="shared" ref="BI291:BI293" ca="1" si="313">IF(AND(L291&gt;42,BK291&lt;5),"ПОДЛЕЖИТ ВАКЦИНАЦИИ","-")</f>
        <v>-</v>
      </c>
      <c r="BJ291" s="831">
        <v>42887</v>
      </c>
      <c r="BK291" s="832">
        <v>5</v>
      </c>
      <c r="BL291" s="833">
        <f t="shared" ref="BL291:BL293" ca="1" si="314">IF(AND(BJ291&gt;0,BK291=5),B291-BJ291,"-")</f>
        <v>247</v>
      </c>
      <c r="BM291" s="834" t="str">
        <f t="shared" ref="BM291:BM293" ca="1" si="315">IF(AND(BK291=5,BL291&gt;20,BP291&lt;5),"ТРЕБУЕТСЯ БУСТЕРНАЯ ДОЗА","-")</f>
        <v>-</v>
      </c>
      <c r="BN291" s="835">
        <f t="shared" ref="BN291:BN293" si="316">IF(AND(BJ291&gt;0,BK291=5),BJ291+21,"-")</f>
        <v>42908</v>
      </c>
      <c r="BO291" s="831">
        <v>42908</v>
      </c>
      <c r="BP291" s="832">
        <v>5</v>
      </c>
      <c r="BQ291" s="833">
        <f t="shared" ref="BQ291:BQ293" ca="1" si="317">IF(AND(BO291&gt;0,BP291=5),B291-BO291,"-")</f>
        <v>226</v>
      </c>
      <c r="BR291" s="836">
        <f t="shared" ref="BR291:BR293" si="318">IF(AND(BN291&gt;0,BO291&gt;0,BP291=5),BN291-BO291,"-")</f>
        <v>0</v>
      </c>
      <c r="BS291" s="837" t="str">
        <f t="shared" ref="BS291:BS293" si="319">IF(AND(BP291=5,BR291=0),"УСПЕШНО","-")</f>
        <v>УСПЕШНО</v>
      </c>
      <c r="BT291" s="838" t="str">
        <f t="shared" ref="BT291:BT293" ca="1" si="320">IF(AND(BJ291&gt;0,BK291=5,BO291&gt;0,BP291=5,BQ291&gt;240,BV291&lt;5),"НЕОБХОДИМА РЕВАКЦИНАЦИЯ","-")</f>
        <v>-</v>
      </c>
      <c r="BU291" s="831"/>
      <c r="BV291" s="832"/>
      <c r="BW291" s="833" t="str">
        <f t="shared" ref="BW291:BW293" si="321">IF(AND(BU291&gt;0,BV291=5),N291-BU291,"-")</f>
        <v>-</v>
      </c>
      <c r="BX291" s="834" t="str">
        <f t="shared" ref="BX291:BX293" si="322">IF(AND(BU291&gt;0,BV291=5,BW291&gt;240),"НЕОБХОДИМА РЕВАКЦИНАЦИЯ","-")</f>
        <v>-</v>
      </c>
      <c r="BY291" s="830" t="str">
        <f t="shared" ref="BY291:BY293" ca="1" si="323">IF(AND(Y291=1,AN291&gt;-70,CA291&lt;2),"ТРЕБУЕТСЯ ВАКЦИНАЦИЯ","-")</f>
        <v>-</v>
      </c>
      <c r="BZ291" s="839"/>
      <c r="CA291" s="832"/>
      <c r="CB291" s="833" t="str">
        <f t="shared" ref="CB291:CB293" si="324">IF(AND(BZ291&gt;0,CA291=2),BZ291-T291,"-")</f>
        <v>-</v>
      </c>
      <c r="CC291" s="833" t="str">
        <f t="shared" ref="CC291:CC293" si="325">IF(AND(BZ291&gt;0,CA291=2),B291-BZ291,"-")</f>
        <v>-</v>
      </c>
      <c r="CD291" s="834" t="str">
        <f t="shared" ref="CD291:CD293" si="326">IF(AND(CA291=2,CC291&gt;20,CG291&lt;2),"ТРЕБУЕТСЯ БУСТЕРНАЯ ДОЗА","-")</f>
        <v>-</v>
      </c>
      <c r="CE291" s="835" t="str">
        <f t="shared" si="281"/>
        <v>-</v>
      </c>
      <c r="CF291" s="839"/>
      <c r="CG291" s="832"/>
      <c r="CH291" s="833" t="str">
        <f t="shared" ref="CH291:CH293" si="327">IF(AND(CE291&gt;0,CF291&gt;0,CG291=2),CF291-CE291,"-")</f>
        <v>-</v>
      </c>
      <c r="CI291" s="840" t="str">
        <f t="shared" si="283"/>
        <v>-</v>
      </c>
      <c r="CJ291" s="833" t="str">
        <f t="shared" si="284"/>
        <v>-</v>
      </c>
      <c r="CK291" s="838" t="str">
        <f t="shared" ca="1" si="285"/>
        <v>-</v>
      </c>
      <c r="CL291" s="841"/>
      <c r="CM291" s="832"/>
    </row>
    <row r="292" spans="1:107" s="842" customFormat="1" ht="15.6" customHeight="1" x14ac:dyDescent="0.25">
      <c r="A292" s="790">
        <v>138</v>
      </c>
      <c r="B292" s="791">
        <f t="shared" ca="1" si="286"/>
        <v>43134</v>
      </c>
      <c r="C292" s="792" t="s">
        <v>614</v>
      </c>
      <c r="D292" s="793" t="s">
        <v>3204</v>
      </c>
      <c r="E292" s="794" t="s">
        <v>519</v>
      </c>
      <c r="F292" s="795" t="s">
        <v>520</v>
      </c>
      <c r="G292" s="843">
        <f>SUMIFS(МОЛОКО!L161:L7110,МОЛОКО!F161:F7110,"1499",МОЛОКО!L161:L7110,"&gt;0")</f>
        <v>0</v>
      </c>
      <c r="H292" s="797" t="s">
        <v>603</v>
      </c>
      <c r="I292" s="798">
        <v>40999</v>
      </c>
      <c r="J292" s="799">
        <f t="shared" ca="1" si="287"/>
        <v>5.8493150684931505</v>
      </c>
      <c r="K292" s="799">
        <f t="shared" ca="1" si="288"/>
        <v>71.166666666666671</v>
      </c>
      <c r="L292" s="800">
        <f t="shared" ca="1" si="289"/>
        <v>2135</v>
      </c>
      <c r="M292" s="801">
        <v>41844</v>
      </c>
      <c r="N292" s="802">
        <v>42969</v>
      </c>
      <c r="O292" s="803">
        <f t="shared" ca="1" si="290"/>
        <v>165</v>
      </c>
      <c r="P292" s="804">
        <v>4</v>
      </c>
      <c r="Q292" s="805"/>
      <c r="R292" s="806"/>
      <c r="S292" s="807"/>
      <c r="T292" s="798"/>
      <c r="U292" s="798" t="str">
        <f t="shared" si="291"/>
        <v>-</v>
      </c>
      <c r="V292" s="804" t="str">
        <f t="shared" ca="1" si="292"/>
        <v>-</v>
      </c>
      <c r="W292" s="808">
        <v>0</v>
      </c>
      <c r="X292" s="794" t="str">
        <f t="shared" si="293"/>
        <v>-</v>
      </c>
      <c r="Y292" s="794">
        <v>0</v>
      </c>
      <c r="Z292" s="809" t="str">
        <f t="shared" ca="1" si="294"/>
        <v>-----</v>
      </c>
      <c r="AA292" s="810">
        <f t="shared" ca="1" si="295"/>
        <v>43134</v>
      </c>
      <c r="AB292" s="804"/>
      <c r="AC292" s="811" t="str">
        <f t="shared" ca="1" si="296"/>
        <v>-----</v>
      </c>
      <c r="AD292" s="798"/>
      <c r="AE292" s="794" t="str">
        <f t="shared" ca="1" si="297"/>
        <v>яловая</v>
      </c>
      <c r="AF292" s="798" t="str">
        <f t="shared" si="298"/>
        <v>-</v>
      </c>
      <c r="AG292" s="812" t="str">
        <f t="shared" si="299"/>
        <v>---------</v>
      </c>
      <c r="AH292" s="807"/>
      <c r="AI292" s="807" t="str">
        <f t="shared" si="300"/>
        <v>-</v>
      </c>
      <c r="AJ292" s="807" t="str">
        <f t="shared" si="301"/>
        <v>-</v>
      </c>
      <c r="AK292" s="813"/>
      <c r="AL292" s="807" t="str">
        <f t="shared" si="302"/>
        <v>-</v>
      </c>
      <c r="AM292" s="807" t="str">
        <f t="shared" si="303"/>
        <v>-</v>
      </c>
      <c r="AN292" s="814" t="str">
        <f t="shared" ca="1" si="304"/>
        <v>-</v>
      </c>
      <c r="AO292" s="815">
        <v>1</v>
      </c>
      <c r="AP292" s="816" t="str">
        <f t="shared" ca="1" si="305"/>
        <v>-</v>
      </c>
      <c r="AQ292" s="817"/>
      <c r="AR292" s="794" t="str">
        <f t="shared" si="306"/>
        <v>-</v>
      </c>
      <c r="AS292" s="818"/>
      <c r="AT292" s="794" t="str">
        <f t="shared" si="307"/>
        <v>-</v>
      </c>
      <c r="AU292" s="819"/>
      <c r="AV292" s="820">
        <v>42980</v>
      </c>
      <c r="AW292" s="821">
        <v>5</v>
      </c>
      <c r="AX292" s="822">
        <f t="shared" ca="1" si="308"/>
        <v>154</v>
      </c>
      <c r="AY292" s="823">
        <f t="shared" si="309"/>
        <v>66.033333333333331</v>
      </c>
      <c r="AZ292" s="824"/>
      <c r="BA292" s="821"/>
      <c r="BB292" s="822" t="str">
        <f t="shared" si="280"/>
        <v>-</v>
      </c>
      <c r="BC292" s="572">
        <v>43026</v>
      </c>
      <c r="BD292" s="825" t="str">
        <f t="shared" ca="1" si="310"/>
        <v>-</v>
      </c>
      <c r="BE292" s="826"/>
      <c r="BF292" s="827"/>
      <c r="BG292" s="828" t="str">
        <f t="shared" si="311"/>
        <v>Ж-Е НЕ ВАКЦ.</v>
      </c>
      <c r="BH292" s="829" t="str">
        <f t="shared" si="312"/>
        <v>-</v>
      </c>
      <c r="BI292" s="830" t="str">
        <f t="shared" ca="1" si="313"/>
        <v>-</v>
      </c>
      <c r="BJ292" s="831">
        <v>42887</v>
      </c>
      <c r="BK292" s="832">
        <v>5</v>
      </c>
      <c r="BL292" s="833">
        <f t="shared" ca="1" si="314"/>
        <v>247</v>
      </c>
      <c r="BM292" s="834" t="str">
        <f t="shared" ca="1" si="315"/>
        <v>-</v>
      </c>
      <c r="BN292" s="835">
        <f t="shared" si="316"/>
        <v>42908</v>
      </c>
      <c r="BO292" s="831">
        <v>42908</v>
      </c>
      <c r="BP292" s="832">
        <v>5</v>
      </c>
      <c r="BQ292" s="833">
        <f t="shared" ca="1" si="317"/>
        <v>226</v>
      </c>
      <c r="BR292" s="836">
        <f t="shared" si="318"/>
        <v>0</v>
      </c>
      <c r="BS292" s="837" t="str">
        <f t="shared" si="319"/>
        <v>УСПЕШНО</v>
      </c>
      <c r="BT292" s="838" t="str">
        <f t="shared" ca="1" si="320"/>
        <v>-</v>
      </c>
      <c r="BU292" s="831"/>
      <c r="BV292" s="832"/>
      <c r="BW292" s="833" t="str">
        <f t="shared" si="321"/>
        <v>-</v>
      </c>
      <c r="BX292" s="834" t="str">
        <f t="shared" si="322"/>
        <v>-</v>
      </c>
      <c r="BY292" s="830" t="str">
        <f t="shared" ca="1" si="323"/>
        <v>-</v>
      </c>
      <c r="BZ292" s="831">
        <v>42925</v>
      </c>
      <c r="CA292" s="832">
        <v>2</v>
      </c>
      <c r="CB292" s="833">
        <f t="shared" si="324"/>
        <v>42925</v>
      </c>
      <c r="CC292" s="833">
        <f t="shared" ca="1" si="325"/>
        <v>209</v>
      </c>
      <c r="CD292" s="834" t="str">
        <f t="shared" ca="1" si="326"/>
        <v>-</v>
      </c>
      <c r="CE292" s="835">
        <f t="shared" si="281"/>
        <v>42946</v>
      </c>
      <c r="CF292" s="831">
        <v>42946</v>
      </c>
      <c r="CG292" s="832">
        <v>2</v>
      </c>
      <c r="CH292" s="833">
        <f t="shared" si="327"/>
        <v>0</v>
      </c>
      <c r="CI292" s="840" t="str">
        <f t="shared" si="283"/>
        <v>УСПЕШНО</v>
      </c>
      <c r="CJ292" s="833">
        <f t="shared" si="284"/>
        <v>42946</v>
      </c>
      <c r="CK292" s="838" t="str">
        <f t="shared" ca="1" si="285"/>
        <v>-</v>
      </c>
      <c r="CL292" s="841"/>
      <c r="CM292" s="832"/>
    </row>
    <row r="293" spans="1:107" s="842" customFormat="1" ht="15.95" customHeight="1" x14ac:dyDescent="0.25">
      <c r="A293" s="790">
        <v>476</v>
      </c>
      <c r="B293" s="791">
        <f t="shared" ca="1" si="286"/>
        <v>43134</v>
      </c>
      <c r="C293" s="792" t="s">
        <v>2404</v>
      </c>
      <c r="D293" s="793" t="s">
        <v>1456</v>
      </c>
      <c r="E293" s="794" t="s">
        <v>90</v>
      </c>
      <c r="F293" s="854" t="s">
        <v>1453</v>
      </c>
      <c r="G293" s="845" t="e">
        <f>SUMIFS(МОЛОКО!#REF!,МОЛОКО!#REF!,"1293",МОЛОКО!#REF!,"&gt;0")</f>
        <v>#REF!</v>
      </c>
      <c r="H293" s="797" t="s">
        <v>603</v>
      </c>
      <c r="I293" s="798">
        <v>40662</v>
      </c>
      <c r="J293" s="799">
        <f t="shared" ca="1" si="287"/>
        <v>6.7726027397260271</v>
      </c>
      <c r="K293" s="799">
        <f t="shared" ca="1" si="288"/>
        <v>82.4</v>
      </c>
      <c r="L293" s="800">
        <f t="shared" ca="1" si="289"/>
        <v>2472</v>
      </c>
      <c r="M293" s="801">
        <v>41557</v>
      </c>
      <c r="N293" s="802">
        <v>43024</v>
      </c>
      <c r="O293" s="803">
        <f t="shared" ca="1" si="290"/>
        <v>110</v>
      </c>
      <c r="P293" s="804">
        <v>4</v>
      </c>
      <c r="Q293" s="805"/>
      <c r="R293" s="806"/>
      <c r="S293" s="807"/>
      <c r="T293" s="798"/>
      <c r="U293" s="798" t="str">
        <f t="shared" si="291"/>
        <v>-</v>
      </c>
      <c r="V293" s="804" t="str">
        <f t="shared" ca="1" si="292"/>
        <v>-</v>
      </c>
      <c r="W293" s="808">
        <v>0</v>
      </c>
      <c r="X293" s="794" t="str">
        <f t="shared" si="293"/>
        <v>-</v>
      </c>
      <c r="Y293" s="794">
        <v>0</v>
      </c>
      <c r="Z293" s="809" t="str">
        <f t="shared" ca="1" si="294"/>
        <v>-----</v>
      </c>
      <c r="AA293" s="810">
        <f t="shared" ca="1" si="295"/>
        <v>43134</v>
      </c>
      <c r="AB293" s="804"/>
      <c r="AC293" s="811" t="str">
        <f t="shared" ca="1" si="296"/>
        <v>-----</v>
      </c>
      <c r="AD293" s="798"/>
      <c r="AE293" s="794" t="str">
        <f t="shared" ca="1" si="297"/>
        <v>-</v>
      </c>
      <c r="AF293" s="798" t="str">
        <f t="shared" si="298"/>
        <v>-</v>
      </c>
      <c r="AG293" s="812" t="str">
        <f t="shared" si="299"/>
        <v>---------</v>
      </c>
      <c r="AH293" s="807"/>
      <c r="AI293" s="807" t="str">
        <f t="shared" si="300"/>
        <v>-</v>
      </c>
      <c r="AJ293" s="807" t="str">
        <f t="shared" si="301"/>
        <v>-</v>
      </c>
      <c r="AK293" s="813"/>
      <c r="AL293" s="807" t="str">
        <f t="shared" si="302"/>
        <v>-</v>
      </c>
      <c r="AM293" s="807" t="str">
        <f t="shared" si="303"/>
        <v>-</v>
      </c>
      <c r="AN293" s="814" t="str">
        <f t="shared" ca="1" si="304"/>
        <v>-</v>
      </c>
      <c r="AO293" s="815">
        <v>1</v>
      </c>
      <c r="AP293" s="816" t="str">
        <f t="shared" ca="1" si="305"/>
        <v>-</v>
      </c>
      <c r="AQ293" s="817"/>
      <c r="AR293" s="794" t="str">
        <f t="shared" si="306"/>
        <v>-</v>
      </c>
      <c r="AS293" s="818"/>
      <c r="AT293" s="794" t="str">
        <f t="shared" si="307"/>
        <v>-</v>
      </c>
      <c r="AU293" s="819">
        <v>1</v>
      </c>
      <c r="AV293" s="820">
        <v>42978</v>
      </c>
      <c r="AW293" s="821">
        <v>5</v>
      </c>
      <c r="AX293" s="822">
        <f t="shared" ca="1" si="308"/>
        <v>156</v>
      </c>
      <c r="AY293" s="823">
        <f t="shared" si="309"/>
        <v>77.2</v>
      </c>
      <c r="AZ293" s="824"/>
      <c r="BA293" s="821"/>
      <c r="BB293" s="822" t="str">
        <f t="shared" si="280"/>
        <v>-</v>
      </c>
      <c r="BC293" s="572">
        <v>43026</v>
      </c>
      <c r="BD293" s="825" t="str">
        <f t="shared" ca="1" si="310"/>
        <v>-</v>
      </c>
      <c r="BE293" s="826"/>
      <c r="BF293" s="827"/>
      <c r="BG293" s="828" t="str">
        <f t="shared" si="311"/>
        <v>Ж-Е НЕ ВАКЦ.</v>
      </c>
      <c r="BH293" s="829" t="str">
        <f t="shared" si="312"/>
        <v>-</v>
      </c>
      <c r="BI293" s="830" t="str">
        <f t="shared" ca="1" si="313"/>
        <v>-</v>
      </c>
      <c r="BJ293" s="831">
        <v>42887</v>
      </c>
      <c r="BK293" s="832">
        <v>5</v>
      </c>
      <c r="BL293" s="833">
        <f t="shared" ca="1" si="314"/>
        <v>247</v>
      </c>
      <c r="BM293" s="834" t="str">
        <f t="shared" ca="1" si="315"/>
        <v>-</v>
      </c>
      <c r="BN293" s="835">
        <f t="shared" si="316"/>
        <v>42908</v>
      </c>
      <c r="BO293" s="831">
        <v>42908</v>
      </c>
      <c r="BP293" s="832">
        <v>5</v>
      </c>
      <c r="BQ293" s="833">
        <f t="shared" ca="1" si="317"/>
        <v>226</v>
      </c>
      <c r="BR293" s="836">
        <f t="shared" si="318"/>
        <v>0</v>
      </c>
      <c r="BS293" s="837" t="str">
        <f t="shared" si="319"/>
        <v>УСПЕШНО</v>
      </c>
      <c r="BT293" s="838" t="str">
        <f t="shared" ca="1" si="320"/>
        <v>-</v>
      </c>
      <c r="BU293" s="831"/>
      <c r="BV293" s="832"/>
      <c r="BW293" s="833" t="str">
        <f t="shared" si="321"/>
        <v>-</v>
      </c>
      <c r="BX293" s="834" t="str">
        <f t="shared" si="322"/>
        <v>-</v>
      </c>
      <c r="BY293" s="830" t="str">
        <f t="shared" ca="1" si="323"/>
        <v>-</v>
      </c>
      <c r="BZ293" s="831">
        <v>42975</v>
      </c>
      <c r="CA293" s="832">
        <v>2</v>
      </c>
      <c r="CB293" s="833">
        <f t="shared" si="324"/>
        <v>42975</v>
      </c>
      <c r="CC293" s="833">
        <f t="shared" ca="1" si="325"/>
        <v>159</v>
      </c>
      <c r="CD293" s="834" t="str">
        <f t="shared" ca="1" si="326"/>
        <v>-</v>
      </c>
      <c r="CE293" s="835">
        <f t="shared" si="281"/>
        <v>42996</v>
      </c>
      <c r="CF293" s="831">
        <v>42996</v>
      </c>
      <c r="CG293" s="832">
        <v>2</v>
      </c>
      <c r="CH293" s="833">
        <f t="shared" si="327"/>
        <v>0</v>
      </c>
      <c r="CI293" s="840" t="str">
        <f t="shared" si="283"/>
        <v>УСПЕШНО</v>
      </c>
      <c r="CJ293" s="833">
        <f t="shared" si="284"/>
        <v>42996</v>
      </c>
      <c r="CK293" s="838" t="str">
        <f t="shared" ca="1" si="285"/>
        <v>-</v>
      </c>
      <c r="CL293" s="841"/>
      <c r="CM293" s="832"/>
    </row>
    <row r="294" spans="1:107" s="842" customFormat="1" ht="15.95" customHeight="1" x14ac:dyDescent="0.25">
      <c r="A294" s="790">
        <v>277</v>
      </c>
      <c r="B294" s="791">
        <f t="shared" ref="B294:B299" ca="1" si="328">TODAY()</f>
        <v>43134</v>
      </c>
      <c r="C294" s="792" t="s">
        <v>613</v>
      </c>
      <c r="D294" s="793" t="s">
        <v>3202</v>
      </c>
      <c r="E294" s="794" t="s">
        <v>712</v>
      </c>
      <c r="F294" s="854" t="s">
        <v>3127</v>
      </c>
      <c r="G294" s="796">
        <f>SUMIFS(МОЛОКО!L8:L6958,МОЛОКО!F8:F6958,"19970",МОЛОКО!L8:L6958,"&gt;0")</f>
        <v>0</v>
      </c>
      <c r="H294" s="797" t="s">
        <v>603</v>
      </c>
      <c r="I294" s="798">
        <v>41570</v>
      </c>
      <c r="J294" s="799">
        <f t="shared" ref="J294:J299" ca="1" si="329">(B294-I294)/365</f>
        <v>4.2849315068493148</v>
      </c>
      <c r="K294" s="799">
        <f t="shared" ref="K294:K299" ca="1" si="330">(B294-I294)/30</f>
        <v>52.133333333333333</v>
      </c>
      <c r="L294" s="800">
        <f t="shared" ref="L294:L299" ca="1" si="331">B294-I294</f>
        <v>1564</v>
      </c>
      <c r="M294" s="801">
        <v>42397</v>
      </c>
      <c r="N294" s="802">
        <v>42751</v>
      </c>
      <c r="O294" s="803">
        <f t="shared" ref="O294:O299" ca="1" si="332">IF(AND(B294&gt;0,N294&gt;0),B294-N294,"-")</f>
        <v>383</v>
      </c>
      <c r="P294" s="804">
        <v>2</v>
      </c>
      <c r="Q294" s="805" t="s">
        <v>2366</v>
      </c>
      <c r="R294" s="806" t="s">
        <v>1875</v>
      </c>
      <c r="S294" s="807">
        <v>42810</v>
      </c>
      <c r="T294" s="798">
        <v>43005</v>
      </c>
      <c r="U294" s="798">
        <f t="shared" ref="U294:U299" si="333">IF(AND(Y294&gt;1,T294&gt;0),T294+18,"-")</f>
        <v>43023</v>
      </c>
      <c r="V294" s="804">
        <f t="shared" ref="V294:V299" ca="1" si="334">IF(AND(U294&gt;0,B294&gt;0,Y294&gt;1),B294-U294,"-")</f>
        <v>111</v>
      </c>
      <c r="W294" s="808">
        <v>6</v>
      </c>
      <c r="X294" s="794">
        <f t="shared" ref="X294:X299" si="335">IF(AND(N294&gt;0,T294&gt;0),T294-N294,"-")</f>
        <v>254</v>
      </c>
      <c r="Y294" s="794">
        <v>3</v>
      </c>
      <c r="Z294" s="809" t="str">
        <f t="shared" ref="Z294:Z299" ca="1" si="336">IF(AND(Y294=1,AA294&gt;71,OR(ISBLANK(AB294),AB294=2)),"ПОДЛЕЖИТ ПЕРЕПРОВЕРКЕ","-----")</f>
        <v>-----</v>
      </c>
      <c r="AA294" s="810">
        <f t="shared" ref="AA294:AA299" ca="1" si="337">IF(AND(O294&gt;-1,W294&gt;0,Y294=1,AB294=1),"-----",B294-T294)</f>
        <v>129</v>
      </c>
      <c r="AB294" s="804"/>
      <c r="AC294" s="811" t="str">
        <f t="shared" ref="AC294:AC299" ca="1" si="338">IF(AND(AB294&lt;1,Z294="ПОДЛЕЖИТ ПЕРЕПРОВЕРКЕ",Y294=1),T294+72,"-----")</f>
        <v>-----</v>
      </c>
      <c r="AD294" s="798"/>
      <c r="AE294" s="794" t="str">
        <f t="shared" ref="AE294:AE299" ca="1" si="339">IF(AND(O294&gt;120,Y294=0,N294&gt;0),"яловая","-")</f>
        <v>-</v>
      </c>
      <c r="AF294" s="798">
        <f t="shared" ref="AF294:AF299" si="340">IF(AND(T294&gt;0,OR(Y294=3,Y294=2)),T294+35,"-")</f>
        <v>43040</v>
      </c>
      <c r="AG294" s="812">
        <f t="shared" ref="AG294:AG299" ca="1" si="341">IF(AND(T294&gt;0,W294&gt;0,Q294&gt;0,OR(Y294=3,Y294=2)),B294-AF294,"---------")</f>
        <v>94</v>
      </c>
      <c r="AH294" s="807">
        <v>42986</v>
      </c>
      <c r="AI294" s="807" t="str">
        <f t="shared" ref="AI294:AI299" si="342">IF(AND($T294&gt;0,$N294&gt;0,$Y294=1),$T294+280-90,"-")</f>
        <v>-</v>
      </c>
      <c r="AJ294" s="807" t="str">
        <f t="shared" ref="AJ294:AJ299" si="343">IF(AND(T294&gt;0,Y294=1,N294&gt;0),T294+280-60,"-")</f>
        <v>-</v>
      </c>
      <c r="AK294" s="813"/>
      <c r="AL294" s="807" t="str">
        <f t="shared" ref="AL294:AL299" si="344">IF(AND($T294&gt;0,$Y294=1),$T294+280-21,"-")</f>
        <v>-</v>
      </c>
      <c r="AM294" s="807" t="str">
        <f t="shared" ref="AM294:AM299" si="345">IF(AND(T294&gt;0,Y294=1),T294+280,"-")</f>
        <v>-</v>
      </c>
      <c r="AN294" s="814" t="str">
        <f t="shared" ref="AN294:AN299" ca="1" si="346">IF(AND(B294&gt;0,AM294&gt;0,AH294&gt;0,Y294=1),B294-AM294,"-")</f>
        <v>-</v>
      </c>
      <c r="AO294" s="815">
        <v>1</v>
      </c>
      <c r="AP294" s="816" t="str">
        <f t="shared" ref="AP294:AP299" ca="1" si="347">IF(AND(AE294="яловая",O294&gt;300),"БРАК","-")</f>
        <v>-</v>
      </c>
      <c r="AQ294" s="817"/>
      <c r="AR294" s="794" t="str">
        <f t="shared" ref="AR294:AR299" si="348">IF(AND(Y294=1,P294=0),"НЕТЕЛЬ","-")</f>
        <v>-</v>
      </c>
      <c r="AS294" s="818"/>
      <c r="AT294" s="794" t="str">
        <f t="shared" ref="AT294:AT299" si="349">IF(AND(N294&gt;0,T294&gt;0,W294&gt;0,Y294=1,AH294&gt;0,AK294&gt;0),"DRY COW","-")</f>
        <v>-</v>
      </c>
      <c r="AU294" s="819">
        <v>1</v>
      </c>
      <c r="AV294" s="820">
        <v>42981</v>
      </c>
      <c r="AW294" s="821">
        <v>5</v>
      </c>
      <c r="AX294" s="822">
        <f ca="1">IF(AND(AV294&gt;0,AW294&gt;0),B294-AV294,"-")</f>
        <v>153</v>
      </c>
      <c r="AY294" s="823">
        <f>IF(AND(AV294&gt;0,AW294&gt;0),(AV294-I294)/30,"-")</f>
        <v>47.033333333333331</v>
      </c>
      <c r="AZ294" s="824">
        <v>43001</v>
      </c>
      <c r="BA294" s="821">
        <v>2</v>
      </c>
      <c r="BB294" s="822">
        <f ca="1">IF(AND(AZ294&gt;0,BA294&gt;0),B294-AZ294,"-")</f>
        <v>133</v>
      </c>
      <c r="BC294" s="572">
        <v>43028</v>
      </c>
      <c r="BD294" s="701" t="s">
        <v>2326</v>
      </c>
      <c r="BE294" s="826"/>
      <c r="BF294" s="827"/>
      <c r="BG294" s="828" t="str">
        <f>IF(AND(BE294&gt;0,BF294=2),BE294-I294,"Ж-Е НЕ ВАКЦ.")</f>
        <v>Ж-Е НЕ ВАКЦ.</v>
      </c>
      <c r="BH294" s="829" t="str">
        <f>IF(AND(BE294&gt;0,BF294=2),B294-BE294,"-")</f>
        <v>-</v>
      </c>
      <c r="BI294" s="830" t="str">
        <f ca="1">IF(AND(L294&gt;42,BK294&lt;5),"ПОДЛЕЖИТ ВАКЦИНАЦИИ","-")</f>
        <v>-</v>
      </c>
      <c r="BJ294" s="831">
        <v>42887</v>
      </c>
      <c r="BK294" s="832">
        <v>5</v>
      </c>
      <c r="BL294" s="833">
        <f ca="1">IF(AND(BJ294&gt;0,BK294=5),B294-BJ294,"-")</f>
        <v>247</v>
      </c>
      <c r="BM294" s="834" t="str">
        <f ca="1">IF(AND(BK294=5,BL294&gt;20,BP294&lt;5),"ТРЕБУЕТСЯ БУСТЕРНАЯ ДОЗА","-")</f>
        <v>-</v>
      </c>
      <c r="BN294" s="835">
        <f>IF(AND(BJ294&gt;0,BK294=5),BJ294+21,"-")</f>
        <v>42908</v>
      </c>
      <c r="BO294" s="831">
        <v>42908</v>
      </c>
      <c r="BP294" s="832">
        <v>5</v>
      </c>
      <c r="BQ294" s="833">
        <f ca="1">IF(AND(BO294&gt;0,BP294=5),B294-BO294,"-")</f>
        <v>226</v>
      </c>
      <c r="BR294" s="836">
        <f>IF(AND(BN294&gt;0,BO294&gt;0,BP294=5),BN294-BO294,"-")</f>
        <v>0</v>
      </c>
      <c r="BS294" s="837" t="str">
        <f>IF(AND(BP294=5,BR294=0),"УСПЕШНО","-")</f>
        <v>УСПЕШНО</v>
      </c>
      <c r="BT294" s="838" t="str">
        <f ca="1">IF(AND(BJ294&gt;0,BK294=5,BO294&gt;0,BP294=5,BQ294&gt;240,BV294&lt;5),"НЕОБХОДИМА РЕВАКЦИНАЦИЯ","-")</f>
        <v>-</v>
      </c>
      <c r="BU294" s="831"/>
      <c r="BV294" s="832"/>
      <c r="BW294" s="833" t="str">
        <f>IF(AND(BU294&gt;0,BV294=5),N294-BU294,"-")</f>
        <v>-</v>
      </c>
      <c r="BX294" s="834" t="str">
        <f>IF(AND(BU294&gt;0,BV294=5,BW294&gt;240),"НЕОБХОДИМА РЕВАКЦИНАЦИЯ","-")</f>
        <v>-</v>
      </c>
      <c r="BY294" s="830" t="str">
        <f ca="1">IF(AND(Y294=1,AN294&gt;-70,CA294&lt;2),"ТРЕБУЕТСЯ ВАКЦИНАЦИЯ","-")</f>
        <v>-</v>
      </c>
      <c r="BZ294" s="839"/>
      <c r="CA294" s="832"/>
      <c r="CB294" s="833" t="str">
        <f>IF(AND(BZ294&gt;0,CA294=2),BZ294-T294,"-")</f>
        <v>-</v>
      </c>
      <c r="CC294" s="833" t="str">
        <f>IF(AND(BZ294&gt;0,CA294=2),B294-BZ294,"-")</f>
        <v>-</v>
      </c>
      <c r="CD294" s="834" t="str">
        <f>IF(AND(CA294=2,CC294&gt;20,CG294&lt;2),"ТРЕБУЕТСЯ БУСТЕРНАЯ ДОЗА","-")</f>
        <v>-</v>
      </c>
      <c r="CE294" s="835" t="str">
        <f>IF(AND(BZ294&gt;0,CA294=2),BZ294+21,"-")</f>
        <v>-</v>
      </c>
      <c r="CF294" s="839"/>
      <c r="CG294" s="832"/>
      <c r="CH294" s="833" t="str">
        <f>IF(AND(CE294&gt;0,CF294&gt;0,CG294=2),CF294-CE294,"-")</f>
        <v>-</v>
      </c>
      <c r="CI294" s="840" t="str">
        <f>IF(AND(CG294=2,CH294=0),"УСПЕШНО","-")</f>
        <v>-</v>
      </c>
      <c r="CJ294" s="833" t="str">
        <f>IF(AND(CF294&gt;0,CG294=2),CF294-T294,"-")</f>
        <v>-</v>
      </c>
      <c r="CK294" s="838" t="str">
        <f ca="1">IF(AND(BZ294&gt;0,CA294=2,CF294&gt;0,CG294=2,Y294=1,AN294&gt;-50,CM294&lt;2),"ТРЕБУЕТСЯ РЕВАКЦИНАЦИЯ","-")</f>
        <v>-</v>
      </c>
      <c r="CL294" s="841"/>
      <c r="CM294" s="832"/>
    </row>
    <row r="295" spans="1:107" s="842" customFormat="1" ht="15.6" customHeight="1" x14ac:dyDescent="0.25">
      <c r="A295" s="790">
        <v>140</v>
      </c>
      <c r="B295" s="791">
        <f t="shared" ca="1" si="328"/>
        <v>43134</v>
      </c>
      <c r="C295" s="29" t="s">
        <v>614</v>
      </c>
      <c r="D295" s="327" t="s">
        <v>3204</v>
      </c>
      <c r="E295" s="794" t="s">
        <v>772</v>
      </c>
      <c r="F295" s="795" t="s">
        <v>730</v>
      </c>
      <c r="G295" s="796">
        <f>SUMIFS(МОЛОКО!L8:L6958,МОЛОКО!F8:F6958,"1554",МОЛОКО!L8:L6958,"&gt;0")</f>
        <v>1.8</v>
      </c>
      <c r="H295" s="797" t="s">
        <v>603</v>
      </c>
      <c r="I295" s="798">
        <v>41039</v>
      </c>
      <c r="J295" s="799">
        <f t="shared" ca="1" si="329"/>
        <v>5.7397260273972606</v>
      </c>
      <c r="K295" s="799">
        <f t="shared" ca="1" si="330"/>
        <v>69.833333333333329</v>
      </c>
      <c r="L295" s="800">
        <f t="shared" ca="1" si="331"/>
        <v>2095</v>
      </c>
      <c r="M295" s="801">
        <v>41852</v>
      </c>
      <c r="N295" s="802">
        <v>43003</v>
      </c>
      <c r="O295" s="803">
        <f t="shared" ca="1" si="332"/>
        <v>131</v>
      </c>
      <c r="P295" s="804">
        <v>3</v>
      </c>
      <c r="Q295" s="805"/>
      <c r="R295" s="806"/>
      <c r="S295" s="807"/>
      <c r="T295" s="798"/>
      <c r="U295" s="798" t="str">
        <f t="shared" si="333"/>
        <v>-</v>
      </c>
      <c r="V295" s="804" t="str">
        <f t="shared" ca="1" si="334"/>
        <v>-</v>
      </c>
      <c r="W295" s="808">
        <v>0</v>
      </c>
      <c r="X295" s="794" t="str">
        <f t="shared" si="335"/>
        <v>-</v>
      </c>
      <c r="Y295" s="794">
        <v>0</v>
      </c>
      <c r="Z295" s="809" t="str">
        <f t="shared" ca="1" si="336"/>
        <v>-----</v>
      </c>
      <c r="AA295" s="810">
        <f t="shared" ca="1" si="337"/>
        <v>43134</v>
      </c>
      <c r="AB295" s="804"/>
      <c r="AC295" s="811" t="str">
        <f t="shared" ca="1" si="338"/>
        <v>-----</v>
      </c>
      <c r="AD295" s="798"/>
      <c r="AE295" s="794" t="str">
        <f t="shared" ca="1" si="339"/>
        <v>яловая</v>
      </c>
      <c r="AF295" s="798" t="str">
        <f t="shared" si="340"/>
        <v>-</v>
      </c>
      <c r="AG295" s="812" t="str">
        <f t="shared" si="341"/>
        <v>---------</v>
      </c>
      <c r="AH295" s="807"/>
      <c r="AI295" s="807" t="str">
        <f t="shared" si="342"/>
        <v>-</v>
      </c>
      <c r="AJ295" s="807" t="str">
        <f t="shared" si="343"/>
        <v>-</v>
      </c>
      <c r="AK295" s="813"/>
      <c r="AL295" s="807" t="str">
        <f t="shared" si="344"/>
        <v>-</v>
      </c>
      <c r="AM295" s="807" t="str">
        <f t="shared" si="345"/>
        <v>-</v>
      </c>
      <c r="AN295" s="814" t="str">
        <f t="shared" ca="1" si="346"/>
        <v>-</v>
      </c>
      <c r="AO295" s="815">
        <v>1</v>
      </c>
      <c r="AP295" s="816" t="str">
        <f t="shared" ca="1" si="347"/>
        <v>-</v>
      </c>
      <c r="AQ295" s="817"/>
      <c r="AR295" s="794" t="str">
        <f t="shared" si="348"/>
        <v>-</v>
      </c>
      <c r="AS295" s="818"/>
      <c r="AT295" s="794" t="str">
        <f t="shared" si="349"/>
        <v>-</v>
      </c>
      <c r="AU295" s="819"/>
      <c r="AV295" s="820"/>
      <c r="AW295" s="821"/>
      <c r="AX295" s="821"/>
      <c r="AY295" s="969" t="str">
        <f t="shared" ref="AY295:AY302" si="350">IF(AND(AV295&gt;0,AW295&gt;0,AX295&gt;0),B295-AV295,"-")</f>
        <v>-</v>
      </c>
      <c r="AZ295" s="966" t="str">
        <f t="shared" ref="AZ295:AZ302" si="351">IF(AND(AV295&gt;0,AW295&gt;0,AX295&gt;0,AY295&gt;10,BB295=0,BC295=0,BD295=0),"РЕВАКЦИНАЦИЯ","-")</f>
        <v>-</v>
      </c>
      <c r="BA295" s="971" t="str">
        <f t="shared" ref="BA295:BA302" si="352">IF(AND(AV295&gt;0,AW295&gt;0,AX295&gt;0),AV295+10,"-")</f>
        <v>-</v>
      </c>
      <c r="BB295" s="975"/>
      <c r="BC295" s="572">
        <v>43040</v>
      </c>
      <c r="BD295" s="701" t="s">
        <v>2326</v>
      </c>
      <c r="BE295" s="963" t="str">
        <f t="shared" ref="BE295:BE302" si="353">IF(AND(BB295&gt;0,BC295&gt;0,BD295&gt;0),B295-BB295,"-")</f>
        <v>-</v>
      </c>
      <c r="BF295" s="984"/>
      <c r="BG295" s="988"/>
      <c r="BH295" s="982"/>
      <c r="BI295" s="991"/>
      <c r="BJ295" s="991"/>
      <c r="BK295" s="993" t="str">
        <f t="shared" ref="BK295:BK302" si="354">IF(AND(BF295&gt;0,BG295&gt;0,BH295&gt;0,BI295&gt;0,BJ295&gt;0),B295-BF295,"-")</f>
        <v>-</v>
      </c>
      <c r="BL295" s="820">
        <v>42982</v>
      </c>
      <c r="BM295" s="821">
        <v>5</v>
      </c>
      <c r="BN295" s="822">
        <f t="shared" ref="BN295:BN302" ca="1" si="355">IF(AND(BL295&gt;0,BM295&gt;0),B295-BL295,"-")</f>
        <v>152</v>
      </c>
      <c r="BO295" s="823">
        <f t="shared" ref="BO295:BO302" si="356">IF(AND(BL295&gt;0,BM295&gt;0),(BL295-I295)/30,"-")</f>
        <v>64.766666666666666</v>
      </c>
      <c r="BP295" s="824"/>
      <c r="BQ295" s="821"/>
      <c r="BR295" s="822" t="str">
        <f t="shared" ref="BR295:BR302" si="357">IF(AND(BP295&gt;0,BQ295&gt;0),B295-BP295,"-")</f>
        <v>-</v>
      </c>
      <c r="BS295" s="823" t="str">
        <f t="shared" ref="BS295:BS302" si="358">IF(AND(BP295&gt;0,BQ295&gt;0),(BP295-M295)/30,"-")</f>
        <v>-</v>
      </c>
      <c r="BT295" s="825" t="str">
        <f t="shared" ref="BT295:BT302" ca="1" si="359">IF(AND(OR(E295="тёлочка",E295="бычок"),L295&gt;0,BV295&lt;2,L295&lt;60),"ПОДЛЕЖИТ ВАКЦИНАЦИИ","-")</f>
        <v>-</v>
      </c>
      <c r="BU295" s="826"/>
      <c r="BV295" s="827"/>
      <c r="BW295" s="828" t="str">
        <f t="shared" ref="BW295:BW302" si="360">IF(AND(BU295&gt;0,BV295=2),BU295-I295,"Ж-Е НЕ ВАКЦ.")</f>
        <v>Ж-Е НЕ ВАКЦ.</v>
      </c>
      <c r="BX295" s="829" t="str">
        <f t="shared" ref="BX295:BX302" si="361">IF(AND(BU295&gt;0,BV295=2),B295-BU295,"-")</f>
        <v>-</v>
      </c>
      <c r="BY295" s="830" t="str">
        <f t="shared" ref="BY295:BY302" ca="1" si="362">IF(AND(L295&gt;42,CA295&lt;5),"ПОДЛЕЖИТ ВАКЦИНАЦИИ","-")</f>
        <v>-</v>
      </c>
      <c r="BZ295" s="831">
        <v>42887</v>
      </c>
      <c r="CA295" s="832">
        <v>5</v>
      </c>
      <c r="CB295" s="833">
        <f t="shared" ref="CB295:CB302" ca="1" si="363">IF(AND(BZ295&gt;0,CA295=5),B295-BZ295,"-")</f>
        <v>247</v>
      </c>
      <c r="CC295" s="834" t="str">
        <f t="shared" ref="CC295:CC302" ca="1" si="364">IF(AND(CA295=5,CB295&gt;20,CF295&lt;5),"ТРЕБУЕТСЯ БУСТЕРНАЯ ДОЗА","-")</f>
        <v>-</v>
      </c>
      <c r="CD295" s="835">
        <f t="shared" ref="CD295:CD302" si="365">IF(AND(BZ295&gt;0,CA295=5),BZ295+21,"-")</f>
        <v>42908</v>
      </c>
      <c r="CE295" s="831">
        <v>42908</v>
      </c>
      <c r="CF295" s="832">
        <v>5</v>
      </c>
      <c r="CG295" s="833">
        <f t="shared" ref="CG295:CG302" ca="1" si="366">IF(AND(CE295&gt;0,CF295=5),B295-CE295,"-")</f>
        <v>226</v>
      </c>
      <c r="CH295" s="836">
        <f t="shared" ref="CH295:CH302" si="367">IF(AND(CD295&gt;0,CE295&gt;0,CF295=5),CD295-CE295,"-")</f>
        <v>0</v>
      </c>
      <c r="CI295" s="837" t="str">
        <f t="shared" ref="CI295:CI302" si="368">IF(AND(CF295=5,CH295=0),"УСПЕШНО","-")</f>
        <v>УСПЕШНО</v>
      </c>
      <c r="CJ295" s="838" t="str">
        <f t="shared" ref="CJ295:CJ302" ca="1" si="369">IF(AND(BZ295&gt;0,CA295=5,CE295&gt;0,CF295=5,CG295&gt;240,CL295&lt;5),"НЕОБХОДИМА РЕВАКЦИНАЦИЯ","-")</f>
        <v>-</v>
      </c>
      <c r="CK295" s="831"/>
      <c r="CL295" s="832"/>
      <c r="CM295" s="833" t="str">
        <f t="shared" ref="CM295:CM302" si="370">IF(AND(CK295&gt;0,CL295=5),N295-CK295,"-")</f>
        <v>-</v>
      </c>
      <c r="CN295" s="834" t="str">
        <f t="shared" ref="CN295:CN302" si="371">IF(AND(CK295&gt;0,CL295=5,CM295&gt;240),"НЕОБХОДИМА РЕВАКЦИНАЦИЯ","-")</f>
        <v>-</v>
      </c>
      <c r="CO295" s="830" t="str">
        <f t="shared" ref="CO295:CO302" ca="1" si="372">IF(AND(Y295=1,AN295&gt;-70,CQ295&lt;2),"ТРЕБУЕТСЯ ВАКЦИНАЦИЯ","-")</f>
        <v>-</v>
      </c>
      <c r="CP295" s="831">
        <v>42925</v>
      </c>
      <c r="CQ295" s="832">
        <v>2</v>
      </c>
      <c r="CR295" s="833">
        <f t="shared" ref="CR295:CR302" si="373">IF(AND(CP295&gt;0,CQ295=2),CP295-T295,"-")</f>
        <v>42925</v>
      </c>
      <c r="CS295" s="833">
        <f t="shared" ref="CS295:CS302" ca="1" si="374">IF(AND(CP295&gt;0,CQ295=2),B295-CP295,"-")</f>
        <v>209</v>
      </c>
      <c r="CT295" s="834" t="str">
        <f t="shared" ref="CT295:CT302" ca="1" si="375">IF(AND(CQ295=2,CS295&gt;20,CW295&lt;2),"ТРЕБУЕТСЯ БУСТЕРНАЯ ДОЗА","-")</f>
        <v>-</v>
      </c>
      <c r="CU295" s="835">
        <f t="shared" ref="CU295:CU302" si="376">IF(AND(CP295&gt;0,CQ295=2),CP295+21,"-")</f>
        <v>42946</v>
      </c>
      <c r="CV295" s="831">
        <v>42946</v>
      </c>
      <c r="CW295" s="832">
        <v>2</v>
      </c>
      <c r="CX295" s="833">
        <f t="shared" ref="CX295:CX302" si="377">IF(AND(CU295&gt;0,CV295&gt;0,CW295=2),CV295-CU295,"-")</f>
        <v>0</v>
      </c>
      <c r="CY295" s="840" t="str">
        <f t="shared" ref="CY295:CY302" si="378">IF(AND(CW295=2,CX295=0),"УСПЕШНО","-")</f>
        <v>УСПЕШНО</v>
      </c>
      <c r="CZ295" s="833">
        <f t="shared" ref="CZ295:CZ302" si="379">IF(AND(CV295&gt;0,CW295=2),CV295-T295,"-")</f>
        <v>42946</v>
      </c>
      <c r="DA295" s="838" t="str">
        <f t="shared" ref="DA295:DA302" ca="1" si="380">IF(AND(CP295&gt;0,CQ295=2,CV295&gt;0,CW295=2,Y295=1,AN295&gt;-50,DC295&lt;2),"ТРЕБУЕТСЯ РЕВАКЦИНАЦИЯ","-")</f>
        <v>-</v>
      </c>
      <c r="DB295" s="841"/>
      <c r="DC295" s="832"/>
    </row>
    <row r="296" spans="1:107" s="842" customFormat="1" ht="15.95" customHeight="1" x14ac:dyDescent="0.25">
      <c r="A296" s="790">
        <v>214</v>
      </c>
      <c r="B296" s="791">
        <f t="shared" ca="1" si="328"/>
        <v>43134</v>
      </c>
      <c r="C296" s="792" t="s">
        <v>613</v>
      </c>
      <c r="D296" s="793" t="s">
        <v>3201</v>
      </c>
      <c r="E296" s="794" t="s">
        <v>1323</v>
      </c>
      <c r="F296" s="854" t="s">
        <v>1206</v>
      </c>
      <c r="G296" s="796">
        <f>SUMIFS(МОЛОКО!L8:L6958,МОЛОКО!F8:F6958,"2302",МОЛОКО!L8:L6958,"&gt;0")</f>
        <v>0.89999999999999991</v>
      </c>
      <c r="H296" s="797" t="s">
        <v>603</v>
      </c>
      <c r="I296" s="798">
        <v>41851</v>
      </c>
      <c r="J296" s="799">
        <f t="shared" ca="1" si="329"/>
        <v>3.515068493150685</v>
      </c>
      <c r="K296" s="799">
        <f t="shared" ca="1" si="330"/>
        <v>42.766666666666666</v>
      </c>
      <c r="L296" s="800">
        <f t="shared" ca="1" si="331"/>
        <v>1283</v>
      </c>
      <c r="M296" s="801">
        <v>42518</v>
      </c>
      <c r="N296" s="802">
        <v>42518</v>
      </c>
      <c r="O296" s="803">
        <f t="shared" ca="1" si="332"/>
        <v>616</v>
      </c>
      <c r="P296" s="804">
        <v>1</v>
      </c>
      <c r="Q296" s="805" t="s">
        <v>2366</v>
      </c>
      <c r="R296" s="806" t="s">
        <v>1810</v>
      </c>
      <c r="S296" s="807">
        <v>42586</v>
      </c>
      <c r="T296" s="798">
        <v>42913</v>
      </c>
      <c r="U296" s="798" t="str">
        <f t="shared" si="333"/>
        <v>-</v>
      </c>
      <c r="V296" s="804" t="str">
        <f t="shared" ca="1" si="334"/>
        <v>-</v>
      </c>
      <c r="W296" s="808">
        <v>5</v>
      </c>
      <c r="X296" s="794">
        <f t="shared" si="335"/>
        <v>395</v>
      </c>
      <c r="Y296" s="794">
        <v>0</v>
      </c>
      <c r="Z296" s="809" t="str">
        <f t="shared" ca="1" si="336"/>
        <v>-----</v>
      </c>
      <c r="AA296" s="810">
        <f t="shared" ca="1" si="337"/>
        <v>221</v>
      </c>
      <c r="AB296" s="804"/>
      <c r="AC296" s="811" t="str">
        <f t="shared" ca="1" si="338"/>
        <v>-----</v>
      </c>
      <c r="AD296" s="798"/>
      <c r="AE296" s="794" t="str">
        <f t="shared" ca="1" si="339"/>
        <v>яловая</v>
      </c>
      <c r="AF296" s="798" t="str">
        <f t="shared" si="340"/>
        <v>-</v>
      </c>
      <c r="AG296" s="812" t="str">
        <f t="shared" si="341"/>
        <v>---------</v>
      </c>
      <c r="AH296" s="807">
        <v>42951</v>
      </c>
      <c r="AI296" s="807" t="str">
        <f t="shared" si="342"/>
        <v>-</v>
      </c>
      <c r="AJ296" s="807" t="str">
        <f t="shared" si="343"/>
        <v>-</v>
      </c>
      <c r="AK296" s="813"/>
      <c r="AL296" s="807" t="str">
        <f t="shared" si="344"/>
        <v>-</v>
      </c>
      <c r="AM296" s="807" t="str">
        <f t="shared" si="345"/>
        <v>-</v>
      </c>
      <c r="AN296" s="814" t="str">
        <f t="shared" ca="1" si="346"/>
        <v>-</v>
      </c>
      <c r="AO296" s="815">
        <v>1</v>
      </c>
      <c r="AP296" s="816" t="str">
        <f t="shared" ca="1" si="347"/>
        <v>БРАК</v>
      </c>
      <c r="AQ296" s="817" t="s">
        <v>3094</v>
      </c>
      <c r="AR296" s="794" t="str">
        <f t="shared" si="348"/>
        <v>-</v>
      </c>
      <c r="AS296" s="818"/>
      <c r="AT296" s="794" t="str">
        <f t="shared" si="349"/>
        <v>-</v>
      </c>
      <c r="AU296" s="819">
        <v>1</v>
      </c>
      <c r="AV296" s="820"/>
      <c r="AW296" s="821"/>
      <c r="AX296" s="821"/>
      <c r="AY296" s="969" t="str">
        <f t="shared" si="350"/>
        <v>-</v>
      </c>
      <c r="AZ296" s="966" t="str">
        <f t="shared" si="351"/>
        <v>-</v>
      </c>
      <c r="BA296" s="971" t="str">
        <f t="shared" si="352"/>
        <v>-</v>
      </c>
      <c r="BB296" s="975"/>
      <c r="BC296" s="572">
        <v>43040</v>
      </c>
      <c r="BD296" s="431" t="s">
        <v>3399</v>
      </c>
      <c r="BE296" s="963" t="str">
        <f t="shared" si="353"/>
        <v>-</v>
      </c>
      <c r="BF296" s="984"/>
      <c r="BG296" s="988"/>
      <c r="BH296" s="982"/>
      <c r="BI296" s="991"/>
      <c r="BJ296" s="991"/>
      <c r="BK296" s="993" t="str">
        <f t="shared" si="354"/>
        <v>-</v>
      </c>
      <c r="BL296" s="820">
        <v>42981</v>
      </c>
      <c r="BM296" s="821">
        <v>5</v>
      </c>
      <c r="BN296" s="822">
        <f t="shared" ca="1" si="355"/>
        <v>153</v>
      </c>
      <c r="BO296" s="823">
        <f t="shared" si="356"/>
        <v>37.666666666666664</v>
      </c>
      <c r="BP296" s="824">
        <v>43001</v>
      </c>
      <c r="BQ296" s="821">
        <v>2</v>
      </c>
      <c r="BR296" s="822">
        <f t="shared" ca="1" si="357"/>
        <v>133</v>
      </c>
      <c r="BS296" s="823">
        <f t="shared" si="358"/>
        <v>16.100000000000001</v>
      </c>
      <c r="BT296" s="825" t="str">
        <f t="shared" ca="1" si="359"/>
        <v>-</v>
      </c>
      <c r="BU296" s="826"/>
      <c r="BV296" s="827"/>
      <c r="BW296" s="828" t="str">
        <f t="shared" si="360"/>
        <v>Ж-Е НЕ ВАКЦ.</v>
      </c>
      <c r="BX296" s="829" t="str">
        <f t="shared" si="361"/>
        <v>-</v>
      </c>
      <c r="BY296" s="830" t="str">
        <f t="shared" ca="1" si="362"/>
        <v>-</v>
      </c>
      <c r="BZ296" s="831">
        <v>42887</v>
      </c>
      <c r="CA296" s="832">
        <v>5</v>
      </c>
      <c r="CB296" s="833">
        <f t="shared" ca="1" si="363"/>
        <v>247</v>
      </c>
      <c r="CC296" s="834" t="str">
        <f t="shared" ca="1" si="364"/>
        <v>-</v>
      </c>
      <c r="CD296" s="835">
        <f t="shared" si="365"/>
        <v>42908</v>
      </c>
      <c r="CE296" s="831">
        <v>42908</v>
      </c>
      <c r="CF296" s="832">
        <v>5</v>
      </c>
      <c r="CG296" s="833">
        <f t="shared" ca="1" si="366"/>
        <v>226</v>
      </c>
      <c r="CH296" s="836">
        <f t="shared" si="367"/>
        <v>0</v>
      </c>
      <c r="CI296" s="837" t="str">
        <f t="shared" si="368"/>
        <v>УСПЕШНО</v>
      </c>
      <c r="CJ296" s="838" t="str">
        <f t="shared" ca="1" si="369"/>
        <v>-</v>
      </c>
      <c r="CK296" s="831"/>
      <c r="CL296" s="832"/>
      <c r="CM296" s="833" t="str">
        <f t="shared" si="370"/>
        <v>-</v>
      </c>
      <c r="CN296" s="834" t="str">
        <f t="shared" si="371"/>
        <v>-</v>
      </c>
      <c r="CO296" s="830" t="str">
        <f t="shared" ca="1" si="372"/>
        <v>-</v>
      </c>
      <c r="CP296" s="839"/>
      <c r="CQ296" s="832"/>
      <c r="CR296" s="833" t="str">
        <f t="shared" si="373"/>
        <v>-</v>
      </c>
      <c r="CS296" s="833" t="str">
        <f t="shared" si="374"/>
        <v>-</v>
      </c>
      <c r="CT296" s="834" t="str">
        <f t="shared" si="375"/>
        <v>-</v>
      </c>
      <c r="CU296" s="835" t="str">
        <f t="shared" si="376"/>
        <v>-</v>
      </c>
      <c r="CV296" s="839"/>
      <c r="CW296" s="832"/>
      <c r="CX296" s="833" t="str">
        <f t="shared" si="377"/>
        <v>-</v>
      </c>
      <c r="CY296" s="840" t="str">
        <f t="shared" si="378"/>
        <v>-</v>
      </c>
      <c r="CZ296" s="833" t="str">
        <f t="shared" si="379"/>
        <v>-</v>
      </c>
      <c r="DA296" s="838" t="str">
        <f t="shared" ca="1" si="380"/>
        <v>-</v>
      </c>
      <c r="DB296" s="841"/>
      <c r="DC296" s="832"/>
    </row>
    <row r="297" spans="1:107" s="842" customFormat="1" ht="15.95" customHeight="1" x14ac:dyDescent="0.25">
      <c r="A297" s="790">
        <v>99</v>
      </c>
      <c r="B297" s="791">
        <f t="shared" ca="1" si="328"/>
        <v>43134</v>
      </c>
      <c r="C297" s="792" t="s">
        <v>614</v>
      </c>
      <c r="D297" s="793" t="s">
        <v>3203</v>
      </c>
      <c r="E297" s="794" t="s">
        <v>521</v>
      </c>
      <c r="F297" s="795" t="s">
        <v>522</v>
      </c>
      <c r="G297" s="796">
        <f>SUMIFS(МОЛОКО!L8:L6958,МОЛОКО!F8:F6958,"1998",МОЛОКО!L8:L6958,"&gt;0")</f>
        <v>1.5</v>
      </c>
      <c r="H297" s="797" t="s">
        <v>603</v>
      </c>
      <c r="I297" s="798">
        <v>41572</v>
      </c>
      <c r="J297" s="799">
        <f t="shared" ca="1" si="329"/>
        <v>4.279452054794521</v>
      </c>
      <c r="K297" s="799">
        <f t="shared" ca="1" si="330"/>
        <v>52.06666666666667</v>
      </c>
      <c r="L297" s="800">
        <f t="shared" ca="1" si="331"/>
        <v>1562</v>
      </c>
      <c r="M297" s="801">
        <v>42390</v>
      </c>
      <c r="N297" s="802">
        <v>42854</v>
      </c>
      <c r="O297" s="803">
        <f t="shared" ca="1" si="332"/>
        <v>280</v>
      </c>
      <c r="P297" s="804">
        <v>2</v>
      </c>
      <c r="Q297" s="805" t="s">
        <v>1451</v>
      </c>
      <c r="R297" s="806" t="s">
        <v>3020</v>
      </c>
      <c r="S297" s="807">
        <v>42915</v>
      </c>
      <c r="T297" s="798">
        <v>42958</v>
      </c>
      <c r="U297" s="798" t="str">
        <f t="shared" si="333"/>
        <v>-</v>
      </c>
      <c r="V297" s="804" t="str">
        <f t="shared" ca="1" si="334"/>
        <v>-</v>
      </c>
      <c r="W297" s="808">
        <v>2</v>
      </c>
      <c r="X297" s="794">
        <f t="shared" si="335"/>
        <v>104</v>
      </c>
      <c r="Y297" s="794">
        <v>1</v>
      </c>
      <c r="Z297" s="809" t="str">
        <f t="shared" ca="1" si="336"/>
        <v>ПОДЛЕЖИТ ПЕРЕПРОВЕРКЕ</v>
      </c>
      <c r="AA297" s="810">
        <f t="shared" ca="1" si="337"/>
        <v>176</v>
      </c>
      <c r="AB297" s="804"/>
      <c r="AC297" s="811">
        <f t="shared" ca="1" si="338"/>
        <v>43030</v>
      </c>
      <c r="AD297" s="798"/>
      <c r="AE297" s="794" t="str">
        <f t="shared" ca="1" si="339"/>
        <v>-</v>
      </c>
      <c r="AF297" s="798" t="str">
        <f t="shared" si="340"/>
        <v>-</v>
      </c>
      <c r="AG297" s="812" t="str">
        <f t="shared" si="341"/>
        <v>---------</v>
      </c>
      <c r="AH297" s="807">
        <v>42989</v>
      </c>
      <c r="AI297" s="807">
        <f t="shared" si="342"/>
        <v>43148</v>
      </c>
      <c r="AJ297" s="807">
        <f t="shared" si="343"/>
        <v>43178</v>
      </c>
      <c r="AK297" s="813"/>
      <c r="AL297" s="807">
        <f t="shared" si="344"/>
        <v>43217</v>
      </c>
      <c r="AM297" s="807">
        <f t="shared" si="345"/>
        <v>43238</v>
      </c>
      <c r="AN297" s="814">
        <f t="shared" ca="1" si="346"/>
        <v>-104</v>
      </c>
      <c r="AO297" s="815">
        <v>1</v>
      </c>
      <c r="AP297" s="816" t="str">
        <f t="shared" ca="1" si="347"/>
        <v>-</v>
      </c>
      <c r="AQ297" s="817"/>
      <c r="AR297" s="794" t="str">
        <f t="shared" si="348"/>
        <v>-</v>
      </c>
      <c r="AS297" s="818"/>
      <c r="AT297" s="794" t="str">
        <f t="shared" si="349"/>
        <v>-</v>
      </c>
      <c r="AU297" s="819"/>
      <c r="AV297" s="820"/>
      <c r="AW297" s="821"/>
      <c r="AX297" s="821"/>
      <c r="AY297" s="969" t="str">
        <f t="shared" si="350"/>
        <v>-</v>
      </c>
      <c r="AZ297" s="966" t="str">
        <f t="shared" si="351"/>
        <v>-</v>
      </c>
      <c r="BA297" s="971" t="str">
        <f t="shared" si="352"/>
        <v>-</v>
      </c>
      <c r="BB297" s="975"/>
      <c r="BC297" s="572">
        <v>43040</v>
      </c>
      <c r="BD297" s="431" t="s">
        <v>3399</v>
      </c>
      <c r="BE297" s="963" t="str">
        <f t="shared" si="353"/>
        <v>-</v>
      </c>
      <c r="BF297" s="984"/>
      <c r="BG297" s="988"/>
      <c r="BH297" s="982"/>
      <c r="BI297" s="991"/>
      <c r="BJ297" s="991"/>
      <c r="BK297" s="993" t="str">
        <f t="shared" si="354"/>
        <v>-</v>
      </c>
      <c r="BL297" s="820">
        <v>42980</v>
      </c>
      <c r="BM297" s="821">
        <v>5</v>
      </c>
      <c r="BN297" s="822">
        <f t="shared" ca="1" si="355"/>
        <v>154</v>
      </c>
      <c r="BO297" s="823">
        <f t="shared" si="356"/>
        <v>46.93333333333333</v>
      </c>
      <c r="BP297" s="824">
        <v>43001</v>
      </c>
      <c r="BQ297" s="821">
        <v>2</v>
      </c>
      <c r="BR297" s="822">
        <f t="shared" ca="1" si="357"/>
        <v>133</v>
      </c>
      <c r="BS297" s="823">
        <f t="shared" si="358"/>
        <v>20.366666666666667</v>
      </c>
      <c r="BT297" s="825" t="str">
        <f t="shared" ca="1" si="359"/>
        <v>-</v>
      </c>
      <c r="BU297" s="826"/>
      <c r="BV297" s="827"/>
      <c r="BW297" s="828" t="str">
        <f t="shared" si="360"/>
        <v>Ж-Е НЕ ВАКЦ.</v>
      </c>
      <c r="BX297" s="829" t="str">
        <f t="shared" si="361"/>
        <v>-</v>
      </c>
      <c r="BY297" s="830" t="str">
        <f t="shared" ca="1" si="362"/>
        <v>-</v>
      </c>
      <c r="BZ297" s="831">
        <v>42887</v>
      </c>
      <c r="CA297" s="832">
        <v>5</v>
      </c>
      <c r="CB297" s="833">
        <f t="shared" ca="1" si="363"/>
        <v>247</v>
      </c>
      <c r="CC297" s="834" t="str">
        <f t="shared" ca="1" si="364"/>
        <v>-</v>
      </c>
      <c r="CD297" s="835">
        <f t="shared" si="365"/>
        <v>42908</v>
      </c>
      <c r="CE297" s="831">
        <v>42908</v>
      </c>
      <c r="CF297" s="832">
        <v>5</v>
      </c>
      <c r="CG297" s="833">
        <f t="shared" ca="1" si="366"/>
        <v>226</v>
      </c>
      <c r="CH297" s="836">
        <f t="shared" si="367"/>
        <v>0</v>
      </c>
      <c r="CI297" s="837" t="str">
        <f t="shared" si="368"/>
        <v>УСПЕШНО</v>
      </c>
      <c r="CJ297" s="838" t="str">
        <f t="shared" ca="1" si="369"/>
        <v>-</v>
      </c>
      <c r="CK297" s="831"/>
      <c r="CL297" s="832"/>
      <c r="CM297" s="833" t="str">
        <f t="shared" si="370"/>
        <v>-</v>
      </c>
      <c r="CN297" s="834" t="str">
        <f t="shared" si="371"/>
        <v>-</v>
      </c>
      <c r="CO297" s="830" t="str">
        <f t="shared" ca="1" si="372"/>
        <v>-</v>
      </c>
      <c r="CP297" s="839"/>
      <c r="CQ297" s="832"/>
      <c r="CR297" s="833" t="str">
        <f t="shared" si="373"/>
        <v>-</v>
      </c>
      <c r="CS297" s="833" t="str">
        <f t="shared" si="374"/>
        <v>-</v>
      </c>
      <c r="CT297" s="834" t="str">
        <f t="shared" si="375"/>
        <v>-</v>
      </c>
      <c r="CU297" s="835" t="str">
        <f t="shared" si="376"/>
        <v>-</v>
      </c>
      <c r="CV297" s="839"/>
      <c r="CW297" s="832"/>
      <c r="CX297" s="833" t="str">
        <f t="shared" si="377"/>
        <v>-</v>
      </c>
      <c r="CY297" s="840" t="str">
        <f t="shared" si="378"/>
        <v>-</v>
      </c>
      <c r="CZ297" s="833" t="str">
        <f t="shared" si="379"/>
        <v>-</v>
      </c>
      <c r="DA297" s="838" t="str">
        <f t="shared" ca="1" si="380"/>
        <v>-</v>
      </c>
      <c r="DB297" s="841"/>
      <c r="DC297" s="832"/>
    </row>
    <row r="298" spans="1:107" s="842" customFormat="1" ht="15.95" customHeight="1" x14ac:dyDescent="0.25">
      <c r="A298" s="790">
        <v>478</v>
      </c>
      <c r="B298" s="791">
        <f t="shared" ca="1" si="328"/>
        <v>43134</v>
      </c>
      <c r="C298" s="792" t="s">
        <v>2404</v>
      </c>
      <c r="D298" s="793" t="s">
        <v>1456</v>
      </c>
      <c r="E298" s="794" t="s">
        <v>1350</v>
      </c>
      <c r="F298" s="854" t="s">
        <v>1234</v>
      </c>
      <c r="G298" s="845">
        <v>13.6</v>
      </c>
      <c r="H298" s="797" t="s">
        <v>603</v>
      </c>
      <c r="I298" s="798">
        <v>41937</v>
      </c>
      <c r="J298" s="799">
        <f t="shared" ca="1" si="329"/>
        <v>3.2794520547945205</v>
      </c>
      <c r="K298" s="799">
        <f t="shared" ca="1" si="330"/>
        <v>39.9</v>
      </c>
      <c r="L298" s="800">
        <f t="shared" ca="1" si="331"/>
        <v>1197</v>
      </c>
      <c r="M298" s="801">
        <v>42623</v>
      </c>
      <c r="N298" s="802">
        <v>43002</v>
      </c>
      <c r="O298" s="803">
        <f t="shared" ca="1" si="332"/>
        <v>132</v>
      </c>
      <c r="P298" s="804">
        <v>2</v>
      </c>
      <c r="Q298" s="805"/>
      <c r="R298" s="806"/>
      <c r="S298" s="807"/>
      <c r="T298" s="798"/>
      <c r="U298" s="798" t="str">
        <f t="shared" si="333"/>
        <v>-</v>
      </c>
      <c r="V298" s="804" t="str">
        <f t="shared" ca="1" si="334"/>
        <v>-</v>
      </c>
      <c r="W298" s="808">
        <v>0</v>
      </c>
      <c r="X298" s="794" t="str">
        <f t="shared" si="335"/>
        <v>-</v>
      </c>
      <c r="Y298" s="794">
        <v>0</v>
      </c>
      <c r="Z298" s="809" t="str">
        <f t="shared" ca="1" si="336"/>
        <v>-----</v>
      </c>
      <c r="AA298" s="810">
        <f t="shared" ca="1" si="337"/>
        <v>43134</v>
      </c>
      <c r="AB298" s="804"/>
      <c r="AC298" s="811" t="str">
        <f t="shared" ca="1" si="338"/>
        <v>-----</v>
      </c>
      <c r="AD298" s="798"/>
      <c r="AE298" s="794" t="str">
        <f t="shared" ca="1" si="339"/>
        <v>яловая</v>
      </c>
      <c r="AF298" s="798" t="str">
        <f t="shared" si="340"/>
        <v>-</v>
      </c>
      <c r="AG298" s="812" t="str">
        <f t="shared" si="341"/>
        <v>---------</v>
      </c>
      <c r="AH298" s="807"/>
      <c r="AI298" s="807" t="str">
        <f t="shared" si="342"/>
        <v>-</v>
      </c>
      <c r="AJ298" s="807" t="str">
        <f t="shared" si="343"/>
        <v>-</v>
      </c>
      <c r="AK298" s="813"/>
      <c r="AL298" s="807" t="str">
        <f t="shared" si="344"/>
        <v>-</v>
      </c>
      <c r="AM298" s="807" t="str">
        <f t="shared" si="345"/>
        <v>-</v>
      </c>
      <c r="AN298" s="814" t="str">
        <f t="shared" ca="1" si="346"/>
        <v>-</v>
      </c>
      <c r="AO298" s="815">
        <v>1</v>
      </c>
      <c r="AP298" s="816" t="str">
        <f t="shared" ca="1" si="347"/>
        <v>-</v>
      </c>
      <c r="AQ298" s="817"/>
      <c r="AR298" s="794" t="str">
        <f t="shared" si="348"/>
        <v>-</v>
      </c>
      <c r="AS298" s="818"/>
      <c r="AT298" s="794" t="str">
        <f t="shared" si="349"/>
        <v>-</v>
      </c>
      <c r="AU298" s="819">
        <v>1</v>
      </c>
      <c r="AV298" s="820"/>
      <c r="AW298" s="821"/>
      <c r="AX298" s="821"/>
      <c r="AY298" s="969" t="str">
        <f t="shared" si="350"/>
        <v>-</v>
      </c>
      <c r="AZ298" s="966" t="str">
        <f t="shared" si="351"/>
        <v>-</v>
      </c>
      <c r="BA298" s="971" t="str">
        <f t="shared" si="352"/>
        <v>-</v>
      </c>
      <c r="BB298" s="975"/>
      <c r="BC298" s="572">
        <v>43040</v>
      </c>
      <c r="BD298" s="431" t="s">
        <v>3399</v>
      </c>
      <c r="BE298" s="963" t="str">
        <f t="shared" si="353"/>
        <v>-</v>
      </c>
      <c r="BF298" s="984"/>
      <c r="BG298" s="988"/>
      <c r="BH298" s="982"/>
      <c r="BI298" s="991"/>
      <c r="BJ298" s="991"/>
      <c r="BK298" s="993" t="str">
        <f t="shared" si="354"/>
        <v>-</v>
      </c>
      <c r="BL298" s="820">
        <v>42978</v>
      </c>
      <c r="BM298" s="821">
        <v>5</v>
      </c>
      <c r="BN298" s="822">
        <f t="shared" ca="1" si="355"/>
        <v>156</v>
      </c>
      <c r="BO298" s="823">
        <f t="shared" si="356"/>
        <v>34.700000000000003</v>
      </c>
      <c r="BP298" s="824">
        <v>43001</v>
      </c>
      <c r="BQ298" s="821">
        <v>2</v>
      </c>
      <c r="BR298" s="822">
        <f t="shared" ca="1" si="357"/>
        <v>133</v>
      </c>
      <c r="BS298" s="823">
        <f t="shared" si="358"/>
        <v>12.6</v>
      </c>
      <c r="BT298" s="825" t="str">
        <f t="shared" ca="1" si="359"/>
        <v>-</v>
      </c>
      <c r="BU298" s="826"/>
      <c r="BV298" s="827"/>
      <c r="BW298" s="828" t="str">
        <f t="shared" si="360"/>
        <v>Ж-Е НЕ ВАКЦ.</v>
      </c>
      <c r="BX298" s="829" t="str">
        <f t="shared" si="361"/>
        <v>-</v>
      </c>
      <c r="BY298" s="830" t="str">
        <f t="shared" ca="1" si="362"/>
        <v>-</v>
      </c>
      <c r="BZ298" s="831">
        <v>42887</v>
      </c>
      <c r="CA298" s="832">
        <v>5</v>
      </c>
      <c r="CB298" s="833">
        <f t="shared" ca="1" si="363"/>
        <v>247</v>
      </c>
      <c r="CC298" s="834" t="str">
        <f t="shared" ca="1" si="364"/>
        <v>-</v>
      </c>
      <c r="CD298" s="835">
        <f t="shared" si="365"/>
        <v>42908</v>
      </c>
      <c r="CE298" s="831">
        <v>42908</v>
      </c>
      <c r="CF298" s="832">
        <v>5</v>
      </c>
      <c r="CG298" s="833">
        <f t="shared" ca="1" si="366"/>
        <v>226</v>
      </c>
      <c r="CH298" s="836">
        <f t="shared" si="367"/>
        <v>0</v>
      </c>
      <c r="CI298" s="837" t="str">
        <f t="shared" si="368"/>
        <v>УСПЕШНО</v>
      </c>
      <c r="CJ298" s="838" t="str">
        <f t="shared" ca="1" si="369"/>
        <v>-</v>
      </c>
      <c r="CK298" s="831"/>
      <c r="CL298" s="832"/>
      <c r="CM298" s="833" t="str">
        <f t="shared" si="370"/>
        <v>-</v>
      </c>
      <c r="CN298" s="834" t="str">
        <f t="shared" si="371"/>
        <v>-</v>
      </c>
      <c r="CO298" s="830" t="str">
        <f t="shared" ca="1" si="372"/>
        <v>-</v>
      </c>
      <c r="CP298" s="831">
        <v>42941</v>
      </c>
      <c r="CQ298" s="832">
        <v>2</v>
      </c>
      <c r="CR298" s="833">
        <f t="shared" si="373"/>
        <v>42941</v>
      </c>
      <c r="CS298" s="833">
        <f t="shared" ca="1" si="374"/>
        <v>193</v>
      </c>
      <c r="CT298" s="834" t="str">
        <f t="shared" ca="1" si="375"/>
        <v>-</v>
      </c>
      <c r="CU298" s="835">
        <f t="shared" si="376"/>
        <v>42962</v>
      </c>
      <c r="CV298" s="831">
        <v>42962</v>
      </c>
      <c r="CW298" s="832">
        <v>2</v>
      </c>
      <c r="CX298" s="833">
        <f t="shared" si="377"/>
        <v>0</v>
      </c>
      <c r="CY298" s="840" t="str">
        <f t="shared" si="378"/>
        <v>УСПЕШНО</v>
      </c>
      <c r="CZ298" s="833">
        <f t="shared" si="379"/>
        <v>42962</v>
      </c>
      <c r="DA298" s="838" t="str">
        <f t="shared" ca="1" si="380"/>
        <v>-</v>
      </c>
      <c r="DB298" s="841"/>
      <c r="DC298" s="832"/>
    </row>
    <row r="299" spans="1:107" s="842" customFormat="1" ht="15.95" customHeight="1" x14ac:dyDescent="0.25">
      <c r="A299" s="790">
        <v>461</v>
      </c>
      <c r="B299" s="791">
        <f t="shared" ca="1" si="328"/>
        <v>43134</v>
      </c>
      <c r="C299" s="792" t="s">
        <v>615</v>
      </c>
      <c r="D299" s="793" t="s">
        <v>908</v>
      </c>
      <c r="E299" s="794" t="s">
        <v>592</v>
      </c>
      <c r="F299" s="795" t="s">
        <v>593</v>
      </c>
      <c r="G299" s="845">
        <v>3</v>
      </c>
      <c r="H299" s="797" t="s">
        <v>78</v>
      </c>
      <c r="I299" s="798">
        <v>41407</v>
      </c>
      <c r="J299" s="799">
        <f t="shared" ca="1" si="329"/>
        <v>4.7315068493150685</v>
      </c>
      <c r="K299" s="799">
        <f t="shared" ca="1" si="330"/>
        <v>57.56666666666667</v>
      </c>
      <c r="L299" s="800">
        <f t="shared" ca="1" si="331"/>
        <v>1727</v>
      </c>
      <c r="M299" s="801">
        <v>42175</v>
      </c>
      <c r="N299" s="802">
        <v>42785</v>
      </c>
      <c r="O299" s="803">
        <f t="shared" ca="1" si="332"/>
        <v>349</v>
      </c>
      <c r="P299" s="804">
        <v>2</v>
      </c>
      <c r="Q299" s="805" t="s">
        <v>1451</v>
      </c>
      <c r="R299" s="806" t="s">
        <v>2663</v>
      </c>
      <c r="S299" s="807">
        <v>42845</v>
      </c>
      <c r="T299" s="798">
        <v>42845</v>
      </c>
      <c r="U299" s="798" t="str">
        <f t="shared" si="333"/>
        <v>-</v>
      </c>
      <c r="V299" s="804" t="str">
        <f t="shared" ca="1" si="334"/>
        <v>-</v>
      </c>
      <c r="W299" s="808">
        <v>1</v>
      </c>
      <c r="X299" s="794">
        <f t="shared" si="335"/>
        <v>60</v>
      </c>
      <c r="Y299" s="794">
        <v>1</v>
      </c>
      <c r="Z299" s="809" t="str">
        <f t="shared" ca="1" si="336"/>
        <v>-----</v>
      </c>
      <c r="AA299" s="810" t="str">
        <f t="shared" ca="1" si="337"/>
        <v>-----</v>
      </c>
      <c r="AB299" s="804">
        <v>1</v>
      </c>
      <c r="AC299" s="811" t="str">
        <f t="shared" ca="1" si="338"/>
        <v>-----</v>
      </c>
      <c r="AD299" s="798">
        <v>42920</v>
      </c>
      <c r="AE299" s="794" t="str">
        <f t="shared" ca="1" si="339"/>
        <v>-</v>
      </c>
      <c r="AF299" s="798" t="str">
        <f t="shared" si="340"/>
        <v>-</v>
      </c>
      <c r="AG299" s="812" t="str">
        <f t="shared" si="341"/>
        <v>---------</v>
      </c>
      <c r="AH299" s="807">
        <v>42881</v>
      </c>
      <c r="AI299" s="807">
        <f t="shared" si="342"/>
        <v>43035</v>
      </c>
      <c r="AJ299" s="807">
        <f t="shared" si="343"/>
        <v>43065</v>
      </c>
      <c r="AK299" s="813"/>
      <c r="AL299" s="807">
        <f t="shared" si="344"/>
        <v>43104</v>
      </c>
      <c r="AM299" s="807">
        <f t="shared" si="345"/>
        <v>43125</v>
      </c>
      <c r="AN299" s="814">
        <f t="shared" ca="1" si="346"/>
        <v>9</v>
      </c>
      <c r="AO299" s="815">
        <v>1</v>
      </c>
      <c r="AP299" s="816" t="str">
        <f t="shared" ca="1" si="347"/>
        <v>-</v>
      </c>
      <c r="AQ299" s="817"/>
      <c r="AR299" s="794" t="str">
        <f t="shared" si="348"/>
        <v>-</v>
      </c>
      <c r="AS299" s="818"/>
      <c r="AT299" s="794" t="str">
        <f t="shared" si="349"/>
        <v>-</v>
      </c>
      <c r="AU299" s="819"/>
      <c r="AV299" s="820"/>
      <c r="AW299" s="821"/>
      <c r="AX299" s="821"/>
      <c r="AY299" s="969" t="str">
        <f t="shared" si="350"/>
        <v>-</v>
      </c>
      <c r="AZ299" s="966" t="str">
        <f t="shared" si="351"/>
        <v>-</v>
      </c>
      <c r="BA299" s="971" t="str">
        <f t="shared" si="352"/>
        <v>-</v>
      </c>
      <c r="BB299" s="975"/>
      <c r="BC299" s="572">
        <v>43040</v>
      </c>
      <c r="BD299" s="431" t="s">
        <v>3399</v>
      </c>
      <c r="BE299" s="963" t="str">
        <f t="shared" si="353"/>
        <v>-</v>
      </c>
      <c r="BF299" s="984"/>
      <c r="BG299" s="988"/>
      <c r="BH299" s="982"/>
      <c r="BI299" s="991"/>
      <c r="BJ299" s="991"/>
      <c r="BK299" s="993" t="str">
        <f t="shared" si="354"/>
        <v>-</v>
      </c>
      <c r="BL299" s="820">
        <v>42981</v>
      </c>
      <c r="BM299" s="821">
        <v>5</v>
      </c>
      <c r="BN299" s="822">
        <f t="shared" ca="1" si="355"/>
        <v>153</v>
      </c>
      <c r="BO299" s="823">
        <f t="shared" si="356"/>
        <v>52.466666666666669</v>
      </c>
      <c r="BP299" s="824"/>
      <c r="BQ299" s="821"/>
      <c r="BR299" s="822" t="str">
        <f t="shared" si="357"/>
        <v>-</v>
      </c>
      <c r="BS299" s="823" t="str">
        <f t="shared" si="358"/>
        <v>-</v>
      </c>
      <c r="BT299" s="825" t="str">
        <f t="shared" ca="1" si="359"/>
        <v>-</v>
      </c>
      <c r="BU299" s="826"/>
      <c r="BV299" s="827"/>
      <c r="BW299" s="828" t="str">
        <f t="shared" si="360"/>
        <v>Ж-Е НЕ ВАКЦ.</v>
      </c>
      <c r="BX299" s="829" t="str">
        <f t="shared" si="361"/>
        <v>-</v>
      </c>
      <c r="BY299" s="830" t="str">
        <f t="shared" ca="1" si="362"/>
        <v>-</v>
      </c>
      <c r="BZ299" s="831">
        <v>42887</v>
      </c>
      <c r="CA299" s="832">
        <v>5</v>
      </c>
      <c r="CB299" s="833">
        <f t="shared" ca="1" si="363"/>
        <v>247</v>
      </c>
      <c r="CC299" s="834" t="str">
        <f t="shared" ca="1" si="364"/>
        <v>-</v>
      </c>
      <c r="CD299" s="835">
        <f t="shared" si="365"/>
        <v>42908</v>
      </c>
      <c r="CE299" s="831">
        <v>42908</v>
      </c>
      <c r="CF299" s="832">
        <v>5</v>
      </c>
      <c r="CG299" s="833">
        <f t="shared" ca="1" si="366"/>
        <v>226</v>
      </c>
      <c r="CH299" s="836">
        <f t="shared" si="367"/>
        <v>0</v>
      </c>
      <c r="CI299" s="837" t="str">
        <f t="shared" si="368"/>
        <v>УСПЕШНО</v>
      </c>
      <c r="CJ299" s="838" t="str">
        <f t="shared" ca="1" si="369"/>
        <v>-</v>
      </c>
      <c r="CK299" s="831"/>
      <c r="CL299" s="832"/>
      <c r="CM299" s="833" t="str">
        <f t="shared" si="370"/>
        <v>-</v>
      </c>
      <c r="CN299" s="834" t="str">
        <f t="shared" si="371"/>
        <v>-</v>
      </c>
      <c r="CO299" s="830" t="str">
        <f t="shared" ca="1" si="372"/>
        <v>ТРЕБУЕТСЯ ВАКЦИНАЦИЯ</v>
      </c>
      <c r="CP299" s="839"/>
      <c r="CQ299" s="832"/>
      <c r="CR299" s="833" t="str">
        <f t="shared" si="373"/>
        <v>-</v>
      </c>
      <c r="CS299" s="833" t="str">
        <f t="shared" si="374"/>
        <v>-</v>
      </c>
      <c r="CT299" s="834" t="str">
        <f t="shared" si="375"/>
        <v>-</v>
      </c>
      <c r="CU299" s="835" t="str">
        <f t="shared" si="376"/>
        <v>-</v>
      </c>
      <c r="CV299" s="839"/>
      <c r="CW299" s="832"/>
      <c r="CX299" s="833" t="str">
        <f t="shared" si="377"/>
        <v>-</v>
      </c>
      <c r="CY299" s="840" t="str">
        <f t="shared" si="378"/>
        <v>-</v>
      </c>
      <c r="CZ299" s="833" t="str">
        <f t="shared" si="379"/>
        <v>-</v>
      </c>
      <c r="DA299" s="838" t="str">
        <f t="shared" ca="1" si="380"/>
        <v>-</v>
      </c>
      <c r="DB299" s="841"/>
      <c r="DC299" s="832"/>
    </row>
    <row r="300" spans="1:107" s="842" customFormat="1" ht="15.95" customHeight="1" x14ac:dyDescent="0.25">
      <c r="A300" s="790">
        <v>189</v>
      </c>
      <c r="B300" s="791">
        <f t="shared" ref="B300:B305" ca="1" si="381">TODAY()</f>
        <v>43134</v>
      </c>
      <c r="C300" s="792" t="s">
        <v>613</v>
      </c>
      <c r="D300" s="793" t="s">
        <v>3201</v>
      </c>
      <c r="E300" s="794" t="s">
        <v>928</v>
      </c>
      <c r="F300" s="854" t="s">
        <v>929</v>
      </c>
      <c r="G300" s="796">
        <f>SUMIFS(МОЛОКО!L8:L6958,МОЛОКО!F8:F6958,"1851",МОЛОКО!L8:L6958,"&gt;0")</f>
        <v>7.8000000000000007</v>
      </c>
      <c r="H300" s="797" t="s">
        <v>603</v>
      </c>
      <c r="I300" s="798">
        <v>41395</v>
      </c>
      <c r="J300" s="799">
        <f t="shared" ref="J300:J305" ca="1" si="382">(B300-I300)/365</f>
        <v>4.7643835616438359</v>
      </c>
      <c r="K300" s="799">
        <f t="shared" ref="K300:K305" ca="1" si="383">(B300-I300)/30</f>
        <v>57.966666666666669</v>
      </c>
      <c r="L300" s="800">
        <f t="shared" ref="L300:L305" ca="1" si="384">B300-I300</f>
        <v>1739</v>
      </c>
      <c r="M300" s="846">
        <v>42434</v>
      </c>
      <c r="N300" s="802">
        <v>42434</v>
      </c>
      <c r="O300" s="803">
        <f t="shared" ref="O300:O305" ca="1" si="385">IF(AND(B300&gt;0,N300&gt;0),B300-N300,"-")</f>
        <v>700</v>
      </c>
      <c r="P300" s="804">
        <v>1</v>
      </c>
      <c r="Q300" s="805" t="s">
        <v>1451</v>
      </c>
      <c r="R300" s="806" t="s">
        <v>1875</v>
      </c>
      <c r="S300" s="807">
        <v>42491</v>
      </c>
      <c r="T300" s="798">
        <v>42896</v>
      </c>
      <c r="U300" s="798" t="str">
        <f t="shared" ref="U300:U305" si="386">IF(AND(Y300&gt;1,T300&gt;0),T300+18,"-")</f>
        <v>-</v>
      </c>
      <c r="V300" s="804" t="str">
        <f t="shared" ref="V300:V305" ca="1" si="387">IF(AND(U300&gt;0,B300&gt;0,Y300&gt;1),B300-U300,"-")</f>
        <v>-</v>
      </c>
      <c r="W300" s="808">
        <v>5</v>
      </c>
      <c r="X300" s="794">
        <f t="shared" ref="X300:X305" si="388">IF(AND(N300&gt;0,T300&gt;0),T300-N300,"-")</f>
        <v>462</v>
      </c>
      <c r="Y300" s="794">
        <v>0</v>
      </c>
      <c r="Z300" s="809" t="str">
        <f t="shared" ref="Z300:Z305" ca="1" si="389">IF(AND(Y300=1,AA300&gt;71,OR(ISBLANK(AB300),AB300=2)),"ПОДЛЕЖИТ ПЕРЕПРОВЕРКЕ","-----")</f>
        <v>-----</v>
      </c>
      <c r="AA300" s="810">
        <f t="shared" ref="AA300:AA305" ca="1" si="390">IF(AND(O300&gt;-1,W300&gt;0,Y300=1,AB300=1),"-----",B300-T300)</f>
        <v>238</v>
      </c>
      <c r="AB300" s="804"/>
      <c r="AC300" s="811" t="str">
        <f t="shared" ref="AC300:AC305" ca="1" si="391">IF(AND(AB300&lt;1,Z300="ПОДЛЕЖИТ ПЕРЕПРОВЕРКЕ",Y300=1),T300+72,"-----")</f>
        <v>-----</v>
      </c>
      <c r="AD300" s="798"/>
      <c r="AE300" s="794" t="str">
        <f t="shared" ref="AE300:AE305" ca="1" si="392">IF(AND(O300&gt;120,Y300=0,N300&gt;0),"яловая","-")</f>
        <v>яловая</v>
      </c>
      <c r="AF300" s="798" t="str">
        <f t="shared" ref="AF300:AF305" si="393">IF(AND(T300&gt;0,OR(Y300=3,Y300=2)),T300+35,"-")</f>
        <v>-</v>
      </c>
      <c r="AG300" s="812" t="str">
        <f t="shared" ref="AG300:AG305" si="394">IF(AND(T300&gt;0,W300&gt;0,Q300&gt;0,OR(Y300=3,Y300=2)),B300-AF300,"---------")</f>
        <v>---------</v>
      </c>
      <c r="AH300" s="807">
        <v>42937</v>
      </c>
      <c r="AI300" s="807" t="str">
        <f t="shared" ref="AI300:AI305" si="395">IF(AND($T300&gt;0,$N300&gt;0,$Y300=1),$T300+280-90,"-")</f>
        <v>-</v>
      </c>
      <c r="AJ300" s="807" t="str">
        <f t="shared" ref="AJ300:AJ305" si="396">IF(AND(T300&gt;0,Y300=1,N300&gt;0),T300+280-60,"-")</f>
        <v>-</v>
      </c>
      <c r="AK300" s="813"/>
      <c r="AL300" s="807" t="str">
        <f t="shared" ref="AL300:AL305" si="397">IF(AND($T300&gt;0,$Y300=1),$T300+280-21,"-")</f>
        <v>-</v>
      </c>
      <c r="AM300" s="807" t="str">
        <f t="shared" ref="AM300:AM305" si="398">IF(AND(T300&gt;0,Y300=1),T300+280,"-")</f>
        <v>-</v>
      </c>
      <c r="AN300" s="814" t="str">
        <f t="shared" ref="AN300:AN305" ca="1" si="399">IF(AND(B300&gt;0,AM300&gt;0,AH300&gt;0,Y300=1),B300-AM300,"-")</f>
        <v>-</v>
      </c>
      <c r="AO300" s="815">
        <v>1</v>
      </c>
      <c r="AP300" s="816" t="str">
        <f t="shared" ref="AP300:AP305" ca="1" si="400">IF(AND(AE300="яловая",O300&gt;300),"БРАК","-")</f>
        <v>БРАК</v>
      </c>
      <c r="AQ300" s="817"/>
      <c r="AR300" s="794" t="str">
        <f t="shared" ref="AR300:AR305" si="401">IF(AND(Y300=1,P300=0),"НЕТЕЛЬ","-")</f>
        <v>-</v>
      </c>
      <c r="AS300" s="818"/>
      <c r="AT300" s="794" t="str">
        <f t="shared" ref="AT300:AT305" si="402">IF(AND(N300&gt;0,T300&gt;0,W300&gt;0,Y300=1,AH300&gt;0,AK300&gt;0),"DRY COW","-")</f>
        <v>-</v>
      </c>
      <c r="AU300" s="819">
        <v>1</v>
      </c>
      <c r="AV300" s="820"/>
      <c r="AW300" s="821"/>
      <c r="AX300" s="821"/>
      <c r="AY300" s="969" t="str">
        <f t="shared" si="350"/>
        <v>-</v>
      </c>
      <c r="AZ300" s="966" t="str">
        <f t="shared" si="351"/>
        <v>-</v>
      </c>
      <c r="BA300" s="971" t="str">
        <f t="shared" si="352"/>
        <v>-</v>
      </c>
      <c r="BB300" s="975"/>
      <c r="BC300" s="572">
        <v>43046</v>
      </c>
      <c r="BD300" s="821"/>
      <c r="BE300" s="963" t="str">
        <f t="shared" si="353"/>
        <v>-</v>
      </c>
      <c r="BF300" s="984"/>
      <c r="BG300" s="988"/>
      <c r="BH300" s="982"/>
      <c r="BI300" s="991"/>
      <c r="BJ300" s="991"/>
      <c r="BK300" s="993" t="str">
        <f t="shared" si="354"/>
        <v>-</v>
      </c>
      <c r="BL300" s="820">
        <v>42981</v>
      </c>
      <c r="BM300" s="821">
        <v>5</v>
      </c>
      <c r="BN300" s="822">
        <f t="shared" ca="1" si="355"/>
        <v>153</v>
      </c>
      <c r="BO300" s="823">
        <f t="shared" si="356"/>
        <v>52.866666666666667</v>
      </c>
      <c r="BP300" s="824"/>
      <c r="BQ300" s="821"/>
      <c r="BR300" s="822" t="str">
        <f t="shared" si="357"/>
        <v>-</v>
      </c>
      <c r="BS300" s="823" t="str">
        <f t="shared" si="358"/>
        <v>-</v>
      </c>
      <c r="BT300" s="825" t="str">
        <f t="shared" ca="1" si="359"/>
        <v>-</v>
      </c>
      <c r="BU300" s="826"/>
      <c r="BV300" s="827"/>
      <c r="BW300" s="828" t="str">
        <f t="shared" si="360"/>
        <v>Ж-Е НЕ ВАКЦ.</v>
      </c>
      <c r="BX300" s="829" t="str">
        <f t="shared" si="361"/>
        <v>-</v>
      </c>
      <c r="BY300" s="830" t="str">
        <f t="shared" ca="1" si="362"/>
        <v>-</v>
      </c>
      <c r="BZ300" s="831">
        <v>42887</v>
      </c>
      <c r="CA300" s="832">
        <v>5</v>
      </c>
      <c r="CB300" s="833">
        <f t="shared" ca="1" si="363"/>
        <v>247</v>
      </c>
      <c r="CC300" s="834" t="str">
        <f t="shared" ca="1" si="364"/>
        <v>-</v>
      </c>
      <c r="CD300" s="835">
        <f t="shared" si="365"/>
        <v>42908</v>
      </c>
      <c r="CE300" s="831">
        <v>42908</v>
      </c>
      <c r="CF300" s="832">
        <v>5</v>
      </c>
      <c r="CG300" s="833">
        <f t="shared" ca="1" si="366"/>
        <v>226</v>
      </c>
      <c r="CH300" s="836">
        <f t="shared" si="367"/>
        <v>0</v>
      </c>
      <c r="CI300" s="837" t="str">
        <f t="shared" si="368"/>
        <v>УСПЕШНО</v>
      </c>
      <c r="CJ300" s="838" t="str">
        <f t="shared" ca="1" si="369"/>
        <v>-</v>
      </c>
      <c r="CK300" s="831"/>
      <c r="CL300" s="832"/>
      <c r="CM300" s="833" t="str">
        <f t="shared" si="370"/>
        <v>-</v>
      </c>
      <c r="CN300" s="834" t="str">
        <f t="shared" si="371"/>
        <v>-</v>
      </c>
      <c r="CO300" s="830" t="str">
        <f t="shared" ca="1" si="372"/>
        <v>-</v>
      </c>
      <c r="CP300" s="839"/>
      <c r="CQ300" s="832"/>
      <c r="CR300" s="833" t="str">
        <f t="shared" si="373"/>
        <v>-</v>
      </c>
      <c r="CS300" s="833" t="str">
        <f t="shared" si="374"/>
        <v>-</v>
      </c>
      <c r="CT300" s="834" t="str">
        <f t="shared" si="375"/>
        <v>-</v>
      </c>
      <c r="CU300" s="835" t="str">
        <f t="shared" si="376"/>
        <v>-</v>
      </c>
      <c r="CV300" s="839"/>
      <c r="CW300" s="832"/>
      <c r="CX300" s="833" t="str">
        <f t="shared" si="377"/>
        <v>-</v>
      </c>
      <c r="CY300" s="840" t="str">
        <f t="shared" si="378"/>
        <v>-</v>
      </c>
      <c r="CZ300" s="833" t="str">
        <f t="shared" si="379"/>
        <v>-</v>
      </c>
      <c r="DA300" s="838" t="str">
        <f t="shared" ca="1" si="380"/>
        <v>-</v>
      </c>
      <c r="DB300" s="841"/>
      <c r="DC300" s="832"/>
    </row>
    <row r="301" spans="1:107" s="842" customFormat="1" ht="15.95" customHeight="1" x14ac:dyDescent="0.25">
      <c r="A301" s="790">
        <v>385</v>
      </c>
      <c r="B301" s="791">
        <f t="shared" ca="1" si="381"/>
        <v>43134</v>
      </c>
      <c r="C301" s="792" t="s">
        <v>615</v>
      </c>
      <c r="D301" s="793" t="s">
        <v>1633</v>
      </c>
      <c r="E301" s="794" t="s">
        <v>1504</v>
      </c>
      <c r="F301" s="854" t="s">
        <v>703</v>
      </c>
      <c r="G301" s="796">
        <f>SUMIFS(МОЛОКО!L8:L6958,МОЛОКО!F8:F6958,"1931",МОЛОКО!L8:L6958,"&gt;0")</f>
        <v>9</v>
      </c>
      <c r="H301" s="797" t="s">
        <v>603</v>
      </c>
      <c r="I301" s="798">
        <v>41504</v>
      </c>
      <c r="J301" s="799">
        <f t="shared" ca="1" si="382"/>
        <v>4.4657534246575343</v>
      </c>
      <c r="K301" s="799">
        <f t="shared" ca="1" si="383"/>
        <v>54.333333333333336</v>
      </c>
      <c r="L301" s="800">
        <f t="shared" ca="1" si="384"/>
        <v>1630</v>
      </c>
      <c r="M301" s="801">
        <v>42366</v>
      </c>
      <c r="N301" s="802">
        <v>42932</v>
      </c>
      <c r="O301" s="803">
        <f t="shared" ca="1" si="385"/>
        <v>202</v>
      </c>
      <c r="P301" s="804">
        <v>2</v>
      </c>
      <c r="Q301" s="68" t="s">
        <v>1451</v>
      </c>
      <c r="R301" s="118" t="s">
        <v>2962</v>
      </c>
      <c r="S301" s="807">
        <v>43028</v>
      </c>
      <c r="T301" s="798">
        <v>43028</v>
      </c>
      <c r="U301" s="798">
        <f t="shared" si="386"/>
        <v>43046</v>
      </c>
      <c r="V301" s="804">
        <f t="shared" ca="1" si="387"/>
        <v>88</v>
      </c>
      <c r="W301" s="808">
        <v>1</v>
      </c>
      <c r="X301" s="794">
        <f t="shared" si="388"/>
        <v>96</v>
      </c>
      <c r="Y301" s="794">
        <v>3</v>
      </c>
      <c r="Z301" s="809" t="str">
        <f t="shared" ca="1" si="389"/>
        <v>-----</v>
      </c>
      <c r="AA301" s="810">
        <f t="shared" ca="1" si="390"/>
        <v>106</v>
      </c>
      <c r="AB301" s="804"/>
      <c r="AC301" s="811" t="str">
        <f t="shared" ca="1" si="391"/>
        <v>-----</v>
      </c>
      <c r="AD301" s="798"/>
      <c r="AE301" s="794" t="str">
        <f t="shared" ca="1" si="392"/>
        <v>-</v>
      </c>
      <c r="AF301" s="798">
        <f t="shared" si="393"/>
        <v>43063</v>
      </c>
      <c r="AG301" s="812">
        <f t="shared" ca="1" si="394"/>
        <v>71</v>
      </c>
      <c r="AH301" s="807"/>
      <c r="AI301" s="807" t="str">
        <f t="shared" si="395"/>
        <v>-</v>
      </c>
      <c r="AJ301" s="807" t="str">
        <f t="shared" si="396"/>
        <v>-</v>
      </c>
      <c r="AK301" s="813"/>
      <c r="AL301" s="807" t="str">
        <f t="shared" si="397"/>
        <v>-</v>
      </c>
      <c r="AM301" s="807" t="str">
        <f t="shared" si="398"/>
        <v>-</v>
      </c>
      <c r="AN301" s="814" t="str">
        <f t="shared" ca="1" si="399"/>
        <v>-</v>
      </c>
      <c r="AO301" s="815">
        <v>1</v>
      </c>
      <c r="AP301" s="816" t="str">
        <f t="shared" ca="1" si="400"/>
        <v>-</v>
      </c>
      <c r="AQ301" s="817"/>
      <c r="AR301" s="794" t="str">
        <f t="shared" si="401"/>
        <v>-</v>
      </c>
      <c r="AS301" s="818"/>
      <c r="AT301" s="794" t="str">
        <f t="shared" si="402"/>
        <v>-</v>
      </c>
      <c r="AU301" s="819">
        <v>1</v>
      </c>
      <c r="AV301" s="820"/>
      <c r="AW301" s="821"/>
      <c r="AX301" s="821"/>
      <c r="AY301" s="969" t="str">
        <f t="shared" si="350"/>
        <v>-</v>
      </c>
      <c r="AZ301" s="966" t="str">
        <f t="shared" si="351"/>
        <v>-</v>
      </c>
      <c r="BA301" s="971" t="str">
        <f t="shared" si="352"/>
        <v>-</v>
      </c>
      <c r="BB301" s="975"/>
      <c r="BC301" s="572">
        <v>43046</v>
      </c>
      <c r="BD301" s="821"/>
      <c r="BE301" s="963" t="str">
        <f t="shared" si="353"/>
        <v>-</v>
      </c>
      <c r="BF301" s="984"/>
      <c r="BG301" s="988"/>
      <c r="BH301" s="982"/>
      <c r="BI301" s="991"/>
      <c r="BJ301" s="991"/>
      <c r="BK301" s="993" t="str">
        <f t="shared" si="354"/>
        <v>-</v>
      </c>
      <c r="BL301" s="820">
        <v>42979</v>
      </c>
      <c r="BM301" s="821">
        <v>5</v>
      </c>
      <c r="BN301" s="822">
        <f t="shared" ca="1" si="355"/>
        <v>155</v>
      </c>
      <c r="BO301" s="823">
        <f t="shared" si="356"/>
        <v>49.166666666666664</v>
      </c>
      <c r="BP301" s="824"/>
      <c r="BQ301" s="821"/>
      <c r="BR301" s="822" t="str">
        <f t="shared" si="357"/>
        <v>-</v>
      </c>
      <c r="BS301" s="823" t="str">
        <f t="shared" si="358"/>
        <v>-</v>
      </c>
      <c r="BT301" s="825" t="str">
        <f t="shared" ca="1" si="359"/>
        <v>-</v>
      </c>
      <c r="BU301" s="826"/>
      <c r="BV301" s="827"/>
      <c r="BW301" s="828" t="str">
        <f t="shared" si="360"/>
        <v>Ж-Е НЕ ВАКЦ.</v>
      </c>
      <c r="BX301" s="829" t="str">
        <f t="shared" si="361"/>
        <v>-</v>
      </c>
      <c r="BY301" s="830" t="str">
        <f t="shared" ca="1" si="362"/>
        <v>-</v>
      </c>
      <c r="BZ301" s="831">
        <v>42964</v>
      </c>
      <c r="CA301" s="832">
        <v>5</v>
      </c>
      <c r="CB301" s="833">
        <f t="shared" ca="1" si="363"/>
        <v>170</v>
      </c>
      <c r="CC301" s="834" t="str">
        <f t="shared" ca="1" si="364"/>
        <v>-</v>
      </c>
      <c r="CD301" s="835">
        <f t="shared" si="365"/>
        <v>42985</v>
      </c>
      <c r="CE301" s="831">
        <v>42985</v>
      </c>
      <c r="CF301" s="832">
        <v>5</v>
      </c>
      <c r="CG301" s="833">
        <f t="shared" ca="1" si="366"/>
        <v>149</v>
      </c>
      <c r="CH301" s="836">
        <f t="shared" si="367"/>
        <v>0</v>
      </c>
      <c r="CI301" s="837" t="str">
        <f t="shared" si="368"/>
        <v>УСПЕШНО</v>
      </c>
      <c r="CJ301" s="838" t="str">
        <f t="shared" ca="1" si="369"/>
        <v>-</v>
      </c>
      <c r="CK301" s="831"/>
      <c r="CL301" s="832"/>
      <c r="CM301" s="833" t="str">
        <f t="shared" si="370"/>
        <v>-</v>
      </c>
      <c r="CN301" s="834" t="str">
        <f t="shared" si="371"/>
        <v>-</v>
      </c>
      <c r="CO301" s="830" t="str">
        <f t="shared" ca="1" si="372"/>
        <v>-</v>
      </c>
      <c r="CP301" s="831">
        <v>42882</v>
      </c>
      <c r="CQ301" s="832">
        <v>2</v>
      </c>
      <c r="CR301" s="833">
        <f t="shared" si="373"/>
        <v>-146</v>
      </c>
      <c r="CS301" s="833">
        <f t="shared" ca="1" si="374"/>
        <v>252</v>
      </c>
      <c r="CT301" s="834" t="str">
        <f t="shared" ca="1" si="375"/>
        <v>-</v>
      </c>
      <c r="CU301" s="835">
        <f t="shared" si="376"/>
        <v>42903</v>
      </c>
      <c r="CV301" s="831">
        <v>42903</v>
      </c>
      <c r="CW301" s="832">
        <v>2</v>
      </c>
      <c r="CX301" s="833">
        <f t="shared" si="377"/>
        <v>0</v>
      </c>
      <c r="CY301" s="840" t="str">
        <f t="shared" si="378"/>
        <v>УСПЕШНО</v>
      </c>
      <c r="CZ301" s="833">
        <f t="shared" si="379"/>
        <v>-125</v>
      </c>
      <c r="DA301" s="838" t="str">
        <f t="shared" ca="1" si="380"/>
        <v>-</v>
      </c>
      <c r="DB301" s="841"/>
      <c r="DC301" s="832"/>
    </row>
    <row r="302" spans="1:107" s="842" customFormat="1" ht="15.95" customHeight="1" x14ac:dyDescent="0.25">
      <c r="A302" s="790">
        <v>186</v>
      </c>
      <c r="B302" s="791">
        <f t="shared" ca="1" si="381"/>
        <v>43134</v>
      </c>
      <c r="C302" s="792" t="s">
        <v>613</v>
      </c>
      <c r="D302" s="793" t="s">
        <v>3201</v>
      </c>
      <c r="E302" s="794" t="s">
        <v>478</v>
      </c>
      <c r="F302" s="854" t="s">
        <v>479</v>
      </c>
      <c r="G302" s="796">
        <f>SUMIFS(МОЛОКО!L8:L6958,МОЛОКО!F8:F6958,"1713",МОЛОКО!L8:L6958,"&gt;0")</f>
        <v>7</v>
      </c>
      <c r="H302" s="797" t="s">
        <v>603</v>
      </c>
      <c r="I302" s="798">
        <v>41210</v>
      </c>
      <c r="J302" s="799">
        <f t="shared" ca="1" si="382"/>
        <v>5.2712328767123289</v>
      </c>
      <c r="K302" s="799">
        <f t="shared" ca="1" si="383"/>
        <v>64.13333333333334</v>
      </c>
      <c r="L302" s="800">
        <f t="shared" ca="1" si="384"/>
        <v>1924</v>
      </c>
      <c r="M302" s="801">
        <v>42298</v>
      </c>
      <c r="N302" s="802">
        <v>42722</v>
      </c>
      <c r="O302" s="803">
        <f t="shared" ca="1" si="385"/>
        <v>412</v>
      </c>
      <c r="P302" s="804">
        <v>2</v>
      </c>
      <c r="Q302" s="805" t="s">
        <v>2327</v>
      </c>
      <c r="R302" s="806" t="s">
        <v>1874</v>
      </c>
      <c r="S302" s="807">
        <v>42806</v>
      </c>
      <c r="T302" s="798">
        <v>42806</v>
      </c>
      <c r="U302" s="798" t="str">
        <f t="shared" si="386"/>
        <v>-</v>
      </c>
      <c r="V302" s="804" t="str">
        <f t="shared" ca="1" si="387"/>
        <v>-</v>
      </c>
      <c r="W302" s="808">
        <v>1</v>
      </c>
      <c r="X302" s="794">
        <f t="shared" si="388"/>
        <v>84</v>
      </c>
      <c r="Y302" s="794">
        <v>0</v>
      </c>
      <c r="Z302" s="809" t="str">
        <f t="shared" ca="1" si="389"/>
        <v>-----</v>
      </c>
      <c r="AA302" s="810">
        <f t="shared" ca="1" si="390"/>
        <v>328</v>
      </c>
      <c r="AB302" s="804"/>
      <c r="AC302" s="811" t="str">
        <f t="shared" ca="1" si="391"/>
        <v>-----</v>
      </c>
      <c r="AD302" s="798"/>
      <c r="AE302" s="794" t="str">
        <f t="shared" ca="1" si="392"/>
        <v>яловая</v>
      </c>
      <c r="AF302" s="798" t="str">
        <f t="shared" si="393"/>
        <v>-</v>
      </c>
      <c r="AG302" s="812" t="str">
        <f t="shared" si="394"/>
        <v>---------</v>
      </c>
      <c r="AH302" s="807">
        <v>42849</v>
      </c>
      <c r="AI302" s="807" t="str">
        <f t="shared" si="395"/>
        <v>-</v>
      </c>
      <c r="AJ302" s="807" t="str">
        <f t="shared" si="396"/>
        <v>-</v>
      </c>
      <c r="AK302" s="813"/>
      <c r="AL302" s="807" t="str">
        <f t="shared" si="397"/>
        <v>-</v>
      </c>
      <c r="AM302" s="807" t="str">
        <f t="shared" si="398"/>
        <v>-</v>
      </c>
      <c r="AN302" s="814" t="str">
        <f t="shared" ca="1" si="399"/>
        <v>-</v>
      </c>
      <c r="AO302" s="815">
        <v>1</v>
      </c>
      <c r="AP302" s="816" t="str">
        <f t="shared" ca="1" si="400"/>
        <v>БРАК</v>
      </c>
      <c r="AQ302" s="817" t="s">
        <v>1863</v>
      </c>
      <c r="AR302" s="794" t="str">
        <f t="shared" si="401"/>
        <v>-</v>
      </c>
      <c r="AS302" s="818"/>
      <c r="AT302" s="794" t="str">
        <f t="shared" si="402"/>
        <v>-</v>
      </c>
      <c r="AU302" s="819">
        <v>1</v>
      </c>
      <c r="AV302" s="820"/>
      <c r="AW302" s="821"/>
      <c r="AX302" s="821"/>
      <c r="AY302" s="969" t="str">
        <f t="shared" si="350"/>
        <v>-</v>
      </c>
      <c r="AZ302" s="966" t="str">
        <f t="shared" si="351"/>
        <v>-</v>
      </c>
      <c r="BA302" s="971" t="str">
        <f t="shared" si="352"/>
        <v>-</v>
      </c>
      <c r="BB302" s="975"/>
      <c r="BC302" s="572">
        <v>43046</v>
      </c>
      <c r="BD302" s="821"/>
      <c r="BE302" s="963" t="str">
        <f t="shared" si="353"/>
        <v>-</v>
      </c>
      <c r="BF302" s="984"/>
      <c r="BG302" s="988"/>
      <c r="BH302" s="982"/>
      <c r="BI302" s="991"/>
      <c r="BJ302" s="991"/>
      <c r="BK302" s="993" t="str">
        <f t="shared" si="354"/>
        <v>-</v>
      </c>
      <c r="BL302" s="820">
        <v>42981</v>
      </c>
      <c r="BM302" s="821">
        <v>5</v>
      </c>
      <c r="BN302" s="822">
        <f t="shared" ca="1" si="355"/>
        <v>153</v>
      </c>
      <c r="BO302" s="823">
        <f t="shared" si="356"/>
        <v>59.033333333333331</v>
      </c>
      <c r="BP302" s="824"/>
      <c r="BQ302" s="821"/>
      <c r="BR302" s="822" t="str">
        <f t="shared" si="357"/>
        <v>-</v>
      </c>
      <c r="BS302" s="823" t="str">
        <f t="shared" si="358"/>
        <v>-</v>
      </c>
      <c r="BT302" s="825" t="str">
        <f t="shared" ca="1" si="359"/>
        <v>-</v>
      </c>
      <c r="BU302" s="826"/>
      <c r="BV302" s="827"/>
      <c r="BW302" s="828" t="str">
        <f t="shared" si="360"/>
        <v>Ж-Е НЕ ВАКЦ.</v>
      </c>
      <c r="BX302" s="829" t="str">
        <f t="shared" si="361"/>
        <v>-</v>
      </c>
      <c r="BY302" s="830" t="str">
        <f t="shared" ca="1" si="362"/>
        <v>-</v>
      </c>
      <c r="BZ302" s="831">
        <v>42887</v>
      </c>
      <c r="CA302" s="832">
        <v>5</v>
      </c>
      <c r="CB302" s="833">
        <f t="shared" ca="1" si="363"/>
        <v>247</v>
      </c>
      <c r="CC302" s="834" t="str">
        <f t="shared" ca="1" si="364"/>
        <v>-</v>
      </c>
      <c r="CD302" s="835">
        <f t="shared" si="365"/>
        <v>42908</v>
      </c>
      <c r="CE302" s="831">
        <v>42908</v>
      </c>
      <c r="CF302" s="832">
        <v>5</v>
      </c>
      <c r="CG302" s="833">
        <f t="shared" ca="1" si="366"/>
        <v>226</v>
      </c>
      <c r="CH302" s="836">
        <f t="shared" si="367"/>
        <v>0</v>
      </c>
      <c r="CI302" s="837" t="str">
        <f t="shared" si="368"/>
        <v>УСПЕШНО</v>
      </c>
      <c r="CJ302" s="838" t="str">
        <f t="shared" ca="1" si="369"/>
        <v>-</v>
      </c>
      <c r="CK302" s="831"/>
      <c r="CL302" s="832"/>
      <c r="CM302" s="833" t="str">
        <f t="shared" si="370"/>
        <v>-</v>
      </c>
      <c r="CN302" s="834" t="str">
        <f t="shared" si="371"/>
        <v>-</v>
      </c>
      <c r="CO302" s="830" t="str">
        <f t="shared" ca="1" si="372"/>
        <v>-</v>
      </c>
      <c r="CP302" s="839"/>
      <c r="CQ302" s="832"/>
      <c r="CR302" s="833" t="str">
        <f t="shared" si="373"/>
        <v>-</v>
      </c>
      <c r="CS302" s="833" t="str">
        <f t="shared" si="374"/>
        <v>-</v>
      </c>
      <c r="CT302" s="834" t="str">
        <f t="shared" si="375"/>
        <v>-</v>
      </c>
      <c r="CU302" s="835" t="str">
        <f t="shared" si="376"/>
        <v>-</v>
      </c>
      <c r="CV302" s="839"/>
      <c r="CW302" s="832"/>
      <c r="CX302" s="833" t="str">
        <f t="shared" si="377"/>
        <v>-</v>
      </c>
      <c r="CY302" s="840" t="str">
        <f t="shared" si="378"/>
        <v>-</v>
      </c>
      <c r="CZ302" s="833" t="str">
        <f t="shared" si="379"/>
        <v>-</v>
      </c>
      <c r="DA302" s="838" t="str">
        <f t="shared" ca="1" si="380"/>
        <v>-</v>
      </c>
      <c r="DB302" s="841"/>
      <c r="DC302" s="832"/>
    </row>
    <row r="303" spans="1:107" s="842" customFormat="1" ht="15.95" customHeight="1" x14ac:dyDescent="0.25">
      <c r="A303" s="790">
        <v>451</v>
      </c>
      <c r="B303" s="791">
        <f t="shared" ca="1" si="381"/>
        <v>43134</v>
      </c>
      <c r="C303" s="792" t="s">
        <v>615</v>
      </c>
      <c r="D303" s="793" t="s">
        <v>908</v>
      </c>
      <c r="E303" s="794" t="s">
        <v>840</v>
      </c>
      <c r="F303" s="854" t="s">
        <v>841</v>
      </c>
      <c r="G303" s="796">
        <f>SUMIFS(МОЛОКО!L8:L6958,МОЛОКО!F8:F6958,"5032",МОЛОКО!L8:L6958,"&gt;0")</f>
        <v>21</v>
      </c>
      <c r="H303" s="797" t="s">
        <v>911</v>
      </c>
      <c r="I303" s="798">
        <v>38477</v>
      </c>
      <c r="J303" s="799">
        <f t="shared" ca="1" si="382"/>
        <v>12.758904109589041</v>
      </c>
      <c r="K303" s="799">
        <f t="shared" ca="1" si="383"/>
        <v>155.23333333333332</v>
      </c>
      <c r="L303" s="800">
        <f t="shared" ca="1" si="384"/>
        <v>4657</v>
      </c>
      <c r="M303" s="801">
        <v>39518</v>
      </c>
      <c r="N303" s="802">
        <v>42951</v>
      </c>
      <c r="O303" s="803">
        <f t="shared" ca="1" si="385"/>
        <v>183</v>
      </c>
      <c r="P303" s="804">
        <v>9</v>
      </c>
      <c r="Q303" s="805" t="s">
        <v>1451</v>
      </c>
      <c r="R303" s="806" t="s">
        <v>2962</v>
      </c>
      <c r="S303" s="807">
        <v>43013</v>
      </c>
      <c r="T303" s="798">
        <v>43013</v>
      </c>
      <c r="U303" s="798" t="str">
        <f t="shared" si="386"/>
        <v>-</v>
      </c>
      <c r="V303" s="804" t="str">
        <f t="shared" ca="1" si="387"/>
        <v>-</v>
      </c>
      <c r="W303" s="808">
        <v>1</v>
      </c>
      <c r="X303" s="794">
        <f t="shared" si="388"/>
        <v>62</v>
      </c>
      <c r="Y303" s="794">
        <v>0</v>
      </c>
      <c r="Z303" s="809" t="str">
        <f t="shared" ca="1" si="389"/>
        <v>-----</v>
      </c>
      <c r="AA303" s="810">
        <f t="shared" ca="1" si="390"/>
        <v>121</v>
      </c>
      <c r="AB303" s="804"/>
      <c r="AC303" s="811" t="str">
        <f t="shared" ca="1" si="391"/>
        <v>-----</v>
      </c>
      <c r="AD303" s="798"/>
      <c r="AE303" s="794" t="str">
        <f t="shared" ca="1" si="392"/>
        <v>яловая</v>
      </c>
      <c r="AF303" s="798" t="str">
        <f t="shared" si="393"/>
        <v>-</v>
      </c>
      <c r="AG303" s="812" t="str">
        <f t="shared" si="394"/>
        <v>---------</v>
      </c>
      <c r="AH303" s="807">
        <v>43052</v>
      </c>
      <c r="AI303" s="807" t="str">
        <f t="shared" si="395"/>
        <v>-</v>
      </c>
      <c r="AJ303" s="807" t="str">
        <f t="shared" si="396"/>
        <v>-</v>
      </c>
      <c r="AK303" s="813"/>
      <c r="AL303" s="807" t="str">
        <f t="shared" si="397"/>
        <v>-</v>
      </c>
      <c r="AM303" s="807" t="str">
        <f t="shared" si="398"/>
        <v>-</v>
      </c>
      <c r="AN303" s="814" t="str">
        <f t="shared" ca="1" si="399"/>
        <v>-</v>
      </c>
      <c r="AO303" s="815">
        <v>1</v>
      </c>
      <c r="AP303" s="816" t="str">
        <f t="shared" ca="1" si="400"/>
        <v>-</v>
      </c>
      <c r="AQ303" s="817"/>
      <c r="AR303" s="794" t="str">
        <f t="shared" si="401"/>
        <v>-</v>
      </c>
      <c r="AS303" s="818"/>
      <c r="AT303" s="794" t="str">
        <f t="shared" si="402"/>
        <v>-</v>
      </c>
      <c r="AU303" s="819">
        <v>1</v>
      </c>
      <c r="AV303" s="820"/>
      <c r="AW303" s="821"/>
      <c r="AX303" s="821"/>
      <c r="AY303" s="969" t="str">
        <f>IF(AND(AV303&gt;0,AW303&gt;0,AX303&gt;0),B303-AV303,"-")</f>
        <v>-</v>
      </c>
      <c r="AZ303" s="966" t="str">
        <f>IF(AND(AV303&gt;0,AW303&gt;0,AX303&gt;0,AY303&gt;10,BB303=0,BC303=0,BD303=0),"РЕВАКЦИНАЦИЯ","-")</f>
        <v>-</v>
      </c>
      <c r="BA303" s="971" t="str">
        <f>IF(AND(AV303&gt;0,AW303&gt;0,AX303&gt;0),AV303+10,"-")</f>
        <v>-</v>
      </c>
      <c r="BB303" s="975"/>
      <c r="BC303" s="572">
        <v>43053</v>
      </c>
      <c r="BD303" s="821"/>
      <c r="BE303" s="963" t="str">
        <f>IF(AND(BB303&gt;0,BC303&gt;0,BD303&gt;0),B303-BB303,"-")</f>
        <v>-</v>
      </c>
      <c r="BF303" s="984"/>
      <c r="BG303" s="988"/>
      <c r="BH303" s="982"/>
      <c r="BI303" s="991"/>
      <c r="BJ303" s="991"/>
      <c r="BK303" s="993" t="str">
        <f>IF(AND(BF303&gt;0,BG303&gt;0,BH303&gt;0,BI303&gt;0,BJ303&gt;0),B303-BF303,"-")</f>
        <v>-</v>
      </c>
      <c r="BL303" s="820">
        <v>42979</v>
      </c>
      <c r="BM303" s="821">
        <v>5</v>
      </c>
      <c r="BN303" s="822">
        <f ca="1">IF(AND(BL303&gt;0,BM303&gt;0),B303-BL303,"-")</f>
        <v>155</v>
      </c>
      <c r="BO303" s="823">
        <f>IF(AND(BL303&gt;0,BM303&gt;0),(BL303-I303)/30,"-")</f>
        <v>150.06666666666666</v>
      </c>
      <c r="BP303" s="824"/>
      <c r="BQ303" s="821"/>
      <c r="BR303" s="822" t="str">
        <f>IF(AND(BP303&gt;0,BQ303&gt;0),B303-BP303,"-")</f>
        <v>-</v>
      </c>
      <c r="BS303" s="823" t="str">
        <f>IF(AND(BP303&gt;0,BQ303&gt;0),(BP303-M303)/30,"-")</f>
        <v>-</v>
      </c>
      <c r="BT303" s="825" t="str">
        <f ca="1">IF(AND(OR(E303="тёлочка",E303="бычок"),L303&gt;0,BV303&lt;2,L303&lt;60),"ПОДЛЕЖИТ ВАКЦИНАЦИИ","-")</f>
        <v>-</v>
      </c>
      <c r="BU303" s="826"/>
      <c r="BV303" s="827"/>
      <c r="BW303" s="828" t="str">
        <f>IF(AND(BU303&gt;0,BV303=2),BU303-I303,"Ж-Е НЕ ВАКЦ.")</f>
        <v>Ж-Е НЕ ВАКЦ.</v>
      </c>
      <c r="BX303" s="829" t="str">
        <f>IF(AND(BU303&gt;0,BV303=2),B303-BU303,"-")</f>
        <v>-</v>
      </c>
      <c r="BY303" s="830" t="str">
        <f ca="1">IF(AND(L303&gt;42,CA303&lt;5),"ПОДЛЕЖИТ ВАКЦИНАЦИИ","-")</f>
        <v>-</v>
      </c>
      <c r="BZ303" s="831">
        <v>42988</v>
      </c>
      <c r="CA303" s="832">
        <v>5</v>
      </c>
      <c r="CB303" s="833">
        <f ca="1">IF(AND(BZ303&gt;0,CA303=5),B303-BZ303,"-")</f>
        <v>146</v>
      </c>
      <c r="CC303" s="834" t="str">
        <f ca="1">IF(AND(CA303=5,CB303&gt;20,CF303&lt;5),"ТРЕБУЕТСЯ БУСТЕРНАЯ ДОЗА","-")</f>
        <v>-</v>
      </c>
      <c r="CD303" s="835">
        <f>IF(AND(BZ303&gt;0,CA303=5),BZ303+21,"-")</f>
        <v>43009</v>
      </c>
      <c r="CE303" s="831">
        <v>43009</v>
      </c>
      <c r="CF303" s="832">
        <v>5</v>
      </c>
      <c r="CG303" s="833">
        <f ca="1">IF(AND(CE303&gt;0,CF303=5),B303-CE303,"-")</f>
        <v>125</v>
      </c>
      <c r="CH303" s="836">
        <f>IF(AND(CD303&gt;0,CE303&gt;0,CF303=5),CD303-CE303,"-")</f>
        <v>0</v>
      </c>
      <c r="CI303" s="837" t="str">
        <f>IF(AND(CF303=5,CH303=0),"УСПЕШНО","-")</f>
        <v>УСПЕШНО</v>
      </c>
      <c r="CJ303" s="838" t="str">
        <f ca="1">IF(AND(BZ303&gt;0,CA303=5,CE303&gt;0,CF303=5,CG303&gt;240,CL303&lt;5),"НЕОБХОДИМА РЕВАКЦИНАЦИЯ","-")</f>
        <v>-</v>
      </c>
      <c r="CK303" s="831"/>
      <c r="CL303" s="832"/>
      <c r="CM303" s="833" t="str">
        <f>IF(AND(CK303&gt;0,CL303=5),N303-CK303,"-")</f>
        <v>-</v>
      </c>
      <c r="CN303" s="834" t="str">
        <f>IF(AND(CK303&gt;0,CL303=5,CM303&gt;240),"НЕОБХОДИМА РЕВАКЦИНАЦИЯ","-")</f>
        <v>-</v>
      </c>
      <c r="CO303" s="830" t="str">
        <f ca="1">IF(AND(Y303=1,AN303&gt;-70,CQ303&lt;2),"ТРЕБУЕТСЯ ВАКЦИНАЦИЯ","-")</f>
        <v>-</v>
      </c>
      <c r="CP303" s="831">
        <v>42882</v>
      </c>
      <c r="CQ303" s="832">
        <v>2</v>
      </c>
      <c r="CR303" s="833">
        <f>IF(AND(CP303&gt;0,CQ303=2),CP303-T303,"-")</f>
        <v>-131</v>
      </c>
      <c r="CS303" s="833">
        <f ca="1">IF(AND(CP303&gt;0,CQ303=2),B303-CP303,"-")</f>
        <v>252</v>
      </c>
      <c r="CT303" s="834" t="str">
        <f ca="1">IF(AND(CQ303=2,CS303&gt;20,CW303&lt;2),"ТРЕБУЕТСЯ БУСТЕРНАЯ ДОЗА","-")</f>
        <v>-</v>
      </c>
      <c r="CU303" s="835">
        <f>IF(AND(CP303&gt;0,CQ303=2),CP303+21,"-")</f>
        <v>42903</v>
      </c>
      <c r="CV303" s="831">
        <v>42903</v>
      </c>
      <c r="CW303" s="832">
        <v>2</v>
      </c>
      <c r="CX303" s="833">
        <f>IF(AND(CU303&gt;0,CV303&gt;0,CW303=2),CV303-CU303,"-")</f>
        <v>0</v>
      </c>
      <c r="CY303" s="840" t="str">
        <f>IF(AND(CW303=2,CX303=0),"УСПЕШНО","-")</f>
        <v>УСПЕШНО</v>
      </c>
      <c r="CZ303" s="833">
        <f>IF(AND(CV303&gt;0,CW303=2),CV303-T303,"-")</f>
        <v>-110</v>
      </c>
      <c r="DA303" s="838" t="str">
        <f ca="1">IF(AND(CP303&gt;0,CQ303=2,CV303&gt;0,CW303=2,Y303=1,AN303&gt;-50,DC303&lt;2),"ТРЕБУЕТСЯ РЕВАКЦИНАЦИЯ","-")</f>
        <v>-</v>
      </c>
      <c r="DB303" s="841"/>
      <c r="DC303" s="832"/>
    </row>
    <row r="304" spans="1:107" s="842" customFormat="1" ht="15.6" customHeight="1" x14ac:dyDescent="0.25">
      <c r="A304" s="790">
        <v>145</v>
      </c>
      <c r="B304" s="791">
        <f t="shared" ca="1" si="381"/>
        <v>43134</v>
      </c>
      <c r="C304" s="792" t="s">
        <v>614</v>
      </c>
      <c r="D304" s="793" t="s">
        <v>3204</v>
      </c>
      <c r="E304" s="794" t="s">
        <v>1433</v>
      </c>
      <c r="F304" s="795" t="s">
        <v>1432</v>
      </c>
      <c r="G304" s="796">
        <f>SUMIFS(МОЛОКО!L8:L6958,МОЛОКО!F8:F6958,"2298",МОЛОКО!L8:L6958,"&gt;0")</f>
        <v>12.3</v>
      </c>
      <c r="H304" s="797" t="s">
        <v>603</v>
      </c>
      <c r="I304" s="798">
        <v>41848</v>
      </c>
      <c r="J304" s="799">
        <f t="shared" ca="1" si="382"/>
        <v>3.5232876712328767</v>
      </c>
      <c r="K304" s="799">
        <f t="shared" ca="1" si="383"/>
        <v>42.866666666666667</v>
      </c>
      <c r="L304" s="800">
        <f t="shared" ca="1" si="384"/>
        <v>1286</v>
      </c>
      <c r="M304" s="801">
        <v>42493</v>
      </c>
      <c r="N304" s="802">
        <v>42914</v>
      </c>
      <c r="O304" s="803">
        <f t="shared" ca="1" si="385"/>
        <v>220</v>
      </c>
      <c r="P304" s="804">
        <v>2</v>
      </c>
      <c r="Q304" s="68" t="s">
        <v>2366</v>
      </c>
      <c r="R304" s="118" t="s">
        <v>2962</v>
      </c>
      <c r="S304" s="807">
        <v>42971</v>
      </c>
      <c r="T304" s="798">
        <v>43028</v>
      </c>
      <c r="U304" s="798">
        <f t="shared" si="386"/>
        <v>43046</v>
      </c>
      <c r="V304" s="804">
        <f t="shared" ca="1" si="387"/>
        <v>88</v>
      </c>
      <c r="W304" s="808">
        <v>3</v>
      </c>
      <c r="X304" s="794">
        <f t="shared" si="388"/>
        <v>114</v>
      </c>
      <c r="Y304" s="794">
        <v>3</v>
      </c>
      <c r="Z304" s="809" t="str">
        <f t="shared" ca="1" si="389"/>
        <v>-----</v>
      </c>
      <c r="AA304" s="810">
        <f t="shared" ca="1" si="390"/>
        <v>106</v>
      </c>
      <c r="AB304" s="804"/>
      <c r="AC304" s="811" t="str">
        <f t="shared" ca="1" si="391"/>
        <v>-----</v>
      </c>
      <c r="AD304" s="798"/>
      <c r="AE304" s="794" t="str">
        <f t="shared" ca="1" si="392"/>
        <v>-</v>
      </c>
      <c r="AF304" s="798">
        <f t="shared" si="393"/>
        <v>43063</v>
      </c>
      <c r="AG304" s="812">
        <f t="shared" ca="1" si="394"/>
        <v>71</v>
      </c>
      <c r="AH304" s="807">
        <v>43007</v>
      </c>
      <c r="AI304" s="807" t="str">
        <f t="shared" si="395"/>
        <v>-</v>
      </c>
      <c r="AJ304" s="807" t="str">
        <f t="shared" si="396"/>
        <v>-</v>
      </c>
      <c r="AK304" s="813"/>
      <c r="AL304" s="807" t="str">
        <f t="shared" si="397"/>
        <v>-</v>
      </c>
      <c r="AM304" s="807" t="str">
        <f t="shared" si="398"/>
        <v>-</v>
      </c>
      <c r="AN304" s="814" t="str">
        <f t="shared" ca="1" si="399"/>
        <v>-</v>
      </c>
      <c r="AO304" s="815">
        <v>1</v>
      </c>
      <c r="AP304" s="816" t="str">
        <f t="shared" ca="1" si="400"/>
        <v>-</v>
      </c>
      <c r="AQ304" s="817"/>
      <c r="AR304" s="794" t="str">
        <f t="shared" si="401"/>
        <v>-</v>
      </c>
      <c r="AS304" s="818"/>
      <c r="AT304" s="794" t="str">
        <f t="shared" si="402"/>
        <v>-</v>
      </c>
      <c r="AU304" s="819"/>
      <c r="AV304" s="820"/>
      <c r="AW304" s="821"/>
      <c r="AX304" s="821"/>
      <c r="AY304" s="969" t="str">
        <f>IF(AND(AV304&gt;0,AW304&gt;0,AX304&gt;0),B304-AV304,"-")</f>
        <v>-</v>
      </c>
      <c r="AZ304" s="966" t="str">
        <f>IF(AND(AV304&gt;0,AW304&gt;0,AX304&gt;0,AY304&gt;10,BB304=0,BC304=0,BD304=0),"РЕВАКЦИНАЦИЯ","-")</f>
        <v>-</v>
      </c>
      <c r="BA304" s="971" t="str">
        <f>IF(AND(AV304&gt;0,AW304&gt;0,AX304&gt;0),AV304+10,"-")</f>
        <v>-</v>
      </c>
      <c r="BB304" s="975"/>
      <c r="BC304" s="572">
        <v>43053</v>
      </c>
      <c r="BD304" s="821"/>
      <c r="BE304" s="963" t="str">
        <f>IF(AND(BB304&gt;0,BC304&gt;0,BD304&gt;0),B304-BB304,"-")</f>
        <v>-</v>
      </c>
      <c r="BF304" s="984"/>
      <c r="BG304" s="988"/>
      <c r="BH304" s="982"/>
      <c r="BI304" s="991"/>
      <c r="BJ304" s="991"/>
      <c r="BK304" s="993" t="str">
        <f>IF(AND(BF304&gt;0,BG304&gt;0,BH304&gt;0,BI304&gt;0,BJ304&gt;0),B304-BF304,"-")</f>
        <v>-</v>
      </c>
      <c r="BL304" s="820">
        <v>42980</v>
      </c>
      <c r="BM304" s="821">
        <v>5</v>
      </c>
      <c r="BN304" s="822">
        <f ca="1">IF(AND(BL304&gt;0,BM304&gt;0),B304-BL304,"-")</f>
        <v>154</v>
      </c>
      <c r="BO304" s="823">
        <f>IF(AND(BL304&gt;0,BM304&gt;0),(BL304-I304)/30,"-")</f>
        <v>37.733333333333334</v>
      </c>
      <c r="BP304" s="824">
        <v>43001</v>
      </c>
      <c r="BQ304" s="821">
        <v>2</v>
      </c>
      <c r="BR304" s="822">
        <f ca="1">IF(AND(BP304&gt;0,BQ304&gt;0),B304-BP304,"-")</f>
        <v>133</v>
      </c>
      <c r="BS304" s="823">
        <f>IF(AND(BP304&gt;0,BQ304&gt;0),(BP304-M304)/30,"-")</f>
        <v>16.933333333333334</v>
      </c>
      <c r="BT304" s="825" t="str">
        <f ca="1">IF(AND(OR(E304="тёлочка",E304="бычок"),L304&gt;0,BV304&lt;2,L304&lt;60),"ПОДЛЕЖИТ ВАКЦИНАЦИИ","-")</f>
        <v>-</v>
      </c>
      <c r="BU304" s="826"/>
      <c r="BV304" s="827"/>
      <c r="BW304" s="828" t="str">
        <f>IF(AND(BU304&gt;0,BV304=2),BU304-I304,"Ж-Е НЕ ВАКЦ.")</f>
        <v>Ж-Е НЕ ВАКЦ.</v>
      </c>
      <c r="BX304" s="829" t="str">
        <f>IF(AND(BU304&gt;0,BV304=2),B304-BU304,"-")</f>
        <v>-</v>
      </c>
      <c r="BY304" s="830" t="str">
        <f ca="1">IF(AND(L304&gt;42,CA304&lt;5),"ПОДЛЕЖИТ ВАКЦИНАЦИИ","-")</f>
        <v>-</v>
      </c>
      <c r="BZ304" s="831">
        <v>42940</v>
      </c>
      <c r="CA304" s="832">
        <v>5</v>
      </c>
      <c r="CB304" s="833">
        <f ca="1">IF(AND(BZ304&gt;0,CA304=5),B304-BZ304,"-")</f>
        <v>194</v>
      </c>
      <c r="CC304" s="834" t="str">
        <f ca="1">IF(AND(CA304=5,CB304&gt;20,CF304&lt;5),"ТРЕБУЕТСЯ БУСТЕРНАЯ ДОЗА","-")</f>
        <v>-</v>
      </c>
      <c r="CD304" s="835">
        <f>IF(AND(BZ304&gt;0,CA304=5),BZ304+21,"-")</f>
        <v>42961</v>
      </c>
      <c r="CE304" s="831">
        <v>42969</v>
      </c>
      <c r="CF304" s="832">
        <v>5</v>
      </c>
      <c r="CG304" s="833">
        <f ca="1">IF(AND(CE304&gt;0,CF304=5),B304-CE304,"-")</f>
        <v>165</v>
      </c>
      <c r="CH304" s="836">
        <f>IF(AND(CD304&gt;0,CE304&gt;0,CF304=5),CD304-CE304,"-")</f>
        <v>-8</v>
      </c>
      <c r="CI304" s="837" t="str">
        <f>IF(AND(CF304=5,CH304=0),"УСПЕШНО","-")</f>
        <v>-</v>
      </c>
      <c r="CJ304" s="838" t="str">
        <f ca="1">IF(AND(BZ304&gt;0,CA304=5,CE304&gt;0,CF304=5,CG304&gt;240,CL304&lt;5),"НЕОБХОДИМА РЕВАКЦИНАЦИЯ","-")</f>
        <v>-</v>
      </c>
      <c r="CK304" s="831"/>
      <c r="CL304" s="832"/>
      <c r="CM304" s="833" t="str">
        <f>IF(AND(CK304&gt;0,CL304=5),N304-CK304,"-")</f>
        <v>-</v>
      </c>
      <c r="CN304" s="834" t="str">
        <f>IF(AND(CK304&gt;0,CL304=5,CM304&gt;240),"НЕОБХОДИМА РЕВАКЦИНАЦИЯ","-")</f>
        <v>-</v>
      </c>
      <c r="CO304" s="830" t="str">
        <f ca="1">IF(AND(Y304=1,AN304&gt;-70,CQ304&lt;2),"ТРЕБУЕТСЯ ВАКЦИНАЦИЯ","-")</f>
        <v>-</v>
      </c>
      <c r="CP304" s="839"/>
      <c r="CQ304" s="832"/>
      <c r="CR304" s="833" t="str">
        <f>IF(AND(CP304&gt;0,CQ304=2),CP304-T304,"-")</f>
        <v>-</v>
      </c>
      <c r="CS304" s="833" t="str">
        <f>IF(AND(CP304&gt;0,CQ304=2),B304-CP304,"-")</f>
        <v>-</v>
      </c>
      <c r="CT304" s="834" t="str">
        <f>IF(AND(CQ304=2,CS304&gt;20,CW304&lt;2),"ТРЕБУЕТСЯ БУСТЕРНАЯ ДОЗА","-")</f>
        <v>-</v>
      </c>
      <c r="CU304" s="835" t="str">
        <f>IF(AND(CP304&gt;0,CQ304=2),CP304+21,"-")</f>
        <v>-</v>
      </c>
      <c r="CV304" s="839"/>
      <c r="CW304" s="832"/>
      <c r="CX304" s="833" t="str">
        <f>IF(AND(CU304&gt;0,CV304&gt;0,CW304=2),CV304-CU304,"-")</f>
        <v>-</v>
      </c>
      <c r="CY304" s="840" t="str">
        <f>IF(AND(CW304=2,CX304=0),"УСПЕШНО","-")</f>
        <v>-</v>
      </c>
      <c r="CZ304" s="833" t="str">
        <f>IF(AND(CV304&gt;0,CW304=2),CV304-T304,"-")</f>
        <v>-</v>
      </c>
      <c r="DA304" s="838" t="str">
        <f ca="1">IF(AND(CP304&gt;0,CQ304=2,CV304&gt;0,CW304=2,Y304=1,AN304&gt;-50,DC304&lt;2),"ТРЕБУЕТСЯ РЕВАКЦИНАЦИЯ","-")</f>
        <v>-</v>
      </c>
      <c r="DB304" s="841"/>
      <c r="DC304" s="832"/>
    </row>
    <row r="305" spans="1:107" s="842" customFormat="1" ht="15.95" customHeight="1" x14ac:dyDescent="0.25">
      <c r="A305" s="790">
        <v>182</v>
      </c>
      <c r="B305" s="791">
        <f t="shared" ca="1" si="381"/>
        <v>43134</v>
      </c>
      <c r="C305" s="792" t="s">
        <v>613</v>
      </c>
      <c r="D305" s="793" t="s">
        <v>3201</v>
      </c>
      <c r="E305" s="794" t="s">
        <v>818</v>
      </c>
      <c r="F305" s="854" t="s">
        <v>819</v>
      </c>
      <c r="G305" s="796">
        <f>SUMIFS(МОЛОКО!L8:L6958,МОЛОКО!F8:F6958,"1503",МОЛОКО!L8:L6958,"&gt;0")</f>
        <v>2.2000000000000002</v>
      </c>
      <c r="H305" s="797" t="s">
        <v>603</v>
      </c>
      <c r="I305" s="798">
        <v>41002</v>
      </c>
      <c r="J305" s="799">
        <f t="shared" ca="1" si="382"/>
        <v>5.8410958904109593</v>
      </c>
      <c r="K305" s="799">
        <f t="shared" ca="1" si="383"/>
        <v>71.066666666666663</v>
      </c>
      <c r="L305" s="800">
        <f t="shared" ca="1" si="384"/>
        <v>2132</v>
      </c>
      <c r="M305" s="801">
        <v>41745</v>
      </c>
      <c r="N305" s="802">
        <v>42548</v>
      </c>
      <c r="O305" s="803">
        <f t="shared" ca="1" si="385"/>
        <v>586</v>
      </c>
      <c r="P305" s="804">
        <v>3</v>
      </c>
      <c r="Q305" s="805" t="s">
        <v>1451</v>
      </c>
      <c r="R305" s="806" t="s">
        <v>1875</v>
      </c>
      <c r="S305" s="807">
        <v>42624</v>
      </c>
      <c r="T305" s="798">
        <v>42795</v>
      </c>
      <c r="U305" s="798" t="str">
        <f t="shared" si="386"/>
        <v>-</v>
      </c>
      <c r="V305" s="804" t="str">
        <f t="shared" ca="1" si="387"/>
        <v>-</v>
      </c>
      <c r="W305" s="808">
        <v>6</v>
      </c>
      <c r="X305" s="794">
        <f t="shared" si="388"/>
        <v>247</v>
      </c>
      <c r="Y305" s="794">
        <v>0</v>
      </c>
      <c r="Z305" s="809" t="str">
        <f t="shared" ca="1" si="389"/>
        <v>-----</v>
      </c>
      <c r="AA305" s="810">
        <f t="shared" ca="1" si="390"/>
        <v>339</v>
      </c>
      <c r="AB305" s="804"/>
      <c r="AC305" s="811" t="str">
        <f t="shared" ca="1" si="391"/>
        <v>-----</v>
      </c>
      <c r="AD305" s="798"/>
      <c r="AE305" s="794" t="str">
        <f t="shared" ca="1" si="392"/>
        <v>яловая</v>
      </c>
      <c r="AF305" s="798" t="str">
        <f t="shared" si="393"/>
        <v>-</v>
      </c>
      <c r="AG305" s="812" t="str">
        <f t="shared" si="394"/>
        <v>---------</v>
      </c>
      <c r="AH305" s="807">
        <v>42837</v>
      </c>
      <c r="AI305" s="807" t="str">
        <f t="shared" si="395"/>
        <v>-</v>
      </c>
      <c r="AJ305" s="807" t="str">
        <f t="shared" si="396"/>
        <v>-</v>
      </c>
      <c r="AK305" s="813"/>
      <c r="AL305" s="807" t="str">
        <f t="shared" si="397"/>
        <v>-</v>
      </c>
      <c r="AM305" s="807" t="str">
        <f t="shared" si="398"/>
        <v>-</v>
      </c>
      <c r="AN305" s="814" t="str">
        <f t="shared" ca="1" si="399"/>
        <v>-</v>
      </c>
      <c r="AO305" s="815">
        <v>1</v>
      </c>
      <c r="AP305" s="816" t="str">
        <f t="shared" ca="1" si="400"/>
        <v>БРАК</v>
      </c>
      <c r="AQ305" s="817" t="s">
        <v>2650</v>
      </c>
      <c r="AR305" s="794" t="str">
        <f t="shared" si="401"/>
        <v>-</v>
      </c>
      <c r="AS305" s="818"/>
      <c r="AT305" s="794" t="str">
        <f t="shared" si="402"/>
        <v>-</v>
      </c>
      <c r="AU305" s="819">
        <v>1</v>
      </c>
      <c r="AV305" s="820"/>
      <c r="AW305" s="821"/>
      <c r="AX305" s="821"/>
      <c r="AY305" s="969" t="str">
        <f>IF(AND(AV305&gt;0,AW305&gt;0,AX305&gt;0),B305-AV305,"-")</f>
        <v>-</v>
      </c>
      <c r="AZ305" s="966" t="str">
        <f>IF(AND(AV305&gt;0,AW305&gt;0,AX305&gt;0,AY305&gt;10,BB305=0,BC305=0,BD305=0),"РЕВАКЦИНАЦИЯ","-")</f>
        <v>-</v>
      </c>
      <c r="BA305" s="971" t="str">
        <f>IF(AND(AV305&gt;0,AW305&gt;0,AX305&gt;0),AV305+10,"-")</f>
        <v>-</v>
      </c>
      <c r="BB305" s="975"/>
      <c r="BC305" s="572">
        <v>43053</v>
      </c>
      <c r="BD305" s="821"/>
      <c r="BE305" s="963" t="str">
        <f>IF(AND(BB305&gt;0,BC305&gt;0,BD305&gt;0),B305-BB305,"-")</f>
        <v>-</v>
      </c>
      <c r="BF305" s="984"/>
      <c r="BG305" s="988"/>
      <c r="BH305" s="982"/>
      <c r="BI305" s="991"/>
      <c r="BJ305" s="991"/>
      <c r="BK305" s="993" t="str">
        <f>IF(AND(BF305&gt;0,BG305&gt;0,BH305&gt;0,BI305&gt;0,BJ305&gt;0),B305-BF305,"-")</f>
        <v>-</v>
      </c>
      <c r="BL305" s="820">
        <v>42981</v>
      </c>
      <c r="BM305" s="821">
        <v>5</v>
      </c>
      <c r="BN305" s="822">
        <f ca="1">IF(AND(BL305&gt;0,BM305&gt;0),B305-BL305,"-")</f>
        <v>153</v>
      </c>
      <c r="BO305" s="823">
        <f>IF(AND(BL305&gt;0,BM305&gt;0),(BL305-I305)/30,"-")</f>
        <v>65.966666666666669</v>
      </c>
      <c r="BP305" s="824"/>
      <c r="BQ305" s="821"/>
      <c r="BR305" s="822" t="str">
        <f>IF(AND(BP305&gt;0,BQ305&gt;0),B305-BP305,"-")</f>
        <v>-</v>
      </c>
      <c r="BS305" s="823" t="str">
        <f>IF(AND(BP305&gt;0,BQ305&gt;0),(BP305-M305)/30,"-")</f>
        <v>-</v>
      </c>
      <c r="BT305" s="825" t="str">
        <f ca="1">IF(AND(OR(E305="тёлочка",E305="бычок"),L305&gt;0,BV305&lt;2,L305&lt;60),"ПОДЛЕЖИТ ВАКЦИНАЦИИ","-")</f>
        <v>-</v>
      </c>
      <c r="BU305" s="826"/>
      <c r="BV305" s="827"/>
      <c r="BW305" s="828" t="str">
        <f>IF(AND(BU305&gt;0,BV305=2),BU305-I305,"Ж-Е НЕ ВАКЦ.")</f>
        <v>Ж-Е НЕ ВАКЦ.</v>
      </c>
      <c r="BX305" s="829" t="str">
        <f>IF(AND(BU305&gt;0,BV305=2),B305-BU305,"-")</f>
        <v>-</v>
      </c>
      <c r="BY305" s="830" t="str">
        <f ca="1">IF(AND(L305&gt;42,CA305&lt;5),"ПОДЛЕЖИТ ВАКЦИНАЦИИ","-")</f>
        <v>-</v>
      </c>
      <c r="BZ305" s="831">
        <v>42887</v>
      </c>
      <c r="CA305" s="832">
        <v>5</v>
      </c>
      <c r="CB305" s="833">
        <f ca="1">IF(AND(BZ305&gt;0,CA305=5),B305-BZ305,"-")</f>
        <v>247</v>
      </c>
      <c r="CC305" s="834" t="str">
        <f ca="1">IF(AND(CA305=5,CB305&gt;20,CF305&lt;5),"ТРЕБУЕТСЯ БУСТЕРНАЯ ДОЗА","-")</f>
        <v>-</v>
      </c>
      <c r="CD305" s="835">
        <f>IF(AND(BZ305&gt;0,CA305=5),BZ305+21,"-")</f>
        <v>42908</v>
      </c>
      <c r="CE305" s="831">
        <v>42908</v>
      </c>
      <c r="CF305" s="832">
        <v>5</v>
      </c>
      <c r="CG305" s="833">
        <f ca="1">IF(AND(CE305&gt;0,CF305=5),B305-CE305,"-")</f>
        <v>226</v>
      </c>
      <c r="CH305" s="836">
        <f>IF(AND(CD305&gt;0,CE305&gt;0,CF305=5),CD305-CE305,"-")</f>
        <v>0</v>
      </c>
      <c r="CI305" s="837" t="str">
        <f>IF(AND(CF305=5,CH305=0),"УСПЕШНО","-")</f>
        <v>УСПЕШНО</v>
      </c>
      <c r="CJ305" s="838" t="str">
        <f ca="1">IF(AND(BZ305&gt;0,CA305=5,CE305&gt;0,CF305=5,CG305&gt;240,CL305&lt;5),"НЕОБХОДИМА РЕВАКЦИНАЦИЯ","-")</f>
        <v>-</v>
      </c>
      <c r="CK305" s="831"/>
      <c r="CL305" s="832"/>
      <c r="CM305" s="833" t="str">
        <f>IF(AND(CK305&gt;0,CL305=5),N305-CK305,"-")</f>
        <v>-</v>
      </c>
      <c r="CN305" s="834" t="str">
        <f>IF(AND(CK305&gt;0,CL305=5,CM305&gt;240),"НЕОБХОДИМА РЕВАКЦИНАЦИЯ","-")</f>
        <v>-</v>
      </c>
      <c r="CO305" s="830" t="str">
        <f ca="1">IF(AND(Y305=1,AN305&gt;-70,CQ305&lt;2),"ТРЕБУЕТСЯ ВАКЦИНАЦИЯ","-")</f>
        <v>-</v>
      </c>
      <c r="CP305" s="839"/>
      <c r="CQ305" s="832"/>
      <c r="CR305" s="833" t="str">
        <f>IF(AND(CP305&gt;0,CQ305=2),CP305-T305,"-")</f>
        <v>-</v>
      </c>
      <c r="CS305" s="833" t="str">
        <f>IF(AND(CP305&gt;0,CQ305=2),B305-CP305,"-")</f>
        <v>-</v>
      </c>
      <c r="CT305" s="834" t="str">
        <f>IF(AND(CQ305=2,CS305&gt;20,CW305&lt;2),"ТРЕБУЕТСЯ БУСТЕРНАЯ ДОЗА","-")</f>
        <v>-</v>
      </c>
      <c r="CU305" s="835" t="str">
        <f>IF(AND(CP305&gt;0,CQ305=2),CP305+21,"-")</f>
        <v>-</v>
      </c>
      <c r="CV305" s="839"/>
      <c r="CW305" s="832"/>
      <c r="CX305" s="833" t="str">
        <f>IF(AND(CU305&gt;0,CV305&gt;0,CW305=2),CV305-CU305,"-")</f>
        <v>-</v>
      </c>
      <c r="CY305" s="840" t="str">
        <f>IF(AND(CW305=2,CX305=0),"УСПЕШНО","-")</f>
        <v>-</v>
      </c>
      <c r="CZ305" s="833" t="str">
        <f>IF(AND(CV305&gt;0,CW305=2),CV305-T305,"-")</f>
        <v>-</v>
      </c>
      <c r="DA305" s="838" t="str">
        <f ca="1">IF(AND(CP305&gt;0,CQ305=2,CV305&gt;0,CW305=2,Y305=1,AN305&gt;-50,DC305&lt;2),"ТРЕБУЕТСЯ РЕВАКЦИНАЦИЯ","-")</f>
        <v>-</v>
      </c>
      <c r="DB305" s="841"/>
      <c r="DC305" s="832"/>
    </row>
    <row r="306" spans="1:107" s="842" customFormat="1" ht="14.25" customHeight="1" x14ac:dyDescent="0.25">
      <c r="A306" s="790">
        <v>142</v>
      </c>
      <c r="B306" s="791">
        <f ca="1">TODAY()</f>
        <v>43134</v>
      </c>
      <c r="C306" s="792" t="s">
        <v>614</v>
      </c>
      <c r="D306" s="793" t="s">
        <v>3204</v>
      </c>
      <c r="E306" s="794" t="s">
        <v>1054</v>
      </c>
      <c r="F306" s="795" t="s">
        <v>949</v>
      </c>
      <c r="G306" s="796">
        <f>SUMIFS(МОЛОКО!L8:L6958,МОЛОКО!F8:F6958,"2115",МОЛОКО!L8:L6958,"&gt;0")</f>
        <v>23.7</v>
      </c>
      <c r="H306" s="797" t="s">
        <v>603</v>
      </c>
      <c r="I306" s="798">
        <v>41665</v>
      </c>
      <c r="J306" s="799">
        <f ca="1">(B306-I306)/365</f>
        <v>4.0246575342465754</v>
      </c>
      <c r="K306" s="799">
        <f ca="1">(B306-I306)/30</f>
        <v>48.966666666666669</v>
      </c>
      <c r="L306" s="800">
        <f ca="1">B306-I306</f>
        <v>1469</v>
      </c>
      <c r="M306" s="801">
        <v>42632</v>
      </c>
      <c r="N306" s="802">
        <v>42969</v>
      </c>
      <c r="O306" s="803">
        <f ca="1">IF(AND(B306&gt;0,N306&gt;0),B306-N306,"-")</f>
        <v>165</v>
      </c>
      <c r="P306" s="804">
        <v>2</v>
      </c>
      <c r="Q306" s="68" t="s">
        <v>1451</v>
      </c>
      <c r="R306" s="118" t="s">
        <v>2962</v>
      </c>
      <c r="S306" s="807">
        <v>43034</v>
      </c>
      <c r="T306" s="798">
        <v>43034</v>
      </c>
      <c r="U306" s="798">
        <f>IF(AND(Y306&gt;1,T306&gt;0),T306+18,"-")</f>
        <v>43052</v>
      </c>
      <c r="V306" s="804">
        <f ca="1">IF(AND(U306&gt;0,B306&gt;0,Y306&gt;1),B306-U306,"-")</f>
        <v>82</v>
      </c>
      <c r="W306" s="808">
        <v>1</v>
      </c>
      <c r="X306" s="794">
        <f>IF(AND(N306&gt;0,T306&gt;0),T306-N306,"-")</f>
        <v>65</v>
      </c>
      <c r="Y306" s="794">
        <v>3</v>
      </c>
      <c r="Z306" s="809" t="str">
        <f ca="1">IF(AND(Y306=1,AA306&gt;71,OR(ISBLANK(AB306),AB306=2)),"ПОДЛЕЖИТ ПЕРЕПРОВЕРКЕ","-----")</f>
        <v>-----</v>
      </c>
      <c r="AA306" s="810">
        <f ca="1">IF(AND(O306&gt;-1,W306&gt;0,Y306=1,AB306=1),"-----",B306-T306)</f>
        <v>100</v>
      </c>
      <c r="AB306" s="804"/>
      <c r="AC306" s="811" t="str">
        <f ca="1">IF(AND(AB306&lt;1,Z306="ПОДЛЕЖИТ ПЕРЕПРОВЕРКЕ",Y306=1),T306+72,"-----")</f>
        <v>-----</v>
      </c>
      <c r="AD306" s="798"/>
      <c r="AE306" s="794" t="str">
        <f ca="1">IF(AND(O306&gt;120,Y306=0,N306&gt;0),"яловая","-")</f>
        <v>-</v>
      </c>
      <c r="AF306" s="798">
        <f>IF(AND(T306&gt;0,OR(Y306=3,Y306=2)),T306+35,"-")</f>
        <v>43069</v>
      </c>
      <c r="AG306" s="812">
        <f ca="1">IF(AND(T306&gt;0,W306&gt;0,Q306&gt;0,OR(Y306=3,Y306=2)),B306-AF306,"---------")</f>
        <v>65</v>
      </c>
      <c r="AH306" s="807"/>
      <c r="AI306" s="807" t="str">
        <f>IF(AND($T306&gt;0,$N306&gt;0,$Y306=1),$T306+280-90,"-")</f>
        <v>-</v>
      </c>
      <c r="AJ306" s="807" t="str">
        <f>IF(AND(T306&gt;0,Y306=1,N306&gt;0),T306+280-60,"-")</f>
        <v>-</v>
      </c>
      <c r="AK306" s="813"/>
      <c r="AL306" s="807" t="str">
        <f>IF(AND($T306&gt;0,$Y306=1),$T306+280-21,"-")</f>
        <v>-</v>
      </c>
      <c r="AM306" s="807" t="str">
        <f>IF(AND(T306&gt;0,Y306=1),T306+280,"-")</f>
        <v>-</v>
      </c>
      <c r="AN306" s="814" t="str">
        <f ca="1">IF(AND(B306&gt;0,AM306&gt;0,AH306&gt;0,Y306=1),B306-AM306,"-")</f>
        <v>-</v>
      </c>
      <c r="AO306" s="815">
        <v>1</v>
      </c>
      <c r="AP306" s="816" t="str">
        <f ca="1">IF(AND(AE306="яловая",O306&gt;300),"БРАК","-")</f>
        <v>-</v>
      </c>
      <c r="AQ306" s="817"/>
      <c r="AR306" s="794" t="str">
        <f>IF(AND(Y306=1,P306=0),"НЕТЕЛЬ","-")</f>
        <v>-</v>
      </c>
      <c r="AS306" s="818"/>
      <c r="AT306" s="794" t="str">
        <f>IF(AND(N306&gt;0,T306&gt;0,W306&gt;0,Y306=1,AH306&gt;0,AK306&gt;0),"DRY COW","-")</f>
        <v>-</v>
      </c>
      <c r="AU306" s="819"/>
      <c r="AV306" s="820"/>
      <c r="AW306" s="821"/>
      <c r="AX306" s="821"/>
      <c r="AY306" s="969" t="str">
        <f>IF(AND(AV306&gt;0,AW306&gt;0,AX306&gt;0),B306-AV306,"-")</f>
        <v>-</v>
      </c>
      <c r="AZ306" s="966" t="str">
        <f>IF(AND(AV306&gt;0,AW306&gt;0,AX306&gt;0,AY306&gt;10,BB306=0,BC306=0,BD306=0),"РЕВАКЦИНАЦИЯ","-")</f>
        <v>-</v>
      </c>
      <c r="BA306" s="971" t="str">
        <f>IF(AND(AV306&gt;0,AW306&gt;0,AX306&gt;0),AV306+10,"-")</f>
        <v>-</v>
      </c>
      <c r="BB306" s="975"/>
      <c r="BC306" s="572">
        <v>43054</v>
      </c>
      <c r="BD306" s="431" t="s">
        <v>2326</v>
      </c>
      <c r="BE306" s="963" t="str">
        <f>IF(AND(BB306&gt;0,BC306&gt;0,BD306&gt;0),B306-BB306,"-")</f>
        <v>-</v>
      </c>
      <c r="BF306" s="984"/>
      <c r="BG306" s="988"/>
      <c r="BH306" s="982"/>
      <c r="BI306" s="991"/>
      <c r="BJ306" s="991"/>
      <c r="BK306" s="993" t="str">
        <f>IF(AND(BF306&gt;0,BG306&gt;0,BH306&gt;0,BI306&gt;0,BJ306&gt;0),B306-BF306,"-")</f>
        <v>-</v>
      </c>
      <c r="BL306" s="820">
        <v>42980</v>
      </c>
      <c r="BM306" s="821">
        <v>5</v>
      </c>
      <c r="BN306" s="822">
        <f ca="1">IF(AND(BL306&gt;0,BM306&gt;0),B306-BL306,"-")</f>
        <v>154</v>
      </c>
      <c r="BO306" s="823">
        <f>IF(AND(BL306&gt;0,BM306&gt;0),(BL306-I306)/30,"-")</f>
        <v>43.833333333333336</v>
      </c>
      <c r="BP306" s="824">
        <v>43001</v>
      </c>
      <c r="BQ306" s="821">
        <v>2</v>
      </c>
      <c r="BR306" s="822">
        <f ca="1">IF(AND(BP306&gt;0,BQ306&gt;0),B306-BP306,"-")</f>
        <v>133</v>
      </c>
      <c r="BS306" s="823">
        <f>IF(AND(BP306&gt;0,BQ306&gt;0),(BP306-M306)/30,"-")</f>
        <v>12.3</v>
      </c>
      <c r="BT306" s="825" t="str">
        <f ca="1">IF(AND(OR(E306="тёлочка",E306="бычок"),L306&gt;0,BV306&lt;2,L306&lt;60),"ПОДЛЕЖИТ ВАКЦИНАЦИИ","-")</f>
        <v>-</v>
      </c>
      <c r="BU306" s="826"/>
      <c r="BV306" s="827"/>
      <c r="BW306" s="828" t="str">
        <f>IF(AND(BU306&gt;0,BV306=2),BU306-I306,"Ж-Е НЕ ВАКЦ.")</f>
        <v>Ж-Е НЕ ВАКЦ.</v>
      </c>
      <c r="BX306" s="829" t="str">
        <f>IF(AND(BU306&gt;0,BV306=2),B306-BU306,"-")</f>
        <v>-</v>
      </c>
      <c r="BY306" s="830" t="str">
        <f ca="1">IF(AND(L306&gt;42,CA306&lt;5),"ПОДЛЕЖИТ ВАКЦИНАЦИИ","-")</f>
        <v>-</v>
      </c>
      <c r="BZ306" s="831">
        <v>42887</v>
      </c>
      <c r="CA306" s="832">
        <v>5</v>
      </c>
      <c r="CB306" s="833">
        <f ca="1">IF(AND(BZ306&gt;0,CA306=5),B306-BZ306,"-")</f>
        <v>247</v>
      </c>
      <c r="CC306" s="834" t="str">
        <f ca="1">IF(AND(CA306=5,CB306&gt;20,CF306&lt;5),"ТРЕБУЕТСЯ БУСТЕРНАЯ ДОЗА","-")</f>
        <v>-</v>
      </c>
      <c r="CD306" s="835">
        <f>IF(AND(BZ306&gt;0,CA306=5),BZ306+21,"-")</f>
        <v>42908</v>
      </c>
      <c r="CE306" s="831">
        <v>42908</v>
      </c>
      <c r="CF306" s="832">
        <v>5</v>
      </c>
      <c r="CG306" s="833">
        <f ca="1">IF(AND(CE306&gt;0,CF306=5),B306-CE306,"-")</f>
        <v>226</v>
      </c>
      <c r="CH306" s="836">
        <f>IF(AND(CD306&gt;0,CE306&gt;0,CF306=5),CD306-CE306,"-")</f>
        <v>0</v>
      </c>
      <c r="CI306" s="837" t="str">
        <f>IF(AND(CF306=5,CH306=0),"УСПЕШНО","-")</f>
        <v>УСПЕШНО</v>
      </c>
      <c r="CJ306" s="838" t="str">
        <f ca="1">IF(AND(BZ306&gt;0,CA306=5,CE306&gt;0,CF306=5,CG306&gt;240,CL306&lt;5),"НЕОБХОДИМА РЕВАКЦИНАЦИЯ","-")</f>
        <v>-</v>
      </c>
      <c r="CK306" s="831"/>
      <c r="CL306" s="832"/>
      <c r="CM306" s="833" t="str">
        <f>IF(AND(CK306&gt;0,CL306=5),N306-CK306,"-")</f>
        <v>-</v>
      </c>
      <c r="CN306" s="834" t="str">
        <f>IF(AND(CK306&gt;0,CL306=5,CM306&gt;240),"НЕОБХОДИМА РЕВАКЦИНАЦИЯ","-")</f>
        <v>-</v>
      </c>
      <c r="CO306" s="830" t="str">
        <f ca="1">IF(AND(Y306=1,AN306&gt;-70,CQ306&lt;2),"ТРЕБУЕТСЯ ВАКЦИНАЦИЯ","-")</f>
        <v>-</v>
      </c>
      <c r="CP306" s="831">
        <v>42925</v>
      </c>
      <c r="CQ306" s="832">
        <v>2</v>
      </c>
      <c r="CR306" s="833">
        <f>IF(AND(CP306&gt;0,CQ306=2),CP306-T306,"-")</f>
        <v>-109</v>
      </c>
      <c r="CS306" s="833">
        <f ca="1">IF(AND(CP306&gt;0,CQ306=2),B306-CP306,"-")</f>
        <v>209</v>
      </c>
      <c r="CT306" s="834" t="str">
        <f ca="1">IF(AND(CQ306=2,CS306&gt;20,CW306&lt;2),"ТРЕБУЕТСЯ БУСТЕРНАЯ ДОЗА","-")</f>
        <v>-</v>
      </c>
      <c r="CU306" s="835">
        <f>IF(AND(CP306&gt;0,CQ306=2),CP306+21,"-")</f>
        <v>42946</v>
      </c>
      <c r="CV306" s="831">
        <v>42946</v>
      </c>
      <c r="CW306" s="832">
        <v>2</v>
      </c>
      <c r="CX306" s="833">
        <f>IF(AND(CU306&gt;0,CV306&gt;0,CW306=2),CV306-CU306,"-")</f>
        <v>0</v>
      </c>
      <c r="CY306" s="840" t="str">
        <f>IF(AND(CW306=2,CX306=0),"УСПЕШНО","-")</f>
        <v>УСПЕШНО</v>
      </c>
      <c r="CZ306" s="833">
        <f>IF(AND(CV306&gt;0,CW306=2),CV306-T306,"-")</f>
        <v>-88</v>
      </c>
      <c r="DA306" s="838" t="str">
        <f ca="1">IF(AND(CP306&gt;0,CQ306=2,CV306&gt;0,CW306=2,Y306=1,AN306&gt;-50,DC306&lt;2),"ТРЕБУЕТСЯ РЕВАКЦИНАЦИЯ","-")</f>
        <v>-</v>
      </c>
      <c r="DB306" s="841"/>
      <c r="DC306" s="832"/>
    </row>
  </sheetData>
  <sortState ref="B3:BD264">
    <sortCondition ref="AK3:AK22"/>
  </sortState>
  <mergeCells count="3">
    <mergeCell ref="AD1:AD2"/>
    <mergeCell ref="BD286:CD286"/>
    <mergeCell ref="BD287:CD287"/>
  </mergeCells>
  <conditionalFormatting sqref="W22:W24 V25:V38 V40:V52 V3:V21 V54:V89 V96:V268">
    <cfRule type="cellIs" dxfId="1422" priority="3403" operator="lessThan">
      <formula>21</formula>
    </cfRule>
  </conditionalFormatting>
  <conditionalFormatting sqref="F3:G4">
    <cfRule type="duplicateValues" dxfId="1421" priority="3402"/>
  </conditionalFormatting>
  <conditionalFormatting sqref="V22:V24 U25:U38 U40:U52 U3:U21 U54:U89 U96:U268">
    <cfRule type="timePeriod" dxfId="1420" priority="3401" timePeriod="today">
      <formula>FLOOR(U3,1)=TODAY()</formula>
    </cfRule>
  </conditionalFormatting>
  <conditionalFormatting sqref="W22:W24 V25:V38 V40:V52 V3:V21 V54:V89 V96:V268">
    <cfRule type="cellIs" dxfId="1419" priority="3400" operator="between">
      <formula>0</formula>
      <formula>7</formula>
    </cfRule>
  </conditionalFormatting>
  <conditionalFormatting sqref="F5:G6">
    <cfRule type="duplicateValues" dxfId="1418" priority="3398"/>
  </conditionalFormatting>
  <conditionalFormatting sqref="F7:G7">
    <cfRule type="duplicateValues" dxfId="1417" priority="3394"/>
  </conditionalFormatting>
  <conditionalFormatting sqref="F8:G8">
    <cfRule type="duplicateValues" dxfId="1416" priority="3390"/>
  </conditionalFormatting>
  <conditionalFormatting sqref="F9:G9">
    <cfRule type="duplicateValues" dxfId="1415" priority="3386"/>
  </conditionalFormatting>
  <conditionalFormatting sqref="F10:G10">
    <cfRule type="duplicateValues" dxfId="1414" priority="3382"/>
  </conditionalFormatting>
  <conditionalFormatting sqref="F11:G11">
    <cfRule type="duplicateValues" dxfId="1413" priority="3378"/>
  </conditionalFormatting>
  <conditionalFormatting sqref="F12:G14">
    <cfRule type="duplicateValues" dxfId="1412" priority="3370"/>
  </conditionalFormatting>
  <conditionalFormatting sqref="F15:G15">
    <cfRule type="duplicateValues" dxfId="1411" priority="3366"/>
  </conditionalFormatting>
  <conditionalFormatting sqref="F16:G16">
    <cfRule type="duplicateValues" dxfId="1410" priority="3362"/>
  </conditionalFormatting>
  <conditionalFormatting sqref="F17:G17">
    <cfRule type="duplicateValues" dxfId="1409" priority="3358"/>
  </conditionalFormatting>
  <conditionalFormatting sqref="F18:G18">
    <cfRule type="duplicateValues" dxfId="1408" priority="3354"/>
  </conditionalFormatting>
  <conditionalFormatting sqref="F19:G19">
    <cfRule type="duplicateValues" dxfId="1407" priority="3350"/>
  </conditionalFormatting>
  <conditionalFormatting sqref="F20:G20">
    <cfRule type="duplicateValues" dxfId="1406" priority="3346"/>
  </conditionalFormatting>
  <conditionalFormatting sqref="F21:G21">
    <cfRule type="duplicateValues" dxfId="1405" priority="3342"/>
  </conditionalFormatting>
  <conditionalFormatting sqref="F22:G22">
    <cfRule type="duplicateValues" dxfId="1404" priority="3338"/>
  </conditionalFormatting>
  <conditionalFormatting sqref="O22:O24">
    <cfRule type="cellIs" dxfId="1403" priority="3335" operator="equal">
      <formula>30</formula>
    </cfRule>
  </conditionalFormatting>
  <conditionalFormatting sqref="F23:G23">
    <cfRule type="duplicateValues" dxfId="1402" priority="3333"/>
  </conditionalFormatting>
  <conditionalFormatting sqref="F24:G24">
    <cfRule type="duplicateValues" dxfId="1401" priority="3328"/>
  </conditionalFormatting>
  <conditionalFormatting sqref="O25:O81">
    <cfRule type="cellIs" dxfId="1400" priority="3317" operator="equal">
      <formula>40</formula>
    </cfRule>
    <cfRule type="cellIs" dxfId="1399" priority="3318" operator="equal">
      <formula>30</formula>
    </cfRule>
  </conditionalFormatting>
  <conditionalFormatting sqref="F25:G25">
    <cfRule type="duplicateValues" dxfId="1398" priority="3321"/>
  </conditionalFormatting>
  <conditionalFormatting sqref="F26:G26">
    <cfRule type="duplicateValues" dxfId="1397" priority="3315"/>
  </conditionalFormatting>
  <conditionalFormatting sqref="F27:G27">
    <cfRule type="duplicateValues" dxfId="1396" priority="3309"/>
  </conditionalFormatting>
  <conditionalFormatting sqref="F28:G28">
    <cfRule type="duplicateValues" dxfId="1395" priority="3303"/>
  </conditionalFormatting>
  <conditionalFormatting sqref="F29:G29">
    <cfRule type="duplicateValues" dxfId="1394" priority="3297"/>
  </conditionalFormatting>
  <conditionalFormatting sqref="F30:G30">
    <cfRule type="duplicateValues" dxfId="1393" priority="3291"/>
  </conditionalFormatting>
  <conditionalFormatting sqref="F31:G31">
    <cfRule type="duplicateValues" dxfId="1392" priority="3285"/>
  </conditionalFormatting>
  <conditionalFormatting sqref="F32:G32">
    <cfRule type="duplicateValues" dxfId="1391" priority="3279"/>
  </conditionalFormatting>
  <conditionalFormatting sqref="F33:G33">
    <cfRule type="duplicateValues" dxfId="1390" priority="3273"/>
  </conditionalFormatting>
  <conditionalFormatting sqref="F34:G34">
    <cfRule type="duplicateValues" dxfId="1389" priority="3267"/>
  </conditionalFormatting>
  <conditionalFormatting sqref="F35:G35">
    <cfRule type="duplicateValues" dxfId="1388" priority="3261"/>
  </conditionalFormatting>
  <conditionalFormatting sqref="F36:G36">
    <cfRule type="duplicateValues" dxfId="1387" priority="3255"/>
  </conditionalFormatting>
  <conditionalFormatting sqref="F37:G37">
    <cfRule type="duplicateValues" dxfId="1386" priority="3249"/>
  </conditionalFormatting>
  <conditionalFormatting sqref="F38:G38">
    <cfRule type="duplicateValues" dxfId="1385" priority="3240"/>
  </conditionalFormatting>
  <conditionalFormatting sqref="F39:G39">
    <cfRule type="duplicateValues" dxfId="1384" priority="3235"/>
  </conditionalFormatting>
  <conditionalFormatting sqref="F40:G40">
    <cfRule type="duplicateValues" dxfId="1383" priority="3231"/>
  </conditionalFormatting>
  <conditionalFormatting sqref="F41:G41">
    <cfRule type="duplicateValues" dxfId="1382" priority="3225"/>
  </conditionalFormatting>
  <conditionalFormatting sqref="AB41:AB52 AB56:AB89 AB96:AB259 AG258:AG268">
    <cfRule type="cellIs" dxfId="1381" priority="3220" operator="between">
      <formula>0</formula>
      <formula>7</formula>
    </cfRule>
  </conditionalFormatting>
  <conditionalFormatting sqref="AB41:AB52 AB56:AB89 AB96:AB259 AG258:AG268">
    <cfRule type="cellIs" dxfId="1380" priority="3219" operator="between">
      <formula>-10</formula>
      <formula>-1</formula>
    </cfRule>
  </conditionalFormatting>
  <conditionalFormatting sqref="AB41:AB52 AB56:AB89 AB96:AB259 AG258:AG268">
    <cfRule type="cellIs" dxfId="1379" priority="3218" operator="between">
      <formula>8</formula>
      <formula>200</formula>
    </cfRule>
  </conditionalFormatting>
  <conditionalFormatting sqref="F42:G42">
    <cfRule type="duplicateValues" dxfId="1378" priority="3216"/>
  </conditionalFormatting>
  <conditionalFormatting sqref="F43:G43">
    <cfRule type="duplicateValues" dxfId="1377" priority="3198"/>
  </conditionalFormatting>
  <conditionalFormatting sqref="F44:G44">
    <cfRule type="duplicateValues" dxfId="1376" priority="3189"/>
  </conditionalFormatting>
  <conditionalFormatting sqref="F45:G45">
    <cfRule type="duplicateValues" dxfId="1375" priority="3180"/>
  </conditionalFormatting>
  <conditionalFormatting sqref="F46:G46">
    <cfRule type="duplicateValues" dxfId="1374" priority="3171"/>
  </conditionalFormatting>
  <conditionalFormatting sqref="F47:G47">
    <cfRule type="duplicateValues" dxfId="1373" priority="3162"/>
  </conditionalFormatting>
  <conditionalFormatting sqref="F48:G48">
    <cfRule type="duplicateValues" dxfId="1372" priority="3153"/>
  </conditionalFormatting>
  <conditionalFormatting sqref="F49:G49">
    <cfRule type="duplicateValues" dxfId="1371" priority="3144"/>
  </conditionalFormatting>
  <conditionalFormatting sqref="F50:G50">
    <cfRule type="duplicateValues" dxfId="1370" priority="3135"/>
  </conditionalFormatting>
  <conditionalFormatting sqref="F51:G51">
    <cfRule type="duplicateValues" dxfId="1369" priority="3126"/>
  </conditionalFormatting>
  <conditionalFormatting sqref="F52:G52">
    <cfRule type="duplicateValues" dxfId="1368" priority="3117"/>
  </conditionalFormatting>
  <conditionalFormatting sqref="F53:G53">
    <cfRule type="duplicateValues" dxfId="1367" priority="3109"/>
  </conditionalFormatting>
  <conditionalFormatting sqref="F54:G54">
    <cfRule type="duplicateValues" dxfId="1366" priority="3105"/>
  </conditionalFormatting>
  <conditionalFormatting sqref="F55:G55">
    <cfRule type="duplicateValues" dxfId="1365" priority="3099"/>
  </conditionalFormatting>
  <conditionalFormatting sqref="F56:G56">
    <cfRule type="duplicateValues" dxfId="1364" priority="3093"/>
  </conditionalFormatting>
  <conditionalFormatting sqref="F57:G57">
    <cfRule type="duplicateValues" dxfId="1363" priority="3084"/>
  </conditionalFormatting>
  <conditionalFormatting sqref="F58:G58">
    <cfRule type="duplicateValues" dxfId="1362" priority="3075"/>
  </conditionalFormatting>
  <conditionalFormatting sqref="F59:G59">
    <cfRule type="duplicateValues" dxfId="1361" priority="3066"/>
  </conditionalFormatting>
  <conditionalFormatting sqref="F60:G60">
    <cfRule type="duplicateValues" dxfId="1360" priority="3057"/>
  </conditionalFormatting>
  <conditionalFormatting sqref="F61:G61">
    <cfRule type="duplicateValues" dxfId="1359" priority="3048"/>
  </conditionalFormatting>
  <conditionalFormatting sqref="F62:G62">
    <cfRule type="duplicateValues" dxfId="1358" priority="3039"/>
  </conditionalFormatting>
  <conditionalFormatting sqref="F63:G63">
    <cfRule type="duplicateValues" dxfId="1357" priority="3030"/>
  </conditionalFormatting>
  <conditionalFormatting sqref="F64:G64">
    <cfRule type="duplicateValues" dxfId="1356" priority="3021"/>
  </conditionalFormatting>
  <conditionalFormatting sqref="F65:G65">
    <cfRule type="duplicateValues" dxfId="1355" priority="3012"/>
  </conditionalFormatting>
  <conditionalFormatting sqref="F66:G66">
    <cfRule type="duplicateValues" dxfId="1354" priority="3003"/>
  </conditionalFormatting>
  <conditionalFormatting sqref="F67:G67">
    <cfRule type="duplicateValues" dxfId="1353" priority="2994"/>
  </conditionalFormatting>
  <conditionalFormatting sqref="F68:G68">
    <cfRule type="duplicateValues" dxfId="1352" priority="2985"/>
  </conditionalFormatting>
  <conditionalFormatting sqref="F69:G69 F73:G73">
    <cfRule type="duplicateValues" dxfId="1351" priority="2976"/>
  </conditionalFormatting>
  <conditionalFormatting sqref="F70:G70">
    <cfRule type="duplicateValues" dxfId="1350" priority="2967"/>
  </conditionalFormatting>
  <conditionalFormatting sqref="F71:G71">
    <cfRule type="duplicateValues" dxfId="1349" priority="2958"/>
  </conditionalFormatting>
  <conditionalFormatting sqref="F72:G72">
    <cfRule type="duplicateValues" dxfId="1348" priority="2949"/>
  </conditionalFormatting>
  <conditionalFormatting sqref="F73:G73">
    <cfRule type="duplicateValues" dxfId="1347" priority="2940"/>
  </conditionalFormatting>
  <conditionalFormatting sqref="F74:G74">
    <cfRule type="duplicateValues" dxfId="1346" priority="2931"/>
  </conditionalFormatting>
  <conditionalFormatting sqref="F75:G75">
    <cfRule type="duplicateValues" dxfId="1345" priority="2922"/>
  </conditionalFormatting>
  <conditionalFormatting sqref="F76:G76">
    <cfRule type="duplicateValues" dxfId="1344" priority="2913"/>
  </conditionalFormatting>
  <conditionalFormatting sqref="F77:G77">
    <cfRule type="duplicateValues" dxfId="1343" priority="2904"/>
  </conditionalFormatting>
  <conditionalFormatting sqref="F78:G78">
    <cfRule type="duplicateValues" dxfId="1342" priority="2895"/>
  </conditionalFormatting>
  <conditionalFormatting sqref="F79:G79">
    <cfRule type="duplicateValues" dxfId="1341" priority="2886"/>
  </conditionalFormatting>
  <conditionalFormatting sqref="F80:G80">
    <cfRule type="duplicateValues" dxfId="1340" priority="2877"/>
  </conditionalFormatting>
  <conditionalFormatting sqref="F81:G81">
    <cfRule type="duplicateValues" dxfId="1339" priority="2868"/>
  </conditionalFormatting>
  <conditionalFormatting sqref="F82:G82">
    <cfRule type="duplicateValues" dxfId="1338" priority="2859"/>
  </conditionalFormatting>
  <conditionalFormatting sqref="AA90 AM90 BC90 O1:O2 O82:O264">
    <cfRule type="cellIs" dxfId="1337" priority="2854" operator="between">
      <formula>63</formula>
      <formula>70</formula>
    </cfRule>
    <cfRule type="cellIs" dxfId="1336" priority="2855" operator="equal">
      <formula>40</formula>
    </cfRule>
    <cfRule type="cellIs" dxfId="1335" priority="2856" operator="equal">
      <formula>30</formula>
    </cfRule>
  </conditionalFormatting>
  <conditionalFormatting sqref="F83:G83">
    <cfRule type="duplicateValues" dxfId="1334" priority="2849"/>
  </conditionalFormatting>
  <conditionalFormatting sqref="F84:G84">
    <cfRule type="duplicateValues" dxfId="1333" priority="2839"/>
  </conditionalFormatting>
  <conditionalFormatting sqref="F85:G85">
    <cfRule type="duplicateValues" dxfId="1332" priority="2829"/>
  </conditionalFormatting>
  <conditionalFormatting sqref="F86:G86">
    <cfRule type="duplicateValues" dxfId="1331" priority="2819"/>
  </conditionalFormatting>
  <conditionalFormatting sqref="F87:G87">
    <cfRule type="duplicateValues" dxfId="1330" priority="2809"/>
  </conditionalFormatting>
  <conditionalFormatting sqref="F88:G88">
    <cfRule type="duplicateValues" dxfId="1329" priority="2799"/>
  </conditionalFormatting>
  <conditionalFormatting sqref="F89:G89">
    <cfRule type="duplicateValues" dxfId="1328" priority="2789"/>
  </conditionalFormatting>
  <conditionalFormatting sqref="U90 F90:G90 AG90">
    <cfRule type="duplicateValues" dxfId="1327" priority="2780"/>
  </conditionalFormatting>
  <conditionalFormatting sqref="F91:G91">
    <cfRule type="duplicateValues" dxfId="1326" priority="2776"/>
  </conditionalFormatting>
  <conditionalFormatting sqref="F92:G92">
    <cfRule type="duplicateValues" dxfId="1325" priority="2772"/>
  </conditionalFormatting>
  <conditionalFormatting sqref="F93:G93">
    <cfRule type="duplicateValues" dxfId="1324" priority="2768"/>
  </conditionalFormatting>
  <conditionalFormatting sqref="F94:G94">
    <cfRule type="duplicateValues" dxfId="1323" priority="2764"/>
  </conditionalFormatting>
  <conditionalFormatting sqref="F95:G95">
    <cfRule type="duplicateValues" dxfId="1322" priority="2760"/>
  </conditionalFormatting>
  <conditionalFormatting sqref="F99:G99">
    <cfRule type="duplicateValues" dxfId="1321" priority="2725"/>
  </conditionalFormatting>
  <conditionalFormatting sqref="F100:G100">
    <cfRule type="duplicateValues" dxfId="1320" priority="2715"/>
  </conditionalFormatting>
  <conditionalFormatting sqref="F101:G124">
    <cfRule type="duplicateValues" dxfId="1319" priority="2705"/>
  </conditionalFormatting>
  <conditionalFormatting sqref="F96:G96">
    <cfRule type="duplicateValues" dxfId="1318" priority="3404"/>
  </conditionalFormatting>
  <conditionalFormatting sqref="F97:G97">
    <cfRule type="duplicateValues" dxfId="1317" priority="3405"/>
  </conditionalFormatting>
  <conditionalFormatting sqref="F98:G98">
    <cfRule type="duplicateValues" dxfId="1316" priority="3406"/>
  </conditionalFormatting>
  <conditionalFormatting sqref="F125:G125">
    <cfRule type="duplicateValues" dxfId="1315" priority="2686"/>
  </conditionalFormatting>
  <conditionalFormatting sqref="F126:G126">
    <cfRule type="duplicateValues" dxfId="1314" priority="2676"/>
  </conditionalFormatting>
  <conditionalFormatting sqref="F127:G127">
    <cfRule type="duplicateValues" dxfId="1313" priority="2666"/>
  </conditionalFormatting>
  <conditionalFormatting sqref="F128:G128">
    <cfRule type="duplicateValues" dxfId="1312" priority="2656"/>
  </conditionalFormatting>
  <conditionalFormatting sqref="F129:G129">
    <cfRule type="duplicateValues" dxfId="1311" priority="2637"/>
  </conditionalFormatting>
  <conditionalFormatting sqref="F130:G130">
    <cfRule type="duplicateValues" dxfId="1310" priority="2627"/>
  </conditionalFormatting>
  <conditionalFormatting sqref="F131:G131">
    <cfRule type="duplicateValues" dxfId="1309" priority="2617"/>
  </conditionalFormatting>
  <conditionalFormatting sqref="F132:G132">
    <cfRule type="duplicateValues" dxfId="1308" priority="2607"/>
  </conditionalFormatting>
  <conditionalFormatting sqref="F133:G133">
    <cfRule type="duplicateValues" dxfId="1307" priority="2597"/>
  </conditionalFormatting>
  <conditionalFormatting sqref="F134:G134">
    <cfRule type="duplicateValues" dxfId="1306" priority="2587"/>
  </conditionalFormatting>
  <conditionalFormatting sqref="F135:G135">
    <cfRule type="duplicateValues" dxfId="1305" priority="2586"/>
  </conditionalFormatting>
  <conditionalFormatting sqref="F136:G136">
    <cfRule type="duplicateValues" dxfId="1304" priority="2576"/>
  </conditionalFormatting>
  <conditionalFormatting sqref="F137:G137">
    <cfRule type="duplicateValues" dxfId="1303" priority="2566"/>
  </conditionalFormatting>
  <conditionalFormatting sqref="F138:G138">
    <cfRule type="duplicateValues" dxfId="1302" priority="2547"/>
  </conditionalFormatting>
  <conditionalFormatting sqref="F139:G139">
    <cfRule type="duplicateValues" dxfId="1301" priority="2546"/>
  </conditionalFormatting>
  <conditionalFormatting sqref="F140:G140">
    <cfRule type="duplicateValues" dxfId="1300" priority="2536"/>
  </conditionalFormatting>
  <conditionalFormatting sqref="F141:G141">
    <cfRule type="duplicateValues" dxfId="1299" priority="2526"/>
  </conditionalFormatting>
  <conditionalFormatting sqref="F142:G142">
    <cfRule type="duplicateValues" dxfId="1298" priority="2497"/>
  </conditionalFormatting>
  <conditionalFormatting sqref="F143:G143">
    <cfRule type="duplicateValues" dxfId="1297" priority="2487"/>
  </conditionalFormatting>
  <conditionalFormatting sqref="F144:G144">
    <cfRule type="duplicateValues" dxfId="1296" priority="2477"/>
  </conditionalFormatting>
  <conditionalFormatting sqref="F145:G145">
    <cfRule type="duplicateValues" dxfId="1295" priority="2467"/>
  </conditionalFormatting>
  <conditionalFormatting sqref="F146:G146">
    <cfRule type="duplicateValues" dxfId="1294" priority="2457"/>
  </conditionalFormatting>
  <conditionalFormatting sqref="F147:G147">
    <cfRule type="duplicateValues" dxfId="1293" priority="2447"/>
  </conditionalFormatting>
  <conditionalFormatting sqref="F148:G148">
    <cfRule type="duplicateValues" dxfId="1292" priority="2437"/>
  </conditionalFormatting>
  <conditionalFormatting sqref="F149:G149">
    <cfRule type="duplicateValues" dxfId="1291" priority="2427"/>
  </conditionalFormatting>
  <conditionalFormatting sqref="F150:G150">
    <cfRule type="duplicateValues" dxfId="1290" priority="2426"/>
  </conditionalFormatting>
  <conditionalFormatting sqref="F151:G151">
    <cfRule type="duplicateValues" dxfId="1289" priority="2407"/>
  </conditionalFormatting>
  <conditionalFormatting sqref="F152:G152">
    <cfRule type="duplicateValues" dxfId="1288" priority="2397"/>
  </conditionalFormatting>
  <conditionalFormatting sqref="AI152:AI157 AI1:AI2 AI159:AI259 AN258:AN268">
    <cfRule type="cellIs" dxfId="1287" priority="2396" operator="between">
      <formula>5</formula>
      <formula>2500</formula>
    </cfRule>
  </conditionalFormatting>
  <conditionalFormatting sqref="F153:G153">
    <cfRule type="duplicateValues" dxfId="1286" priority="2386"/>
  </conditionalFormatting>
  <conditionalFormatting sqref="F154:G154">
    <cfRule type="duplicateValues" dxfId="1285" priority="2375"/>
  </conditionalFormatting>
  <conditionalFormatting sqref="F155:G155">
    <cfRule type="duplicateValues" dxfId="1284" priority="2364"/>
  </conditionalFormatting>
  <conditionalFormatting sqref="F156:G156">
    <cfRule type="duplicateValues" dxfId="1283" priority="2353"/>
  </conditionalFormatting>
  <conditionalFormatting sqref="F157:G157">
    <cfRule type="duplicateValues" dxfId="1282" priority="2342"/>
  </conditionalFormatting>
  <conditionalFormatting sqref="F159:G159">
    <cfRule type="duplicateValues" dxfId="1281" priority="2331"/>
  </conditionalFormatting>
  <conditionalFormatting sqref="F161:G161">
    <cfRule type="duplicateValues" dxfId="1280" priority="2318"/>
  </conditionalFormatting>
  <conditionalFormatting sqref="F162:G162">
    <cfRule type="duplicateValues" dxfId="1279" priority="2307"/>
  </conditionalFormatting>
  <conditionalFormatting sqref="F170:G170">
    <cfRule type="duplicateValues" dxfId="1278" priority="2296"/>
  </conditionalFormatting>
  <conditionalFormatting sqref="F163:G163">
    <cfRule type="duplicateValues" dxfId="1277" priority="2285"/>
  </conditionalFormatting>
  <conditionalFormatting sqref="F164:G164">
    <cfRule type="duplicateValues" dxfId="1276" priority="2274"/>
  </conditionalFormatting>
  <conditionalFormatting sqref="F165:G165">
    <cfRule type="duplicateValues" dxfId="1275" priority="2263"/>
  </conditionalFormatting>
  <conditionalFormatting sqref="F166:G166">
    <cfRule type="duplicateValues" dxfId="1274" priority="2252"/>
  </conditionalFormatting>
  <conditionalFormatting sqref="F167:G167">
    <cfRule type="duplicateValues" dxfId="1273" priority="2241"/>
  </conditionalFormatting>
  <conditionalFormatting sqref="F168:G168">
    <cfRule type="duplicateValues" dxfId="1272" priority="2230"/>
  </conditionalFormatting>
  <conditionalFormatting sqref="F169:G169">
    <cfRule type="duplicateValues" dxfId="1271" priority="2219"/>
  </conditionalFormatting>
  <conditionalFormatting sqref="F171:G178">
    <cfRule type="duplicateValues" dxfId="1270" priority="2188"/>
  </conditionalFormatting>
  <conditionalFormatting sqref="F179:G179">
    <cfRule type="duplicateValues" dxfId="1269" priority="2177"/>
  </conditionalFormatting>
  <conditionalFormatting sqref="F180:G180">
    <cfRule type="duplicateValues" dxfId="1268" priority="2175"/>
  </conditionalFormatting>
  <conditionalFormatting sqref="F185:G185">
    <cfRule type="duplicateValues" dxfId="1267" priority="2164"/>
  </conditionalFormatting>
  <conditionalFormatting sqref="F186:G186">
    <cfRule type="duplicateValues" dxfId="1266" priority="2144"/>
  </conditionalFormatting>
  <conditionalFormatting sqref="F142:G149 F129:G134 F138:G138 F151:G160 F171:G179 F181:G184 F186:G186">
    <cfRule type="duplicateValues" dxfId="1265" priority="3770"/>
  </conditionalFormatting>
  <conditionalFormatting sqref="F160:G160 F171:G179 F181:G184 F186:G186">
    <cfRule type="duplicateValues" dxfId="1264" priority="3777"/>
  </conditionalFormatting>
  <conditionalFormatting sqref="F187:G187">
    <cfRule type="duplicateValues" dxfId="1263" priority="2142"/>
  </conditionalFormatting>
  <conditionalFormatting sqref="F188:G188">
    <cfRule type="duplicateValues" dxfId="1262" priority="2131"/>
  </conditionalFormatting>
  <conditionalFormatting sqref="F189:G189">
    <cfRule type="duplicateValues" dxfId="1261" priority="2120"/>
  </conditionalFormatting>
  <conditionalFormatting sqref="F190:G190">
    <cfRule type="duplicateValues" dxfId="1260" priority="2100"/>
  </conditionalFormatting>
  <conditionalFormatting sqref="F191:G191">
    <cfRule type="duplicateValues" dxfId="1259" priority="2089"/>
  </conditionalFormatting>
  <conditionalFormatting sqref="F192:G192">
    <cfRule type="duplicateValues" dxfId="1258" priority="2078"/>
  </conditionalFormatting>
  <conditionalFormatting sqref="F193:G193">
    <cfRule type="duplicateValues" dxfId="1257" priority="2067"/>
  </conditionalFormatting>
  <conditionalFormatting sqref="F194:G194">
    <cfRule type="duplicateValues" dxfId="1256" priority="2056"/>
  </conditionalFormatting>
  <conditionalFormatting sqref="F195:G195">
    <cfRule type="duplicateValues" dxfId="1255" priority="2045"/>
  </conditionalFormatting>
  <conditionalFormatting sqref="F196:G196">
    <cfRule type="duplicateValues" dxfId="1254" priority="2034"/>
  </conditionalFormatting>
  <conditionalFormatting sqref="F197:G197">
    <cfRule type="duplicateValues" dxfId="1253" priority="2023"/>
  </conditionalFormatting>
  <conditionalFormatting sqref="F198:G198">
    <cfRule type="duplicateValues" dxfId="1252" priority="2012"/>
  </conditionalFormatting>
  <conditionalFormatting sqref="F199:G199">
    <cfRule type="duplicateValues" dxfId="1251" priority="2001"/>
  </conditionalFormatting>
  <conditionalFormatting sqref="F200:G200">
    <cfRule type="duplicateValues" dxfId="1250" priority="1990"/>
  </conditionalFormatting>
  <conditionalFormatting sqref="F201:G201">
    <cfRule type="duplicateValues" dxfId="1249" priority="1979"/>
  </conditionalFormatting>
  <conditionalFormatting sqref="F202:G202">
    <cfRule type="duplicateValues" dxfId="1248" priority="1968"/>
  </conditionalFormatting>
  <conditionalFormatting sqref="F203:G203">
    <cfRule type="duplicateValues" dxfId="1247" priority="1966"/>
  </conditionalFormatting>
  <conditionalFormatting sqref="F204:G204">
    <cfRule type="duplicateValues" dxfId="1246" priority="1955"/>
  </conditionalFormatting>
  <conditionalFormatting sqref="F205:G205">
    <cfRule type="duplicateValues" dxfId="1245" priority="1944"/>
  </conditionalFormatting>
  <conditionalFormatting sqref="F206:G206">
    <cfRule type="duplicateValues" dxfId="1244" priority="1933"/>
  </conditionalFormatting>
  <conditionalFormatting sqref="F207:G207">
    <cfRule type="duplicateValues" dxfId="1243" priority="1913"/>
  </conditionalFormatting>
  <conditionalFormatting sqref="F208:G208">
    <cfRule type="duplicateValues" dxfId="1242" priority="1902"/>
  </conditionalFormatting>
  <conditionalFormatting sqref="F209:G209">
    <cfRule type="duplicateValues" dxfId="1241" priority="1891"/>
  </conditionalFormatting>
  <conditionalFormatting sqref="F210:G210">
    <cfRule type="duplicateValues" dxfId="1240" priority="1889"/>
  </conditionalFormatting>
  <conditionalFormatting sqref="F211:G211 F221:G222 F226:G230 F248:G259">
    <cfRule type="duplicateValues" dxfId="1239" priority="1878"/>
  </conditionalFormatting>
  <conditionalFormatting sqref="F212:G212">
    <cfRule type="duplicateValues" dxfId="1238" priority="1856"/>
  </conditionalFormatting>
  <conditionalFormatting sqref="F213:G213">
    <cfRule type="duplicateValues" dxfId="1237" priority="1845"/>
  </conditionalFormatting>
  <conditionalFormatting sqref="F214:G214">
    <cfRule type="duplicateValues" dxfId="1236" priority="1834"/>
  </conditionalFormatting>
  <conditionalFormatting sqref="F215:G215">
    <cfRule type="duplicateValues" dxfId="1235" priority="1823"/>
  </conditionalFormatting>
  <conditionalFormatting sqref="F216:G216">
    <cfRule type="duplicateValues" dxfId="1234" priority="1802"/>
  </conditionalFormatting>
  <conditionalFormatting sqref="F217:G217">
    <cfRule type="duplicateValues" dxfId="1233" priority="1801"/>
  </conditionalFormatting>
  <conditionalFormatting sqref="F218:G218">
    <cfRule type="duplicateValues" dxfId="1232" priority="1790"/>
  </conditionalFormatting>
  <conditionalFormatting sqref="F219:G219">
    <cfRule type="duplicateValues" dxfId="1231" priority="1779"/>
  </conditionalFormatting>
  <conditionalFormatting sqref="F220:G220">
    <cfRule type="duplicateValues" dxfId="1230" priority="1768"/>
  </conditionalFormatting>
  <conditionalFormatting sqref="F221:G221">
    <cfRule type="duplicateValues" dxfId="1229" priority="1748"/>
  </conditionalFormatting>
  <conditionalFormatting sqref="F222:G222">
    <cfRule type="duplicateValues" dxfId="1228" priority="1730"/>
  </conditionalFormatting>
  <conditionalFormatting sqref="F223:G223">
    <cfRule type="duplicateValues" dxfId="1227" priority="1728"/>
  </conditionalFormatting>
  <conditionalFormatting sqref="F224:G224">
    <cfRule type="duplicateValues" dxfId="1226" priority="1717"/>
  </conditionalFormatting>
  <conditionalFormatting sqref="F225:G225">
    <cfRule type="duplicateValues" dxfId="1225" priority="1706"/>
  </conditionalFormatting>
  <conditionalFormatting sqref="F226:G226">
    <cfRule type="duplicateValues" dxfId="1224" priority="1686"/>
  </conditionalFormatting>
  <conditionalFormatting sqref="F227:G227">
    <cfRule type="duplicateValues" dxfId="1223" priority="1675"/>
  </conditionalFormatting>
  <conditionalFormatting sqref="F228:G228">
    <cfRule type="duplicateValues" dxfId="1222" priority="1664"/>
  </conditionalFormatting>
  <conditionalFormatting sqref="F229:G229">
    <cfRule type="duplicateValues" dxfId="1221" priority="1652"/>
  </conditionalFormatting>
  <conditionalFormatting sqref="F230:G230">
    <cfRule type="duplicateValues" dxfId="1220" priority="1641"/>
  </conditionalFormatting>
  <conditionalFormatting sqref="F231:G231">
    <cfRule type="duplicateValues" dxfId="1219" priority="1640"/>
  </conditionalFormatting>
  <conditionalFormatting sqref="F232:G232">
    <cfRule type="duplicateValues" dxfId="1218" priority="1629"/>
  </conditionalFormatting>
  <conditionalFormatting sqref="F233:G233">
    <cfRule type="duplicateValues" dxfId="1217" priority="1618"/>
  </conditionalFormatting>
  <conditionalFormatting sqref="F234:G234">
    <cfRule type="duplicateValues" dxfId="1216" priority="1607"/>
  </conditionalFormatting>
  <conditionalFormatting sqref="F235:G235">
    <cfRule type="duplicateValues" dxfId="1215" priority="1596"/>
  </conditionalFormatting>
  <conditionalFormatting sqref="F236:G236">
    <cfRule type="duplicateValues" dxfId="1214" priority="1585"/>
  </conditionalFormatting>
  <conditionalFormatting sqref="F237:G237">
    <cfRule type="duplicateValues" dxfId="1213" priority="1574"/>
  </conditionalFormatting>
  <conditionalFormatting sqref="F238:G238">
    <cfRule type="duplicateValues" dxfId="1212" priority="1563"/>
  </conditionalFormatting>
  <conditionalFormatting sqref="F239:G239">
    <cfRule type="duplicateValues" dxfId="1211" priority="1552"/>
  </conditionalFormatting>
  <conditionalFormatting sqref="F240:G240">
    <cfRule type="duplicateValues" dxfId="1210" priority="1541"/>
  </conditionalFormatting>
  <conditionalFormatting sqref="F241:G241">
    <cfRule type="duplicateValues" dxfId="1209" priority="1530"/>
  </conditionalFormatting>
  <conditionalFormatting sqref="F242:G242">
    <cfRule type="duplicateValues" dxfId="1208" priority="1519"/>
  </conditionalFormatting>
  <conditionalFormatting sqref="F243:G243">
    <cfRule type="duplicateValues" dxfId="1207" priority="1508"/>
  </conditionalFormatting>
  <conditionalFormatting sqref="F244:G244">
    <cfRule type="duplicateValues" dxfId="1206" priority="1497"/>
  </conditionalFormatting>
  <conditionalFormatting sqref="AQ244:AQ257 BA258:BA268 AV248:AV268">
    <cfRule type="cellIs" dxfId="1205" priority="1486" operator="equal">
      <formula>"ПОДЛЕЖИТ ВАКЦИНАЦИИ"</formula>
    </cfRule>
  </conditionalFormatting>
  <conditionalFormatting sqref="AT244:AT257">
    <cfRule type="cellIs" dxfId="1204" priority="1485" operator="equal">
      <formula>"ЖИВОТНОЕ НЕ ВАКЦИНИРОВАНО"</formula>
    </cfRule>
  </conditionalFormatting>
  <conditionalFormatting sqref="F245:G245">
    <cfRule type="duplicateValues" dxfId="1203" priority="1476"/>
  </conditionalFormatting>
  <conditionalFormatting sqref="F246:G246">
    <cfRule type="duplicateValues" dxfId="1202" priority="1455"/>
  </conditionalFormatting>
  <conditionalFormatting sqref="F247:G247">
    <cfRule type="duplicateValues" dxfId="1201" priority="1434"/>
  </conditionalFormatting>
  <conditionalFormatting sqref="F248">
    <cfRule type="duplicateValues" dxfId="1200" priority="1403"/>
  </conditionalFormatting>
  <conditionalFormatting sqref="AV248:AV257 BA258:BA268">
    <cfRule type="cellIs" dxfId="1199" priority="1400" operator="equal">
      <formula>"ТРЕБУЕТСЯ ВАКЦИНАЦИЯ"</formula>
    </cfRule>
  </conditionalFormatting>
  <conditionalFormatting sqref="AZ248:BA257">
    <cfRule type="cellIs" dxfId="1198" priority="1399" operator="equal">
      <formula>"ТРЕБУЕТСЯ БУСТЕРНАЯ ДОЗА"</formula>
    </cfRule>
  </conditionalFormatting>
  <conditionalFormatting sqref="BA248:BA257">
    <cfRule type="timePeriod" dxfId="1197" priority="1397" timePeriod="today">
      <formula>FLOOR(BA248,1)=TODAY()</formula>
    </cfRule>
    <cfRule type="timePeriod" dxfId="1196" priority="1398" timePeriod="tomorrow">
      <formula>FLOOR(BA248,1)=TODAY()+1</formula>
    </cfRule>
  </conditionalFormatting>
  <conditionalFormatting sqref="F249">
    <cfRule type="duplicateValues" dxfId="1195" priority="1381"/>
  </conditionalFormatting>
  <conditionalFormatting sqref="F250">
    <cfRule type="duplicateValues" dxfId="1194" priority="1359"/>
  </conditionalFormatting>
  <conditionalFormatting sqref="F251">
    <cfRule type="duplicateValues" dxfId="1193" priority="1337"/>
  </conditionalFormatting>
  <conditionalFormatting sqref="F252">
    <cfRule type="duplicateValues" dxfId="1192" priority="1315"/>
  </conditionalFormatting>
  <conditionalFormatting sqref="F253">
    <cfRule type="duplicateValues" dxfId="1191" priority="1293"/>
  </conditionalFormatting>
  <conditionalFormatting sqref="F254">
    <cfRule type="duplicateValues" dxfId="1190" priority="1271"/>
  </conditionalFormatting>
  <conditionalFormatting sqref="F255">
    <cfRule type="duplicateValues" dxfId="1189" priority="1249"/>
  </conditionalFormatting>
  <conditionalFormatting sqref="F256">
    <cfRule type="duplicateValues" dxfId="1188" priority="1227"/>
  </conditionalFormatting>
  <conditionalFormatting sqref="F257">
    <cfRule type="duplicateValues" dxfId="1187" priority="1205"/>
  </conditionalFormatting>
  <conditionalFormatting sqref="F258">
    <cfRule type="duplicateValues" dxfId="1186" priority="1183"/>
  </conditionalFormatting>
  <conditionalFormatting sqref="AY258:AY268">
    <cfRule type="cellIs" dxfId="1185" priority="1181" operator="equal">
      <formula>"Ж-Е НЕ ВАКЦ."</formula>
    </cfRule>
  </conditionalFormatting>
  <conditionalFormatting sqref="Z258:Z268">
    <cfRule type="cellIs" dxfId="1184" priority="1171" operator="equal">
      <formula>"ПОДЛЕЖИТ ПЕРЕПРОВЕРКЕ"</formula>
    </cfRule>
  </conditionalFormatting>
  <conditionalFormatting sqref="F259">
    <cfRule type="duplicateValues" dxfId="1183" priority="1160"/>
  </conditionalFormatting>
  <conditionalFormatting sqref="F260">
    <cfRule type="duplicateValues" dxfId="1182" priority="1137"/>
  </conditionalFormatting>
  <conditionalFormatting sqref="F261">
    <cfRule type="duplicateValues" dxfId="1181" priority="1113"/>
  </conditionalFormatting>
  <conditionalFormatting sqref="F262">
    <cfRule type="duplicateValues" dxfId="1180" priority="1089"/>
  </conditionalFormatting>
  <conditionalFormatting sqref="F263">
    <cfRule type="duplicateValues" dxfId="1179" priority="1065"/>
  </conditionalFormatting>
  <conditionalFormatting sqref="F264">
    <cfRule type="duplicateValues" dxfId="1178" priority="1041"/>
  </conditionalFormatting>
  <conditionalFormatting sqref="O265:O268">
    <cfRule type="cellIs" dxfId="1177" priority="1022" operator="between">
      <formula>63</formula>
      <formula>70</formula>
    </cfRule>
    <cfRule type="cellIs" dxfId="1176" priority="1023" operator="equal">
      <formula>42</formula>
    </cfRule>
    <cfRule type="cellIs" dxfId="1175" priority="1024" operator="equal">
      <formula>21</formula>
    </cfRule>
  </conditionalFormatting>
  <conditionalFormatting sqref="F265">
    <cfRule type="duplicateValues" dxfId="1174" priority="1017"/>
  </conditionalFormatting>
  <conditionalFormatting sqref="F266">
    <cfRule type="duplicateValues" dxfId="1173" priority="993"/>
  </conditionalFormatting>
  <conditionalFormatting sqref="F267">
    <cfRule type="duplicateValues" dxfId="1172" priority="969"/>
  </conditionalFormatting>
  <conditionalFormatting sqref="F268">
    <cfRule type="duplicateValues" dxfId="1171" priority="955"/>
  </conditionalFormatting>
  <conditionalFormatting sqref="V269">
    <cfRule type="cellIs" dxfId="1170" priority="907" operator="lessThan">
      <formula>21</formula>
    </cfRule>
  </conditionalFormatting>
  <conditionalFormatting sqref="U269">
    <cfRule type="timePeriod" dxfId="1169" priority="906" timePeriod="today">
      <formula>FLOOR(U269,1)=TODAY()</formula>
    </cfRule>
  </conditionalFormatting>
  <conditionalFormatting sqref="V269">
    <cfRule type="cellIs" dxfId="1168" priority="905" operator="between">
      <formula>0</formula>
      <formula>7</formula>
    </cfRule>
  </conditionalFormatting>
  <conditionalFormatting sqref="O269">
    <cfRule type="cellIs" dxfId="1167" priority="902" operator="between">
      <formula>63</formula>
      <formula>70</formula>
    </cfRule>
    <cfRule type="cellIs" dxfId="1166" priority="903" operator="equal">
      <formula>42</formula>
    </cfRule>
    <cfRule type="cellIs" dxfId="1165" priority="904" operator="equal">
      <formula>21</formula>
    </cfRule>
  </conditionalFormatting>
  <conditionalFormatting sqref="AG269">
    <cfRule type="cellIs" dxfId="1164" priority="901" operator="between">
      <formula>0</formula>
      <formula>7</formula>
    </cfRule>
  </conditionalFormatting>
  <conditionalFormatting sqref="AG269">
    <cfRule type="cellIs" dxfId="1163" priority="900" operator="between">
      <formula>-10</formula>
      <formula>-1</formula>
    </cfRule>
  </conditionalFormatting>
  <conditionalFormatting sqref="AG269">
    <cfRule type="cellIs" dxfId="1162" priority="899" operator="between">
      <formula>8</formula>
      <formula>200</formula>
    </cfRule>
  </conditionalFormatting>
  <conditionalFormatting sqref="AN269">
    <cfRule type="cellIs" dxfId="1161" priority="898" operator="between">
      <formula>5</formula>
      <formula>2500</formula>
    </cfRule>
  </conditionalFormatting>
  <conditionalFormatting sqref="F269">
    <cfRule type="duplicateValues" dxfId="1160" priority="897"/>
  </conditionalFormatting>
  <conditionalFormatting sqref="AV269 BA269">
    <cfRule type="cellIs" dxfId="1159" priority="896" operator="equal">
      <formula>"ПОДЛЕЖИТ ВАКЦИНАЦИИ"</formula>
    </cfRule>
  </conditionalFormatting>
  <conditionalFormatting sqref="AY269">
    <cfRule type="cellIs" dxfId="1158" priority="895" operator="equal">
      <formula>"Ж-Е НЕ ВАКЦ."</formula>
    </cfRule>
  </conditionalFormatting>
  <conditionalFormatting sqref="BA269">
    <cfRule type="cellIs" dxfId="1157" priority="894" operator="equal">
      <formula>"ТРЕБУЕТСЯ ВАКЦИНАЦИЯ"</formula>
    </cfRule>
  </conditionalFormatting>
  <conditionalFormatting sqref="Z269">
    <cfRule type="cellIs" dxfId="1156" priority="885" operator="equal">
      <formula>"ПОДЛЕЖИТ ПЕРЕПРОВЕРКЕ"</formula>
    </cfRule>
  </conditionalFormatting>
  <conditionalFormatting sqref="V270">
    <cfRule type="cellIs" dxfId="1155" priority="883" operator="lessThan">
      <formula>21</formula>
    </cfRule>
  </conditionalFormatting>
  <conditionalFormatting sqref="U270">
    <cfRule type="timePeriod" dxfId="1154" priority="882" timePeriod="today">
      <formula>FLOOR(U270,1)=TODAY()</formula>
    </cfRule>
  </conditionalFormatting>
  <conditionalFormatting sqref="V270">
    <cfRule type="cellIs" dxfId="1153" priority="881" operator="between">
      <formula>0</formula>
      <formula>7</formula>
    </cfRule>
  </conditionalFormatting>
  <conditionalFormatting sqref="O270">
    <cfRule type="cellIs" dxfId="1152" priority="878" operator="between">
      <formula>63</formula>
      <formula>70</formula>
    </cfRule>
    <cfRule type="cellIs" dxfId="1151" priority="879" operator="equal">
      <formula>42</formula>
    </cfRule>
    <cfRule type="cellIs" dxfId="1150" priority="880" operator="equal">
      <formula>21</formula>
    </cfRule>
  </conditionalFormatting>
  <conditionalFormatting sqref="AG270">
    <cfRule type="cellIs" dxfId="1149" priority="877" operator="between">
      <formula>0</formula>
      <formula>7</formula>
    </cfRule>
  </conditionalFormatting>
  <conditionalFormatting sqref="AG270">
    <cfRule type="cellIs" dxfId="1148" priority="876" operator="between">
      <formula>-10</formula>
      <formula>-1</formula>
    </cfRule>
  </conditionalFormatting>
  <conditionalFormatting sqref="AG270">
    <cfRule type="cellIs" dxfId="1147" priority="875" operator="between">
      <formula>8</formula>
      <formula>200</formula>
    </cfRule>
  </conditionalFormatting>
  <conditionalFormatting sqref="AN270">
    <cfRule type="cellIs" dxfId="1146" priority="874" operator="between">
      <formula>5</formula>
      <formula>2500</formula>
    </cfRule>
  </conditionalFormatting>
  <conditionalFormatting sqref="F270">
    <cfRule type="duplicateValues" dxfId="1145" priority="873"/>
  </conditionalFormatting>
  <conditionalFormatting sqref="BA270 AV270">
    <cfRule type="cellIs" dxfId="1144" priority="872" operator="equal">
      <formula>"ПОДЛЕЖИТ ВАКЦИНАЦИИ"</formula>
    </cfRule>
  </conditionalFormatting>
  <conditionalFormatting sqref="AY270">
    <cfRule type="cellIs" dxfId="1143" priority="871" operator="equal">
      <formula>"Ж-Е НЕ ВАКЦ."</formula>
    </cfRule>
  </conditionalFormatting>
  <conditionalFormatting sqref="BA270">
    <cfRule type="cellIs" dxfId="1142" priority="870" operator="equal">
      <formula>"ТРЕБУЕТСЯ ВАКЦИНАЦИЯ"</formula>
    </cfRule>
  </conditionalFormatting>
  <conditionalFormatting sqref="Z270">
    <cfRule type="cellIs" dxfId="1141" priority="861" operator="equal">
      <formula>"ПОДЛЕЖИТ ПЕРЕПРОВЕРКЕ"</formula>
    </cfRule>
  </conditionalFormatting>
  <conditionalFormatting sqref="V271">
    <cfRule type="cellIs" dxfId="1140" priority="859" operator="lessThan">
      <formula>21</formula>
    </cfRule>
  </conditionalFormatting>
  <conditionalFormatting sqref="U271">
    <cfRule type="timePeriod" dxfId="1139" priority="858" timePeriod="today">
      <formula>FLOOR(U271,1)=TODAY()</formula>
    </cfRule>
  </conditionalFormatting>
  <conditionalFormatting sqref="V271">
    <cfRule type="cellIs" dxfId="1138" priority="857" operator="between">
      <formula>0</formula>
      <formula>7</formula>
    </cfRule>
  </conditionalFormatting>
  <conditionalFormatting sqref="O271">
    <cfRule type="cellIs" dxfId="1137" priority="854" operator="between">
      <formula>63</formula>
      <formula>70</formula>
    </cfRule>
    <cfRule type="cellIs" dxfId="1136" priority="855" operator="equal">
      <formula>42</formula>
    </cfRule>
    <cfRule type="cellIs" dxfId="1135" priority="856" operator="equal">
      <formula>21</formula>
    </cfRule>
  </conditionalFormatting>
  <conditionalFormatting sqref="AG271">
    <cfRule type="cellIs" dxfId="1134" priority="853" operator="between">
      <formula>0</formula>
      <formula>7</formula>
    </cfRule>
  </conditionalFormatting>
  <conditionalFormatting sqref="AG271">
    <cfRule type="cellIs" dxfId="1133" priority="852" operator="between">
      <formula>-10</formula>
      <formula>-1</formula>
    </cfRule>
  </conditionalFormatting>
  <conditionalFormatting sqref="AG271">
    <cfRule type="cellIs" dxfId="1132" priority="851" operator="between">
      <formula>8</formula>
      <formula>200</formula>
    </cfRule>
  </conditionalFormatting>
  <conditionalFormatting sqref="AN271">
    <cfRule type="cellIs" dxfId="1131" priority="850" operator="between">
      <formula>5</formula>
      <formula>2500</formula>
    </cfRule>
  </conditionalFormatting>
  <conditionalFormatting sqref="F271">
    <cfRule type="duplicateValues" dxfId="1130" priority="849"/>
  </conditionalFormatting>
  <conditionalFormatting sqref="AV271 BA271">
    <cfRule type="cellIs" dxfId="1129" priority="848" operator="equal">
      <formula>"ПОДЛЕЖИТ ВАКЦИНАЦИИ"</formula>
    </cfRule>
  </conditionalFormatting>
  <conditionalFormatting sqref="AY271">
    <cfRule type="cellIs" dxfId="1128" priority="847" operator="equal">
      <formula>"Ж-Е НЕ ВАКЦ."</formula>
    </cfRule>
  </conditionalFormatting>
  <conditionalFormatting sqref="BA271">
    <cfRule type="cellIs" dxfId="1127" priority="846" operator="equal">
      <formula>"ТРЕБУЕТСЯ ВАКЦИНАЦИЯ"</formula>
    </cfRule>
  </conditionalFormatting>
  <conditionalFormatting sqref="Z271">
    <cfRule type="cellIs" dxfId="1126" priority="837" operator="equal">
      <formula>"ПОДЛЕЖИТ ПЕРЕПРОВЕРКЕ"</formula>
    </cfRule>
  </conditionalFormatting>
  <conditionalFormatting sqref="V272">
    <cfRule type="cellIs" dxfId="1125" priority="835" operator="lessThan">
      <formula>21</formula>
    </cfRule>
  </conditionalFormatting>
  <conditionalFormatting sqref="U272">
    <cfRule type="timePeriod" dxfId="1124" priority="834" timePeriod="today">
      <formula>FLOOR(U272,1)=TODAY()</formula>
    </cfRule>
  </conditionalFormatting>
  <conditionalFormatting sqref="V272">
    <cfRule type="cellIs" dxfId="1123" priority="833" operator="between">
      <formula>0</formula>
      <formula>7</formula>
    </cfRule>
  </conditionalFormatting>
  <conditionalFormatting sqref="O272">
    <cfRule type="cellIs" dxfId="1122" priority="830" operator="between">
      <formula>63</formula>
      <formula>70</formula>
    </cfRule>
    <cfRule type="cellIs" dxfId="1121" priority="831" operator="equal">
      <formula>42</formula>
    </cfRule>
    <cfRule type="cellIs" dxfId="1120" priority="832" operator="equal">
      <formula>21</formula>
    </cfRule>
  </conditionalFormatting>
  <conditionalFormatting sqref="AG272">
    <cfRule type="cellIs" dxfId="1119" priority="829" operator="between">
      <formula>0</formula>
      <formula>7</formula>
    </cfRule>
  </conditionalFormatting>
  <conditionalFormatting sqref="AG272">
    <cfRule type="cellIs" dxfId="1118" priority="828" operator="between">
      <formula>-10</formula>
      <formula>-1</formula>
    </cfRule>
  </conditionalFormatting>
  <conditionalFormatting sqref="AG272">
    <cfRule type="cellIs" dxfId="1117" priority="827" operator="between">
      <formula>8</formula>
      <formula>200</formula>
    </cfRule>
  </conditionalFormatting>
  <conditionalFormatting sqref="AN272">
    <cfRule type="cellIs" dxfId="1116" priority="826" operator="between">
      <formula>5</formula>
      <formula>2500</formula>
    </cfRule>
  </conditionalFormatting>
  <conditionalFormatting sqref="F272">
    <cfRule type="duplicateValues" dxfId="1115" priority="825"/>
  </conditionalFormatting>
  <conditionalFormatting sqref="BA272 AV272">
    <cfRule type="cellIs" dxfId="1114" priority="824" operator="equal">
      <formula>"ПОДЛЕЖИТ ВАКЦИНАЦИИ"</formula>
    </cfRule>
  </conditionalFormatting>
  <conditionalFormatting sqref="AY272">
    <cfRule type="cellIs" dxfId="1113" priority="823" operator="equal">
      <formula>"Ж-Е НЕ ВАКЦ."</formula>
    </cfRule>
  </conditionalFormatting>
  <conditionalFormatting sqref="BA272">
    <cfRule type="cellIs" dxfId="1112" priority="822" operator="equal">
      <formula>"ТРЕБУЕТСЯ ВАКЦИНАЦИЯ"</formula>
    </cfRule>
  </conditionalFormatting>
  <conditionalFormatting sqref="Z272">
    <cfRule type="cellIs" dxfId="1111" priority="813" operator="equal">
      <formula>"ПОДЛЕЖИТ ПЕРЕПРОВЕРКЕ"</formula>
    </cfRule>
  </conditionalFormatting>
  <conditionalFormatting sqref="V273">
    <cfRule type="cellIs" dxfId="1110" priority="811" operator="lessThan">
      <formula>21</formula>
    </cfRule>
  </conditionalFormatting>
  <conditionalFormatting sqref="U273">
    <cfRule type="timePeriod" dxfId="1109" priority="810" timePeriod="today">
      <formula>FLOOR(U273,1)=TODAY()</formula>
    </cfRule>
  </conditionalFormatting>
  <conditionalFormatting sqref="V273">
    <cfRule type="cellIs" dxfId="1108" priority="809" operator="between">
      <formula>0</formula>
      <formula>7</formula>
    </cfRule>
  </conditionalFormatting>
  <conditionalFormatting sqref="O273">
    <cfRule type="cellIs" dxfId="1107" priority="806" operator="between">
      <formula>63</formula>
      <formula>70</formula>
    </cfRule>
    <cfRule type="cellIs" dxfId="1106" priority="807" operator="equal">
      <formula>42</formula>
    </cfRule>
    <cfRule type="cellIs" dxfId="1105" priority="808" operator="equal">
      <formula>21</formula>
    </cfRule>
  </conditionalFormatting>
  <conditionalFormatting sqref="AG273">
    <cfRule type="cellIs" dxfId="1104" priority="805" operator="between">
      <formula>0</formula>
      <formula>7</formula>
    </cfRule>
  </conditionalFormatting>
  <conditionalFormatting sqref="AG273">
    <cfRule type="cellIs" dxfId="1103" priority="804" operator="between">
      <formula>-10</formula>
      <formula>-1</formula>
    </cfRule>
  </conditionalFormatting>
  <conditionalFormatting sqref="AG273">
    <cfRule type="cellIs" dxfId="1102" priority="803" operator="between">
      <formula>8</formula>
      <formula>200</formula>
    </cfRule>
  </conditionalFormatting>
  <conditionalFormatting sqref="AN273">
    <cfRule type="cellIs" dxfId="1101" priority="802" operator="between">
      <formula>5</formula>
      <formula>2500</formula>
    </cfRule>
  </conditionalFormatting>
  <conditionalFormatting sqref="F273">
    <cfRule type="duplicateValues" dxfId="1100" priority="801"/>
  </conditionalFormatting>
  <conditionalFormatting sqref="AV273 BA273">
    <cfRule type="cellIs" dxfId="1099" priority="800" operator="equal">
      <formula>"ПОДЛЕЖИТ ВАКЦИНАЦИИ"</formula>
    </cfRule>
  </conditionalFormatting>
  <conditionalFormatting sqref="AY273">
    <cfRule type="cellIs" dxfId="1098" priority="799" operator="equal">
      <formula>"Ж-Е НЕ ВАКЦ."</formula>
    </cfRule>
  </conditionalFormatting>
  <conditionalFormatting sqref="BA273">
    <cfRule type="cellIs" dxfId="1097" priority="798" operator="equal">
      <formula>"ТРЕБУЕТСЯ ВАКЦИНАЦИЯ"</formula>
    </cfRule>
  </conditionalFormatting>
  <conditionalFormatting sqref="Z273">
    <cfRule type="cellIs" dxfId="1096" priority="789" operator="equal">
      <formula>"ПОДЛЕЖИТ ПЕРЕПРОВЕРКЕ"</formula>
    </cfRule>
  </conditionalFormatting>
  <conditionalFormatting sqref="V274">
    <cfRule type="cellIs" dxfId="1095" priority="787" operator="lessThan">
      <formula>21</formula>
    </cfRule>
  </conditionalFormatting>
  <conditionalFormatting sqref="U274">
    <cfRule type="timePeriod" dxfId="1094" priority="786" timePeriod="today">
      <formula>FLOOR(U274,1)=TODAY()</formula>
    </cfRule>
  </conditionalFormatting>
  <conditionalFormatting sqref="V274">
    <cfRule type="cellIs" dxfId="1093" priority="785" operator="between">
      <formula>0</formula>
      <formula>7</formula>
    </cfRule>
  </conditionalFormatting>
  <conditionalFormatting sqref="O274">
    <cfRule type="cellIs" dxfId="1092" priority="782" operator="between">
      <formula>63</formula>
      <formula>70</formula>
    </cfRule>
    <cfRule type="cellIs" dxfId="1091" priority="783" operator="equal">
      <formula>42</formula>
    </cfRule>
    <cfRule type="cellIs" dxfId="1090" priority="784" operator="equal">
      <formula>21</formula>
    </cfRule>
  </conditionalFormatting>
  <conditionalFormatting sqref="AG274">
    <cfRule type="cellIs" dxfId="1089" priority="781" operator="between">
      <formula>0</formula>
      <formula>7</formula>
    </cfRule>
  </conditionalFormatting>
  <conditionalFormatting sqref="AG274">
    <cfRule type="cellIs" dxfId="1088" priority="780" operator="between">
      <formula>-10</formula>
      <formula>-1</formula>
    </cfRule>
  </conditionalFormatting>
  <conditionalFormatting sqref="AG274">
    <cfRule type="cellIs" dxfId="1087" priority="779" operator="between">
      <formula>8</formula>
      <formula>200</formula>
    </cfRule>
  </conditionalFormatting>
  <conditionalFormatting sqref="AN274">
    <cfRule type="cellIs" dxfId="1086" priority="778" operator="between">
      <formula>5</formula>
      <formula>2500</formula>
    </cfRule>
  </conditionalFormatting>
  <conditionalFormatting sqref="F274">
    <cfRule type="duplicateValues" dxfId="1085" priority="777"/>
  </conditionalFormatting>
  <conditionalFormatting sqref="BA274 AV274">
    <cfRule type="cellIs" dxfId="1084" priority="776" operator="equal">
      <formula>"ПОДЛЕЖИТ ВАКЦИНАЦИИ"</formula>
    </cfRule>
  </conditionalFormatting>
  <conditionalFormatting sqref="AY274">
    <cfRule type="cellIs" dxfId="1083" priority="775" operator="equal">
      <formula>"Ж-Е НЕ ВАКЦ."</formula>
    </cfRule>
  </conditionalFormatting>
  <conditionalFormatting sqref="BA274">
    <cfRule type="cellIs" dxfId="1082" priority="774" operator="equal">
      <formula>"ТРЕБУЕТСЯ ВАКЦИНАЦИЯ"</formula>
    </cfRule>
  </conditionalFormatting>
  <conditionalFormatting sqref="Z274">
    <cfRule type="cellIs" dxfId="1081" priority="765" operator="equal">
      <formula>"ПОДЛЕЖИТ ПЕРЕПРОВЕРКЕ"</formula>
    </cfRule>
  </conditionalFormatting>
  <conditionalFormatting sqref="V275">
    <cfRule type="cellIs" dxfId="1080" priority="763" operator="lessThan">
      <formula>21</formula>
    </cfRule>
  </conditionalFormatting>
  <conditionalFormatting sqref="U275">
    <cfRule type="timePeriod" dxfId="1079" priority="762" timePeriod="today">
      <formula>FLOOR(U275,1)=TODAY()</formula>
    </cfRule>
  </conditionalFormatting>
  <conditionalFormatting sqref="V275">
    <cfRule type="cellIs" dxfId="1078" priority="761" operator="between">
      <formula>0</formula>
      <formula>7</formula>
    </cfRule>
  </conditionalFormatting>
  <conditionalFormatting sqref="O275">
    <cfRule type="cellIs" dxfId="1077" priority="758" operator="between">
      <formula>63</formula>
      <formula>70</formula>
    </cfRule>
    <cfRule type="cellIs" dxfId="1076" priority="759" operator="equal">
      <formula>42</formula>
    </cfRule>
    <cfRule type="cellIs" dxfId="1075" priority="760" operator="equal">
      <formula>21</formula>
    </cfRule>
  </conditionalFormatting>
  <conditionalFormatting sqref="AG275">
    <cfRule type="cellIs" dxfId="1074" priority="757" operator="between">
      <formula>0</formula>
      <formula>7</formula>
    </cfRule>
  </conditionalFormatting>
  <conditionalFormatting sqref="AG275">
    <cfRule type="cellIs" dxfId="1073" priority="756" operator="between">
      <formula>-10</formula>
      <formula>-1</formula>
    </cfRule>
  </conditionalFormatting>
  <conditionalFormatting sqref="AG275">
    <cfRule type="cellIs" dxfId="1072" priority="755" operator="between">
      <formula>8</formula>
      <formula>200</formula>
    </cfRule>
  </conditionalFormatting>
  <conditionalFormatting sqref="AN275">
    <cfRule type="cellIs" dxfId="1071" priority="754" operator="between">
      <formula>5</formula>
      <formula>2500</formula>
    </cfRule>
  </conditionalFormatting>
  <conditionalFormatting sqref="F275">
    <cfRule type="duplicateValues" dxfId="1070" priority="753"/>
  </conditionalFormatting>
  <conditionalFormatting sqref="BA275 AV275">
    <cfRule type="cellIs" dxfId="1069" priority="752" operator="equal">
      <formula>"ПОДЛЕЖИТ ВАКЦИНАЦИИ"</formula>
    </cfRule>
  </conditionalFormatting>
  <conditionalFormatting sqref="AY275">
    <cfRule type="cellIs" dxfId="1068" priority="751" operator="equal">
      <formula>"Ж-Е НЕ ВАКЦ."</formula>
    </cfRule>
  </conditionalFormatting>
  <conditionalFormatting sqref="BA275">
    <cfRule type="cellIs" dxfId="1067" priority="750" operator="equal">
      <formula>"ТРЕБУЕТСЯ ВАКЦИНАЦИЯ"</formula>
    </cfRule>
  </conditionalFormatting>
  <conditionalFormatting sqref="Z275">
    <cfRule type="cellIs" dxfId="1066" priority="741" operator="equal">
      <formula>"ПОДЛЕЖИТ ПЕРЕПРОВЕРКЕ"</formula>
    </cfRule>
  </conditionalFormatting>
  <conditionalFormatting sqref="V276">
    <cfRule type="cellIs" dxfId="1065" priority="739" operator="lessThan">
      <formula>21</formula>
    </cfRule>
  </conditionalFormatting>
  <conditionalFormatting sqref="U276">
    <cfRule type="timePeriod" dxfId="1064" priority="738" timePeriod="today">
      <formula>FLOOR(U276,1)=TODAY()</formula>
    </cfRule>
  </conditionalFormatting>
  <conditionalFormatting sqref="V276">
    <cfRule type="cellIs" dxfId="1063" priority="737" operator="between">
      <formula>0</formula>
      <formula>7</formula>
    </cfRule>
  </conditionalFormatting>
  <conditionalFormatting sqref="O276">
    <cfRule type="cellIs" dxfId="1062" priority="734" operator="between">
      <formula>63</formula>
      <formula>70</formula>
    </cfRule>
    <cfRule type="cellIs" dxfId="1061" priority="735" operator="equal">
      <formula>42</formula>
    </cfRule>
    <cfRule type="cellIs" dxfId="1060" priority="736" operator="equal">
      <formula>21</formula>
    </cfRule>
  </conditionalFormatting>
  <conditionalFormatting sqref="AG276">
    <cfRule type="cellIs" dxfId="1059" priority="733" operator="between">
      <formula>0</formula>
      <formula>7</formula>
    </cfRule>
  </conditionalFormatting>
  <conditionalFormatting sqref="AG276">
    <cfRule type="cellIs" dxfId="1058" priority="732" operator="between">
      <formula>-10</formula>
      <formula>-1</formula>
    </cfRule>
  </conditionalFormatting>
  <conditionalFormatting sqref="AG276">
    <cfRule type="cellIs" dxfId="1057" priority="731" operator="between">
      <formula>8</formula>
      <formula>200</formula>
    </cfRule>
  </conditionalFormatting>
  <conditionalFormatting sqref="AN276">
    <cfRule type="cellIs" dxfId="1056" priority="730" operator="between">
      <formula>5</formula>
      <formula>2500</formula>
    </cfRule>
  </conditionalFormatting>
  <conditionalFormatting sqref="F276">
    <cfRule type="duplicateValues" dxfId="1055" priority="729"/>
  </conditionalFormatting>
  <conditionalFormatting sqref="AV276 BA276">
    <cfRule type="cellIs" dxfId="1054" priority="728" operator="equal">
      <formula>"ПОДЛЕЖИТ ВАКЦИНАЦИИ"</formula>
    </cfRule>
  </conditionalFormatting>
  <conditionalFormatting sqref="AY276">
    <cfRule type="cellIs" dxfId="1053" priority="727" operator="equal">
      <formula>"Ж-Е НЕ ВАКЦ."</formula>
    </cfRule>
  </conditionalFormatting>
  <conditionalFormatting sqref="BA276">
    <cfRule type="cellIs" dxfId="1052" priority="726" operator="equal">
      <formula>"ТРЕБУЕТСЯ ВАКЦИНАЦИЯ"</formula>
    </cfRule>
  </conditionalFormatting>
  <conditionalFormatting sqref="Z276">
    <cfRule type="cellIs" dxfId="1051" priority="717" operator="equal">
      <formula>"ПОДЛЕЖИТ ПЕРЕПРОВЕРКЕ"</formula>
    </cfRule>
  </conditionalFormatting>
  <conditionalFormatting sqref="V277">
    <cfRule type="cellIs" dxfId="1050" priority="715" operator="lessThan">
      <formula>21</formula>
    </cfRule>
  </conditionalFormatting>
  <conditionalFormatting sqref="U277">
    <cfRule type="timePeriod" dxfId="1049" priority="714" timePeriod="today">
      <formula>FLOOR(U277,1)=TODAY()</formula>
    </cfRule>
  </conditionalFormatting>
  <conditionalFormatting sqref="V277">
    <cfRule type="cellIs" dxfId="1048" priority="713" operator="between">
      <formula>0</formula>
      <formula>7</formula>
    </cfRule>
  </conditionalFormatting>
  <conditionalFormatting sqref="O277">
    <cfRule type="cellIs" dxfId="1047" priority="710" operator="between">
      <formula>63</formula>
      <formula>70</formula>
    </cfRule>
    <cfRule type="cellIs" dxfId="1046" priority="711" operator="equal">
      <formula>42</formula>
    </cfRule>
    <cfRule type="cellIs" dxfId="1045" priority="712" operator="equal">
      <formula>21</formula>
    </cfRule>
  </conditionalFormatting>
  <conditionalFormatting sqref="AG277">
    <cfRule type="cellIs" dxfId="1044" priority="709" operator="between">
      <formula>0</formula>
      <formula>7</formula>
    </cfRule>
  </conditionalFormatting>
  <conditionalFormatting sqref="AG277">
    <cfRule type="cellIs" dxfId="1043" priority="708" operator="between">
      <formula>-10</formula>
      <formula>-1</formula>
    </cfRule>
  </conditionalFormatting>
  <conditionalFormatting sqref="AG277">
    <cfRule type="cellIs" dxfId="1042" priority="707" operator="between">
      <formula>8</formula>
      <formula>200</formula>
    </cfRule>
  </conditionalFormatting>
  <conditionalFormatting sqref="AN277">
    <cfRule type="cellIs" dxfId="1041" priority="706" operator="between">
      <formula>5</formula>
      <formula>2500</formula>
    </cfRule>
  </conditionalFormatting>
  <conditionalFormatting sqref="F277">
    <cfRule type="duplicateValues" dxfId="1040" priority="705"/>
  </conditionalFormatting>
  <conditionalFormatting sqref="AZ277">
    <cfRule type="cellIs" dxfId="1039" priority="704" operator="equal">
      <formula>"ПОДЛЕЖИТ ВАКЦИНАЦИИ"</formula>
    </cfRule>
  </conditionalFormatting>
  <conditionalFormatting sqref="Z277">
    <cfRule type="cellIs" dxfId="1038" priority="693" operator="equal">
      <formula>"ПОДЛЕЖИТ ПЕРЕПРОВЕРКЕ"</formula>
    </cfRule>
  </conditionalFormatting>
  <conditionalFormatting sqref="V278">
    <cfRule type="cellIs" dxfId="1037" priority="691" operator="lessThan">
      <formula>21</formula>
    </cfRule>
  </conditionalFormatting>
  <conditionalFormatting sqref="U278">
    <cfRule type="timePeriod" dxfId="1036" priority="690" timePeriod="today">
      <formula>FLOOR(U278,1)=TODAY()</formula>
    </cfRule>
  </conditionalFormatting>
  <conditionalFormatting sqref="V278">
    <cfRule type="cellIs" dxfId="1035" priority="689" operator="between">
      <formula>0</formula>
      <formula>7</formula>
    </cfRule>
  </conditionalFormatting>
  <conditionalFormatting sqref="O278">
    <cfRule type="cellIs" dxfId="1034" priority="686" operator="between">
      <formula>63</formula>
      <formula>70</formula>
    </cfRule>
    <cfRule type="cellIs" dxfId="1033" priority="687" operator="equal">
      <formula>42</formula>
    </cfRule>
    <cfRule type="cellIs" dxfId="1032" priority="688" operator="equal">
      <formula>21</formula>
    </cfRule>
  </conditionalFormatting>
  <conditionalFormatting sqref="AG278">
    <cfRule type="cellIs" dxfId="1031" priority="685" operator="between">
      <formula>0</formula>
      <formula>7</formula>
    </cfRule>
  </conditionalFormatting>
  <conditionalFormatting sqref="AG278">
    <cfRule type="cellIs" dxfId="1030" priority="684" operator="between">
      <formula>-10</formula>
      <formula>-1</formula>
    </cfRule>
  </conditionalFormatting>
  <conditionalFormatting sqref="AG278">
    <cfRule type="cellIs" dxfId="1029" priority="683" operator="between">
      <formula>8</formula>
      <formula>200</formula>
    </cfRule>
  </conditionalFormatting>
  <conditionalFormatting sqref="AN278">
    <cfRule type="cellIs" dxfId="1028" priority="682" operator="between">
      <formula>5</formula>
      <formula>2500</formula>
    </cfRule>
  </conditionalFormatting>
  <conditionalFormatting sqref="F278">
    <cfRule type="duplicateValues" dxfId="1027" priority="681"/>
  </conditionalFormatting>
  <conditionalFormatting sqref="AZ278">
    <cfRule type="cellIs" dxfId="1026" priority="680" operator="equal">
      <formula>"ПОДЛЕЖИТ ВАКЦИНАЦИИ"</formula>
    </cfRule>
  </conditionalFormatting>
  <conditionalFormatting sqref="Z278">
    <cfRule type="cellIs" dxfId="1025" priority="669" operator="equal">
      <formula>"ПОДЛЕЖИТ ПЕРЕПРОВЕРКЕ"</formula>
    </cfRule>
  </conditionalFormatting>
  <conditionalFormatting sqref="V279">
    <cfRule type="cellIs" dxfId="1024" priority="667" operator="lessThan">
      <formula>21</formula>
    </cfRule>
  </conditionalFormatting>
  <conditionalFormatting sqref="U279">
    <cfRule type="timePeriod" dxfId="1023" priority="666" timePeriod="today">
      <formula>FLOOR(U279,1)=TODAY()</formula>
    </cfRule>
  </conditionalFormatting>
  <conditionalFormatting sqref="V279">
    <cfRule type="cellIs" dxfId="1022" priority="665" operator="between">
      <formula>0</formula>
      <formula>7</formula>
    </cfRule>
  </conditionalFormatting>
  <conditionalFormatting sqref="O279">
    <cfRule type="cellIs" dxfId="1021" priority="662" operator="between">
      <formula>63</formula>
      <formula>70</formula>
    </cfRule>
    <cfRule type="cellIs" dxfId="1020" priority="663" operator="equal">
      <formula>42</formula>
    </cfRule>
    <cfRule type="cellIs" dxfId="1019" priority="664" operator="equal">
      <formula>21</formula>
    </cfRule>
  </conditionalFormatting>
  <conditionalFormatting sqref="AG279">
    <cfRule type="cellIs" dxfId="1018" priority="661" operator="between">
      <formula>0</formula>
      <formula>7</formula>
    </cfRule>
  </conditionalFormatting>
  <conditionalFormatting sqref="AG279">
    <cfRule type="cellIs" dxfId="1017" priority="660" operator="between">
      <formula>-10</formula>
      <formula>-1</formula>
    </cfRule>
  </conditionalFormatting>
  <conditionalFormatting sqref="AG279">
    <cfRule type="cellIs" dxfId="1016" priority="659" operator="between">
      <formula>8</formula>
      <formula>200</formula>
    </cfRule>
  </conditionalFormatting>
  <conditionalFormatting sqref="AN279">
    <cfRule type="cellIs" dxfId="1015" priority="658" operator="between">
      <formula>5</formula>
      <formula>2500</formula>
    </cfRule>
  </conditionalFormatting>
  <conditionalFormatting sqref="F279">
    <cfRule type="duplicateValues" dxfId="1014" priority="657"/>
  </conditionalFormatting>
  <conditionalFormatting sqref="AZ279">
    <cfRule type="cellIs" dxfId="1013" priority="656" operator="equal">
      <formula>"ПОДЛЕЖИТ ВАКЦИНАЦИИ"</formula>
    </cfRule>
  </conditionalFormatting>
  <conditionalFormatting sqref="Z279">
    <cfRule type="cellIs" dxfId="1012" priority="645" operator="equal">
      <formula>"ПОДЛЕЖИТ ПЕРЕПРОВЕРКЕ"</formula>
    </cfRule>
  </conditionalFormatting>
  <conditionalFormatting sqref="V280">
    <cfRule type="cellIs" dxfId="1011" priority="643" operator="lessThan">
      <formula>21</formula>
    </cfRule>
  </conditionalFormatting>
  <conditionalFormatting sqref="U280">
    <cfRule type="timePeriod" dxfId="1010" priority="642" timePeriod="today">
      <formula>FLOOR(U280,1)=TODAY()</formula>
    </cfRule>
  </conditionalFormatting>
  <conditionalFormatting sqref="V280">
    <cfRule type="cellIs" dxfId="1009" priority="641" operator="between">
      <formula>0</formula>
      <formula>7</formula>
    </cfRule>
  </conditionalFormatting>
  <conditionalFormatting sqref="O280">
    <cfRule type="cellIs" dxfId="1008" priority="638" operator="between">
      <formula>63</formula>
      <formula>70</formula>
    </cfRule>
    <cfRule type="cellIs" dxfId="1007" priority="639" operator="equal">
      <formula>42</formula>
    </cfRule>
    <cfRule type="cellIs" dxfId="1006" priority="640" operator="equal">
      <formula>21</formula>
    </cfRule>
  </conditionalFormatting>
  <conditionalFormatting sqref="AG280">
    <cfRule type="cellIs" dxfId="1005" priority="637" operator="between">
      <formula>0</formula>
      <formula>7</formula>
    </cfRule>
  </conditionalFormatting>
  <conditionalFormatting sqref="AG280">
    <cfRule type="cellIs" dxfId="1004" priority="636" operator="between">
      <formula>-10</formula>
      <formula>-1</formula>
    </cfRule>
  </conditionalFormatting>
  <conditionalFormatting sqref="AG280">
    <cfRule type="cellIs" dxfId="1003" priority="635" operator="between">
      <formula>8</formula>
      <formula>200</formula>
    </cfRule>
  </conditionalFormatting>
  <conditionalFormatting sqref="AN280">
    <cfRule type="cellIs" dxfId="1002" priority="634" operator="between">
      <formula>5</formula>
      <formula>2500</formula>
    </cfRule>
  </conditionalFormatting>
  <conditionalFormatting sqref="F280">
    <cfRule type="duplicateValues" dxfId="1001" priority="633"/>
  </conditionalFormatting>
  <conditionalFormatting sqref="AZ280">
    <cfRule type="cellIs" dxfId="1000" priority="632" operator="equal">
      <formula>"ПОДЛЕЖИТ ВАКЦИНАЦИИ"</formula>
    </cfRule>
  </conditionalFormatting>
  <conditionalFormatting sqref="Z280">
    <cfRule type="cellIs" dxfId="999" priority="621" operator="equal">
      <formula>"ПОДЛЕЖИТ ПЕРЕПРОВЕРКЕ"</formula>
    </cfRule>
  </conditionalFormatting>
  <conditionalFormatting sqref="V281">
    <cfRule type="cellIs" dxfId="998" priority="619" operator="lessThan">
      <formula>21</formula>
    </cfRule>
  </conditionalFormatting>
  <conditionalFormatting sqref="U281">
    <cfRule type="timePeriod" dxfId="997" priority="618" timePeriod="today">
      <formula>FLOOR(U281,1)=TODAY()</formula>
    </cfRule>
  </conditionalFormatting>
  <conditionalFormatting sqref="V281">
    <cfRule type="cellIs" dxfId="996" priority="617" operator="between">
      <formula>0</formula>
      <formula>7</formula>
    </cfRule>
  </conditionalFormatting>
  <conditionalFormatting sqref="O281">
    <cfRule type="cellIs" dxfId="995" priority="614" operator="between">
      <formula>63</formula>
      <formula>70</formula>
    </cfRule>
    <cfRule type="cellIs" dxfId="994" priority="615" operator="equal">
      <formula>42</formula>
    </cfRule>
    <cfRule type="cellIs" dxfId="993" priority="616" operator="equal">
      <formula>21</formula>
    </cfRule>
  </conditionalFormatting>
  <conditionalFormatting sqref="AG281">
    <cfRule type="cellIs" dxfId="992" priority="613" operator="between">
      <formula>0</formula>
      <formula>7</formula>
    </cfRule>
  </conditionalFormatting>
  <conditionalFormatting sqref="AG281">
    <cfRule type="cellIs" dxfId="991" priority="612" operator="between">
      <formula>-10</formula>
      <formula>-1</formula>
    </cfRule>
  </conditionalFormatting>
  <conditionalFormatting sqref="AG281">
    <cfRule type="cellIs" dxfId="990" priority="611" operator="between">
      <formula>8</formula>
      <formula>200</formula>
    </cfRule>
  </conditionalFormatting>
  <conditionalFormatting sqref="AN281">
    <cfRule type="cellIs" dxfId="989" priority="610" operator="between">
      <formula>5</formula>
      <formula>2500</formula>
    </cfRule>
  </conditionalFormatting>
  <conditionalFormatting sqref="F281">
    <cfRule type="duplicateValues" dxfId="988" priority="609"/>
  </conditionalFormatting>
  <conditionalFormatting sqref="AZ281">
    <cfRule type="cellIs" dxfId="987" priority="608" operator="equal">
      <formula>"ПОДЛЕЖИТ ВАКЦИНАЦИИ"</formula>
    </cfRule>
  </conditionalFormatting>
  <conditionalFormatting sqref="Z281">
    <cfRule type="cellIs" dxfId="986" priority="597" operator="equal">
      <formula>"ПОДЛЕЖИТ ПЕРЕПРОВЕРКЕ"</formula>
    </cfRule>
  </conditionalFormatting>
  <conditionalFormatting sqref="V282">
    <cfRule type="cellIs" dxfId="985" priority="594" operator="lessThan">
      <formula>21</formula>
    </cfRule>
  </conditionalFormatting>
  <conditionalFormatting sqref="U282">
    <cfRule type="timePeriod" dxfId="984" priority="593" timePeriod="today">
      <formula>FLOOR(U282,1)=TODAY()</formula>
    </cfRule>
  </conditionalFormatting>
  <conditionalFormatting sqref="V282">
    <cfRule type="cellIs" dxfId="983" priority="592" operator="between">
      <formula>0</formula>
      <formula>7</formula>
    </cfRule>
  </conditionalFormatting>
  <conditionalFormatting sqref="O282">
    <cfRule type="cellIs" dxfId="982" priority="586" operator="between">
      <formula>63</formula>
      <formula>70</formula>
    </cfRule>
    <cfRule type="cellIs" dxfId="981" priority="590" operator="equal">
      <formula>42</formula>
    </cfRule>
    <cfRule type="cellIs" dxfId="980" priority="591" operator="equal">
      <formula>21</formula>
    </cfRule>
  </conditionalFormatting>
  <conditionalFormatting sqref="AG282">
    <cfRule type="cellIs" dxfId="979" priority="589" operator="between">
      <formula>0</formula>
      <formula>7</formula>
    </cfRule>
  </conditionalFormatting>
  <conditionalFormatting sqref="AG282">
    <cfRule type="cellIs" dxfId="978" priority="588" operator="between">
      <formula>-10</formula>
      <formula>-1</formula>
    </cfRule>
  </conditionalFormatting>
  <conditionalFormatting sqref="AG282">
    <cfRule type="cellIs" dxfId="977" priority="587" operator="between">
      <formula>8</formula>
      <formula>200</formula>
    </cfRule>
  </conditionalFormatting>
  <conditionalFormatting sqref="AN282">
    <cfRule type="cellIs" dxfId="976" priority="585" operator="between">
      <formula>5</formula>
      <formula>2500</formula>
    </cfRule>
  </conditionalFormatting>
  <conditionalFormatting sqref="F282">
    <cfRule type="duplicateValues" dxfId="975" priority="595"/>
  </conditionalFormatting>
  <conditionalFormatting sqref="AZ282">
    <cfRule type="cellIs" dxfId="974" priority="584" operator="equal">
      <formula>"ПОДЛЕЖИТ ВАКЦИНАЦИИ"</formula>
    </cfRule>
  </conditionalFormatting>
  <conditionalFormatting sqref="Z282">
    <cfRule type="cellIs" dxfId="973" priority="573" operator="equal">
      <formula>"ПОДЛЕЖИТ ПЕРЕПРОВЕРКЕ"</formula>
    </cfRule>
  </conditionalFormatting>
  <conditionalFormatting sqref="V283">
    <cfRule type="cellIs" dxfId="972" priority="571" operator="lessThan">
      <formula>21</formula>
    </cfRule>
  </conditionalFormatting>
  <conditionalFormatting sqref="U283">
    <cfRule type="timePeriod" dxfId="971" priority="570" timePeriod="today">
      <formula>FLOOR(U283,1)=TODAY()</formula>
    </cfRule>
  </conditionalFormatting>
  <conditionalFormatting sqref="V283">
    <cfRule type="cellIs" dxfId="970" priority="569" operator="between">
      <formula>0</formula>
      <formula>7</formula>
    </cfRule>
  </conditionalFormatting>
  <conditionalFormatting sqref="O283">
    <cfRule type="cellIs" dxfId="969" priority="566" operator="between">
      <formula>63</formula>
      <formula>70</formula>
    </cfRule>
    <cfRule type="cellIs" dxfId="968" priority="567" operator="equal">
      <formula>42</formula>
    </cfRule>
    <cfRule type="cellIs" dxfId="967" priority="568" operator="equal">
      <formula>21</formula>
    </cfRule>
  </conditionalFormatting>
  <conditionalFormatting sqref="AG283">
    <cfRule type="cellIs" dxfId="966" priority="565" operator="between">
      <formula>0</formula>
      <formula>7</formula>
    </cfRule>
  </conditionalFormatting>
  <conditionalFormatting sqref="AG283">
    <cfRule type="cellIs" dxfId="965" priority="564" operator="between">
      <formula>-10</formula>
      <formula>-1</formula>
    </cfRule>
  </conditionalFormatting>
  <conditionalFormatting sqref="AG283">
    <cfRule type="cellIs" dxfId="964" priority="563" operator="between">
      <formula>8</formula>
      <formula>200</formula>
    </cfRule>
  </conditionalFormatting>
  <conditionalFormatting sqref="AN283">
    <cfRule type="cellIs" dxfId="963" priority="562" operator="between">
      <formula>5</formula>
      <formula>2500</formula>
    </cfRule>
  </conditionalFormatting>
  <conditionalFormatting sqref="F283">
    <cfRule type="duplicateValues" dxfId="962" priority="561"/>
  </conditionalFormatting>
  <conditionalFormatting sqref="AZ283 BE283">
    <cfRule type="cellIs" dxfId="961" priority="560" operator="equal">
      <formula>"ПОДЛЕЖИТ ВАКЦИНАЦИИ"</formula>
    </cfRule>
  </conditionalFormatting>
  <conditionalFormatting sqref="BE283 BU283">
    <cfRule type="cellIs" dxfId="960" priority="558" operator="equal">
      <formula>"ТРЕБУЕТСЯ ВАКЦИНАЦИЯ"</formula>
    </cfRule>
  </conditionalFormatting>
  <conditionalFormatting sqref="BI283:BJ283 BZ283:CA283">
    <cfRule type="cellIs" dxfId="959" priority="557" operator="equal">
      <formula>"ТРЕБУЕТСЯ БУСТЕРНАЯ ДОЗА"</formula>
    </cfRule>
  </conditionalFormatting>
  <conditionalFormatting sqref="BJ283 CA283">
    <cfRule type="timePeriod" dxfId="958" priority="555" timePeriod="today">
      <formula>FLOOR(BJ283,1)=TODAY()</formula>
    </cfRule>
    <cfRule type="timePeriod" dxfId="957" priority="556" timePeriod="tomorrow">
      <formula>FLOOR(BJ283,1)=TODAY()+1</formula>
    </cfRule>
  </conditionalFormatting>
  <conditionalFormatting sqref="BO283 CE283">
    <cfRule type="cellIs" dxfId="956" priority="553" operator="equal">
      <formula>"УСПЕШНО"</formula>
    </cfRule>
    <cfRule type="cellIs" dxfId="955" priority="554" operator="equal">
      <formula>"НАРУШЕН СРОК ВАКЦИНАЦИИ"</formula>
    </cfRule>
  </conditionalFormatting>
  <conditionalFormatting sqref="BP283 BT283 CG283">
    <cfRule type="cellIs" dxfId="954" priority="552" operator="equal">
      <formula>"ТРЕБУЕТСЯ РЕВАКЦИНАЦИЯ"</formula>
    </cfRule>
  </conditionalFormatting>
  <conditionalFormatting sqref="BN283 CD283">
    <cfRule type="cellIs" dxfId="953" priority="551" operator="equal">
      <formula>0</formula>
    </cfRule>
  </conditionalFormatting>
  <conditionalFormatting sqref="BP283 BT283">
    <cfRule type="cellIs" dxfId="952" priority="550" operator="equal">
      <formula>"НЕОБХОДИМА РЕВАКЦИНАЦИЯ"</formula>
    </cfRule>
  </conditionalFormatting>
  <conditionalFormatting sqref="Z283">
    <cfRule type="cellIs" dxfId="951" priority="549" operator="equal">
      <formula>"ПОДЛЕЖИТ ПЕРЕПРОВЕРКЕ"</formula>
    </cfRule>
  </conditionalFormatting>
  <conditionalFormatting sqref="CK283 CS283">
    <cfRule type="cellIs" dxfId="950" priority="548" operator="equal">
      <formula>"ПОДЛЕЖИТ ОБРАБОТКЕ"</formula>
    </cfRule>
  </conditionalFormatting>
  <conditionalFormatting sqref="V284">
    <cfRule type="cellIs" dxfId="949" priority="547" operator="lessThan">
      <formula>21</formula>
    </cfRule>
  </conditionalFormatting>
  <conditionalFormatting sqref="U284">
    <cfRule type="timePeriod" dxfId="948" priority="546" timePeriod="today">
      <formula>FLOOR(U284,1)=TODAY()</formula>
    </cfRule>
  </conditionalFormatting>
  <conditionalFormatting sqref="V284">
    <cfRule type="cellIs" dxfId="947" priority="545" operator="between">
      <formula>0</formula>
      <formula>7</formula>
    </cfRule>
  </conditionalFormatting>
  <conditionalFormatting sqref="O284">
    <cfRule type="cellIs" dxfId="946" priority="542" operator="between">
      <formula>63</formula>
      <formula>70</formula>
    </cfRule>
    <cfRule type="cellIs" dxfId="945" priority="543" operator="equal">
      <formula>42</formula>
    </cfRule>
    <cfRule type="cellIs" dxfId="944" priority="544" operator="equal">
      <formula>21</formula>
    </cfRule>
  </conditionalFormatting>
  <conditionalFormatting sqref="AG284">
    <cfRule type="cellIs" dxfId="943" priority="541" operator="between">
      <formula>0</formula>
      <formula>7</formula>
    </cfRule>
  </conditionalFormatting>
  <conditionalFormatting sqref="AG284">
    <cfRule type="cellIs" dxfId="942" priority="540" operator="between">
      <formula>-10</formula>
      <formula>-1</formula>
    </cfRule>
  </conditionalFormatting>
  <conditionalFormatting sqref="AG284">
    <cfRule type="cellIs" dxfId="941" priority="539" operator="between">
      <formula>8</formula>
      <formula>200</formula>
    </cfRule>
  </conditionalFormatting>
  <conditionalFormatting sqref="AN284">
    <cfRule type="cellIs" dxfId="940" priority="538" operator="between">
      <formula>5</formula>
      <formula>2500</formula>
    </cfRule>
  </conditionalFormatting>
  <conditionalFormatting sqref="F284">
    <cfRule type="duplicateValues" dxfId="939" priority="537"/>
  </conditionalFormatting>
  <conditionalFormatting sqref="BE284 AZ284">
    <cfRule type="cellIs" dxfId="938" priority="536" operator="equal">
      <formula>"ПОДЛЕЖИТ ВАКЦИНАЦИИ"</formula>
    </cfRule>
  </conditionalFormatting>
  <conditionalFormatting sqref="BU284 BE284">
    <cfRule type="cellIs" dxfId="937" priority="534" operator="equal">
      <formula>"ТРЕБУЕТСЯ ВАКЦИНАЦИЯ"</formula>
    </cfRule>
  </conditionalFormatting>
  <conditionalFormatting sqref="BZ284:CA284 BI284:BJ284">
    <cfRule type="cellIs" dxfId="936" priority="533" operator="equal">
      <formula>"ТРЕБУЕТСЯ БУСТЕРНАЯ ДОЗА"</formula>
    </cfRule>
  </conditionalFormatting>
  <conditionalFormatting sqref="CA284 BJ284">
    <cfRule type="timePeriod" dxfId="935" priority="531" timePeriod="today">
      <formula>FLOOR(BJ284,1)=TODAY()</formula>
    </cfRule>
    <cfRule type="timePeriod" dxfId="934" priority="532" timePeriod="tomorrow">
      <formula>FLOOR(BJ284,1)=TODAY()+1</formula>
    </cfRule>
  </conditionalFormatting>
  <conditionalFormatting sqref="CE284 BO284">
    <cfRule type="cellIs" dxfId="933" priority="529" operator="equal">
      <formula>"УСПЕШНО"</formula>
    </cfRule>
    <cfRule type="cellIs" dxfId="932" priority="530" operator="equal">
      <formula>"НАРУШЕН СРОК ВАКЦИНАЦИИ"</formula>
    </cfRule>
  </conditionalFormatting>
  <conditionalFormatting sqref="CG284 BT284 BP284">
    <cfRule type="cellIs" dxfId="931" priority="528" operator="equal">
      <formula>"ТРЕБУЕТСЯ РЕВАКЦИНАЦИЯ"</formula>
    </cfRule>
  </conditionalFormatting>
  <conditionalFormatting sqref="CD284 BN284">
    <cfRule type="cellIs" dxfId="930" priority="527" operator="equal">
      <formula>0</formula>
    </cfRule>
  </conditionalFormatting>
  <conditionalFormatting sqref="BT284 BP284">
    <cfRule type="cellIs" dxfId="929" priority="526" operator="equal">
      <formula>"НЕОБХОДИМА РЕВАКЦИНАЦИЯ"</formula>
    </cfRule>
  </conditionalFormatting>
  <conditionalFormatting sqref="Z284">
    <cfRule type="cellIs" dxfId="928" priority="525" operator="equal">
      <formula>"ПОДЛЕЖИТ ПЕРЕПРОВЕРКЕ"</formula>
    </cfRule>
  </conditionalFormatting>
  <conditionalFormatting sqref="CS284 CK284">
    <cfRule type="cellIs" dxfId="927" priority="524" operator="equal">
      <formula>"ПОДЛЕЖИТ ОБРАБОТКЕ"</formula>
    </cfRule>
  </conditionalFormatting>
  <conditionalFormatting sqref="V285">
    <cfRule type="cellIs" dxfId="926" priority="523" operator="lessThan">
      <formula>21</formula>
    </cfRule>
  </conditionalFormatting>
  <conditionalFormatting sqref="U285">
    <cfRule type="timePeriod" dxfId="925" priority="522" timePeriod="today">
      <formula>FLOOR(U285,1)=TODAY()</formula>
    </cfRule>
  </conditionalFormatting>
  <conditionalFormatting sqref="V285">
    <cfRule type="cellIs" dxfId="924" priority="521" operator="between">
      <formula>0</formula>
      <formula>7</formula>
    </cfRule>
  </conditionalFormatting>
  <conditionalFormatting sqref="O285">
    <cfRule type="cellIs" dxfId="923" priority="518" operator="between">
      <formula>63</formula>
      <formula>70</formula>
    </cfRule>
    <cfRule type="cellIs" dxfId="922" priority="519" operator="equal">
      <formula>42</formula>
    </cfRule>
    <cfRule type="cellIs" dxfId="921" priority="520" operator="equal">
      <formula>21</formula>
    </cfRule>
  </conditionalFormatting>
  <conditionalFormatting sqref="AG285">
    <cfRule type="cellIs" dxfId="920" priority="517" operator="between">
      <formula>0</formula>
      <formula>7</formula>
    </cfRule>
  </conditionalFormatting>
  <conditionalFormatting sqref="AG285">
    <cfRule type="cellIs" dxfId="919" priority="516" operator="between">
      <formula>-10</formula>
      <formula>-1</formula>
    </cfRule>
  </conditionalFormatting>
  <conditionalFormatting sqref="AG285">
    <cfRule type="cellIs" dxfId="918" priority="515" operator="between">
      <formula>8</formula>
      <formula>200</formula>
    </cfRule>
  </conditionalFormatting>
  <conditionalFormatting sqref="AN285">
    <cfRule type="cellIs" dxfId="917" priority="514" operator="between">
      <formula>5</formula>
      <formula>2500</formula>
    </cfRule>
  </conditionalFormatting>
  <conditionalFormatting sqref="F285">
    <cfRule type="duplicateValues" dxfId="916" priority="513"/>
  </conditionalFormatting>
  <conditionalFormatting sqref="BD285 BI285">
    <cfRule type="cellIs" dxfId="915" priority="512" operator="equal">
      <formula>"ПОДЛЕЖИТ ВАКЦИНАЦИИ"</formula>
    </cfRule>
  </conditionalFormatting>
  <conditionalFormatting sqref="BG285">
    <cfRule type="cellIs" dxfId="914" priority="511" operator="equal">
      <formula>"Ж-Е НЕ ВАКЦ."</formula>
    </cfRule>
  </conditionalFormatting>
  <conditionalFormatting sqref="BI285 BY285">
    <cfRule type="cellIs" dxfId="913" priority="510" operator="equal">
      <formula>"ТРЕБУЕТСЯ ВАКЦИНАЦИЯ"</formula>
    </cfRule>
  </conditionalFormatting>
  <conditionalFormatting sqref="BM285:BN285 CD285:CE285">
    <cfRule type="cellIs" dxfId="912" priority="509" operator="equal">
      <formula>"ТРЕБУЕТСЯ БУСТЕРНАЯ ДОЗА"</formula>
    </cfRule>
  </conditionalFormatting>
  <conditionalFormatting sqref="BN285 CE285">
    <cfRule type="timePeriod" dxfId="911" priority="507" timePeriod="today">
      <formula>FLOOR(BN285,1)=TODAY()</formula>
    </cfRule>
    <cfRule type="timePeriod" dxfId="910" priority="508" timePeriod="tomorrow">
      <formula>FLOOR(BN285,1)=TODAY()+1</formula>
    </cfRule>
  </conditionalFormatting>
  <conditionalFormatting sqref="BS285 CI285">
    <cfRule type="cellIs" dxfId="909" priority="505" operator="equal">
      <formula>"УСПЕШНО"</formula>
    </cfRule>
    <cfRule type="cellIs" dxfId="908" priority="506" operator="equal">
      <formula>"НАРУШЕН СРОК ВАКЦИНАЦИИ"</formula>
    </cfRule>
  </conditionalFormatting>
  <conditionalFormatting sqref="BT285 BX285 CK285">
    <cfRule type="cellIs" dxfId="907" priority="504" operator="equal">
      <formula>"ТРЕБУЕТСЯ РЕВАКЦИНАЦИЯ"</formula>
    </cfRule>
  </conditionalFormatting>
  <conditionalFormatting sqref="BR285 CH285">
    <cfRule type="cellIs" dxfId="906" priority="503" operator="equal">
      <formula>0</formula>
    </cfRule>
  </conditionalFormatting>
  <conditionalFormatting sqref="BT285 BX285">
    <cfRule type="cellIs" dxfId="905" priority="502" operator="equal">
      <formula>"НЕОБХОДИМА РЕВАКЦИНАЦИЯ"</formula>
    </cfRule>
  </conditionalFormatting>
  <conditionalFormatting sqref="Z285">
    <cfRule type="cellIs" dxfId="904" priority="501" operator="equal">
      <formula>"ПОДЛЕЖИТ ПЕРЕПРОВЕРКЕ"</formula>
    </cfRule>
  </conditionalFormatting>
  <conditionalFormatting sqref="CO285 CW285">
    <cfRule type="cellIs" dxfId="903" priority="500" operator="equal">
      <formula>"ПОДЛЕЖИТ ОБРАБОТКЕ"</formula>
    </cfRule>
  </conditionalFormatting>
  <conditionalFormatting sqref="V286">
    <cfRule type="cellIs" dxfId="902" priority="499" operator="lessThan">
      <formula>21</formula>
    </cfRule>
  </conditionalFormatting>
  <conditionalFormatting sqref="U286">
    <cfRule type="timePeriod" dxfId="901" priority="498" timePeriod="today">
      <formula>FLOOR(U286,1)=TODAY()</formula>
    </cfRule>
  </conditionalFormatting>
  <conditionalFormatting sqref="V286">
    <cfRule type="cellIs" dxfId="900" priority="497" operator="between">
      <formula>0</formula>
      <formula>7</formula>
    </cfRule>
  </conditionalFormatting>
  <conditionalFormatting sqref="O286">
    <cfRule type="cellIs" dxfId="899" priority="494" operator="between">
      <formula>63</formula>
      <formula>70</formula>
    </cfRule>
    <cfRule type="cellIs" dxfId="898" priority="495" operator="equal">
      <formula>42</formula>
    </cfRule>
    <cfRule type="cellIs" dxfId="897" priority="496" operator="equal">
      <formula>21</formula>
    </cfRule>
  </conditionalFormatting>
  <conditionalFormatting sqref="AG286">
    <cfRule type="cellIs" dxfId="896" priority="493" operator="between">
      <formula>0</formula>
      <formula>7</formula>
    </cfRule>
  </conditionalFormatting>
  <conditionalFormatting sqref="AG286">
    <cfRule type="cellIs" dxfId="895" priority="492" operator="between">
      <formula>-10</formula>
      <formula>-1</formula>
    </cfRule>
  </conditionalFormatting>
  <conditionalFormatting sqref="AG286">
    <cfRule type="cellIs" dxfId="894" priority="491" operator="between">
      <formula>8</formula>
      <formula>200</formula>
    </cfRule>
  </conditionalFormatting>
  <conditionalFormatting sqref="AN286">
    <cfRule type="cellIs" dxfId="893" priority="490" operator="between">
      <formula>5</formula>
      <formula>2500</formula>
    </cfRule>
  </conditionalFormatting>
  <conditionalFormatting sqref="F286">
    <cfRule type="duplicateValues" dxfId="892" priority="489"/>
  </conditionalFormatting>
  <conditionalFormatting sqref="BD286 BI286">
    <cfRule type="cellIs" dxfId="891" priority="488" operator="equal">
      <formula>"ПОДЛЕЖИТ ВАКЦИНАЦИИ"</formula>
    </cfRule>
  </conditionalFormatting>
  <conditionalFormatting sqref="BG286">
    <cfRule type="cellIs" dxfId="890" priority="487" operator="equal">
      <formula>"Ж-Е НЕ ВАКЦ."</formula>
    </cfRule>
  </conditionalFormatting>
  <conditionalFormatting sqref="BY286 BI286">
    <cfRule type="cellIs" dxfId="889" priority="486" operator="equal">
      <formula>"ТРЕБУЕТСЯ ВАКЦИНАЦИЯ"</formula>
    </cfRule>
  </conditionalFormatting>
  <conditionalFormatting sqref="BM286:BN286 CD286:CE286">
    <cfRule type="cellIs" dxfId="888" priority="485" operator="equal">
      <formula>"ТРЕБУЕТСЯ БУСТЕРНАЯ ДОЗА"</formula>
    </cfRule>
  </conditionalFormatting>
  <conditionalFormatting sqref="BN286 CE286">
    <cfRule type="timePeriod" dxfId="887" priority="483" timePeriod="today">
      <formula>FLOOR(BN286,1)=TODAY()</formula>
    </cfRule>
    <cfRule type="timePeriod" dxfId="886" priority="484" timePeriod="tomorrow">
      <formula>FLOOR(BN286,1)=TODAY()+1</formula>
    </cfRule>
  </conditionalFormatting>
  <conditionalFormatting sqref="BS286 CI286">
    <cfRule type="cellIs" dxfId="885" priority="481" operator="equal">
      <formula>"УСПЕШНО"</formula>
    </cfRule>
    <cfRule type="cellIs" dxfId="884" priority="482" operator="equal">
      <formula>"НАРУШЕН СРОК ВАКЦИНАЦИИ"</formula>
    </cfRule>
  </conditionalFormatting>
  <conditionalFormatting sqref="BT286 BX286 CK286">
    <cfRule type="cellIs" dxfId="883" priority="480" operator="equal">
      <formula>"ТРЕБУЕТСЯ РЕВАКЦИНАЦИЯ"</formula>
    </cfRule>
  </conditionalFormatting>
  <conditionalFormatting sqref="BR286 CH286">
    <cfRule type="cellIs" dxfId="882" priority="479" operator="equal">
      <formula>0</formula>
    </cfRule>
  </conditionalFormatting>
  <conditionalFormatting sqref="BT286 BX286">
    <cfRule type="cellIs" dxfId="881" priority="478" operator="equal">
      <formula>"НЕОБХОДИМА РЕВАКЦИНАЦИЯ"</formula>
    </cfRule>
  </conditionalFormatting>
  <conditionalFormatting sqref="Z286">
    <cfRule type="cellIs" dxfId="880" priority="477" operator="equal">
      <formula>"ПОДЛЕЖИТ ПЕРЕПРОВЕРКЕ"</formula>
    </cfRule>
  </conditionalFormatting>
  <conditionalFormatting sqref="CO286 CW286">
    <cfRule type="cellIs" dxfId="879" priority="476" operator="equal">
      <formula>"ПОДЛЕЖИТ ОБРАБОТКЕ"</formula>
    </cfRule>
  </conditionalFormatting>
  <conditionalFormatting sqref="V287">
    <cfRule type="cellIs" dxfId="878" priority="475" operator="lessThan">
      <formula>21</formula>
    </cfRule>
  </conditionalFormatting>
  <conditionalFormatting sqref="U287">
    <cfRule type="timePeriod" dxfId="877" priority="474" timePeriod="today">
      <formula>FLOOR(U287,1)=TODAY()</formula>
    </cfRule>
  </conditionalFormatting>
  <conditionalFormatting sqref="V287">
    <cfRule type="cellIs" dxfId="876" priority="473" operator="between">
      <formula>0</formula>
      <formula>7</formula>
    </cfRule>
  </conditionalFormatting>
  <conditionalFormatting sqref="O287">
    <cfRule type="cellIs" dxfId="875" priority="470" operator="between">
      <formula>63</formula>
      <formula>70</formula>
    </cfRule>
    <cfRule type="cellIs" dxfId="874" priority="471" operator="equal">
      <formula>42</formula>
    </cfRule>
    <cfRule type="cellIs" dxfId="873" priority="472" operator="equal">
      <formula>21</formula>
    </cfRule>
  </conditionalFormatting>
  <conditionalFormatting sqref="AG287">
    <cfRule type="cellIs" dxfId="872" priority="469" operator="between">
      <formula>0</formula>
      <formula>7</formula>
    </cfRule>
  </conditionalFormatting>
  <conditionalFormatting sqref="AG287">
    <cfRule type="cellIs" dxfId="871" priority="468" operator="between">
      <formula>-10</formula>
      <formula>-1</formula>
    </cfRule>
  </conditionalFormatting>
  <conditionalFormatting sqref="AG287">
    <cfRule type="cellIs" dxfId="870" priority="467" operator="between">
      <formula>8</formula>
      <formula>200</formula>
    </cfRule>
  </conditionalFormatting>
  <conditionalFormatting sqref="AN287">
    <cfRule type="cellIs" dxfId="869" priority="466" operator="between">
      <formula>5</formula>
      <formula>2500</formula>
    </cfRule>
  </conditionalFormatting>
  <conditionalFormatting sqref="F287">
    <cfRule type="duplicateValues" dxfId="868" priority="465"/>
  </conditionalFormatting>
  <conditionalFormatting sqref="BI287 BD287">
    <cfRule type="cellIs" dxfId="867" priority="464" operator="equal">
      <formula>"ПОДЛЕЖИТ ВАКЦИНАЦИИ"</formula>
    </cfRule>
  </conditionalFormatting>
  <conditionalFormatting sqref="BG287">
    <cfRule type="cellIs" dxfId="866" priority="463" operator="equal">
      <formula>"Ж-Е НЕ ВАКЦ."</formula>
    </cfRule>
  </conditionalFormatting>
  <conditionalFormatting sqref="BI287 BY287">
    <cfRule type="cellIs" dxfId="865" priority="462" operator="equal">
      <formula>"ТРЕБУЕТСЯ ВАКЦИНАЦИЯ"</formula>
    </cfRule>
  </conditionalFormatting>
  <conditionalFormatting sqref="CD287:CE287 BM287:BN287">
    <cfRule type="cellIs" dxfId="864" priority="461" operator="equal">
      <formula>"ТРЕБУЕТСЯ БУСТЕРНАЯ ДОЗА"</formula>
    </cfRule>
  </conditionalFormatting>
  <conditionalFormatting sqref="CE287 BN287">
    <cfRule type="timePeriod" dxfId="863" priority="459" timePeriod="today">
      <formula>FLOOR(BN287,1)=TODAY()</formula>
    </cfRule>
    <cfRule type="timePeriod" dxfId="862" priority="460" timePeriod="tomorrow">
      <formula>FLOOR(BN287,1)=TODAY()+1</formula>
    </cfRule>
  </conditionalFormatting>
  <conditionalFormatting sqref="CI287 BS287">
    <cfRule type="cellIs" dxfId="861" priority="457" operator="equal">
      <formula>"УСПЕШНО"</formula>
    </cfRule>
    <cfRule type="cellIs" dxfId="860" priority="458" operator="equal">
      <formula>"НАРУШЕН СРОК ВАКЦИНАЦИИ"</formula>
    </cfRule>
  </conditionalFormatting>
  <conditionalFormatting sqref="CK287 BX287 BT287">
    <cfRule type="cellIs" dxfId="859" priority="456" operator="equal">
      <formula>"ТРЕБУЕТСЯ РЕВАКЦИНАЦИЯ"</formula>
    </cfRule>
  </conditionalFormatting>
  <conditionalFormatting sqref="CH287 BR287">
    <cfRule type="cellIs" dxfId="858" priority="455" operator="equal">
      <formula>0</formula>
    </cfRule>
  </conditionalFormatting>
  <conditionalFormatting sqref="BX287 BT287">
    <cfRule type="cellIs" dxfId="857" priority="454" operator="equal">
      <formula>"НЕОБХОДИМА РЕВАКЦИНАЦИЯ"</formula>
    </cfRule>
  </conditionalFormatting>
  <conditionalFormatting sqref="Z287">
    <cfRule type="cellIs" dxfId="856" priority="453" operator="equal">
      <formula>"ПОДЛЕЖИТ ПЕРЕПРОВЕРКЕ"</formula>
    </cfRule>
  </conditionalFormatting>
  <conditionalFormatting sqref="CW287 CO287">
    <cfRule type="cellIs" dxfId="855" priority="452" operator="equal">
      <formula>"ПОДЛЕЖИТ ОБРАБОТКЕ"</formula>
    </cfRule>
  </conditionalFormatting>
  <conditionalFormatting sqref="V288">
    <cfRule type="cellIs" dxfId="854" priority="451" operator="lessThan">
      <formula>21</formula>
    </cfRule>
  </conditionalFormatting>
  <conditionalFormatting sqref="U288">
    <cfRule type="timePeriod" dxfId="853" priority="450" timePeriod="today">
      <formula>FLOOR(U288,1)=TODAY()</formula>
    </cfRule>
  </conditionalFormatting>
  <conditionalFormatting sqref="V288">
    <cfRule type="cellIs" dxfId="852" priority="449" operator="between">
      <formula>0</formula>
      <formula>7</formula>
    </cfRule>
  </conditionalFormatting>
  <conditionalFormatting sqref="O288">
    <cfRule type="cellIs" dxfId="851" priority="446" operator="between">
      <formula>63</formula>
      <formula>70</formula>
    </cfRule>
    <cfRule type="cellIs" dxfId="850" priority="447" operator="equal">
      <formula>42</formula>
    </cfRule>
    <cfRule type="cellIs" dxfId="849" priority="448" operator="equal">
      <formula>21</formula>
    </cfRule>
  </conditionalFormatting>
  <conditionalFormatting sqref="AG288">
    <cfRule type="cellIs" dxfId="848" priority="445" operator="between">
      <formula>0</formula>
      <formula>7</formula>
    </cfRule>
  </conditionalFormatting>
  <conditionalFormatting sqref="AG288">
    <cfRule type="cellIs" dxfId="847" priority="444" operator="between">
      <formula>-10</formula>
      <formula>-1</formula>
    </cfRule>
  </conditionalFormatting>
  <conditionalFormatting sqref="AG288">
    <cfRule type="cellIs" dxfId="846" priority="443" operator="between">
      <formula>8</formula>
      <formula>200</formula>
    </cfRule>
  </conditionalFormatting>
  <conditionalFormatting sqref="AN288">
    <cfRule type="cellIs" dxfId="845" priority="442" operator="between">
      <formula>5</formula>
      <formula>2500</formula>
    </cfRule>
  </conditionalFormatting>
  <conditionalFormatting sqref="F288">
    <cfRule type="duplicateValues" dxfId="844" priority="441"/>
  </conditionalFormatting>
  <conditionalFormatting sqref="BD288 BI288">
    <cfRule type="cellIs" dxfId="843" priority="440" operator="equal">
      <formula>"ПОДЛЕЖИТ ВАКЦИНАЦИИ"</formula>
    </cfRule>
  </conditionalFormatting>
  <conditionalFormatting sqref="BG288">
    <cfRule type="cellIs" dxfId="842" priority="439" operator="equal">
      <formula>"Ж-Е НЕ ВАКЦ."</formula>
    </cfRule>
  </conditionalFormatting>
  <conditionalFormatting sqref="BY288 BI288">
    <cfRule type="cellIs" dxfId="841" priority="438" operator="equal">
      <formula>"ТРЕБУЕТСЯ ВАКЦИНАЦИЯ"</formula>
    </cfRule>
  </conditionalFormatting>
  <conditionalFormatting sqref="BM288:BN288 CD288:CE288">
    <cfRule type="cellIs" dxfId="840" priority="437" operator="equal">
      <formula>"ТРЕБУЕТСЯ БУСТЕРНАЯ ДОЗА"</formula>
    </cfRule>
  </conditionalFormatting>
  <conditionalFormatting sqref="BN288 CE288">
    <cfRule type="timePeriod" dxfId="839" priority="435" timePeriod="today">
      <formula>FLOOR(BN288,1)=TODAY()</formula>
    </cfRule>
    <cfRule type="timePeriod" dxfId="838" priority="436" timePeriod="tomorrow">
      <formula>FLOOR(BN288,1)=TODAY()+1</formula>
    </cfRule>
  </conditionalFormatting>
  <conditionalFormatting sqref="BS288 CI288">
    <cfRule type="cellIs" dxfId="837" priority="433" operator="equal">
      <formula>"УСПЕШНО"</formula>
    </cfRule>
    <cfRule type="cellIs" dxfId="836" priority="434" operator="equal">
      <formula>"НАРУШЕН СРОК ВАКЦИНАЦИИ"</formula>
    </cfRule>
  </conditionalFormatting>
  <conditionalFormatting sqref="BT288 BX288 CK288">
    <cfRule type="cellIs" dxfId="835" priority="432" operator="equal">
      <formula>"ТРЕБУЕТСЯ РЕВАКЦИНАЦИЯ"</formula>
    </cfRule>
  </conditionalFormatting>
  <conditionalFormatting sqref="BR288 CH288">
    <cfRule type="cellIs" dxfId="834" priority="431" operator="equal">
      <formula>0</formula>
    </cfRule>
  </conditionalFormatting>
  <conditionalFormatting sqref="BT288 BX288">
    <cfRule type="cellIs" dxfId="833" priority="430" operator="equal">
      <formula>"НЕОБХОДИМА РЕВАКЦИНАЦИЯ"</formula>
    </cfRule>
  </conditionalFormatting>
  <conditionalFormatting sqref="Z288">
    <cfRule type="cellIs" dxfId="832" priority="429" operator="equal">
      <formula>"ПОДЛЕЖИТ ПЕРЕПРОВЕРКЕ"</formula>
    </cfRule>
  </conditionalFormatting>
  <conditionalFormatting sqref="CO288 CW288">
    <cfRule type="cellIs" dxfId="831" priority="428" operator="equal">
      <formula>"ПОДЛЕЖИТ ОБРАБОТКЕ"</formula>
    </cfRule>
  </conditionalFormatting>
  <conditionalFormatting sqref="V289">
    <cfRule type="cellIs" dxfId="830" priority="427" operator="lessThan">
      <formula>21</formula>
    </cfRule>
  </conditionalFormatting>
  <conditionalFormatting sqref="U289">
    <cfRule type="timePeriod" dxfId="829" priority="426" timePeriod="today">
      <formula>FLOOR(U289,1)=TODAY()</formula>
    </cfRule>
  </conditionalFormatting>
  <conditionalFormatting sqref="V289">
    <cfRule type="cellIs" dxfId="828" priority="425" operator="between">
      <formula>0</formula>
      <formula>7</formula>
    </cfRule>
  </conditionalFormatting>
  <conditionalFormatting sqref="O289">
    <cfRule type="cellIs" dxfId="827" priority="422" operator="between">
      <formula>63</formula>
      <formula>70</formula>
    </cfRule>
    <cfRule type="cellIs" dxfId="826" priority="423" operator="equal">
      <formula>42</formula>
    </cfRule>
    <cfRule type="cellIs" dxfId="825" priority="424" operator="equal">
      <formula>21</formula>
    </cfRule>
  </conditionalFormatting>
  <conditionalFormatting sqref="AG289">
    <cfRule type="cellIs" dxfId="824" priority="421" operator="between">
      <formula>0</formula>
      <formula>7</formula>
    </cfRule>
  </conditionalFormatting>
  <conditionalFormatting sqref="AG289">
    <cfRule type="cellIs" dxfId="823" priority="420" operator="between">
      <formula>-10</formula>
      <formula>-1</formula>
    </cfRule>
  </conditionalFormatting>
  <conditionalFormatting sqref="AG289">
    <cfRule type="cellIs" dxfId="822" priority="419" operator="between">
      <formula>8</formula>
      <formula>200</formula>
    </cfRule>
  </conditionalFormatting>
  <conditionalFormatting sqref="AN289">
    <cfRule type="cellIs" dxfId="821" priority="418" operator="between">
      <formula>5</formula>
      <formula>2500</formula>
    </cfRule>
  </conditionalFormatting>
  <conditionalFormatting sqref="F289">
    <cfRule type="duplicateValues" dxfId="820" priority="417"/>
  </conditionalFormatting>
  <conditionalFormatting sqref="BD289 BI289">
    <cfRule type="cellIs" dxfId="819" priority="416" operator="equal">
      <formula>"ПОДЛЕЖИТ ВАКЦИНАЦИИ"</formula>
    </cfRule>
  </conditionalFormatting>
  <conditionalFormatting sqref="BG289">
    <cfRule type="cellIs" dxfId="818" priority="415" operator="equal">
      <formula>"Ж-Е НЕ ВАКЦ."</formula>
    </cfRule>
  </conditionalFormatting>
  <conditionalFormatting sqref="BI289 BY289">
    <cfRule type="cellIs" dxfId="817" priority="414" operator="equal">
      <formula>"ТРЕБУЕТСЯ ВАКЦИНАЦИЯ"</formula>
    </cfRule>
  </conditionalFormatting>
  <conditionalFormatting sqref="BM289:BN289 CD289:CE289">
    <cfRule type="cellIs" dxfId="816" priority="413" operator="equal">
      <formula>"ТРЕБУЕТСЯ БУСТЕРНАЯ ДОЗА"</formula>
    </cfRule>
  </conditionalFormatting>
  <conditionalFormatting sqref="CE289 BN289">
    <cfRule type="timePeriod" dxfId="815" priority="411" timePeriod="today">
      <formula>FLOOR(BN289,1)=TODAY()</formula>
    </cfRule>
    <cfRule type="timePeriod" dxfId="814" priority="412" timePeriod="tomorrow">
      <formula>FLOOR(BN289,1)=TODAY()+1</formula>
    </cfRule>
  </conditionalFormatting>
  <conditionalFormatting sqref="BS289 CI289">
    <cfRule type="cellIs" dxfId="813" priority="409" operator="equal">
      <formula>"УСПЕШНО"</formula>
    </cfRule>
    <cfRule type="cellIs" dxfId="812" priority="410" operator="equal">
      <formula>"НАРУШЕН СРОК ВАКЦИНАЦИИ"</formula>
    </cfRule>
  </conditionalFormatting>
  <conditionalFormatting sqref="BT289 BX289 CK289">
    <cfRule type="cellIs" dxfId="811" priority="408" operator="equal">
      <formula>"ТРЕБУЕТСЯ РЕВАКЦИНАЦИЯ"</formula>
    </cfRule>
  </conditionalFormatting>
  <conditionalFormatting sqref="BR289 CH289">
    <cfRule type="cellIs" dxfId="810" priority="407" operator="equal">
      <formula>0</formula>
    </cfRule>
  </conditionalFormatting>
  <conditionalFormatting sqref="BT289 BX289">
    <cfRule type="cellIs" dxfId="809" priority="406" operator="equal">
      <formula>"НЕОБХОДИМА РЕВАКЦИНАЦИЯ"</formula>
    </cfRule>
  </conditionalFormatting>
  <conditionalFormatting sqref="Z289">
    <cfRule type="cellIs" dxfId="808" priority="405" operator="equal">
      <formula>"ПОДЛЕЖИТ ПЕРЕПРОВЕРКЕ"</formula>
    </cfRule>
  </conditionalFormatting>
  <conditionalFormatting sqref="V290">
    <cfRule type="cellIs" dxfId="807" priority="404" operator="lessThan">
      <formula>21</formula>
    </cfRule>
  </conditionalFormatting>
  <conditionalFormatting sqref="U290">
    <cfRule type="timePeriod" dxfId="806" priority="403" timePeriod="today">
      <formula>FLOOR(U290,1)=TODAY()</formula>
    </cfRule>
  </conditionalFormatting>
  <conditionalFormatting sqref="V290">
    <cfRule type="cellIs" dxfId="805" priority="402" operator="between">
      <formula>0</formula>
      <formula>7</formula>
    </cfRule>
  </conditionalFormatting>
  <conditionalFormatting sqref="O290">
    <cfRule type="cellIs" dxfId="804" priority="399" operator="between">
      <formula>63</formula>
      <formula>70</formula>
    </cfRule>
    <cfRule type="cellIs" dxfId="803" priority="400" operator="equal">
      <formula>42</formula>
    </cfRule>
    <cfRule type="cellIs" dxfId="802" priority="401" operator="equal">
      <formula>21</formula>
    </cfRule>
  </conditionalFormatting>
  <conditionalFormatting sqref="AG290">
    <cfRule type="cellIs" dxfId="801" priority="398" operator="between">
      <formula>0</formula>
      <formula>7</formula>
    </cfRule>
  </conditionalFormatting>
  <conditionalFormatting sqref="AG290">
    <cfRule type="cellIs" dxfId="800" priority="397" operator="between">
      <formula>-10</formula>
      <formula>-1</formula>
    </cfRule>
  </conditionalFormatting>
  <conditionalFormatting sqref="AG290">
    <cfRule type="cellIs" dxfId="799" priority="396" operator="between">
      <formula>8</formula>
      <formula>200</formula>
    </cfRule>
  </conditionalFormatting>
  <conditionalFormatting sqref="AN290">
    <cfRule type="cellIs" dxfId="798" priority="395" operator="between">
      <formula>5</formula>
      <formula>2500</formula>
    </cfRule>
  </conditionalFormatting>
  <conditionalFormatting sqref="F290">
    <cfRule type="duplicateValues" dxfId="797" priority="394"/>
  </conditionalFormatting>
  <conditionalFormatting sqref="BI290 BD290">
    <cfRule type="cellIs" dxfId="796" priority="393" operator="equal">
      <formula>"ПОДЛЕЖИТ ВАКЦИНАЦИИ"</formula>
    </cfRule>
  </conditionalFormatting>
  <conditionalFormatting sqref="BG290">
    <cfRule type="cellIs" dxfId="795" priority="392" operator="equal">
      <formula>"Ж-Е НЕ ВАКЦ."</formula>
    </cfRule>
  </conditionalFormatting>
  <conditionalFormatting sqref="BY290 BI290">
    <cfRule type="cellIs" dxfId="794" priority="391" operator="equal">
      <formula>"ТРЕБУЕТСЯ ВАКЦИНАЦИЯ"</formula>
    </cfRule>
  </conditionalFormatting>
  <conditionalFormatting sqref="CD290:CE290 BM290:BN290">
    <cfRule type="cellIs" dxfId="793" priority="390" operator="equal">
      <formula>"ТРЕБУЕТСЯ БУСТЕРНАЯ ДОЗА"</formula>
    </cfRule>
  </conditionalFormatting>
  <conditionalFormatting sqref="BN290 CE290">
    <cfRule type="timePeriod" dxfId="792" priority="388" timePeriod="today">
      <formula>FLOOR(BN290,1)=TODAY()</formula>
    </cfRule>
    <cfRule type="timePeriod" dxfId="791" priority="389" timePeriod="tomorrow">
      <formula>FLOOR(BN290,1)=TODAY()+1</formula>
    </cfRule>
  </conditionalFormatting>
  <conditionalFormatting sqref="CI290 BS290">
    <cfRule type="cellIs" dxfId="790" priority="386" operator="equal">
      <formula>"УСПЕШНО"</formula>
    </cfRule>
    <cfRule type="cellIs" dxfId="789" priority="387" operator="equal">
      <formula>"НАРУШЕН СРОК ВАКЦИНАЦИИ"</formula>
    </cfRule>
  </conditionalFormatting>
  <conditionalFormatting sqref="CK290 BX290 BT290">
    <cfRule type="cellIs" dxfId="788" priority="385" operator="equal">
      <formula>"ТРЕБУЕТСЯ РЕВАКЦИНАЦИЯ"</formula>
    </cfRule>
  </conditionalFormatting>
  <conditionalFormatting sqref="CH290 BR290">
    <cfRule type="cellIs" dxfId="787" priority="384" operator="equal">
      <formula>0</formula>
    </cfRule>
  </conditionalFormatting>
  <conditionalFormatting sqref="BX290 BT290">
    <cfRule type="cellIs" dxfId="786" priority="383" operator="equal">
      <formula>"НЕОБХОДИМА РЕВАКЦИНАЦИЯ"</formula>
    </cfRule>
  </conditionalFormatting>
  <conditionalFormatting sqref="Z290">
    <cfRule type="cellIs" dxfId="785" priority="382" operator="equal">
      <formula>"ПОДЛЕЖИТ ПЕРЕПРОВЕРКЕ"</formula>
    </cfRule>
  </conditionalFormatting>
  <conditionalFormatting sqref="V291">
    <cfRule type="cellIs" dxfId="784" priority="380" operator="lessThan">
      <formula>21</formula>
    </cfRule>
  </conditionalFormatting>
  <conditionalFormatting sqref="V291">
    <cfRule type="cellIs" dxfId="783" priority="378" operator="between">
      <formula>0</formula>
      <formula>7</formula>
    </cfRule>
  </conditionalFormatting>
  <conditionalFormatting sqref="O291">
    <cfRule type="cellIs" dxfId="782" priority="372" operator="between">
      <formula>63</formula>
      <formula>70</formula>
    </cfRule>
    <cfRule type="cellIs" dxfId="781" priority="376" operator="equal">
      <formula>42</formula>
    </cfRule>
    <cfRule type="cellIs" dxfId="780" priority="377" operator="equal">
      <formula>21</formula>
    </cfRule>
  </conditionalFormatting>
  <conditionalFormatting sqref="AG291">
    <cfRule type="cellIs" dxfId="779" priority="375" operator="between">
      <formula>0</formula>
      <formula>7</formula>
    </cfRule>
  </conditionalFormatting>
  <conditionalFormatting sqref="AG291">
    <cfRule type="cellIs" dxfId="778" priority="374" operator="between">
      <formula>-10</formula>
      <formula>-1</formula>
    </cfRule>
  </conditionalFormatting>
  <conditionalFormatting sqref="AG291">
    <cfRule type="cellIs" dxfId="777" priority="373" operator="between">
      <formula>8</formula>
      <formula>200</formula>
    </cfRule>
  </conditionalFormatting>
  <conditionalFormatting sqref="AN291">
    <cfRule type="cellIs" dxfId="776" priority="371" operator="between">
      <formula>5</formula>
      <formula>2500</formula>
    </cfRule>
  </conditionalFormatting>
  <conditionalFormatting sqref="F291">
    <cfRule type="duplicateValues" dxfId="775" priority="381"/>
  </conditionalFormatting>
  <conditionalFormatting sqref="BI291 BD291">
    <cfRule type="cellIs" dxfId="774" priority="370" operator="equal">
      <formula>"ПОДЛЕЖИТ ВАКЦИНАЦИИ"</formula>
    </cfRule>
  </conditionalFormatting>
  <conditionalFormatting sqref="BG291">
    <cfRule type="cellIs" dxfId="773" priority="369" operator="equal">
      <formula>"Ж-Е НЕ ВАКЦ."</formula>
    </cfRule>
  </conditionalFormatting>
  <conditionalFormatting sqref="BY291 BI291">
    <cfRule type="cellIs" dxfId="772" priority="368" operator="equal">
      <formula>"ТРЕБУЕТСЯ ВАКЦИНАЦИЯ"</formula>
    </cfRule>
  </conditionalFormatting>
  <conditionalFormatting sqref="CD291:CE291 BM291:BN291">
    <cfRule type="cellIs" dxfId="771" priority="367" operator="equal">
      <formula>"ТРЕБУЕТСЯ БУСТЕРНАЯ ДОЗА"</formula>
    </cfRule>
  </conditionalFormatting>
  <conditionalFormatting sqref="CI291 BS291">
    <cfRule type="cellIs" dxfId="770" priority="363" operator="equal">
      <formula>"УСПЕШНО"</formula>
    </cfRule>
    <cfRule type="cellIs" dxfId="769" priority="364" operator="equal">
      <formula>"НАРУШЕН СРОК ВАКЦИНАЦИИ"</formula>
    </cfRule>
  </conditionalFormatting>
  <conditionalFormatting sqref="CK291 BX291 BT291">
    <cfRule type="cellIs" dxfId="768" priority="362" operator="equal">
      <formula>"ТРЕБУЕТСЯ РЕВАКЦИНАЦИЯ"</formula>
    </cfRule>
  </conditionalFormatting>
  <conditionalFormatting sqref="CH291 BR291">
    <cfRule type="cellIs" dxfId="767" priority="361" operator="equal">
      <formula>0</formula>
    </cfRule>
  </conditionalFormatting>
  <conditionalFormatting sqref="BX291 BT291">
    <cfRule type="cellIs" dxfId="766" priority="360" operator="equal">
      <formula>"НЕОБХОДИМА РЕВАКЦИНАЦИЯ"</formula>
    </cfRule>
  </conditionalFormatting>
  <conditionalFormatting sqref="Z291">
    <cfRule type="cellIs" dxfId="765" priority="359" operator="equal">
      <formula>"ПОДЛЕЖИТ ПЕРЕПРОВЕРКЕ"</formula>
    </cfRule>
  </conditionalFormatting>
  <conditionalFormatting sqref="V292">
    <cfRule type="cellIs" dxfId="764" priority="357" operator="lessThan">
      <formula>21</formula>
    </cfRule>
  </conditionalFormatting>
  <conditionalFormatting sqref="V292">
    <cfRule type="cellIs" dxfId="763" priority="355" operator="between">
      <formula>0</formula>
      <formula>7</formula>
    </cfRule>
  </conditionalFormatting>
  <conditionalFormatting sqref="O292">
    <cfRule type="cellIs" dxfId="762" priority="349" operator="between">
      <formula>63</formula>
      <formula>70</formula>
    </cfRule>
    <cfRule type="cellIs" dxfId="761" priority="353" operator="equal">
      <formula>42</formula>
    </cfRule>
    <cfRule type="cellIs" dxfId="760" priority="354" operator="equal">
      <formula>21</formula>
    </cfRule>
  </conditionalFormatting>
  <conditionalFormatting sqref="AG292">
    <cfRule type="cellIs" dxfId="759" priority="352" operator="between">
      <formula>0</formula>
      <formula>7</formula>
    </cfRule>
  </conditionalFormatting>
  <conditionalFormatting sqref="AG292">
    <cfRule type="cellIs" dxfId="758" priority="351" operator="between">
      <formula>-10</formula>
      <formula>-1</formula>
    </cfRule>
  </conditionalFormatting>
  <conditionalFormatting sqref="AG292">
    <cfRule type="cellIs" dxfId="757" priority="350" operator="between">
      <formula>8</formula>
      <formula>200</formula>
    </cfRule>
  </conditionalFormatting>
  <conditionalFormatting sqref="AN292">
    <cfRule type="cellIs" dxfId="756" priority="348" operator="between">
      <formula>5</formula>
      <formula>2500</formula>
    </cfRule>
  </conditionalFormatting>
  <conditionalFormatting sqref="F292">
    <cfRule type="duplicateValues" dxfId="755" priority="358"/>
  </conditionalFormatting>
  <conditionalFormatting sqref="BI292 BD292">
    <cfRule type="cellIs" dxfId="754" priority="347" operator="equal">
      <formula>"ПОДЛЕЖИТ ВАКЦИНАЦИИ"</formula>
    </cfRule>
  </conditionalFormatting>
  <conditionalFormatting sqref="BG292">
    <cfRule type="cellIs" dxfId="753" priority="346" operator="equal">
      <formula>"Ж-Е НЕ ВАКЦ."</formula>
    </cfRule>
  </conditionalFormatting>
  <conditionalFormatting sqref="BY292 BI292">
    <cfRule type="cellIs" dxfId="752" priority="345" operator="equal">
      <formula>"ТРЕБУЕТСЯ ВАКЦИНАЦИЯ"</formula>
    </cfRule>
  </conditionalFormatting>
  <conditionalFormatting sqref="CD292:CE292 BM292:BN292">
    <cfRule type="cellIs" dxfId="751" priority="344" operator="equal">
      <formula>"ТРЕБУЕТСЯ БУСТЕРНАЯ ДОЗА"</formula>
    </cfRule>
  </conditionalFormatting>
  <conditionalFormatting sqref="CI292 BS292">
    <cfRule type="cellIs" dxfId="750" priority="340" operator="equal">
      <formula>"УСПЕШНО"</formula>
    </cfRule>
    <cfRule type="cellIs" dxfId="749" priority="341" operator="equal">
      <formula>"НАРУШЕН СРОК ВАКЦИНАЦИИ"</formula>
    </cfRule>
  </conditionalFormatting>
  <conditionalFormatting sqref="CK292 BX292 BT292">
    <cfRule type="cellIs" dxfId="748" priority="339" operator="equal">
      <formula>"ТРЕБУЕТСЯ РЕВАКЦИНАЦИЯ"</formula>
    </cfRule>
  </conditionalFormatting>
  <conditionalFormatting sqref="CH292 BR292">
    <cfRule type="cellIs" dxfId="747" priority="338" operator="equal">
      <formula>0</formula>
    </cfRule>
  </conditionalFormatting>
  <conditionalFormatting sqref="BX292 BT292">
    <cfRule type="cellIs" dxfId="746" priority="337" operator="equal">
      <formula>"НЕОБХОДИМА РЕВАКЦИНАЦИЯ"</formula>
    </cfRule>
  </conditionalFormatting>
  <conditionalFormatting sqref="Z292">
    <cfRule type="cellIs" dxfId="745" priority="336" operator="equal">
      <formula>"ПОДЛЕЖИТ ПЕРЕПРОВЕРКЕ"</formula>
    </cfRule>
  </conditionalFormatting>
  <conditionalFormatting sqref="V293">
    <cfRule type="cellIs" dxfId="744" priority="334" operator="lessThan">
      <formula>21</formula>
    </cfRule>
  </conditionalFormatting>
  <conditionalFormatting sqref="V293">
    <cfRule type="cellIs" dxfId="743" priority="332" operator="between">
      <formula>0</formula>
      <formula>7</formula>
    </cfRule>
  </conditionalFormatting>
  <conditionalFormatting sqref="O293">
    <cfRule type="cellIs" dxfId="742" priority="326" operator="between">
      <formula>63</formula>
      <formula>70</formula>
    </cfRule>
    <cfRule type="cellIs" dxfId="741" priority="330" operator="equal">
      <formula>42</formula>
    </cfRule>
    <cfRule type="cellIs" dxfId="740" priority="331" operator="equal">
      <formula>21</formula>
    </cfRule>
  </conditionalFormatting>
  <conditionalFormatting sqref="AG293">
    <cfRule type="cellIs" dxfId="739" priority="329" operator="between">
      <formula>0</formula>
      <formula>7</formula>
    </cfRule>
  </conditionalFormatting>
  <conditionalFormatting sqref="AG293">
    <cfRule type="cellIs" dxfId="738" priority="328" operator="between">
      <formula>-10</formula>
      <formula>-1</formula>
    </cfRule>
  </conditionalFormatting>
  <conditionalFormatting sqref="AG293">
    <cfRule type="cellIs" dxfId="737" priority="327" operator="between">
      <formula>8</formula>
      <formula>200</formula>
    </cfRule>
  </conditionalFormatting>
  <conditionalFormatting sqref="AN293">
    <cfRule type="cellIs" dxfId="736" priority="325" operator="between">
      <formula>5</formula>
      <formula>2500</formula>
    </cfRule>
  </conditionalFormatting>
  <conditionalFormatting sqref="F293">
    <cfRule type="duplicateValues" dxfId="735" priority="335"/>
  </conditionalFormatting>
  <conditionalFormatting sqref="BI293 BD293">
    <cfRule type="cellIs" dxfId="734" priority="324" operator="equal">
      <formula>"ПОДЛЕЖИТ ВАКЦИНАЦИИ"</formula>
    </cfRule>
  </conditionalFormatting>
  <conditionalFormatting sqref="BG293">
    <cfRule type="cellIs" dxfId="733" priority="323" operator="equal">
      <formula>"Ж-Е НЕ ВАКЦ."</formula>
    </cfRule>
  </conditionalFormatting>
  <conditionalFormatting sqref="BY293 BI293">
    <cfRule type="cellIs" dxfId="732" priority="322" operator="equal">
      <formula>"ТРЕБУЕТСЯ ВАКЦИНАЦИЯ"</formula>
    </cfRule>
  </conditionalFormatting>
  <conditionalFormatting sqref="CD293:CE293 BM293:BN293">
    <cfRule type="cellIs" dxfId="731" priority="321" operator="equal">
      <formula>"ТРЕБУЕТСЯ БУСТЕРНАЯ ДОЗА"</formula>
    </cfRule>
  </conditionalFormatting>
  <conditionalFormatting sqref="CI293 BS293">
    <cfRule type="cellIs" dxfId="730" priority="317" operator="equal">
      <formula>"УСПЕШНО"</formula>
    </cfRule>
    <cfRule type="cellIs" dxfId="729" priority="318" operator="equal">
      <formula>"НАРУШЕН СРОК ВАКЦИНАЦИИ"</formula>
    </cfRule>
  </conditionalFormatting>
  <conditionalFormatting sqref="CK293 BX293 BT293">
    <cfRule type="cellIs" dxfId="728" priority="316" operator="equal">
      <formula>"ТРЕБУЕТСЯ РЕВАКЦИНАЦИЯ"</formula>
    </cfRule>
  </conditionalFormatting>
  <conditionalFormatting sqref="CH293 BR293">
    <cfRule type="cellIs" dxfId="727" priority="315" operator="equal">
      <formula>0</formula>
    </cfRule>
  </conditionalFormatting>
  <conditionalFormatting sqref="BX293 BT293">
    <cfRule type="cellIs" dxfId="726" priority="314" operator="equal">
      <formula>"НЕОБХОДИМА РЕВАКЦИНАЦИЯ"</formula>
    </cfRule>
  </conditionalFormatting>
  <conditionalFormatting sqref="Z293">
    <cfRule type="cellIs" dxfId="725" priority="313" operator="equal">
      <formula>"ПОДЛЕЖИТ ПЕРЕПРОВЕРКЕ"</formula>
    </cfRule>
  </conditionalFormatting>
  <conditionalFormatting sqref="U291:U292">
    <cfRule type="timePeriod" dxfId="724" priority="379" timePeriod="today">
      <formula>FLOOR(U291,1)=TODAY()</formula>
    </cfRule>
  </conditionalFormatting>
  <conditionalFormatting sqref="CE291:CE292 BN291:BN292">
    <cfRule type="timePeriod" dxfId="723" priority="365" timePeriod="today">
      <formula>FLOOR(BN291,1)=TODAY()</formula>
    </cfRule>
    <cfRule type="timePeriod" dxfId="722" priority="366" timePeriod="tomorrow">
      <formula>FLOOR(BN291,1)=TODAY()+1</formula>
    </cfRule>
  </conditionalFormatting>
  <conditionalFormatting sqref="U293">
    <cfRule type="timePeriod" dxfId="721" priority="333" timePeriod="today">
      <formula>FLOOR(U293,1)=TODAY()</formula>
    </cfRule>
  </conditionalFormatting>
  <conditionalFormatting sqref="BN293 CE293">
    <cfRule type="timePeriod" dxfId="720" priority="319" timePeriod="today">
      <formula>FLOOR(BN293,1)=TODAY()</formula>
    </cfRule>
    <cfRule type="timePeriod" dxfId="719" priority="320" timePeriod="tomorrow">
      <formula>FLOOR(BN293,1)=TODAY()+1</formula>
    </cfRule>
  </conditionalFormatting>
  <conditionalFormatting sqref="V294">
    <cfRule type="cellIs" dxfId="718" priority="312" operator="lessThan">
      <formula>21</formula>
    </cfRule>
  </conditionalFormatting>
  <conditionalFormatting sqref="U294">
    <cfRule type="timePeriod" dxfId="717" priority="311" timePeriod="today">
      <formula>FLOOR(U294,1)=TODAY()</formula>
    </cfRule>
  </conditionalFormatting>
  <conditionalFormatting sqref="V294">
    <cfRule type="cellIs" dxfId="716" priority="310" operator="between">
      <formula>0</formula>
      <formula>7</formula>
    </cfRule>
  </conditionalFormatting>
  <conditionalFormatting sqref="O294">
    <cfRule type="cellIs" dxfId="715" priority="307" operator="between">
      <formula>63</formula>
      <formula>70</formula>
    </cfRule>
    <cfRule type="cellIs" dxfId="714" priority="308" operator="equal">
      <formula>42</formula>
    </cfRule>
    <cfRule type="cellIs" dxfId="713" priority="309" operator="equal">
      <formula>21</formula>
    </cfRule>
  </conditionalFormatting>
  <conditionalFormatting sqref="AG294">
    <cfRule type="cellIs" dxfId="712" priority="306" operator="between">
      <formula>0</formula>
      <formula>7</formula>
    </cfRule>
  </conditionalFormatting>
  <conditionalFormatting sqref="AG294">
    <cfRule type="cellIs" dxfId="711" priority="305" operator="between">
      <formula>-10</formula>
      <formula>-1</formula>
    </cfRule>
  </conditionalFormatting>
  <conditionalFormatting sqref="AG294">
    <cfRule type="cellIs" dxfId="710" priority="304" operator="between">
      <formula>8</formula>
      <formula>200</formula>
    </cfRule>
  </conditionalFormatting>
  <conditionalFormatting sqref="AN294">
    <cfRule type="cellIs" dxfId="709" priority="303" operator="between">
      <formula>5</formula>
      <formula>2500</formula>
    </cfRule>
  </conditionalFormatting>
  <conditionalFormatting sqref="F294">
    <cfRule type="duplicateValues" dxfId="708" priority="302"/>
  </conditionalFormatting>
  <conditionalFormatting sqref="BI294 BD294">
    <cfRule type="cellIs" dxfId="707" priority="301" operator="equal">
      <formula>"ПОДЛЕЖИТ ВАКЦИНАЦИИ"</formula>
    </cfRule>
  </conditionalFormatting>
  <conditionalFormatting sqref="BG294">
    <cfRule type="cellIs" dxfId="706" priority="300" operator="equal">
      <formula>"Ж-Е НЕ ВАКЦ."</formula>
    </cfRule>
  </conditionalFormatting>
  <conditionalFormatting sqref="BY294 BI294">
    <cfRule type="cellIs" dxfId="705" priority="299" operator="equal">
      <formula>"ТРЕБУЕТСЯ ВАКЦИНАЦИЯ"</formula>
    </cfRule>
  </conditionalFormatting>
  <conditionalFormatting sqref="CD294:CE294 BM294:BN294">
    <cfRule type="cellIs" dxfId="704" priority="298" operator="equal">
      <formula>"ТРЕБУЕТСЯ БУСТЕРНАЯ ДОЗА"</formula>
    </cfRule>
  </conditionalFormatting>
  <conditionalFormatting sqref="CE294 BN294">
    <cfRule type="timePeriod" dxfId="703" priority="296" timePeriod="today">
      <formula>FLOOR(BN294,1)=TODAY()</formula>
    </cfRule>
    <cfRule type="timePeriod" dxfId="702" priority="297" timePeriod="tomorrow">
      <formula>FLOOR(BN294,1)=TODAY()+1</formula>
    </cfRule>
  </conditionalFormatting>
  <conditionalFormatting sqref="CI294 BS294">
    <cfRule type="cellIs" dxfId="701" priority="294" operator="equal">
      <formula>"УСПЕШНО"</formula>
    </cfRule>
    <cfRule type="cellIs" dxfId="700" priority="295" operator="equal">
      <formula>"НАРУШЕН СРОК ВАКЦИНАЦИИ"</formula>
    </cfRule>
  </conditionalFormatting>
  <conditionalFormatting sqref="CK294 BX294 BT294">
    <cfRule type="cellIs" dxfId="699" priority="293" operator="equal">
      <formula>"ТРЕБУЕТСЯ РЕВАКЦИНАЦИЯ"</formula>
    </cfRule>
  </conditionalFormatting>
  <conditionalFormatting sqref="CH294 BR294">
    <cfRule type="cellIs" dxfId="698" priority="292" operator="equal">
      <formula>0</formula>
    </cfRule>
  </conditionalFormatting>
  <conditionalFormatting sqref="BX294 BT294">
    <cfRule type="cellIs" dxfId="697" priority="291" operator="equal">
      <formula>"НЕОБХОДИМА РЕВАКЦИНАЦИЯ"</formula>
    </cfRule>
  </conditionalFormatting>
  <conditionalFormatting sqref="Z294">
    <cfRule type="cellIs" dxfId="696" priority="290" operator="equal">
      <formula>"ПОДЛЕЖИТ ПЕРЕПРОВЕРКЕ"</formula>
    </cfRule>
  </conditionalFormatting>
  <conditionalFormatting sqref="V295">
    <cfRule type="cellIs" dxfId="695" priority="289" operator="lessThan">
      <formula>21</formula>
    </cfRule>
  </conditionalFormatting>
  <conditionalFormatting sqref="U295">
    <cfRule type="timePeriod" dxfId="694" priority="288" timePeriod="today">
      <formula>FLOOR(U295,1)=TODAY()</formula>
    </cfRule>
  </conditionalFormatting>
  <conditionalFormatting sqref="V295">
    <cfRule type="cellIs" dxfId="693" priority="287" operator="between">
      <formula>0</formula>
      <formula>7</formula>
    </cfRule>
  </conditionalFormatting>
  <conditionalFormatting sqref="O295">
    <cfRule type="cellIs" dxfId="692" priority="284" operator="between">
      <formula>63</formula>
      <formula>70</formula>
    </cfRule>
    <cfRule type="cellIs" dxfId="691" priority="285" operator="equal">
      <formula>42</formula>
    </cfRule>
    <cfRule type="cellIs" dxfId="690" priority="286" operator="equal">
      <formula>21</formula>
    </cfRule>
  </conditionalFormatting>
  <conditionalFormatting sqref="AG295">
    <cfRule type="cellIs" dxfId="689" priority="283" operator="between">
      <formula>0</formula>
      <formula>7</formula>
    </cfRule>
  </conditionalFormatting>
  <conditionalFormatting sqref="AG295">
    <cfRule type="cellIs" dxfId="688" priority="282" operator="between">
      <formula>-10</formula>
      <formula>-1</formula>
    </cfRule>
  </conditionalFormatting>
  <conditionalFormatting sqref="AG295">
    <cfRule type="cellIs" dxfId="687" priority="281" operator="between">
      <formula>8</formula>
      <formula>200</formula>
    </cfRule>
  </conditionalFormatting>
  <conditionalFormatting sqref="AN295">
    <cfRule type="cellIs" dxfId="686" priority="280" operator="between">
      <formula>5</formula>
      <formula>2500</formula>
    </cfRule>
  </conditionalFormatting>
  <conditionalFormatting sqref="F295">
    <cfRule type="duplicateValues" dxfId="685" priority="279"/>
  </conditionalFormatting>
  <conditionalFormatting sqref="BT295 BY295">
    <cfRule type="cellIs" dxfId="684" priority="278" operator="equal">
      <formula>"ПОДЛЕЖИТ ВАКЦИНАЦИИ"</formula>
    </cfRule>
  </conditionalFormatting>
  <conditionalFormatting sqref="BW295">
    <cfRule type="cellIs" dxfId="683" priority="277" operator="equal">
      <formula>"Ж-Е НЕ ВАКЦ."</formula>
    </cfRule>
  </conditionalFormatting>
  <conditionalFormatting sqref="BY295 CO295">
    <cfRule type="cellIs" dxfId="682" priority="276" operator="equal">
      <formula>"ТРЕБУЕТСЯ ВАКЦИНАЦИЯ"</formula>
    </cfRule>
  </conditionalFormatting>
  <conditionalFormatting sqref="CC295:CD295 CT295:CU295">
    <cfRule type="cellIs" dxfId="681" priority="275" operator="equal">
      <formula>"ТРЕБУЕТСЯ БУСТЕРНАЯ ДОЗА"</formula>
    </cfRule>
  </conditionalFormatting>
  <conditionalFormatting sqref="BA295 CD295 CU295">
    <cfRule type="timePeriod" dxfId="680" priority="273" timePeriod="today">
      <formula>FLOOR(BA295,1)=TODAY()</formula>
    </cfRule>
    <cfRule type="timePeriod" dxfId="679" priority="274" timePeriod="tomorrow">
      <formula>FLOOR(BA295,1)=TODAY()+1</formula>
    </cfRule>
  </conditionalFormatting>
  <conditionalFormatting sqref="CI295 CY295">
    <cfRule type="cellIs" dxfId="678" priority="271" operator="equal">
      <formula>"УСПЕШНО"</formula>
    </cfRule>
    <cfRule type="cellIs" dxfId="677" priority="272" operator="equal">
      <formula>"НАРУШЕН СРОК ВАКЦИНАЦИИ"</formula>
    </cfRule>
  </conditionalFormatting>
  <conditionalFormatting sqref="CJ295 CN295 DA295">
    <cfRule type="cellIs" dxfId="676" priority="270" operator="equal">
      <formula>"ТРЕБУЕТСЯ РЕВАКЦИНАЦИЯ"</formula>
    </cfRule>
  </conditionalFormatting>
  <conditionalFormatting sqref="CH295 CX295">
    <cfRule type="cellIs" dxfId="675" priority="269" operator="equal">
      <formula>0</formula>
    </cfRule>
  </conditionalFormatting>
  <conditionalFormatting sqref="CJ295 CN295">
    <cfRule type="cellIs" dxfId="674" priority="268" operator="equal">
      <formula>"НЕОБХОДИМА РЕВАКЦИНАЦИЯ"</formula>
    </cfRule>
  </conditionalFormatting>
  <conditionalFormatting sqref="Z295">
    <cfRule type="cellIs" dxfId="673" priority="267" operator="equal">
      <formula>"ПОДЛЕЖИТ ПЕРЕПРОВЕРКЕ"</formula>
    </cfRule>
  </conditionalFormatting>
  <conditionalFormatting sqref="AZ295">
    <cfRule type="cellIs" dxfId="672" priority="266" operator="equal">
      <formula>"РЕВАКЦИНАЦИЯ"</formula>
    </cfRule>
  </conditionalFormatting>
  <conditionalFormatting sqref="BD294:BD295">
    <cfRule type="cellIs" dxfId="671" priority="265" operator="equal">
      <formula>"ПОДЛЕЖИТ ВАКЦИНАЦИИ"</formula>
    </cfRule>
  </conditionalFormatting>
  <conditionalFormatting sqref="V296">
    <cfRule type="cellIs" dxfId="670" priority="264" operator="lessThan">
      <formula>21</formula>
    </cfRule>
  </conditionalFormatting>
  <conditionalFormatting sqref="U296">
    <cfRule type="timePeriod" dxfId="669" priority="263" timePeriod="today">
      <formula>FLOOR(U296,1)=TODAY()</formula>
    </cfRule>
  </conditionalFormatting>
  <conditionalFormatting sqref="V296">
    <cfRule type="cellIs" dxfId="668" priority="262" operator="between">
      <formula>0</formula>
      <formula>7</formula>
    </cfRule>
  </conditionalFormatting>
  <conditionalFormatting sqref="O296">
    <cfRule type="cellIs" dxfId="667" priority="259" operator="between">
      <formula>63</formula>
      <formula>70</formula>
    </cfRule>
    <cfRule type="cellIs" dxfId="666" priority="260" operator="equal">
      <formula>42</formula>
    </cfRule>
    <cfRule type="cellIs" dxfId="665" priority="261" operator="equal">
      <formula>21</formula>
    </cfRule>
  </conditionalFormatting>
  <conditionalFormatting sqref="AG296">
    <cfRule type="cellIs" dxfId="664" priority="258" operator="between">
      <formula>0</formula>
      <formula>7</formula>
    </cfRule>
  </conditionalFormatting>
  <conditionalFormatting sqref="AG296">
    <cfRule type="cellIs" dxfId="663" priority="257" operator="between">
      <formula>-10</formula>
      <formula>-1</formula>
    </cfRule>
  </conditionalFormatting>
  <conditionalFormatting sqref="AG296">
    <cfRule type="cellIs" dxfId="662" priority="256" operator="between">
      <formula>8</formula>
      <formula>200</formula>
    </cfRule>
  </conditionalFormatting>
  <conditionalFormatting sqref="AN296">
    <cfRule type="cellIs" dxfId="661" priority="255" operator="between">
      <formula>5</formula>
      <formula>2500</formula>
    </cfRule>
  </conditionalFormatting>
  <conditionalFormatting sqref="F296">
    <cfRule type="duplicateValues" dxfId="660" priority="254"/>
  </conditionalFormatting>
  <conditionalFormatting sqref="BY296 BT296">
    <cfRule type="cellIs" dxfId="659" priority="253" operator="equal">
      <formula>"ПОДЛЕЖИТ ВАКЦИНАЦИИ"</formula>
    </cfRule>
  </conditionalFormatting>
  <conditionalFormatting sqref="BW296">
    <cfRule type="cellIs" dxfId="658" priority="252" operator="equal">
      <formula>"Ж-Е НЕ ВАКЦ."</formula>
    </cfRule>
  </conditionalFormatting>
  <conditionalFormatting sqref="CO296 BY296">
    <cfRule type="cellIs" dxfId="657" priority="251" operator="equal">
      <formula>"ТРЕБУЕТСЯ ВАКЦИНАЦИЯ"</formula>
    </cfRule>
  </conditionalFormatting>
  <conditionalFormatting sqref="CT296:CU296 CC296:CD296">
    <cfRule type="cellIs" dxfId="656" priority="250" operator="equal">
      <formula>"ТРЕБУЕТСЯ БУСТЕРНАЯ ДОЗА"</formula>
    </cfRule>
  </conditionalFormatting>
  <conditionalFormatting sqref="CU296 CD296 BA296">
    <cfRule type="timePeriod" dxfId="655" priority="248" timePeriod="today">
      <formula>FLOOR(BA296,1)=TODAY()</formula>
    </cfRule>
    <cfRule type="timePeriod" dxfId="654" priority="249" timePeriod="tomorrow">
      <formula>FLOOR(BA296,1)=TODAY()+1</formula>
    </cfRule>
  </conditionalFormatting>
  <conditionalFormatting sqref="CY296 CI296">
    <cfRule type="cellIs" dxfId="653" priority="246" operator="equal">
      <formula>"УСПЕШНО"</formula>
    </cfRule>
    <cfRule type="cellIs" dxfId="652" priority="247" operator="equal">
      <formula>"НАРУШЕН СРОК ВАКЦИНАЦИИ"</formula>
    </cfRule>
  </conditionalFormatting>
  <conditionalFormatting sqref="DA296 CN296 CJ296">
    <cfRule type="cellIs" dxfId="651" priority="245" operator="equal">
      <formula>"ТРЕБУЕТСЯ РЕВАКЦИНАЦИЯ"</formula>
    </cfRule>
  </conditionalFormatting>
  <conditionalFormatting sqref="CX296 CH296">
    <cfRule type="cellIs" dxfId="650" priority="244" operator="equal">
      <formula>0</formula>
    </cfRule>
  </conditionalFormatting>
  <conditionalFormatting sqref="CN296 CJ296">
    <cfRule type="cellIs" dxfId="649" priority="243" operator="equal">
      <formula>"НЕОБХОДИМА РЕВАКЦИНАЦИЯ"</formula>
    </cfRule>
  </conditionalFormatting>
  <conditionalFormatting sqref="Z296">
    <cfRule type="cellIs" dxfId="648" priority="242" operator="equal">
      <formula>"ПОДЛЕЖИТ ПЕРЕПРОВЕРКЕ"</formula>
    </cfRule>
  </conditionalFormatting>
  <conditionalFormatting sqref="AZ296">
    <cfRule type="cellIs" dxfId="647" priority="241" operator="equal">
      <formula>"РЕВАКЦИНАЦИЯ"</formula>
    </cfRule>
  </conditionalFormatting>
  <conditionalFormatting sqref="V297">
    <cfRule type="cellIs" dxfId="646" priority="240" operator="lessThan">
      <formula>21</formula>
    </cfRule>
  </conditionalFormatting>
  <conditionalFormatting sqref="U297">
    <cfRule type="timePeriod" dxfId="645" priority="239" timePeriod="today">
      <formula>FLOOR(U297,1)=TODAY()</formula>
    </cfRule>
  </conditionalFormatting>
  <conditionalFormatting sqref="V297">
    <cfRule type="cellIs" dxfId="644" priority="238" operator="between">
      <formula>0</formula>
      <formula>7</formula>
    </cfRule>
  </conditionalFormatting>
  <conditionalFormatting sqref="O297">
    <cfRule type="cellIs" dxfId="643" priority="235" operator="between">
      <formula>63</formula>
      <formula>70</formula>
    </cfRule>
    <cfRule type="cellIs" dxfId="642" priority="236" operator="equal">
      <formula>42</formula>
    </cfRule>
    <cfRule type="cellIs" dxfId="641" priority="237" operator="equal">
      <formula>21</formula>
    </cfRule>
  </conditionalFormatting>
  <conditionalFormatting sqref="AG297">
    <cfRule type="cellIs" dxfId="640" priority="234" operator="between">
      <formula>0</formula>
      <formula>7</formula>
    </cfRule>
  </conditionalFormatting>
  <conditionalFormatting sqref="AG297">
    <cfRule type="cellIs" dxfId="639" priority="233" operator="between">
      <formula>-10</formula>
      <formula>-1</formula>
    </cfRule>
  </conditionalFormatting>
  <conditionalFormatting sqref="AG297">
    <cfRule type="cellIs" dxfId="638" priority="232" operator="between">
      <formula>8</formula>
      <formula>200</formula>
    </cfRule>
  </conditionalFormatting>
  <conditionalFormatting sqref="AN297">
    <cfRule type="cellIs" dxfId="637" priority="231" operator="between">
      <formula>5</formula>
      <formula>2500</formula>
    </cfRule>
  </conditionalFormatting>
  <conditionalFormatting sqref="F297">
    <cfRule type="duplicateValues" dxfId="636" priority="230"/>
  </conditionalFormatting>
  <conditionalFormatting sqref="BT297 BY297">
    <cfRule type="cellIs" dxfId="635" priority="229" operator="equal">
      <formula>"ПОДЛЕЖИТ ВАКЦИНАЦИИ"</formula>
    </cfRule>
  </conditionalFormatting>
  <conditionalFormatting sqref="BW297">
    <cfRule type="cellIs" dxfId="634" priority="228" operator="equal">
      <formula>"Ж-Е НЕ ВАКЦ."</formula>
    </cfRule>
  </conditionalFormatting>
  <conditionalFormatting sqref="BY297 CO297">
    <cfRule type="cellIs" dxfId="633" priority="227" operator="equal">
      <formula>"ТРЕБУЕТСЯ ВАКЦИНАЦИЯ"</formula>
    </cfRule>
  </conditionalFormatting>
  <conditionalFormatting sqref="CC297:CD297 CT297:CU297">
    <cfRule type="cellIs" dxfId="632" priority="226" operator="equal">
      <formula>"ТРЕБУЕТСЯ БУСТЕРНАЯ ДОЗА"</formula>
    </cfRule>
  </conditionalFormatting>
  <conditionalFormatting sqref="BA297 CD297 CU297">
    <cfRule type="timePeriod" dxfId="631" priority="224" timePeriod="today">
      <formula>FLOOR(BA297,1)=TODAY()</formula>
    </cfRule>
    <cfRule type="timePeriod" dxfId="630" priority="225" timePeriod="tomorrow">
      <formula>FLOOR(BA297,1)=TODAY()+1</formula>
    </cfRule>
  </conditionalFormatting>
  <conditionalFormatting sqref="CI297 CY297">
    <cfRule type="cellIs" dxfId="629" priority="222" operator="equal">
      <formula>"УСПЕШНО"</formula>
    </cfRule>
    <cfRule type="cellIs" dxfId="628" priority="223" operator="equal">
      <formula>"НАРУШЕН СРОК ВАКЦИНАЦИИ"</formula>
    </cfRule>
  </conditionalFormatting>
  <conditionalFormatting sqref="CJ297 CN297 DA297">
    <cfRule type="cellIs" dxfId="627" priority="221" operator="equal">
      <formula>"ТРЕБУЕТСЯ РЕВАКЦИНАЦИЯ"</formula>
    </cfRule>
  </conditionalFormatting>
  <conditionalFormatting sqref="CH297 CX297">
    <cfRule type="cellIs" dxfId="626" priority="220" operator="equal">
      <formula>0</formula>
    </cfRule>
  </conditionalFormatting>
  <conditionalFormatting sqref="CJ297 CN297">
    <cfRule type="cellIs" dxfId="625" priority="219" operator="equal">
      <formula>"НЕОБХОДИМА РЕВАКЦИНАЦИЯ"</formula>
    </cfRule>
  </conditionalFormatting>
  <conditionalFormatting sqref="Z297">
    <cfRule type="cellIs" dxfId="624" priority="218" operator="equal">
      <formula>"ПОДЛЕЖИТ ПЕРЕПРОВЕРКЕ"</formula>
    </cfRule>
  </conditionalFormatting>
  <conditionalFormatting sqref="AZ297">
    <cfRule type="cellIs" dxfId="623" priority="217" operator="equal">
      <formula>"РЕВАКЦИНАЦИЯ"</formula>
    </cfRule>
  </conditionalFormatting>
  <conditionalFormatting sqref="V298">
    <cfRule type="cellIs" dxfId="622" priority="216" operator="lessThan">
      <formula>21</formula>
    </cfRule>
  </conditionalFormatting>
  <conditionalFormatting sqref="U298">
    <cfRule type="timePeriod" dxfId="621" priority="215" timePeriod="today">
      <formula>FLOOR(U298,1)=TODAY()</formula>
    </cfRule>
  </conditionalFormatting>
  <conditionalFormatting sqref="V298">
    <cfRule type="cellIs" dxfId="620" priority="214" operator="between">
      <formula>0</formula>
      <formula>7</formula>
    </cfRule>
  </conditionalFormatting>
  <conditionalFormatting sqref="O298">
    <cfRule type="cellIs" dxfId="619" priority="211" operator="between">
      <formula>63</formula>
      <formula>70</formula>
    </cfRule>
    <cfRule type="cellIs" dxfId="618" priority="212" operator="equal">
      <formula>42</formula>
    </cfRule>
    <cfRule type="cellIs" dxfId="617" priority="213" operator="equal">
      <formula>21</formula>
    </cfRule>
  </conditionalFormatting>
  <conditionalFormatting sqref="AG298">
    <cfRule type="cellIs" dxfId="616" priority="210" operator="between">
      <formula>0</formula>
      <formula>7</formula>
    </cfRule>
  </conditionalFormatting>
  <conditionalFormatting sqref="AG298">
    <cfRule type="cellIs" dxfId="615" priority="209" operator="between">
      <formula>-10</formula>
      <formula>-1</formula>
    </cfRule>
  </conditionalFormatting>
  <conditionalFormatting sqref="AG298">
    <cfRule type="cellIs" dxfId="614" priority="208" operator="between">
      <formula>8</formula>
      <formula>200</formula>
    </cfRule>
  </conditionalFormatting>
  <conditionalFormatting sqref="AN298">
    <cfRule type="cellIs" dxfId="613" priority="207" operator="between">
      <formula>5</formula>
      <formula>2500</formula>
    </cfRule>
  </conditionalFormatting>
  <conditionalFormatting sqref="F298">
    <cfRule type="duplicateValues" dxfId="612" priority="206"/>
  </conditionalFormatting>
  <conditionalFormatting sqref="BY298 BT298">
    <cfRule type="cellIs" dxfId="611" priority="205" operator="equal">
      <formula>"ПОДЛЕЖИТ ВАКЦИНАЦИИ"</formula>
    </cfRule>
  </conditionalFormatting>
  <conditionalFormatting sqref="BW298">
    <cfRule type="cellIs" dxfId="610" priority="204" operator="equal">
      <formula>"Ж-Е НЕ ВАКЦ."</formula>
    </cfRule>
  </conditionalFormatting>
  <conditionalFormatting sqref="CO298 BY298">
    <cfRule type="cellIs" dxfId="609" priority="203" operator="equal">
      <formula>"ТРЕБУЕТСЯ ВАКЦИНАЦИЯ"</formula>
    </cfRule>
  </conditionalFormatting>
  <conditionalFormatting sqref="CT298:CU298 CC298:CD298">
    <cfRule type="cellIs" dxfId="608" priority="202" operator="equal">
      <formula>"ТРЕБУЕТСЯ БУСТЕРНАЯ ДОЗА"</formula>
    </cfRule>
  </conditionalFormatting>
  <conditionalFormatting sqref="CU298 CD298 BA298">
    <cfRule type="timePeriod" dxfId="607" priority="200" timePeriod="today">
      <formula>FLOOR(BA298,1)=TODAY()</formula>
    </cfRule>
    <cfRule type="timePeriod" dxfId="606" priority="201" timePeriod="tomorrow">
      <formula>FLOOR(BA298,1)=TODAY()+1</formula>
    </cfRule>
  </conditionalFormatting>
  <conditionalFormatting sqref="CY298 CI298">
    <cfRule type="cellIs" dxfId="605" priority="198" operator="equal">
      <formula>"УСПЕШНО"</formula>
    </cfRule>
    <cfRule type="cellIs" dxfId="604" priority="199" operator="equal">
      <formula>"НАРУШЕН СРОК ВАКЦИНАЦИИ"</formula>
    </cfRule>
  </conditionalFormatting>
  <conditionalFormatting sqref="DA298 CN298 CJ298">
    <cfRule type="cellIs" dxfId="603" priority="197" operator="equal">
      <formula>"ТРЕБУЕТСЯ РЕВАКЦИНАЦИЯ"</formula>
    </cfRule>
  </conditionalFormatting>
  <conditionalFormatting sqref="CX298 CH298">
    <cfRule type="cellIs" dxfId="602" priority="196" operator="equal">
      <formula>0</formula>
    </cfRule>
  </conditionalFormatting>
  <conditionalFormatting sqref="CN298 CJ298">
    <cfRule type="cellIs" dxfId="601" priority="195" operator="equal">
      <formula>"НЕОБХОДИМА РЕВАКЦИНАЦИЯ"</formula>
    </cfRule>
  </conditionalFormatting>
  <conditionalFormatting sqref="Z298">
    <cfRule type="cellIs" dxfId="600" priority="194" operator="equal">
      <formula>"ПОДЛЕЖИТ ПЕРЕПРОВЕРКЕ"</formula>
    </cfRule>
  </conditionalFormatting>
  <conditionalFormatting sqref="AZ298">
    <cfRule type="cellIs" dxfId="599" priority="193" operator="equal">
      <formula>"РЕВАКЦИНАЦИЯ"</formula>
    </cfRule>
  </conditionalFormatting>
  <conditionalFormatting sqref="V299">
    <cfRule type="cellIs" dxfId="598" priority="192" operator="lessThan">
      <formula>21</formula>
    </cfRule>
  </conditionalFormatting>
  <conditionalFormatting sqref="U299">
    <cfRule type="timePeriod" dxfId="597" priority="191" timePeriod="today">
      <formula>FLOOR(U299,1)=TODAY()</formula>
    </cfRule>
  </conditionalFormatting>
  <conditionalFormatting sqref="V299">
    <cfRule type="cellIs" dxfId="596" priority="190" operator="between">
      <formula>0</formula>
      <formula>7</formula>
    </cfRule>
  </conditionalFormatting>
  <conditionalFormatting sqref="O299">
    <cfRule type="cellIs" dxfId="595" priority="187" operator="between">
      <formula>63</formula>
      <formula>70</formula>
    </cfRule>
    <cfRule type="cellIs" dxfId="594" priority="188" operator="equal">
      <formula>42</formula>
    </cfRule>
    <cfRule type="cellIs" dxfId="593" priority="189" operator="equal">
      <formula>21</formula>
    </cfRule>
  </conditionalFormatting>
  <conditionalFormatting sqref="AG299">
    <cfRule type="cellIs" dxfId="592" priority="186" operator="between">
      <formula>0</formula>
      <formula>7</formula>
    </cfRule>
  </conditionalFormatting>
  <conditionalFormatting sqref="AG299">
    <cfRule type="cellIs" dxfId="591" priority="185" operator="between">
      <formula>-10</formula>
      <formula>-1</formula>
    </cfRule>
  </conditionalFormatting>
  <conditionalFormatting sqref="AG299">
    <cfRule type="cellIs" dxfId="590" priority="184" operator="between">
      <formula>8</formula>
      <formula>200</formula>
    </cfRule>
  </conditionalFormatting>
  <conditionalFormatting sqref="AN299">
    <cfRule type="cellIs" dxfId="589" priority="183" operator="between">
      <formula>5</formula>
      <formula>2500</formula>
    </cfRule>
  </conditionalFormatting>
  <conditionalFormatting sqref="F299">
    <cfRule type="duplicateValues" dxfId="588" priority="182"/>
  </conditionalFormatting>
  <conditionalFormatting sqref="BT299 BY299">
    <cfRule type="cellIs" dxfId="587" priority="181" operator="equal">
      <formula>"ПОДЛЕЖИТ ВАКЦИНАЦИИ"</formula>
    </cfRule>
  </conditionalFormatting>
  <conditionalFormatting sqref="BW299">
    <cfRule type="cellIs" dxfId="586" priority="180" operator="equal">
      <formula>"Ж-Е НЕ ВАКЦ."</formula>
    </cfRule>
  </conditionalFormatting>
  <conditionalFormatting sqref="BY299 CO299">
    <cfRule type="cellIs" dxfId="585" priority="179" operator="equal">
      <formula>"ТРЕБУЕТСЯ ВАКЦИНАЦИЯ"</formula>
    </cfRule>
  </conditionalFormatting>
  <conditionalFormatting sqref="CC299:CD299 CT299:CU299">
    <cfRule type="cellIs" dxfId="584" priority="178" operator="equal">
      <formula>"ТРЕБУЕТСЯ БУСТЕРНАЯ ДОЗА"</formula>
    </cfRule>
  </conditionalFormatting>
  <conditionalFormatting sqref="BA299 CD299 CU299">
    <cfRule type="timePeriod" dxfId="583" priority="176" timePeriod="today">
      <formula>FLOOR(BA299,1)=TODAY()</formula>
    </cfRule>
    <cfRule type="timePeriod" dxfId="582" priority="177" timePeriod="tomorrow">
      <formula>FLOOR(BA299,1)=TODAY()+1</formula>
    </cfRule>
  </conditionalFormatting>
  <conditionalFormatting sqref="CI299 CY299">
    <cfRule type="cellIs" dxfId="581" priority="174" operator="equal">
      <formula>"УСПЕШНО"</formula>
    </cfRule>
    <cfRule type="cellIs" dxfId="580" priority="175" operator="equal">
      <formula>"НАРУШЕН СРОК ВАКЦИНАЦИИ"</formula>
    </cfRule>
  </conditionalFormatting>
  <conditionalFormatting sqref="CJ299 CN299 DA299">
    <cfRule type="cellIs" dxfId="579" priority="173" operator="equal">
      <formula>"ТРЕБУЕТСЯ РЕВАКЦИНАЦИЯ"</formula>
    </cfRule>
  </conditionalFormatting>
  <conditionalFormatting sqref="CH299 CX299">
    <cfRule type="cellIs" dxfId="578" priority="172" operator="equal">
      <formula>0</formula>
    </cfRule>
  </conditionalFormatting>
  <conditionalFormatting sqref="CJ299 CN299">
    <cfRule type="cellIs" dxfId="577" priority="171" operator="equal">
      <formula>"НЕОБХОДИМА РЕВАКЦИНАЦИЯ"</formula>
    </cfRule>
  </conditionalFormatting>
  <conditionalFormatting sqref="Z299">
    <cfRule type="cellIs" dxfId="576" priority="170" operator="equal">
      <formula>"ПОДЛЕЖИТ ПЕРЕПРОВЕРКЕ"</formula>
    </cfRule>
  </conditionalFormatting>
  <conditionalFormatting sqref="AZ299">
    <cfRule type="cellIs" dxfId="575" priority="169" operator="equal">
      <formula>"РЕВАКЦИНАЦИЯ"</formula>
    </cfRule>
  </conditionalFormatting>
  <conditionalFormatting sqref="V300">
    <cfRule type="cellIs" dxfId="574" priority="168" operator="lessThan">
      <formula>21</formula>
    </cfRule>
  </conditionalFormatting>
  <conditionalFormatting sqref="U300">
    <cfRule type="timePeriod" dxfId="573" priority="167" timePeriod="today">
      <formula>FLOOR(U300,1)=TODAY()</formula>
    </cfRule>
  </conditionalFormatting>
  <conditionalFormatting sqref="V300">
    <cfRule type="cellIs" dxfId="572" priority="166" operator="between">
      <formula>0</formula>
      <formula>7</formula>
    </cfRule>
  </conditionalFormatting>
  <conditionalFormatting sqref="O300">
    <cfRule type="cellIs" dxfId="571" priority="163" operator="between">
      <formula>63</formula>
      <formula>70</formula>
    </cfRule>
    <cfRule type="cellIs" dxfId="570" priority="164" operator="equal">
      <formula>42</formula>
    </cfRule>
    <cfRule type="cellIs" dxfId="569" priority="165" operator="equal">
      <formula>21</formula>
    </cfRule>
  </conditionalFormatting>
  <conditionalFormatting sqref="AG300">
    <cfRule type="cellIs" dxfId="568" priority="162" operator="between">
      <formula>0</formula>
      <formula>7</formula>
    </cfRule>
  </conditionalFormatting>
  <conditionalFormatting sqref="AG300">
    <cfRule type="cellIs" dxfId="567" priority="161" operator="between">
      <formula>-10</formula>
      <formula>-1</formula>
    </cfRule>
  </conditionalFormatting>
  <conditionalFormatting sqref="AG300">
    <cfRule type="cellIs" dxfId="566" priority="160" operator="between">
      <formula>8</formula>
      <formula>200</formula>
    </cfRule>
  </conditionalFormatting>
  <conditionalFormatting sqref="AN300">
    <cfRule type="cellIs" dxfId="565" priority="159" operator="between">
      <formula>5</formula>
      <formula>2500</formula>
    </cfRule>
  </conditionalFormatting>
  <conditionalFormatting sqref="F300">
    <cfRule type="duplicateValues" dxfId="564" priority="158"/>
  </conditionalFormatting>
  <conditionalFormatting sqref="BT300 BY300">
    <cfRule type="cellIs" dxfId="563" priority="157" operator="equal">
      <formula>"ПОДЛЕЖИТ ВАКЦИНАЦИИ"</formula>
    </cfRule>
  </conditionalFormatting>
  <conditionalFormatting sqref="BW300">
    <cfRule type="cellIs" dxfId="562" priority="156" operator="equal">
      <formula>"Ж-Е НЕ ВАКЦ."</formula>
    </cfRule>
  </conditionalFormatting>
  <conditionalFormatting sqref="BY300 CO300">
    <cfRule type="cellIs" dxfId="561" priority="155" operator="equal">
      <formula>"ТРЕБУЕТСЯ ВАКЦИНАЦИЯ"</formula>
    </cfRule>
  </conditionalFormatting>
  <conditionalFormatting sqref="CC300:CD300 CT300:CU300">
    <cfRule type="cellIs" dxfId="560" priority="154" operator="equal">
      <formula>"ТРЕБУЕТСЯ БУСТЕРНАЯ ДОЗА"</formula>
    </cfRule>
  </conditionalFormatting>
  <conditionalFormatting sqref="BA300 CD300 CU300">
    <cfRule type="timePeriod" dxfId="559" priority="152" timePeriod="today">
      <formula>FLOOR(BA300,1)=TODAY()</formula>
    </cfRule>
    <cfRule type="timePeriod" dxfId="558" priority="153" timePeriod="tomorrow">
      <formula>FLOOR(BA300,1)=TODAY()+1</formula>
    </cfRule>
  </conditionalFormatting>
  <conditionalFormatting sqref="CI300 CY300">
    <cfRule type="cellIs" dxfId="557" priority="150" operator="equal">
      <formula>"УСПЕШНО"</formula>
    </cfRule>
    <cfRule type="cellIs" dxfId="556" priority="151" operator="equal">
      <formula>"НАРУШЕН СРОК ВАКЦИНАЦИИ"</formula>
    </cfRule>
  </conditionalFormatting>
  <conditionalFormatting sqref="CJ300 CN300 DA300">
    <cfRule type="cellIs" dxfId="555" priority="149" operator="equal">
      <formula>"ТРЕБУЕТСЯ РЕВАКЦИНАЦИЯ"</formula>
    </cfRule>
  </conditionalFormatting>
  <conditionalFormatting sqref="CH300 CX300">
    <cfRule type="cellIs" dxfId="554" priority="148" operator="equal">
      <formula>0</formula>
    </cfRule>
  </conditionalFormatting>
  <conditionalFormatting sqref="CJ300 CN300">
    <cfRule type="cellIs" dxfId="553" priority="147" operator="equal">
      <formula>"НЕОБХОДИМА РЕВАКЦИНАЦИЯ"</formula>
    </cfRule>
  </conditionalFormatting>
  <conditionalFormatting sqref="Z300">
    <cfRule type="cellIs" dxfId="552" priority="146" operator="equal">
      <formula>"ПОДЛЕЖИТ ПЕРЕПРОВЕРКЕ"</formula>
    </cfRule>
  </conditionalFormatting>
  <conditionalFormatting sqref="AZ300">
    <cfRule type="cellIs" dxfId="551" priority="145" operator="equal">
      <formula>"РЕВАКЦИНАЦИЯ"</formula>
    </cfRule>
  </conditionalFormatting>
  <conditionalFormatting sqref="V301">
    <cfRule type="cellIs" dxfId="550" priority="144" operator="lessThan">
      <formula>21</formula>
    </cfRule>
  </conditionalFormatting>
  <conditionalFormatting sqref="U301">
    <cfRule type="timePeriod" dxfId="549" priority="143" timePeriod="today">
      <formula>FLOOR(U301,1)=TODAY()</formula>
    </cfRule>
  </conditionalFormatting>
  <conditionalFormatting sqref="V301">
    <cfRule type="cellIs" dxfId="548" priority="142" operator="between">
      <formula>0</formula>
      <formula>7</formula>
    </cfRule>
  </conditionalFormatting>
  <conditionalFormatting sqref="O301">
    <cfRule type="cellIs" dxfId="547" priority="139" operator="between">
      <formula>63</formula>
      <formula>70</formula>
    </cfRule>
    <cfRule type="cellIs" dxfId="546" priority="140" operator="equal">
      <formula>42</formula>
    </cfRule>
    <cfRule type="cellIs" dxfId="545" priority="141" operator="equal">
      <formula>21</formula>
    </cfRule>
  </conditionalFormatting>
  <conditionalFormatting sqref="AG301">
    <cfRule type="cellIs" dxfId="544" priority="138" operator="between">
      <formula>0</formula>
      <formula>7</formula>
    </cfRule>
  </conditionalFormatting>
  <conditionalFormatting sqref="AG301">
    <cfRule type="cellIs" dxfId="543" priority="137" operator="between">
      <formula>-10</formula>
      <formula>-1</formula>
    </cfRule>
  </conditionalFormatting>
  <conditionalFormatting sqref="AG301">
    <cfRule type="cellIs" dxfId="542" priority="136" operator="between">
      <formula>8</formula>
      <formula>200</formula>
    </cfRule>
  </conditionalFormatting>
  <conditionalFormatting sqref="AN301">
    <cfRule type="cellIs" dxfId="541" priority="135" operator="between">
      <formula>5</formula>
      <formula>2500</formula>
    </cfRule>
  </conditionalFormatting>
  <conditionalFormatting sqref="F301">
    <cfRule type="duplicateValues" dxfId="540" priority="134"/>
  </conditionalFormatting>
  <conditionalFormatting sqref="BY301 BT301">
    <cfRule type="cellIs" dxfId="539" priority="133" operator="equal">
      <formula>"ПОДЛЕЖИТ ВАКЦИНАЦИИ"</formula>
    </cfRule>
  </conditionalFormatting>
  <conditionalFormatting sqref="BW301">
    <cfRule type="cellIs" dxfId="538" priority="132" operator="equal">
      <formula>"Ж-Е НЕ ВАКЦ."</formula>
    </cfRule>
  </conditionalFormatting>
  <conditionalFormatting sqref="CO301 BY301">
    <cfRule type="cellIs" dxfId="537" priority="131" operator="equal">
      <formula>"ТРЕБУЕТСЯ ВАКЦИНАЦИЯ"</formula>
    </cfRule>
  </conditionalFormatting>
  <conditionalFormatting sqref="CT301:CU301 CC301:CD301">
    <cfRule type="cellIs" dxfId="536" priority="130" operator="equal">
      <formula>"ТРЕБУЕТСЯ БУСТЕРНАЯ ДОЗА"</formula>
    </cfRule>
  </conditionalFormatting>
  <conditionalFormatting sqref="CU301 CD301 BA301">
    <cfRule type="timePeriod" dxfId="535" priority="128" timePeriod="today">
      <formula>FLOOR(BA301,1)=TODAY()</formula>
    </cfRule>
    <cfRule type="timePeriod" dxfId="534" priority="129" timePeriod="tomorrow">
      <formula>FLOOR(BA301,1)=TODAY()+1</formula>
    </cfRule>
  </conditionalFormatting>
  <conditionalFormatting sqref="CY301 CI301">
    <cfRule type="cellIs" dxfId="533" priority="126" operator="equal">
      <formula>"УСПЕШНО"</formula>
    </cfRule>
    <cfRule type="cellIs" dxfId="532" priority="127" operator="equal">
      <formula>"НАРУШЕН СРОК ВАКЦИНАЦИИ"</formula>
    </cfRule>
  </conditionalFormatting>
  <conditionalFormatting sqref="DA301 CN301 CJ301">
    <cfRule type="cellIs" dxfId="531" priority="125" operator="equal">
      <formula>"ТРЕБУЕТСЯ РЕВАКЦИНАЦИЯ"</formula>
    </cfRule>
  </conditionalFormatting>
  <conditionalFormatting sqref="CX301 CH301">
    <cfRule type="cellIs" dxfId="530" priority="124" operator="equal">
      <formula>0</formula>
    </cfRule>
  </conditionalFormatting>
  <conditionalFormatting sqref="CN301 CJ301">
    <cfRule type="cellIs" dxfId="529" priority="123" operator="equal">
      <formula>"НЕОБХОДИМА РЕВАКЦИНАЦИЯ"</formula>
    </cfRule>
  </conditionalFormatting>
  <conditionalFormatting sqref="Z301">
    <cfRule type="cellIs" dxfId="528" priority="122" operator="equal">
      <formula>"ПОДЛЕЖИТ ПЕРЕПРОВЕРКЕ"</formula>
    </cfRule>
  </conditionalFormatting>
  <conditionalFormatting sqref="AZ301">
    <cfRule type="cellIs" dxfId="527" priority="121" operator="equal">
      <formula>"РЕВАКЦИНАЦИЯ"</formula>
    </cfRule>
  </conditionalFormatting>
  <conditionalFormatting sqref="V302">
    <cfRule type="cellIs" dxfId="526" priority="120" operator="lessThan">
      <formula>21</formula>
    </cfRule>
  </conditionalFormatting>
  <conditionalFormatting sqref="U302">
    <cfRule type="timePeriod" dxfId="525" priority="119" timePeriod="today">
      <formula>FLOOR(U302,1)=TODAY()</formula>
    </cfRule>
  </conditionalFormatting>
  <conditionalFormatting sqref="V302">
    <cfRule type="cellIs" dxfId="524" priority="118" operator="between">
      <formula>0</formula>
      <formula>7</formula>
    </cfRule>
  </conditionalFormatting>
  <conditionalFormatting sqref="O302">
    <cfRule type="cellIs" dxfId="523" priority="115" operator="between">
      <formula>63</formula>
      <formula>70</formula>
    </cfRule>
    <cfRule type="cellIs" dxfId="522" priority="116" operator="equal">
      <formula>42</formula>
    </cfRule>
    <cfRule type="cellIs" dxfId="521" priority="117" operator="equal">
      <formula>21</formula>
    </cfRule>
  </conditionalFormatting>
  <conditionalFormatting sqref="AG302">
    <cfRule type="cellIs" dxfId="520" priority="114" operator="between">
      <formula>0</formula>
      <formula>7</formula>
    </cfRule>
  </conditionalFormatting>
  <conditionalFormatting sqref="AG302">
    <cfRule type="cellIs" dxfId="519" priority="113" operator="between">
      <formula>-10</formula>
      <formula>-1</formula>
    </cfRule>
  </conditionalFormatting>
  <conditionalFormatting sqref="AG302">
    <cfRule type="cellIs" dxfId="518" priority="112" operator="between">
      <formula>8</formula>
      <formula>200</formula>
    </cfRule>
  </conditionalFormatting>
  <conditionalFormatting sqref="AN302">
    <cfRule type="cellIs" dxfId="517" priority="111" operator="between">
      <formula>5</formula>
      <formula>2500</formula>
    </cfRule>
  </conditionalFormatting>
  <conditionalFormatting sqref="F302">
    <cfRule type="duplicateValues" dxfId="516" priority="110"/>
  </conditionalFormatting>
  <conditionalFormatting sqref="BT302 BY302">
    <cfRule type="cellIs" dxfId="515" priority="109" operator="equal">
      <formula>"ПОДЛЕЖИТ ВАКЦИНАЦИИ"</formula>
    </cfRule>
  </conditionalFormatting>
  <conditionalFormatting sqref="BW302">
    <cfRule type="cellIs" dxfId="514" priority="108" operator="equal">
      <formula>"Ж-Е НЕ ВАКЦ."</formula>
    </cfRule>
  </conditionalFormatting>
  <conditionalFormatting sqref="BY302 CO302">
    <cfRule type="cellIs" dxfId="513" priority="107" operator="equal">
      <formula>"ТРЕБУЕТСЯ ВАКЦИНАЦИЯ"</formula>
    </cfRule>
  </conditionalFormatting>
  <conditionalFormatting sqref="CC302:CD302 CT302:CU302">
    <cfRule type="cellIs" dxfId="512" priority="106" operator="equal">
      <formula>"ТРЕБУЕТСЯ БУСТЕРНАЯ ДОЗА"</formula>
    </cfRule>
  </conditionalFormatting>
  <conditionalFormatting sqref="BA302 CD302 CU302">
    <cfRule type="timePeriod" dxfId="511" priority="104" timePeriod="today">
      <formula>FLOOR(BA302,1)=TODAY()</formula>
    </cfRule>
    <cfRule type="timePeriod" dxfId="510" priority="105" timePeriod="tomorrow">
      <formula>FLOOR(BA302,1)=TODAY()+1</formula>
    </cfRule>
  </conditionalFormatting>
  <conditionalFormatting sqref="CI302 CY302">
    <cfRule type="cellIs" dxfId="509" priority="102" operator="equal">
      <formula>"УСПЕШНО"</formula>
    </cfRule>
    <cfRule type="cellIs" dxfId="508" priority="103" operator="equal">
      <formula>"НАРУШЕН СРОК ВАКЦИНАЦИИ"</formula>
    </cfRule>
  </conditionalFormatting>
  <conditionalFormatting sqref="CJ302 CN302 DA302">
    <cfRule type="cellIs" dxfId="507" priority="101" operator="equal">
      <formula>"ТРЕБУЕТСЯ РЕВАКЦИНАЦИЯ"</formula>
    </cfRule>
  </conditionalFormatting>
  <conditionalFormatting sqref="CH302 CX302">
    <cfRule type="cellIs" dxfId="506" priority="100" operator="equal">
      <formula>0</formula>
    </cfRule>
  </conditionalFormatting>
  <conditionalFormatting sqref="CJ302 CN302">
    <cfRule type="cellIs" dxfId="505" priority="99" operator="equal">
      <formula>"НЕОБХОДИМА РЕВАКЦИНАЦИЯ"</formula>
    </cfRule>
  </conditionalFormatting>
  <conditionalFormatting sqref="Z302">
    <cfRule type="cellIs" dxfId="504" priority="98" operator="equal">
      <formula>"ПОДЛЕЖИТ ПЕРЕПРОВЕРКЕ"</formula>
    </cfRule>
  </conditionalFormatting>
  <conditionalFormatting sqref="AZ302">
    <cfRule type="cellIs" dxfId="503" priority="97" operator="equal">
      <formula>"РЕВАКЦИНАЦИЯ"</formula>
    </cfRule>
  </conditionalFormatting>
  <conditionalFormatting sqref="V303">
    <cfRule type="cellIs" dxfId="502" priority="95" operator="lessThan">
      <formula>21</formula>
    </cfRule>
  </conditionalFormatting>
  <conditionalFormatting sqref="V303">
    <cfRule type="cellIs" dxfId="501" priority="93" operator="between">
      <formula>0</formula>
      <formula>7</formula>
    </cfRule>
  </conditionalFormatting>
  <conditionalFormatting sqref="O303">
    <cfRule type="cellIs" dxfId="500" priority="87" operator="between">
      <formula>63</formula>
      <formula>70</formula>
    </cfRule>
    <cfRule type="cellIs" dxfId="499" priority="91" operator="equal">
      <formula>42</formula>
    </cfRule>
    <cfRule type="cellIs" dxfId="498" priority="92" operator="equal">
      <formula>21</formula>
    </cfRule>
  </conditionalFormatting>
  <conditionalFormatting sqref="AG303">
    <cfRule type="cellIs" dxfId="497" priority="90" operator="between">
      <formula>0</formula>
      <formula>7</formula>
    </cfRule>
  </conditionalFormatting>
  <conditionalFormatting sqref="AG303">
    <cfRule type="cellIs" dxfId="496" priority="89" operator="between">
      <formula>-10</formula>
      <formula>-1</formula>
    </cfRule>
  </conditionalFormatting>
  <conditionalFormatting sqref="AG303">
    <cfRule type="cellIs" dxfId="495" priority="88" operator="between">
      <formula>8</formula>
      <formula>200</formula>
    </cfRule>
  </conditionalFormatting>
  <conditionalFormatting sqref="AN303">
    <cfRule type="cellIs" dxfId="494" priority="86" operator="between">
      <formula>5</formula>
      <formula>2500</formula>
    </cfRule>
  </conditionalFormatting>
  <conditionalFormatting sqref="F303">
    <cfRule type="duplicateValues" dxfId="493" priority="96"/>
  </conditionalFormatting>
  <conditionalFormatting sqref="BY303 BT303">
    <cfRule type="cellIs" dxfId="492" priority="85" operator="equal">
      <formula>"ПОДЛЕЖИТ ВАКЦИНАЦИИ"</formula>
    </cfRule>
  </conditionalFormatting>
  <conditionalFormatting sqref="BW303">
    <cfRule type="cellIs" dxfId="491" priority="84" operator="equal">
      <formula>"Ж-Е НЕ ВАКЦ."</formula>
    </cfRule>
  </conditionalFormatting>
  <conditionalFormatting sqref="CO303 BY303">
    <cfRule type="cellIs" dxfId="490" priority="83" operator="equal">
      <formula>"ТРЕБУЕТСЯ ВАКЦИНАЦИЯ"</formula>
    </cfRule>
  </conditionalFormatting>
  <conditionalFormatting sqref="CT303:CU303 CC303:CD303">
    <cfRule type="cellIs" dxfId="489" priority="82" operator="equal">
      <formula>"ТРЕБУЕТСЯ БУСТЕРНАЯ ДОЗА"</formula>
    </cfRule>
  </conditionalFormatting>
  <conditionalFormatting sqref="CY303 CI303">
    <cfRule type="cellIs" dxfId="488" priority="78" operator="equal">
      <formula>"УСПЕШНО"</formula>
    </cfRule>
    <cfRule type="cellIs" dxfId="487" priority="79" operator="equal">
      <formula>"НАРУШЕН СРОК ВАКЦИНАЦИИ"</formula>
    </cfRule>
  </conditionalFormatting>
  <conditionalFormatting sqref="DA303 CN303 CJ303">
    <cfRule type="cellIs" dxfId="486" priority="77" operator="equal">
      <formula>"ТРЕБУЕТСЯ РЕВАКЦИНАЦИЯ"</formula>
    </cfRule>
  </conditionalFormatting>
  <conditionalFormatting sqref="CX303 CH303">
    <cfRule type="cellIs" dxfId="485" priority="76" operator="equal">
      <formula>0</formula>
    </cfRule>
  </conditionalFormatting>
  <conditionalFormatting sqref="CN303 CJ303">
    <cfRule type="cellIs" dxfId="484" priority="75" operator="equal">
      <formula>"НЕОБХОДИМА РЕВАКЦИНАЦИЯ"</formula>
    </cfRule>
  </conditionalFormatting>
  <conditionalFormatting sqref="Z303">
    <cfRule type="cellIs" dxfId="483" priority="74" operator="equal">
      <formula>"ПОДЛЕЖИТ ПЕРЕПРОВЕРКЕ"</formula>
    </cfRule>
  </conditionalFormatting>
  <conditionalFormatting sqref="AZ303">
    <cfRule type="cellIs" dxfId="482" priority="73" operator="equal">
      <formula>"РЕВАКЦИНАЦИЯ"</formula>
    </cfRule>
  </conditionalFormatting>
  <conditionalFormatting sqref="V304">
    <cfRule type="cellIs" dxfId="481" priority="71" operator="lessThan">
      <formula>21</formula>
    </cfRule>
  </conditionalFormatting>
  <conditionalFormatting sqref="V304">
    <cfRule type="cellIs" dxfId="480" priority="69" operator="between">
      <formula>0</formula>
      <formula>7</formula>
    </cfRule>
  </conditionalFormatting>
  <conditionalFormatting sqref="O304">
    <cfRule type="cellIs" dxfId="479" priority="63" operator="between">
      <formula>63</formula>
      <formula>70</formula>
    </cfRule>
    <cfRule type="cellIs" dxfId="478" priority="67" operator="equal">
      <formula>42</formula>
    </cfRule>
    <cfRule type="cellIs" dxfId="477" priority="68" operator="equal">
      <formula>21</formula>
    </cfRule>
  </conditionalFormatting>
  <conditionalFormatting sqref="AG304">
    <cfRule type="cellIs" dxfId="476" priority="66" operator="between">
      <formula>0</formula>
      <formula>7</formula>
    </cfRule>
  </conditionalFormatting>
  <conditionalFormatting sqref="AG304">
    <cfRule type="cellIs" dxfId="475" priority="65" operator="between">
      <formula>-10</formula>
      <formula>-1</formula>
    </cfRule>
  </conditionalFormatting>
  <conditionalFormatting sqref="AG304">
    <cfRule type="cellIs" dxfId="474" priority="64" operator="between">
      <formula>8</formula>
      <formula>200</formula>
    </cfRule>
  </conditionalFormatting>
  <conditionalFormatting sqref="AN304">
    <cfRule type="cellIs" dxfId="473" priority="62" operator="between">
      <formula>5</formula>
      <formula>2500</formula>
    </cfRule>
  </conditionalFormatting>
  <conditionalFormatting sqref="F304">
    <cfRule type="duplicateValues" dxfId="472" priority="72"/>
  </conditionalFormatting>
  <conditionalFormatting sqref="BT304 BY304">
    <cfRule type="cellIs" dxfId="471" priority="61" operator="equal">
      <formula>"ПОДЛЕЖИТ ВАКЦИНАЦИИ"</formula>
    </cfRule>
  </conditionalFormatting>
  <conditionalFormatting sqref="BW304">
    <cfRule type="cellIs" dxfId="470" priority="60" operator="equal">
      <formula>"Ж-Е НЕ ВАКЦ."</formula>
    </cfRule>
  </conditionalFormatting>
  <conditionalFormatting sqref="BY304 CO304">
    <cfRule type="cellIs" dxfId="469" priority="59" operator="equal">
      <formula>"ТРЕБУЕТСЯ ВАКЦИНАЦИЯ"</formula>
    </cfRule>
  </conditionalFormatting>
  <conditionalFormatting sqref="CC304:CD304 CT304:CU304">
    <cfRule type="cellIs" dxfId="468" priority="58" operator="equal">
      <formula>"ТРЕБУЕТСЯ БУСТЕРНАЯ ДОЗА"</formula>
    </cfRule>
  </conditionalFormatting>
  <conditionalFormatting sqref="CI304 CY304">
    <cfRule type="cellIs" dxfId="467" priority="54" operator="equal">
      <formula>"УСПЕШНО"</formula>
    </cfRule>
    <cfRule type="cellIs" dxfId="466" priority="55" operator="equal">
      <formula>"НАРУШЕН СРОК ВАКЦИНАЦИИ"</formula>
    </cfRule>
  </conditionalFormatting>
  <conditionalFormatting sqref="CJ304 CN304 DA304">
    <cfRule type="cellIs" dxfId="465" priority="53" operator="equal">
      <formula>"ТРЕБУЕТСЯ РЕВАКЦИНАЦИЯ"</formula>
    </cfRule>
  </conditionalFormatting>
  <conditionalFormatting sqref="CH304 CX304">
    <cfRule type="cellIs" dxfId="464" priority="52" operator="equal">
      <formula>0</formula>
    </cfRule>
  </conditionalFormatting>
  <conditionalFormatting sqref="CJ304 CN304">
    <cfRule type="cellIs" dxfId="463" priority="51" operator="equal">
      <formula>"НЕОБХОДИМА РЕВАКЦИНАЦИЯ"</formula>
    </cfRule>
  </conditionalFormatting>
  <conditionalFormatting sqref="Z304">
    <cfRule type="cellIs" dxfId="462" priority="50" operator="equal">
      <formula>"ПОДЛЕЖИТ ПЕРЕПРОВЕРКЕ"</formula>
    </cfRule>
  </conditionalFormatting>
  <conditionalFormatting sqref="AZ304">
    <cfRule type="cellIs" dxfId="461" priority="49" operator="equal">
      <formula>"РЕВАКЦИНАЦИЯ"</formula>
    </cfRule>
  </conditionalFormatting>
  <conditionalFormatting sqref="V305">
    <cfRule type="cellIs" dxfId="460" priority="47" operator="lessThan">
      <formula>21</formula>
    </cfRule>
  </conditionalFormatting>
  <conditionalFormatting sqref="V305">
    <cfRule type="cellIs" dxfId="459" priority="45" operator="between">
      <formula>0</formula>
      <formula>7</formula>
    </cfRule>
  </conditionalFormatting>
  <conditionalFormatting sqref="O305">
    <cfRule type="cellIs" dxfId="458" priority="39" operator="between">
      <formula>63</formula>
      <formula>70</formula>
    </cfRule>
    <cfRule type="cellIs" dxfId="457" priority="43" operator="equal">
      <formula>42</formula>
    </cfRule>
    <cfRule type="cellIs" dxfId="456" priority="44" operator="equal">
      <formula>21</formula>
    </cfRule>
  </conditionalFormatting>
  <conditionalFormatting sqref="AG305">
    <cfRule type="cellIs" dxfId="455" priority="42" operator="between">
      <formula>0</formula>
      <formula>7</formula>
    </cfRule>
  </conditionalFormatting>
  <conditionalFormatting sqref="AG305">
    <cfRule type="cellIs" dxfId="454" priority="41" operator="between">
      <formula>-10</formula>
      <formula>-1</formula>
    </cfRule>
  </conditionalFormatting>
  <conditionalFormatting sqref="AG305">
    <cfRule type="cellIs" dxfId="453" priority="40" operator="between">
      <formula>8</formula>
      <formula>200</formula>
    </cfRule>
  </conditionalFormatting>
  <conditionalFormatting sqref="AN305">
    <cfRule type="cellIs" dxfId="452" priority="38" operator="between">
      <formula>5</formula>
      <formula>2500</formula>
    </cfRule>
  </conditionalFormatting>
  <conditionalFormatting sqref="F305">
    <cfRule type="duplicateValues" dxfId="451" priority="48"/>
  </conditionalFormatting>
  <conditionalFormatting sqref="BY305 BT305">
    <cfRule type="cellIs" dxfId="450" priority="37" operator="equal">
      <formula>"ПОДЛЕЖИТ ВАКЦИНАЦИИ"</formula>
    </cfRule>
  </conditionalFormatting>
  <conditionalFormatting sqref="BW305">
    <cfRule type="cellIs" dxfId="449" priority="36" operator="equal">
      <formula>"Ж-Е НЕ ВАКЦ."</formula>
    </cfRule>
  </conditionalFormatting>
  <conditionalFormatting sqref="CO305 BY305">
    <cfRule type="cellIs" dxfId="448" priority="35" operator="equal">
      <formula>"ТРЕБУЕТСЯ ВАКЦИНАЦИЯ"</formula>
    </cfRule>
  </conditionalFormatting>
  <conditionalFormatting sqref="CT305:CU305 CC305:CD305">
    <cfRule type="cellIs" dxfId="447" priority="34" operator="equal">
      <formula>"ТРЕБУЕТСЯ БУСТЕРНАЯ ДОЗА"</formula>
    </cfRule>
  </conditionalFormatting>
  <conditionalFormatting sqref="CY305 CI305">
    <cfRule type="cellIs" dxfId="446" priority="30" operator="equal">
      <formula>"УСПЕШНО"</formula>
    </cfRule>
    <cfRule type="cellIs" dxfId="445" priority="31" operator="equal">
      <formula>"НАРУШЕН СРОК ВАКЦИНАЦИИ"</formula>
    </cfRule>
  </conditionalFormatting>
  <conditionalFormatting sqref="DA305 CN305 CJ305">
    <cfRule type="cellIs" dxfId="444" priority="29" operator="equal">
      <formula>"ТРЕБУЕТСЯ РЕВАКЦИНАЦИЯ"</formula>
    </cfRule>
  </conditionalFormatting>
  <conditionalFormatting sqref="CX305 CH305">
    <cfRule type="cellIs" dxfId="443" priority="28" operator="equal">
      <formula>0</formula>
    </cfRule>
  </conditionalFormatting>
  <conditionalFormatting sqref="CN305 CJ305">
    <cfRule type="cellIs" dxfId="442" priority="27" operator="equal">
      <formula>"НЕОБХОДИМА РЕВАКЦИНАЦИЯ"</formula>
    </cfRule>
  </conditionalFormatting>
  <conditionalFormatting sqref="Z305">
    <cfRule type="cellIs" dxfId="441" priority="26" operator="equal">
      <formula>"ПОДЛЕЖИТ ПЕРЕПРОВЕРКЕ"</formula>
    </cfRule>
  </conditionalFormatting>
  <conditionalFormatting sqref="AZ305">
    <cfRule type="cellIs" dxfId="440" priority="25" operator="equal">
      <formula>"РЕВАКЦИНАЦИЯ"</formula>
    </cfRule>
  </conditionalFormatting>
  <conditionalFormatting sqref="U303:U304">
    <cfRule type="timePeriod" dxfId="439" priority="94" timePeriod="today">
      <formula>FLOOR(U303,1)=TODAY()</formula>
    </cfRule>
  </conditionalFormatting>
  <conditionalFormatting sqref="BA303:BA304 CD303:CD304 CU303:CU304">
    <cfRule type="timePeriod" dxfId="438" priority="80" timePeriod="today">
      <formula>FLOOR(BA303,1)=TODAY()</formula>
    </cfRule>
    <cfRule type="timePeriod" dxfId="437" priority="81" timePeriod="tomorrow">
      <formula>FLOOR(BA303,1)=TODAY()+1</formula>
    </cfRule>
  </conditionalFormatting>
  <conditionalFormatting sqref="U305">
    <cfRule type="timePeriod" dxfId="436" priority="46" timePeriod="today">
      <formula>FLOOR(U305,1)=TODAY()</formula>
    </cfRule>
  </conditionalFormatting>
  <conditionalFormatting sqref="CU305 CD305 BA305">
    <cfRule type="timePeriod" dxfId="435" priority="32" timePeriod="today">
      <formula>FLOOR(BA305,1)=TODAY()</formula>
    </cfRule>
    <cfRule type="timePeriod" dxfId="434" priority="33" timePeriod="tomorrow">
      <formula>FLOOR(BA305,1)=TODAY()+1</formula>
    </cfRule>
  </conditionalFormatting>
  <conditionalFormatting sqref="V306">
    <cfRule type="cellIs" dxfId="433" priority="23" operator="lessThan">
      <formula>21</formula>
    </cfRule>
  </conditionalFormatting>
  <conditionalFormatting sqref="V306">
    <cfRule type="cellIs" dxfId="432" priority="21" operator="between">
      <formula>0</formula>
      <formula>7</formula>
    </cfRule>
  </conditionalFormatting>
  <conditionalFormatting sqref="O306">
    <cfRule type="cellIs" dxfId="431" priority="15" operator="between">
      <formula>63</formula>
      <formula>70</formula>
    </cfRule>
    <cfRule type="cellIs" dxfId="430" priority="19" operator="equal">
      <formula>42</formula>
    </cfRule>
    <cfRule type="cellIs" dxfId="429" priority="20" operator="equal">
      <formula>21</formula>
    </cfRule>
  </conditionalFormatting>
  <conditionalFormatting sqref="AG306">
    <cfRule type="cellIs" dxfId="428" priority="18" operator="between">
      <formula>0</formula>
      <formula>7</formula>
    </cfRule>
  </conditionalFormatting>
  <conditionalFormatting sqref="AG306">
    <cfRule type="cellIs" dxfId="427" priority="17" operator="between">
      <formula>-10</formula>
      <formula>-1</formula>
    </cfRule>
  </conditionalFormatting>
  <conditionalFormatting sqref="AG306">
    <cfRule type="cellIs" dxfId="426" priority="16" operator="between">
      <formula>8</formula>
      <formula>200</formula>
    </cfRule>
  </conditionalFormatting>
  <conditionalFormatting sqref="AN306">
    <cfRule type="cellIs" dxfId="425" priority="14" operator="between">
      <formula>5</formula>
      <formula>2500</formula>
    </cfRule>
  </conditionalFormatting>
  <conditionalFormatting sqref="F306">
    <cfRule type="duplicateValues" dxfId="424" priority="24"/>
  </conditionalFormatting>
  <conditionalFormatting sqref="BT306 BY306">
    <cfRule type="cellIs" dxfId="423" priority="13" operator="equal">
      <formula>"ПОДЛЕЖИТ ВАКЦИНАЦИИ"</formula>
    </cfRule>
  </conditionalFormatting>
  <conditionalFormatting sqref="BW306">
    <cfRule type="cellIs" dxfId="422" priority="12" operator="equal">
      <formula>"Ж-Е НЕ ВАКЦ."</formula>
    </cfRule>
  </conditionalFormatting>
  <conditionalFormatting sqref="BY306 CO306">
    <cfRule type="cellIs" dxfId="421" priority="11" operator="equal">
      <formula>"ТРЕБУЕТСЯ ВАКЦИНАЦИЯ"</formula>
    </cfRule>
  </conditionalFormatting>
  <conditionalFormatting sqref="CC306:CD306 CT306:CU306">
    <cfRule type="cellIs" dxfId="420" priority="10" operator="equal">
      <formula>"ТРЕБУЕТСЯ БУСТЕРНАЯ ДОЗА"</formula>
    </cfRule>
  </conditionalFormatting>
  <conditionalFormatting sqref="CI306 CY306">
    <cfRule type="cellIs" dxfId="419" priority="6" operator="equal">
      <formula>"УСПЕШНО"</formula>
    </cfRule>
    <cfRule type="cellIs" dxfId="418" priority="7" operator="equal">
      <formula>"НАРУШЕН СРОК ВАКЦИНАЦИИ"</formula>
    </cfRule>
  </conditionalFormatting>
  <conditionalFormatting sqref="CJ306 CN306 DA306">
    <cfRule type="cellIs" dxfId="417" priority="5" operator="equal">
      <formula>"ТРЕБУЕТСЯ РЕВАКЦИНАЦИЯ"</formula>
    </cfRule>
  </conditionalFormatting>
  <conditionalFormatting sqref="CH306 CX306">
    <cfRule type="cellIs" dxfId="416" priority="4" operator="equal">
      <formula>0</formula>
    </cfRule>
  </conditionalFormatting>
  <conditionalFormatting sqref="CJ306 CN306">
    <cfRule type="cellIs" dxfId="415" priority="3" operator="equal">
      <formula>"НЕОБХОДИМА РЕВАКЦИНАЦИЯ"</formula>
    </cfRule>
  </conditionalFormatting>
  <conditionalFormatting sqref="Z306">
    <cfRule type="cellIs" dxfId="414" priority="2" operator="equal">
      <formula>"ПОДЛЕЖИТ ПЕРЕПРОВЕРКЕ"</formula>
    </cfRule>
  </conditionalFormatting>
  <conditionalFormatting sqref="AZ306">
    <cfRule type="cellIs" dxfId="413" priority="1" operator="equal">
      <formula>"РЕВАКЦИНАЦИЯ"</formula>
    </cfRule>
  </conditionalFormatting>
  <conditionalFormatting sqref="U306">
    <cfRule type="timePeriod" dxfId="412" priority="22" timePeriod="today">
      <formula>FLOOR(U306,1)=TODAY()</formula>
    </cfRule>
  </conditionalFormatting>
  <conditionalFormatting sqref="BA306 CD306 CU306">
    <cfRule type="timePeriod" dxfId="411" priority="8" timePeriod="today">
      <formula>FLOOR(BA306,1)=TODAY()</formula>
    </cfRule>
    <cfRule type="timePeriod" dxfId="410" priority="9" timePeriod="tomorrow">
      <formula>FLOOR(BA306,1)=TODAY()+1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workbookViewId="0">
      <selection activeCell="AT17" sqref="AT17"/>
    </sheetView>
  </sheetViews>
  <sheetFormatPr defaultRowHeight="12.75" x14ac:dyDescent="0.2"/>
  <cols>
    <col min="1" max="1" width="3.28515625" customWidth="1"/>
    <col min="3" max="3" width="13.140625" customWidth="1"/>
    <col min="4" max="4" width="14.28515625" customWidth="1"/>
    <col min="5" max="5" width="12" customWidth="1"/>
    <col min="6" max="6" width="11" customWidth="1"/>
    <col min="7" max="8" width="0" hidden="1" customWidth="1"/>
    <col min="9" max="9" width="11.7109375" customWidth="1"/>
    <col min="11" max="36" width="0" hidden="1" customWidth="1"/>
    <col min="37" max="37" width="13" customWidth="1"/>
    <col min="38" max="38" width="27.7109375" customWidth="1"/>
  </cols>
  <sheetData>
    <row r="1" spans="1:39" s="23" customFormat="1" ht="53.25" customHeight="1" thickTop="1" thickBot="1" x14ac:dyDescent="0.25">
      <c r="A1" s="66" t="s">
        <v>18</v>
      </c>
      <c r="B1" s="9" t="s">
        <v>22</v>
      </c>
      <c r="C1" s="26" t="s">
        <v>21</v>
      </c>
      <c r="D1" s="8" t="s">
        <v>19</v>
      </c>
      <c r="E1" s="8" t="s">
        <v>20</v>
      </c>
      <c r="F1" s="10" t="s">
        <v>9</v>
      </c>
      <c r="G1" s="10"/>
      <c r="H1" s="11" t="s">
        <v>17</v>
      </c>
      <c r="I1" s="996" t="s">
        <v>10</v>
      </c>
      <c r="J1" s="34" t="s">
        <v>23</v>
      </c>
      <c r="K1" s="62" t="s">
        <v>77</v>
      </c>
      <c r="L1" s="996" t="s">
        <v>16</v>
      </c>
      <c r="M1" s="25" t="s">
        <v>606</v>
      </c>
      <c r="N1" s="70" t="s">
        <v>604</v>
      </c>
      <c r="O1" s="75" t="s">
        <v>1447</v>
      </c>
      <c r="P1" s="76" t="s">
        <v>1457</v>
      </c>
      <c r="Q1" s="72" t="s">
        <v>1459</v>
      </c>
      <c r="R1" s="4" t="s">
        <v>1460</v>
      </c>
      <c r="S1" s="33" t="s">
        <v>25</v>
      </c>
      <c r="T1" s="5" t="s">
        <v>24</v>
      </c>
      <c r="U1" s="12" t="s">
        <v>12</v>
      </c>
      <c r="V1" s="12" t="s">
        <v>13</v>
      </c>
      <c r="W1" s="13" t="s">
        <v>11</v>
      </c>
      <c r="X1" s="24" t="s">
        <v>605</v>
      </c>
      <c r="Y1" s="14" t="s">
        <v>1376</v>
      </c>
      <c r="Z1" s="91" t="s">
        <v>1534</v>
      </c>
      <c r="AA1" s="15" t="s">
        <v>26</v>
      </c>
      <c r="AB1"/>
      <c r="AC1" s="31" t="s">
        <v>800</v>
      </c>
      <c r="AD1" s="30" t="s">
        <v>799</v>
      </c>
      <c r="AE1" s="16" t="s">
        <v>1381</v>
      </c>
      <c r="AF1" s="17" t="s">
        <v>15</v>
      </c>
      <c r="AG1" s="91" t="s">
        <v>1533</v>
      </c>
      <c r="AH1" s="8" t="s">
        <v>14</v>
      </c>
      <c r="AI1" s="64" t="s">
        <v>1535</v>
      </c>
      <c r="AJ1" s="64" t="s">
        <v>1536</v>
      </c>
      <c r="AK1" s="172" t="s">
        <v>1045</v>
      </c>
      <c r="AL1" s="117" t="s">
        <v>1612</v>
      </c>
      <c r="AM1" s="117" t="s">
        <v>1613</v>
      </c>
    </row>
    <row r="2" spans="1:39" s="864" customFormat="1" ht="16.5" thickTop="1" x14ac:dyDescent="0.25">
      <c r="A2" s="790">
        <v>809</v>
      </c>
      <c r="B2" s="791">
        <f t="shared" ref="B2:B7" ca="1" si="0">TODAY()</f>
        <v>43134</v>
      </c>
      <c r="C2" s="29" t="s">
        <v>2546</v>
      </c>
      <c r="D2" s="59" t="s">
        <v>1555</v>
      </c>
      <c r="E2" s="22" t="s">
        <v>1557</v>
      </c>
      <c r="F2" s="27" t="s">
        <v>3373</v>
      </c>
      <c r="G2" s="871"/>
      <c r="H2" s="797" t="s">
        <v>603</v>
      </c>
      <c r="I2" s="798">
        <v>43038</v>
      </c>
      <c r="J2" s="799">
        <f t="shared" ref="J2:J7" ca="1" si="1">(B2-I2)/365</f>
        <v>0.26301369863013696</v>
      </c>
      <c r="K2" s="799">
        <f t="shared" ref="K2:K7" ca="1" si="2">(B2-I2)/30</f>
        <v>3.2</v>
      </c>
      <c r="L2" s="800">
        <f t="shared" ref="L2:L7" ca="1" si="3">B2-I2</f>
        <v>96</v>
      </c>
      <c r="M2" s="801"/>
      <c r="N2" s="802"/>
      <c r="O2" s="803" t="str">
        <f t="shared" ref="O2:O7" ca="1" si="4">IF(AND(B2&gt;0,N2&gt;0),B2-N2,"-")</f>
        <v>-</v>
      </c>
      <c r="P2" s="804"/>
      <c r="Q2" s="805"/>
      <c r="R2" s="806"/>
      <c r="S2" s="807"/>
      <c r="T2" s="798"/>
      <c r="U2" s="798" t="str">
        <f t="shared" ref="U2:U7" si="5">IF(AND(Y2&gt;1,T2&gt;0),T2+18,"-")</f>
        <v>-</v>
      </c>
      <c r="V2" s="804" t="str">
        <f t="shared" ref="V2:V7" ca="1" si="6">IF(AND(U2&gt;0,B2&gt;0,Y2&gt;1),B2-U2,"-")</f>
        <v>-</v>
      </c>
      <c r="W2" s="808"/>
      <c r="X2" s="794" t="str">
        <f t="shared" ref="X2:X7" si="7">IF(AND(N2&gt;0,T2&gt;0),T2-N2,"-")</f>
        <v>-</v>
      </c>
      <c r="Y2" s="794"/>
      <c r="Z2" s="809" t="str">
        <f t="shared" ref="Z2:Z7" ca="1" si="8">IF(AND(Y2=1,AA2&gt;71,OR(ISBLANK(AB2),AB2=2)),"ПОДЛЕЖИТ ПЕРЕПРОВЕРКЕ","-----")</f>
        <v>-----</v>
      </c>
      <c r="AA2" s="810">
        <f t="shared" ref="AA2:AA7" ca="1" si="9">IF(AND(O2&gt;-1,W2&gt;0,Y2=1,AB2=1),"-----",B2-T2)</f>
        <v>43134</v>
      </c>
      <c r="AB2" s="804"/>
      <c r="AC2" s="811" t="str">
        <f t="shared" ref="AC2:AC7" ca="1" si="10">IF(AND(AB2&lt;1,Z2="ПОДЛЕЖИТ ПЕРЕПРОВЕРКЕ",Y2=1),T2+72,"-----")</f>
        <v>-----</v>
      </c>
      <c r="AD2" s="798"/>
      <c r="AE2" s="794" t="str">
        <f t="shared" ref="AE2:AE7" ca="1" si="11">IF(AND(O2&gt;120,Y2=0,N2&gt;0),"яловая","-")</f>
        <v>-</v>
      </c>
      <c r="AF2" s="798" t="str">
        <f t="shared" ref="AF2:AF7" si="12">IF(AND(T2&gt;0,OR(Y2=3,Y2=2)),T2+35,"-")</f>
        <v>-</v>
      </c>
      <c r="AG2" s="812" t="str">
        <f t="shared" ref="AG2:AG7" si="13">IF(AND(T2&gt;0,W2&gt;0,Q2&gt;0,OR(Y2=3,Y2=2)),B2-AF2,"---------")</f>
        <v>---------</v>
      </c>
      <c r="AH2" s="807"/>
      <c r="AI2" s="807" t="str">
        <f t="shared" ref="AI2:AI7" si="14">IF(AND($T2&gt;0,$N2&gt;0,$Y2=1),$T2+280-90,"-")</f>
        <v>-</v>
      </c>
      <c r="AJ2" s="807" t="str">
        <f t="shared" ref="AJ2:AJ7" si="15">IF(AND(T2&gt;0,Y2=1,N2&gt;0),T2+280-60,"-")</f>
        <v>-</v>
      </c>
      <c r="AK2" s="813">
        <v>43041</v>
      </c>
      <c r="AL2" s="21" t="s">
        <v>1614</v>
      </c>
      <c r="AM2" s="807" t="str">
        <f t="shared" ref="AM2:AM7" si="16">IF(AND(T2&gt;0,Y2=1),T2+280,"-")</f>
        <v>-</v>
      </c>
    </row>
    <row r="3" spans="1:39" s="864" customFormat="1" ht="15.75" x14ac:dyDescent="0.25">
      <c r="A3" s="790">
        <v>1141</v>
      </c>
      <c r="B3" s="791">
        <f t="shared" ca="1" si="0"/>
        <v>43134</v>
      </c>
      <c r="C3" s="29" t="s">
        <v>2546</v>
      </c>
      <c r="D3" s="59" t="s">
        <v>1555</v>
      </c>
      <c r="E3" s="22" t="s">
        <v>1557</v>
      </c>
      <c r="F3" s="27" t="s">
        <v>3403</v>
      </c>
      <c r="G3" s="871"/>
      <c r="H3" s="797" t="s">
        <v>603</v>
      </c>
      <c r="I3" s="798">
        <v>43039</v>
      </c>
      <c r="J3" s="799">
        <f t="shared" ca="1" si="1"/>
        <v>0.26027397260273971</v>
      </c>
      <c r="K3" s="799">
        <f t="shared" ca="1" si="2"/>
        <v>3.1666666666666665</v>
      </c>
      <c r="L3" s="800">
        <f t="shared" ca="1" si="3"/>
        <v>95</v>
      </c>
      <c r="M3" s="801"/>
      <c r="N3" s="802"/>
      <c r="O3" s="803" t="str">
        <f t="shared" ca="1" si="4"/>
        <v>-</v>
      </c>
      <c r="P3" s="804"/>
      <c r="Q3" s="805"/>
      <c r="R3" s="806"/>
      <c r="S3" s="807"/>
      <c r="T3" s="798"/>
      <c r="U3" s="798" t="str">
        <f t="shared" si="5"/>
        <v>-</v>
      </c>
      <c r="V3" s="804" t="str">
        <f t="shared" ca="1" si="6"/>
        <v>-</v>
      </c>
      <c r="W3" s="808"/>
      <c r="X3" s="794" t="str">
        <f t="shared" si="7"/>
        <v>-</v>
      </c>
      <c r="Y3" s="794"/>
      <c r="Z3" s="809" t="str">
        <f t="shared" ca="1" si="8"/>
        <v>-----</v>
      </c>
      <c r="AA3" s="810">
        <f t="shared" ca="1" si="9"/>
        <v>43134</v>
      </c>
      <c r="AB3" s="804"/>
      <c r="AC3" s="811" t="str">
        <f t="shared" ca="1" si="10"/>
        <v>-----</v>
      </c>
      <c r="AD3" s="798"/>
      <c r="AE3" s="794" t="str">
        <f t="shared" ca="1" si="11"/>
        <v>-</v>
      </c>
      <c r="AF3" s="798" t="str">
        <f t="shared" si="12"/>
        <v>-</v>
      </c>
      <c r="AG3" s="812" t="str">
        <f t="shared" si="13"/>
        <v>---------</v>
      </c>
      <c r="AH3" s="807"/>
      <c r="AI3" s="807" t="str">
        <f t="shared" si="14"/>
        <v>-</v>
      </c>
      <c r="AJ3" s="807" t="str">
        <f t="shared" si="15"/>
        <v>-</v>
      </c>
      <c r="AK3" s="813">
        <v>43041</v>
      </c>
      <c r="AL3" s="21" t="s">
        <v>1614</v>
      </c>
      <c r="AM3" s="807" t="str">
        <f t="shared" si="16"/>
        <v>-</v>
      </c>
    </row>
    <row r="4" spans="1:39" s="864" customFormat="1" ht="15.75" x14ac:dyDescent="0.25">
      <c r="A4" s="790">
        <v>810</v>
      </c>
      <c r="B4" s="791">
        <f t="shared" ca="1" si="0"/>
        <v>43134</v>
      </c>
      <c r="C4" s="29" t="s">
        <v>2546</v>
      </c>
      <c r="D4" s="59" t="s">
        <v>1555</v>
      </c>
      <c r="E4" s="22" t="s">
        <v>1557</v>
      </c>
      <c r="F4" s="27" t="s">
        <v>3401</v>
      </c>
      <c r="G4" s="871"/>
      <c r="H4" s="797" t="s">
        <v>603</v>
      </c>
      <c r="I4" s="798">
        <v>43040</v>
      </c>
      <c r="J4" s="799">
        <f t="shared" ca="1" si="1"/>
        <v>0.25753424657534246</v>
      </c>
      <c r="K4" s="799">
        <f t="shared" ca="1" si="2"/>
        <v>3.1333333333333333</v>
      </c>
      <c r="L4" s="800">
        <f t="shared" ca="1" si="3"/>
        <v>94</v>
      </c>
      <c r="M4" s="801"/>
      <c r="N4" s="802"/>
      <c r="O4" s="803" t="str">
        <f t="shared" ca="1" si="4"/>
        <v>-</v>
      </c>
      <c r="P4" s="804"/>
      <c r="Q4" s="805"/>
      <c r="R4" s="806"/>
      <c r="S4" s="807"/>
      <c r="T4" s="798"/>
      <c r="U4" s="798" t="str">
        <f t="shared" si="5"/>
        <v>-</v>
      </c>
      <c r="V4" s="804" t="str">
        <f t="shared" ca="1" si="6"/>
        <v>-</v>
      </c>
      <c r="W4" s="808">
        <v>0</v>
      </c>
      <c r="X4" s="794" t="str">
        <f t="shared" si="7"/>
        <v>-</v>
      </c>
      <c r="Y4" s="794">
        <v>0</v>
      </c>
      <c r="Z4" s="809" t="str">
        <f t="shared" ca="1" si="8"/>
        <v>-----</v>
      </c>
      <c r="AA4" s="810">
        <f t="shared" ca="1" si="9"/>
        <v>43134</v>
      </c>
      <c r="AB4" s="804"/>
      <c r="AC4" s="811" t="str">
        <f t="shared" ca="1" si="10"/>
        <v>-----</v>
      </c>
      <c r="AD4" s="798"/>
      <c r="AE4" s="794" t="str">
        <f t="shared" ca="1" si="11"/>
        <v>-</v>
      </c>
      <c r="AF4" s="798" t="str">
        <f t="shared" si="12"/>
        <v>-</v>
      </c>
      <c r="AG4" s="812" t="str">
        <f t="shared" si="13"/>
        <v>---------</v>
      </c>
      <c r="AH4" s="807"/>
      <c r="AI4" s="807" t="str">
        <f t="shared" si="14"/>
        <v>-</v>
      </c>
      <c r="AJ4" s="807" t="str">
        <f t="shared" si="15"/>
        <v>-</v>
      </c>
      <c r="AK4" s="813">
        <v>43042</v>
      </c>
      <c r="AL4" s="21" t="s">
        <v>1614</v>
      </c>
      <c r="AM4" s="807" t="str">
        <f t="shared" si="16"/>
        <v>-</v>
      </c>
    </row>
    <row r="5" spans="1:39" s="864" customFormat="1" ht="15.75" x14ac:dyDescent="0.25">
      <c r="A5" s="790">
        <v>811</v>
      </c>
      <c r="B5" s="791">
        <f t="shared" ca="1" si="0"/>
        <v>43134</v>
      </c>
      <c r="C5" s="29" t="s">
        <v>2546</v>
      </c>
      <c r="D5" s="59" t="s">
        <v>1555</v>
      </c>
      <c r="E5" s="22" t="s">
        <v>1557</v>
      </c>
      <c r="F5" s="27" t="s">
        <v>3404</v>
      </c>
      <c r="G5" s="871"/>
      <c r="H5" s="797" t="s">
        <v>603</v>
      </c>
      <c r="I5" s="798">
        <v>43041</v>
      </c>
      <c r="J5" s="799">
        <f t="shared" ca="1" si="1"/>
        <v>0.25479452054794521</v>
      </c>
      <c r="K5" s="799">
        <f t="shared" ca="1" si="2"/>
        <v>3.1</v>
      </c>
      <c r="L5" s="800">
        <f t="shared" ca="1" si="3"/>
        <v>93</v>
      </c>
      <c r="M5" s="801"/>
      <c r="N5" s="802"/>
      <c r="O5" s="803" t="str">
        <f t="shared" ca="1" si="4"/>
        <v>-</v>
      </c>
      <c r="P5" s="804"/>
      <c r="Q5" s="805"/>
      <c r="R5" s="806"/>
      <c r="S5" s="807"/>
      <c r="T5" s="798"/>
      <c r="U5" s="798" t="str">
        <f t="shared" si="5"/>
        <v>-</v>
      </c>
      <c r="V5" s="804" t="str">
        <f t="shared" ca="1" si="6"/>
        <v>-</v>
      </c>
      <c r="W5" s="808">
        <v>0</v>
      </c>
      <c r="X5" s="794" t="str">
        <f t="shared" si="7"/>
        <v>-</v>
      </c>
      <c r="Y5" s="794">
        <v>0</v>
      </c>
      <c r="Z5" s="809" t="str">
        <f t="shared" ca="1" si="8"/>
        <v>-----</v>
      </c>
      <c r="AA5" s="810">
        <f t="shared" ca="1" si="9"/>
        <v>43134</v>
      </c>
      <c r="AB5" s="804"/>
      <c r="AC5" s="811" t="str">
        <f t="shared" ca="1" si="10"/>
        <v>-----</v>
      </c>
      <c r="AD5" s="798"/>
      <c r="AE5" s="794" t="str">
        <f t="shared" ca="1" si="11"/>
        <v>-</v>
      </c>
      <c r="AF5" s="798" t="str">
        <f t="shared" si="12"/>
        <v>-</v>
      </c>
      <c r="AG5" s="812" t="str">
        <f t="shared" si="13"/>
        <v>---------</v>
      </c>
      <c r="AH5" s="807"/>
      <c r="AI5" s="807" t="str">
        <f t="shared" si="14"/>
        <v>-</v>
      </c>
      <c r="AJ5" s="807" t="str">
        <f t="shared" si="15"/>
        <v>-</v>
      </c>
      <c r="AK5" s="813">
        <v>43042</v>
      </c>
      <c r="AL5" s="21" t="s">
        <v>1614</v>
      </c>
      <c r="AM5" s="807" t="str">
        <f t="shared" si="16"/>
        <v>-</v>
      </c>
    </row>
    <row r="6" spans="1:39" s="864" customFormat="1" ht="15.75" x14ac:dyDescent="0.25">
      <c r="A6" s="790">
        <v>812</v>
      </c>
      <c r="B6" s="791">
        <f t="shared" ca="1" si="0"/>
        <v>43134</v>
      </c>
      <c r="C6" s="29" t="s">
        <v>2546</v>
      </c>
      <c r="D6" s="59" t="s">
        <v>1555</v>
      </c>
      <c r="E6" s="22" t="s">
        <v>1557</v>
      </c>
      <c r="F6" s="27" t="s">
        <v>3405</v>
      </c>
      <c r="G6" s="871"/>
      <c r="H6" s="797" t="s">
        <v>603</v>
      </c>
      <c r="I6" s="798">
        <v>43041</v>
      </c>
      <c r="J6" s="799">
        <f t="shared" ca="1" si="1"/>
        <v>0.25479452054794521</v>
      </c>
      <c r="K6" s="799">
        <f t="shared" ca="1" si="2"/>
        <v>3.1</v>
      </c>
      <c r="L6" s="800">
        <f t="shared" ca="1" si="3"/>
        <v>93</v>
      </c>
      <c r="M6" s="801"/>
      <c r="N6" s="802"/>
      <c r="O6" s="803" t="str">
        <f t="shared" ca="1" si="4"/>
        <v>-</v>
      </c>
      <c r="P6" s="804"/>
      <c r="Q6" s="805"/>
      <c r="R6" s="806"/>
      <c r="S6" s="807"/>
      <c r="T6" s="798"/>
      <c r="U6" s="798" t="str">
        <f t="shared" si="5"/>
        <v>-</v>
      </c>
      <c r="V6" s="804" t="str">
        <f t="shared" ca="1" si="6"/>
        <v>-</v>
      </c>
      <c r="W6" s="808">
        <v>0</v>
      </c>
      <c r="X6" s="794" t="str">
        <f t="shared" si="7"/>
        <v>-</v>
      </c>
      <c r="Y6" s="794">
        <v>0</v>
      </c>
      <c r="Z6" s="809" t="str">
        <f t="shared" ca="1" si="8"/>
        <v>-----</v>
      </c>
      <c r="AA6" s="810">
        <f t="shared" ca="1" si="9"/>
        <v>43134</v>
      </c>
      <c r="AB6" s="804"/>
      <c r="AC6" s="811" t="str">
        <f t="shared" ca="1" si="10"/>
        <v>-----</v>
      </c>
      <c r="AD6" s="798"/>
      <c r="AE6" s="794" t="str">
        <f t="shared" ca="1" si="11"/>
        <v>-</v>
      </c>
      <c r="AF6" s="798" t="str">
        <f t="shared" si="12"/>
        <v>-</v>
      </c>
      <c r="AG6" s="812" t="str">
        <f t="shared" si="13"/>
        <v>---------</v>
      </c>
      <c r="AH6" s="807"/>
      <c r="AI6" s="807" t="str">
        <f t="shared" si="14"/>
        <v>-</v>
      </c>
      <c r="AJ6" s="807" t="str">
        <f t="shared" si="15"/>
        <v>-</v>
      </c>
      <c r="AK6" s="813">
        <v>43046</v>
      </c>
      <c r="AL6" s="21" t="s">
        <v>1614</v>
      </c>
      <c r="AM6" s="807" t="str">
        <f t="shared" si="16"/>
        <v>-</v>
      </c>
    </row>
    <row r="7" spans="1:39" s="864" customFormat="1" ht="15.75" x14ac:dyDescent="0.25">
      <c r="A7" s="790">
        <v>813</v>
      </c>
      <c r="B7" s="791">
        <f t="shared" ca="1" si="0"/>
        <v>43134</v>
      </c>
      <c r="C7" s="29" t="s">
        <v>2546</v>
      </c>
      <c r="D7" s="59" t="s">
        <v>1555</v>
      </c>
      <c r="E7" s="22" t="s">
        <v>1557</v>
      </c>
      <c r="F7" s="27" t="s">
        <v>3406</v>
      </c>
      <c r="G7" s="871"/>
      <c r="H7" s="797" t="s">
        <v>603</v>
      </c>
      <c r="I7" s="798">
        <v>43042</v>
      </c>
      <c r="J7" s="799">
        <f t="shared" ca="1" si="1"/>
        <v>0.25205479452054796</v>
      </c>
      <c r="K7" s="799">
        <f t="shared" ca="1" si="2"/>
        <v>3.0666666666666669</v>
      </c>
      <c r="L7" s="800">
        <f t="shared" ca="1" si="3"/>
        <v>92</v>
      </c>
      <c r="M7" s="801"/>
      <c r="N7" s="802"/>
      <c r="O7" s="803" t="str">
        <f t="shared" ca="1" si="4"/>
        <v>-</v>
      </c>
      <c r="P7" s="804"/>
      <c r="Q7" s="805"/>
      <c r="R7" s="806"/>
      <c r="S7" s="807"/>
      <c r="T7" s="798"/>
      <c r="U7" s="798" t="str">
        <f t="shared" si="5"/>
        <v>-</v>
      </c>
      <c r="V7" s="804" t="str">
        <f t="shared" ca="1" si="6"/>
        <v>-</v>
      </c>
      <c r="W7" s="808">
        <v>0</v>
      </c>
      <c r="X7" s="794" t="str">
        <f t="shared" si="7"/>
        <v>-</v>
      </c>
      <c r="Y7" s="794">
        <v>0</v>
      </c>
      <c r="Z7" s="809" t="str">
        <f t="shared" ca="1" si="8"/>
        <v>-----</v>
      </c>
      <c r="AA7" s="810">
        <f t="shared" ca="1" si="9"/>
        <v>43134</v>
      </c>
      <c r="AB7" s="804"/>
      <c r="AC7" s="811" t="str">
        <f t="shared" ca="1" si="10"/>
        <v>-----</v>
      </c>
      <c r="AD7" s="798"/>
      <c r="AE7" s="794" t="str">
        <f t="shared" ca="1" si="11"/>
        <v>-</v>
      </c>
      <c r="AF7" s="798" t="str">
        <f t="shared" si="12"/>
        <v>-</v>
      </c>
      <c r="AG7" s="812" t="str">
        <f t="shared" si="13"/>
        <v>---------</v>
      </c>
      <c r="AH7" s="807"/>
      <c r="AI7" s="807" t="str">
        <f t="shared" si="14"/>
        <v>-</v>
      </c>
      <c r="AJ7" s="807" t="str">
        <f t="shared" si="15"/>
        <v>-</v>
      </c>
      <c r="AK7" s="813">
        <v>43046</v>
      </c>
      <c r="AL7" s="21" t="s">
        <v>1614</v>
      </c>
      <c r="AM7" s="807" t="str">
        <f t="shared" si="16"/>
        <v>-</v>
      </c>
    </row>
    <row r="8" spans="1:39" s="864" customFormat="1" ht="15.75" x14ac:dyDescent="0.25">
      <c r="A8" s="790">
        <v>788</v>
      </c>
      <c r="B8" s="791">
        <f ca="1">TODAY()</f>
        <v>43134</v>
      </c>
      <c r="C8" s="29" t="s">
        <v>2546</v>
      </c>
      <c r="D8" s="59" t="s">
        <v>1555</v>
      </c>
      <c r="E8" s="22" t="s">
        <v>1557</v>
      </c>
      <c r="F8" s="27" t="s">
        <v>3411</v>
      </c>
      <c r="G8" s="871"/>
      <c r="H8" s="797" t="s">
        <v>603</v>
      </c>
      <c r="I8" s="798">
        <v>43046</v>
      </c>
      <c r="J8" s="799">
        <f ca="1">(B8-I8)/365</f>
        <v>0.24109589041095891</v>
      </c>
      <c r="K8" s="799">
        <f ca="1">(B8-I8)/30</f>
        <v>2.9333333333333331</v>
      </c>
      <c r="L8" s="800">
        <f ca="1">B8-I8</f>
        <v>88</v>
      </c>
      <c r="M8" s="801"/>
      <c r="N8" s="802"/>
      <c r="O8" s="803" t="str">
        <f ca="1">IF(AND(B8&gt;0,N8&gt;0),B8-N8,"-")</f>
        <v>-</v>
      </c>
      <c r="P8" s="804"/>
      <c r="Q8" s="805"/>
      <c r="R8" s="806"/>
      <c r="S8" s="807"/>
      <c r="T8" s="798"/>
      <c r="U8" s="798" t="str">
        <f>IF(AND(Y8&gt;1,T8&gt;0),T8+18,"-")</f>
        <v>-</v>
      </c>
      <c r="V8" s="804" t="str">
        <f ca="1">IF(AND(U8&gt;0,B8&gt;0,Y8&gt;1),B8-U8,"-")</f>
        <v>-</v>
      </c>
      <c r="W8" s="808">
        <v>0</v>
      </c>
      <c r="X8" s="794" t="str">
        <f>IF(AND(N8&gt;0,T8&gt;0),T8-N8,"-")</f>
        <v>-</v>
      </c>
      <c r="Y8" s="794">
        <v>0</v>
      </c>
      <c r="Z8" s="809" t="str">
        <f ca="1">IF(AND(Y8=1,AA8&gt;71,OR(ISBLANK(AB8),AB8=2)),"ПОДЛЕЖИТ ПЕРЕПРОВЕРКЕ","-----")</f>
        <v>-----</v>
      </c>
      <c r="AA8" s="810">
        <f ca="1">IF(AND(O8&gt;-1,W8&gt;0,Y8=1,AB8=1),"-----",B8-T8)</f>
        <v>43134</v>
      </c>
      <c r="AB8" s="804"/>
      <c r="AC8" s="811" t="str">
        <f ca="1">IF(AND(AB8&lt;1,Z8="ПОДЛЕЖИТ ПЕРЕПРОВЕРКЕ",Y8=1),T8+72,"-----")</f>
        <v>-----</v>
      </c>
      <c r="AD8" s="798"/>
      <c r="AE8" s="794" t="str">
        <f ca="1">IF(AND(O8&gt;120,Y8=0,N8&gt;0),"яловая","-")</f>
        <v>-</v>
      </c>
      <c r="AF8" s="798" t="str">
        <f>IF(AND(T8&gt;0,OR(Y8=3,Y8=2)),T8+35,"-")</f>
        <v>-</v>
      </c>
      <c r="AG8" s="812" t="str">
        <f>IF(AND(T8&gt;0,W8&gt;0,Q8&gt;0,OR(Y8=3,Y8=2)),B8-AF8,"---------")</f>
        <v>---------</v>
      </c>
      <c r="AH8" s="807"/>
      <c r="AI8" s="807" t="str">
        <f>IF(AND($T8&gt;0,$N8&gt;0,$Y8=1),$T8+280-90,"-")</f>
        <v>-</v>
      </c>
      <c r="AJ8" s="807" t="str">
        <f>IF(AND(T8&gt;0,Y8=1,N8&gt;0),T8+280-60,"-")</f>
        <v>-</v>
      </c>
      <c r="AK8" s="813">
        <v>43055</v>
      </c>
      <c r="AL8" s="21" t="s">
        <v>1614</v>
      </c>
      <c r="AM8" s="807" t="str">
        <f>IF(AND(T8&gt;0,Y8=1),T8+280,"-")</f>
        <v>-</v>
      </c>
    </row>
    <row r="9" spans="1:39" s="2" customFormat="1" ht="15.95" customHeight="1" x14ac:dyDescent="0.25">
      <c r="A9" s="77">
        <v>7</v>
      </c>
      <c r="B9" s="84"/>
      <c r="C9" s="29"/>
      <c r="D9" s="59"/>
      <c r="E9" s="22"/>
      <c r="F9" s="27"/>
      <c r="G9" s="27"/>
      <c r="H9" s="28"/>
      <c r="I9" s="20"/>
      <c r="J9" s="35"/>
      <c r="K9" s="60"/>
      <c r="L9" s="32"/>
      <c r="M9" s="82"/>
      <c r="N9" s="19"/>
      <c r="O9" s="68"/>
      <c r="P9" s="83"/>
      <c r="Q9" s="21"/>
      <c r="R9" s="20"/>
      <c r="S9" s="20"/>
      <c r="T9" s="19"/>
      <c r="U9" s="3"/>
      <c r="V9" s="22"/>
      <c r="W9" s="22"/>
      <c r="X9" s="22"/>
      <c r="Y9" s="20"/>
      <c r="Z9" s="94"/>
      <c r="AA9" s="21"/>
      <c r="AB9" s="21"/>
      <c r="AC9" s="21"/>
      <c r="AD9" s="85"/>
      <c r="AE9" s="21"/>
      <c r="AF9" s="21"/>
      <c r="AG9" s="89"/>
      <c r="AH9" s="92"/>
      <c r="AI9" s="80"/>
      <c r="AJ9" s="80"/>
      <c r="AK9" s="123"/>
      <c r="AL9" s="80"/>
      <c r="AM9" s="121"/>
    </row>
    <row r="10" spans="1:39" s="2" customFormat="1" ht="15.95" customHeight="1" x14ac:dyDescent="0.25">
      <c r="A10" s="77">
        <v>8</v>
      </c>
      <c r="B10" s="84"/>
      <c r="C10" s="29"/>
      <c r="D10" s="59"/>
      <c r="E10" s="22"/>
      <c r="F10" s="27"/>
      <c r="G10" s="27"/>
      <c r="H10" s="28"/>
      <c r="I10" s="20"/>
      <c r="J10" s="35"/>
      <c r="K10" s="60"/>
      <c r="L10" s="32"/>
      <c r="M10" s="82"/>
      <c r="N10" s="19"/>
      <c r="O10" s="68"/>
      <c r="P10" s="83"/>
      <c r="Q10" s="21"/>
      <c r="R10" s="20"/>
      <c r="S10" s="20"/>
      <c r="T10" s="19"/>
      <c r="U10" s="3"/>
      <c r="V10" s="22"/>
      <c r="W10" s="22"/>
      <c r="X10" s="22"/>
      <c r="Y10" s="20"/>
      <c r="Z10" s="94"/>
      <c r="AA10" s="21"/>
      <c r="AB10" s="21"/>
      <c r="AC10" s="21"/>
      <c r="AD10" s="85"/>
      <c r="AE10" s="21"/>
      <c r="AF10" s="21"/>
      <c r="AG10" s="89"/>
      <c r="AH10" s="92"/>
      <c r="AI10" s="80"/>
      <c r="AJ10" s="80"/>
      <c r="AK10" s="123"/>
      <c r="AL10" s="80"/>
      <c r="AM10" s="121"/>
    </row>
    <row r="11" spans="1:39" s="2" customFormat="1" ht="15.95" customHeight="1" x14ac:dyDescent="0.25">
      <c r="A11" s="77">
        <v>9</v>
      </c>
      <c r="B11" s="84"/>
      <c r="C11" s="29"/>
      <c r="D11" s="59"/>
      <c r="E11" s="22"/>
      <c r="F11" s="27"/>
      <c r="G11" s="27"/>
      <c r="H11" s="28"/>
      <c r="I11" s="20"/>
      <c r="J11" s="35"/>
      <c r="K11" s="60"/>
      <c r="L11" s="32"/>
      <c r="M11" s="82"/>
      <c r="N11" s="19"/>
      <c r="O11" s="68"/>
      <c r="P11" s="83"/>
      <c r="Q11" s="21"/>
      <c r="R11" s="20"/>
      <c r="S11" s="20"/>
      <c r="T11" s="19"/>
      <c r="U11" s="3"/>
      <c r="V11" s="22"/>
      <c r="W11" s="22"/>
      <c r="X11" s="22"/>
      <c r="Y11" s="20"/>
      <c r="Z11" s="94"/>
      <c r="AA11" s="21"/>
      <c r="AB11" s="21"/>
      <c r="AC11" s="21"/>
      <c r="AD11" s="85"/>
      <c r="AE11" s="21"/>
      <c r="AF11" s="21"/>
      <c r="AG11" s="89"/>
      <c r="AH11" s="92"/>
      <c r="AI11" s="80"/>
      <c r="AJ11" s="80"/>
      <c r="AK11" s="123"/>
      <c r="AL11" s="80"/>
      <c r="AM11" s="121"/>
    </row>
    <row r="23" spans="7:7" ht="15" x14ac:dyDescent="0.2">
      <c r="G23" s="997"/>
    </row>
  </sheetData>
  <conditionalFormatting sqref="M1:M7 M9:M11">
    <cfRule type="cellIs" dxfId="409" priority="67" operator="equal">
      <formula>40</formula>
    </cfRule>
    <cfRule type="cellIs" dxfId="408" priority="68" operator="equal">
      <formula>30</formula>
    </cfRule>
  </conditionalFormatting>
  <conditionalFormatting sqref="T2:T7 V2:V7 T9:T11">
    <cfRule type="cellIs" dxfId="407" priority="66" operator="lessThan">
      <formula>21</formula>
    </cfRule>
  </conditionalFormatting>
  <conditionalFormatting sqref="F2:G2">
    <cfRule type="duplicateValues" dxfId="406" priority="65"/>
  </conditionalFormatting>
  <conditionalFormatting sqref="S2:S7 U2:U7 S9:S11">
    <cfRule type="timePeriod" dxfId="405" priority="64" timePeriod="today">
      <formula>FLOOR(S2,1)=TODAY()</formula>
    </cfRule>
  </conditionalFormatting>
  <conditionalFormatting sqref="T2:T7 V2:V7 T9:T11">
    <cfRule type="cellIs" dxfId="404" priority="63" operator="between">
      <formula>0</formula>
      <formula>7</formula>
    </cfRule>
  </conditionalFormatting>
  <conditionalFormatting sqref="Z2:Z7 AG2:AG7 Z9:Z11">
    <cfRule type="cellIs" dxfId="403" priority="62" operator="between">
      <formula>0</formula>
      <formula>7</formula>
    </cfRule>
  </conditionalFormatting>
  <conditionalFormatting sqref="Z2:Z7 AG2:AG7 Z9:Z11">
    <cfRule type="cellIs" dxfId="402" priority="61" operator="between">
      <formula>-10</formula>
      <formula>-1</formula>
    </cfRule>
  </conditionalFormatting>
  <conditionalFormatting sqref="Z2:Z7 AG2:AG7 Z9:Z11">
    <cfRule type="cellIs" dxfId="401" priority="60" operator="between">
      <formula>8</formula>
      <formula>200</formula>
    </cfRule>
  </conditionalFormatting>
  <conditionalFormatting sqref="F3:G3">
    <cfRule type="duplicateValues" dxfId="400" priority="59"/>
  </conditionalFormatting>
  <conditionalFormatting sqref="F4:G4">
    <cfRule type="duplicateValues" dxfId="399" priority="58"/>
  </conditionalFormatting>
  <conditionalFormatting sqref="F5:G5">
    <cfRule type="duplicateValues" dxfId="398" priority="57"/>
  </conditionalFormatting>
  <conditionalFormatting sqref="F6:G6">
    <cfRule type="duplicateValues" dxfId="397" priority="56"/>
  </conditionalFormatting>
  <conditionalFormatting sqref="F7:G7">
    <cfRule type="duplicateValues" dxfId="396" priority="55"/>
  </conditionalFormatting>
  <conditionalFormatting sqref="F9:G9">
    <cfRule type="duplicateValues" dxfId="395" priority="54"/>
  </conditionalFormatting>
  <conditionalFormatting sqref="F10:G10">
    <cfRule type="duplicateValues" dxfId="394" priority="53"/>
  </conditionalFormatting>
  <conditionalFormatting sqref="F11:G11">
    <cfRule type="duplicateValues" dxfId="393" priority="52"/>
  </conditionalFormatting>
  <conditionalFormatting sqref="Z2:Z7">
    <cfRule type="cellIs" dxfId="392" priority="25" operator="equal">
      <formula>"ПОДЛЕЖИТ ПЕРЕПРОВЕРКЕ"</formula>
    </cfRule>
  </conditionalFormatting>
  <conditionalFormatting sqref="O2:O7">
    <cfRule type="cellIs" dxfId="391" priority="26" operator="equal">
      <formula>42</formula>
    </cfRule>
    <cfRule type="cellIs" dxfId="390" priority="27" operator="equal">
      <formula>21</formula>
    </cfRule>
    <cfRule type="cellIs" dxfId="389" priority="69" operator="between">
      <formula>63</formula>
      <formula>70</formula>
    </cfRule>
  </conditionalFormatting>
  <conditionalFormatting sqref="F2">
    <cfRule type="duplicateValues" dxfId="388" priority="28"/>
  </conditionalFormatting>
  <conditionalFormatting sqref="F3">
    <cfRule type="duplicateValues" dxfId="387" priority="70"/>
  </conditionalFormatting>
  <conditionalFormatting sqref="F4:F5">
    <cfRule type="duplicateValues" dxfId="386" priority="71"/>
  </conditionalFormatting>
  <conditionalFormatting sqref="F6:F7">
    <cfRule type="duplicateValues" dxfId="385" priority="72"/>
  </conditionalFormatting>
  <conditionalFormatting sqref="V8">
    <cfRule type="cellIs" dxfId="384" priority="23" operator="lessThan">
      <formula>21</formula>
    </cfRule>
  </conditionalFormatting>
  <conditionalFormatting sqref="V8">
    <cfRule type="cellIs" dxfId="383" priority="21" operator="between">
      <formula>0</formula>
      <formula>7</formula>
    </cfRule>
  </conditionalFormatting>
  <conditionalFormatting sqref="O8">
    <cfRule type="cellIs" dxfId="382" priority="15" operator="between">
      <formula>63</formula>
      <formula>70</formula>
    </cfRule>
    <cfRule type="cellIs" dxfId="381" priority="19" operator="equal">
      <formula>42</formula>
    </cfRule>
    <cfRule type="cellIs" dxfId="380" priority="20" operator="equal">
      <formula>21</formula>
    </cfRule>
  </conditionalFormatting>
  <conditionalFormatting sqref="AG8">
    <cfRule type="cellIs" dxfId="379" priority="18" operator="between">
      <formula>0</formula>
      <formula>7</formula>
    </cfRule>
  </conditionalFormatting>
  <conditionalFormatting sqref="AG8">
    <cfRule type="cellIs" dxfId="378" priority="17" operator="between">
      <formula>-10</formula>
      <formula>-1</formula>
    </cfRule>
  </conditionalFormatting>
  <conditionalFormatting sqref="AG8">
    <cfRule type="cellIs" dxfId="377" priority="16" operator="between">
      <formula>8</formula>
      <formula>200</formula>
    </cfRule>
  </conditionalFormatting>
  <conditionalFormatting sqref="F8">
    <cfRule type="duplicateValues" dxfId="376" priority="24"/>
  </conditionalFormatting>
  <conditionalFormatting sqref="Z8">
    <cfRule type="cellIs" dxfId="375" priority="2" operator="equal">
      <formula>"ПОДЛЕЖИТ ПЕРЕПРОВЕРКЕ"</formula>
    </cfRule>
  </conditionalFormatting>
  <conditionalFormatting sqref="U8">
    <cfRule type="timePeriod" dxfId="374" priority="22" timePeriod="today">
      <formula>FLOOR(U8,1)=TODAY()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Y439"/>
  <sheetViews>
    <sheetView topLeftCell="A2" workbookViewId="0">
      <pane xSplit="6" ySplit="1" topLeftCell="G429" activePane="bottomRight" state="frozen"/>
      <selection activeCell="A2" sqref="A2"/>
      <selection pane="topRight" activeCell="G2" sqref="G2"/>
      <selection pane="bottomLeft" activeCell="A3" sqref="A3"/>
      <selection pane="bottomRight" activeCell="DB434" sqref="DB434"/>
    </sheetView>
  </sheetViews>
  <sheetFormatPr defaultRowHeight="15" x14ac:dyDescent="0.2"/>
  <cols>
    <col min="1" max="1" width="3.5703125" customWidth="1"/>
    <col min="4" max="4" width="17.85546875" customWidth="1"/>
    <col min="8" max="8" width="15.28515625" customWidth="1"/>
    <col min="9" max="9" width="11.7109375" customWidth="1"/>
    <col min="11" max="36" width="0" hidden="1" customWidth="1"/>
    <col min="37" max="37" width="11.85546875" style="171" customWidth="1"/>
    <col min="38" max="38" width="34.7109375" style="119" customWidth="1"/>
    <col min="39" max="39" width="9.85546875" style="122" customWidth="1"/>
    <col min="40" max="103" width="0" hidden="1" customWidth="1"/>
  </cols>
  <sheetData>
    <row r="1" spans="1:39" s="56" customFormat="1" ht="27" hidden="1" thickTop="1" thickBot="1" x14ac:dyDescent="0.3">
      <c r="A1" s="65"/>
      <c r="B1" s="37" t="s">
        <v>1485</v>
      </c>
      <c r="C1" s="38"/>
      <c r="D1" s="36"/>
      <c r="E1" s="36"/>
      <c r="F1" s="36"/>
      <c r="G1" s="36"/>
      <c r="H1" s="39"/>
      <c r="I1" s="67" t="s">
        <v>1461</v>
      </c>
      <c r="J1" s="40"/>
      <c r="K1" s="62" t="s">
        <v>0</v>
      </c>
      <c r="L1" s="67" t="s">
        <v>1</v>
      </c>
      <c r="M1" s="41"/>
      <c r="N1" s="69"/>
      <c r="O1" s="73"/>
      <c r="P1" s="74"/>
      <c r="Q1" s="71"/>
      <c r="R1" s="42" t="s">
        <v>2</v>
      </c>
      <c r="S1" s="43"/>
      <c r="T1" s="44"/>
      <c r="U1" s="45" t="s">
        <v>3</v>
      </c>
      <c r="V1" s="45" t="s">
        <v>4</v>
      </c>
      <c r="W1" s="46" t="s">
        <v>5</v>
      </c>
      <c r="X1" s="47"/>
      <c r="Y1" s="48" t="s">
        <v>6</v>
      </c>
      <c r="Z1" s="90"/>
      <c r="AA1" s="49"/>
      <c r="AB1" s="1063" t="s">
        <v>1538</v>
      </c>
      <c r="AC1" s="50"/>
      <c r="AD1" s="51"/>
      <c r="AE1" s="52"/>
      <c r="AF1" s="53" t="s">
        <v>7</v>
      </c>
      <c r="AG1" s="88"/>
      <c r="AH1" s="54" t="s">
        <v>8</v>
      </c>
      <c r="AI1" s="63"/>
      <c r="AJ1" s="63"/>
      <c r="AK1" s="170"/>
      <c r="AL1" s="116"/>
      <c r="AM1" s="116"/>
    </row>
    <row r="2" spans="1:39" s="23" customFormat="1" ht="53.25" customHeight="1" thickTop="1" thickBot="1" x14ac:dyDescent="0.25">
      <c r="A2" s="66" t="s">
        <v>18</v>
      </c>
      <c r="B2" s="9" t="s">
        <v>22</v>
      </c>
      <c r="C2" s="26" t="s">
        <v>21</v>
      </c>
      <c r="D2" s="8" t="s">
        <v>19</v>
      </c>
      <c r="E2" s="8" t="s">
        <v>20</v>
      </c>
      <c r="F2" s="10" t="s">
        <v>9</v>
      </c>
      <c r="G2" s="10"/>
      <c r="H2" s="11" t="s">
        <v>17</v>
      </c>
      <c r="I2" s="167" t="s">
        <v>10</v>
      </c>
      <c r="J2" s="34" t="s">
        <v>23</v>
      </c>
      <c r="K2" s="62" t="s">
        <v>77</v>
      </c>
      <c r="L2" s="167" t="s">
        <v>16</v>
      </c>
      <c r="M2" s="25" t="s">
        <v>606</v>
      </c>
      <c r="N2" s="70" t="s">
        <v>604</v>
      </c>
      <c r="O2" s="75" t="s">
        <v>1447</v>
      </c>
      <c r="P2" s="76" t="s">
        <v>1457</v>
      </c>
      <c r="Q2" s="72" t="s">
        <v>1459</v>
      </c>
      <c r="R2" s="4" t="s">
        <v>1460</v>
      </c>
      <c r="S2" s="33" t="s">
        <v>25</v>
      </c>
      <c r="T2" s="5" t="s">
        <v>24</v>
      </c>
      <c r="U2" s="12" t="s">
        <v>12</v>
      </c>
      <c r="V2" s="12" t="s">
        <v>13</v>
      </c>
      <c r="W2" s="13" t="s">
        <v>11</v>
      </c>
      <c r="X2" s="24" t="s">
        <v>605</v>
      </c>
      <c r="Y2" s="14" t="s">
        <v>1376</v>
      </c>
      <c r="Z2" s="91" t="s">
        <v>1534</v>
      </c>
      <c r="AA2" s="15" t="s">
        <v>26</v>
      </c>
      <c r="AB2" s="1064"/>
      <c r="AC2" s="31" t="s">
        <v>800</v>
      </c>
      <c r="AD2" s="30" t="s">
        <v>799</v>
      </c>
      <c r="AE2" s="16" t="s">
        <v>1381</v>
      </c>
      <c r="AF2" s="17" t="s">
        <v>15</v>
      </c>
      <c r="AG2" s="91" t="s">
        <v>1533</v>
      </c>
      <c r="AH2" s="8" t="s">
        <v>14</v>
      </c>
      <c r="AI2" s="64" t="s">
        <v>1535</v>
      </c>
      <c r="AJ2" s="64" t="s">
        <v>1536</v>
      </c>
      <c r="AK2" s="172" t="s">
        <v>1045</v>
      </c>
      <c r="AL2" s="117" t="s">
        <v>1612</v>
      </c>
      <c r="AM2" s="117" t="s">
        <v>1613</v>
      </c>
    </row>
    <row r="3" spans="1:39" s="2" customFormat="1" ht="15.95" customHeight="1" thickTop="1" x14ac:dyDescent="0.25">
      <c r="A3" s="77">
        <v>1</v>
      </c>
      <c r="B3" s="84">
        <f t="shared" ref="B3:B66" ca="1" si="0">TODAY()</f>
        <v>43134</v>
      </c>
      <c r="C3" s="29" t="s">
        <v>1554</v>
      </c>
      <c r="D3" s="59" t="s">
        <v>1555</v>
      </c>
      <c r="E3" s="22" t="s">
        <v>1557</v>
      </c>
      <c r="F3" s="27" t="s">
        <v>1556</v>
      </c>
      <c r="G3" s="27"/>
      <c r="H3" s="28" t="s">
        <v>603</v>
      </c>
      <c r="I3" s="20">
        <v>42557</v>
      </c>
      <c r="J3" s="35">
        <f t="shared" ref="J3:J34" ca="1" si="1">(B3-I3)/365</f>
        <v>1.5808219178082192</v>
      </c>
      <c r="K3" s="60"/>
      <c r="L3" s="32"/>
      <c r="M3" s="82" t="str">
        <f t="shared" ref="M3:M24" ca="1" si="2">IF(AND(B3&gt;0,L3&gt;0),B3-L3,"-")</f>
        <v>-</v>
      </c>
      <c r="N3" s="19"/>
      <c r="O3" s="68"/>
      <c r="P3" s="83"/>
      <c r="Q3" s="21"/>
      <c r="R3" s="20"/>
      <c r="S3" s="20" t="str">
        <f t="shared" ref="S3:S16" si="3">IF(AND(W3&gt;1,R3&gt;0),R3+18,"-")</f>
        <v>-</v>
      </c>
      <c r="T3" s="19" t="str">
        <f t="shared" ref="T3:T24" ca="1" si="4">IF(AND(S3&gt;0,B3&gt;0,W3&gt;1),B3-S3,"-")</f>
        <v>-</v>
      </c>
      <c r="U3" s="3"/>
      <c r="V3" s="22" t="str">
        <f t="shared" ref="V3:V16" si="5">IF(AND(L3&gt;0,R3&gt;0),R3-L3,"-")</f>
        <v>-</v>
      </c>
      <c r="W3" s="22"/>
      <c r="X3" s="22" t="str">
        <f t="shared" ref="X3:X16" ca="1" si="6">IF(AND(M3&gt;140,W3=0,L3&gt;0),"яловая","-")</f>
        <v>-</v>
      </c>
      <c r="Y3" s="20" t="str">
        <f t="shared" ref="Y3:Y16" si="7">IF(AND(R3&gt;0,OR(W3=3,W3=2)),R3+45,"-")</f>
        <v>-</v>
      </c>
      <c r="Z3" s="94" t="str">
        <f t="shared" ref="Z3:Z24" si="8">IF(AND(R3&gt;0,U3&gt;0,O3&gt;0,OR(W3=3,W3=2)),B3-Y3,"---------")</f>
        <v>---------</v>
      </c>
      <c r="AA3" s="21"/>
      <c r="AB3" s="21" t="str">
        <f t="shared" ref="AB3:AB16" si="9">IF(AND($R3&gt;0,$L3&gt;0,$W3=1),$R3+285-90,"-")</f>
        <v>-</v>
      </c>
      <c r="AC3" s="21" t="str">
        <f t="shared" ref="AC3:AC16" si="10">IF(AND(R3&gt;0,W3=1,L3&gt;0),R3+285-60,"-")</f>
        <v>-</v>
      </c>
      <c r="AD3" s="85"/>
      <c r="AE3" s="21" t="str">
        <f t="shared" ref="AE3:AE16" si="11">IF(AND($R3&gt;0,$W3=1),$R3+285-21,"-")</f>
        <v>-</v>
      </c>
      <c r="AF3" s="21" t="str">
        <f t="shared" ref="AF3:AF16" si="12">IF(AND(R3&gt;0,W3=1),R3+285,"-")</f>
        <v>-</v>
      </c>
      <c r="AG3" s="89" t="str">
        <f t="shared" ref="AG3:AG24" ca="1" si="13">IF(AND(B3&gt;0,AF3&gt;0,AA3&gt;0,W3=1),B3-AF3,"-")</f>
        <v>-</v>
      </c>
      <c r="AH3" s="92">
        <v>1</v>
      </c>
      <c r="AI3" s="80" t="str">
        <f t="shared" ref="AI3:AI16" ca="1" si="14">IF(AND(X3="яловая",M3&gt;300),"БРАК","-")</f>
        <v>-</v>
      </c>
      <c r="AJ3" s="80"/>
      <c r="AK3" s="123">
        <v>42566</v>
      </c>
      <c r="AL3" s="80" t="s">
        <v>1614</v>
      </c>
      <c r="AM3" s="121">
        <v>46</v>
      </c>
    </row>
    <row r="4" spans="1:39" s="2" customFormat="1" ht="15.95" customHeight="1" x14ac:dyDescent="0.25">
      <c r="A4" s="77">
        <v>2</v>
      </c>
      <c r="B4" s="84">
        <f t="shared" ca="1" si="0"/>
        <v>43134</v>
      </c>
      <c r="C4" s="29" t="s">
        <v>1554</v>
      </c>
      <c r="D4" s="59" t="s">
        <v>1555</v>
      </c>
      <c r="E4" s="22" t="s">
        <v>1557</v>
      </c>
      <c r="F4" s="27" t="s">
        <v>1560</v>
      </c>
      <c r="G4" s="27"/>
      <c r="H4" s="28" t="s">
        <v>603</v>
      </c>
      <c r="I4" s="20">
        <v>42557</v>
      </c>
      <c r="J4" s="35">
        <f t="shared" ca="1" si="1"/>
        <v>1.5808219178082192</v>
      </c>
      <c r="K4" s="60"/>
      <c r="L4" s="32"/>
      <c r="M4" s="82" t="str">
        <f t="shared" ca="1" si="2"/>
        <v>-</v>
      </c>
      <c r="N4" s="19"/>
      <c r="O4" s="68"/>
      <c r="P4" s="83"/>
      <c r="Q4" s="21"/>
      <c r="R4" s="20"/>
      <c r="S4" s="20" t="str">
        <f t="shared" si="3"/>
        <v>-</v>
      </c>
      <c r="T4" s="19" t="str">
        <f t="shared" ca="1" si="4"/>
        <v>-</v>
      </c>
      <c r="U4" s="3"/>
      <c r="V4" s="22" t="str">
        <f t="shared" si="5"/>
        <v>-</v>
      </c>
      <c r="W4" s="22"/>
      <c r="X4" s="22" t="str">
        <f t="shared" ca="1" si="6"/>
        <v>-</v>
      </c>
      <c r="Y4" s="20" t="str">
        <f t="shared" si="7"/>
        <v>-</v>
      </c>
      <c r="Z4" s="94" t="str">
        <f t="shared" si="8"/>
        <v>---------</v>
      </c>
      <c r="AA4" s="21"/>
      <c r="AB4" s="21" t="str">
        <f t="shared" si="9"/>
        <v>-</v>
      </c>
      <c r="AC4" s="21" t="str">
        <f t="shared" si="10"/>
        <v>-</v>
      </c>
      <c r="AD4" s="85"/>
      <c r="AE4" s="21" t="str">
        <f t="shared" si="11"/>
        <v>-</v>
      </c>
      <c r="AF4" s="21" t="str">
        <f t="shared" si="12"/>
        <v>-</v>
      </c>
      <c r="AG4" s="89" t="str">
        <f t="shared" ca="1" si="13"/>
        <v>-</v>
      </c>
      <c r="AH4" s="92">
        <v>1</v>
      </c>
      <c r="AI4" s="80" t="str">
        <f t="shared" ca="1" si="14"/>
        <v>-</v>
      </c>
      <c r="AJ4" s="80"/>
      <c r="AK4" s="123">
        <v>42566</v>
      </c>
      <c r="AL4" s="80" t="s">
        <v>1614</v>
      </c>
      <c r="AM4" s="121">
        <v>41</v>
      </c>
    </row>
    <row r="5" spans="1:39" s="2" customFormat="1" ht="15.95" customHeight="1" x14ac:dyDescent="0.25">
      <c r="A5" s="77">
        <v>3</v>
      </c>
      <c r="B5" s="84">
        <f t="shared" ca="1" si="0"/>
        <v>43134</v>
      </c>
      <c r="C5" s="29" t="s">
        <v>1554</v>
      </c>
      <c r="D5" s="59" t="s">
        <v>1555</v>
      </c>
      <c r="E5" s="22" t="s">
        <v>1557</v>
      </c>
      <c r="F5" s="27" t="s">
        <v>1572</v>
      </c>
      <c r="G5" s="27"/>
      <c r="H5" s="28" t="s">
        <v>603</v>
      </c>
      <c r="I5" s="20">
        <v>42558</v>
      </c>
      <c r="J5" s="35">
        <f t="shared" ca="1" si="1"/>
        <v>1.5780821917808219</v>
      </c>
      <c r="K5" s="60"/>
      <c r="L5" s="32"/>
      <c r="M5" s="82" t="str">
        <f t="shared" ca="1" si="2"/>
        <v>-</v>
      </c>
      <c r="N5" s="19"/>
      <c r="O5" s="68"/>
      <c r="P5" s="83"/>
      <c r="Q5" s="21"/>
      <c r="R5" s="20"/>
      <c r="S5" s="20" t="str">
        <f t="shared" si="3"/>
        <v>-</v>
      </c>
      <c r="T5" s="19" t="str">
        <f t="shared" ca="1" si="4"/>
        <v>-</v>
      </c>
      <c r="U5" s="3"/>
      <c r="V5" s="22" t="str">
        <f t="shared" si="5"/>
        <v>-</v>
      </c>
      <c r="W5" s="22"/>
      <c r="X5" s="22" t="str">
        <f t="shared" ca="1" si="6"/>
        <v>-</v>
      </c>
      <c r="Y5" s="20" t="str">
        <f t="shared" si="7"/>
        <v>-</v>
      </c>
      <c r="Z5" s="94" t="str">
        <f t="shared" si="8"/>
        <v>---------</v>
      </c>
      <c r="AA5" s="21"/>
      <c r="AB5" s="21" t="str">
        <f t="shared" si="9"/>
        <v>-</v>
      </c>
      <c r="AC5" s="21" t="str">
        <f t="shared" si="10"/>
        <v>-</v>
      </c>
      <c r="AD5" s="85"/>
      <c r="AE5" s="21" t="str">
        <f t="shared" si="11"/>
        <v>-</v>
      </c>
      <c r="AF5" s="21" t="str">
        <f t="shared" si="12"/>
        <v>-</v>
      </c>
      <c r="AG5" s="89" t="str">
        <f t="shared" ca="1" si="13"/>
        <v>-</v>
      </c>
      <c r="AH5" s="92">
        <v>1</v>
      </c>
      <c r="AI5" s="80" t="str">
        <f t="shared" ca="1" si="14"/>
        <v>-</v>
      </c>
      <c r="AJ5" s="80"/>
      <c r="AK5" s="123">
        <v>42566</v>
      </c>
      <c r="AL5" s="80" t="s">
        <v>1614</v>
      </c>
      <c r="AM5" s="121">
        <v>45</v>
      </c>
    </row>
    <row r="6" spans="1:39" s="2" customFormat="1" ht="15.95" customHeight="1" x14ac:dyDescent="0.25">
      <c r="A6" s="77">
        <v>4</v>
      </c>
      <c r="B6" s="84">
        <f t="shared" ca="1" si="0"/>
        <v>43134</v>
      </c>
      <c r="C6" s="29" t="s">
        <v>1554</v>
      </c>
      <c r="D6" s="59" t="s">
        <v>1555</v>
      </c>
      <c r="E6" s="22" t="s">
        <v>1557</v>
      </c>
      <c r="F6" s="27" t="s">
        <v>1570</v>
      </c>
      <c r="G6" s="27"/>
      <c r="H6" s="28" t="s">
        <v>603</v>
      </c>
      <c r="I6" s="20">
        <v>42559</v>
      </c>
      <c r="J6" s="35">
        <f t="shared" ca="1" si="1"/>
        <v>1.5753424657534247</v>
      </c>
      <c r="K6" s="60"/>
      <c r="L6" s="32"/>
      <c r="M6" s="82" t="str">
        <f t="shared" ca="1" si="2"/>
        <v>-</v>
      </c>
      <c r="N6" s="19"/>
      <c r="O6" s="68"/>
      <c r="P6" s="83"/>
      <c r="Q6" s="21"/>
      <c r="R6" s="20"/>
      <c r="S6" s="20" t="str">
        <f t="shared" si="3"/>
        <v>-</v>
      </c>
      <c r="T6" s="19" t="str">
        <f t="shared" ca="1" si="4"/>
        <v>-</v>
      </c>
      <c r="U6" s="3"/>
      <c r="V6" s="22" t="str">
        <f t="shared" si="5"/>
        <v>-</v>
      </c>
      <c r="W6" s="22"/>
      <c r="X6" s="22" t="str">
        <f t="shared" ca="1" si="6"/>
        <v>-</v>
      </c>
      <c r="Y6" s="20" t="str">
        <f t="shared" si="7"/>
        <v>-</v>
      </c>
      <c r="Z6" s="94" t="str">
        <f t="shared" si="8"/>
        <v>---------</v>
      </c>
      <c r="AA6" s="21"/>
      <c r="AB6" s="21" t="str">
        <f t="shared" si="9"/>
        <v>-</v>
      </c>
      <c r="AC6" s="21" t="str">
        <f t="shared" si="10"/>
        <v>-</v>
      </c>
      <c r="AD6" s="85"/>
      <c r="AE6" s="21" t="str">
        <f t="shared" si="11"/>
        <v>-</v>
      </c>
      <c r="AF6" s="21" t="str">
        <f t="shared" si="12"/>
        <v>-</v>
      </c>
      <c r="AG6" s="89" t="str">
        <f t="shared" ca="1" si="13"/>
        <v>-</v>
      </c>
      <c r="AH6" s="92">
        <v>1</v>
      </c>
      <c r="AI6" s="80" t="str">
        <f t="shared" ca="1" si="14"/>
        <v>-</v>
      </c>
      <c r="AJ6" s="80"/>
      <c r="AK6" s="123">
        <v>42566</v>
      </c>
      <c r="AL6" s="80" t="s">
        <v>1614</v>
      </c>
      <c r="AM6" s="121">
        <v>45</v>
      </c>
    </row>
    <row r="7" spans="1:39" s="2" customFormat="1" ht="15.95" customHeight="1" x14ac:dyDescent="0.25">
      <c r="A7" s="77">
        <v>5</v>
      </c>
      <c r="B7" s="84">
        <f t="shared" ca="1" si="0"/>
        <v>43134</v>
      </c>
      <c r="C7" s="29" t="s">
        <v>1554</v>
      </c>
      <c r="D7" s="59" t="s">
        <v>1555</v>
      </c>
      <c r="E7" s="22" t="s">
        <v>1557</v>
      </c>
      <c r="F7" s="27" t="s">
        <v>1566</v>
      </c>
      <c r="G7" s="27"/>
      <c r="H7" s="28" t="s">
        <v>603</v>
      </c>
      <c r="I7" s="20">
        <v>42559</v>
      </c>
      <c r="J7" s="35">
        <f t="shared" ca="1" si="1"/>
        <v>1.5753424657534247</v>
      </c>
      <c r="K7" s="60"/>
      <c r="L7" s="32"/>
      <c r="M7" s="82" t="str">
        <f t="shared" ca="1" si="2"/>
        <v>-</v>
      </c>
      <c r="N7" s="19"/>
      <c r="O7" s="68"/>
      <c r="P7" s="83"/>
      <c r="Q7" s="21"/>
      <c r="R7" s="20"/>
      <c r="S7" s="20" t="str">
        <f t="shared" si="3"/>
        <v>-</v>
      </c>
      <c r="T7" s="19" t="str">
        <f t="shared" ca="1" si="4"/>
        <v>-</v>
      </c>
      <c r="U7" s="3"/>
      <c r="V7" s="22" t="str">
        <f t="shared" si="5"/>
        <v>-</v>
      </c>
      <c r="W7" s="22"/>
      <c r="X7" s="22" t="str">
        <f t="shared" ca="1" si="6"/>
        <v>-</v>
      </c>
      <c r="Y7" s="20" t="str">
        <f t="shared" si="7"/>
        <v>-</v>
      </c>
      <c r="Z7" s="94" t="str">
        <f t="shared" si="8"/>
        <v>---------</v>
      </c>
      <c r="AA7" s="21"/>
      <c r="AB7" s="21" t="str">
        <f t="shared" si="9"/>
        <v>-</v>
      </c>
      <c r="AC7" s="21" t="str">
        <f t="shared" si="10"/>
        <v>-</v>
      </c>
      <c r="AD7" s="85"/>
      <c r="AE7" s="21" t="str">
        <f t="shared" si="11"/>
        <v>-</v>
      </c>
      <c r="AF7" s="21" t="str">
        <f t="shared" si="12"/>
        <v>-</v>
      </c>
      <c r="AG7" s="89" t="str">
        <f t="shared" ca="1" si="13"/>
        <v>-</v>
      </c>
      <c r="AH7" s="92">
        <v>1</v>
      </c>
      <c r="AI7" s="80" t="str">
        <f t="shared" ca="1" si="14"/>
        <v>-</v>
      </c>
      <c r="AJ7" s="80"/>
      <c r="AK7" s="123">
        <v>42566</v>
      </c>
      <c r="AL7" s="80" t="s">
        <v>1614</v>
      </c>
      <c r="AM7" s="121">
        <v>52</v>
      </c>
    </row>
    <row r="8" spans="1:39" s="2" customFormat="1" ht="15.95" customHeight="1" x14ac:dyDescent="0.25">
      <c r="A8" s="77">
        <v>6</v>
      </c>
      <c r="B8" s="84">
        <f t="shared" ca="1" si="0"/>
        <v>43134</v>
      </c>
      <c r="C8" s="29" t="s">
        <v>1554</v>
      </c>
      <c r="D8" s="59" t="s">
        <v>1555</v>
      </c>
      <c r="E8" s="22" t="s">
        <v>1557</v>
      </c>
      <c r="F8" s="27" t="s">
        <v>1562</v>
      </c>
      <c r="G8" s="27"/>
      <c r="H8" s="28" t="s">
        <v>603</v>
      </c>
      <c r="I8" s="20">
        <v>42560</v>
      </c>
      <c r="J8" s="35">
        <f t="shared" ca="1" si="1"/>
        <v>1.5726027397260274</v>
      </c>
      <c r="K8" s="60"/>
      <c r="L8" s="32"/>
      <c r="M8" s="82" t="str">
        <f t="shared" ca="1" si="2"/>
        <v>-</v>
      </c>
      <c r="N8" s="19"/>
      <c r="O8" s="68"/>
      <c r="P8" s="83"/>
      <c r="Q8" s="21"/>
      <c r="R8" s="20"/>
      <c r="S8" s="20" t="str">
        <f t="shared" si="3"/>
        <v>-</v>
      </c>
      <c r="T8" s="19" t="str">
        <f t="shared" ca="1" si="4"/>
        <v>-</v>
      </c>
      <c r="U8" s="3"/>
      <c r="V8" s="22" t="str">
        <f t="shared" si="5"/>
        <v>-</v>
      </c>
      <c r="W8" s="22"/>
      <c r="X8" s="22" t="str">
        <f t="shared" ca="1" si="6"/>
        <v>-</v>
      </c>
      <c r="Y8" s="20" t="str">
        <f t="shared" si="7"/>
        <v>-</v>
      </c>
      <c r="Z8" s="94" t="str">
        <f t="shared" si="8"/>
        <v>---------</v>
      </c>
      <c r="AA8" s="21"/>
      <c r="AB8" s="21" t="str">
        <f t="shared" si="9"/>
        <v>-</v>
      </c>
      <c r="AC8" s="21" t="str">
        <f t="shared" si="10"/>
        <v>-</v>
      </c>
      <c r="AD8" s="85"/>
      <c r="AE8" s="21" t="str">
        <f t="shared" si="11"/>
        <v>-</v>
      </c>
      <c r="AF8" s="21" t="str">
        <f t="shared" si="12"/>
        <v>-</v>
      </c>
      <c r="AG8" s="89" t="str">
        <f t="shared" ca="1" si="13"/>
        <v>-</v>
      </c>
      <c r="AH8" s="92">
        <v>1</v>
      </c>
      <c r="AI8" s="80" t="str">
        <f t="shared" ca="1" si="14"/>
        <v>-</v>
      </c>
      <c r="AJ8" s="80"/>
      <c r="AK8" s="123">
        <v>42566</v>
      </c>
      <c r="AL8" s="80" t="s">
        <v>1614</v>
      </c>
      <c r="AM8" s="121">
        <v>42</v>
      </c>
    </row>
    <row r="9" spans="1:39" s="2" customFormat="1" ht="15.95" customHeight="1" x14ac:dyDescent="0.25">
      <c r="A9" s="77">
        <v>7</v>
      </c>
      <c r="B9" s="84">
        <f t="shared" ca="1" si="0"/>
        <v>43134</v>
      </c>
      <c r="C9" s="29" t="s">
        <v>1554</v>
      </c>
      <c r="D9" s="59" t="s">
        <v>1555</v>
      </c>
      <c r="E9" s="22" t="s">
        <v>1557</v>
      </c>
      <c r="F9" s="27" t="s">
        <v>1575</v>
      </c>
      <c r="G9" s="27"/>
      <c r="H9" s="28" t="s">
        <v>603</v>
      </c>
      <c r="I9" s="20">
        <v>42561</v>
      </c>
      <c r="J9" s="35">
        <f t="shared" ca="1" si="1"/>
        <v>1.5698630136986302</v>
      </c>
      <c r="K9" s="60"/>
      <c r="L9" s="32"/>
      <c r="M9" s="82" t="str">
        <f t="shared" ca="1" si="2"/>
        <v>-</v>
      </c>
      <c r="N9" s="19"/>
      <c r="O9" s="68"/>
      <c r="P9" s="83"/>
      <c r="Q9" s="21"/>
      <c r="R9" s="20"/>
      <c r="S9" s="20" t="str">
        <f t="shared" si="3"/>
        <v>-</v>
      </c>
      <c r="T9" s="19" t="str">
        <f t="shared" ca="1" si="4"/>
        <v>-</v>
      </c>
      <c r="U9" s="3"/>
      <c r="V9" s="22" t="str">
        <f t="shared" si="5"/>
        <v>-</v>
      </c>
      <c r="W9" s="22"/>
      <c r="X9" s="22" t="str">
        <f t="shared" ca="1" si="6"/>
        <v>-</v>
      </c>
      <c r="Y9" s="20" t="str">
        <f t="shared" si="7"/>
        <v>-</v>
      </c>
      <c r="Z9" s="94" t="str">
        <f t="shared" si="8"/>
        <v>---------</v>
      </c>
      <c r="AA9" s="21"/>
      <c r="AB9" s="21" t="str">
        <f t="shared" si="9"/>
        <v>-</v>
      </c>
      <c r="AC9" s="21" t="str">
        <f t="shared" si="10"/>
        <v>-</v>
      </c>
      <c r="AD9" s="85"/>
      <c r="AE9" s="21" t="str">
        <f t="shared" si="11"/>
        <v>-</v>
      </c>
      <c r="AF9" s="21" t="str">
        <f t="shared" si="12"/>
        <v>-</v>
      </c>
      <c r="AG9" s="89" t="str">
        <f t="shared" ca="1" si="13"/>
        <v>-</v>
      </c>
      <c r="AH9" s="92">
        <v>1</v>
      </c>
      <c r="AI9" s="80" t="str">
        <f t="shared" ca="1" si="14"/>
        <v>-</v>
      </c>
      <c r="AJ9" s="80"/>
      <c r="AK9" s="123">
        <v>42566</v>
      </c>
      <c r="AL9" s="80" t="s">
        <v>1614</v>
      </c>
      <c r="AM9" s="121">
        <v>47</v>
      </c>
    </row>
    <row r="10" spans="1:39" s="2" customFormat="1" ht="15.95" customHeight="1" x14ac:dyDescent="0.25">
      <c r="A10" s="77">
        <v>8</v>
      </c>
      <c r="B10" s="84">
        <f t="shared" ca="1" si="0"/>
        <v>43134</v>
      </c>
      <c r="C10" s="29" t="s">
        <v>1554</v>
      </c>
      <c r="D10" s="59" t="s">
        <v>1555</v>
      </c>
      <c r="E10" s="22" t="s">
        <v>1557</v>
      </c>
      <c r="F10" s="27" t="s">
        <v>1579</v>
      </c>
      <c r="G10" s="27"/>
      <c r="H10" s="28" t="s">
        <v>603</v>
      </c>
      <c r="I10" s="20">
        <v>42563</v>
      </c>
      <c r="J10" s="35">
        <f t="shared" ca="1" si="1"/>
        <v>1.5643835616438355</v>
      </c>
      <c r="K10" s="60"/>
      <c r="L10" s="32"/>
      <c r="M10" s="82" t="str">
        <f t="shared" ca="1" si="2"/>
        <v>-</v>
      </c>
      <c r="N10" s="19"/>
      <c r="O10" s="68"/>
      <c r="P10" s="83"/>
      <c r="Q10" s="21"/>
      <c r="R10" s="20"/>
      <c r="S10" s="20" t="str">
        <f t="shared" si="3"/>
        <v>-</v>
      </c>
      <c r="T10" s="19" t="str">
        <f t="shared" ca="1" si="4"/>
        <v>-</v>
      </c>
      <c r="U10" s="3"/>
      <c r="V10" s="22" t="str">
        <f t="shared" si="5"/>
        <v>-</v>
      </c>
      <c r="W10" s="22"/>
      <c r="X10" s="22" t="str">
        <f t="shared" ca="1" si="6"/>
        <v>-</v>
      </c>
      <c r="Y10" s="20" t="str">
        <f t="shared" si="7"/>
        <v>-</v>
      </c>
      <c r="Z10" s="94" t="str">
        <f t="shared" si="8"/>
        <v>---------</v>
      </c>
      <c r="AA10" s="21"/>
      <c r="AB10" s="21" t="str">
        <f t="shared" si="9"/>
        <v>-</v>
      </c>
      <c r="AC10" s="21" t="str">
        <f t="shared" si="10"/>
        <v>-</v>
      </c>
      <c r="AD10" s="85"/>
      <c r="AE10" s="21" t="str">
        <f t="shared" si="11"/>
        <v>-</v>
      </c>
      <c r="AF10" s="21" t="str">
        <f t="shared" si="12"/>
        <v>-</v>
      </c>
      <c r="AG10" s="89" t="str">
        <f t="shared" ca="1" si="13"/>
        <v>-</v>
      </c>
      <c r="AH10" s="92">
        <v>1</v>
      </c>
      <c r="AI10" s="80" t="str">
        <f t="shared" ca="1" si="14"/>
        <v>-</v>
      </c>
      <c r="AJ10" s="80"/>
      <c r="AK10" s="123">
        <v>42566</v>
      </c>
      <c r="AL10" s="80" t="s">
        <v>1614</v>
      </c>
      <c r="AM10" s="121">
        <v>51</v>
      </c>
    </row>
    <row r="11" spans="1:39" s="2" customFormat="1" ht="15.95" customHeight="1" x14ac:dyDescent="0.25">
      <c r="A11" s="77">
        <v>9</v>
      </c>
      <c r="B11" s="84">
        <f t="shared" ca="1" si="0"/>
        <v>43134</v>
      </c>
      <c r="C11" s="29" t="s">
        <v>1554</v>
      </c>
      <c r="D11" s="59" t="s">
        <v>1555</v>
      </c>
      <c r="E11" s="22" t="s">
        <v>1557</v>
      </c>
      <c r="F11" s="27" t="s">
        <v>1577</v>
      </c>
      <c r="G11" s="27"/>
      <c r="H11" s="28" t="s">
        <v>603</v>
      </c>
      <c r="I11" s="20">
        <v>42562</v>
      </c>
      <c r="J11" s="35">
        <f t="shared" ca="1" si="1"/>
        <v>1.5671232876712329</v>
      </c>
      <c r="K11" s="60"/>
      <c r="L11" s="32"/>
      <c r="M11" s="82" t="str">
        <f t="shared" ca="1" si="2"/>
        <v>-</v>
      </c>
      <c r="N11" s="19"/>
      <c r="O11" s="68"/>
      <c r="P11" s="83"/>
      <c r="Q11" s="21"/>
      <c r="R11" s="20"/>
      <c r="S11" s="20" t="str">
        <f t="shared" si="3"/>
        <v>-</v>
      </c>
      <c r="T11" s="19" t="str">
        <f t="shared" ca="1" si="4"/>
        <v>-</v>
      </c>
      <c r="U11" s="3"/>
      <c r="V11" s="22" t="str">
        <f t="shared" si="5"/>
        <v>-</v>
      </c>
      <c r="W11" s="22"/>
      <c r="X11" s="22" t="str">
        <f t="shared" ca="1" si="6"/>
        <v>-</v>
      </c>
      <c r="Y11" s="20" t="str">
        <f t="shared" si="7"/>
        <v>-</v>
      </c>
      <c r="Z11" s="94" t="str">
        <f t="shared" si="8"/>
        <v>---------</v>
      </c>
      <c r="AA11" s="21"/>
      <c r="AB11" s="21" t="str">
        <f t="shared" si="9"/>
        <v>-</v>
      </c>
      <c r="AC11" s="21" t="str">
        <f t="shared" si="10"/>
        <v>-</v>
      </c>
      <c r="AD11" s="85"/>
      <c r="AE11" s="21" t="str">
        <f t="shared" si="11"/>
        <v>-</v>
      </c>
      <c r="AF11" s="21" t="str">
        <f t="shared" si="12"/>
        <v>-</v>
      </c>
      <c r="AG11" s="89" t="str">
        <f t="shared" ca="1" si="13"/>
        <v>-</v>
      </c>
      <c r="AH11" s="92">
        <v>1</v>
      </c>
      <c r="AI11" s="80" t="str">
        <f t="shared" ca="1" si="14"/>
        <v>-</v>
      </c>
      <c r="AJ11" s="80"/>
      <c r="AK11" s="123">
        <v>42566</v>
      </c>
      <c r="AL11" s="80" t="s">
        <v>1614</v>
      </c>
      <c r="AM11" s="121">
        <v>48</v>
      </c>
    </row>
    <row r="12" spans="1:39" s="2" customFormat="1" ht="15.95" customHeight="1" x14ac:dyDescent="0.25">
      <c r="A12" s="77">
        <v>10</v>
      </c>
      <c r="B12" s="84">
        <f t="shared" ca="1" si="0"/>
        <v>43134</v>
      </c>
      <c r="C12" s="29" t="s">
        <v>1554</v>
      </c>
      <c r="D12" s="59" t="s">
        <v>1555</v>
      </c>
      <c r="E12" s="22" t="s">
        <v>1557</v>
      </c>
      <c r="F12" s="27" t="s">
        <v>1582</v>
      </c>
      <c r="G12" s="27"/>
      <c r="H12" s="28" t="s">
        <v>603</v>
      </c>
      <c r="I12" s="20">
        <v>42564</v>
      </c>
      <c r="J12" s="35">
        <f t="shared" ca="1" si="1"/>
        <v>1.5616438356164384</v>
      </c>
      <c r="K12" s="60"/>
      <c r="L12" s="32"/>
      <c r="M12" s="82" t="str">
        <f t="shared" ca="1" si="2"/>
        <v>-</v>
      </c>
      <c r="N12" s="19"/>
      <c r="O12" s="68"/>
      <c r="P12" s="83"/>
      <c r="Q12" s="21"/>
      <c r="R12" s="20"/>
      <c r="S12" s="20" t="str">
        <f t="shared" si="3"/>
        <v>-</v>
      </c>
      <c r="T12" s="19" t="str">
        <f t="shared" ca="1" si="4"/>
        <v>-</v>
      </c>
      <c r="U12" s="3"/>
      <c r="V12" s="22" t="str">
        <f t="shared" si="5"/>
        <v>-</v>
      </c>
      <c r="W12" s="22"/>
      <c r="X12" s="22" t="str">
        <f t="shared" ca="1" si="6"/>
        <v>-</v>
      </c>
      <c r="Y12" s="20" t="str">
        <f t="shared" si="7"/>
        <v>-</v>
      </c>
      <c r="Z12" s="94" t="str">
        <f t="shared" si="8"/>
        <v>---------</v>
      </c>
      <c r="AA12" s="21"/>
      <c r="AB12" s="21" t="str">
        <f t="shared" si="9"/>
        <v>-</v>
      </c>
      <c r="AC12" s="21" t="str">
        <f t="shared" si="10"/>
        <v>-</v>
      </c>
      <c r="AD12" s="85"/>
      <c r="AE12" s="21" t="str">
        <f t="shared" si="11"/>
        <v>-</v>
      </c>
      <c r="AF12" s="21" t="str">
        <f t="shared" si="12"/>
        <v>-</v>
      </c>
      <c r="AG12" s="89" t="str">
        <f t="shared" ca="1" si="13"/>
        <v>-</v>
      </c>
      <c r="AH12" s="92">
        <v>1</v>
      </c>
      <c r="AI12" s="80" t="str">
        <f t="shared" ca="1" si="14"/>
        <v>-</v>
      </c>
      <c r="AJ12" s="80"/>
      <c r="AK12" s="123">
        <v>42566</v>
      </c>
      <c r="AL12" s="80" t="s">
        <v>1614</v>
      </c>
      <c r="AM12" s="121">
        <v>51</v>
      </c>
    </row>
    <row r="13" spans="1:39" s="2" customFormat="1" ht="15.95" customHeight="1" x14ac:dyDescent="0.25">
      <c r="A13" s="77">
        <v>11</v>
      </c>
      <c r="B13" s="84">
        <f t="shared" ca="1" si="0"/>
        <v>43134</v>
      </c>
      <c r="C13" s="29" t="s">
        <v>1554</v>
      </c>
      <c r="D13" s="59" t="s">
        <v>1555</v>
      </c>
      <c r="E13" s="22" t="s">
        <v>1557</v>
      </c>
      <c r="F13" s="27" t="s">
        <v>1586</v>
      </c>
      <c r="G13" s="27"/>
      <c r="H13" s="28" t="s">
        <v>603</v>
      </c>
      <c r="I13" s="20">
        <v>42565</v>
      </c>
      <c r="J13" s="35">
        <f t="shared" ca="1" si="1"/>
        <v>1.558904109589041</v>
      </c>
      <c r="K13" s="60"/>
      <c r="L13" s="32"/>
      <c r="M13" s="82" t="str">
        <f t="shared" ca="1" si="2"/>
        <v>-</v>
      </c>
      <c r="N13" s="19"/>
      <c r="O13" s="68"/>
      <c r="P13" s="83"/>
      <c r="Q13" s="21"/>
      <c r="R13" s="20"/>
      <c r="S13" s="20" t="str">
        <f t="shared" si="3"/>
        <v>-</v>
      </c>
      <c r="T13" s="19" t="str">
        <f t="shared" ca="1" si="4"/>
        <v>-</v>
      </c>
      <c r="U13" s="3"/>
      <c r="V13" s="22" t="str">
        <f t="shared" si="5"/>
        <v>-</v>
      </c>
      <c r="W13" s="22"/>
      <c r="X13" s="22" t="str">
        <f t="shared" ca="1" si="6"/>
        <v>-</v>
      </c>
      <c r="Y13" s="20" t="str">
        <f t="shared" si="7"/>
        <v>-</v>
      </c>
      <c r="Z13" s="94" t="str">
        <f t="shared" si="8"/>
        <v>---------</v>
      </c>
      <c r="AA13" s="21"/>
      <c r="AB13" s="21" t="str">
        <f t="shared" si="9"/>
        <v>-</v>
      </c>
      <c r="AC13" s="21" t="str">
        <f t="shared" si="10"/>
        <v>-</v>
      </c>
      <c r="AD13" s="85"/>
      <c r="AE13" s="21" t="str">
        <f t="shared" si="11"/>
        <v>-</v>
      </c>
      <c r="AF13" s="21" t="str">
        <f t="shared" si="12"/>
        <v>-</v>
      </c>
      <c r="AG13" s="89" t="str">
        <f t="shared" ca="1" si="13"/>
        <v>-</v>
      </c>
      <c r="AH13" s="92">
        <v>1</v>
      </c>
      <c r="AI13" s="80" t="str">
        <f t="shared" ca="1" si="14"/>
        <v>-</v>
      </c>
      <c r="AJ13" s="80"/>
      <c r="AK13" s="123">
        <v>42566</v>
      </c>
      <c r="AL13" s="80" t="s">
        <v>1614</v>
      </c>
      <c r="AM13" s="121">
        <v>48</v>
      </c>
    </row>
    <row r="14" spans="1:39" s="2" customFormat="1" ht="15.95" customHeight="1" x14ac:dyDescent="0.25">
      <c r="A14" s="77">
        <v>12</v>
      </c>
      <c r="B14" s="84">
        <f t="shared" ca="1" si="0"/>
        <v>43134</v>
      </c>
      <c r="C14" s="29" t="s">
        <v>1554</v>
      </c>
      <c r="D14" s="59" t="s">
        <v>1555</v>
      </c>
      <c r="E14" s="22" t="s">
        <v>1557</v>
      </c>
      <c r="F14" s="27" t="s">
        <v>1587</v>
      </c>
      <c r="G14" s="27"/>
      <c r="H14" s="28" t="s">
        <v>603</v>
      </c>
      <c r="I14" s="20">
        <v>42565</v>
      </c>
      <c r="J14" s="35">
        <f t="shared" ca="1" si="1"/>
        <v>1.558904109589041</v>
      </c>
      <c r="K14" s="60"/>
      <c r="L14" s="32"/>
      <c r="M14" s="82" t="str">
        <f t="shared" ca="1" si="2"/>
        <v>-</v>
      </c>
      <c r="N14" s="19"/>
      <c r="O14" s="68"/>
      <c r="P14" s="83"/>
      <c r="Q14" s="21"/>
      <c r="R14" s="20"/>
      <c r="S14" s="20" t="str">
        <f t="shared" si="3"/>
        <v>-</v>
      </c>
      <c r="T14" s="19" t="str">
        <f t="shared" ca="1" si="4"/>
        <v>-</v>
      </c>
      <c r="U14" s="3"/>
      <c r="V14" s="22" t="str">
        <f t="shared" si="5"/>
        <v>-</v>
      </c>
      <c r="W14" s="22"/>
      <c r="X14" s="22" t="str">
        <f t="shared" ca="1" si="6"/>
        <v>-</v>
      </c>
      <c r="Y14" s="20" t="str">
        <f t="shared" si="7"/>
        <v>-</v>
      </c>
      <c r="Z14" s="94" t="str">
        <f t="shared" si="8"/>
        <v>---------</v>
      </c>
      <c r="AA14" s="21"/>
      <c r="AB14" s="21" t="str">
        <f t="shared" si="9"/>
        <v>-</v>
      </c>
      <c r="AC14" s="21" t="str">
        <f t="shared" si="10"/>
        <v>-</v>
      </c>
      <c r="AD14" s="85"/>
      <c r="AE14" s="21" t="str">
        <f t="shared" si="11"/>
        <v>-</v>
      </c>
      <c r="AF14" s="21" t="str">
        <f t="shared" si="12"/>
        <v>-</v>
      </c>
      <c r="AG14" s="89" t="str">
        <f t="shared" ca="1" si="13"/>
        <v>-</v>
      </c>
      <c r="AH14" s="92">
        <v>1</v>
      </c>
      <c r="AI14" s="80" t="str">
        <f t="shared" ca="1" si="14"/>
        <v>-</v>
      </c>
      <c r="AJ14" s="80"/>
      <c r="AK14" s="123">
        <v>42566</v>
      </c>
      <c r="AL14" s="80" t="s">
        <v>1614</v>
      </c>
      <c r="AM14" s="121">
        <v>44</v>
      </c>
    </row>
    <row r="15" spans="1:39" s="2" customFormat="1" ht="15.95" customHeight="1" x14ac:dyDescent="0.25">
      <c r="A15" s="77">
        <v>13</v>
      </c>
      <c r="B15" s="84">
        <f t="shared" ca="1" si="0"/>
        <v>43134</v>
      </c>
      <c r="C15" s="29" t="s">
        <v>1554</v>
      </c>
      <c r="D15" s="59" t="s">
        <v>1555</v>
      </c>
      <c r="E15" s="22" t="s">
        <v>1557</v>
      </c>
      <c r="F15" s="27" t="s">
        <v>1588</v>
      </c>
      <c r="G15" s="27"/>
      <c r="H15" s="28" t="s">
        <v>603</v>
      </c>
      <c r="I15" s="20">
        <v>42565</v>
      </c>
      <c r="J15" s="35">
        <f t="shared" ca="1" si="1"/>
        <v>1.558904109589041</v>
      </c>
      <c r="K15" s="60"/>
      <c r="L15" s="32"/>
      <c r="M15" s="82" t="str">
        <f t="shared" ca="1" si="2"/>
        <v>-</v>
      </c>
      <c r="N15" s="19"/>
      <c r="O15" s="68"/>
      <c r="P15" s="83"/>
      <c r="Q15" s="21"/>
      <c r="R15" s="20"/>
      <c r="S15" s="20" t="str">
        <f t="shared" si="3"/>
        <v>-</v>
      </c>
      <c r="T15" s="19" t="str">
        <f t="shared" ca="1" si="4"/>
        <v>-</v>
      </c>
      <c r="U15" s="3"/>
      <c r="V15" s="22" t="str">
        <f t="shared" si="5"/>
        <v>-</v>
      </c>
      <c r="W15" s="22"/>
      <c r="X15" s="22" t="str">
        <f t="shared" ca="1" si="6"/>
        <v>-</v>
      </c>
      <c r="Y15" s="20" t="str">
        <f t="shared" si="7"/>
        <v>-</v>
      </c>
      <c r="Z15" s="94" t="str">
        <f t="shared" si="8"/>
        <v>---------</v>
      </c>
      <c r="AA15" s="21"/>
      <c r="AB15" s="21" t="str">
        <f t="shared" si="9"/>
        <v>-</v>
      </c>
      <c r="AC15" s="21" t="str">
        <f t="shared" si="10"/>
        <v>-</v>
      </c>
      <c r="AD15" s="85"/>
      <c r="AE15" s="21" t="str">
        <f t="shared" si="11"/>
        <v>-</v>
      </c>
      <c r="AF15" s="21" t="str">
        <f t="shared" si="12"/>
        <v>-</v>
      </c>
      <c r="AG15" s="89" t="str">
        <f t="shared" ca="1" si="13"/>
        <v>-</v>
      </c>
      <c r="AH15" s="92">
        <v>1</v>
      </c>
      <c r="AI15" s="80" t="str">
        <f t="shared" ca="1" si="14"/>
        <v>-</v>
      </c>
      <c r="AJ15" s="80"/>
      <c r="AK15" s="123">
        <v>42566</v>
      </c>
      <c r="AL15" s="80" t="s">
        <v>1614</v>
      </c>
      <c r="AM15" s="121">
        <v>56</v>
      </c>
    </row>
    <row r="16" spans="1:39" s="2" customFormat="1" ht="15.95" customHeight="1" x14ac:dyDescent="0.25">
      <c r="A16" s="77">
        <v>14</v>
      </c>
      <c r="B16" s="84">
        <f t="shared" ca="1" si="0"/>
        <v>43134</v>
      </c>
      <c r="C16" s="29" t="s">
        <v>1554</v>
      </c>
      <c r="D16" s="59" t="s">
        <v>1555</v>
      </c>
      <c r="E16" s="22" t="s">
        <v>1557</v>
      </c>
      <c r="F16" s="27" t="s">
        <v>1589</v>
      </c>
      <c r="G16" s="27"/>
      <c r="H16" s="28" t="s">
        <v>603</v>
      </c>
      <c r="I16" s="20">
        <v>42565</v>
      </c>
      <c r="J16" s="35">
        <f t="shared" ca="1" si="1"/>
        <v>1.558904109589041</v>
      </c>
      <c r="K16" s="60"/>
      <c r="L16" s="32"/>
      <c r="M16" s="82" t="str">
        <f t="shared" ca="1" si="2"/>
        <v>-</v>
      </c>
      <c r="N16" s="19"/>
      <c r="O16" s="68"/>
      <c r="P16" s="83"/>
      <c r="Q16" s="21"/>
      <c r="R16" s="20"/>
      <c r="S16" s="20" t="str">
        <f t="shared" si="3"/>
        <v>-</v>
      </c>
      <c r="T16" s="19" t="str">
        <f t="shared" ca="1" si="4"/>
        <v>-</v>
      </c>
      <c r="U16" s="3"/>
      <c r="V16" s="22" t="str">
        <f t="shared" si="5"/>
        <v>-</v>
      </c>
      <c r="W16" s="22"/>
      <c r="X16" s="22" t="str">
        <f t="shared" ca="1" si="6"/>
        <v>-</v>
      </c>
      <c r="Y16" s="20" t="str">
        <f t="shared" si="7"/>
        <v>-</v>
      </c>
      <c r="Z16" s="94" t="str">
        <f t="shared" si="8"/>
        <v>---------</v>
      </c>
      <c r="AA16" s="21"/>
      <c r="AB16" s="21" t="str">
        <f t="shared" si="9"/>
        <v>-</v>
      </c>
      <c r="AC16" s="21" t="str">
        <f t="shared" si="10"/>
        <v>-</v>
      </c>
      <c r="AD16" s="85"/>
      <c r="AE16" s="21" t="str">
        <f t="shared" si="11"/>
        <v>-</v>
      </c>
      <c r="AF16" s="21" t="str">
        <f t="shared" si="12"/>
        <v>-</v>
      </c>
      <c r="AG16" s="89" t="str">
        <f t="shared" ca="1" si="13"/>
        <v>-</v>
      </c>
      <c r="AH16" s="92">
        <v>1</v>
      </c>
      <c r="AI16" s="80" t="str">
        <f t="shared" ca="1" si="14"/>
        <v>-</v>
      </c>
      <c r="AJ16" s="80"/>
      <c r="AK16" s="123">
        <v>42566</v>
      </c>
      <c r="AL16" s="80" t="s">
        <v>1614</v>
      </c>
      <c r="AM16" s="121">
        <v>47</v>
      </c>
    </row>
    <row r="17" spans="1:39" s="2" customFormat="1" ht="15.95" customHeight="1" x14ac:dyDescent="0.25">
      <c r="A17" s="77">
        <v>15</v>
      </c>
      <c r="B17" s="84">
        <f t="shared" ca="1" si="0"/>
        <v>43134</v>
      </c>
      <c r="C17" s="29" t="s">
        <v>1554</v>
      </c>
      <c r="D17" s="59" t="s">
        <v>1555</v>
      </c>
      <c r="E17" s="22" t="s">
        <v>1557</v>
      </c>
      <c r="F17" s="27" t="s">
        <v>1591</v>
      </c>
      <c r="G17" s="27"/>
      <c r="H17" s="28" t="s">
        <v>603</v>
      </c>
      <c r="I17" s="20">
        <v>42566</v>
      </c>
      <c r="J17" s="35">
        <f t="shared" ca="1" si="1"/>
        <v>1.5561643835616439</v>
      </c>
      <c r="K17" s="60"/>
      <c r="L17" s="32"/>
      <c r="M17" s="82" t="str">
        <f t="shared" ca="1" si="2"/>
        <v>-</v>
      </c>
      <c r="N17" s="19"/>
      <c r="O17" s="68"/>
      <c r="P17" s="83"/>
      <c r="Q17" s="21"/>
      <c r="R17" s="20"/>
      <c r="S17" s="20" t="str">
        <f t="shared" ref="S17:S24" si="15">IF(AND(W17&gt;1,R17&gt;0),R17+18,"-")</f>
        <v>-</v>
      </c>
      <c r="T17" s="19" t="str">
        <f t="shared" ca="1" si="4"/>
        <v>-</v>
      </c>
      <c r="U17" s="3"/>
      <c r="V17" s="22" t="str">
        <f t="shared" ref="V17:V24" si="16">IF(AND(L17&gt;0,R17&gt;0),R17-L17,"-")</f>
        <v>-</v>
      </c>
      <c r="W17" s="22"/>
      <c r="X17" s="22" t="str">
        <f t="shared" ref="X17:X24" ca="1" si="17">IF(AND(M17&gt;140,W17=0,L17&gt;0),"яловая","-")</f>
        <v>-</v>
      </c>
      <c r="Y17" s="20" t="str">
        <f t="shared" ref="Y17:Y24" si="18">IF(AND(R17&gt;0,OR(W17=3,W17=2)),R17+45,"-")</f>
        <v>-</v>
      </c>
      <c r="Z17" s="94" t="str">
        <f t="shared" si="8"/>
        <v>---------</v>
      </c>
      <c r="AA17" s="21"/>
      <c r="AB17" s="21" t="str">
        <f t="shared" ref="AB17:AB24" si="19">IF(AND($R17&gt;0,$L17&gt;0,$W17=1),$R17+285-90,"-")</f>
        <v>-</v>
      </c>
      <c r="AC17" s="21" t="str">
        <f t="shared" ref="AC17:AC24" si="20">IF(AND(R17&gt;0,W17=1,L17&gt;0),R17+285-60,"-")</f>
        <v>-</v>
      </c>
      <c r="AD17" s="85"/>
      <c r="AE17" s="21" t="str">
        <f t="shared" ref="AE17:AE24" si="21">IF(AND($R17&gt;0,$W17=1),$R17+285-21,"-")</f>
        <v>-</v>
      </c>
      <c r="AF17" s="21" t="str">
        <f t="shared" ref="AF17:AF24" si="22">IF(AND(R17&gt;0,W17=1),R17+285,"-")</f>
        <v>-</v>
      </c>
      <c r="AG17" s="89" t="str">
        <f t="shared" ca="1" si="13"/>
        <v>-</v>
      </c>
      <c r="AH17" s="92">
        <v>1</v>
      </c>
      <c r="AI17" s="80" t="str">
        <f t="shared" ref="AI17:AI22" ca="1" si="23">IF(AND(X17="яловая",M17&gt;300),"БРАК","-")</f>
        <v>-</v>
      </c>
      <c r="AJ17" s="80"/>
      <c r="AK17" s="123">
        <v>42577</v>
      </c>
      <c r="AL17" s="80" t="s">
        <v>1614</v>
      </c>
      <c r="AM17" s="121">
        <v>50</v>
      </c>
    </row>
    <row r="18" spans="1:39" s="2" customFormat="1" ht="15.95" customHeight="1" x14ac:dyDescent="0.25">
      <c r="A18" s="77">
        <v>16</v>
      </c>
      <c r="B18" s="84">
        <f t="shared" ca="1" si="0"/>
        <v>43134</v>
      </c>
      <c r="C18" s="29" t="s">
        <v>1554</v>
      </c>
      <c r="D18" s="59" t="s">
        <v>1555</v>
      </c>
      <c r="E18" s="22" t="s">
        <v>1557</v>
      </c>
      <c r="F18" s="27" t="s">
        <v>1592</v>
      </c>
      <c r="G18" s="27"/>
      <c r="H18" s="28" t="s">
        <v>603</v>
      </c>
      <c r="I18" s="20">
        <v>42566</v>
      </c>
      <c r="J18" s="35">
        <f t="shared" ca="1" si="1"/>
        <v>1.5561643835616439</v>
      </c>
      <c r="K18" s="60"/>
      <c r="L18" s="32"/>
      <c r="M18" s="82" t="str">
        <f t="shared" ca="1" si="2"/>
        <v>-</v>
      </c>
      <c r="N18" s="19"/>
      <c r="O18" s="68"/>
      <c r="P18" s="83"/>
      <c r="Q18" s="21"/>
      <c r="R18" s="20"/>
      <c r="S18" s="20" t="str">
        <f t="shared" si="15"/>
        <v>-</v>
      </c>
      <c r="T18" s="19" t="str">
        <f t="shared" ca="1" si="4"/>
        <v>-</v>
      </c>
      <c r="U18" s="3"/>
      <c r="V18" s="22" t="str">
        <f t="shared" si="16"/>
        <v>-</v>
      </c>
      <c r="W18" s="22"/>
      <c r="X18" s="22" t="str">
        <f t="shared" ca="1" si="17"/>
        <v>-</v>
      </c>
      <c r="Y18" s="20" t="str">
        <f t="shared" si="18"/>
        <v>-</v>
      </c>
      <c r="Z18" s="94" t="str">
        <f t="shared" si="8"/>
        <v>---------</v>
      </c>
      <c r="AA18" s="21"/>
      <c r="AB18" s="21" t="str">
        <f t="shared" si="19"/>
        <v>-</v>
      </c>
      <c r="AC18" s="21" t="str">
        <f t="shared" si="20"/>
        <v>-</v>
      </c>
      <c r="AD18" s="85"/>
      <c r="AE18" s="21" t="str">
        <f t="shared" si="21"/>
        <v>-</v>
      </c>
      <c r="AF18" s="21" t="str">
        <f t="shared" si="22"/>
        <v>-</v>
      </c>
      <c r="AG18" s="89" t="str">
        <f t="shared" ca="1" si="13"/>
        <v>-</v>
      </c>
      <c r="AH18" s="92">
        <v>1</v>
      </c>
      <c r="AI18" s="80" t="str">
        <f t="shared" ca="1" si="23"/>
        <v>-</v>
      </c>
      <c r="AJ18" s="80"/>
      <c r="AK18" s="123">
        <v>42577</v>
      </c>
      <c r="AL18" s="80" t="s">
        <v>1614</v>
      </c>
      <c r="AM18" s="121">
        <v>48</v>
      </c>
    </row>
    <row r="19" spans="1:39" s="2" customFormat="1" ht="15.95" customHeight="1" x14ac:dyDescent="0.25">
      <c r="A19" s="77">
        <v>17</v>
      </c>
      <c r="B19" s="84">
        <f t="shared" ca="1" si="0"/>
        <v>43134</v>
      </c>
      <c r="C19" s="29" t="s">
        <v>1554</v>
      </c>
      <c r="D19" s="59" t="s">
        <v>1555</v>
      </c>
      <c r="E19" s="22" t="s">
        <v>1557</v>
      </c>
      <c r="F19" s="27" t="s">
        <v>1593</v>
      </c>
      <c r="G19" s="27"/>
      <c r="H19" s="28" t="s">
        <v>603</v>
      </c>
      <c r="I19" s="20">
        <v>42567</v>
      </c>
      <c r="J19" s="35">
        <f t="shared" ca="1" si="1"/>
        <v>1.5534246575342465</v>
      </c>
      <c r="K19" s="60"/>
      <c r="L19" s="32"/>
      <c r="M19" s="82" t="str">
        <f t="shared" ca="1" si="2"/>
        <v>-</v>
      </c>
      <c r="N19" s="19"/>
      <c r="O19" s="68"/>
      <c r="P19" s="83"/>
      <c r="Q19" s="21"/>
      <c r="R19" s="20"/>
      <c r="S19" s="20" t="str">
        <f t="shared" si="15"/>
        <v>-</v>
      </c>
      <c r="T19" s="19" t="str">
        <f t="shared" ca="1" si="4"/>
        <v>-</v>
      </c>
      <c r="U19" s="3"/>
      <c r="V19" s="22" t="str">
        <f t="shared" si="16"/>
        <v>-</v>
      </c>
      <c r="W19" s="22"/>
      <c r="X19" s="22" t="str">
        <f t="shared" ca="1" si="17"/>
        <v>-</v>
      </c>
      <c r="Y19" s="20" t="str">
        <f t="shared" si="18"/>
        <v>-</v>
      </c>
      <c r="Z19" s="94" t="str">
        <f t="shared" si="8"/>
        <v>---------</v>
      </c>
      <c r="AA19" s="21"/>
      <c r="AB19" s="21" t="str">
        <f t="shared" si="19"/>
        <v>-</v>
      </c>
      <c r="AC19" s="21" t="str">
        <f t="shared" si="20"/>
        <v>-</v>
      </c>
      <c r="AD19" s="85"/>
      <c r="AE19" s="21" t="str">
        <f t="shared" si="21"/>
        <v>-</v>
      </c>
      <c r="AF19" s="21" t="str">
        <f t="shared" si="22"/>
        <v>-</v>
      </c>
      <c r="AG19" s="89" t="str">
        <f t="shared" ca="1" si="13"/>
        <v>-</v>
      </c>
      <c r="AH19" s="92">
        <v>1</v>
      </c>
      <c r="AI19" s="80" t="str">
        <f t="shared" ca="1" si="23"/>
        <v>-</v>
      </c>
      <c r="AJ19" s="80"/>
      <c r="AK19" s="123">
        <v>42577</v>
      </c>
      <c r="AL19" s="80" t="s">
        <v>1614</v>
      </c>
      <c r="AM19" s="121">
        <v>45</v>
      </c>
    </row>
    <row r="20" spans="1:39" s="2" customFormat="1" ht="15.95" customHeight="1" x14ac:dyDescent="0.25">
      <c r="A20" s="77">
        <v>18</v>
      </c>
      <c r="B20" s="84">
        <f t="shared" ca="1" si="0"/>
        <v>43134</v>
      </c>
      <c r="C20" s="29" t="s">
        <v>1554</v>
      </c>
      <c r="D20" s="59" t="s">
        <v>1555</v>
      </c>
      <c r="E20" s="22" t="s">
        <v>1557</v>
      </c>
      <c r="F20" s="27" t="s">
        <v>1594</v>
      </c>
      <c r="G20" s="27"/>
      <c r="H20" s="28" t="s">
        <v>603</v>
      </c>
      <c r="I20" s="20">
        <v>42567</v>
      </c>
      <c r="J20" s="35">
        <f t="shared" ca="1" si="1"/>
        <v>1.5534246575342465</v>
      </c>
      <c r="K20" s="60"/>
      <c r="L20" s="32"/>
      <c r="M20" s="82" t="str">
        <f t="shared" ca="1" si="2"/>
        <v>-</v>
      </c>
      <c r="N20" s="19"/>
      <c r="O20" s="68"/>
      <c r="P20" s="83"/>
      <c r="Q20" s="21"/>
      <c r="R20" s="20"/>
      <c r="S20" s="20" t="str">
        <f t="shared" si="15"/>
        <v>-</v>
      </c>
      <c r="T20" s="19" t="str">
        <f t="shared" ca="1" si="4"/>
        <v>-</v>
      </c>
      <c r="U20" s="3"/>
      <c r="V20" s="22" t="str">
        <f t="shared" si="16"/>
        <v>-</v>
      </c>
      <c r="W20" s="22"/>
      <c r="X20" s="22" t="str">
        <f t="shared" ca="1" si="17"/>
        <v>-</v>
      </c>
      <c r="Y20" s="20" t="str">
        <f t="shared" si="18"/>
        <v>-</v>
      </c>
      <c r="Z20" s="94" t="str">
        <f t="shared" si="8"/>
        <v>---------</v>
      </c>
      <c r="AA20" s="21"/>
      <c r="AB20" s="21" t="str">
        <f t="shared" si="19"/>
        <v>-</v>
      </c>
      <c r="AC20" s="21" t="str">
        <f t="shared" si="20"/>
        <v>-</v>
      </c>
      <c r="AD20" s="85"/>
      <c r="AE20" s="21" t="str">
        <f t="shared" si="21"/>
        <v>-</v>
      </c>
      <c r="AF20" s="21" t="str">
        <f t="shared" si="22"/>
        <v>-</v>
      </c>
      <c r="AG20" s="89" t="str">
        <f t="shared" ca="1" si="13"/>
        <v>-</v>
      </c>
      <c r="AH20" s="92">
        <v>1</v>
      </c>
      <c r="AI20" s="80" t="str">
        <f t="shared" ca="1" si="23"/>
        <v>-</v>
      </c>
      <c r="AJ20" s="80"/>
      <c r="AK20" s="123">
        <v>42577</v>
      </c>
      <c r="AL20" s="80" t="s">
        <v>1614</v>
      </c>
      <c r="AM20" s="121">
        <v>52</v>
      </c>
    </row>
    <row r="21" spans="1:39" s="2" customFormat="1" ht="15.95" customHeight="1" x14ac:dyDescent="0.25">
      <c r="A21" s="77">
        <v>19</v>
      </c>
      <c r="B21" s="84">
        <f t="shared" ca="1" si="0"/>
        <v>43134</v>
      </c>
      <c r="C21" s="29" t="s">
        <v>1554</v>
      </c>
      <c r="D21" s="59" t="s">
        <v>1555</v>
      </c>
      <c r="E21" s="22" t="s">
        <v>1557</v>
      </c>
      <c r="F21" s="27" t="s">
        <v>1595</v>
      </c>
      <c r="G21" s="27"/>
      <c r="H21" s="28" t="s">
        <v>603</v>
      </c>
      <c r="I21" s="20">
        <v>42570</v>
      </c>
      <c r="J21" s="35">
        <f t="shared" ca="1" si="1"/>
        <v>1.5452054794520549</v>
      </c>
      <c r="K21" s="60"/>
      <c r="L21" s="32"/>
      <c r="M21" s="82" t="str">
        <f t="shared" ca="1" si="2"/>
        <v>-</v>
      </c>
      <c r="N21" s="19"/>
      <c r="O21" s="68"/>
      <c r="P21" s="83"/>
      <c r="Q21" s="21"/>
      <c r="R21" s="20"/>
      <c r="S21" s="20" t="str">
        <f t="shared" si="15"/>
        <v>-</v>
      </c>
      <c r="T21" s="19" t="str">
        <f t="shared" ca="1" si="4"/>
        <v>-</v>
      </c>
      <c r="U21" s="3"/>
      <c r="V21" s="22" t="str">
        <f t="shared" si="16"/>
        <v>-</v>
      </c>
      <c r="W21" s="22"/>
      <c r="X21" s="22" t="str">
        <f t="shared" ca="1" si="17"/>
        <v>-</v>
      </c>
      <c r="Y21" s="20" t="str">
        <f t="shared" si="18"/>
        <v>-</v>
      </c>
      <c r="Z21" s="94" t="str">
        <f t="shared" si="8"/>
        <v>---------</v>
      </c>
      <c r="AA21" s="21"/>
      <c r="AB21" s="21" t="str">
        <f t="shared" si="19"/>
        <v>-</v>
      </c>
      <c r="AC21" s="21" t="str">
        <f t="shared" si="20"/>
        <v>-</v>
      </c>
      <c r="AD21" s="85"/>
      <c r="AE21" s="21" t="str">
        <f t="shared" si="21"/>
        <v>-</v>
      </c>
      <c r="AF21" s="21" t="str">
        <f t="shared" si="22"/>
        <v>-</v>
      </c>
      <c r="AG21" s="89" t="str">
        <f t="shared" ca="1" si="13"/>
        <v>-</v>
      </c>
      <c r="AH21" s="92">
        <v>1</v>
      </c>
      <c r="AI21" s="80" t="str">
        <f t="shared" ca="1" si="23"/>
        <v>-</v>
      </c>
      <c r="AJ21" s="80"/>
      <c r="AK21" s="123">
        <v>42577</v>
      </c>
      <c r="AL21" s="80" t="s">
        <v>1614</v>
      </c>
      <c r="AM21" s="121">
        <v>43</v>
      </c>
    </row>
    <row r="22" spans="1:39" s="2" customFormat="1" ht="15.95" customHeight="1" x14ac:dyDescent="0.25">
      <c r="A22" s="77">
        <v>20</v>
      </c>
      <c r="B22" s="84">
        <f t="shared" ca="1" si="0"/>
        <v>43134</v>
      </c>
      <c r="C22" s="29" t="s">
        <v>1554</v>
      </c>
      <c r="D22" s="59" t="s">
        <v>1555</v>
      </c>
      <c r="E22" s="22" t="s">
        <v>1557</v>
      </c>
      <c r="F22" s="27" t="s">
        <v>1602</v>
      </c>
      <c r="G22" s="27"/>
      <c r="H22" s="28" t="s">
        <v>603</v>
      </c>
      <c r="I22" s="20">
        <v>42571</v>
      </c>
      <c r="J22" s="35">
        <f t="shared" ca="1" si="1"/>
        <v>1.5424657534246575</v>
      </c>
      <c r="K22" s="60"/>
      <c r="L22" s="32"/>
      <c r="M22" s="82" t="str">
        <f t="shared" ca="1" si="2"/>
        <v>-</v>
      </c>
      <c r="N22" s="19"/>
      <c r="O22" s="68"/>
      <c r="P22" s="83"/>
      <c r="Q22" s="21"/>
      <c r="R22" s="20"/>
      <c r="S22" s="20" t="str">
        <f t="shared" si="15"/>
        <v>-</v>
      </c>
      <c r="T22" s="19" t="str">
        <f t="shared" ca="1" si="4"/>
        <v>-</v>
      </c>
      <c r="U22" s="3"/>
      <c r="V22" s="22" t="str">
        <f t="shared" si="16"/>
        <v>-</v>
      </c>
      <c r="W22" s="22"/>
      <c r="X22" s="22" t="str">
        <f t="shared" ca="1" si="17"/>
        <v>-</v>
      </c>
      <c r="Y22" s="20" t="str">
        <f t="shared" si="18"/>
        <v>-</v>
      </c>
      <c r="Z22" s="94" t="str">
        <f t="shared" si="8"/>
        <v>---------</v>
      </c>
      <c r="AA22" s="21"/>
      <c r="AB22" s="21" t="str">
        <f t="shared" si="19"/>
        <v>-</v>
      </c>
      <c r="AC22" s="21" t="str">
        <f t="shared" si="20"/>
        <v>-</v>
      </c>
      <c r="AD22" s="85"/>
      <c r="AE22" s="21" t="str">
        <f t="shared" si="21"/>
        <v>-</v>
      </c>
      <c r="AF22" s="21" t="str">
        <f t="shared" si="22"/>
        <v>-</v>
      </c>
      <c r="AG22" s="89" t="str">
        <f t="shared" ca="1" si="13"/>
        <v>-</v>
      </c>
      <c r="AH22" s="92">
        <v>1</v>
      </c>
      <c r="AI22" s="80" t="str">
        <f t="shared" ca="1" si="23"/>
        <v>-</v>
      </c>
      <c r="AJ22" s="80"/>
      <c r="AK22" s="123">
        <v>42577</v>
      </c>
      <c r="AL22" s="80" t="s">
        <v>1614</v>
      </c>
      <c r="AM22" s="121">
        <v>46</v>
      </c>
    </row>
    <row r="23" spans="1:39" s="2" customFormat="1" ht="15.95" customHeight="1" x14ac:dyDescent="0.25">
      <c r="A23" s="77">
        <v>21</v>
      </c>
      <c r="B23" s="84">
        <f t="shared" ca="1" si="0"/>
        <v>43134</v>
      </c>
      <c r="C23" s="29" t="s">
        <v>1554</v>
      </c>
      <c r="D23" s="59" t="s">
        <v>1555</v>
      </c>
      <c r="E23" s="22" t="s">
        <v>1557</v>
      </c>
      <c r="F23" s="27" t="s">
        <v>1605</v>
      </c>
      <c r="G23" s="27"/>
      <c r="H23" s="28" t="s">
        <v>603</v>
      </c>
      <c r="I23" s="20">
        <v>42571</v>
      </c>
      <c r="J23" s="35">
        <f t="shared" ca="1" si="1"/>
        <v>1.5424657534246575</v>
      </c>
      <c r="K23" s="60"/>
      <c r="L23" s="32"/>
      <c r="M23" s="82" t="str">
        <f t="shared" ca="1" si="2"/>
        <v>-</v>
      </c>
      <c r="N23" s="19"/>
      <c r="O23" s="68"/>
      <c r="P23" s="83"/>
      <c r="Q23" s="21"/>
      <c r="R23" s="20"/>
      <c r="S23" s="20" t="str">
        <f t="shared" si="15"/>
        <v>-</v>
      </c>
      <c r="T23" s="19" t="str">
        <f t="shared" ca="1" si="4"/>
        <v>-</v>
      </c>
      <c r="U23" s="3"/>
      <c r="V23" s="22" t="str">
        <f t="shared" si="16"/>
        <v>-</v>
      </c>
      <c r="W23" s="22"/>
      <c r="X23" s="22" t="str">
        <f t="shared" ca="1" si="17"/>
        <v>-</v>
      </c>
      <c r="Y23" s="20" t="str">
        <f t="shared" si="18"/>
        <v>-</v>
      </c>
      <c r="Z23" s="94" t="str">
        <f t="shared" si="8"/>
        <v>---------</v>
      </c>
      <c r="AA23" s="21"/>
      <c r="AB23" s="21" t="str">
        <f t="shared" si="19"/>
        <v>-</v>
      </c>
      <c r="AC23" s="21" t="str">
        <f t="shared" si="20"/>
        <v>-</v>
      </c>
      <c r="AD23" s="85"/>
      <c r="AE23" s="21" t="str">
        <f t="shared" si="21"/>
        <v>-</v>
      </c>
      <c r="AF23" s="21" t="str">
        <f t="shared" si="22"/>
        <v>-</v>
      </c>
      <c r="AG23" s="89" t="str">
        <f t="shared" ca="1" si="13"/>
        <v>-</v>
      </c>
      <c r="AH23" s="92"/>
      <c r="AI23" s="80"/>
      <c r="AJ23" s="80"/>
      <c r="AK23" s="123">
        <v>42577</v>
      </c>
      <c r="AL23" s="80" t="s">
        <v>1614</v>
      </c>
      <c r="AM23" s="121">
        <v>50</v>
      </c>
    </row>
    <row r="24" spans="1:39" s="2" customFormat="1" ht="15.95" customHeight="1" x14ac:dyDescent="0.25">
      <c r="A24" s="77">
        <v>22</v>
      </c>
      <c r="B24" s="84">
        <f t="shared" ca="1" si="0"/>
        <v>43134</v>
      </c>
      <c r="C24" s="29" t="s">
        <v>1554</v>
      </c>
      <c r="D24" s="59" t="s">
        <v>1555</v>
      </c>
      <c r="E24" s="22" t="s">
        <v>1557</v>
      </c>
      <c r="F24" s="27" t="s">
        <v>1610</v>
      </c>
      <c r="G24" s="27"/>
      <c r="H24" s="28" t="s">
        <v>603</v>
      </c>
      <c r="I24" s="20">
        <v>42572</v>
      </c>
      <c r="J24" s="35">
        <f t="shared" ca="1" si="1"/>
        <v>1.5397260273972602</v>
      </c>
      <c r="K24" s="60"/>
      <c r="L24" s="32"/>
      <c r="M24" s="82" t="str">
        <f t="shared" ca="1" si="2"/>
        <v>-</v>
      </c>
      <c r="N24" s="19"/>
      <c r="O24" s="68"/>
      <c r="P24" s="83"/>
      <c r="Q24" s="21"/>
      <c r="R24" s="20"/>
      <c r="S24" s="20" t="str">
        <f t="shared" si="15"/>
        <v>-</v>
      </c>
      <c r="T24" s="19" t="str">
        <f t="shared" ca="1" si="4"/>
        <v>-</v>
      </c>
      <c r="U24" s="3"/>
      <c r="V24" s="22" t="str">
        <f t="shared" si="16"/>
        <v>-</v>
      </c>
      <c r="W24" s="22"/>
      <c r="X24" s="22" t="str">
        <f t="shared" ca="1" si="17"/>
        <v>-</v>
      </c>
      <c r="Y24" s="20" t="str">
        <f t="shared" si="18"/>
        <v>-</v>
      </c>
      <c r="Z24" s="94" t="str">
        <f t="shared" si="8"/>
        <v>---------</v>
      </c>
      <c r="AA24" s="21"/>
      <c r="AB24" s="21" t="str">
        <f t="shared" si="19"/>
        <v>-</v>
      </c>
      <c r="AC24" s="21" t="str">
        <f t="shared" si="20"/>
        <v>-</v>
      </c>
      <c r="AD24" s="85"/>
      <c r="AE24" s="21" t="str">
        <f t="shared" si="21"/>
        <v>-</v>
      </c>
      <c r="AF24" s="21" t="str">
        <f t="shared" si="22"/>
        <v>-</v>
      </c>
      <c r="AG24" s="89" t="str">
        <f t="shared" ca="1" si="13"/>
        <v>-</v>
      </c>
      <c r="AH24" s="92"/>
      <c r="AI24" s="80"/>
      <c r="AJ24" s="80"/>
      <c r="AK24" s="123">
        <v>42577</v>
      </c>
      <c r="AL24" s="80" t="s">
        <v>1614</v>
      </c>
      <c r="AM24" s="121">
        <v>42</v>
      </c>
    </row>
    <row r="25" spans="1:39" s="2" customFormat="1" ht="15.95" customHeight="1" x14ac:dyDescent="0.25">
      <c r="A25" s="77">
        <v>23</v>
      </c>
      <c r="B25" s="84">
        <f t="shared" ca="1" si="0"/>
        <v>43134</v>
      </c>
      <c r="C25" s="29" t="s">
        <v>1554</v>
      </c>
      <c r="D25" s="59" t="s">
        <v>1555</v>
      </c>
      <c r="E25" s="22" t="s">
        <v>1557</v>
      </c>
      <c r="F25" s="27" t="s">
        <v>1618</v>
      </c>
      <c r="G25" s="27"/>
      <c r="H25" s="28" t="s">
        <v>603</v>
      </c>
      <c r="I25" s="20">
        <v>42574</v>
      </c>
      <c r="J25" s="35">
        <f t="shared" ca="1" si="1"/>
        <v>1.5342465753424657</v>
      </c>
      <c r="K25" s="60"/>
      <c r="L25" s="32"/>
      <c r="M25" s="82"/>
      <c r="N25" s="19"/>
      <c r="O25" s="68"/>
      <c r="P25" s="83"/>
      <c r="Q25" s="21"/>
      <c r="R25" s="20"/>
      <c r="S25" s="20"/>
      <c r="T25" s="19"/>
      <c r="U25" s="3"/>
      <c r="V25" s="22"/>
      <c r="W25" s="22"/>
      <c r="X25" s="22"/>
      <c r="Y25" s="20"/>
      <c r="Z25" s="94"/>
      <c r="AA25" s="21"/>
      <c r="AB25" s="21"/>
      <c r="AC25" s="21"/>
      <c r="AD25" s="85"/>
      <c r="AE25" s="21"/>
      <c r="AF25" s="21"/>
      <c r="AG25" s="89"/>
      <c r="AH25" s="92"/>
      <c r="AI25" s="80"/>
      <c r="AJ25" s="80"/>
      <c r="AK25" s="123">
        <v>42577</v>
      </c>
      <c r="AL25" s="80" t="s">
        <v>1614</v>
      </c>
      <c r="AM25" s="121">
        <v>50</v>
      </c>
    </row>
    <row r="26" spans="1:39" s="2" customFormat="1" ht="15.95" customHeight="1" x14ac:dyDescent="0.25">
      <c r="A26" s="77">
        <v>24</v>
      </c>
      <c r="B26" s="84">
        <f t="shared" ca="1" si="0"/>
        <v>43134</v>
      </c>
      <c r="C26" s="29" t="s">
        <v>1554</v>
      </c>
      <c r="D26" s="59" t="s">
        <v>1555</v>
      </c>
      <c r="E26" s="22" t="s">
        <v>1557</v>
      </c>
      <c r="F26" s="27" t="s">
        <v>1625</v>
      </c>
      <c r="G26" s="27"/>
      <c r="H26" s="28" t="s">
        <v>603</v>
      </c>
      <c r="I26" s="20">
        <v>42576</v>
      </c>
      <c r="J26" s="35">
        <f t="shared" ca="1" si="1"/>
        <v>1.5287671232876712</v>
      </c>
      <c r="K26" s="60"/>
      <c r="L26" s="32"/>
      <c r="M26" s="82"/>
      <c r="N26" s="19"/>
      <c r="O26" s="68"/>
      <c r="P26" s="83"/>
      <c r="Q26" s="21"/>
      <c r="R26" s="20"/>
      <c r="S26" s="20"/>
      <c r="T26" s="19"/>
      <c r="U26" s="3"/>
      <c r="V26" s="22"/>
      <c r="W26" s="22"/>
      <c r="X26" s="22"/>
      <c r="Y26" s="20"/>
      <c r="Z26" s="94"/>
      <c r="AA26" s="21"/>
      <c r="AB26" s="21"/>
      <c r="AC26" s="21"/>
      <c r="AD26" s="85"/>
      <c r="AE26" s="21"/>
      <c r="AF26" s="21"/>
      <c r="AG26" s="89"/>
      <c r="AH26" s="92"/>
      <c r="AI26" s="80"/>
      <c r="AJ26" s="80"/>
      <c r="AK26" s="123">
        <v>42577</v>
      </c>
      <c r="AL26" s="80" t="s">
        <v>1614</v>
      </c>
      <c r="AM26" s="121">
        <v>46</v>
      </c>
    </row>
    <row r="27" spans="1:39" s="2" customFormat="1" ht="15.95" customHeight="1" x14ac:dyDescent="0.25">
      <c r="A27" s="77">
        <v>25</v>
      </c>
      <c r="B27" s="84">
        <f t="shared" ca="1" si="0"/>
        <v>43134</v>
      </c>
      <c r="C27" s="29" t="s">
        <v>1554</v>
      </c>
      <c r="D27" s="59" t="s">
        <v>1555</v>
      </c>
      <c r="E27" s="22" t="s">
        <v>1557</v>
      </c>
      <c r="F27" s="27" t="s">
        <v>1624</v>
      </c>
      <c r="G27" s="27"/>
      <c r="H27" s="28" t="s">
        <v>603</v>
      </c>
      <c r="I27" s="20">
        <v>42576</v>
      </c>
      <c r="J27" s="35">
        <f t="shared" ca="1" si="1"/>
        <v>1.5287671232876712</v>
      </c>
      <c r="K27" s="60"/>
      <c r="L27" s="32"/>
      <c r="M27" s="82"/>
      <c r="N27" s="19"/>
      <c r="O27" s="68"/>
      <c r="P27" s="83"/>
      <c r="Q27" s="21"/>
      <c r="R27" s="20"/>
      <c r="S27" s="20"/>
      <c r="T27" s="19"/>
      <c r="U27" s="3"/>
      <c r="V27" s="22"/>
      <c r="W27" s="22"/>
      <c r="X27" s="22"/>
      <c r="Y27" s="20"/>
      <c r="Z27" s="94"/>
      <c r="AA27" s="21"/>
      <c r="AB27" s="21"/>
      <c r="AC27" s="21"/>
      <c r="AD27" s="85"/>
      <c r="AE27" s="21"/>
      <c r="AF27" s="21"/>
      <c r="AG27" s="89"/>
      <c r="AH27" s="92"/>
      <c r="AI27" s="80"/>
      <c r="AJ27" s="80"/>
      <c r="AK27" s="123">
        <v>42577</v>
      </c>
      <c r="AL27" s="80" t="s">
        <v>1614</v>
      </c>
      <c r="AM27" s="121">
        <v>41</v>
      </c>
    </row>
    <row r="28" spans="1:39" s="2" customFormat="1" ht="15.95" customHeight="1" x14ac:dyDescent="0.25">
      <c r="A28" s="77">
        <v>26</v>
      </c>
      <c r="B28" s="84">
        <f t="shared" ca="1" si="0"/>
        <v>43134</v>
      </c>
      <c r="C28" s="29" t="s">
        <v>1554</v>
      </c>
      <c r="D28" s="59" t="s">
        <v>1555</v>
      </c>
      <c r="E28" s="22" t="s">
        <v>1557</v>
      </c>
      <c r="F28" s="27" t="s">
        <v>1627</v>
      </c>
      <c r="G28" s="27"/>
      <c r="H28" s="28" t="s">
        <v>603</v>
      </c>
      <c r="I28" s="20">
        <v>42576</v>
      </c>
      <c r="J28" s="35">
        <f t="shared" ca="1" si="1"/>
        <v>1.5287671232876712</v>
      </c>
      <c r="K28" s="60"/>
      <c r="L28" s="32"/>
      <c r="M28" s="82"/>
      <c r="N28" s="19"/>
      <c r="O28" s="68"/>
      <c r="P28" s="83"/>
      <c r="Q28" s="21"/>
      <c r="R28" s="20"/>
      <c r="S28" s="20"/>
      <c r="T28" s="19"/>
      <c r="U28" s="3"/>
      <c r="V28" s="22"/>
      <c r="W28" s="22"/>
      <c r="X28" s="22"/>
      <c r="Y28" s="20"/>
      <c r="Z28" s="94"/>
      <c r="AA28" s="21"/>
      <c r="AB28" s="21"/>
      <c r="AC28" s="21"/>
      <c r="AD28" s="85"/>
      <c r="AE28" s="21"/>
      <c r="AF28" s="21"/>
      <c r="AG28" s="89"/>
      <c r="AH28" s="92"/>
      <c r="AI28" s="80"/>
      <c r="AJ28" s="80"/>
      <c r="AK28" s="123">
        <v>42608</v>
      </c>
      <c r="AL28" s="80" t="s">
        <v>1614</v>
      </c>
      <c r="AM28" s="121">
        <v>54</v>
      </c>
    </row>
    <row r="29" spans="1:39" s="2" customFormat="1" ht="15.95" customHeight="1" x14ac:dyDescent="0.25">
      <c r="A29" s="77">
        <v>27</v>
      </c>
      <c r="B29" s="84">
        <f t="shared" ca="1" si="0"/>
        <v>43134</v>
      </c>
      <c r="C29" s="29" t="s">
        <v>1554</v>
      </c>
      <c r="D29" s="59" t="s">
        <v>1555</v>
      </c>
      <c r="E29" s="22" t="s">
        <v>1557</v>
      </c>
      <c r="F29" s="27" t="s">
        <v>1606</v>
      </c>
      <c r="G29" s="27"/>
      <c r="H29" s="28" t="s">
        <v>603</v>
      </c>
      <c r="I29" s="20">
        <v>42572</v>
      </c>
      <c r="J29" s="35">
        <f t="shared" ca="1" si="1"/>
        <v>1.5397260273972602</v>
      </c>
      <c r="K29" s="60"/>
      <c r="L29" s="32"/>
      <c r="M29" s="82" t="str">
        <f t="shared" ref="M29:M61" ca="1" si="24">IF(AND(B29&gt;0,L29&gt;0),B29-L29,"-")</f>
        <v>-</v>
      </c>
      <c r="N29" s="19"/>
      <c r="O29" s="68"/>
      <c r="P29" s="83"/>
      <c r="Q29" s="21"/>
      <c r="R29" s="20"/>
      <c r="S29" s="20" t="str">
        <f>IF(AND(W29&gt;1,R29&gt;0),R29+18,"-")</f>
        <v>-</v>
      </c>
      <c r="T29" s="19" t="str">
        <f t="shared" ref="T29:T57" ca="1" si="25">IF(AND(S29&gt;0,B29&gt;0,W29&gt;1),B29-S29,"-")</f>
        <v>-</v>
      </c>
      <c r="U29" s="3"/>
      <c r="V29" s="22" t="str">
        <f>IF(AND(L29&gt;0,R29&gt;0),R29-L29,"-")</f>
        <v>-</v>
      </c>
      <c r="W29" s="22"/>
      <c r="X29" s="22" t="str">
        <f ca="1">IF(AND(M29&gt;140,W29=0,L29&gt;0),"яловая","-")</f>
        <v>-</v>
      </c>
      <c r="Y29" s="20" t="str">
        <f>IF(AND(R29&gt;0,OR(W29=3,W29=2)),R29+45,"-")</f>
        <v>-</v>
      </c>
      <c r="Z29" s="94" t="str">
        <f t="shared" ref="Z29:Z57" si="26">IF(AND(R29&gt;0,U29&gt;0,O29&gt;0,OR(W29=3,W29=2)),B29-Y29,"---------")</f>
        <v>---------</v>
      </c>
      <c r="AA29" s="21"/>
      <c r="AB29" s="21" t="str">
        <f>IF(AND($R29&gt;0,$L29&gt;0,$W29=1),$R29+285-90,"-")</f>
        <v>-</v>
      </c>
      <c r="AC29" s="21" t="str">
        <f>IF(AND(R29&gt;0,W29=1,L29&gt;0),R29+285-60,"-")</f>
        <v>-</v>
      </c>
      <c r="AD29" s="85"/>
      <c r="AE29" s="21" t="str">
        <f>IF(AND($R29&gt;0,$W29=1),$R29+285-21,"-")</f>
        <v>-</v>
      </c>
      <c r="AF29" s="21" t="str">
        <f>IF(AND(R29&gt;0,W29=1),R29+285,"-")</f>
        <v>-</v>
      </c>
      <c r="AG29" s="89" t="str">
        <f t="shared" ref="AG29:AG57" ca="1" si="27">IF(AND(B29&gt;0,AF29&gt;0,AA29&gt;0,W29=1),B29-AF29,"-")</f>
        <v>-</v>
      </c>
      <c r="AH29" s="92"/>
      <c r="AI29" s="80"/>
      <c r="AJ29" s="80"/>
      <c r="AK29" s="123">
        <v>42575</v>
      </c>
      <c r="AL29" s="80" t="s">
        <v>1630</v>
      </c>
      <c r="AM29" s="121">
        <v>43</v>
      </c>
    </row>
    <row r="30" spans="1:39" s="2" customFormat="1" ht="15.95" customHeight="1" x14ac:dyDescent="0.25">
      <c r="A30" s="77">
        <v>28</v>
      </c>
      <c r="B30" s="84">
        <f t="shared" ca="1" si="0"/>
        <v>43134</v>
      </c>
      <c r="C30" s="29" t="s">
        <v>1554</v>
      </c>
      <c r="D30" s="59" t="s">
        <v>1555</v>
      </c>
      <c r="E30" s="22" t="s">
        <v>1557</v>
      </c>
      <c r="F30" s="27" t="s">
        <v>1611</v>
      </c>
      <c r="G30" s="27"/>
      <c r="H30" s="28" t="s">
        <v>603</v>
      </c>
      <c r="I30" s="20">
        <v>42572</v>
      </c>
      <c r="J30" s="35">
        <f t="shared" ca="1" si="1"/>
        <v>1.5397260273972602</v>
      </c>
      <c r="K30" s="60"/>
      <c r="L30" s="32"/>
      <c r="M30" s="82" t="str">
        <f t="shared" ca="1" si="24"/>
        <v>-</v>
      </c>
      <c r="N30" s="19"/>
      <c r="O30" s="68"/>
      <c r="P30" s="83"/>
      <c r="Q30" s="21"/>
      <c r="R30" s="20"/>
      <c r="S30" s="20" t="str">
        <f t="shared" ref="S30" si="28">IF(AND(W30&gt;1,R30&gt;0),R30+18,"-")</f>
        <v>-</v>
      </c>
      <c r="T30" s="19" t="str">
        <f t="shared" ca="1" si="25"/>
        <v>-</v>
      </c>
      <c r="U30" s="3"/>
      <c r="V30" s="22" t="str">
        <f t="shared" ref="V30" si="29">IF(AND(L30&gt;0,R30&gt;0),R30-L30,"-")</f>
        <v>-</v>
      </c>
      <c r="W30" s="22"/>
      <c r="X30" s="22" t="str">
        <f t="shared" ref="X30" ca="1" si="30">IF(AND(M30&gt;140,W30=0,L30&gt;0),"яловая","-")</f>
        <v>-</v>
      </c>
      <c r="Y30" s="20" t="str">
        <f t="shared" ref="Y30" si="31">IF(AND(R30&gt;0,OR(W30=3,W30=2)),R30+35,"-")</f>
        <v>-</v>
      </c>
      <c r="Z30" s="94" t="str">
        <f t="shared" si="26"/>
        <v>---------</v>
      </c>
      <c r="AA30" s="21"/>
      <c r="AB30" s="21" t="str">
        <f t="shared" ref="AB30" si="32">IF(AND($R30&gt;0,$L30&gt;0,$W30=1),$R30+285-90,"-")</f>
        <v>-</v>
      </c>
      <c r="AC30" s="21" t="str">
        <f t="shared" ref="AC30" si="33">IF(AND(R30&gt;0,W30=1,L30&gt;0),R30+285-60,"-")</f>
        <v>-</v>
      </c>
      <c r="AD30" s="85"/>
      <c r="AE30" s="21" t="str">
        <f t="shared" ref="AE30" si="34">IF(AND($R30&gt;0,$W30=1),$R30+280-21,"-")</f>
        <v>-</v>
      </c>
      <c r="AF30" s="21" t="str">
        <f t="shared" ref="AF30" si="35">IF(AND(R30&gt;0,W30=1),R30+280,"-")</f>
        <v>-</v>
      </c>
      <c r="AG30" s="89" t="str">
        <f t="shared" ca="1" si="27"/>
        <v>-</v>
      </c>
      <c r="AH30" s="92">
        <v>1</v>
      </c>
      <c r="AI30" s="80" t="str">
        <f t="shared" ref="AI30" ca="1" si="36">IF(AND(X30="яловая",M30&gt;300),"БРАК","-")</f>
        <v>-</v>
      </c>
      <c r="AJ30" s="80"/>
      <c r="AK30" s="123">
        <v>42577</v>
      </c>
      <c r="AL30" s="80" t="s">
        <v>1614</v>
      </c>
      <c r="AM30" s="121">
        <v>52</v>
      </c>
    </row>
    <row r="31" spans="1:39" s="1" customFormat="1" ht="15.95" customHeight="1" x14ac:dyDescent="0.25">
      <c r="A31" s="77">
        <v>29</v>
      </c>
      <c r="B31" s="84">
        <f t="shared" ca="1" si="0"/>
        <v>43134</v>
      </c>
      <c r="C31" s="29" t="s">
        <v>1554</v>
      </c>
      <c r="D31" s="59" t="s">
        <v>1635</v>
      </c>
      <c r="E31" s="22" t="s">
        <v>1557</v>
      </c>
      <c r="F31" s="27" t="s">
        <v>1596</v>
      </c>
      <c r="G31" s="27"/>
      <c r="H31" s="28" t="s">
        <v>603</v>
      </c>
      <c r="I31" s="20">
        <v>42570</v>
      </c>
      <c r="J31" s="35">
        <f t="shared" ca="1" si="1"/>
        <v>1.5452054794520549</v>
      </c>
      <c r="K31" s="60"/>
      <c r="L31" s="32"/>
      <c r="M31" s="82" t="str">
        <f t="shared" ca="1" si="24"/>
        <v>-</v>
      </c>
      <c r="N31" s="19"/>
      <c r="O31" s="68"/>
      <c r="P31" s="118"/>
      <c r="Q31" s="21"/>
      <c r="R31" s="20"/>
      <c r="S31" s="20" t="str">
        <f t="shared" ref="S31:S37" si="37">IF(AND(W31&gt;1,R31&gt;0),R31+18,"-")</f>
        <v>-</v>
      </c>
      <c r="T31" s="19" t="str">
        <f t="shared" ca="1" si="25"/>
        <v>-</v>
      </c>
      <c r="U31" s="3"/>
      <c r="V31" s="22" t="str">
        <f t="shared" ref="V31:V37" si="38">IF(AND(L31&gt;0,R31&gt;0),R31-L31,"-")</f>
        <v>-</v>
      </c>
      <c r="W31" s="22"/>
      <c r="X31" s="22" t="str">
        <f t="shared" ref="X31:X37" ca="1" si="39">IF(AND(M31&gt;140,W31=0,L31&gt;0),"яловая","-")</f>
        <v>-</v>
      </c>
      <c r="Y31" s="20" t="str">
        <f t="shared" ref="Y31:Y37" si="40">IF(AND(R31&gt;0,OR(W31=3,W31=2)),R31+35,"-")</f>
        <v>-</v>
      </c>
      <c r="Z31" s="94" t="str">
        <f t="shared" si="26"/>
        <v>---------</v>
      </c>
      <c r="AA31" s="21"/>
      <c r="AB31" s="21" t="str">
        <f t="shared" ref="AB31:AB37" si="41">IF(AND($R31&gt;0,$L31&gt;0,$W31=1),$R31+285-90,"-")</f>
        <v>-</v>
      </c>
      <c r="AC31" s="21" t="str">
        <f t="shared" ref="AC31:AC37" si="42">IF(AND(R31&gt;0,W31=1,L31&gt;0),R31+285-60,"-")</f>
        <v>-</v>
      </c>
      <c r="AD31" s="85"/>
      <c r="AE31" s="21" t="str">
        <f t="shared" ref="AE31:AE37" si="43">IF(AND($R31&gt;0,$W31=1),$R31+280-21,"-")</f>
        <v>-</v>
      </c>
      <c r="AF31" s="21" t="str">
        <f t="shared" ref="AF31:AF37" si="44">IF(AND(R31&gt;0,W31=1),R31+280,"-")</f>
        <v>-</v>
      </c>
      <c r="AG31" s="89" t="str">
        <f t="shared" ca="1" si="27"/>
        <v>-</v>
      </c>
      <c r="AH31" s="92">
        <v>1</v>
      </c>
      <c r="AI31" s="80" t="str">
        <f t="shared" ref="AI31:AI37" ca="1" si="45">IF(AND(X31="яловая",M31&gt;300),"БРАК","-")</f>
        <v>-</v>
      </c>
      <c r="AJ31" s="80"/>
      <c r="AK31" s="123">
        <v>42594</v>
      </c>
      <c r="AL31" s="121" t="s">
        <v>1614</v>
      </c>
      <c r="AM31" s="121">
        <v>60</v>
      </c>
    </row>
    <row r="32" spans="1:39" s="2" customFormat="1" ht="15.95" customHeight="1" x14ac:dyDescent="0.25">
      <c r="A32" s="77">
        <v>30</v>
      </c>
      <c r="B32" s="84">
        <f t="shared" ca="1" si="0"/>
        <v>43134</v>
      </c>
      <c r="C32" s="29" t="s">
        <v>1554</v>
      </c>
      <c r="D32" s="59" t="s">
        <v>1745</v>
      </c>
      <c r="E32" s="22" t="s">
        <v>1563</v>
      </c>
      <c r="F32" s="27" t="s">
        <v>1792</v>
      </c>
      <c r="G32" s="27"/>
      <c r="H32" s="28" t="s">
        <v>603</v>
      </c>
      <c r="I32" s="20">
        <v>42413</v>
      </c>
      <c r="J32" s="35">
        <f t="shared" ca="1" si="1"/>
        <v>1.9753424657534246</v>
      </c>
      <c r="K32" s="60"/>
      <c r="L32" s="32"/>
      <c r="M32" s="82" t="str">
        <f t="shared" ca="1" si="24"/>
        <v>-</v>
      </c>
      <c r="N32" s="19"/>
      <c r="O32" s="68"/>
      <c r="P32" s="118"/>
      <c r="Q32" s="21"/>
      <c r="R32" s="20"/>
      <c r="S32" s="20" t="str">
        <f t="shared" si="37"/>
        <v>-</v>
      </c>
      <c r="T32" s="19" t="str">
        <f t="shared" ca="1" si="25"/>
        <v>-</v>
      </c>
      <c r="U32" s="3"/>
      <c r="V32" s="22" t="str">
        <f t="shared" si="38"/>
        <v>-</v>
      </c>
      <c r="W32" s="22"/>
      <c r="X32" s="22" t="str">
        <f t="shared" ca="1" si="39"/>
        <v>-</v>
      </c>
      <c r="Y32" s="20" t="str">
        <f t="shared" si="40"/>
        <v>-</v>
      </c>
      <c r="Z32" s="94" t="str">
        <f t="shared" si="26"/>
        <v>---------</v>
      </c>
      <c r="AA32" s="21"/>
      <c r="AB32" s="21" t="str">
        <f t="shared" si="41"/>
        <v>-</v>
      </c>
      <c r="AC32" s="21" t="str">
        <f t="shared" si="42"/>
        <v>-</v>
      </c>
      <c r="AD32" s="85"/>
      <c r="AE32" s="21" t="str">
        <f t="shared" si="43"/>
        <v>-</v>
      </c>
      <c r="AF32" s="21" t="str">
        <f t="shared" si="44"/>
        <v>-</v>
      </c>
      <c r="AG32" s="89" t="str">
        <f t="shared" ca="1" si="27"/>
        <v>-</v>
      </c>
      <c r="AH32" s="92">
        <v>1</v>
      </c>
      <c r="AI32" s="80" t="str">
        <f t="shared" ca="1" si="45"/>
        <v>-</v>
      </c>
      <c r="AJ32" s="80"/>
      <c r="AK32" s="123">
        <v>42598</v>
      </c>
      <c r="AL32" s="121" t="s">
        <v>2223</v>
      </c>
      <c r="AM32" s="121">
        <v>161</v>
      </c>
    </row>
    <row r="33" spans="1:39" s="2" customFormat="1" ht="15.95" customHeight="1" x14ac:dyDescent="0.25">
      <c r="A33" s="77">
        <v>31</v>
      </c>
      <c r="B33" s="84">
        <f t="shared" ca="1" si="0"/>
        <v>43134</v>
      </c>
      <c r="C33" s="29" t="s">
        <v>1554</v>
      </c>
      <c r="D33" s="59" t="s">
        <v>1745</v>
      </c>
      <c r="E33" s="22" t="s">
        <v>1557</v>
      </c>
      <c r="F33" s="27" t="s">
        <v>1808</v>
      </c>
      <c r="G33" s="27"/>
      <c r="H33" s="28" t="s">
        <v>603</v>
      </c>
      <c r="I33" s="20">
        <v>42409</v>
      </c>
      <c r="J33" s="35">
        <f t="shared" ca="1" si="1"/>
        <v>1.9863013698630136</v>
      </c>
      <c r="K33" s="60"/>
      <c r="L33" s="32"/>
      <c r="M33" s="82" t="str">
        <f t="shared" ca="1" si="24"/>
        <v>-</v>
      </c>
      <c r="N33" s="19"/>
      <c r="O33" s="68"/>
      <c r="P33" s="118"/>
      <c r="Q33" s="21"/>
      <c r="R33" s="20"/>
      <c r="S33" s="20" t="str">
        <f t="shared" si="37"/>
        <v>-</v>
      </c>
      <c r="T33" s="19" t="str">
        <f t="shared" ca="1" si="25"/>
        <v>-</v>
      </c>
      <c r="U33" s="3"/>
      <c r="V33" s="22" t="str">
        <f t="shared" si="38"/>
        <v>-</v>
      </c>
      <c r="W33" s="22"/>
      <c r="X33" s="22" t="str">
        <f t="shared" ca="1" si="39"/>
        <v>-</v>
      </c>
      <c r="Y33" s="20" t="str">
        <f t="shared" si="40"/>
        <v>-</v>
      </c>
      <c r="Z33" s="94" t="str">
        <f t="shared" si="26"/>
        <v>---------</v>
      </c>
      <c r="AA33" s="21"/>
      <c r="AB33" s="21" t="str">
        <f t="shared" si="41"/>
        <v>-</v>
      </c>
      <c r="AC33" s="21" t="str">
        <f t="shared" si="42"/>
        <v>-</v>
      </c>
      <c r="AD33" s="85"/>
      <c r="AE33" s="21" t="str">
        <f t="shared" si="43"/>
        <v>-</v>
      </c>
      <c r="AF33" s="21" t="str">
        <f t="shared" si="44"/>
        <v>-</v>
      </c>
      <c r="AG33" s="89" t="str">
        <f t="shared" ca="1" si="27"/>
        <v>-</v>
      </c>
      <c r="AH33" s="92">
        <v>1</v>
      </c>
      <c r="AI33" s="80" t="str">
        <f t="shared" ca="1" si="45"/>
        <v>-</v>
      </c>
      <c r="AJ33" s="80"/>
      <c r="AK33" s="123">
        <v>42598</v>
      </c>
      <c r="AL33" s="121" t="s">
        <v>2223</v>
      </c>
      <c r="AM33" s="121">
        <v>110</v>
      </c>
    </row>
    <row r="34" spans="1:39" s="2" customFormat="1" ht="15.95" customHeight="1" x14ac:dyDescent="0.25">
      <c r="A34" s="77">
        <v>32</v>
      </c>
      <c r="B34" s="84">
        <f t="shared" ca="1" si="0"/>
        <v>43134</v>
      </c>
      <c r="C34" s="29" t="s">
        <v>1554</v>
      </c>
      <c r="D34" s="59" t="s">
        <v>1555</v>
      </c>
      <c r="E34" s="22" t="s">
        <v>1557</v>
      </c>
      <c r="F34" s="27" t="s">
        <v>1813</v>
      </c>
      <c r="G34" s="27"/>
      <c r="H34" s="28" t="s">
        <v>603</v>
      </c>
      <c r="I34" s="20">
        <v>42589</v>
      </c>
      <c r="J34" s="35">
        <f t="shared" ca="1" si="1"/>
        <v>1.4931506849315068</v>
      </c>
      <c r="K34" s="60"/>
      <c r="L34" s="32"/>
      <c r="M34" s="82" t="str">
        <f t="shared" ca="1" si="24"/>
        <v>-</v>
      </c>
      <c r="N34" s="19"/>
      <c r="O34" s="68"/>
      <c r="P34" s="118"/>
      <c r="Q34" s="21"/>
      <c r="R34" s="20"/>
      <c r="S34" s="20" t="str">
        <f t="shared" si="37"/>
        <v>-</v>
      </c>
      <c r="T34" s="19" t="str">
        <f t="shared" ca="1" si="25"/>
        <v>-</v>
      </c>
      <c r="U34" s="3"/>
      <c r="V34" s="22" t="str">
        <f t="shared" si="38"/>
        <v>-</v>
      </c>
      <c r="W34" s="22"/>
      <c r="X34" s="22" t="str">
        <f t="shared" ca="1" si="39"/>
        <v>-</v>
      </c>
      <c r="Y34" s="20" t="str">
        <f t="shared" si="40"/>
        <v>-</v>
      </c>
      <c r="Z34" s="94" t="str">
        <f t="shared" si="26"/>
        <v>---------</v>
      </c>
      <c r="AA34" s="21"/>
      <c r="AB34" s="21" t="str">
        <f t="shared" si="41"/>
        <v>-</v>
      </c>
      <c r="AC34" s="21" t="str">
        <f t="shared" si="42"/>
        <v>-</v>
      </c>
      <c r="AD34" s="85"/>
      <c r="AE34" s="21" t="str">
        <f t="shared" si="43"/>
        <v>-</v>
      </c>
      <c r="AF34" s="21" t="str">
        <f t="shared" si="44"/>
        <v>-</v>
      </c>
      <c r="AG34" s="89" t="str">
        <f t="shared" ca="1" si="27"/>
        <v>-</v>
      </c>
      <c r="AH34" s="92">
        <v>1</v>
      </c>
      <c r="AI34" s="80" t="str">
        <f t="shared" ca="1" si="45"/>
        <v>-</v>
      </c>
      <c r="AJ34" s="80"/>
      <c r="AK34" s="123">
        <v>42599</v>
      </c>
      <c r="AL34" s="121" t="s">
        <v>1614</v>
      </c>
      <c r="AM34" s="121">
        <v>50</v>
      </c>
    </row>
    <row r="35" spans="1:39" s="1" customFormat="1" ht="15.95" customHeight="1" x14ac:dyDescent="0.25">
      <c r="A35" s="77">
        <v>33</v>
      </c>
      <c r="B35" s="84">
        <f t="shared" ca="1" si="0"/>
        <v>43134</v>
      </c>
      <c r="C35" s="29" t="s">
        <v>1554</v>
      </c>
      <c r="D35" s="59" t="s">
        <v>1555</v>
      </c>
      <c r="E35" s="22" t="s">
        <v>1557</v>
      </c>
      <c r="F35" s="27" t="s">
        <v>1830</v>
      </c>
      <c r="G35" s="27"/>
      <c r="H35" s="28" t="s">
        <v>603</v>
      </c>
      <c r="I35" s="20">
        <v>42594</v>
      </c>
      <c r="J35" s="35">
        <f t="shared" ref="J35:J66" ca="1" si="46">(B35-I35)/365</f>
        <v>1.4794520547945205</v>
      </c>
      <c r="K35" s="60"/>
      <c r="L35" s="32"/>
      <c r="M35" s="82" t="str">
        <f t="shared" ca="1" si="24"/>
        <v>-</v>
      </c>
      <c r="N35" s="19"/>
      <c r="O35" s="68"/>
      <c r="P35" s="118"/>
      <c r="Q35" s="21"/>
      <c r="R35" s="20"/>
      <c r="S35" s="20" t="str">
        <f t="shared" si="37"/>
        <v>-</v>
      </c>
      <c r="T35" s="19" t="str">
        <f t="shared" ca="1" si="25"/>
        <v>-</v>
      </c>
      <c r="U35" s="3"/>
      <c r="V35" s="22" t="str">
        <f t="shared" si="38"/>
        <v>-</v>
      </c>
      <c r="W35" s="22"/>
      <c r="X35" s="22" t="str">
        <f t="shared" ca="1" si="39"/>
        <v>-</v>
      </c>
      <c r="Y35" s="20" t="str">
        <f t="shared" si="40"/>
        <v>-</v>
      </c>
      <c r="Z35" s="94" t="str">
        <f t="shared" si="26"/>
        <v>---------</v>
      </c>
      <c r="AA35" s="21"/>
      <c r="AB35" s="21" t="str">
        <f t="shared" si="41"/>
        <v>-</v>
      </c>
      <c r="AC35" s="21" t="str">
        <f t="shared" si="42"/>
        <v>-</v>
      </c>
      <c r="AD35" s="85"/>
      <c r="AE35" s="21" t="str">
        <f t="shared" si="43"/>
        <v>-</v>
      </c>
      <c r="AF35" s="21" t="str">
        <f t="shared" si="44"/>
        <v>-</v>
      </c>
      <c r="AG35" s="89" t="str">
        <f t="shared" ca="1" si="27"/>
        <v>-</v>
      </c>
      <c r="AH35" s="92">
        <v>1</v>
      </c>
      <c r="AI35" s="80" t="str">
        <f t="shared" ca="1" si="45"/>
        <v>-</v>
      </c>
      <c r="AJ35" s="80"/>
      <c r="AK35" s="123">
        <v>42599</v>
      </c>
      <c r="AL35" s="121" t="s">
        <v>1614</v>
      </c>
      <c r="AM35" s="80">
        <v>45</v>
      </c>
    </row>
    <row r="36" spans="1:39" s="2" customFormat="1" ht="15.95" customHeight="1" x14ac:dyDescent="0.25">
      <c r="A36" s="77">
        <v>34</v>
      </c>
      <c r="B36" s="84">
        <f t="shared" ca="1" si="0"/>
        <v>43134</v>
      </c>
      <c r="C36" s="29" t="s">
        <v>1554</v>
      </c>
      <c r="D36" s="59" t="s">
        <v>1555</v>
      </c>
      <c r="E36" s="22" t="s">
        <v>1557</v>
      </c>
      <c r="F36" s="27" t="s">
        <v>1629</v>
      </c>
      <c r="G36" s="27"/>
      <c r="H36" s="28" t="s">
        <v>603</v>
      </c>
      <c r="I36" s="20">
        <v>42577</v>
      </c>
      <c r="J36" s="35">
        <f t="shared" ca="1" si="46"/>
        <v>1.526027397260274</v>
      </c>
      <c r="K36" s="60"/>
      <c r="L36" s="32"/>
      <c r="M36" s="82" t="str">
        <f t="shared" ca="1" si="24"/>
        <v>-</v>
      </c>
      <c r="N36" s="19"/>
      <c r="O36" s="68"/>
      <c r="P36" s="118"/>
      <c r="Q36" s="21"/>
      <c r="R36" s="20"/>
      <c r="S36" s="20" t="str">
        <f t="shared" si="37"/>
        <v>-</v>
      </c>
      <c r="T36" s="19" t="str">
        <f t="shared" ca="1" si="25"/>
        <v>-</v>
      </c>
      <c r="U36" s="3"/>
      <c r="V36" s="22" t="str">
        <f t="shared" si="38"/>
        <v>-</v>
      </c>
      <c r="W36" s="22"/>
      <c r="X36" s="22" t="str">
        <f t="shared" ca="1" si="39"/>
        <v>-</v>
      </c>
      <c r="Y36" s="20" t="str">
        <f t="shared" si="40"/>
        <v>-</v>
      </c>
      <c r="Z36" s="94" t="str">
        <f t="shared" si="26"/>
        <v>---------</v>
      </c>
      <c r="AA36" s="21"/>
      <c r="AB36" s="21" t="str">
        <f t="shared" si="41"/>
        <v>-</v>
      </c>
      <c r="AC36" s="21" t="str">
        <f t="shared" si="42"/>
        <v>-</v>
      </c>
      <c r="AD36" s="85"/>
      <c r="AE36" s="21" t="str">
        <f t="shared" si="43"/>
        <v>-</v>
      </c>
      <c r="AF36" s="21" t="str">
        <f t="shared" si="44"/>
        <v>-</v>
      </c>
      <c r="AG36" s="89" t="str">
        <f t="shared" ca="1" si="27"/>
        <v>-</v>
      </c>
      <c r="AH36" s="92">
        <v>1</v>
      </c>
      <c r="AI36" s="80" t="str">
        <f t="shared" ca="1" si="45"/>
        <v>-</v>
      </c>
      <c r="AJ36" s="80"/>
      <c r="AK36" s="123">
        <v>42597</v>
      </c>
      <c r="AL36" s="121" t="s">
        <v>1614</v>
      </c>
      <c r="AM36" s="80">
        <v>52</v>
      </c>
    </row>
    <row r="37" spans="1:39" s="2" customFormat="1" ht="15.95" customHeight="1" x14ac:dyDescent="0.25">
      <c r="A37" s="77">
        <v>35</v>
      </c>
      <c r="B37" s="84">
        <f t="shared" ca="1" si="0"/>
        <v>43134</v>
      </c>
      <c r="C37" s="29" t="s">
        <v>1554</v>
      </c>
      <c r="D37" s="59" t="s">
        <v>1555</v>
      </c>
      <c r="E37" s="22" t="s">
        <v>1557</v>
      </c>
      <c r="F37" s="27" t="s">
        <v>1631</v>
      </c>
      <c r="G37" s="27"/>
      <c r="H37" s="28" t="s">
        <v>603</v>
      </c>
      <c r="I37" s="20">
        <v>42579</v>
      </c>
      <c r="J37" s="35">
        <f t="shared" ca="1" si="46"/>
        <v>1.5205479452054795</v>
      </c>
      <c r="K37" s="60"/>
      <c r="L37" s="32"/>
      <c r="M37" s="82" t="str">
        <f t="shared" ca="1" si="24"/>
        <v>-</v>
      </c>
      <c r="N37" s="19"/>
      <c r="O37" s="68"/>
      <c r="P37" s="118"/>
      <c r="Q37" s="21"/>
      <c r="R37" s="20"/>
      <c r="S37" s="20" t="str">
        <f t="shared" si="37"/>
        <v>-</v>
      </c>
      <c r="T37" s="19" t="str">
        <f t="shared" ca="1" si="25"/>
        <v>-</v>
      </c>
      <c r="U37" s="3"/>
      <c r="V37" s="22" t="str">
        <f t="shared" si="38"/>
        <v>-</v>
      </c>
      <c r="W37" s="22"/>
      <c r="X37" s="22" t="str">
        <f t="shared" ca="1" si="39"/>
        <v>-</v>
      </c>
      <c r="Y37" s="20" t="str">
        <f t="shared" si="40"/>
        <v>-</v>
      </c>
      <c r="Z37" s="94" t="str">
        <f t="shared" si="26"/>
        <v>---------</v>
      </c>
      <c r="AA37" s="21"/>
      <c r="AB37" s="21" t="str">
        <f t="shared" si="41"/>
        <v>-</v>
      </c>
      <c r="AC37" s="21" t="str">
        <f t="shared" si="42"/>
        <v>-</v>
      </c>
      <c r="AD37" s="85"/>
      <c r="AE37" s="21" t="str">
        <f t="shared" si="43"/>
        <v>-</v>
      </c>
      <c r="AF37" s="21" t="str">
        <f t="shared" si="44"/>
        <v>-</v>
      </c>
      <c r="AG37" s="89" t="str">
        <f t="shared" ca="1" si="27"/>
        <v>-</v>
      </c>
      <c r="AH37" s="92">
        <v>1</v>
      </c>
      <c r="AI37" s="80" t="str">
        <f t="shared" ca="1" si="45"/>
        <v>-</v>
      </c>
      <c r="AJ37" s="80"/>
      <c r="AK37" s="123">
        <v>42597</v>
      </c>
      <c r="AL37" s="121" t="s">
        <v>1614</v>
      </c>
      <c r="AM37" s="80">
        <v>52</v>
      </c>
    </row>
    <row r="38" spans="1:39" s="2" customFormat="1" ht="15.95" customHeight="1" x14ac:dyDescent="0.25">
      <c r="A38" s="77">
        <v>36</v>
      </c>
      <c r="B38" s="84">
        <f t="shared" ca="1" si="0"/>
        <v>43134</v>
      </c>
      <c r="C38" s="29" t="s">
        <v>1554</v>
      </c>
      <c r="D38" s="59" t="s">
        <v>1745</v>
      </c>
      <c r="E38" s="22" t="s">
        <v>1563</v>
      </c>
      <c r="F38" s="27" t="s">
        <v>1735</v>
      </c>
      <c r="G38" s="27"/>
      <c r="H38" s="28" t="s">
        <v>603</v>
      </c>
      <c r="I38" s="20">
        <v>42437</v>
      </c>
      <c r="J38" s="35">
        <f t="shared" ca="1" si="46"/>
        <v>1.9095890410958904</v>
      </c>
      <c r="K38" s="60"/>
      <c r="L38" s="32"/>
      <c r="M38" s="82" t="str">
        <f t="shared" ca="1" si="24"/>
        <v>-</v>
      </c>
      <c r="N38" s="19"/>
      <c r="O38" s="68"/>
      <c r="P38" s="118"/>
      <c r="Q38" s="21"/>
      <c r="R38" s="20"/>
      <c r="S38" s="20" t="str">
        <f t="shared" ref="S38:S46" si="47">IF(AND(W38&gt;1,R38&gt;0),R38+18,"-")</f>
        <v>-</v>
      </c>
      <c r="T38" s="19" t="str">
        <f t="shared" ca="1" si="25"/>
        <v>-</v>
      </c>
      <c r="U38" s="3"/>
      <c r="V38" s="22" t="str">
        <f t="shared" ref="V38:V46" si="48">IF(AND(L38&gt;0,R38&gt;0),R38-L38,"-")</f>
        <v>-</v>
      </c>
      <c r="W38" s="22"/>
      <c r="X38" s="22" t="str">
        <f t="shared" ref="X38:X46" ca="1" si="49">IF(AND(M38&gt;140,W38=0,L38&gt;0),"яловая","-")</f>
        <v>-</v>
      </c>
      <c r="Y38" s="20" t="str">
        <f t="shared" ref="Y38:Y46" si="50">IF(AND(R38&gt;0,OR(W38=3,W38=2)),R38+35,"-")</f>
        <v>-</v>
      </c>
      <c r="Z38" s="94" t="str">
        <f t="shared" si="26"/>
        <v>---------</v>
      </c>
      <c r="AA38" s="21"/>
      <c r="AB38" s="21" t="str">
        <f t="shared" ref="AB38:AB46" si="51">IF(AND($R38&gt;0,$L38&gt;0,$W38=1),$R38+285-90,"-")</f>
        <v>-</v>
      </c>
      <c r="AC38" s="21" t="str">
        <f t="shared" ref="AC38:AC46" si="52">IF(AND(R38&gt;0,W38=1,L38&gt;0),R38+285-60,"-")</f>
        <v>-</v>
      </c>
      <c r="AD38" s="85"/>
      <c r="AE38" s="21" t="str">
        <f t="shared" ref="AE38:AE46" si="53">IF(AND($R38&gt;0,$W38=1),$R38+280-21,"-")</f>
        <v>-</v>
      </c>
      <c r="AF38" s="21" t="str">
        <f t="shared" ref="AF38:AF46" si="54">IF(AND(R38&gt;0,W38=1),R38+280,"-")</f>
        <v>-</v>
      </c>
      <c r="AG38" s="89" t="str">
        <f t="shared" ca="1" si="27"/>
        <v>-</v>
      </c>
      <c r="AH38" s="92">
        <v>1</v>
      </c>
      <c r="AI38" s="80" t="str">
        <f t="shared" ref="AI38:AI46" ca="1" si="55">IF(AND(X38="яловая",M38&gt;300),"БРАК","-")</f>
        <v>-</v>
      </c>
      <c r="AJ38" s="80"/>
      <c r="AK38" s="123">
        <v>42597</v>
      </c>
      <c r="AL38" s="121" t="s">
        <v>1630</v>
      </c>
      <c r="AM38" s="80">
        <v>148</v>
      </c>
    </row>
    <row r="39" spans="1:39" s="2" customFormat="1" ht="15.95" customHeight="1" x14ac:dyDescent="0.25">
      <c r="A39" s="77">
        <v>37</v>
      </c>
      <c r="B39" s="84">
        <f t="shared" ca="1" si="0"/>
        <v>43134</v>
      </c>
      <c r="C39" s="29" t="s">
        <v>1554</v>
      </c>
      <c r="D39" s="59" t="s">
        <v>1635</v>
      </c>
      <c r="E39" s="22" t="s">
        <v>1557</v>
      </c>
      <c r="F39" s="27" t="s">
        <v>1669</v>
      </c>
      <c r="G39" s="27"/>
      <c r="H39" s="28" t="s">
        <v>603</v>
      </c>
      <c r="I39" s="20">
        <v>42545</v>
      </c>
      <c r="J39" s="35">
        <f t="shared" ca="1" si="46"/>
        <v>1.6136986301369862</v>
      </c>
      <c r="K39" s="60"/>
      <c r="L39" s="32"/>
      <c r="M39" s="82" t="str">
        <f t="shared" ca="1" si="24"/>
        <v>-</v>
      </c>
      <c r="N39" s="19"/>
      <c r="O39" s="68"/>
      <c r="P39" s="118"/>
      <c r="Q39" s="21"/>
      <c r="R39" s="20"/>
      <c r="S39" s="20" t="str">
        <f t="shared" si="47"/>
        <v>-</v>
      </c>
      <c r="T39" s="19" t="str">
        <f t="shared" ca="1" si="25"/>
        <v>-</v>
      </c>
      <c r="U39" s="3"/>
      <c r="V39" s="22" t="str">
        <f t="shared" si="48"/>
        <v>-</v>
      </c>
      <c r="W39" s="22"/>
      <c r="X39" s="22" t="str">
        <f t="shared" ca="1" si="49"/>
        <v>-</v>
      </c>
      <c r="Y39" s="20" t="str">
        <f t="shared" si="50"/>
        <v>-</v>
      </c>
      <c r="Z39" s="94" t="str">
        <f t="shared" si="26"/>
        <v>---------</v>
      </c>
      <c r="AA39" s="21"/>
      <c r="AB39" s="21" t="str">
        <f t="shared" si="51"/>
        <v>-</v>
      </c>
      <c r="AC39" s="21" t="str">
        <f t="shared" si="52"/>
        <v>-</v>
      </c>
      <c r="AD39" s="85"/>
      <c r="AE39" s="21" t="str">
        <f t="shared" si="53"/>
        <v>-</v>
      </c>
      <c r="AF39" s="21" t="str">
        <f t="shared" si="54"/>
        <v>-</v>
      </c>
      <c r="AG39" s="89" t="str">
        <f t="shared" ca="1" si="27"/>
        <v>-</v>
      </c>
      <c r="AH39" s="92">
        <v>1</v>
      </c>
      <c r="AI39" s="80" t="str">
        <f t="shared" ca="1" si="55"/>
        <v>-</v>
      </c>
      <c r="AJ39" s="80"/>
      <c r="AK39" s="123">
        <v>42601</v>
      </c>
      <c r="AL39" s="121" t="s">
        <v>1614</v>
      </c>
      <c r="AM39" s="80">
        <v>84</v>
      </c>
    </row>
    <row r="40" spans="1:39" s="2" customFormat="1" ht="15.95" customHeight="1" x14ac:dyDescent="0.25">
      <c r="A40" s="77">
        <v>38</v>
      </c>
      <c r="B40" s="84">
        <f t="shared" ca="1" si="0"/>
        <v>43134</v>
      </c>
      <c r="C40" s="29" t="s">
        <v>1554</v>
      </c>
      <c r="D40" s="59" t="s">
        <v>1635</v>
      </c>
      <c r="E40" s="22" t="s">
        <v>1557</v>
      </c>
      <c r="F40" s="27" t="s">
        <v>1678</v>
      </c>
      <c r="G40" s="27"/>
      <c r="H40" s="28" t="s">
        <v>603</v>
      </c>
      <c r="I40" s="20">
        <v>42537</v>
      </c>
      <c r="J40" s="35">
        <f t="shared" ca="1" si="46"/>
        <v>1.6356164383561644</v>
      </c>
      <c r="K40" s="60"/>
      <c r="L40" s="32"/>
      <c r="M40" s="82" t="str">
        <f t="shared" ca="1" si="24"/>
        <v>-</v>
      </c>
      <c r="N40" s="19"/>
      <c r="O40" s="68"/>
      <c r="P40" s="118"/>
      <c r="Q40" s="21"/>
      <c r="R40" s="20"/>
      <c r="S40" s="20" t="str">
        <f t="shared" si="47"/>
        <v>-</v>
      </c>
      <c r="T40" s="19" t="str">
        <f t="shared" ca="1" si="25"/>
        <v>-</v>
      </c>
      <c r="U40" s="3"/>
      <c r="V40" s="22" t="str">
        <f t="shared" si="48"/>
        <v>-</v>
      </c>
      <c r="W40" s="22"/>
      <c r="X40" s="22" t="str">
        <f t="shared" ca="1" si="49"/>
        <v>-</v>
      </c>
      <c r="Y40" s="20" t="str">
        <f t="shared" si="50"/>
        <v>-</v>
      </c>
      <c r="Z40" s="94" t="str">
        <f t="shared" si="26"/>
        <v>---------</v>
      </c>
      <c r="AA40" s="21"/>
      <c r="AB40" s="21" t="str">
        <f t="shared" si="51"/>
        <v>-</v>
      </c>
      <c r="AC40" s="21" t="str">
        <f t="shared" si="52"/>
        <v>-</v>
      </c>
      <c r="AD40" s="85"/>
      <c r="AE40" s="21" t="str">
        <f t="shared" si="53"/>
        <v>-</v>
      </c>
      <c r="AF40" s="21" t="str">
        <f t="shared" si="54"/>
        <v>-</v>
      </c>
      <c r="AG40" s="89" t="str">
        <f t="shared" ca="1" si="27"/>
        <v>-</v>
      </c>
      <c r="AH40" s="92">
        <v>1</v>
      </c>
      <c r="AI40" s="80" t="str">
        <f t="shared" ca="1" si="55"/>
        <v>-</v>
      </c>
      <c r="AJ40" s="80"/>
      <c r="AK40" s="123">
        <v>42601</v>
      </c>
      <c r="AL40" s="121" t="s">
        <v>1614</v>
      </c>
      <c r="AM40" s="80">
        <v>78</v>
      </c>
    </row>
    <row r="41" spans="1:39" s="2" customFormat="1" ht="15.95" customHeight="1" x14ac:dyDescent="0.25">
      <c r="A41" s="77">
        <v>39</v>
      </c>
      <c r="B41" s="84">
        <f t="shared" ca="1" si="0"/>
        <v>43134</v>
      </c>
      <c r="C41" s="29" t="s">
        <v>1554</v>
      </c>
      <c r="D41" s="59" t="s">
        <v>1555</v>
      </c>
      <c r="E41" s="22" t="s">
        <v>1557</v>
      </c>
      <c r="F41" s="27" t="s">
        <v>1704</v>
      </c>
      <c r="G41" s="27"/>
      <c r="H41" s="28" t="s">
        <v>603</v>
      </c>
      <c r="I41" s="20">
        <v>42582</v>
      </c>
      <c r="J41" s="35">
        <f t="shared" ca="1" si="46"/>
        <v>1.5123287671232877</v>
      </c>
      <c r="K41" s="60"/>
      <c r="L41" s="32"/>
      <c r="M41" s="82" t="str">
        <f t="shared" ca="1" si="24"/>
        <v>-</v>
      </c>
      <c r="N41" s="19"/>
      <c r="O41" s="68"/>
      <c r="P41" s="118"/>
      <c r="Q41" s="21"/>
      <c r="R41" s="20"/>
      <c r="S41" s="20" t="str">
        <f t="shared" si="47"/>
        <v>-</v>
      </c>
      <c r="T41" s="19" t="str">
        <f t="shared" ca="1" si="25"/>
        <v>-</v>
      </c>
      <c r="U41" s="3"/>
      <c r="V41" s="22" t="str">
        <f t="shared" si="48"/>
        <v>-</v>
      </c>
      <c r="W41" s="22"/>
      <c r="X41" s="22" t="str">
        <f t="shared" ca="1" si="49"/>
        <v>-</v>
      </c>
      <c r="Y41" s="20" t="str">
        <f t="shared" si="50"/>
        <v>-</v>
      </c>
      <c r="Z41" s="94" t="str">
        <f t="shared" si="26"/>
        <v>---------</v>
      </c>
      <c r="AA41" s="21"/>
      <c r="AB41" s="21" t="str">
        <f t="shared" si="51"/>
        <v>-</v>
      </c>
      <c r="AC41" s="21" t="str">
        <f t="shared" si="52"/>
        <v>-</v>
      </c>
      <c r="AD41" s="85"/>
      <c r="AE41" s="21" t="str">
        <f t="shared" si="53"/>
        <v>-</v>
      </c>
      <c r="AF41" s="21" t="str">
        <f t="shared" si="54"/>
        <v>-</v>
      </c>
      <c r="AG41" s="89" t="str">
        <f t="shared" ca="1" si="27"/>
        <v>-</v>
      </c>
      <c r="AH41" s="92">
        <v>1</v>
      </c>
      <c r="AI41" s="80" t="str">
        <f t="shared" ca="1" si="55"/>
        <v>-</v>
      </c>
      <c r="AJ41" s="80"/>
      <c r="AK41" s="123">
        <v>42601</v>
      </c>
      <c r="AL41" s="121" t="s">
        <v>1614</v>
      </c>
      <c r="AM41" s="80">
        <v>56</v>
      </c>
    </row>
    <row r="42" spans="1:39" s="1" customFormat="1" ht="15.95" customHeight="1" x14ac:dyDescent="0.25">
      <c r="A42" s="77">
        <v>40</v>
      </c>
      <c r="B42" s="84">
        <f t="shared" ca="1" si="0"/>
        <v>43134</v>
      </c>
      <c r="C42" s="29" t="s">
        <v>1554</v>
      </c>
      <c r="D42" s="59" t="s">
        <v>1635</v>
      </c>
      <c r="E42" s="22" t="s">
        <v>1563</v>
      </c>
      <c r="F42" s="27" t="s">
        <v>1608</v>
      </c>
      <c r="G42" s="27"/>
      <c r="H42" s="28" t="s">
        <v>603</v>
      </c>
      <c r="I42" s="20">
        <v>42572</v>
      </c>
      <c r="J42" s="35">
        <f t="shared" ca="1" si="46"/>
        <v>1.5397260273972602</v>
      </c>
      <c r="K42" s="60"/>
      <c r="L42" s="32"/>
      <c r="M42" s="82" t="str">
        <f t="shared" ca="1" si="24"/>
        <v>-</v>
      </c>
      <c r="N42" s="19"/>
      <c r="O42" s="68"/>
      <c r="P42" s="118"/>
      <c r="Q42" s="21"/>
      <c r="R42" s="20"/>
      <c r="S42" s="20" t="str">
        <f t="shared" si="47"/>
        <v>-</v>
      </c>
      <c r="T42" s="19" t="str">
        <f t="shared" ca="1" si="25"/>
        <v>-</v>
      </c>
      <c r="U42" s="3"/>
      <c r="V42" s="22" t="str">
        <f t="shared" si="48"/>
        <v>-</v>
      </c>
      <c r="W42" s="22"/>
      <c r="X42" s="22" t="str">
        <f t="shared" ca="1" si="49"/>
        <v>-</v>
      </c>
      <c r="Y42" s="20" t="str">
        <f t="shared" si="50"/>
        <v>-</v>
      </c>
      <c r="Z42" s="94" t="str">
        <f t="shared" si="26"/>
        <v>---------</v>
      </c>
      <c r="AA42" s="21"/>
      <c r="AB42" s="21" t="str">
        <f t="shared" si="51"/>
        <v>-</v>
      </c>
      <c r="AC42" s="21" t="str">
        <f t="shared" si="52"/>
        <v>-</v>
      </c>
      <c r="AD42" s="85"/>
      <c r="AE42" s="21" t="str">
        <f t="shared" si="53"/>
        <v>-</v>
      </c>
      <c r="AF42" s="21" t="str">
        <f t="shared" si="54"/>
        <v>-</v>
      </c>
      <c r="AG42" s="89" t="str">
        <f t="shared" ca="1" si="27"/>
        <v>-</v>
      </c>
      <c r="AH42" s="92">
        <v>1</v>
      </c>
      <c r="AI42" s="80" t="str">
        <f t="shared" ca="1" si="55"/>
        <v>-</v>
      </c>
      <c r="AJ42" s="80"/>
      <c r="AK42" s="123">
        <v>42602</v>
      </c>
      <c r="AL42" s="121" t="s">
        <v>1614</v>
      </c>
      <c r="AM42" s="80">
        <v>59</v>
      </c>
    </row>
    <row r="43" spans="1:39" s="1" customFormat="1" ht="15.95" customHeight="1" x14ac:dyDescent="0.25">
      <c r="A43" s="77">
        <v>41</v>
      </c>
      <c r="B43" s="84">
        <f t="shared" ca="1" si="0"/>
        <v>43134</v>
      </c>
      <c r="C43" s="29" t="s">
        <v>1554</v>
      </c>
      <c r="D43" s="59" t="s">
        <v>1635</v>
      </c>
      <c r="E43" s="22" t="s">
        <v>1557</v>
      </c>
      <c r="F43" s="27" t="s">
        <v>1597</v>
      </c>
      <c r="G43" s="27"/>
      <c r="H43" s="28" t="s">
        <v>603</v>
      </c>
      <c r="I43" s="20">
        <v>42570</v>
      </c>
      <c r="J43" s="35">
        <f t="shared" ca="1" si="46"/>
        <v>1.5452054794520549</v>
      </c>
      <c r="K43" s="60"/>
      <c r="L43" s="32"/>
      <c r="M43" s="82" t="str">
        <f t="shared" ca="1" si="24"/>
        <v>-</v>
      </c>
      <c r="N43" s="19"/>
      <c r="O43" s="68"/>
      <c r="P43" s="118"/>
      <c r="Q43" s="21"/>
      <c r="R43" s="20"/>
      <c r="S43" s="20" t="str">
        <f t="shared" si="47"/>
        <v>-</v>
      </c>
      <c r="T43" s="19" t="str">
        <f t="shared" ca="1" si="25"/>
        <v>-</v>
      </c>
      <c r="U43" s="3"/>
      <c r="V43" s="22" t="str">
        <f t="shared" si="48"/>
        <v>-</v>
      </c>
      <c r="W43" s="22"/>
      <c r="X43" s="22" t="str">
        <f t="shared" ca="1" si="49"/>
        <v>-</v>
      </c>
      <c r="Y43" s="20" t="str">
        <f t="shared" si="50"/>
        <v>-</v>
      </c>
      <c r="Z43" s="94" t="str">
        <f t="shared" si="26"/>
        <v>---------</v>
      </c>
      <c r="AA43" s="21"/>
      <c r="AB43" s="21" t="str">
        <f t="shared" si="51"/>
        <v>-</v>
      </c>
      <c r="AC43" s="21" t="str">
        <f t="shared" si="52"/>
        <v>-</v>
      </c>
      <c r="AD43" s="85"/>
      <c r="AE43" s="21" t="str">
        <f t="shared" si="53"/>
        <v>-</v>
      </c>
      <c r="AF43" s="21" t="str">
        <f t="shared" si="54"/>
        <v>-</v>
      </c>
      <c r="AG43" s="89" t="str">
        <f t="shared" ca="1" si="27"/>
        <v>-</v>
      </c>
      <c r="AH43" s="92">
        <v>1</v>
      </c>
      <c r="AI43" s="80" t="str">
        <f t="shared" ca="1" si="55"/>
        <v>-</v>
      </c>
      <c r="AJ43" s="80"/>
      <c r="AK43" s="123">
        <v>42604</v>
      </c>
      <c r="AL43" s="121" t="s">
        <v>1614</v>
      </c>
      <c r="AM43" s="80">
        <v>61</v>
      </c>
    </row>
    <row r="44" spans="1:39" s="2" customFormat="1" ht="15.95" customHeight="1" x14ac:dyDescent="0.25">
      <c r="A44" s="77">
        <v>42</v>
      </c>
      <c r="B44" s="84">
        <f t="shared" ca="1" si="0"/>
        <v>43134</v>
      </c>
      <c r="C44" s="29" t="s">
        <v>1554</v>
      </c>
      <c r="D44" s="59" t="s">
        <v>1555</v>
      </c>
      <c r="E44" s="22" t="s">
        <v>1557</v>
      </c>
      <c r="F44" s="27" t="s">
        <v>1701</v>
      </c>
      <c r="G44" s="27"/>
      <c r="H44" s="28" t="s">
        <v>603</v>
      </c>
      <c r="I44" s="20">
        <v>42581</v>
      </c>
      <c r="J44" s="35">
        <f t="shared" ca="1" si="46"/>
        <v>1.515068493150685</v>
      </c>
      <c r="K44" s="60"/>
      <c r="L44" s="32"/>
      <c r="M44" s="82" t="str">
        <f t="shared" ca="1" si="24"/>
        <v>-</v>
      </c>
      <c r="N44" s="19"/>
      <c r="O44" s="68"/>
      <c r="P44" s="118"/>
      <c r="Q44" s="21"/>
      <c r="R44" s="20"/>
      <c r="S44" s="20" t="str">
        <f t="shared" si="47"/>
        <v>-</v>
      </c>
      <c r="T44" s="19" t="str">
        <f t="shared" ca="1" si="25"/>
        <v>-</v>
      </c>
      <c r="U44" s="3"/>
      <c r="V44" s="22" t="str">
        <f t="shared" si="48"/>
        <v>-</v>
      </c>
      <c r="W44" s="22"/>
      <c r="X44" s="22" t="str">
        <f t="shared" ca="1" si="49"/>
        <v>-</v>
      </c>
      <c r="Y44" s="20" t="str">
        <f t="shared" si="50"/>
        <v>-</v>
      </c>
      <c r="Z44" s="94" t="str">
        <f t="shared" si="26"/>
        <v>---------</v>
      </c>
      <c r="AA44" s="21"/>
      <c r="AB44" s="21" t="str">
        <f t="shared" si="51"/>
        <v>-</v>
      </c>
      <c r="AC44" s="21" t="str">
        <f t="shared" si="52"/>
        <v>-</v>
      </c>
      <c r="AD44" s="85"/>
      <c r="AE44" s="21" t="str">
        <f t="shared" si="53"/>
        <v>-</v>
      </c>
      <c r="AF44" s="21" t="str">
        <f t="shared" si="54"/>
        <v>-</v>
      </c>
      <c r="AG44" s="89" t="str">
        <f t="shared" ca="1" si="27"/>
        <v>-</v>
      </c>
      <c r="AH44" s="92">
        <v>1</v>
      </c>
      <c r="AI44" s="80" t="str">
        <f t="shared" ca="1" si="55"/>
        <v>-</v>
      </c>
      <c r="AJ44" s="80"/>
      <c r="AK44" s="123">
        <v>42604</v>
      </c>
      <c r="AL44" s="121" t="s">
        <v>1614</v>
      </c>
      <c r="AM44" s="80">
        <v>56</v>
      </c>
    </row>
    <row r="45" spans="1:39" s="2" customFormat="1" ht="15.95" customHeight="1" x14ac:dyDescent="0.25">
      <c r="A45" s="77">
        <v>43</v>
      </c>
      <c r="B45" s="84">
        <f t="shared" ca="1" si="0"/>
        <v>43134</v>
      </c>
      <c r="C45" s="29" t="s">
        <v>1554</v>
      </c>
      <c r="D45" s="59" t="s">
        <v>1555</v>
      </c>
      <c r="E45" s="22" t="s">
        <v>1557</v>
      </c>
      <c r="F45" s="27" t="s">
        <v>1818</v>
      </c>
      <c r="G45" s="27"/>
      <c r="H45" s="28" t="s">
        <v>603</v>
      </c>
      <c r="I45" s="20">
        <v>42590</v>
      </c>
      <c r="J45" s="35">
        <f t="shared" ca="1" si="46"/>
        <v>1.4904109589041097</v>
      </c>
      <c r="K45" s="60"/>
      <c r="L45" s="32"/>
      <c r="M45" s="82" t="str">
        <f t="shared" ca="1" si="24"/>
        <v>-</v>
      </c>
      <c r="N45" s="19"/>
      <c r="O45" s="68"/>
      <c r="P45" s="118"/>
      <c r="Q45" s="21"/>
      <c r="R45" s="20"/>
      <c r="S45" s="20" t="str">
        <f t="shared" si="47"/>
        <v>-</v>
      </c>
      <c r="T45" s="19" t="str">
        <f t="shared" ca="1" si="25"/>
        <v>-</v>
      </c>
      <c r="U45" s="3"/>
      <c r="V45" s="22" t="str">
        <f t="shared" si="48"/>
        <v>-</v>
      </c>
      <c r="W45" s="22"/>
      <c r="X45" s="22" t="str">
        <f t="shared" ca="1" si="49"/>
        <v>-</v>
      </c>
      <c r="Y45" s="20" t="str">
        <f t="shared" si="50"/>
        <v>-</v>
      </c>
      <c r="Z45" s="94" t="str">
        <f t="shared" si="26"/>
        <v>---------</v>
      </c>
      <c r="AA45" s="21"/>
      <c r="AB45" s="21" t="str">
        <f t="shared" si="51"/>
        <v>-</v>
      </c>
      <c r="AC45" s="21" t="str">
        <f t="shared" si="52"/>
        <v>-</v>
      </c>
      <c r="AD45" s="85"/>
      <c r="AE45" s="21" t="str">
        <f t="shared" si="53"/>
        <v>-</v>
      </c>
      <c r="AF45" s="21" t="str">
        <f t="shared" si="54"/>
        <v>-</v>
      </c>
      <c r="AG45" s="89" t="str">
        <f t="shared" ca="1" si="27"/>
        <v>-</v>
      </c>
      <c r="AH45" s="92">
        <v>1</v>
      </c>
      <c r="AI45" s="80" t="str">
        <f t="shared" ca="1" si="55"/>
        <v>-</v>
      </c>
      <c r="AJ45" s="80"/>
      <c r="AK45" s="123">
        <v>42604</v>
      </c>
      <c r="AL45" s="121" t="s">
        <v>1614</v>
      </c>
      <c r="AM45" s="80">
        <v>49</v>
      </c>
    </row>
    <row r="46" spans="1:39" s="2" customFormat="1" ht="15.95" customHeight="1" x14ac:dyDescent="0.25">
      <c r="A46" s="77">
        <v>44</v>
      </c>
      <c r="B46" s="84">
        <f t="shared" ca="1" si="0"/>
        <v>43134</v>
      </c>
      <c r="C46" s="29" t="s">
        <v>1554</v>
      </c>
      <c r="D46" s="59" t="s">
        <v>1555</v>
      </c>
      <c r="E46" s="22" t="s">
        <v>1557</v>
      </c>
      <c r="F46" s="27" t="s">
        <v>1708</v>
      </c>
      <c r="G46" s="27"/>
      <c r="H46" s="28" t="s">
        <v>603</v>
      </c>
      <c r="I46" s="20">
        <v>42584</v>
      </c>
      <c r="J46" s="35">
        <f t="shared" ca="1" si="46"/>
        <v>1.5068493150684932</v>
      </c>
      <c r="K46" s="60"/>
      <c r="L46" s="32"/>
      <c r="M46" s="82" t="str">
        <f t="shared" ca="1" si="24"/>
        <v>-</v>
      </c>
      <c r="N46" s="19"/>
      <c r="O46" s="68"/>
      <c r="P46" s="118"/>
      <c r="Q46" s="21"/>
      <c r="R46" s="20"/>
      <c r="S46" s="20" t="str">
        <f t="shared" si="47"/>
        <v>-</v>
      </c>
      <c r="T46" s="19" t="str">
        <f t="shared" ca="1" si="25"/>
        <v>-</v>
      </c>
      <c r="U46" s="3"/>
      <c r="V46" s="22" t="str">
        <f t="shared" si="48"/>
        <v>-</v>
      </c>
      <c r="W46" s="22"/>
      <c r="X46" s="22" t="str">
        <f t="shared" ca="1" si="49"/>
        <v>-</v>
      </c>
      <c r="Y46" s="20" t="str">
        <f t="shared" si="50"/>
        <v>-</v>
      </c>
      <c r="Z46" s="94" t="str">
        <f t="shared" si="26"/>
        <v>---------</v>
      </c>
      <c r="AA46" s="21"/>
      <c r="AB46" s="21" t="str">
        <f t="shared" si="51"/>
        <v>-</v>
      </c>
      <c r="AC46" s="21" t="str">
        <f t="shared" si="52"/>
        <v>-</v>
      </c>
      <c r="AD46" s="85"/>
      <c r="AE46" s="21" t="str">
        <f t="shared" si="53"/>
        <v>-</v>
      </c>
      <c r="AF46" s="21" t="str">
        <f t="shared" si="54"/>
        <v>-</v>
      </c>
      <c r="AG46" s="89" t="str">
        <f t="shared" ca="1" si="27"/>
        <v>-</v>
      </c>
      <c r="AH46" s="92">
        <v>1</v>
      </c>
      <c r="AI46" s="80" t="str">
        <f t="shared" ca="1" si="55"/>
        <v>-</v>
      </c>
      <c r="AJ46" s="80"/>
      <c r="AK46" s="123">
        <v>42601</v>
      </c>
      <c r="AL46" s="121" t="s">
        <v>1614</v>
      </c>
      <c r="AM46" s="80">
        <v>54</v>
      </c>
    </row>
    <row r="47" spans="1:39" s="2" customFormat="1" ht="15.95" customHeight="1" x14ac:dyDescent="0.25">
      <c r="A47" s="77">
        <v>45</v>
      </c>
      <c r="B47" s="84">
        <f t="shared" ca="1" si="0"/>
        <v>43134</v>
      </c>
      <c r="C47" s="29" t="s">
        <v>1554</v>
      </c>
      <c r="D47" s="59" t="s">
        <v>1555</v>
      </c>
      <c r="E47" s="22" t="s">
        <v>1557</v>
      </c>
      <c r="F47" s="27" t="s">
        <v>1710</v>
      </c>
      <c r="G47" s="27"/>
      <c r="H47" s="28" t="s">
        <v>603</v>
      </c>
      <c r="I47" s="20">
        <v>42585</v>
      </c>
      <c r="J47" s="35">
        <f t="shared" ca="1" si="46"/>
        <v>1.5041095890410958</v>
      </c>
      <c r="K47" s="60"/>
      <c r="L47" s="32"/>
      <c r="M47" s="82" t="str">
        <f t="shared" ca="1" si="24"/>
        <v>-</v>
      </c>
      <c r="N47" s="19"/>
      <c r="O47" s="68"/>
      <c r="P47" s="118"/>
      <c r="Q47" s="21"/>
      <c r="R47" s="20"/>
      <c r="S47" s="20" t="str">
        <f t="shared" ref="S47:S56" si="56">IF(AND(W47&gt;1,R47&gt;0),R47+18,"-")</f>
        <v>-</v>
      </c>
      <c r="T47" s="19" t="str">
        <f t="shared" ca="1" si="25"/>
        <v>-</v>
      </c>
      <c r="U47" s="3"/>
      <c r="V47" s="22" t="str">
        <f t="shared" ref="V47:V56" si="57">IF(AND(L47&gt;0,R47&gt;0),R47-L47,"-")</f>
        <v>-</v>
      </c>
      <c r="W47" s="22"/>
      <c r="X47" s="22" t="str">
        <f t="shared" ref="X47:X56" ca="1" si="58">IF(AND(M47&gt;140,W47=0,L47&gt;0),"яловая","-")</f>
        <v>-</v>
      </c>
      <c r="Y47" s="20" t="str">
        <f t="shared" ref="Y47:Y56" si="59">IF(AND(R47&gt;0,OR(W47=3,W47=2)),R47+35,"-")</f>
        <v>-</v>
      </c>
      <c r="Z47" s="94" t="str">
        <f t="shared" si="26"/>
        <v>---------</v>
      </c>
      <c r="AA47" s="21"/>
      <c r="AB47" s="21" t="str">
        <f t="shared" ref="AB47:AB56" si="60">IF(AND($R47&gt;0,$L47&gt;0,$W47=1),$R47+285-90,"-")</f>
        <v>-</v>
      </c>
      <c r="AC47" s="21" t="str">
        <f t="shared" ref="AC47:AC56" si="61">IF(AND(R47&gt;0,W47=1,L47&gt;0),R47+285-60,"-")</f>
        <v>-</v>
      </c>
      <c r="AD47" s="85"/>
      <c r="AE47" s="21" t="str">
        <f t="shared" ref="AE47:AE56" si="62">IF(AND($R47&gt;0,$W47=1),$R47+280-21,"-")</f>
        <v>-</v>
      </c>
      <c r="AF47" s="21" t="str">
        <f t="shared" ref="AF47:AF56" si="63">IF(AND(R47&gt;0,W47=1),R47+280,"-")</f>
        <v>-</v>
      </c>
      <c r="AG47" s="89" t="str">
        <f t="shared" ca="1" si="27"/>
        <v>-</v>
      </c>
      <c r="AH47" s="92">
        <v>1</v>
      </c>
      <c r="AI47" s="80" t="str">
        <f t="shared" ref="AI47:AI56" ca="1" si="64">IF(AND(X47="яловая",M47&gt;300),"БРАК","-")</f>
        <v>-</v>
      </c>
      <c r="AJ47" s="80"/>
      <c r="AK47" s="123">
        <v>42606</v>
      </c>
      <c r="AL47" s="121" t="s">
        <v>1614</v>
      </c>
      <c r="AM47" s="80">
        <v>56</v>
      </c>
    </row>
    <row r="48" spans="1:39" s="2" customFormat="1" ht="15.95" customHeight="1" x14ac:dyDescent="0.25">
      <c r="A48" s="77">
        <v>46</v>
      </c>
      <c r="B48" s="84">
        <f t="shared" ca="1" si="0"/>
        <v>43134</v>
      </c>
      <c r="C48" s="29" t="s">
        <v>1554</v>
      </c>
      <c r="D48" s="59" t="s">
        <v>1555</v>
      </c>
      <c r="E48" s="22" t="s">
        <v>1557</v>
      </c>
      <c r="F48" s="27" t="s">
        <v>1706</v>
      </c>
      <c r="G48" s="27"/>
      <c r="H48" s="28" t="s">
        <v>603</v>
      </c>
      <c r="I48" s="20">
        <v>42583</v>
      </c>
      <c r="J48" s="35">
        <f t="shared" ca="1" si="46"/>
        <v>1.5095890410958903</v>
      </c>
      <c r="K48" s="60"/>
      <c r="L48" s="32"/>
      <c r="M48" s="82" t="str">
        <f t="shared" ca="1" si="24"/>
        <v>-</v>
      </c>
      <c r="N48" s="19"/>
      <c r="O48" s="68"/>
      <c r="P48" s="118"/>
      <c r="Q48" s="21"/>
      <c r="R48" s="20"/>
      <c r="S48" s="20" t="str">
        <f t="shared" si="56"/>
        <v>-</v>
      </c>
      <c r="T48" s="19" t="str">
        <f t="shared" ca="1" si="25"/>
        <v>-</v>
      </c>
      <c r="U48" s="3"/>
      <c r="V48" s="22" t="str">
        <f t="shared" si="57"/>
        <v>-</v>
      </c>
      <c r="W48" s="22"/>
      <c r="X48" s="22" t="str">
        <f t="shared" ca="1" si="58"/>
        <v>-</v>
      </c>
      <c r="Y48" s="20" t="str">
        <f t="shared" si="59"/>
        <v>-</v>
      </c>
      <c r="Z48" s="94" t="str">
        <f t="shared" si="26"/>
        <v>---------</v>
      </c>
      <c r="AA48" s="21"/>
      <c r="AB48" s="21" t="str">
        <f t="shared" si="60"/>
        <v>-</v>
      </c>
      <c r="AC48" s="21" t="str">
        <f t="shared" si="61"/>
        <v>-</v>
      </c>
      <c r="AD48" s="85"/>
      <c r="AE48" s="21" t="str">
        <f t="shared" si="62"/>
        <v>-</v>
      </c>
      <c r="AF48" s="21" t="str">
        <f t="shared" si="63"/>
        <v>-</v>
      </c>
      <c r="AG48" s="89" t="str">
        <f t="shared" ca="1" si="27"/>
        <v>-</v>
      </c>
      <c r="AH48" s="92">
        <v>1</v>
      </c>
      <c r="AI48" s="80" t="str">
        <f t="shared" ca="1" si="64"/>
        <v>-</v>
      </c>
      <c r="AJ48" s="80"/>
      <c r="AK48" s="123">
        <v>42606</v>
      </c>
      <c r="AL48" s="121" t="s">
        <v>1614</v>
      </c>
      <c r="AM48" s="80">
        <v>52</v>
      </c>
    </row>
    <row r="49" spans="1:39" s="2" customFormat="1" ht="15.95" customHeight="1" x14ac:dyDescent="0.25">
      <c r="A49" s="77">
        <v>47</v>
      </c>
      <c r="B49" s="84">
        <f t="shared" ca="1" si="0"/>
        <v>43134</v>
      </c>
      <c r="C49" s="29" t="s">
        <v>1554</v>
      </c>
      <c r="D49" s="59" t="s">
        <v>1555</v>
      </c>
      <c r="E49" s="22" t="s">
        <v>1557</v>
      </c>
      <c r="F49" s="27" t="s">
        <v>1852</v>
      </c>
      <c r="G49" s="27"/>
      <c r="H49" s="28" t="s">
        <v>603</v>
      </c>
      <c r="I49" s="20">
        <v>42611</v>
      </c>
      <c r="J49" s="35">
        <f t="shared" ca="1" si="46"/>
        <v>1.4328767123287671</v>
      </c>
      <c r="K49" s="60"/>
      <c r="L49" s="32"/>
      <c r="M49" s="82" t="str">
        <f t="shared" ca="1" si="24"/>
        <v>-</v>
      </c>
      <c r="N49" s="19"/>
      <c r="O49" s="68"/>
      <c r="P49" s="118"/>
      <c r="Q49" s="21"/>
      <c r="R49" s="20"/>
      <c r="S49" s="20" t="str">
        <f t="shared" si="56"/>
        <v>-</v>
      </c>
      <c r="T49" s="19" t="str">
        <f t="shared" ca="1" si="25"/>
        <v>-</v>
      </c>
      <c r="U49" s="3"/>
      <c r="V49" s="22" t="str">
        <f t="shared" si="57"/>
        <v>-</v>
      </c>
      <c r="W49" s="22"/>
      <c r="X49" s="22" t="str">
        <f t="shared" ca="1" si="58"/>
        <v>-</v>
      </c>
      <c r="Y49" s="20" t="str">
        <f t="shared" si="59"/>
        <v>-</v>
      </c>
      <c r="Z49" s="94" t="str">
        <f t="shared" si="26"/>
        <v>---------</v>
      </c>
      <c r="AA49" s="21"/>
      <c r="AB49" s="21" t="str">
        <f t="shared" si="60"/>
        <v>-</v>
      </c>
      <c r="AC49" s="21" t="str">
        <f t="shared" si="61"/>
        <v>-</v>
      </c>
      <c r="AD49" s="85"/>
      <c r="AE49" s="21" t="str">
        <f t="shared" si="62"/>
        <v>-</v>
      </c>
      <c r="AF49" s="21" t="str">
        <f t="shared" si="63"/>
        <v>-</v>
      </c>
      <c r="AG49" s="89" t="str">
        <f t="shared" ca="1" si="27"/>
        <v>-</v>
      </c>
      <c r="AH49" s="92">
        <v>1</v>
      </c>
      <c r="AI49" s="80" t="str">
        <f t="shared" ca="1" si="64"/>
        <v>-</v>
      </c>
      <c r="AJ49" s="80"/>
      <c r="AK49" s="123">
        <v>42612</v>
      </c>
      <c r="AL49" s="121" t="s">
        <v>1614</v>
      </c>
      <c r="AM49" s="121">
        <v>39</v>
      </c>
    </row>
    <row r="50" spans="1:39" s="2" customFormat="1" ht="15.95" customHeight="1" x14ac:dyDescent="0.25">
      <c r="A50" s="77">
        <v>48</v>
      </c>
      <c r="B50" s="84">
        <f t="shared" ca="1" si="0"/>
        <v>43134</v>
      </c>
      <c r="C50" s="29" t="s">
        <v>1554</v>
      </c>
      <c r="D50" s="59" t="s">
        <v>1555</v>
      </c>
      <c r="E50" s="22" t="s">
        <v>1557</v>
      </c>
      <c r="F50" s="27" t="s">
        <v>1850</v>
      </c>
      <c r="G50" s="27"/>
      <c r="H50" s="28" t="s">
        <v>603</v>
      </c>
      <c r="I50" s="20">
        <v>42607</v>
      </c>
      <c r="J50" s="35">
        <f t="shared" ca="1" si="46"/>
        <v>1.4438356164383561</v>
      </c>
      <c r="K50" s="60"/>
      <c r="L50" s="32"/>
      <c r="M50" s="82" t="str">
        <f t="shared" ca="1" si="24"/>
        <v>-</v>
      </c>
      <c r="N50" s="19"/>
      <c r="O50" s="68"/>
      <c r="P50" s="118"/>
      <c r="Q50" s="21"/>
      <c r="R50" s="20"/>
      <c r="S50" s="20" t="str">
        <f t="shared" si="56"/>
        <v>-</v>
      </c>
      <c r="T50" s="19" t="str">
        <f t="shared" ca="1" si="25"/>
        <v>-</v>
      </c>
      <c r="U50" s="3"/>
      <c r="V50" s="22" t="str">
        <f t="shared" si="57"/>
        <v>-</v>
      </c>
      <c r="W50" s="22"/>
      <c r="X50" s="22" t="str">
        <f t="shared" ca="1" si="58"/>
        <v>-</v>
      </c>
      <c r="Y50" s="20" t="str">
        <f t="shared" si="59"/>
        <v>-</v>
      </c>
      <c r="Z50" s="94" t="str">
        <f t="shared" si="26"/>
        <v>---------</v>
      </c>
      <c r="AA50" s="21"/>
      <c r="AB50" s="21" t="str">
        <f t="shared" si="60"/>
        <v>-</v>
      </c>
      <c r="AC50" s="21" t="str">
        <f t="shared" si="61"/>
        <v>-</v>
      </c>
      <c r="AD50" s="85"/>
      <c r="AE50" s="21" t="str">
        <f t="shared" si="62"/>
        <v>-</v>
      </c>
      <c r="AF50" s="21" t="str">
        <f t="shared" si="63"/>
        <v>-</v>
      </c>
      <c r="AG50" s="89" t="str">
        <f t="shared" ca="1" si="27"/>
        <v>-</v>
      </c>
      <c r="AH50" s="92">
        <v>1</v>
      </c>
      <c r="AI50" s="80" t="str">
        <f t="shared" ca="1" si="64"/>
        <v>-</v>
      </c>
      <c r="AJ50" s="80"/>
      <c r="AK50" s="123">
        <v>42612</v>
      </c>
      <c r="AL50" s="121" t="s">
        <v>1614</v>
      </c>
      <c r="AM50" s="121">
        <v>42</v>
      </c>
    </row>
    <row r="51" spans="1:39" s="2" customFormat="1" ht="15.95" customHeight="1" x14ac:dyDescent="0.25">
      <c r="A51" s="77">
        <v>49</v>
      </c>
      <c r="B51" s="84">
        <f t="shared" ca="1" si="0"/>
        <v>43134</v>
      </c>
      <c r="C51" s="29" t="s">
        <v>1554</v>
      </c>
      <c r="D51" s="59" t="s">
        <v>1555</v>
      </c>
      <c r="E51" s="22" t="s">
        <v>1557</v>
      </c>
      <c r="F51" s="27" t="s">
        <v>1848</v>
      </c>
      <c r="G51" s="27"/>
      <c r="H51" s="28" t="s">
        <v>603</v>
      </c>
      <c r="I51" s="20">
        <v>42606</v>
      </c>
      <c r="J51" s="35">
        <f t="shared" ca="1" si="46"/>
        <v>1.4465753424657535</v>
      </c>
      <c r="K51" s="60"/>
      <c r="L51" s="32"/>
      <c r="M51" s="82" t="str">
        <f t="shared" ca="1" si="24"/>
        <v>-</v>
      </c>
      <c r="N51" s="19"/>
      <c r="O51" s="68"/>
      <c r="P51" s="118"/>
      <c r="Q51" s="21"/>
      <c r="R51" s="20"/>
      <c r="S51" s="20" t="str">
        <f t="shared" si="56"/>
        <v>-</v>
      </c>
      <c r="T51" s="19" t="str">
        <f t="shared" ca="1" si="25"/>
        <v>-</v>
      </c>
      <c r="U51" s="3"/>
      <c r="V51" s="22" t="str">
        <f t="shared" si="57"/>
        <v>-</v>
      </c>
      <c r="W51" s="22"/>
      <c r="X51" s="22" t="str">
        <f t="shared" ca="1" si="58"/>
        <v>-</v>
      </c>
      <c r="Y51" s="20" t="str">
        <f t="shared" si="59"/>
        <v>-</v>
      </c>
      <c r="Z51" s="94" t="str">
        <f t="shared" si="26"/>
        <v>---------</v>
      </c>
      <c r="AA51" s="21"/>
      <c r="AB51" s="21" t="str">
        <f t="shared" si="60"/>
        <v>-</v>
      </c>
      <c r="AC51" s="21" t="str">
        <f t="shared" si="61"/>
        <v>-</v>
      </c>
      <c r="AD51" s="85"/>
      <c r="AE51" s="21" t="str">
        <f t="shared" si="62"/>
        <v>-</v>
      </c>
      <c r="AF51" s="21" t="str">
        <f t="shared" si="63"/>
        <v>-</v>
      </c>
      <c r="AG51" s="89" t="str">
        <f t="shared" ca="1" si="27"/>
        <v>-</v>
      </c>
      <c r="AH51" s="92">
        <v>1</v>
      </c>
      <c r="AI51" s="80" t="str">
        <f t="shared" ca="1" si="64"/>
        <v>-</v>
      </c>
      <c r="AJ51" s="80"/>
      <c r="AK51" s="123">
        <v>42612</v>
      </c>
      <c r="AL51" s="121" t="s">
        <v>1614</v>
      </c>
      <c r="AM51" s="121">
        <v>42</v>
      </c>
    </row>
    <row r="52" spans="1:39" s="2" customFormat="1" ht="15.95" customHeight="1" x14ac:dyDescent="0.25">
      <c r="A52" s="77">
        <v>50</v>
      </c>
      <c r="B52" s="84">
        <f t="shared" ca="1" si="0"/>
        <v>43134</v>
      </c>
      <c r="C52" s="29" t="s">
        <v>1554</v>
      </c>
      <c r="D52" s="59" t="s">
        <v>1555</v>
      </c>
      <c r="E52" s="22" t="s">
        <v>1557</v>
      </c>
      <c r="F52" s="27" t="s">
        <v>1846</v>
      </c>
      <c r="G52" s="27"/>
      <c r="H52" s="28" t="s">
        <v>603</v>
      </c>
      <c r="I52" s="20">
        <v>42605</v>
      </c>
      <c r="J52" s="35">
        <f t="shared" ca="1" si="46"/>
        <v>1.4493150684931506</v>
      </c>
      <c r="K52" s="60"/>
      <c r="L52" s="32"/>
      <c r="M52" s="82" t="str">
        <f t="shared" ca="1" si="24"/>
        <v>-</v>
      </c>
      <c r="N52" s="19"/>
      <c r="O52" s="68"/>
      <c r="P52" s="118"/>
      <c r="Q52" s="21"/>
      <c r="R52" s="20"/>
      <c r="S52" s="20" t="str">
        <f t="shared" si="56"/>
        <v>-</v>
      </c>
      <c r="T52" s="19" t="str">
        <f t="shared" ca="1" si="25"/>
        <v>-</v>
      </c>
      <c r="U52" s="3"/>
      <c r="V52" s="22" t="str">
        <f t="shared" si="57"/>
        <v>-</v>
      </c>
      <c r="W52" s="22"/>
      <c r="X52" s="22" t="str">
        <f t="shared" ca="1" si="58"/>
        <v>-</v>
      </c>
      <c r="Y52" s="20" t="str">
        <f t="shared" si="59"/>
        <v>-</v>
      </c>
      <c r="Z52" s="94" t="str">
        <f t="shared" si="26"/>
        <v>---------</v>
      </c>
      <c r="AA52" s="21"/>
      <c r="AB52" s="21" t="str">
        <f t="shared" si="60"/>
        <v>-</v>
      </c>
      <c r="AC52" s="21" t="str">
        <f t="shared" si="61"/>
        <v>-</v>
      </c>
      <c r="AD52" s="85"/>
      <c r="AE52" s="21" t="str">
        <f t="shared" si="62"/>
        <v>-</v>
      </c>
      <c r="AF52" s="21" t="str">
        <f t="shared" si="63"/>
        <v>-</v>
      </c>
      <c r="AG52" s="89" t="str">
        <f t="shared" ca="1" si="27"/>
        <v>-</v>
      </c>
      <c r="AH52" s="92">
        <v>1</v>
      </c>
      <c r="AI52" s="80" t="str">
        <f t="shared" ca="1" si="64"/>
        <v>-</v>
      </c>
      <c r="AJ52" s="80"/>
      <c r="AK52" s="123">
        <v>42612</v>
      </c>
      <c r="AL52" s="121" t="s">
        <v>1614</v>
      </c>
      <c r="AM52" s="121">
        <v>39</v>
      </c>
    </row>
    <row r="53" spans="1:39" s="2" customFormat="1" ht="15.95" customHeight="1" x14ac:dyDescent="0.25">
      <c r="A53" s="77">
        <v>51</v>
      </c>
      <c r="B53" s="84">
        <f t="shared" ca="1" si="0"/>
        <v>43134</v>
      </c>
      <c r="C53" s="29" t="s">
        <v>1554</v>
      </c>
      <c r="D53" s="59" t="s">
        <v>1555</v>
      </c>
      <c r="E53" s="22" t="s">
        <v>1557</v>
      </c>
      <c r="F53" s="27" t="s">
        <v>1840</v>
      </c>
      <c r="G53" s="27"/>
      <c r="H53" s="28" t="s">
        <v>603</v>
      </c>
      <c r="I53" s="20">
        <v>42600</v>
      </c>
      <c r="J53" s="35">
        <f t="shared" ca="1" si="46"/>
        <v>1.463013698630137</v>
      </c>
      <c r="K53" s="60"/>
      <c r="L53" s="32"/>
      <c r="M53" s="82" t="str">
        <f t="shared" ca="1" si="24"/>
        <v>-</v>
      </c>
      <c r="N53" s="19"/>
      <c r="O53" s="68"/>
      <c r="P53" s="118"/>
      <c r="Q53" s="21"/>
      <c r="R53" s="20"/>
      <c r="S53" s="20" t="str">
        <f t="shared" si="56"/>
        <v>-</v>
      </c>
      <c r="T53" s="19" t="str">
        <f t="shared" ca="1" si="25"/>
        <v>-</v>
      </c>
      <c r="U53" s="3"/>
      <c r="V53" s="22" t="str">
        <f t="shared" si="57"/>
        <v>-</v>
      </c>
      <c r="W53" s="22"/>
      <c r="X53" s="22" t="str">
        <f t="shared" ca="1" si="58"/>
        <v>-</v>
      </c>
      <c r="Y53" s="20" t="str">
        <f t="shared" si="59"/>
        <v>-</v>
      </c>
      <c r="Z53" s="94" t="str">
        <f t="shared" si="26"/>
        <v>---------</v>
      </c>
      <c r="AA53" s="21"/>
      <c r="AB53" s="21" t="str">
        <f t="shared" si="60"/>
        <v>-</v>
      </c>
      <c r="AC53" s="21" t="str">
        <f t="shared" si="61"/>
        <v>-</v>
      </c>
      <c r="AD53" s="85"/>
      <c r="AE53" s="21" t="str">
        <f t="shared" si="62"/>
        <v>-</v>
      </c>
      <c r="AF53" s="21" t="str">
        <f t="shared" si="63"/>
        <v>-</v>
      </c>
      <c r="AG53" s="89" t="str">
        <f t="shared" ca="1" si="27"/>
        <v>-</v>
      </c>
      <c r="AH53" s="92">
        <v>1</v>
      </c>
      <c r="AI53" s="80" t="str">
        <f t="shared" ca="1" si="64"/>
        <v>-</v>
      </c>
      <c r="AJ53" s="80"/>
      <c r="AK53" s="123">
        <v>42612</v>
      </c>
      <c r="AL53" s="121" t="s">
        <v>1614</v>
      </c>
      <c r="AM53" s="121">
        <v>44</v>
      </c>
    </row>
    <row r="54" spans="1:39" s="2" customFormat="1" ht="15.95" customHeight="1" x14ac:dyDescent="0.25">
      <c r="A54" s="77">
        <v>52</v>
      </c>
      <c r="B54" s="84">
        <f t="shared" ca="1" si="0"/>
        <v>43134</v>
      </c>
      <c r="C54" s="29" t="s">
        <v>1554</v>
      </c>
      <c r="D54" s="59" t="s">
        <v>1555</v>
      </c>
      <c r="E54" s="22" t="s">
        <v>1557</v>
      </c>
      <c r="F54" s="27" t="s">
        <v>1838</v>
      </c>
      <c r="G54" s="27"/>
      <c r="H54" s="28" t="s">
        <v>603</v>
      </c>
      <c r="I54" s="20">
        <v>42599</v>
      </c>
      <c r="J54" s="35">
        <f t="shared" ca="1" si="46"/>
        <v>1.4657534246575343</v>
      </c>
      <c r="K54" s="60"/>
      <c r="L54" s="32"/>
      <c r="M54" s="82" t="str">
        <f t="shared" ca="1" si="24"/>
        <v>-</v>
      </c>
      <c r="N54" s="19"/>
      <c r="O54" s="68"/>
      <c r="P54" s="118"/>
      <c r="Q54" s="21"/>
      <c r="R54" s="20"/>
      <c r="S54" s="20" t="str">
        <f t="shared" si="56"/>
        <v>-</v>
      </c>
      <c r="T54" s="19" t="str">
        <f t="shared" ca="1" si="25"/>
        <v>-</v>
      </c>
      <c r="U54" s="3"/>
      <c r="V54" s="22" t="str">
        <f t="shared" si="57"/>
        <v>-</v>
      </c>
      <c r="W54" s="22"/>
      <c r="X54" s="22" t="str">
        <f t="shared" ca="1" si="58"/>
        <v>-</v>
      </c>
      <c r="Y54" s="20" t="str">
        <f t="shared" si="59"/>
        <v>-</v>
      </c>
      <c r="Z54" s="94" t="str">
        <f t="shared" si="26"/>
        <v>---------</v>
      </c>
      <c r="AA54" s="21"/>
      <c r="AB54" s="21" t="str">
        <f t="shared" si="60"/>
        <v>-</v>
      </c>
      <c r="AC54" s="21" t="str">
        <f t="shared" si="61"/>
        <v>-</v>
      </c>
      <c r="AD54" s="85"/>
      <c r="AE54" s="21" t="str">
        <f t="shared" si="62"/>
        <v>-</v>
      </c>
      <c r="AF54" s="21" t="str">
        <f t="shared" si="63"/>
        <v>-</v>
      </c>
      <c r="AG54" s="89" t="str">
        <f t="shared" ca="1" si="27"/>
        <v>-</v>
      </c>
      <c r="AH54" s="92">
        <v>1</v>
      </c>
      <c r="AI54" s="80" t="str">
        <f t="shared" ca="1" si="64"/>
        <v>-</v>
      </c>
      <c r="AJ54" s="80"/>
      <c r="AK54" s="123">
        <v>42612</v>
      </c>
      <c r="AL54" s="121" t="s">
        <v>1614</v>
      </c>
      <c r="AM54" s="121">
        <v>40</v>
      </c>
    </row>
    <row r="55" spans="1:39" s="2" customFormat="1" ht="15.95" customHeight="1" x14ac:dyDescent="0.25">
      <c r="A55" s="77">
        <v>53</v>
      </c>
      <c r="B55" s="84">
        <f t="shared" ca="1" si="0"/>
        <v>43134</v>
      </c>
      <c r="C55" s="29" t="s">
        <v>1554</v>
      </c>
      <c r="D55" s="59" t="s">
        <v>1555</v>
      </c>
      <c r="E55" s="22" t="s">
        <v>1557</v>
      </c>
      <c r="F55" s="27" t="s">
        <v>1837</v>
      </c>
      <c r="G55" s="27"/>
      <c r="H55" s="28" t="s">
        <v>603</v>
      </c>
      <c r="I55" s="20">
        <v>42599</v>
      </c>
      <c r="J55" s="35">
        <f t="shared" ca="1" si="46"/>
        <v>1.4657534246575343</v>
      </c>
      <c r="K55" s="60"/>
      <c r="L55" s="32"/>
      <c r="M55" s="82" t="str">
        <f t="shared" ca="1" si="24"/>
        <v>-</v>
      </c>
      <c r="N55" s="19"/>
      <c r="O55" s="68"/>
      <c r="P55" s="118"/>
      <c r="Q55" s="21"/>
      <c r="R55" s="20"/>
      <c r="S55" s="20" t="str">
        <f t="shared" si="56"/>
        <v>-</v>
      </c>
      <c r="T55" s="19" t="str">
        <f t="shared" ca="1" si="25"/>
        <v>-</v>
      </c>
      <c r="U55" s="3"/>
      <c r="V55" s="22" t="str">
        <f t="shared" si="57"/>
        <v>-</v>
      </c>
      <c r="W55" s="22"/>
      <c r="X55" s="22" t="str">
        <f t="shared" ca="1" si="58"/>
        <v>-</v>
      </c>
      <c r="Y55" s="20" t="str">
        <f t="shared" si="59"/>
        <v>-</v>
      </c>
      <c r="Z55" s="94" t="str">
        <f t="shared" si="26"/>
        <v>---------</v>
      </c>
      <c r="AA55" s="21"/>
      <c r="AB55" s="21" t="str">
        <f t="shared" si="60"/>
        <v>-</v>
      </c>
      <c r="AC55" s="21" t="str">
        <f t="shared" si="61"/>
        <v>-</v>
      </c>
      <c r="AD55" s="85"/>
      <c r="AE55" s="21" t="str">
        <f t="shared" si="62"/>
        <v>-</v>
      </c>
      <c r="AF55" s="21" t="str">
        <f t="shared" si="63"/>
        <v>-</v>
      </c>
      <c r="AG55" s="89" t="str">
        <f t="shared" ca="1" si="27"/>
        <v>-</v>
      </c>
      <c r="AH55" s="92">
        <v>1</v>
      </c>
      <c r="AI55" s="80" t="str">
        <f t="shared" ca="1" si="64"/>
        <v>-</v>
      </c>
      <c r="AJ55" s="80"/>
      <c r="AK55" s="123">
        <v>42612</v>
      </c>
      <c r="AL55" s="121" t="s">
        <v>1614</v>
      </c>
      <c r="AM55" s="121">
        <v>46</v>
      </c>
    </row>
    <row r="56" spans="1:39" s="2" customFormat="1" ht="15.95" customHeight="1" x14ac:dyDescent="0.25">
      <c r="A56" s="77">
        <v>54</v>
      </c>
      <c r="B56" s="84">
        <f t="shared" ca="1" si="0"/>
        <v>43134</v>
      </c>
      <c r="C56" s="29" t="s">
        <v>1554</v>
      </c>
      <c r="D56" s="59" t="s">
        <v>1555</v>
      </c>
      <c r="E56" s="22" t="s">
        <v>1557</v>
      </c>
      <c r="F56" s="27" t="s">
        <v>1833</v>
      </c>
      <c r="G56" s="27"/>
      <c r="H56" s="28" t="s">
        <v>603</v>
      </c>
      <c r="I56" s="20">
        <v>42596</v>
      </c>
      <c r="J56" s="35">
        <f t="shared" ca="1" si="46"/>
        <v>1.473972602739726</v>
      </c>
      <c r="K56" s="60"/>
      <c r="L56" s="32"/>
      <c r="M56" s="82" t="str">
        <f t="shared" ca="1" si="24"/>
        <v>-</v>
      </c>
      <c r="N56" s="19"/>
      <c r="O56" s="68"/>
      <c r="P56" s="118"/>
      <c r="Q56" s="21"/>
      <c r="R56" s="20"/>
      <c r="S56" s="20" t="str">
        <f t="shared" si="56"/>
        <v>-</v>
      </c>
      <c r="T56" s="19" t="str">
        <f t="shared" ca="1" si="25"/>
        <v>-</v>
      </c>
      <c r="U56" s="3"/>
      <c r="V56" s="22" t="str">
        <f t="shared" si="57"/>
        <v>-</v>
      </c>
      <c r="W56" s="22"/>
      <c r="X56" s="22" t="str">
        <f t="shared" ca="1" si="58"/>
        <v>-</v>
      </c>
      <c r="Y56" s="20" t="str">
        <f t="shared" si="59"/>
        <v>-</v>
      </c>
      <c r="Z56" s="94" t="str">
        <f t="shared" si="26"/>
        <v>---------</v>
      </c>
      <c r="AA56" s="21"/>
      <c r="AB56" s="21" t="str">
        <f t="shared" si="60"/>
        <v>-</v>
      </c>
      <c r="AC56" s="21" t="str">
        <f t="shared" si="61"/>
        <v>-</v>
      </c>
      <c r="AD56" s="85"/>
      <c r="AE56" s="21" t="str">
        <f t="shared" si="62"/>
        <v>-</v>
      </c>
      <c r="AF56" s="21" t="str">
        <f t="shared" si="63"/>
        <v>-</v>
      </c>
      <c r="AG56" s="89" t="str">
        <f t="shared" ca="1" si="27"/>
        <v>-</v>
      </c>
      <c r="AH56" s="92">
        <v>1</v>
      </c>
      <c r="AI56" s="80" t="str">
        <f t="shared" ca="1" si="64"/>
        <v>-</v>
      </c>
      <c r="AJ56" s="80"/>
      <c r="AK56" s="123">
        <v>42612</v>
      </c>
      <c r="AL56" s="121" t="s">
        <v>1614</v>
      </c>
      <c r="AM56" s="121">
        <v>41</v>
      </c>
    </row>
    <row r="57" spans="1:39" s="2" customFormat="1" ht="15.95" customHeight="1" x14ac:dyDescent="0.25">
      <c r="A57" s="77">
        <v>55</v>
      </c>
      <c r="B57" s="84">
        <f t="shared" ca="1" si="0"/>
        <v>43134</v>
      </c>
      <c r="C57" s="29" t="s">
        <v>1554</v>
      </c>
      <c r="D57" s="59" t="s">
        <v>1555</v>
      </c>
      <c r="E57" s="22" t="s">
        <v>1557</v>
      </c>
      <c r="F57" s="27" t="s">
        <v>1866</v>
      </c>
      <c r="G57" s="27"/>
      <c r="H57" s="28" t="s">
        <v>603</v>
      </c>
      <c r="I57" s="20">
        <v>42619</v>
      </c>
      <c r="J57" s="35">
        <f t="shared" ca="1" si="46"/>
        <v>1.4109589041095891</v>
      </c>
      <c r="K57" s="60"/>
      <c r="L57" s="32"/>
      <c r="M57" s="82" t="str">
        <f t="shared" ca="1" si="24"/>
        <v>-</v>
      </c>
      <c r="N57" s="19"/>
      <c r="O57" s="68"/>
      <c r="P57" s="118"/>
      <c r="Q57" s="21"/>
      <c r="R57" s="20"/>
      <c r="S57" s="20" t="str">
        <f>IF(AND(W57&gt;1,R57&gt;0),R57+18,"-")</f>
        <v>-</v>
      </c>
      <c r="T57" s="19" t="str">
        <f t="shared" ca="1" si="25"/>
        <v>-</v>
      </c>
      <c r="U57" s="3"/>
      <c r="V57" s="22" t="str">
        <f>IF(AND(L57&gt;0,R57&gt;0),R57-L57,"-")</f>
        <v>-</v>
      </c>
      <c r="W57" s="22"/>
      <c r="X57" s="22" t="str">
        <f ca="1">IF(AND(M57&gt;140,W57=0,L57&gt;0),"яловая","-")</f>
        <v>-</v>
      </c>
      <c r="Y57" s="20" t="str">
        <f>IF(AND(R57&gt;0,OR(W57=3,W57=2)),R57+35,"-")</f>
        <v>-</v>
      </c>
      <c r="Z57" s="94" t="str">
        <f t="shared" si="26"/>
        <v>---------</v>
      </c>
      <c r="AA57" s="21"/>
      <c r="AB57" s="21" t="str">
        <f>IF(AND($R57&gt;0,$L57&gt;0,$W57=1),$R57+285-90,"-")</f>
        <v>-</v>
      </c>
      <c r="AC57" s="21" t="str">
        <f>IF(AND(R57&gt;0,W57=1,L57&gt;0),R57+285-60,"-")</f>
        <v>-</v>
      </c>
      <c r="AD57" s="85"/>
      <c r="AE57" s="21" t="str">
        <f>IF(AND($R57&gt;0,$W57=1),$R57+280-21,"-")</f>
        <v>-</v>
      </c>
      <c r="AF57" s="21" t="str">
        <f>IF(AND(R57&gt;0,W57=1),R57+280,"-")</f>
        <v>-</v>
      </c>
      <c r="AG57" s="89" t="str">
        <f t="shared" ca="1" si="27"/>
        <v>-</v>
      </c>
      <c r="AH57" s="92">
        <v>1</v>
      </c>
      <c r="AI57" s="80" t="str">
        <f ca="1">IF(AND(X57="яловая",M57&gt;300),"БРАК","-")</f>
        <v>-</v>
      </c>
      <c r="AJ57" s="80"/>
      <c r="AK57" s="123">
        <v>42622</v>
      </c>
      <c r="AL57" s="121" t="s">
        <v>1614</v>
      </c>
      <c r="AM57" s="121">
        <v>43</v>
      </c>
    </row>
    <row r="58" spans="1:39" s="2" customFormat="1" ht="15.95" customHeight="1" x14ac:dyDescent="0.25">
      <c r="A58" s="77">
        <v>56</v>
      </c>
      <c r="B58" s="84">
        <f t="shared" ca="1" si="0"/>
        <v>43134</v>
      </c>
      <c r="C58" s="29" t="s">
        <v>1554</v>
      </c>
      <c r="D58" s="59" t="s">
        <v>1555</v>
      </c>
      <c r="E58" s="22" t="s">
        <v>1557</v>
      </c>
      <c r="F58" s="27" t="s">
        <v>1869</v>
      </c>
      <c r="G58" s="27"/>
      <c r="H58" s="28" t="s">
        <v>603</v>
      </c>
      <c r="I58" s="20">
        <v>42620</v>
      </c>
      <c r="J58" s="35">
        <f t="shared" ca="1" si="46"/>
        <v>1.4082191780821918</v>
      </c>
      <c r="K58" s="60"/>
      <c r="L58" s="32"/>
      <c r="M58" s="82" t="str">
        <f t="shared" ca="1" si="24"/>
        <v>-</v>
      </c>
      <c r="N58" s="19"/>
      <c r="O58" s="68"/>
      <c r="P58" s="118"/>
      <c r="Q58" s="21"/>
      <c r="R58" s="20"/>
      <c r="S58" s="20"/>
      <c r="T58" s="19"/>
      <c r="U58" s="3"/>
      <c r="V58" s="22"/>
      <c r="W58" s="22"/>
      <c r="X58" s="22"/>
      <c r="Y58" s="20"/>
      <c r="Z58" s="94"/>
      <c r="AA58" s="21"/>
      <c r="AB58" s="21"/>
      <c r="AC58" s="21"/>
      <c r="AD58" s="85"/>
      <c r="AE58" s="21"/>
      <c r="AF58" s="21"/>
      <c r="AG58" s="89"/>
      <c r="AH58" s="92"/>
      <c r="AI58" s="80"/>
      <c r="AJ58" s="80"/>
      <c r="AK58" s="123">
        <v>42622</v>
      </c>
      <c r="AL58" s="121" t="s">
        <v>1614</v>
      </c>
      <c r="AM58" s="121">
        <v>40</v>
      </c>
    </row>
    <row r="59" spans="1:39" s="2" customFormat="1" ht="15.95" customHeight="1" x14ac:dyDescent="0.25">
      <c r="A59" s="77">
        <v>57</v>
      </c>
      <c r="B59" s="84">
        <f t="shared" ca="1" si="0"/>
        <v>43134</v>
      </c>
      <c r="C59" s="29" t="s">
        <v>1554</v>
      </c>
      <c r="D59" s="59" t="s">
        <v>1555</v>
      </c>
      <c r="E59" s="22" t="s">
        <v>1557</v>
      </c>
      <c r="F59" s="27" t="s">
        <v>1868</v>
      </c>
      <c r="G59" s="27"/>
      <c r="H59" s="28" t="s">
        <v>603</v>
      </c>
      <c r="I59" s="20">
        <v>42620</v>
      </c>
      <c r="J59" s="35">
        <f t="shared" ca="1" si="46"/>
        <v>1.4082191780821918</v>
      </c>
      <c r="K59" s="60"/>
      <c r="L59" s="32"/>
      <c r="M59" s="82" t="str">
        <f t="shared" ca="1" si="24"/>
        <v>-</v>
      </c>
      <c r="N59" s="19"/>
      <c r="O59" s="68"/>
      <c r="P59" s="118"/>
      <c r="Q59" s="21"/>
      <c r="R59" s="20"/>
      <c r="S59" s="20" t="str">
        <f>IF(AND(W59&gt;1,R59&gt;0),R59+18,"-")</f>
        <v>-</v>
      </c>
      <c r="T59" s="19" t="str">
        <f ca="1">IF(AND(S59&gt;0,B59&gt;0,W59&gt;1),B59-S59,"-")</f>
        <v>-</v>
      </c>
      <c r="U59" s="3"/>
      <c r="V59" s="22" t="str">
        <f>IF(AND(L59&gt;0,R59&gt;0),R59-L59,"-")</f>
        <v>-</v>
      </c>
      <c r="W59" s="22"/>
      <c r="X59" s="22" t="str">
        <f ca="1">IF(AND(M59&gt;140,W59=0,L59&gt;0),"яловая","-")</f>
        <v>-</v>
      </c>
      <c r="Y59" s="20" t="str">
        <f>IF(AND(R59&gt;0,OR(W59=3,W59=2)),R59+35,"-")</f>
        <v>-</v>
      </c>
      <c r="Z59" s="94" t="str">
        <f>IF(AND(R59&gt;0,U59&gt;0,O59&gt;0,OR(W59=3,W59=2)),B59-Y59,"---------")</f>
        <v>---------</v>
      </c>
      <c r="AA59" s="21"/>
      <c r="AB59" s="21" t="str">
        <f>IF(AND($R59&gt;0,$L59&gt;0,$W59=1),$R59+285-90,"-")</f>
        <v>-</v>
      </c>
      <c r="AC59" s="21" t="str">
        <f>IF(AND(R59&gt;0,W59=1,L59&gt;0),R59+285-60,"-")</f>
        <v>-</v>
      </c>
      <c r="AD59" s="85"/>
      <c r="AE59" s="21" t="str">
        <f>IF(AND($R59&gt;0,$W59=1),$R59+280-21,"-")</f>
        <v>-</v>
      </c>
      <c r="AF59" s="21" t="str">
        <f>IF(AND(R59&gt;0,W59=1),R59+280,"-")</f>
        <v>-</v>
      </c>
      <c r="AG59" s="89" t="str">
        <f ca="1">IF(AND(B59&gt;0,AF59&gt;0,AA59&gt;0,W59=1),B59-AF59,"-")</f>
        <v>-</v>
      </c>
      <c r="AH59" s="92">
        <v>1</v>
      </c>
      <c r="AI59" s="80" t="str">
        <f ca="1">IF(AND(X59="яловая",M59&gt;300),"БРАК","-")</f>
        <v>-</v>
      </c>
      <c r="AJ59" s="80"/>
      <c r="AK59" s="123">
        <v>42628</v>
      </c>
      <c r="AL59" s="121" t="s">
        <v>1614</v>
      </c>
      <c r="AM59" s="121">
        <v>42</v>
      </c>
    </row>
    <row r="60" spans="1:39" s="2" customFormat="1" ht="15.95" customHeight="1" x14ac:dyDescent="0.25">
      <c r="A60" s="77">
        <v>58</v>
      </c>
      <c r="B60" s="84">
        <f t="shared" ca="1" si="0"/>
        <v>43134</v>
      </c>
      <c r="C60" s="29" t="s">
        <v>1554</v>
      </c>
      <c r="D60" s="59" t="s">
        <v>1555</v>
      </c>
      <c r="E60" s="22" t="s">
        <v>1557</v>
      </c>
      <c r="F60" s="27" t="s">
        <v>1870</v>
      </c>
      <c r="G60" s="27"/>
      <c r="H60" s="28" t="s">
        <v>603</v>
      </c>
      <c r="I60" s="20">
        <v>42621</v>
      </c>
      <c r="J60" s="35">
        <f t="shared" ca="1" si="46"/>
        <v>1.4054794520547946</v>
      </c>
      <c r="K60" s="60"/>
      <c r="L60" s="32"/>
      <c r="M60" s="82" t="str">
        <f t="shared" ca="1" si="24"/>
        <v>-</v>
      </c>
      <c r="N60" s="19"/>
      <c r="O60" s="68"/>
      <c r="P60" s="118"/>
      <c r="Q60" s="21"/>
      <c r="R60" s="20"/>
      <c r="S60" s="20" t="str">
        <f>IF(AND(W60&gt;1,R60&gt;0),R60+18,"-")</f>
        <v>-</v>
      </c>
      <c r="T60" s="19" t="str">
        <f ca="1">IF(AND(S60&gt;0,B60&gt;0,W60&gt;1),B60-S60,"-")</f>
        <v>-</v>
      </c>
      <c r="U60" s="3"/>
      <c r="V60" s="22" t="str">
        <f>IF(AND(L60&gt;0,R60&gt;0),R60-L60,"-")</f>
        <v>-</v>
      </c>
      <c r="W60" s="22"/>
      <c r="X60" s="22" t="str">
        <f ca="1">IF(AND(M60&gt;140,W60=0,L60&gt;0),"яловая","-")</f>
        <v>-</v>
      </c>
      <c r="Y60" s="20" t="str">
        <f>IF(AND(R60&gt;0,OR(W60=3,W60=2)),R60+35,"-")</f>
        <v>-</v>
      </c>
      <c r="Z60" s="94" t="str">
        <f>IF(AND(R60&gt;0,U60&gt;0,O60&gt;0,OR(W60=3,W60=2)),B60-Y60,"---------")</f>
        <v>---------</v>
      </c>
      <c r="AA60" s="21"/>
      <c r="AB60" s="21" t="str">
        <f>IF(AND($R60&gt;0,$L60&gt;0,$W60=1),$R60+285-90,"-")</f>
        <v>-</v>
      </c>
      <c r="AC60" s="21" t="str">
        <f>IF(AND(R60&gt;0,W60=1,L60&gt;0),R60+285-60,"-")</f>
        <v>-</v>
      </c>
      <c r="AD60" s="85"/>
      <c r="AE60" s="21" t="str">
        <f>IF(AND($R60&gt;0,$W60=1),$R60+280-21,"-")</f>
        <v>-</v>
      </c>
      <c r="AF60" s="21" t="str">
        <f>IF(AND(R60&gt;0,W60=1),R60+280,"-")</f>
        <v>-</v>
      </c>
      <c r="AG60" s="89" t="str">
        <f ca="1">IF(AND(B60&gt;0,AF60&gt;0,AA60&gt;0,W60=1),B60-AF60,"-")</f>
        <v>-</v>
      </c>
      <c r="AH60" s="92">
        <v>1</v>
      </c>
      <c r="AI60" s="80" t="str">
        <f ca="1">IF(AND(X60="яловая",M60&gt;300),"БРАК","-")</f>
        <v>-</v>
      </c>
      <c r="AJ60" s="80"/>
      <c r="AK60" s="123">
        <v>42628</v>
      </c>
      <c r="AL60" s="121" t="s">
        <v>1614</v>
      </c>
      <c r="AM60" s="121">
        <v>40</v>
      </c>
    </row>
    <row r="61" spans="1:39" s="2" customFormat="1" ht="15.95" customHeight="1" x14ac:dyDescent="0.25">
      <c r="A61" s="77">
        <v>59</v>
      </c>
      <c r="B61" s="84">
        <f t="shared" ca="1" si="0"/>
        <v>43134</v>
      </c>
      <c r="C61" s="29" t="s">
        <v>1554</v>
      </c>
      <c r="D61" s="59" t="s">
        <v>1555</v>
      </c>
      <c r="E61" s="22" t="s">
        <v>1557</v>
      </c>
      <c r="F61" s="27" t="s">
        <v>1872</v>
      </c>
      <c r="G61" s="27"/>
      <c r="H61" s="28" t="s">
        <v>603</v>
      </c>
      <c r="I61" s="20">
        <v>42621</v>
      </c>
      <c r="J61" s="35">
        <f t="shared" ca="1" si="46"/>
        <v>1.4054794520547946</v>
      </c>
      <c r="K61" s="60"/>
      <c r="L61" s="32"/>
      <c r="M61" s="82" t="str">
        <f t="shared" ca="1" si="24"/>
        <v>-</v>
      </c>
      <c r="N61" s="19"/>
      <c r="O61" s="68"/>
      <c r="P61" s="118"/>
      <c r="Q61" s="21"/>
      <c r="R61" s="20"/>
      <c r="S61" s="20" t="str">
        <f>IF(AND(W61&gt;1,R61&gt;0),R61+18,"-")</f>
        <v>-</v>
      </c>
      <c r="T61" s="19" t="str">
        <f ca="1">IF(AND(S61&gt;0,B61&gt;0,W61&gt;1),B61-S61,"-")</f>
        <v>-</v>
      </c>
      <c r="U61" s="3"/>
      <c r="V61" s="22" t="str">
        <f>IF(AND(L61&gt;0,R61&gt;0),R61-L61,"-")</f>
        <v>-</v>
      </c>
      <c r="W61" s="22"/>
      <c r="X61" s="22" t="str">
        <f ca="1">IF(AND(M61&gt;140,W61=0,L61&gt;0),"яловая","-")</f>
        <v>-</v>
      </c>
      <c r="Y61" s="20" t="str">
        <f>IF(AND(R61&gt;0,OR(W61=3,W61=2)),R61+35,"-")</f>
        <v>-</v>
      </c>
      <c r="Z61" s="94" t="str">
        <f>IF(AND(R61&gt;0,U61&gt;0,O61&gt;0,OR(W61=3,W61=2)),B61-Y61,"---------")</f>
        <v>---------</v>
      </c>
      <c r="AA61" s="21"/>
      <c r="AB61" s="21" t="str">
        <f>IF(AND($R61&gt;0,$L61&gt;0,$W61=1),$R61+285-90,"-")</f>
        <v>-</v>
      </c>
      <c r="AC61" s="21" t="str">
        <f>IF(AND(R61&gt;0,W61=1,L61&gt;0),R61+285-60,"-")</f>
        <v>-</v>
      </c>
      <c r="AD61" s="85"/>
      <c r="AE61" s="21" t="str">
        <f>IF(AND($R61&gt;0,$W61=1),$R61+280-21,"-")</f>
        <v>-</v>
      </c>
      <c r="AF61" s="21" t="str">
        <f>IF(AND(R61&gt;0,W61=1),R61+280,"-")</f>
        <v>-</v>
      </c>
      <c r="AG61" s="89" t="str">
        <f ca="1">IF(AND(B61&gt;0,AF61&gt;0,AA61&gt;0,W61=1),B61-AF61,"-")</f>
        <v>-</v>
      </c>
      <c r="AH61" s="92">
        <v>1</v>
      </c>
      <c r="AI61" s="80" t="str">
        <f ca="1">IF(AND(X61="яловая",M61&gt;300),"БРАК","-")</f>
        <v>-</v>
      </c>
      <c r="AJ61" s="80"/>
      <c r="AK61" s="123">
        <v>42628</v>
      </c>
      <c r="AL61" s="121" t="s">
        <v>1614</v>
      </c>
      <c r="AM61" s="121">
        <v>41</v>
      </c>
    </row>
    <row r="62" spans="1:39" ht="15.75" x14ac:dyDescent="0.25">
      <c r="A62" s="77">
        <v>60</v>
      </c>
      <c r="B62" s="84">
        <f t="shared" ca="1" si="0"/>
        <v>43134</v>
      </c>
      <c r="C62" s="29" t="s">
        <v>1554</v>
      </c>
      <c r="D62" s="59" t="s">
        <v>1555</v>
      </c>
      <c r="E62" s="22" t="s">
        <v>1557</v>
      </c>
      <c r="F62" s="27" t="s">
        <v>1884</v>
      </c>
      <c r="G62" s="27"/>
      <c r="H62" s="28" t="s">
        <v>603</v>
      </c>
      <c r="I62" s="20">
        <v>42625</v>
      </c>
      <c r="J62" s="35">
        <f t="shared" ca="1" si="46"/>
        <v>1.3945205479452054</v>
      </c>
      <c r="K62" s="60"/>
      <c r="L62" s="32"/>
      <c r="M62" s="82"/>
      <c r="N62" s="19"/>
      <c r="O62" s="68"/>
      <c r="P62" s="118"/>
      <c r="Q62" s="21"/>
      <c r="R62" s="20"/>
      <c r="S62" s="20"/>
      <c r="T62" s="19"/>
      <c r="U62" s="3"/>
      <c r="V62" s="22"/>
      <c r="W62" s="22"/>
      <c r="X62" s="22"/>
      <c r="Y62" s="20"/>
      <c r="Z62" s="94"/>
      <c r="AA62" s="21"/>
      <c r="AB62" s="21"/>
      <c r="AC62" s="21"/>
      <c r="AD62" s="85"/>
      <c r="AE62" s="21"/>
      <c r="AF62" s="21"/>
      <c r="AG62" s="89"/>
      <c r="AH62" s="92"/>
      <c r="AI62" s="80"/>
      <c r="AJ62" s="80"/>
      <c r="AK62" s="123">
        <v>42632</v>
      </c>
      <c r="AL62" s="121" t="s">
        <v>1614</v>
      </c>
      <c r="AM62" s="80">
        <v>39</v>
      </c>
    </row>
    <row r="63" spans="1:39" ht="15.75" x14ac:dyDescent="0.25">
      <c r="A63" s="77">
        <v>61</v>
      </c>
      <c r="B63" s="84">
        <f t="shared" ca="1" si="0"/>
        <v>43134</v>
      </c>
      <c r="C63" s="29" t="s">
        <v>1554</v>
      </c>
      <c r="D63" s="59" t="s">
        <v>1555</v>
      </c>
      <c r="E63" s="22" t="s">
        <v>1557</v>
      </c>
      <c r="F63" s="27" t="s">
        <v>1885</v>
      </c>
      <c r="G63" s="27"/>
      <c r="H63" s="28" t="s">
        <v>603</v>
      </c>
      <c r="I63" s="20">
        <v>42627</v>
      </c>
      <c r="J63" s="35">
        <f t="shared" ca="1" si="46"/>
        <v>1.3890410958904109</v>
      </c>
      <c r="K63" s="60"/>
      <c r="L63" s="32"/>
      <c r="M63" s="82"/>
      <c r="N63" s="19"/>
      <c r="O63" s="68"/>
      <c r="P63" s="118"/>
      <c r="Q63" s="21"/>
      <c r="R63" s="20"/>
      <c r="S63" s="20"/>
      <c r="T63" s="19"/>
      <c r="U63" s="3"/>
      <c r="V63" s="22"/>
      <c r="W63" s="22"/>
      <c r="X63" s="22"/>
      <c r="Y63" s="20"/>
      <c r="Z63" s="94"/>
      <c r="AA63" s="21"/>
      <c r="AB63" s="21"/>
      <c r="AC63" s="21"/>
      <c r="AD63" s="85"/>
      <c r="AE63" s="21"/>
      <c r="AF63" s="21"/>
      <c r="AG63" s="89"/>
      <c r="AH63" s="92"/>
      <c r="AI63" s="80"/>
      <c r="AJ63" s="80"/>
      <c r="AK63" s="123">
        <v>42632</v>
      </c>
      <c r="AL63" s="121" t="s">
        <v>1614</v>
      </c>
      <c r="AM63" s="80">
        <v>42</v>
      </c>
    </row>
    <row r="64" spans="1:39" ht="15.75" x14ac:dyDescent="0.25">
      <c r="A64" s="77">
        <v>62</v>
      </c>
      <c r="B64" s="84">
        <f t="shared" ca="1" si="0"/>
        <v>43134</v>
      </c>
      <c r="C64" s="29" t="s">
        <v>1554</v>
      </c>
      <c r="D64" s="59" t="s">
        <v>1555</v>
      </c>
      <c r="E64" s="22" t="s">
        <v>1557</v>
      </c>
      <c r="F64" s="27" t="s">
        <v>1888</v>
      </c>
      <c r="G64" s="27"/>
      <c r="H64" s="28" t="s">
        <v>603</v>
      </c>
      <c r="I64" s="20">
        <v>42627</v>
      </c>
      <c r="J64" s="35">
        <f t="shared" ca="1" si="46"/>
        <v>1.3890410958904109</v>
      </c>
      <c r="K64" s="60"/>
      <c r="L64" s="32"/>
      <c r="M64" s="82"/>
      <c r="N64" s="19"/>
      <c r="O64" s="68"/>
      <c r="P64" s="118"/>
      <c r="Q64" s="21"/>
      <c r="R64" s="20"/>
      <c r="S64" s="20"/>
      <c r="T64" s="19"/>
      <c r="U64" s="3"/>
      <c r="V64" s="22"/>
      <c r="W64" s="22"/>
      <c r="X64" s="22"/>
      <c r="Y64" s="20"/>
      <c r="Z64" s="94"/>
      <c r="AA64" s="21"/>
      <c r="AB64" s="21"/>
      <c r="AC64" s="21"/>
      <c r="AD64" s="85"/>
      <c r="AE64" s="21"/>
      <c r="AF64" s="21"/>
      <c r="AG64" s="89"/>
      <c r="AH64" s="92"/>
      <c r="AI64" s="80"/>
      <c r="AJ64" s="80"/>
      <c r="AK64" s="168">
        <v>42632</v>
      </c>
      <c r="AL64" s="121" t="s">
        <v>1614</v>
      </c>
      <c r="AM64" s="80">
        <v>40</v>
      </c>
    </row>
    <row r="65" spans="1:39" s="1" customFormat="1" ht="15.95" customHeight="1" x14ac:dyDescent="0.25">
      <c r="A65" s="77">
        <v>63</v>
      </c>
      <c r="B65" s="84">
        <f t="shared" ca="1" si="0"/>
        <v>43134</v>
      </c>
      <c r="C65" s="29" t="s">
        <v>1554</v>
      </c>
      <c r="D65" s="59" t="s">
        <v>1555</v>
      </c>
      <c r="E65" s="22" t="s">
        <v>1557</v>
      </c>
      <c r="F65" s="27" t="s">
        <v>1898</v>
      </c>
      <c r="G65" s="27"/>
      <c r="H65" s="28" t="s">
        <v>603</v>
      </c>
      <c r="I65" s="20">
        <v>42634</v>
      </c>
      <c r="J65" s="35">
        <f t="shared" ca="1" si="46"/>
        <v>1.3698630136986301</v>
      </c>
      <c r="K65" s="60"/>
      <c r="L65" s="32"/>
      <c r="M65" s="82"/>
      <c r="N65" s="19"/>
      <c r="O65" s="68"/>
      <c r="P65" s="118"/>
      <c r="Q65" s="21"/>
      <c r="R65" s="20"/>
      <c r="S65" s="20"/>
      <c r="T65" s="19"/>
      <c r="U65" s="3"/>
      <c r="V65" s="22"/>
      <c r="W65" s="22"/>
      <c r="X65" s="22"/>
      <c r="Y65" s="20"/>
      <c r="Z65" s="94"/>
      <c r="AA65" s="21"/>
      <c r="AB65" s="21"/>
      <c r="AC65" s="21"/>
      <c r="AD65" s="85"/>
      <c r="AE65" s="21"/>
      <c r="AF65" s="21"/>
      <c r="AG65" s="89"/>
      <c r="AH65" s="92"/>
      <c r="AI65" s="80"/>
      <c r="AJ65" s="80"/>
      <c r="AK65" s="169">
        <v>42635</v>
      </c>
      <c r="AL65" s="121" t="s">
        <v>1614</v>
      </c>
      <c r="AM65" s="121">
        <v>40</v>
      </c>
    </row>
    <row r="66" spans="1:39" ht="15.75" x14ac:dyDescent="0.25">
      <c r="A66" s="77">
        <v>64</v>
      </c>
      <c r="B66" s="84">
        <f t="shared" ca="1" si="0"/>
        <v>43134</v>
      </c>
      <c r="C66" s="29" t="s">
        <v>1554</v>
      </c>
      <c r="D66" s="59" t="s">
        <v>1555</v>
      </c>
      <c r="E66" s="22" t="s">
        <v>1557</v>
      </c>
      <c r="F66" s="27" t="s">
        <v>1904</v>
      </c>
      <c r="G66" s="27"/>
      <c r="H66" s="28" t="s">
        <v>603</v>
      </c>
      <c r="I66" s="20">
        <v>42637</v>
      </c>
      <c r="J66" s="35">
        <f t="shared" ca="1" si="46"/>
        <v>1.3616438356164384</v>
      </c>
      <c r="K66" s="60"/>
      <c r="L66" s="32"/>
      <c r="M66" s="82"/>
      <c r="N66" s="19"/>
      <c r="O66" s="68"/>
      <c r="P66" s="118"/>
      <c r="Q66" s="21"/>
      <c r="R66" s="20"/>
      <c r="S66" s="20"/>
      <c r="T66" s="19"/>
      <c r="U66" s="3"/>
      <c r="V66" s="22"/>
      <c r="W66" s="22"/>
      <c r="X66" s="22"/>
      <c r="Y66" s="20"/>
      <c r="Z66" s="94"/>
      <c r="AA66" s="21"/>
      <c r="AB66" s="21"/>
      <c r="AC66" s="21"/>
      <c r="AD66" s="85"/>
      <c r="AE66" s="21"/>
      <c r="AF66" s="21"/>
      <c r="AG66" s="89"/>
      <c r="AH66" s="92"/>
      <c r="AI66" s="80"/>
      <c r="AJ66" s="80"/>
      <c r="AK66" s="168">
        <v>42639</v>
      </c>
      <c r="AL66" s="121" t="s">
        <v>1614</v>
      </c>
      <c r="AM66" s="80">
        <v>38</v>
      </c>
    </row>
    <row r="67" spans="1:39" s="1" customFormat="1" ht="15.95" customHeight="1" x14ac:dyDescent="0.25">
      <c r="A67" s="77">
        <v>65</v>
      </c>
      <c r="B67" s="84">
        <f t="shared" ref="B67:B130" ca="1" si="65">TODAY()</f>
        <v>43134</v>
      </c>
      <c r="C67" s="29" t="s">
        <v>1554</v>
      </c>
      <c r="D67" s="59" t="s">
        <v>1635</v>
      </c>
      <c r="E67" s="22" t="s">
        <v>1563</v>
      </c>
      <c r="F67" s="27" t="s">
        <v>1620</v>
      </c>
      <c r="G67" s="27"/>
      <c r="H67" s="28" t="s">
        <v>603</v>
      </c>
      <c r="I67" s="20">
        <v>42575</v>
      </c>
      <c r="J67" s="35">
        <f t="shared" ref="J67:J98" ca="1" si="66">(B67-I67)/365</f>
        <v>1.5315068493150685</v>
      </c>
      <c r="K67" s="60"/>
      <c r="L67" s="32"/>
      <c r="M67" s="82" t="str">
        <f t="shared" ref="M67:M80" ca="1" si="67">IF(AND(B67&gt;0,L67&gt;0),B67-L67,"-")</f>
        <v>-</v>
      </c>
      <c r="N67" s="19"/>
      <c r="O67" s="68"/>
      <c r="P67" s="118"/>
      <c r="Q67" s="21"/>
      <c r="R67" s="20"/>
      <c r="S67" s="20" t="str">
        <f t="shared" ref="S67:S81" si="68">IF(AND(W67&gt;1,R67&gt;0),R67+18,"-")</f>
        <v>-</v>
      </c>
      <c r="T67" s="19" t="str">
        <f t="shared" ref="T67:T84" ca="1" si="69">IF(AND(S67&gt;0,B67&gt;0,W67&gt;1),B67-S67,"-")</f>
        <v>-</v>
      </c>
      <c r="U67" s="3"/>
      <c r="V67" s="22" t="str">
        <f t="shared" ref="V67:V81" si="70">IF(AND(L67&gt;0,R67&gt;0),R67-L67,"-")</f>
        <v>-</v>
      </c>
      <c r="W67" s="22"/>
      <c r="X67" s="22" t="str">
        <f t="shared" ref="X67:X81" ca="1" si="71">IF(AND(M67&gt;140,W67=0,L67&gt;0),"яловая","-")</f>
        <v>-</v>
      </c>
      <c r="Y67" s="20" t="str">
        <f t="shared" ref="Y67:Y81" si="72">IF(AND(R67&gt;0,OR(W67=3,W67=2)),R67+35,"-")</f>
        <v>-</v>
      </c>
      <c r="Z67" s="94" t="str">
        <f t="shared" ref="Z67:Z84" si="73">IF(AND(R67&gt;0,U67&gt;0,O67&gt;0,OR(W67=3,W67=2)),B67-Y67,"---------")</f>
        <v>---------</v>
      </c>
      <c r="AA67" s="21"/>
      <c r="AB67" s="21" t="str">
        <f t="shared" ref="AB67:AB81" si="74">IF(AND($R67&gt;0,$L67&gt;0,$W67=1),$R67+285-90,"-")</f>
        <v>-</v>
      </c>
      <c r="AC67" s="21" t="str">
        <f t="shared" ref="AC67:AC81" si="75">IF(AND(R67&gt;0,W67=1,L67&gt;0),R67+285-60,"-")</f>
        <v>-</v>
      </c>
      <c r="AD67" s="85"/>
      <c r="AE67" s="21" t="str">
        <f t="shared" ref="AE67:AE81" si="76">IF(AND($R67&gt;0,$W67=1),$R67+280-21,"-")</f>
        <v>-</v>
      </c>
      <c r="AF67" s="21" t="str">
        <f t="shared" ref="AF67:AF81" si="77">IF(AND(R67&gt;0,W67=1),R67+280,"-")</f>
        <v>-</v>
      </c>
      <c r="AG67" s="89" t="str">
        <f t="shared" ref="AG67:AG84" ca="1" si="78">IF(AND(B67&gt;0,AF67&gt;0,AA67&gt;0,W67=1),B67-AF67,"-")</f>
        <v>-</v>
      </c>
      <c r="AH67" s="92">
        <v>1</v>
      </c>
      <c r="AI67" s="80" t="str">
        <f t="shared" ref="AI67:AI81" ca="1" si="79">IF(AND(X67="яловая",M67&gt;300),"БРАК","-")</f>
        <v>-</v>
      </c>
      <c r="AJ67" s="80"/>
      <c r="AK67" s="123">
        <v>42661</v>
      </c>
      <c r="AL67" s="22" t="s">
        <v>1630</v>
      </c>
      <c r="AM67" s="80"/>
    </row>
    <row r="68" spans="1:39" s="2" customFormat="1" ht="15.95" customHeight="1" x14ac:dyDescent="0.25">
      <c r="A68" s="77">
        <v>66</v>
      </c>
      <c r="B68" s="84">
        <f t="shared" ca="1" si="65"/>
        <v>43134</v>
      </c>
      <c r="C68" s="29" t="s">
        <v>1554</v>
      </c>
      <c r="D68" s="59" t="s">
        <v>1555</v>
      </c>
      <c r="E68" s="22" t="s">
        <v>1557</v>
      </c>
      <c r="F68" s="27" t="s">
        <v>2070</v>
      </c>
      <c r="G68" s="27"/>
      <c r="H68" s="28" t="s">
        <v>603</v>
      </c>
      <c r="I68" s="20">
        <v>42651</v>
      </c>
      <c r="J68" s="35">
        <f t="shared" ca="1" si="66"/>
        <v>1.3232876712328767</v>
      </c>
      <c r="K68" s="60"/>
      <c r="L68" s="32"/>
      <c r="M68" s="82" t="str">
        <f t="shared" ca="1" si="67"/>
        <v>-</v>
      </c>
      <c r="N68" s="19"/>
      <c r="O68" s="68"/>
      <c r="P68" s="118"/>
      <c r="Q68" s="21"/>
      <c r="R68" s="20"/>
      <c r="S68" s="20" t="str">
        <f t="shared" si="68"/>
        <v>-</v>
      </c>
      <c r="T68" s="19" t="str">
        <f t="shared" ca="1" si="69"/>
        <v>-</v>
      </c>
      <c r="U68" s="3"/>
      <c r="V68" s="22" t="str">
        <f t="shared" si="70"/>
        <v>-</v>
      </c>
      <c r="W68" s="22"/>
      <c r="X68" s="22" t="str">
        <f t="shared" ca="1" si="71"/>
        <v>-</v>
      </c>
      <c r="Y68" s="20" t="str">
        <f t="shared" si="72"/>
        <v>-</v>
      </c>
      <c r="Z68" s="94" t="str">
        <f t="shared" si="73"/>
        <v>---------</v>
      </c>
      <c r="AA68" s="21"/>
      <c r="AB68" s="21" t="str">
        <f t="shared" si="74"/>
        <v>-</v>
      </c>
      <c r="AC68" s="21" t="str">
        <f t="shared" si="75"/>
        <v>-</v>
      </c>
      <c r="AD68" s="85"/>
      <c r="AE68" s="21" t="str">
        <f t="shared" si="76"/>
        <v>-</v>
      </c>
      <c r="AF68" s="21" t="str">
        <f t="shared" si="77"/>
        <v>-</v>
      </c>
      <c r="AG68" s="89" t="str">
        <f t="shared" ca="1" si="78"/>
        <v>-</v>
      </c>
      <c r="AH68" s="92">
        <v>1</v>
      </c>
      <c r="AI68" s="80" t="str">
        <f t="shared" ca="1" si="79"/>
        <v>-</v>
      </c>
      <c r="AJ68" s="80"/>
      <c r="AK68" s="123">
        <v>42663</v>
      </c>
      <c r="AL68" s="22" t="s">
        <v>1614</v>
      </c>
      <c r="AM68" s="80">
        <v>37</v>
      </c>
    </row>
    <row r="69" spans="1:39" s="2" customFormat="1" ht="15.95" customHeight="1" x14ac:dyDescent="0.25">
      <c r="A69" s="77">
        <v>67</v>
      </c>
      <c r="B69" s="84">
        <f t="shared" ca="1" si="65"/>
        <v>43134</v>
      </c>
      <c r="C69" s="29" t="s">
        <v>1554</v>
      </c>
      <c r="D69" s="59" t="s">
        <v>1555</v>
      </c>
      <c r="E69" s="22" t="s">
        <v>1557</v>
      </c>
      <c r="F69" s="27" t="s">
        <v>2071</v>
      </c>
      <c r="G69" s="27"/>
      <c r="H69" s="28" t="s">
        <v>603</v>
      </c>
      <c r="I69" s="20">
        <v>42652</v>
      </c>
      <c r="J69" s="35">
        <f t="shared" ca="1" si="66"/>
        <v>1.3205479452054794</v>
      </c>
      <c r="K69" s="60"/>
      <c r="L69" s="32"/>
      <c r="M69" s="82" t="str">
        <f t="shared" ca="1" si="67"/>
        <v>-</v>
      </c>
      <c r="N69" s="19"/>
      <c r="O69" s="68"/>
      <c r="P69" s="118"/>
      <c r="Q69" s="21"/>
      <c r="R69" s="20"/>
      <c r="S69" s="20" t="str">
        <f t="shared" si="68"/>
        <v>-</v>
      </c>
      <c r="T69" s="19" t="str">
        <f t="shared" ca="1" si="69"/>
        <v>-</v>
      </c>
      <c r="U69" s="3"/>
      <c r="V69" s="22" t="str">
        <f t="shared" si="70"/>
        <v>-</v>
      </c>
      <c r="W69" s="22"/>
      <c r="X69" s="22" t="str">
        <f t="shared" ca="1" si="71"/>
        <v>-</v>
      </c>
      <c r="Y69" s="20" t="str">
        <f t="shared" si="72"/>
        <v>-</v>
      </c>
      <c r="Z69" s="94" t="str">
        <f t="shared" si="73"/>
        <v>---------</v>
      </c>
      <c r="AA69" s="21"/>
      <c r="AB69" s="21" t="str">
        <f t="shared" si="74"/>
        <v>-</v>
      </c>
      <c r="AC69" s="21" t="str">
        <f t="shared" si="75"/>
        <v>-</v>
      </c>
      <c r="AD69" s="85"/>
      <c r="AE69" s="21" t="str">
        <f t="shared" si="76"/>
        <v>-</v>
      </c>
      <c r="AF69" s="21" t="str">
        <f t="shared" si="77"/>
        <v>-</v>
      </c>
      <c r="AG69" s="89" t="str">
        <f t="shared" ca="1" si="78"/>
        <v>-</v>
      </c>
      <c r="AH69" s="92">
        <v>1</v>
      </c>
      <c r="AI69" s="80" t="str">
        <f t="shared" ca="1" si="79"/>
        <v>-</v>
      </c>
      <c r="AJ69" s="80"/>
      <c r="AK69" s="123">
        <v>42663</v>
      </c>
      <c r="AL69" s="22" t="s">
        <v>1614</v>
      </c>
      <c r="AM69" s="80"/>
    </row>
    <row r="70" spans="1:39" s="2" customFormat="1" ht="15.95" customHeight="1" x14ac:dyDescent="0.25">
      <c r="A70" s="77">
        <v>68</v>
      </c>
      <c r="B70" s="84">
        <f t="shared" ca="1" si="65"/>
        <v>43134</v>
      </c>
      <c r="C70" s="29" t="s">
        <v>1554</v>
      </c>
      <c r="D70" s="59" t="s">
        <v>1555</v>
      </c>
      <c r="E70" s="22" t="s">
        <v>1557</v>
      </c>
      <c r="F70" s="27" t="s">
        <v>2072</v>
      </c>
      <c r="G70" s="27"/>
      <c r="H70" s="28" t="s">
        <v>603</v>
      </c>
      <c r="I70" s="20">
        <v>42653</v>
      </c>
      <c r="J70" s="35">
        <f t="shared" ca="1" si="66"/>
        <v>1.3178082191780822</v>
      </c>
      <c r="K70" s="60"/>
      <c r="L70" s="32"/>
      <c r="M70" s="82" t="str">
        <f t="shared" ca="1" si="67"/>
        <v>-</v>
      </c>
      <c r="N70" s="19"/>
      <c r="O70" s="68"/>
      <c r="P70" s="118"/>
      <c r="Q70" s="21"/>
      <c r="R70" s="20"/>
      <c r="S70" s="20" t="str">
        <f t="shared" si="68"/>
        <v>-</v>
      </c>
      <c r="T70" s="19" t="str">
        <f t="shared" ca="1" si="69"/>
        <v>-</v>
      </c>
      <c r="U70" s="3"/>
      <c r="V70" s="22" t="str">
        <f t="shared" si="70"/>
        <v>-</v>
      </c>
      <c r="W70" s="22"/>
      <c r="X70" s="22" t="str">
        <f t="shared" ca="1" si="71"/>
        <v>-</v>
      </c>
      <c r="Y70" s="20" t="str">
        <f t="shared" si="72"/>
        <v>-</v>
      </c>
      <c r="Z70" s="94" t="str">
        <f t="shared" si="73"/>
        <v>---------</v>
      </c>
      <c r="AA70" s="21"/>
      <c r="AB70" s="21" t="str">
        <f t="shared" si="74"/>
        <v>-</v>
      </c>
      <c r="AC70" s="21" t="str">
        <f t="shared" si="75"/>
        <v>-</v>
      </c>
      <c r="AD70" s="85"/>
      <c r="AE70" s="21" t="str">
        <f t="shared" si="76"/>
        <v>-</v>
      </c>
      <c r="AF70" s="21" t="str">
        <f t="shared" si="77"/>
        <v>-</v>
      </c>
      <c r="AG70" s="89" t="str">
        <f t="shared" ca="1" si="78"/>
        <v>-</v>
      </c>
      <c r="AH70" s="92">
        <v>1</v>
      </c>
      <c r="AI70" s="80" t="str">
        <f t="shared" ca="1" si="79"/>
        <v>-</v>
      </c>
      <c r="AJ70" s="80"/>
      <c r="AK70" s="123">
        <v>42663</v>
      </c>
      <c r="AL70" s="22" t="s">
        <v>1614</v>
      </c>
      <c r="AM70" s="80"/>
    </row>
    <row r="71" spans="1:39" s="2" customFormat="1" ht="15.95" customHeight="1" x14ac:dyDescent="0.25">
      <c r="A71" s="77">
        <v>69</v>
      </c>
      <c r="B71" s="84">
        <f t="shared" ca="1" si="65"/>
        <v>43134</v>
      </c>
      <c r="C71" s="29" t="s">
        <v>1554</v>
      </c>
      <c r="D71" s="59" t="s">
        <v>1555</v>
      </c>
      <c r="E71" s="22" t="s">
        <v>1557</v>
      </c>
      <c r="F71" s="27" t="s">
        <v>2134</v>
      </c>
      <c r="G71" s="27"/>
      <c r="H71" s="28" t="s">
        <v>603</v>
      </c>
      <c r="I71" s="20">
        <v>42655</v>
      </c>
      <c r="J71" s="35">
        <f t="shared" ca="1" si="66"/>
        <v>1.3123287671232877</v>
      </c>
      <c r="K71" s="60"/>
      <c r="L71" s="32"/>
      <c r="M71" s="82" t="str">
        <f t="shared" ca="1" si="67"/>
        <v>-</v>
      </c>
      <c r="N71" s="19"/>
      <c r="O71" s="68"/>
      <c r="P71" s="118"/>
      <c r="Q71" s="21"/>
      <c r="R71" s="20"/>
      <c r="S71" s="20" t="str">
        <f t="shared" si="68"/>
        <v>-</v>
      </c>
      <c r="T71" s="19" t="str">
        <f t="shared" ca="1" si="69"/>
        <v>-</v>
      </c>
      <c r="U71" s="3"/>
      <c r="V71" s="22" t="str">
        <f t="shared" si="70"/>
        <v>-</v>
      </c>
      <c r="W71" s="22"/>
      <c r="X71" s="22" t="str">
        <f t="shared" ca="1" si="71"/>
        <v>-</v>
      </c>
      <c r="Y71" s="20" t="str">
        <f t="shared" si="72"/>
        <v>-</v>
      </c>
      <c r="Z71" s="94" t="str">
        <f t="shared" si="73"/>
        <v>---------</v>
      </c>
      <c r="AA71" s="21"/>
      <c r="AB71" s="21" t="str">
        <f t="shared" si="74"/>
        <v>-</v>
      </c>
      <c r="AC71" s="21" t="str">
        <f t="shared" si="75"/>
        <v>-</v>
      </c>
      <c r="AD71" s="85"/>
      <c r="AE71" s="21" t="str">
        <f t="shared" si="76"/>
        <v>-</v>
      </c>
      <c r="AF71" s="21" t="str">
        <f t="shared" si="77"/>
        <v>-</v>
      </c>
      <c r="AG71" s="89" t="str">
        <f t="shared" ca="1" si="78"/>
        <v>-</v>
      </c>
      <c r="AH71" s="92">
        <v>1</v>
      </c>
      <c r="AI71" s="80" t="str">
        <f t="shared" ca="1" si="79"/>
        <v>-</v>
      </c>
      <c r="AJ71" s="80"/>
      <c r="AK71" s="123">
        <v>42663</v>
      </c>
      <c r="AL71" s="22" t="s">
        <v>1614</v>
      </c>
      <c r="AM71" s="80"/>
    </row>
    <row r="72" spans="1:39" s="2" customFormat="1" ht="15.95" customHeight="1" x14ac:dyDescent="0.25">
      <c r="A72" s="77">
        <v>70</v>
      </c>
      <c r="B72" s="84">
        <f t="shared" ca="1" si="65"/>
        <v>43134</v>
      </c>
      <c r="C72" s="29" t="s">
        <v>1554</v>
      </c>
      <c r="D72" s="59" t="s">
        <v>1555</v>
      </c>
      <c r="E72" s="22" t="s">
        <v>1557</v>
      </c>
      <c r="F72" s="27" t="s">
        <v>2145</v>
      </c>
      <c r="G72" s="27"/>
      <c r="H72" s="28" t="s">
        <v>603</v>
      </c>
      <c r="I72" s="20">
        <v>42662</v>
      </c>
      <c r="J72" s="35">
        <f t="shared" ca="1" si="66"/>
        <v>1.2931506849315069</v>
      </c>
      <c r="K72" s="60"/>
      <c r="L72" s="32"/>
      <c r="M72" s="82" t="str">
        <f t="shared" ca="1" si="67"/>
        <v>-</v>
      </c>
      <c r="N72" s="19"/>
      <c r="O72" s="68"/>
      <c r="P72" s="118"/>
      <c r="Q72" s="21"/>
      <c r="R72" s="20"/>
      <c r="S72" s="20" t="str">
        <f t="shared" si="68"/>
        <v>-</v>
      </c>
      <c r="T72" s="19" t="str">
        <f t="shared" ca="1" si="69"/>
        <v>-</v>
      </c>
      <c r="U72" s="3"/>
      <c r="V72" s="22" t="str">
        <f t="shared" si="70"/>
        <v>-</v>
      </c>
      <c r="W72" s="22"/>
      <c r="X72" s="22" t="str">
        <f t="shared" ca="1" si="71"/>
        <v>-</v>
      </c>
      <c r="Y72" s="20" t="str">
        <f t="shared" si="72"/>
        <v>-</v>
      </c>
      <c r="Z72" s="94" t="str">
        <f t="shared" si="73"/>
        <v>---------</v>
      </c>
      <c r="AA72" s="21"/>
      <c r="AB72" s="21" t="str">
        <f t="shared" si="74"/>
        <v>-</v>
      </c>
      <c r="AC72" s="21" t="str">
        <f t="shared" si="75"/>
        <v>-</v>
      </c>
      <c r="AD72" s="85"/>
      <c r="AE72" s="21" t="str">
        <f t="shared" si="76"/>
        <v>-</v>
      </c>
      <c r="AF72" s="21" t="str">
        <f t="shared" si="77"/>
        <v>-</v>
      </c>
      <c r="AG72" s="89" t="str">
        <f t="shared" ca="1" si="78"/>
        <v>-</v>
      </c>
      <c r="AH72" s="92">
        <v>2</v>
      </c>
      <c r="AI72" s="80" t="str">
        <f t="shared" ca="1" si="79"/>
        <v>-</v>
      </c>
      <c r="AJ72" s="80"/>
      <c r="AK72" s="123">
        <v>42663</v>
      </c>
      <c r="AL72" s="22" t="s">
        <v>1614</v>
      </c>
      <c r="AM72" s="80"/>
    </row>
    <row r="73" spans="1:39" s="1" customFormat="1" ht="15.75" x14ac:dyDescent="0.25">
      <c r="A73" s="77">
        <v>71</v>
      </c>
      <c r="B73" s="84">
        <f t="shared" ca="1" si="65"/>
        <v>43134</v>
      </c>
      <c r="C73" s="29" t="s">
        <v>1554</v>
      </c>
      <c r="D73" s="59" t="s">
        <v>1635</v>
      </c>
      <c r="E73" s="22" t="s">
        <v>1557</v>
      </c>
      <c r="F73" s="27" t="s">
        <v>2002</v>
      </c>
      <c r="G73" s="27"/>
      <c r="H73" s="28" t="s">
        <v>603</v>
      </c>
      <c r="I73" s="20">
        <v>42639</v>
      </c>
      <c r="J73" s="35">
        <f t="shared" ca="1" si="66"/>
        <v>1.3561643835616439</v>
      </c>
      <c r="K73" s="60"/>
      <c r="L73" s="32"/>
      <c r="M73" s="82" t="str">
        <f t="shared" ca="1" si="67"/>
        <v>-</v>
      </c>
      <c r="N73" s="19"/>
      <c r="O73" s="68"/>
      <c r="P73" s="118"/>
      <c r="Q73" s="21"/>
      <c r="R73" s="20"/>
      <c r="S73" s="20" t="str">
        <f t="shared" si="68"/>
        <v>-</v>
      </c>
      <c r="T73" s="19" t="str">
        <f t="shared" ca="1" si="69"/>
        <v>-</v>
      </c>
      <c r="U73" s="3"/>
      <c r="V73" s="22" t="str">
        <f t="shared" si="70"/>
        <v>-</v>
      </c>
      <c r="W73" s="22"/>
      <c r="X73" s="22" t="str">
        <f t="shared" ca="1" si="71"/>
        <v>-</v>
      </c>
      <c r="Y73" s="20" t="str">
        <f t="shared" si="72"/>
        <v>-</v>
      </c>
      <c r="Z73" s="94" t="str">
        <f t="shared" si="73"/>
        <v>---------</v>
      </c>
      <c r="AA73" s="21"/>
      <c r="AB73" s="21" t="str">
        <f t="shared" si="74"/>
        <v>-</v>
      </c>
      <c r="AC73" s="21" t="str">
        <f t="shared" si="75"/>
        <v>-</v>
      </c>
      <c r="AD73" s="85"/>
      <c r="AE73" s="21" t="str">
        <f t="shared" si="76"/>
        <v>-</v>
      </c>
      <c r="AF73" s="21" t="str">
        <f t="shared" si="77"/>
        <v>-</v>
      </c>
      <c r="AG73" s="89" t="str">
        <f t="shared" ca="1" si="78"/>
        <v>-</v>
      </c>
      <c r="AH73" s="92">
        <v>1</v>
      </c>
      <c r="AI73" s="80" t="str">
        <f t="shared" ca="1" si="79"/>
        <v>-</v>
      </c>
      <c r="AJ73" s="80"/>
      <c r="AK73" s="123">
        <v>42663</v>
      </c>
      <c r="AL73" s="22" t="s">
        <v>1614</v>
      </c>
      <c r="AM73" s="80"/>
    </row>
    <row r="74" spans="1:39" s="1" customFormat="1" ht="15.75" x14ac:dyDescent="0.25">
      <c r="A74" s="77">
        <v>72</v>
      </c>
      <c r="B74" s="84">
        <f t="shared" ca="1" si="65"/>
        <v>43134</v>
      </c>
      <c r="C74" s="29" t="s">
        <v>1554</v>
      </c>
      <c r="D74" s="59" t="s">
        <v>1635</v>
      </c>
      <c r="E74" s="22" t="s">
        <v>1557</v>
      </c>
      <c r="F74" s="27" t="s">
        <v>1896</v>
      </c>
      <c r="G74" s="27"/>
      <c r="H74" s="28" t="s">
        <v>603</v>
      </c>
      <c r="I74" s="20">
        <v>42632</v>
      </c>
      <c r="J74" s="35">
        <f t="shared" ca="1" si="66"/>
        <v>1.3753424657534246</v>
      </c>
      <c r="K74" s="60"/>
      <c r="L74" s="32"/>
      <c r="M74" s="82" t="str">
        <f t="shared" ca="1" si="67"/>
        <v>-</v>
      </c>
      <c r="N74" s="19"/>
      <c r="O74" s="68"/>
      <c r="P74" s="118"/>
      <c r="Q74" s="21"/>
      <c r="R74" s="20"/>
      <c r="S74" s="20" t="str">
        <f t="shared" si="68"/>
        <v>-</v>
      </c>
      <c r="T74" s="19" t="str">
        <f t="shared" ca="1" si="69"/>
        <v>-</v>
      </c>
      <c r="U74" s="3"/>
      <c r="V74" s="22" t="str">
        <f t="shared" si="70"/>
        <v>-</v>
      </c>
      <c r="W74" s="22"/>
      <c r="X74" s="22" t="str">
        <f t="shared" ca="1" si="71"/>
        <v>-</v>
      </c>
      <c r="Y74" s="20" t="str">
        <f t="shared" si="72"/>
        <v>-</v>
      </c>
      <c r="Z74" s="94" t="str">
        <f t="shared" si="73"/>
        <v>---------</v>
      </c>
      <c r="AA74" s="21"/>
      <c r="AB74" s="21" t="str">
        <f t="shared" si="74"/>
        <v>-</v>
      </c>
      <c r="AC74" s="21" t="str">
        <f t="shared" si="75"/>
        <v>-</v>
      </c>
      <c r="AD74" s="85"/>
      <c r="AE74" s="21" t="str">
        <f t="shared" si="76"/>
        <v>-</v>
      </c>
      <c r="AF74" s="21" t="str">
        <f t="shared" si="77"/>
        <v>-</v>
      </c>
      <c r="AG74" s="89" t="str">
        <f t="shared" ca="1" si="78"/>
        <v>-</v>
      </c>
      <c r="AH74" s="92">
        <v>1</v>
      </c>
      <c r="AI74" s="80" t="str">
        <f t="shared" ca="1" si="79"/>
        <v>-</v>
      </c>
      <c r="AJ74" s="80"/>
      <c r="AK74" s="123">
        <v>42663</v>
      </c>
      <c r="AL74" s="22" t="s">
        <v>1614</v>
      </c>
      <c r="AM74" s="80"/>
    </row>
    <row r="75" spans="1:39" s="1" customFormat="1" ht="15.75" x14ac:dyDescent="0.25">
      <c r="A75" s="77">
        <v>73</v>
      </c>
      <c r="B75" s="84">
        <f t="shared" ca="1" si="65"/>
        <v>43134</v>
      </c>
      <c r="C75" s="29" t="s">
        <v>1554</v>
      </c>
      <c r="D75" s="59" t="s">
        <v>1635</v>
      </c>
      <c r="E75" s="22" t="s">
        <v>1557</v>
      </c>
      <c r="F75" s="27" t="s">
        <v>2004</v>
      </c>
      <c r="G75" s="27"/>
      <c r="H75" s="28" t="s">
        <v>603</v>
      </c>
      <c r="I75" s="20">
        <v>42644</v>
      </c>
      <c r="J75" s="35">
        <f t="shared" ca="1" si="66"/>
        <v>1.3424657534246576</v>
      </c>
      <c r="K75" s="60"/>
      <c r="L75" s="32"/>
      <c r="M75" s="82" t="str">
        <f t="shared" ca="1" si="67"/>
        <v>-</v>
      </c>
      <c r="N75" s="19"/>
      <c r="O75" s="68"/>
      <c r="P75" s="118"/>
      <c r="Q75" s="21"/>
      <c r="R75" s="20"/>
      <c r="S75" s="20" t="str">
        <f t="shared" si="68"/>
        <v>-</v>
      </c>
      <c r="T75" s="19" t="str">
        <f t="shared" ca="1" si="69"/>
        <v>-</v>
      </c>
      <c r="U75" s="3"/>
      <c r="V75" s="22" t="str">
        <f t="shared" si="70"/>
        <v>-</v>
      </c>
      <c r="W75" s="22"/>
      <c r="X75" s="22" t="str">
        <f t="shared" ca="1" si="71"/>
        <v>-</v>
      </c>
      <c r="Y75" s="20" t="str">
        <f t="shared" si="72"/>
        <v>-</v>
      </c>
      <c r="Z75" s="94" t="str">
        <f t="shared" si="73"/>
        <v>---------</v>
      </c>
      <c r="AA75" s="21"/>
      <c r="AB75" s="21" t="str">
        <f t="shared" si="74"/>
        <v>-</v>
      </c>
      <c r="AC75" s="21" t="str">
        <f t="shared" si="75"/>
        <v>-</v>
      </c>
      <c r="AD75" s="85"/>
      <c r="AE75" s="21" t="str">
        <f t="shared" si="76"/>
        <v>-</v>
      </c>
      <c r="AF75" s="21" t="str">
        <f t="shared" si="77"/>
        <v>-</v>
      </c>
      <c r="AG75" s="89" t="str">
        <f t="shared" ca="1" si="78"/>
        <v>-</v>
      </c>
      <c r="AH75" s="92">
        <v>1</v>
      </c>
      <c r="AI75" s="80" t="str">
        <f t="shared" ca="1" si="79"/>
        <v>-</v>
      </c>
      <c r="AJ75" s="80"/>
      <c r="AK75" s="123">
        <v>42663</v>
      </c>
      <c r="AL75" s="22" t="s">
        <v>1614</v>
      </c>
      <c r="AM75" s="80"/>
    </row>
    <row r="76" spans="1:39" s="1" customFormat="1" ht="15.75" x14ac:dyDescent="0.25">
      <c r="A76" s="77">
        <v>74</v>
      </c>
      <c r="B76" s="84">
        <f t="shared" ca="1" si="65"/>
        <v>43134</v>
      </c>
      <c r="C76" s="29" t="s">
        <v>1554</v>
      </c>
      <c r="D76" s="59" t="s">
        <v>1635</v>
      </c>
      <c r="E76" s="22" t="s">
        <v>1557</v>
      </c>
      <c r="F76" s="27" t="s">
        <v>2005</v>
      </c>
      <c r="G76" s="27"/>
      <c r="H76" s="28" t="s">
        <v>603</v>
      </c>
      <c r="I76" s="20">
        <v>42645</v>
      </c>
      <c r="J76" s="35">
        <f t="shared" ca="1" si="66"/>
        <v>1.3397260273972602</v>
      </c>
      <c r="K76" s="60"/>
      <c r="L76" s="32"/>
      <c r="M76" s="82" t="str">
        <f t="shared" ca="1" si="67"/>
        <v>-</v>
      </c>
      <c r="N76" s="19"/>
      <c r="O76" s="68"/>
      <c r="P76" s="118"/>
      <c r="Q76" s="21"/>
      <c r="R76" s="20"/>
      <c r="S76" s="20" t="str">
        <f t="shared" si="68"/>
        <v>-</v>
      </c>
      <c r="T76" s="19" t="str">
        <f t="shared" ca="1" si="69"/>
        <v>-</v>
      </c>
      <c r="U76" s="3"/>
      <c r="V76" s="22" t="str">
        <f t="shared" si="70"/>
        <v>-</v>
      </c>
      <c r="W76" s="22"/>
      <c r="X76" s="22" t="str">
        <f t="shared" ca="1" si="71"/>
        <v>-</v>
      </c>
      <c r="Y76" s="20" t="str">
        <f t="shared" si="72"/>
        <v>-</v>
      </c>
      <c r="Z76" s="94" t="str">
        <f t="shared" si="73"/>
        <v>---------</v>
      </c>
      <c r="AA76" s="21"/>
      <c r="AB76" s="21" t="str">
        <f t="shared" si="74"/>
        <v>-</v>
      </c>
      <c r="AC76" s="21" t="str">
        <f t="shared" si="75"/>
        <v>-</v>
      </c>
      <c r="AD76" s="85"/>
      <c r="AE76" s="21" t="str">
        <f t="shared" si="76"/>
        <v>-</v>
      </c>
      <c r="AF76" s="21" t="str">
        <f t="shared" si="77"/>
        <v>-</v>
      </c>
      <c r="AG76" s="89" t="str">
        <f t="shared" ca="1" si="78"/>
        <v>-</v>
      </c>
      <c r="AH76" s="92">
        <v>1</v>
      </c>
      <c r="AI76" s="80" t="str">
        <f t="shared" ca="1" si="79"/>
        <v>-</v>
      </c>
      <c r="AJ76" s="80"/>
      <c r="AK76" s="123">
        <v>42663</v>
      </c>
      <c r="AL76" s="22" t="s">
        <v>1614</v>
      </c>
      <c r="AM76" s="80"/>
    </row>
    <row r="77" spans="1:39" s="1" customFormat="1" ht="15.75" x14ac:dyDescent="0.25">
      <c r="A77" s="77">
        <v>75</v>
      </c>
      <c r="B77" s="84">
        <f t="shared" ca="1" si="65"/>
        <v>43134</v>
      </c>
      <c r="C77" s="29" t="s">
        <v>1554</v>
      </c>
      <c r="D77" s="59" t="s">
        <v>1635</v>
      </c>
      <c r="E77" s="22" t="s">
        <v>1557</v>
      </c>
      <c r="F77" s="27" t="s">
        <v>2000</v>
      </c>
      <c r="G77" s="27"/>
      <c r="H77" s="28" t="s">
        <v>603</v>
      </c>
      <c r="I77" s="20">
        <v>42634</v>
      </c>
      <c r="J77" s="35">
        <f t="shared" ca="1" si="66"/>
        <v>1.3698630136986301</v>
      </c>
      <c r="K77" s="60"/>
      <c r="L77" s="32"/>
      <c r="M77" s="82" t="str">
        <f t="shared" ca="1" si="67"/>
        <v>-</v>
      </c>
      <c r="N77" s="19"/>
      <c r="O77" s="68"/>
      <c r="P77" s="118"/>
      <c r="Q77" s="21"/>
      <c r="R77" s="20"/>
      <c r="S77" s="20" t="str">
        <f t="shared" si="68"/>
        <v>-</v>
      </c>
      <c r="T77" s="19" t="str">
        <f t="shared" ca="1" si="69"/>
        <v>-</v>
      </c>
      <c r="U77" s="3"/>
      <c r="V77" s="22" t="str">
        <f t="shared" si="70"/>
        <v>-</v>
      </c>
      <c r="W77" s="22"/>
      <c r="X77" s="22" t="str">
        <f t="shared" ca="1" si="71"/>
        <v>-</v>
      </c>
      <c r="Y77" s="20" t="str">
        <f t="shared" si="72"/>
        <v>-</v>
      </c>
      <c r="Z77" s="94" t="str">
        <f t="shared" si="73"/>
        <v>---------</v>
      </c>
      <c r="AA77" s="21"/>
      <c r="AB77" s="21" t="str">
        <f t="shared" si="74"/>
        <v>-</v>
      </c>
      <c r="AC77" s="21" t="str">
        <f t="shared" si="75"/>
        <v>-</v>
      </c>
      <c r="AD77" s="85"/>
      <c r="AE77" s="21" t="str">
        <f t="shared" si="76"/>
        <v>-</v>
      </c>
      <c r="AF77" s="21" t="str">
        <f t="shared" si="77"/>
        <v>-</v>
      </c>
      <c r="AG77" s="89" t="str">
        <f t="shared" ca="1" si="78"/>
        <v>-</v>
      </c>
      <c r="AH77" s="92">
        <v>1</v>
      </c>
      <c r="AI77" s="80" t="str">
        <f t="shared" ca="1" si="79"/>
        <v>-</v>
      </c>
      <c r="AJ77" s="80"/>
      <c r="AK77" s="123">
        <v>42663</v>
      </c>
      <c r="AL77" s="22" t="s">
        <v>1614</v>
      </c>
      <c r="AM77" s="80"/>
    </row>
    <row r="78" spans="1:39" s="1" customFormat="1" ht="15.75" x14ac:dyDescent="0.25">
      <c r="A78" s="77">
        <v>76</v>
      </c>
      <c r="B78" s="84">
        <f t="shared" ca="1" si="65"/>
        <v>43134</v>
      </c>
      <c r="C78" s="29" t="s">
        <v>1554</v>
      </c>
      <c r="D78" s="59" t="s">
        <v>1635</v>
      </c>
      <c r="E78" s="22" t="s">
        <v>1557</v>
      </c>
      <c r="F78" s="27" t="s">
        <v>1889</v>
      </c>
      <c r="G78" s="27"/>
      <c r="H78" s="28" t="s">
        <v>603</v>
      </c>
      <c r="I78" s="20">
        <v>42628</v>
      </c>
      <c r="J78" s="35">
        <f t="shared" ca="1" si="66"/>
        <v>1.3863013698630138</v>
      </c>
      <c r="K78" s="60"/>
      <c r="L78" s="32"/>
      <c r="M78" s="82" t="str">
        <f t="shared" ca="1" si="67"/>
        <v>-</v>
      </c>
      <c r="N78" s="19"/>
      <c r="O78" s="68"/>
      <c r="P78" s="118"/>
      <c r="Q78" s="21"/>
      <c r="R78" s="20"/>
      <c r="S78" s="20" t="str">
        <f t="shared" si="68"/>
        <v>-</v>
      </c>
      <c r="T78" s="19" t="str">
        <f t="shared" ca="1" si="69"/>
        <v>-</v>
      </c>
      <c r="U78" s="3"/>
      <c r="V78" s="22" t="str">
        <f t="shared" si="70"/>
        <v>-</v>
      </c>
      <c r="W78" s="22"/>
      <c r="X78" s="22" t="str">
        <f t="shared" ca="1" si="71"/>
        <v>-</v>
      </c>
      <c r="Y78" s="20" t="str">
        <f t="shared" si="72"/>
        <v>-</v>
      </c>
      <c r="Z78" s="94" t="str">
        <f t="shared" si="73"/>
        <v>---------</v>
      </c>
      <c r="AA78" s="21"/>
      <c r="AB78" s="21" t="str">
        <f t="shared" si="74"/>
        <v>-</v>
      </c>
      <c r="AC78" s="21" t="str">
        <f t="shared" si="75"/>
        <v>-</v>
      </c>
      <c r="AD78" s="85"/>
      <c r="AE78" s="21" t="str">
        <f t="shared" si="76"/>
        <v>-</v>
      </c>
      <c r="AF78" s="21" t="str">
        <f t="shared" si="77"/>
        <v>-</v>
      </c>
      <c r="AG78" s="89" t="str">
        <f t="shared" ca="1" si="78"/>
        <v>-</v>
      </c>
      <c r="AH78" s="92">
        <v>1</v>
      </c>
      <c r="AI78" s="80" t="str">
        <f t="shared" ca="1" si="79"/>
        <v>-</v>
      </c>
      <c r="AJ78" s="80"/>
      <c r="AK78" s="123">
        <v>42663</v>
      </c>
      <c r="AL78" s="22" t="s">
        <v>1614</v>
      </c>
      <c r="AM78" s="80"/>
    </row>
    <row r="79" spans="1:39" s="1" customFormat="1" ht="15.75" x14ac:dyDescent="0.25">
      <c r="A79" s="77">
        <v>77</v>
      </c>
      <c r="B79" s="84">
        <f t="shared" ca="1" si="65"/>
        <v>43134</v>
      </c>
      <c r="C79" s="29" t="s">
        <v>1554</v>
      </c>
      <c r="D79" s="59" t="s">
        <v>1635</v>
      </c>
      <c r="E79" s="22" t="s">
        <v>1557</v>
      </c>
      <c r="F79" s="27" t="s">
        <v>1867</v>
      </c>
      <c r="G79" s="27"/>
      <c r="H79" s="28" t="s">
        <v>603</v>
      </c>
      <c r="I79" s="20">
        <v>42619</v>
      </c>
      <c r="J79" s="35">
        <f t="shared" ca="1" si="66"/>
        <v>1.4109589041095891</v>
      </c>
      <c r="K79" s="60"/>
      <c r="L79" s="32"/>
      <c r="M79" s="82" t="str">
        <f t="shared" ca="1" si="67"/>
        <v>-</v>
      </c>
      <c r="N79" s="19"/>
      <c r="O79" s="68"/>
      <c r="P79" s="118"/>
      <c r="Q79" s="21"/>
      <c r="R79" s="20"/>
      <c r="S79" s="20" t="str">
        <f t="shared" si="68"/>
        <v>-</v>
      </c>
      <c r="T79" s="19" t="str">
        <f t="shared" ca="1" si="69"/>
        <v>-</v>
      </c>
      <c r="U79" s="3"/>
      <c r="V79" s="22" t="str">
        <f t="shared" si="70"/>
        <v>-</v>
      </c>
      <c r="W79" s="22"/>
      <c r="X79" s="22" t="str">
        <f t="shared" ca="1" si="71"/>
        <v>-</v>
      </c>
      <c r="Y79" s="20" t="str">
        <f t="shared" si="72"/>
        <v>-</v>
      </c>
      <c r="Z79" s="94" t="str">
        <f t="shared" si="73"/>
        <v>---------</v>
      </c>
      <c r="AA79" s="21"/>
      <c r="AB79" s="21" t="str">
        <f t="shared" si="74"/>
        <v>-</v>
      </c>
      <c r="AC79" s="21" t="str">
        <f t="shared" si="75"/>
        <v>-</v>
      </c>
      <c r="AD79" s="85"/>
      <c r="AE79" s="21" t="str">
        <f t="shared" si="76"/>
        <v>-</v>
      </c>
      <c r="AF79" s="21" t="str">
        <f t="shared" si="77"/>
        <v>-</v>
      </c>
      <c r="AG79" s="89" t="str">
        <f t="shared" ca="1" si="78"/>
        <v>-</v>
      </c>
      <c r="AH79" s="92">
        <v>1</v>
      </c>
      <c r="AI79" s="80" t="str">
        <f t="shared" ca="1" si="79"/>
        <v>-</v>
      </c>
      <c r="AJ79" s="80"/>
      <c r="AK79" s="123">
        <v>42663</v>
      </c>
      <c r="AL79" s="22" t="s">
        <v>1614</v>
      </c>
      <c r="AM79" s="80"/>
    </row>
    <row r="80" spans="1:39" s="1" customFormat="1" ht="15.75" x14ac:dyDescent="0.25">
      <c r="A80" s="77">
        <v>78</v>
      </c>
      <c r="B80" s="84">
        <f t="shared" ca="1" si="65"/>
        <v>43134</v>
      </c>
      <c r="C80" s="29" t="s">
        <v>1554</v>
      </c>
      <c r="D80" s="59" t="s">
        <v>1635</v>
      </c>
      <c r="E80" s="22" t="s">
        <v>1557</v>
      </c>
      <c r="F80" s="27" t="s">
        <v>1877</v>
      </c>
      <c r="G80" s="27"/>
      <c r="H80" s="28" t="s">
        <v>603</v>
      </c>
      <c r="I80" s="20">
        <v>42622</v>
      </c>
      <c r="J80" s="35">
        <f t="shared" ca="1" si="66"/>
        <v>1.4027397260273973</v>
      </c>
      <c r="K80" s="60"/>
      <c r="L80" s="32"/>
      <c r="M80" s="82" t="str">
        <f t="shared" ca="1" si="67"/>
        <v>-</v>
      </c>
      <c r="N80" s="19"/>
      <c r="O80" s="68"/>
      <c r="P80" s="118"/>
      <c r="Q80" s="21"/>
      <c r="R80" s="20"/>
      <c r="S80" s="20" t="str">
        <f t="shared" si="68"/>
        <v>-</v>
      </c>
      <c r="T80" s="19" t="str">
        <f t="shared" ca="1" si="69"/>
        <v>-</v>
      </c>
      <c r="U80" s="3"/>
      <c r="V80" s="22" t="str">
        <f t="shared" si="70"/>
        <v>-</v>
      </c>
      <c r="W80" s="22"/>
      <c r="X80" s="22" t="str">
        <f t="shared" ca="1" si="71"/>
        <v>-</v>
      </c>
      <c r="Y80" s="20" t="str">
        <f t="shared" si="72"/>
        <v>-</v>
      </c>
      <c r="Z80" s="94" t="str">
        <f t="shared" si="73"/>
        <v>---------</v>
      </c>
      <c r="AA80" s="21"/>
      <c r="AB80" s="21" t="str">
        <f t="shared" si="74"/>
        <v>-</v>
      </c>
      <c r="AC80" s="21" t="str">
        <f t="shared" si="75"/>
        <v>-</v>
      </c>
      <c r="AD80" s="85"/>
      <c r="AE80" s="21" t="str">
        <f t="shared" si="76"/>
        <v>-</v>
      </c>
      <c r="AF80" s="21" t="str">
        <f t="shared" si="77"/>
        <v>-</v>
      </c>
      <c r="AG80" s="89" t="str">
        <f t="shared" ca="1" si="78"/>
        <v>-</v>
      </c>
      <c r="AH80" s="92">
        <v>1</v>
      </c>
      <c r="AI80" s="80" t="str">
        <f t="shared" ca="1" si="79"/>
        <v>-</v>
      </c>
      <c r="AJ80" s="80"/>
      <c r="AK80" s="123">
        <v>42663</v>
      </c>
      <c r="AL80" s="22" t="s">
        <v>1614</v>
      </c>
      <c r="AM80" s="80"/>
    </row>
    <row r="81" spans="1:39" s="1" customFormat="1" ht="15.75" x14ac:dyDescent="0.25">
      <c r="A81" s="77">
        <v>79</v>
      </c>
      <c r="B81" s="84">
        <f t="shared" ca="1" si="65"/>
        <v>43134</v>
      </c>
      <c r="C81" s="29" t="s">
        <v>1554</v>
      </c>
      <c r="D81" s="59" t="s">
        <v>1555</v>
      </c>
      <c r="E81" s="22" t="s">
        <v>1557</v>
      </c>
      <c r="F81" s="27" t="s">
        <v>2147</v>
      </c>
      <c r="G81" s="27"/>
      <c r="H81" s="28" t="s">
        <v>603</v>
      </c>
      <c r="I81" s="20">
        <v>42663</v>
      </c>
      <c r="J81" s="35">
        <f t="shared" ca="1" si="66"/>
        <v>1.2904109589041095</v>
      </c>
      <c r="K81" s="60"/>
      <c r="L81" s="32"/>
      <c r="M81" s="82"/>
      <c r="N81" s="19"/>
      <c r="O81" s="68"/>
      <c r="P81" s="118"/>
      <c r="Q81" s="21"/>
      <c r="R81" s="20"/>
      <c r="S81" s="20" t="str">
        <f t="shared" si="68"/>
        <v>-</v>
      </c>
      <c r="T81" s="19" t="str">
        <f t="shared" ca="1" si="69"/>
        <v>-</v>
      </c>
      <c r="U81" s="3"/>
      <c r="V81" s="22" t="str">
        <f t="shared" si="70"/>
        <v>-</v>
      </c>
      <c r="W81" s="22"/>
      <c r="X81" s="22" t="str">
        <f t="shared" si="71"/>
        <v>-</v>
      </c>
      <c r="Y81" s="20" t="str">
        <f t="shared" si="72"/>
        <v>-</v>
      </c>
      <c r="Z81" s="94" t="str">
        <f t="shared" si="73"/>
        <v>---------</v>
      </c>
      <c r="AA81" s="21"/>
      <c r="AB81" s="21" t="str">
        <f t="shared" si="74"/>
        <v>-</v>
      </c>
      <c r="AC81" s="21" t="str">
        <f t="shared" si="75"/>
        <v>-</v>
      </c>
      <c r="AD81" s="85"/>
      <c r="AE81" s="21" t="str">
        <f t="shared" si="76"/>
        <v>-</v>
      </c>
      <c r="AF81" s="21" t="str">
        <f t="shared" si="77"/>
        <v>-</v>
      </c>
      <c r="AG81" s="89" t="str">
        <f t="shared" ca="1" si="78"/>
        <v>-</v>
      </c>
      <c r="AH81" s="92">
        <v>4</v>
      </c>
      <c r="AI81" s="80" t="str">
        <f t="shared" si="79"/>
        <v>-</v>
      </c>
      <c r="AJ81" s="80"/>
      <c r="AK81" s="123">
        <v>42663</v>
      </c>
      <c r="AL81" s="22" t="s">
        <v>1614</v>
      </c>
      <c r="AM81" s="80"/>
    </row>
    <row r="82" spans="1:39" s="2" customFormat="1" ht="15.95" customHeight="1" x14ac:dyDescent="0.25">
      <c r="A82" s="77">
        <v>80</v>
      </c>
      <c r="B82" s="84">
        <f t="shared" ca="1" si="65"/>
        <v>43134</v>
      </c>
      <c r="C82" s="29" t="s">
        <v>1554</v>
      </c>
      <c r="D82" s="59" t="s">
        <v>1555</v>
      </c>
      <c r="E82" s="22" t="s">
        <v>1557</v>
      </c>
      <c r="F82" s="27" t="s">
        <v>2155</v>
      </c>
      <c r="G82" s="27"/>
      <c r="H82" s="28" t="s">
        <v>603</v>
      </c>
      <c r="I82" s="20">
        <v>42669</v>
      </c>
      <c r="J82" s="35">
        <f t="shared" ca="1" si="66"/>
        <v>1.273972602739726</v>
      </c>
      <c r="K82" s="60"/>
      <c r="L82" s="32"/>
      <c r="M82" s="82" t="str">
        <f ca="1">IF(AND(B82&gt;0,L82&gt;0),B82-L82,"-")</f>
        <v>-</v>
      </c>
      <c r="N82" s="19"/>
      <c r="O82" s="68"/>
      <c r="P82" s="118"/>
      <c r="Q82" s="21"/>
      <c r="R82" s="20"/>
      <c r="S82" s="20" t="str">
        <f>IF(AND(W82&gt;1,R82&gt;0),R82+18,"-")</f>
        <v>-</v>
      </c>
      <c r="T82" s="19" t="str">
        <f t="shared" ca="1" si="69"/>
        <v>-</v>
      </c>
      <c r="U82" s="3"/>
      <c r="V82" s="22" t="str">
        <f>IF(AND(L82&gt;0,R82&gt;0),R82-L82,"-")</f>
        <v>-</v>
      </c>
      <c r="W82" s="22"/>
      <c r="X82" s="22" t="str">
        <f ca="1">IF(AND(M82&gt;140,W82=0,L82&gt;0),"яловая","-")</f>
        <v>-</v>
      </c>
      <c r="Y82" s="20" t="str">
        <f>IF(AND(R82&gt;0,OR(W82=3,W82=2)),R82+35,"-")</f>
        <v>-</v>
      </c>
      <c r="Z82" s="94" t="str">
        <f t="shared" si="73"/>
        <v>---------</v>
      </c>
      <c r="AA82" s="21"/>
      <c r="AB82" s="21" t="str">
        <f>IF(AND($R82&gt;0,$L82&gt;0,$W82=1),$R82+285-90,"-")</f>
        <v>-</v>
      </c>
      <c r="AC82" s="21" t="str">
        <f>IF(AND(R82&gt;0,W82=1,L82&gt;0),R82+285-60,"-")</f>
        <v>-</v>
      </c>
      <c r="AD82" s="85"/>
      <c r="AE82" s="21" t="str">
        <f>IF(AND($R82&gt;0,$W82=1),$R82+280-21,"-")</f>
        <v>-</v>
      </c>
      <c r="AF82" s="21" t="str">
        <f>IF(AND(R82&gt;0,W82=1),R82+280,"-")</f>
        <v>-</v>
      </c>
      <c r="AG82" s="89" t="str">
        <f t="shared" ca="1" si="78"/>
        <v>-</v>
      </c>
      <c r="AH82" s="92">
        <v>1</v>
      </c>
      <c r="AI82" s="80" t="str">
        <f ca="1">IF(AND(X82="яловая",M82&gt;300),"БРАК","-")</f>
        <v>-</v>
      </c>
      <c r="AJ82" s="80"/>
      <c r="AK82" s="123">
        <v>42676</v>
      </c>
      <c r="AL82" s="22" t="s">
        <v>1614</v>
      </c>
      <c r="AM82" s="80"/>
    </row>
    <row r="83" spans="1:39" s="2" customFormat="1" ht="15.95" customHeight="1" x14ac:dyDescent="0.25">
      <c r="A83" s="77">
        <v>81</v>
      </c>
      <c r="B83" s="84">
        <f t="shared" ca="1" si="65"/>
        <v>43134</v>
      </c>
      <c r="C83" s="29" t="s">
        <v>1554</v>
      </c>
      <c r="D83" s="59" t="s">
        <v>1555</v>
      </c>
      <c r="E83" s="22" t="s">
        <v>1557</v>
      </c>
      <c r="F83" s="27" t="s">
        <v>2156</v>
      </c>
      <c r="G83" s="27"/>
      <c r="H83" s="28" t="s">
        <v>603</v>
      </c>
      <c r="I83" s="20">
        <v>42670</v>
      </c>
      <c r="J83" s="35">
        <f t="shared" ca="1" si="66"/>
        <v>1.2712328767123289</v>
      </c>
      <c r="K83" s="60"/>
      <c r="L83" s="32"/>
      <c r="M83" s="82" t="str">
        <f ca="1">IF(AND(B83&gt;0,L83&gt;0),B83-L83,"-")</f>
        <v>-</v>
      </c>
      <c r="N83" s="19"/>
      <c r="O83" s="68"/>
      <c r="P83" s="118"/>
      <c r="Q83" s="21"/>
      <c r="R83" s="20"/>
      <c r="S83" s="20" t="str">
        <f>IF(AND(W83&gt;1,R83&gt;0),R83+18,"-")</f>
        <v>-</v>
      </c>
      <c r="T83" s="19" t="str">
        <f t="shared" ca="1" si="69"/>
        <v>-</v>
      </c>
      <c r="U83" s="3"/>
      <c r="V83" s="22" t="str">
        <f>IF(AND(L83&gt;0,R83&gt;0),R83-L83,"-")</f>
        <v>-</v>
      </c>
      <c r="W83" s="22"/>
      <c r="X83" s="22" t="str">
        <f ca="1">IF(AND(M83&gt;140,W83=0,L83&gt;0),"яловая","-")</f>
        <v>-</v>
      </c>
      <c r="Y83" s="20" t="str">
        <f>IF(AND(R83&gt;0,OR(W83=3,W83=2)),R83+35,"-")</f>
        <v>-</v>
      </c>
      <c r="Z83" s="94" t="str">
        <f t="shared" si="73"/>
        <v>---------</v>
      </c>
      <c r="AA83" s="21"/>
      <c r="AB83" s="21" t="str">
        <f>IF(AND($R83&gt;0,$L83&gt;0,$W83=1),$R83+285-90,"-")</f>
        <v>-</v>
      </c>
      <c r="AC83" s="21" t="str">
        <f>IF(AND(R83&gt;0,W83=1,L83&gt;0),R83+285-60,"-")</f>
        <v>-</v>
      </c>
      <c r="AD83" s="85"/>
      <c r="AE83" s="21" t="str">
        <f>IF(AND($R83&gt;0,$W83=1),$R83+280-21,"-")</f>
        <v>-</v>
      </c>
      <c r="AF83" s="21" t="str">
        <f>IF(AND(R83&gt;0,W83=1),R83+280,"-")</f>
        <v>-</v>
      </c>
      <c r="AG83" s="89" t="str">
        <f t="shared" ca="1" si="78"/>
        <v>-</v>
      </c>
      <c r="AH83" s="92">
        <v>1</v>
      </c>
      <c r="AI83" s="80" t="str">
        <f ca="1">IF(AND(X83="яловая",M83&gt;300),"БРАК","-")</f>
        <v>-</v>
      </c>
      <c r="AJ83" s="80"/>
      <c r="AK83" s="123">
        <v>42676</v>
      </c>
      <c r="AL83" s="22" t="s">
        <v>1614</v>
      </c>
      <c r="AM83" s="80"/>
    </row>
    <row r="84" spans="1:39" s="2" customFormat="1" ht="15.95" customHeight="1" x14ac:dyDescent="0.25">
      <c r="A84" s="77">
        <v>82</v>
      </c>
      <c r="B84" s="84">
        <f t="shared" ca="1" si="65"/>
        <v>43134</v>
      </c>
      <c r="C84" s="29" t="s">
        <v>1554</v>
      </c>
      <c r="D84" s="59" t="s">
        <v>1555</v>
      </c>
      <c r="E84" s="22" t="s">
        <v>1557</v>
      </c>
      <c r="F84" s="27" t="s">
        <v>2154</v>
      </c>
      <c r="G84" s="27"/>
      <c r="H84" s="28" t="s">
        <v>603</v>
      </c>
      <c r="I84" s="20">
        <v>42668</v>
      </c>
      <c r="J84" s="35">
        <f t="shared" ca="1" si="66"/>
        <v>1.2767123287671234</v>
      </c>
      <c r="K84" s="60"/>
      <c r="L84" s="32"/>
      <c r="M84" s="82" t="str">
        <f ca="1">IF(AND(B84&gt;0,L84&gt;0),B84-L84,"-")</f>
        <v>-</v>
      </c>
      <c r="N84" s="19"/>
      <c r="O84" s="68"/>
      <c r="P84" s="118"/>
      <c r="Q84" s="21"/>
      <c r="R84" s="20"/>
      <c r="S84" s="20" t="str">
        <f>IF(AND(W84&gt;1,R84&gt;0),R84+18,"-")</f>
        <v>-</v>
      </c>
      <c r="T84" s="19" t="str">
        <f t="shared" ca="1" si="69"/>
        <v>-</v>
      </c>
      <c r="U84" s="3"/>
      <c r="V84" s="22" t="str">
        <f>IF(AND(L84&gt;0,R84&gt;0),R84-L84,"-")</f>
        <v>-</v>
      </c>
      <c r="W84" s="22"/>
      <c r="X84" s="22" t="str">
        <f ca="1">IF(AND(M84&gt;140,W84=0,L84&gt;0),"яловая","-")</f>
        <v>-</v>
      </c>
      <c r="Y84" s="20" t="str">
        <f>IF(AND(R84&gt;0,OR(W84=3,W84=2)),R84+35,"-")</f>
        <v>-</v>
      </c>
      <c r="Z84" s="94" t="str">
        <f t="shared" si="73"/>
        <v>---------</v>
      </c>
      <c r="AA84" s="21"/>
      <c r="AB84" s="21" t="str">
        <f>IF(AND($R84&gt;0,$L84&gt;0,$W84=1),$R84+285-90,"-")</f>
        <v>-</v>
      </c>
      <c r="AC84" s="21" t="str">
        <f>IF(AND(R84&gt;0,W84=1,L84&gt;0),R84+285-60,"-")</f>
        <v>-</v>
      </c>
      <c r="AD84" s="85"/>
      <c r="AE84" s="21" t="str">
        <f>IF(AND($R84&gt;0,$W84=1),$R84+280-21,"-")</f>
        <v>-</v>
      </c>
      <c r="AF84" s="21" t="str">
        <f>IF(AND(R84&gt;0,W84=1),R84+280,"-")</f>
        <v>-</v>
      </c>
      <c r="AG84" s="89" t="str">
        <f t="shared" ca="1" si="78"/>
        <v>-</v>
      </c>
      <c r="AH84" s="92">
        <v>1</v>
      </c>
      <c r="AI84" s="80" t="str">
        <f ca="1">IF(AND(X84="яловая",M84&gt;300),"БРАК","-")</f>
        <v>-</v>
      </c>
      <c r="AJ84" s="80"/>
      <c r="AK84" s="123">
        <v>42676</v>
      </c>
      <c r="AL84" s="22" t="s">
        <v>1614</v>
      </c>
      <c r="AM84" s="80"/>
    </row>
    <row r="85" spans="1:39" ht="15.75" x14ac:dyDescent="0.25">
      <c r="A85" s="77">
        <v>83</v>
      </c>
      <c r="B85" s="84">
        <f t="shared" ca="1" si="65"/>
        <v>43134</v>
      </c>
      <c r="C85" s="29" t="s">
        <v>1554</v>
      </c>
      <c r="D85" s="59" t="s">
        <v>1555</v>
      </c>
      <c r="E85" s="22" t="s">
        <v>1557</v>
      </c>
      <c r="F85" s="27" t="s">
        <v>2159</v>
      </c>
      <c r="G85" s="27"/>
      <c r="H85" s="28" t="s">
        <v>603</v>
      </c>
      <c r="I85" s="20">
        <v>42673</v>
      </c>
      <c r="J85" s="35">
        <f t="shared" ca="1" si="66"/>
        <v>1.263013698630137</v>
      </c>
      <c r="K85" s="60"/>
      <c r="L85" s="32"/>
      <c r="M85" s="82"/>
      <c r="N85" s="19"/>
      <c r="O85" s="68"/>
      <c r="P85" s="118"/>
      <c r="Q85" s="21"/>
      <c r="R85" s="20"/>
      <c r="S85" s="20"/>
      <c r="T85" s="19"/>
      <c r="U85" s="3"/>
      <c r="V85" s="22"/>
      <c r="W85" s="22"/>
      <c r="X85" s="22"/>
      <c r="Y85" s="20"/>
      <c r="Z85" s="94"/>
      <c r="AA85" s="21"/>
      <c r="AB85" s="21"/>
      <c r="AC85" s="21"/>
      <c r="AD85" s="85"/>
      <c r="AE85" s="21"/>
      <c r="AF85" s="21"/>
      <c r="AG85" s="89"/>
      <c r="AH85" s="92"/>
      <c r="AI85" s="80"/>
      <c r="AJ85" s="80"/>
      <c r="AK85" s="123">
        <v>42676</v>
      </c>
      <c r="AL85" s="22" t="s">
        <v>1614</v>
      </c>
      <c r="AM85" s="80"/>
    </row>
    <row r="86" spans="1:39" s="2" customFormat="1" ht="15.95" customHeight="1" x14ac:dyDescent="0.25">
      <c r="A86" s="77">
        <v>84</v>
      </c>
      <c r="B86" s="84">
        <f t="shared" ca="1" si="65"/>
        <v>43134</v>
      </c>
      <c r="C86" s="29" t="s">
        <v>1554</v>
      </c>
      <c r="D86" s="59" t="s">
        <v>1555</v>
      </c>
      <c r="E86" s="22" t="s">
        <v>1557</v>
      </c>
      <c r="F86" s="27" t="s">
        <v>2153</v>
      </c>
      <c r="G86" s="27"/>
      <c r="H86" s="28" t="s">
        <v>603</v>
      </c>
      <c r="I86" s="20">
        <v>42668</v>
      </c>
      <c r="J86" s="35">
        <f t="shared" ca="1" si="66"/>
        <v>1.2767123287671234</v>
      </c>
      <c r="K86" s="60"/>
      <c r="L86" s="32"/>
      <c r="M86" s="82" t="str">
        <f ca="1">IF(AND(B86&gt;0,L86&gt;0),B86-L86,"-")</f>
        <v>-</v>
      </c>
      <c r="N86" s="19"/>
      <c r="O86" s="68"/>
      <c r="P86" s="118"/>
      <c r="Q86" s="21"/>
      <c r="R86" s="20"/>
      <c r="S86" s="20" t="str">
        <f>IF(AND(W86&gt;1,R86&gt;0),R86+18,"-")</f>
        <v>-</v>
      </c>
      <c r="T86" s="19" t="str">
        <f ca="1">IF(AND(S86&gt;0,B86&gt;0,W86&gt;1),B86-S86,"-")</f>
        <v>-</v>
      </c>
      <c r="U86" s="3"/>
      <c r="V86" s="22" t="str">
        <f>IF(AND(L86&gt;0,R86&gt;0),R86-L86,"-")</f>
        <v>-</v>
      </c>
      <c r="W86" s="22"/>
      <c r="X86" s="22" t="str">
        <f ca="1">IF(AND(M86&gt;140,W86=0,L86&gt;0),"яловая","-")</f>
        <v>-</v>
      </c>
      <c r="Y86" s="20" t="str">
        <f>IF(AND(R86&gt;0,OR(W86=3,W86=2)),R86+35,"-")</f>
        <v>-</v>
      </c>
      <c r="Z86" s="94" t="str">
        <f>IF(AND(R86&gt;0,U86&gt;0,O86&gt;0,OR(W86=3,W86=2)),B86-Y86,"---------")</f>
        <v>---------</v>
      </c>
      <c r="AA86" s="21"/>
      <c r="AB86" s="21" t="str">
        <f>IF(AND($R86&gt;0,$L86&gt;0,$W86=1),$R86+285-90,"-")</f>
        <v>-</v>
      </c>
      <c r="AC86" s="21" t="str">
        <f>IF(AND(R86&gt;0,W86=1,L86&gt;0),R86+285-60,"-")</f>
        <v>-</v>
      </c>
      <c r="AD86" s="85"/>
      <c r="AE86" s="21" t="str">
        <f>IF(AND($R86&gt;0,$W86=1),$R86+280-21,"-")</f>
        <v>-</v>
      </c>
      <c r="AF86" s="21" t="str">
        <f>IF(AND(R86&gt;0,W86=1),R86+280,"-")</f>
        <v>-</v>
      </c>
      <c r="AG86" s="89" t="str">
        <f ca="1">IF(AND(B86&gt;0,AF86&gt;0,AA86&gt;0,W86=1),B86-AF86,"-")</f>
        <v>-</v>
      </c>
      <c r="AH86" s="92">
        <v>1</v>
      </c>
      <c r="AI86" s="80" t="str">
        <f ca="1">IF(AND(X86="яловая",M86&gt;300),"БРАК","-")</f>
        <v>-</v>
      </c>
      <c r="AJ86" s="80"/>
      <c r="AK86" s="123">
        <v>42676</v>
      </c>
      <c r="AL86" s="22" t="s">
        <v>1614</v>
      </c>
      <c r="AM86" s="80"/>
    </row>
    <row r="87" spans="1:39" s="2" customFormat="1" ht="15.95" customHeight="1" x14ac:dyDescent="0.25">
      <c r="A87" s="77">
        <v>85</v>
      </c>
      <c r="B87" s="84">
        <f t="shared" ca="1" si="65"/>
        <v>43134</v>
      </c>
      <c r="C87" s="29" t="s">
        <v>1554</v>
      </c>
      <c r="D87" s="59" t="s">
        <v>1555</v>
      </c>
      <c r="E87" s="22" t="s">
        <v>1557</v>
      </c>
      <c r="F87" s="27" t="s">
        <v>2150</v>
      </c>
      <c r="G87" s="27"/>
      <c r="H87" s="28" t="s">
        <v>603</v>
      </c>
      <c r="I87" s="20">
        <v>42666</v>
      </c>
      <c r="J87" s="35">
        <f t="shared" ca="1" si="66"/>
        <v>1.2821917808219179</v>
      </c>
      <c r="K87" s="60"/>
      <c r="L87" s="32"/>
      <c r="M87" s="82" t="str">
        <f ca="1">IF(AND(B87&gt;0,L87&gt;0),B87-L87,"-")</f>
        <v>-</v>
      </c>
      <c r="N87" s="19"/>
      <c r="O87" s="68"/>
      <c r="P87" s="118"/>
      <c r="Q87" s="21"/>
      <c r="R87" s="20"/>
      <c r="S87" s="20" t="str">
        <f>IF(AND(W87&gt;1,R87&gt;0),R87+18,"-")</f>
        <v>-</v>
      </c>
      <c r="T87" s="19" t="str">
        <f ca="1">IF(AND(S87&gt;0,B87&gt;0,W87&gt;1),B87-S87,"-")</f>
        <v>-</v>
      </c>
      <c r="U87" s="3"/>
      <c r="V87" s="22" t="str">
        <f>IF(AND(L87&gt;0,R87&gt;0),R87-L87,"-")</f>
        <v>-</v>
      </c>
      <c r="W87" s="22"/>
      <c r="X87" s="22" t="str">
        <f ca="1">IF(AND(M87&gt;140,W87=0,L87&gt;0),"яловая","-")</f>
        <v>-</v>
      </c>
      <c r="Y87" s="20" t="str">
        <f>IF(AND(R87&gt;0,OR(W87=3,W87=2)),R87+35,"-")</f>
        <v>-</v>
      </c>
      <c r="Z87" s="94" t="str">
        <f>IF(AND(R87&gt;0,U87&gt;0,O87&gt;0,OR(W87=3,W87=2)),B87-Y87,"---------")</f>
        <v>---------</v>
      </c>
      <c r="AA87" s="21"/>
      <c r="AB87" s="21" t="str">
        <f>IF(AND($R87&gt;0,$L87&gt;0,$W87=1),$R87+285-90,"-")</f>
        <v>-</v>
      </c>
      <c r="AC87" s="21" t="str">
        <f>IF(AND(R87&gt;0,W87=1,L87&gt;0),R87+285-60,"-")</f>
        <v>-</v>
      </c>
      <c r="AD87" s="85"/>
      <c r="AE87" s="21" t="str">
        <f>IF(AND($R87&gt;0,$W87=1),$R87+280-21,"-")</f>
        <v>-</v>
      </c>
      <c r="AF87" s="21" t="str">
        <f>IF(AND(R87&gt;0,W87=1),R87+280,"-")</f>
        <v>-</v>
      </c>
      <c r="AG87" s="89" t="str">
        <f ca="1">IF(AND(B87&gt;0,AF87&gt;0,AA87&gt;0,W87=1),B87-AF87,"-")</f>
        <v>-</v>
      </c>
      <c r="AH87" s="92">
        <v>1</v>
      </c>
      <c r="AI87" s="80" t="str">
        <f ca="1">IF(AND(X87="яловая",M87&gt;300),"БРАК","-")</f>
        <v>-</v>
      </c>
      <c r="AJ87" s="80"/>
      <c r="AK87" s="123">
        <v>42676</v>
      </c>
      <c r="AL87" s="22" t="s">
        <v>1614</v>
      </c>
      <c r="AM87" s="80"/>
    </row>
    <row r="88" spans="1:39" s="2" customFormat="1" ht="15.95" customHeight="1" x14ac:dyDescent="0.25">
      <c r="A88" s="77">
        <v>86</v>
      </c>
      <c r="B88" s="84">
        <f t="shared" ca="1" si="65"/>
        <v>43134</v>
      </c>
      <c r="C88" s="29" t="s">
        <v>1554</v>
      </c>
      <c r="D88" s="59" t="s">
        <v>1555</v>
      </c>
      <c r="E88" s="22" t="s">
        <v>1557</v>
      </c>
      <c r="F88" s="27" t="s">
        <v>2149</v>
      </c>
      <c r="G88" s="27"/>
      <c r="H88" s="28" t="s">
        <v>603</v>
      </c>
      <c r="I88" s="20">
        <v>42665</v>
      </c>
      <c r="J88" s="35">
        <f t="shared" ca="1" si="66"/>
        <v>1.284931506849315</v>
      </c>
      <c r="K88" s="60"/>
      <c r="L88" s="32"/>
      <c r="M88" s="82" t="str">
        <f ca="1">IF(AND(B88&gt;0,L88&gt;0),B88-L88,"-")</f>
        <v>-</v>
      </c>
      <c r="N88" s="19"/>
      <c r="O88" s="68"/>
      <c r="P88" s="118"/>
      <c r="Q88" s="21"/>
      <c r="R88" s="20"/>
      <c r="S88" s="20" t="str">
        <f>IF(AND(W88&gt;1,R88&gt;0),R88+18,"-")</f>
        <v>-</v>
      </c>
      <c r="T88" s="19" t="str">
        <f ca="1">IF(AND(S88&gt;0,B88&gt;0,W88&gt;1),B88-S88,"-")</f>
        <v>-</v>
      </c>
      <c r="U88" s="3"/>
      <c r="V88" s="22" t="str">
        <f>IF(AND(L88&gt;0,R88&gt;0),R88-L88,"-")</f>
        <v>-</v>
      </c>
      <c r="W88" s="22"/>
      <c r="X88" s="22" t="str">
        <f ca="1">IF(AND(M88&gt;140,W88=0,L88&gt;0),"яловая","-")</f>
        <v>-</v>
      </c>
      <c r="Y88" s="20" t="str">
        <f>IF(AND(R88&gt;0,OR(W88=3,W88=2)),R88+35,"-")</f>
        <v>-</v>
      </c>
      <c r="Z88" s="94" t="str">
        <f>IF(AND(R88&gt;0,U88&gt;0,O88&gt;0,OR(W88=3,W88=2)),B88-Y88,"---------")</f>
        <v>---------</v>
      </c>
      <c r="AA88" s="21"/>
      <c r="AB88" s="21" t="str">
        <f>IF(AND($R88&gt;0,$L88&gt;0,$W88=1),$R88+285-90,"-")</f>
        <v>-</v>
      </c>
      <c r="AC88" s="21" t="str">
        <f>IF(AND(R88&gt;0,W88=1,L88&gt;0),R88+285-60,"-")</f>
        <v>-</v>
      </c>
      <c r="AD88" s="85"/>
      <c r="AE88" s="21" t="str">
        <f>IF(AND($R88&gt;0,$W88=1),$R88+280-21,"-")</f>
        <v>-</v>
      </c>
      <c r="AF88" s="21" t="str">
        <f>IF(AND(R88&gt;0,W88=1),R88+280,"-")</f>
        <v>-</v>
      </c>
      <c r="AG88" s="89" t="str">
        <f ca="1">IF(AND(B88&gt;0,AF88&gt;0,AA88&gt;0,W88=1),B88-AF88,"-")</f>
        <v>-</v>
      </c>
      <c r="AH88" s="92">
        <v>1</v>
      </c>
      <c r="AI88" s="80" t="str">
        <f ca="1">IF(AND(X88="яловая",M88&gt;300),"БРАК","-")</f>
        <v>-</v>
      </c>
      <c r="AJ88" s="80"/>
      <c r="AK88" s="123">
        <v>42676</v>
      </c>
      <c r="AL88" s="22" t="s">
        <v>1614</v>
      </c>
      <c r="AM88" s="80"/>
    </row>
    <row r="89" spans="1:39" ht="15.75" x14ac:dyDescent="0.25">
      <c r="A89" s="77">
        <v>87</v>
      </c>
      <c r="B89" s="84">
        <f t="shared" ca="1" si="65"/>
        <v>43134</v>
      </c>
      <c r="C89" s="29" t="s">
        <v>1554</v>
      </c>
      <c r="D89" s="59" t="s">
        <v>1555</v>
      </c>
      <c r="E89" s="22" t="s">
        <v>1557</v>
      </c>
      <c r="F89" s="27" t="s">
        <v>2160</v>
      </c>
      <c r="G89" s="27"/>
      <c r="H89" s="28" t="s">
        <v>603</v>
      </c>
      <c r="I89" s="20">
        <v>42670</v>
      </c>
      <c r="J89" s="35">
        <f t="shared" ca="1" si="66"/>
        <v>1.2712328767123289</v>
      </c>
      <c r="K89" s="60"/>
      <c r="L89" s="32"/>
      <c r="M89" s="82"/>
      <c r="N89" s="19"/>
      <c r="O89" s="68"/>
      <c r="P89" s="118"/>
      <c r="Q89" s="21"/>
      <c r="R89" s="20"/>
      <c r="S89" s="20"/>
      <c r="T89" s="19"/>
      <c r="U89" s="3"/>
      <c r="V89" s="22"/>
      <c r="W89" s="22"/>
      <c r="X89" s="22"/>
      <c r="Y89" s="20"/>
      <c r="Z89" s="94"/>
      <c r="AA89" s="21"/>
      <c r="AB89" s="21"/>
      <c r="AC89" s="21"/>
      <c r="AD89" s="85"/>
      <c r="AE89" s="21"/>
      <c r="AF89" s="21"/>
      <c r="AG89" s="89"/>
      <c r="AH89" s="92"/>
      <c r="AI89" s="80"/>
      <c r="AJ89" s="80"/>
      <c r="AK89" s="123">
        <v>42676</v>
      </c>
      <c r="AL89" s="22" t="s">
        <v>1614</v>
      </c>
      <c r="AM89" s="80"/>
    </row>
    <row r="90" spans="1:39" s="1" customFormat="1" ht="15.75" x14ac:dyDescent="0.25">
      <c r="A90" s="77">
        <v>88</v>
      </c>
      <c r="B90" s="84">
        <f t="shared" ca="1" si="65"/>
        <v>43134</v>
      </c>
      <c r="C90" s="29" t="s">
        <v>1554</v>
      </c>
      <c r="D90" s="59" t="s">
        <v>1555</v>
      </c>
      <c r="E90" s="22" t="s">
        <v>1557</v>
      </c>
      <c r="F90" s="27" t="s">
        <v>2190</v>
      </c>
      <c r="G90" s="27"/>
      <c r="H90" s="28" t="s">
        <v>603</v>
      </c>
      <c r="I90" s="20">
        <v>42676</v>
      </c>
      <c r="J90" s="35">
        <f t="shared" ca="1" si="66"/>
        <v>1.2547945205479452</v>
      </c>
      <c r="K90" s="60"/>
      <c r="L90" s="32"/>
      <c r="M90" s="82"/>
      <c r="N90" s="19"/>
      <c r="O90" s="68"/>
      <c r="P90" s="118"/>
      <c r="Q90" s="21"/>
      <c r="R90" s="20"/>
      <c r="S90" s="20"/>
      <c r="T90" s="19"/>
      <c r="U90" s="3"/>
      <c r="V90" s="22"/>
      <c r="W90" s="22"/>
      <c r="X90" s="22"/>
      <c r="Y90" s="20"/>
      <c r="Z90" s="94"/>
      <c r="AA90" s="21"/>
      <c r="AB90" s="21"/>
      <c r="AC90" s="21"/>
      <c r="AD90" s="85"/>
      <c r="AE90" s="21"/>
      <c r="AF90" s="21"/>
      <c r="AG90" s="89"/>
      <c r="AH90" s="92"/>
      <c r="AI90" s="80"/>
      <c r="AJ90" s="80"/>
      <c r="AK90" s="123">
        <v>42676</v>
      </c>
      <c r="AL90" s="22" t="s">
        <v>1614</v>
      </c>
      <c r="AM90" s="80"/>
    </row>
    <row r="91" spans="1:39" s="2" customFormat="1" ht="15.95" customHeight="1" x14ac:dyDescent="0.25">
      <c r="A91" s="77">
        <v>89</v>
      </c>
      <c r="B91" s="84">
        <f t="shared" ca="1" si="65"/>
        <v>43134</v>
      </c>
      <c r="C91" s="29" t="s">
        <v>1554</v>
      </c>
      <c r="D91" s="59" t="s">
        <v>1555</v>
      </c>
      <c r="E91" s="22" t="s">
        <v>1557</v>
      </c>
      <c r="F91" s="27" t="s">
        <v>2001</v>
      </c>
      <c r="G91" s="27"/>
      <c r="H91" s="28" t="s">
        <v>603</v>
      </c>
      <c r="I91" s="20">
        <v>42634</v>
      </c>
      <c r="J91" s="35">
        <f t="shared" ca="1" si="66"/>
        <v>1.3698630136986301</v>
      </c>
      <c r="K91" s="60"/>
      <c r="L91" s="32"/>
      <c r="M91" s="82" t="str">
        <f ca="1">IF(AND(B91&gt;0,L91&gt;0),B91-L91,"-")</f>
        <v>-</v>
      </c>
      <c r="N91" s="19"/>
      <c r="O91" s="68"/>
      <c r="P91" s="118"/>
      <c r="Q91" s="21"/>
      <c r="R91" s="20"/>
      <c r="S91" s="20" t="str">
        <f>IF(AND(W91&gt;1,R91&gt;0),R91+18,"-")</f>
        <v>-</v>
      </c>
      <c r="T91" s="19" t="str">
        <f ca="1">IF(AND(S91&gt;0,B91&gt;0,W91&gt;1),B91-S91,"-")</f>
        <v>-</v>
      </c>
      <c r="U91" s="3"/>
      <c r="V91" s="22" t="str">
        <f>IF(AND(L91&gt;0,R91&gt;0),R91-L91,"-")</f>
        <v>-</v>
      </c>
      <c r="W91" s="22"/>
      <c r="X91" s="22" t="str">
        <f ca="1">IF(AND(M91&gt;140,W91=0,L91&gt;0),"яловая","-")</f>
        <v>-</v>
      </c>
      <c r="Y91" s="20" t="str">
        <f>IF(AND(R91&gt;0,OR(W91=3,W91=2)),R91+35,"-")</f>
        <v>-</v>
      </c>
      <c r="Z91" s="94" t="str">
        <f>IF(AND(R91&gt;0,U91&gt;0,O91&gt;0,OR(W91=3,W91=2)),B91-Y91,"---------")</f>
        <v>---------</v>
      </c>
      <c r="AA91" s="21"/>
      <c r="AB91" s="21" t="str">
        <f>IF(AND($R91&gt;0,$L91&gt;0,$W91=1),$R91+285-90,"-")</f>
        <v>-</v>
      </c>
      <c r="AC91" s="21" t="str">
        <f>IF(AND(R91&gt;0,W91=1,L91&gt;0),R91+285-60,"-")</f>
        <v>-</v>
      </c>
      <c r="AD91" s="85"/>
      <c r="AE91" s="21" t="str">
        <f>IF(AND($R91&gt;0,$W91=1),$R91+280-21,"-")</f>
        <v>-</v>
      </c>
      <c r="AF91" s="21" t="str">
        <f>IF(AND(R91&gt;0,W91=1),R91+280,"-")</f>
        <v>-</v>
      </c>
      <c r="AG91" s="89" t="str">
        <f ca="1">IF(AND(B91&gt;0,AF91&gt;0,AA91&gt;0,W91=1),B91-AF91,"-")</f>
        <v>-</v>
      </c>
      <c r="AH91" s="92">
        <v>1</v>
      </c>
      <c r="AI91" s="80" t="str">
        <f ca="1">IF(AND(X91="яловая",M91&gt;300),"БРАК","-")</f>
        <v>-</v>
      </c>
      <c r="AJ91" s="80"/>
      <c r="AK91" s="123">
        <v>42690</v>
      </c>
      <c r="AL91" s="22" t="s">
        <v>1614</v>
      </c>
      <c r="AM91" s="80"/>
    </row>
    <row r="92" spans="1:39" s="1" customFormat="1" ht="15.75" x14ac:dyDescent="0.25">
      <c r="A92" s="77">
        <v>90</v>
      </c>
      <c r="B92" s="84">
        <f t="shared" ca="1" si="65"/>
        <v>43134</v>
      </c>
      <c r="C92" s="29" t="s">
        <v>1554</v>
      </c>
      <c r="D92" s="59" t="s">
        <v>1555</v>
      </c>
      <c r="E92" s="22" t="s">
        <v>1557</v>
      </c>
      <c r="F92" s="27" t="s">
        <v>2195</v>
      </c>
      <c r="G92" s="27"/>
      <c r="H92" s="28" t="s">
        <v>603</v>
      </c>
      <c r="I92" s="20">
        <v>42679</v>
      </c>
      <c r="J92" s="35">
        <f t="shared" ca="1" si="66"/>
        <v>1.2465753424657535</v>
      </c>
      <c r="K92" s="60"/>
      <c r="L92" s="32"/>
      <c r="M92" s="82"/>
      <c r="N92" s="19"/>
      <c r="O92" s="68"/>
      <c r="P92" s="118"/>
      <c r="Q92" s="21"/>
      <c r="R92" s="20"/>
      <c r="S92" s="20"/>
      <c r="T92" s="19"/>
      <c r="U92" s="3"/>
      <c r="V92" s="22"/>
      <c r="W92" s="22"/>
      <c r="X92" s="22"/>
      <c r="Y92" s="20"/>
      <c r="Z92" s="94"/>
      <c r="AA92" s="21"/>
      <c r="AB92" s="21"/>
      <c r="AC92" s="21"/>
      <c r="AD92" s="85"/>
      <c r="AE92" s="21"/>
      <c r="AF92" s="21"/>
      <c r="AG92" s="89"/>
      <c r="AH92" s="92"/>
      <c r="AI92" s="80"/>
      <c r="AJ92" s="80"/>
      <c r="AK92" s="123">
        <v>42690</v>
      </c>
      <c r="AL92" s="22" t="s">
        <v>1614</v>
      </c>
      <c r="AM92" s="80"/>
    </row>
    <row r="93" spans="1:39" s="1" customFormat="1" ht="15.75" x14ac:dyDescent="0.25">
      <c r="A93" s="77">
        <v>91</v>
      </c>
      <c r="B93" s="84">
        <f t="shared" ca="1" si="65"/>
        <v>43134</v>
      </c>
      <c r="C93" s="29" t="s">
        <v>1554</v>
      </c>
      <c r="D93" s="59" t="s">
        <v>1555</v>
      </c>
      <c r="E93" s="22" t="s">
        <v>1557</v>
      </c>
      <c r="F93" s="27" t="s">
        <v>2196</v>
      </c>
      <c r="G93" s="27"/>
      <c r="H93" s="28" t="s">
        <v>603</v>
      </c>
      <c r="I93" s="20">
        <v>42679</v>
      </c>
      <c r="J93" s="35">
        <f t="shared" ca="1" si="66"/>
        <v>1.2465753424657535</v>
      </c>
      <c r="K93" s="60"/>
      <c r="L93" s="32"/>
      <c r="M93" s="82"/>
      <c r="N93" s="19"/>
      <c r="O93" s="68"/>
      <c r="P93" s="118"/>
      <c r="Q93" s="21"/>
      <c r="R93" s="20"/>
      <c r="S93" s="20"/>
      <c r="T93" s="19"/>
      <c r="U93" s="3"/>
      <c r="V93" s="22"/>
      <c r="W93" s="22"/>
      <c r="X93" s="22"/>
      <c r="Y93" s="20"/>
      <c r="Z93" s="94"/>
      <c r="AA93" s="21"/>
      <c r="AB93" s="21"/>
      <c r="AC93" s="21"/>
      <c r="AD93" s="85"/>
      <c r="AE93" s="21"/>
      <c r="AF93" s="21"/>
      <c r="AG93" s="89"/>
      <c r="AH93" s="92"/>
      <c r="AI93" s="80"/>
      <c r="AJ93" s="80"/>
      <c r="AK93" s="123">
        <v>42690</v>
      </c>
      <c r="AL93" s="22" t="s">
        <v>1614</v>
      </c>
      <c r="AM93" s="80"/>
    </row>
    <row r="94" spans="1:39" s="1" customFormat="1" ht="15.75" x14ac:dyDescent="0.25">
      <c r="A94" s="77">
        <v>92</v>
      </c>
      <c r="B94" s="84">
        <f t="shared" ca="1" si="65"/>
        <v>43134</v>
      </c>
      <c r="C94" s="29" t="s">
        <v>1554</v>
      </c>
      <c r="D94" s="59" t="s">
        <v>1555</v>
      </c>
      <c r="E94" s="22" t="s">
        <v>1557</v>
      </c>
      <c r="F94" s="27" t="s">
        <v>2197</v>
      </c>
      <c r="G94" s="27"/>
      <c r="H94" s="28" t="s">
        <v>603</v>
      </c>
      <c r="I94" s="20">
        <v>42680</v>
      </c>
      <c r="J94" s="35">
        <f t="shared" ca="1" si="66"/>
        <v>1.2438356164383562</v>
      </c>
      <c r="K94" s="60"/>
      <c r="L94" s="32"/>
      <c r="M94" s="82"/>
      <c r="N94" s="19"/>
      <c r="O94" s="68"/>
      <c r="P94" s="118"/>
      <c r="Q94" s="21"/>
      <c r="R94" s="20"/>
      <c r="S94" s="20"/>
      <c r="T94" s="19"/>
      <c r="U94" s="3"/>
      <c r="V94" s="22"/>
      <c r="W94" s="22"/>
      <c r="X94" s="22"/>
      <c r="Y94" s="20"/>
      <c r="Z94" s="94"/>
      <c r="AA94" s="21"/>
      <c r="AB94" s="21"/>
      <c r="AC94" s="21"/>
      <c r="AD94" s="85"/>
      <c r="AE94" s="21"/>
      <c r="AF94" s="21"/>
      <c r="AG94" s="89"/>
      <c r="AH94" s="92"/>
      <c r="AI94" s="80"/>
      <c r="AJ94" s="80"/>
      <c r="AK94" s="123">
        <v>42690</v>
      </c>
      <c r="AL94" s="22" t="s">
        <v>1614</v>
      </c>
      <c r="AM94" s="80"/>
    </row>
    <row r="95" spans="1:39" s="1" customFormat="1" ht="15.75" x14ac:dyDescent="0.25">
      <c r="A95" s="77">
        <v>93</v>
      </c>
      <c r="B95" s="84">
        <f t="shared" ca="1" si="65"/>
        <v>43134</v>
      </c>
      <c r="C95" s="29" t="s">
        <v>1554</v>
      </c>
      <c r="D95" s="59" t="s">
        <v>1555</v>
      </c>
      <c r="E95" s="22" t="s">
        <v>1557</v>
      </c>
      <c r="F95" s="27" t="s">
        <v>2198</v>
      </c>
      <c r="G95" s="27"/>
      <c r="H95" s="28" t="s">
        <v>603</v>
      </c>
      <c r="I95" s="20">
        <v>42682</v>
      </c>
      <c r="J95" s="35">
        <f t="shared" ca="1" si="66"/>
        <v>1.2383561643835617</v>
      </c>
      <c r="K95" s="60"/>
      <c r="L95" s="32"/>
      <c r="M95" s="82"/>
      <c r="N95" s="19"/>
      <c r="O95" s="68"/>
      <c r="P95" s="118"/>
      <c r="Q95" s="21"/>
      <c r="R95" s="20"/>
      <c r="S95" s="20"/>
      <c r="T95" s="19"/>
      <c r="U95" s="3"/>
      <c r="V95" s="22"/>
      <c r="W95" s="22"/>
      <c r="X95" s="22"/>
      <c r="Y95" s="20"/>
      <c r="Z95" s="94"/>
      <c r="AA95" s="21"/>
      <c r="AB95" s="21"/>
      <c r="AC95" s="21"/>
      <c r="AD95" s="85"/>
      <c r="AE95" s="21"/>
      <c r="AF95" s="21"/>
      <c r="AG95" s="89"/>
      <c r="AH95" s="92"/>
      <c r="AI95" s="80"/>
      <c r="AJ95" s="80"/>
      <c r="AK95" s="123">
        <v>42690</v>
      </c>
      <c r="AL95" s="22" t="s">
        <v>1614</v>
      </c>
      <c r="AM95" s="80"/>
    </row>
    <row r="96" spans="1:39" s="1" customFormat="1" ht="15.75" x14ac:dyDescent="0.25">
      <c r="A96" s="77">
        <v>94</v>
      </c>
      <c r="B96" s="84">
        <f t="shared" ca="1" si="65"/>
        <v>43134</v>
      </c>
      <c r="C96" s="29" t="s">
        <v>1554</v>
      </c>
      <c r="D96" s="59" t="s">
        <v>1555</v>
      </c>
      <c r="E96" s="22" t="s">
        <v>1557</v>
      </c>
      <c r="F96" s="27" t="s">
        <v>2199</v>
      </c>
      <c r="G96" s="27"/>
      <c r="H96" s="28" t="s">
        <v>603</v>
      </c>
      <c r="I96" s="20">
        <v>42682</v>
      </c>
      <c r="J96" s="35">
        <f t="shared" ca="1" si="66"/>
        <v>1.2383561643835617</v>
      </c>
      <c r="K96" s="60"/>
      <c r="L96" s="32"/>
      <c r="M96" s="82"/>
      <c r="N96" s="19"/>
      <c r="O96" s="68"/>
      <c r="P96" s="118"/>
      <c r="Q96" s="21"/>
      <c r="R96" s="20"/>
      <c r="S96" s="20"/>
      <c r="T96" s="19"/>
      <c r="U96" s="3"/>
      <c r="V96" s="22"/>
      <c r="W96" s="22"/>
      <c r="X96" s="22"/>
      <c r="Y96" s="20"/>
      <c r="Z96" s="94"/>
      <c r="AA96" s="21"/>
      <c r="AB96" s="21"/>
      <c r="AC96" s="21"/>
      <c r="AD96" s="85"/>
      <c r="AE96" s="21"/>
      <c r="AF96" s="21"/>
      <c r="AG96" s="89"/>
      <c r="AH96" s="92"/>
      <c r="AI96" s="80"/>
      <c r="AJ96" s="80"/>
      <c r="AK96" s="123">
        <v>42690</v>
      </c>
      <c r="AL96" s="22" t="s">
        <v>1614</v>
      </c>
      <c r="AM96" s="80"/>
    </row>
    <row r="97" spans="1:39" s="1" customFormat="1" ht="15.75" x14ac:dyDescent="0.25">
      <c r="A97" s="77">
        <v>95</v>
      </c>
      <c r="B97" s="84">
        <f t="shared" ca="1" si="65"/>
        <v>43134</v>
      </c>
      <c r="C97" s="29" t="s">
        <v>1554</v>
      </c>
      <c r="D97" s="59" t="s">
        <v>1555</v>
      </c>
      <c r="E97" s="22" t="s">
        <v>1557</v>
      </c>
      <c r="F97" s="27" t="s">
        <v>2193</v>
      </c>
      <c r="G97" s="27"/>
      <c r="H97" s="28" t="s">
        <v>603</v>
      </c>
      <c r="I97" s="20">
        <v>42677</v>
      </c>
      <c r="J97" s="35">
        <f t="shared" ca="1" si="66"/>
        <v>1.252054794520548</v>
      </c>
      <c r="K97" s="60"/>
      <c r="L97" s="32"/>
      <c r="M97" s="82"/>
      <c r="N97" s="19"/>
      <c r="O97" s="68"/>
      <c r="P97" s="118"/>
      <c r="Q97" s="21"/>
      <c r="R97" s="20"/>
      <c r="S97" s="20"/>
      <c r="T97" s="19"/>
      <c r="U97" s="3"/>
      <c r="V97" s="22"/>
      <c r="W97" s="22"/>
      <c r="X97" s="22"/>
      <c r="Y97" s="20"/>
      <c r="Z97" s="94"/>
      <c r="AA97" s="21"/>
      <c r="AB97" s="21"/>
      <c r="AC97" s="21"/>
      <c r="AD97" s="85"/>
      <c r="AE97" s="21"/>
      <c r="AF97" s="21"/>
      <c r="AG97" s="89"/>
      <c r="AH97" s="92"/>
      <c r="AI97" s="80"/>
      <c r="AJ97" s="80"/>
      <c r="AK97" s="123">
        <v>42690</v>
      </c>
      <c r="AL97" s="22" t="s">
        <v>1614</v>
      </c>
      <c r="AM97" s="80"/>
    </row>
    <row r="98" spans="1:39" s="1" customFormat="1" ht="15.75" x14ac:dyDescent="0.25">
      <c r="A98" s="77">
        <v>96</v>
      </c>
      <c r="B98" s="84">
        <f t="shared" ca="1" si="65"/>
        <v>43134</v>
      </c>
      <c r="C98" s="29" t="s">
        <v>1554</v>
      </c>
      <c r="D98" s="59" t="s">
        <v>1555</v>
      </c>
      <c r="E98" s="22" t="s">
        <v>1557</v>
      </c>
      <c r="F98" s="27" t="s">
        <v>2200</v>
      </c>
      <c r="G98" s="27"/>
      <c r="H98" s="28" t="s">
        <v>603</v>
      </c>
      <c r="I98" s="20">
        <v>42683</v>
      </c>
      <c r="J98" s="35">
        <f t="shared" ca="1" si="66"/>
        <v>1.2356164383561643</v>
      </c>
      <c r="K98" s="60"/>
      <c r="L98" s="32"/>
      <c r="M98" s="82"/>
      <c r="N98" s="19"/>
      <c r="O98" s="68"/>
      <c r="P98" s="118"/>
      <c r="Q98" s="21"/>
      <c r="R98" s="20"/>
      <c r="S98" s="20"/>
      <c r="T98" s="19"/>
      <c r="U98" s="3"/>
      <c r="V98" s="22"/>
      <c r="W98" s="22"/>
      <c r="X98" s="22"/>
      <c r="Y98" s="20"/>
      <c r="Z98" s="94"/>
      <c r="AA98" s="21"/>
      <c r="AB98" s="21"/>
      <c r="AC98" s="21"/>
      <c r="AD98" s="85"/>
      <c r="AE98" s="21"/>
      <c r="AF98" s="21"/>
      <c r="AG98" s="89"/>
      <c r="AH98" s="92"/>
      <c r="AI98" s="80"/>
      <c r="AJ98" s="80"/>
      <c r="AK98" s="123">
        <v>42690</v>
      </c>
      <c r="AL98" s="22" t="s">
        <v>1614</v>
      </c>
      <c r="AM98" s="80"/>
    </row>
    <row r="99" spans="1:39" s="1" customFormat="1" ht="15.75" x14ac:dyDescent="0.25">
      <c r="A99" s="77">
        <v>97</v>
      </c>
      <c r="B99" s="84">
        <f t="shared" ca="1" si="65"/>
        <v>43134</v>
      </c>
      <c r="C99" s="29" t="s">
        <v>1554</v>
      </c>
      <c r="D99" s="59" t="s">
        <v>1555</v>
      </c>
      <c r="E99" s="22" t="s">
        <v>1557</v>
      </c>
      <c r="F99" s="27" t="s">
        <v>2204</v>
      </c>
      <c r="G99" s="27"/>
      <c r="H99" s="28" t="s">
        <v>603</v>
      </c>
      <c r="I99" s="20">
        <v>42685</v>
      </c>
      <c r="J99" s="35">
        <f t="shared" ref="J99:J126" ca="1" si="80">(B99-I99)/365</f>
        <v>1.2301369863013698</v>
      </c>
      <c r="K99" s="60"/>
      <c r="L99" s="32"/>
      <c r="M99" s="82"/>
      <c r="N99" s="19"/>
      <c r="O99" s="68"/>
      <c r="P99" s="118"/>
      <c r="Q99" s="21"/>
      <c r="R99" s="20"/>
      <c r="S99" s="20"/>
      <c r="T99" s="19"/>
      <c r="U99" s="3"/>
      <c r="V99" s="22"/>
      <c r="W99" s="22"/>
      <c r="X99" s="22"/>
      <c r="Y99" s="20"/>
      <c r="Z99" s="94"/>
      <c r="AA99" s="21"/>
      <c r="AB99" s="21"/>
      <c r="AC99" s="21"/>
      <c r="AD99" s="85"/>
      <c r="AE99" s="21"/>
      <c r="AF99" s="21"/>
      <c r="AG99" s="89"/>
      <c r="AH99" s="92"/>
      <c r="AI99" s="80"/>
      <c r="AJ99" s="80"/>
      <c r="AK99" s="123">
        <v>42690</v>
      </c>
      <c r="AL99" s="22" t="s">
        <v>1614</v>
      </c>
      <c r="AM99" s="80"/>
    </row>
    <row r="100" spans="1:39" s="1" customFormat="1" ht="15.75" x14ac:dyDescent="0.25">
      <c r="A100" s="77">
        <v>98</v>
      </c>
      <c r="B100" s="84">
        <f t="shared" ca="1" si="65"/>
        <v>43134</v>
      </c>
      <c r="C100" s="29" t="s">
        <v>1554</v>
      </c>
      <c r="D100" s="59" t="s">
        <v>1555</v>
      </c>
      <c r="E100" s="22" t="s">
        <v>1557</v>
      </c>
      <c r="F100" s="27" t="s">
        <v>2206</v>
      </c>
      <c r="G100" s="27"/>
      <c r="H100" s="28" t="s">
        <v>603</v>
      </c>
      <c r="I100" s="20">
        <v>42685</v>
      </c>
      <c r="J100" s="35">
        <f t="shared" ca="1" si="80"/>
        <v>1.2301369863013698</v>
      </c>
      <c r="K100" s="60"/>
      <c r="L100" s="32"/>
      <c r="M100" s="82"/>
      <c r="N100" s="19"/>
      <c r="O100" s="68"/>
      <c r="P100" s="118"/>
      <c r="Q100" s="21"/>
      <c r="R100" s="20"/>
      <c r="S100" s="20"/>
      <c r="T100" s="19"/>
      <c r="U100" s="3"/>
      <c r="V100" s="22"/>
      <c r="W100" s="22"/>
      <c r="X100" s="22"/>
      <c r="Y100" s="20"/>
      <c r="Z100" s="94"/>
      <c r="AA100" s="21"/>
      <c r="AB100" s="21"/>
      <c r="AC100" s="21"/>
      <c r="AD100" s="85"/>
      <c r="AE100" s="21"/>
      <c r="AF100" s="21"/>
      <c r="AG100" s="89"/>
      <c r="AH100" s="92"/>
      <c r="AI100" s="80"/>
      <c r="AJ100" s="80"/>
      <c r="AK100" s="123">
        <v>42690</v>
      </c>
      <c r="AL100" s="22" t="s">
        <v>1614</v>
      </c>
      <c r="AM100" s="80"/>
    </row>
    <row r="101" spans="1:39" s="1" customFormat="1" ht="15.75" x14ac:dyDescent="0.25">
      <c r="A101" s="77">
        <v>99</v>
      </c>
      <c r="B101" s="84">
        <f t="shared" ca="1" si="65"/>
        <v>43134</v>
      </c>
      <c r="C101" s="29" t="s">
        <v>1554</v>
      </c>
      <c r="D101" s="59" t="s">
        <v>1555</v>
      </c>
      <c r="E101" s="22" t="s">
        <v>1557</v>
      </c>
      <c r="F101" s="27" t="s">
        <v>2211</v>
      </c>
      <c r="G101" s="27"/>
      <c r="H101" s="28" t="s">
        <v>603</v>
      </c>
      <c r="I101" s="20">
        <v>42689</v>
      </c>
      <c r="J101" s="35">
        <f t="shared" ca="1" si="80"/>
        <v>1.2191780821917808</v>
      </c>
      <c r="K101" s="60"/>
      <c r="L101" s="32"/>
      <c r="M101" s="82"/>
      <c r="N101" s="19"/>
      <c r="O101" s="68"/>
      <c r="P101" s="118"/>
      <c r="Q101" s="21"/>
      <c r="R101" s="20"/>
      <c r="S101" s="20"/>
      <c r="T101" s="19"/>
      <c r="U101" s="3"/>
      <c r="V101" s="22"/>
      <c r="W101" s="22"/>
      <c r="X101" s="22"/>
      <c r="Y101" s="20"/>
      <c r="Z101" s="94"/>
      <c r="AA101" s="21"/>
      <c r="AB101" s="21"/>
      <c r="AC101" s="21"/>
      <c r="AD101" s="85"/>
      <c r="AE101" s="21"/>
      <c r="AF101" s="21"/>
      <c r="AG101" s="89"/>
      <c r="AH101" s="92"/>
      <c r="AI101" s="80"/>
      <c r="AJ101" s="80"/>
      <c r="AK101" s="123">
        <v>42690</v>
      </c>
      <c r="AL101" s="22" t="s">
        <v>1614</v>
      </c>
      <c r="AM101" s="80"/>
    </row>
    <row r="102" spans="1:39" s="2" customFormat="1" ht="15.95" customHeight="1" x14ac:dyDescent="0.25">
      <c r="A102" s="77">
        <v>100</v>
      </c>
      <c r="B102" s="84">
        <f t="shared" ca="1" si="65"/>
        <v>43134</v>
      </c>
      <c r="C102" s="29" t="s">
        <v>1554</v>
      </c>
      <c r="D102" s="59" t="s">
        <v>1555</v>
      </c>
      <c r="E102" s="22" t="s">
        <v>1557</v>
      </c>
      <c r="F102" s="27" t="s">
        <v>2214</v>
      </c>
      <c r="G102" s="27"/>
      <c r="H102" s="28" t="s">
        <v>603</v>
      </c>
      <c r="I102" s="20">
        <v>42691</v>
      </c>
      <c r="J102" s="35">
        <f t="shared" ca="1" si="80"/>
        <v>1.2136986301369863</v>
      </c>
      <c r="K102" s="60"/>
      <c r="L102" s="32"/>
      <c r="M102" s="82"/>
      <c r="N102" s="19"/>
      <c r="O102" s="68"/>
      <c r="P102" s="118"/>
      <c r="Q102" s="21"/>
      <c r="R102" s="20"/>
      <c r="S102" s="20"/>
      <c r="T102" s="19"/>
      <c r="U102" s="3"/>
      <c r="V102" s="22"/>
      <c r="W102" s="22"/>
      <c r="X102" s="22"/>
      <c r="Y102" s="20"/>
      <c r="Z102" s="94"/>
      <c r="AA102" s="21"/>
      <c r="AB102" s="21"/>
      <c r="AC102" s="21"/>
      <c r="AD102" s="85"/>
      <c r="AE102" s="21"/>
      <c r="AF102" s="21"/>
      <c r="AG102" s="89"/>
      <c r="AH102" s="92"/>
      <c r="AI102" s="80"/>
      <c r="AJ102" s="80"/>
      <c r="AK102" s="123">
        <v>42695</v>
      </c>
      <c r="AL102" s="22" t="s">
        <v>1614</v>
      </c>
      <c r="AM102" s="80"/>
    </row>
    <row r="103" spans="1:39" s="1" customFormat="1" ht="15.75" x14ac:dyDescent="0.25">
      <c r="A103" s="77">
        <v>101</v>
      </c>
      <c r="B103" s="84">
        <f t="shared" ca="1" si="65"/>
        <v>43134</v>
      </c>
      <c r="C103" s="29" t="s">
        <v>1554</v>
      </c>
      <c r="D103" s="59" t="s">
        <v>1555</v>
      </c>
      <c r="E103" s="22" t="s">
        <v>1557</v>
      </c>
      <c r="F103" s="27" t="s">
        <v>2216</v>
      </c>
      <c r="G103" s="27"/>
      <c r="H103" s="28" t="s">
        <v>603</v>
      </c>
      <c r="I103" s="20">
        <v>42693</v>
      </c>
      <c r="J103" s="35">
        <f t="shared" ca="1" si="80"/>
        <v>1.2082191780821918</v>
      </c>
      <c r="K103" s="60"/>
      <c r="L103" s="32"/>
      <c r="M103" s="82" t="str">
        <f t="shared" ref="M103:M112" ca="1" si="81">IF(AND(B103&gt;0,L103&gt;0),B103-L103,"-")</f>
        <v>-</v>
      </c>
      <c r="N103" s="19"/>
      <c r="O103" s="68"/>
      <c r="P103" s="118"/>
      <c r="Q103" s="21"/>
      <c r="R103" s="20"/>
      <c r="S103" s="20" t="str">
        <f t="shared" ref="S103:S112" si="82">IF(AND(W103&gt;1,R103&gt;0),R103+18,"-")</f>
        <v>-</v>
      </c>
      <c r="T103" s="19" t="str">
        <f t="shared" ref="T103:T112" ca="1" si="83">IF(AND(S103&gt;0,B103&gt;0,W103&gt;1),B103-S103,"-")</f>
        <v>-</v>
      </c>
      <c r="U103" s="3"/>
      <c r="V103" s="22"/>
      <c r="W103" s="22"/>
      <c r="X103" s="22"/>
      <c r="Y103" s="20"/>
      <c r="Z103" s="94"/>
      <c r="AA103" s="21"/>
      <c r="AB103" s="21"/>
      <c r="AC103" s="21"/>
      <c r="AD103" s="85"/>
      <c r="AE103" s="21"/>
      <c r="AF103" s="21"/>
      <c r="AG103" s="89"/>
      <c r="AH103" s="92"/>
      <c r="AI103" s="80"/>
      <c r="AJ103" s="80"/>
      <c r="AK103" s="123">
        <v>42695</v>
      </c>
      <c r="AL103" s="22" t="s">
        <v>1614</v>
      </c>
      <c r="AM103" s="80"/>
    </row>
    <row r="104" spans="1:39" s="2" customFormat="1" ht="15.95" customHeight="1" x14ac:dyDescent="0.25">
      <c r="A104" s="77">
        <v>102</v>
      </c>
      <c r="B104" s="84">
        <f t="shared" ca="1" si="65"/>
        <v>43134</v>
      </c>
      <c r="C104" s="29" t="s">
        <v>1554</v>
      </c>
      <c r="D104" s="59" t="s">
        <v>1745</v>
      </c>
      <c r="E104" s="22" t="s">
        <v>1563</v>
      </c>
      <c r="F104" s="27" t="s">
        <v>1666</v>
      </c>
      <c r="G104" s="27"/>
      <c r="H104" s="28" t="s">
        <v>603</v>
      </c>
      <c r="I104" s="20">
        <v>42541</v>
      </c>
      <c r="J104" s="35">
        <f t="shared" ca="1" si="80"/>
        <v>1.6246575342465754</v>
      </c>
      <c r="K104" s="60"/>
      <c r="L104" s="32"/>
      <c r="M104" s="82" t="str">
        <f t="shared" ca="1" si="81"/>
        <v>-</v>
      </c>
      <c r="N104" s="19"/>
      <c r="O104" s="68"/>
      <c r="P104" s="118"/>
      <c r="Q104" s="21"/>
      <c r="R104" s="20"/>
      <c r="S104" s="20" t="str">
        <f t="shared" si="82"/>
        <v>-</v>
      </c>
      <c r="T104" s="19" t="str">
        <f t="shared" ca="1" si="83"/>
        <v>-</v>
      </c>
      <c r="U104" s="3"/>
      <c r="V104" s="22" t="str">
        <f t="shared" ref="V104:V112" si="84">IF(AND(L104&gt;0,R104&gt;0),R104-L104,"-")</f>
        <v>-</v>
      </c>
      <c r="W104" s="22"/>
      <c r="X104" s="22" t="str">
        <f t="shared" ref="X104:X112" ca="1" si="85">IF(AND(M104&gt;140,W104=0,L104&gt;0),"яловая","-")</f>
        <v>-</v>
      </c>
      <c r="Y104" s="20" t="str">
        <f t="shared" ref="Y104:Y112" si="86">IF(AND(R104&gt;0,OR(W104=3,W104=2)),R104+35,"-")</f>
        <v>-</v>
      </c>
      <c r="Z104" s="94" t="str">
        <f t="shared" ref="Z104:Z112" si="87">IF(AND(R104&gt;0,U104&gt;0,O104&gt;0,OR(W104=3,W104=2)),B104-Y104,"---------")</f>
        <v>---------</v>
      </c>
      <c r="AA104" s="21"/>
      <c r="AB104" s="21" t="str">
        <f t="shared" ref="AB104:AB112" si="88">IF(AND($R104&gt;0,$L104&gt;0,$W104=1),$R104+285-90,"-")</f>
        <v>-</v>
      </c>
      <c r="AC104" s="21" t="str">
        <f>IF(AND(R104&gt;0,W104=1,L104&gt;0),R104+285-60,"-")</f>
        <v>-</v>
      </c>
      <c r="AD104" s="85"/>
      <c r="AE104" s="21" t="str">
        <f t="shared" ref="AE104:AE112" si="89">IF(AND($R104&gt;0,$W104=1),$R104+280-21,"-")</f>
        <v>-</v>
      </c>
      <c r="AF104" s="21" t="str">
        <f t="shared" ref="AF104:AF112" si="90">IF(AND(R104&gt;0,W104=1),R104+280,"-")</f>
        <v>-</v>
      </c>
      <c r="AG104" s="89" t="str">
        <f t="shared" ref="AG104:AG112" ca="1" si="91">IF(AND(B104&gt;0,AF104&gt;0,AA104&gt;0,W104=1),B104-AF104,"-")</f>
        <v>-</v>
      </c>
      <c r="AH104" s="92">
        <v>1</v>
      </c>
      <c r="AI104" s="80" t="str">
        <f t="shared" ref="AI104:AI112" ca="1" si="92">IF(AND(X104="яловая",M104&gt;300),"БРАК","-")</f>
        <v>-</v>
      </c>
      <c r="AJ104" s="80"/>
      <c r="AK104" s="123">
        <v>42718</v>
      </c>
      <c r="AL104" s="22" t="s">
        <v>1614</v>
      </c>
      <c r="AM104" s="80"/>
    </row>
    <row r="105" spans="1:39" s="2" customFormat="1" ht="15.95" customHeight="1" x14ac:dyDescent="0.25">
      <c r="A105" s="77">
        <v>103</v>
      </c>
      <c r="B105" s="84">
        <f t="shared" ca="1" si="65"/>
        <v>43134</v>
      </c>
      <c r="C105" s="29" t="s">
        <v>1554</v>
      </c>
      <c r="D105" s="59" t="s">
        <v>1555</v>
      </c>
      <c r="E105" s="22" t="s">
        <v>1557</v>
      </c>
      <c r="F105" s="27" t="s">
        <v>2217</v>
      </c>
      <c r="G105" s="27"/>
      <c r="H105" s="28" t="s">
        <v>603</v>
      </c>
      <c r="I105" s="20">
        <v>42695</v>
      </c>
      <c r="J105" s="35">
        <f t="shared" ca="1" si="80"/>
        <v>1.2027397260273973</v>
      </c>
      <c r="K105" s="60"/>
      <c r="L105" s="32"/>
      <c r="M105" s="82" t="str">
        <f t="shared" ca="1" si="81"/>
        <v>-</v>
      </c>
      <c r="N105" s="19"/>
      <c r="O105" s="68"/>
      <c r="P105" s="118"/>
      <c r="Q105" s="21"/>
      <c r="R105" s="20"/>
      <c r="S105" s="20" t="str">
        <f t="shared" si="82"/>
        <v>-</v>
      </c>
      <c r="T105" s="19" t="str">
        <f t="shared" ca="1" si="83"/>
        <v>-</v>
      </c>
      <c r="U105" s="3"/>
      <c r="V105" s="22" t="str">
        <f t="shared" si="84"/>
        <v>-</v>
      </c>
      <c r="W105" s="22"/>
      <c r="X105" s="22" t="str">
        <f t="shared" ca="1" si="85"/>
        <v>-</v>
      </c>
      <c r="Y105" s="20" t="str">
        <f t="shared" si="86"/>
        <v>-</v>
      </c>
      <c r="Z105" s="94" t="str">
        <f t="shared" si="87"/>
        <v>---------</v>
      </c>
      <c r="AA105" s="21"/>
      <c r="AB105" s="21" t="str">
        <f t="shared" si="88"/>
        <v>-</v>
      </c>
      <c r="AC105" s="21" t="str">
        <f t="shared" ref="AC105:AC112" si="93">IF(AND(R105&gt;0,W105=1,L105&gt;0),R105+280-60,"-")</f>
        <v>-</v>
      </c>
      <c r="AD105" s="85"/>
      <c r="AE105" s="21" t="str">
        <f t="shared" si="89"/>
        <v>-</v>
      </c>
      <c r="AF105" s="21" t="str">
        <f t="shared" si="90"/>
        <v>-</v>
      </c>
      <c r="AG105" s="89" t="str">
        <f t="shared" ca="1" si="91"/>
        <v>-</v>
      </c>
      <c r="AH105" s="92">
        <v>1</v>
      </c>
      <c r="AI105" s="80" t="str">
        <f t="shared" ca="1" si="92"/>
        <v>-</v>
      </c>
      <c r="AJ105" s="80"/>
      <c r="AK105" s="123">
        <v>42718</v>
      </c>
      <c r="AL105" s="22" t="s">
        <v>1614</v>
      </c>
      <c r="AM105" s="80"/>
    </row>
    <row r="106" spans="1:39" s="2" customFormat="1" ht="15.95" customHeight="1" x14ac:dyDescent="0.25">
      <c r="A106" s="77">
        <v>104</v>
      </c>
      <c r="B106" s="84">
        <f t="shared" ca="1" si="65"/>
        <v>43134</v>
      </c>
      <c r="C106" s="29" t="s">
        <v>1554</v>
      </c>
      <c r="D106" s="59" t="s">
        <v>1555</v>
      </c>
      <c r="E106" s="22" t="s">
        <v>1557</v>
      </c>
      <c r="F106" s="27" t="s">
        <v>2229</v>
      </c>
      <c r="G106" s="27"/>
      <c r="H106" s="28" t="s">
        <v>603</v>
      </c>
      <c r="I106" s="20">
        <v>42695</v>
      </c>
      <c r="J106" s="35">
        <f t="shared" ca="1" si="80"/>
        <v>1.2027397260273973</v>
      </c>
      <c r="K106" s="60"/>
      <c r="L106" s="32"/>
      <c r="M106" s="82" t="str">
        <f t="shared" ca="1" si="81"/>
        <v>-</v>
      </c>
      <c r="N106" s="19"/>
      <c r="O106" s="68"/>
      <c r="P106" s="118"/>
      <c r="Q106" s="21"/>
      <c r="R106" s="20"/>
      <c r="S106" s="20" t="str">
        <f t="shared" si="82"/>
        <v>-</v>
      </c>
      <c r="T106" s="19" t="str">
        <f t="shared" ca="1" si="83"/>
        <v>-</v>
      </c>
      <c r="U106" s="3"/>
      <c r="V106" s="22" t="str">
        <f t="shared" si="84"/>
        <v>-</v>
      </c>
      <c r="W106" s="22"/>
      <c r="X106" s="22" t="str">
        <f t="shared" ca="1" si="85"/>
        <v>-</v>
      </c>
      <c r="Y106" s="20" t="str">
        <f t="shared" si="86"/>
        <v>-</v>
      </c>
      <c r="Z106" s="94" t="str">
        <f t="shared" si="87"/>
        <v>---------</v>
      </c>
      <c r="AA106" s="21"/>
      <c r="AB106" s="21" t="str">
        <f t="shared" si="88"/>
        <v>-</v>
      </c>
      <c r="AC106" s="21" t="str">
        <f t="shared" si="93"/>
        <v>-</v>
      </c>
      <c r="AD106" s="85"/>
      <c r="AE106" s="21" t="str">
        <f t="shared" si="89"/>
        <v>-</v>
      </c>
      <c r="AF106" s="21" t="str">
        <f t="shared" si="90"/>
        <v>-</v>
      </c>
      <c r="AG106" s="89" t="str">
        <f t="shared" ca="1" si="91"/>
        <v>-</v>
      </c>
      <c r="AH106" s="92">
        <v>1</v>
      </c>
      <c r="AI106" s="80" t="str">
        <f t="shared" ca="1" si="92"/>
        <v>-</v>
      </c>
      <c r="AJ106" s="80"/>
      <c r="AK106" s="123">
        <v>42718</v>
      </c>
      <c r="AL106" s="22" t="s">
        <v>1614</v>
      </c>
      <c r="AM106" s="80"/>
    </row>
    <row r="107" spans="1:39" s="2" customFormat="1" ht="15.95" customHeight="1" x14ac:dyDescent="0.25">
      <c r="A107" s="77">
        <v>105</v>
      </c>
      <c r="B107" s="84">
        <f t="shared" ca="1" si="65"/>
        <v>43134</v>
      </c>
      <c r="C107" s="29" t="s">
        <v>1554</v>
      </c>
      <c r="D107" s="59" t="s">
        <v>1555</v>
      </c>
      <c r="E107" s="22" t="s">
        <v>1557</v>
      </c>
      <c r="F107" s="27" t="s">
        <v>2232</v>
      </c>
      <c r="G107" s="27"/>
      <c r="H107" s="28" t="s">
        <v>603</v>
      </c>
      <c r="I107" s="20">
        <v>42698</v>
      </c>
      <c r="J107" s="35">
        <f t="shared" ca="1" si="80"/>
        <v>1.1945205479452055</v>
      </c>
      <c r="K107" s="60"/>
      <c r="L107" s="32"/>
      <c r="M107" s="82" t="str">
        <f t="shared" ca="1" si="81"/>
        <v>-</v>
      </c>
      <c r="N107" s="19"/>
      <c r="O107" s="68"/>
      <c r="P107" s="118"/>
      <c r="Q107" s="21"/>
      <c r="R107" s="20"/>
      <c r="S107" s="20" t="str">
        <f t="shared" si="82"/>
        <v>-</v>
      </c>
      <c r="T107" s="19" t="str">
        <f t="shared" ca="1" si="83"/>
        <v>-</v>
      </c>
      <c r="U107" s="3"/>
      <c r="V107" s="22" t="str">
        <f t="shared" si="84"/>
        <v>-</v>
      </c>
      <c r="W107" s="22"/>
      <c r="X107" s="22" t="str">
        <f t="shared" ca="1" si="85"/>
        <v>-</v>
      </c>
      <c r="Y107" s="20" t="str">
        <f t="shared" si="86"/>
        <v>-</v>
      </c>
      <c r="Z107" s="94" t="str">
        <f t="shared" si="87"/>
        <v>---------</v>
      </c>
      <c r="AA107" s="21"/>
      <c r="AB107" s="21" t="str">
        <f t="shared" si="88"/>
        <v>-</v>
      </c>
      <c r="AC107" s="21" t="str">
        <f t="shared" si="93"/>
        <v>-</v>
      </c>
      <c r="AD107" s="85"/>
      <c r="AE107" s="21" t="str">
        <f t="shared" si="89"/>
        <v>-</v>
      </c>
      <c r="AF107" s="21" t="str">
        <f t="shared" si="90"/>
        <v>-</v>
      </c>
      <c r="AG107" s="89" t="str">
        <f t="shared" ca="1" si="91"/>
        <v>-</v>
      </c>
      <c r="AH107" s="92">
        <v>1</v>
      </c>
      <c r="AI107" s="80" t="str">
        <f t="shared" ca="1" si="92"/>
        <v>-</v>
      </c>
      <c r="AJ107" s="80"/>
      <c r="AK107" s="123" t="s">
        <v>2257</v>
      </c>
      <c r="AL107" s="22" t="s">
        <v>1614</v>
      </c>
      <c r="AM107" s="80"/>
    </row>
    <row r="108" spans="1:39" s="2" customFormat="1" ht="15.95" customHeight="1" x14ac:dyDescent="0.25">
      <c r="A108" s="77">
        <v>106</v>
      </c>
      <c r="B108" s="84">
        <f t="shared" ca="1" si="65"/>
        <v>43134</v>
      </c>
      <c r="C108" s="29" t="s">
        <v>1554</v>
      </c>
      <c r="D108" s="59" t="s">
        <v>1555</v>
      </c>
      <c r="E108" s="22" t="s">
        <v>1557</v>
      </c>
      <c r="F108" s="27" t="s">
        <v>2233</v>
      </c>
      <c r="G108" s="27"/>
      <c r="H108" s="28" t="s">
        <v>603</v>
      </c>
      <c r="I108" s="20">
        <v>42699</v>
      </c>
      <c r="J108" s="35">
        <f t="shared" ca="1" si="80"/>
        <v>1.1917808219178083</v>
      </c>
      <c r="K108" s="60"/>
      <c r="L108" s="32"/>
      <c r="M108" s="82" t="str">
        <f t="shared" ca="1" si="81"/>
        <v>-</v>
      </c>
      <c r="N108" s="19"/>
      <c r="O108" s="68"/>
      <c r="P108" s="118"/>
      <c r="Q108" s="21"/>
      <c r="R108" s="20"/>
      <c r="S108" s="20" t="str">
        <f t="shared" si="82"/>
        <v>-</v>
      </c>
      <c r="T108" s="19" t="str">
        <f t="shared" ca="1" si="83"/>
        <v>-</v>
      </c>
      <c r="U108" s="3"/>
      <c r="V108" s="22" t="str">
        <f t="shared" si="84"/>
        <v>-</v>
      </c>
      <c r="W108" s="22"/>
      <c r="X108" s="22" t="str">
        <f t="shared" ca="1" si="85"/>
        <v>-</v>
      </c>
      <c r="Y108" s="20" t="str">
        <f t="shared" si="86"/>
        <v>-</v>
      </c>
      <c r="Z108" s="94" t="str">
        <f t="shared" si="87"/>
        <v>---------</v>
      </c>
      <c r="AA108" s="21"/>
      <c r="AB108" s="21" t="str">
        <f t="shared" si="88"/>
        <v>-</v>
      </c>
      <c r="AC108" s="21" t="str">
        <f t="shared" si="93"/>
        <v>-</v>
      </c>
      <c r="AD108" s="85"/>
      <c r="AE108" s="21" t="str">
        <f t="shared" si="89"/>
        <v>-</v>
      </c>
      <c r="AF108" s="21" t="str">
        <f t="shared" si="90"/>
        <v>-</v>
      </c>
      <c r="AG108" s="89" t="str">
        <f t="shared" ca="1" si="91"/>
        <v>-</v>
      </c>
      <c r="AH108" s="92">
        <v>1</v>
      </c>
      <c r="AI108" s="80" t="str">
        <f t="shared" ca="1" si="92"/>
        <v>-</v>
      </c>
      <c r="AJ108" s="80"/>
      <c r="AK108" s="123" t="s">
        <v>2257</v>
      </c>
      <c r="AL108" s="22" t="s">
        <v>1614</v>
      </c>
      <c r="AM108" s="80">
        <v>40</v>
      </c>
    </row>
    <row r="109" spans="1:39" s="2" customFormat="1" ht="15.95" customHeight="1" x14ac:dyDescent="0.25">
      <c r="A109" s="77">
        <v>107</v>
      </c>
      <c r="B109" s="84">
        <f t="shared" ca="1" si="65"/>
        <v>43134</v>
      </c>
      <c r="C109" s="29" t="s">
        <v>1554</v>
      </c>
      <c r="D109" s="59" t="s">
        <v>1555</v>
      </c>
      <c r="E109" s="22" t="s">
        <v>1557</v>
      </c>
      <c r="F109" s="27" t="s">
        <v>2244</v>
      </c>
      <c r="G109" s="27"/>
      <c r="H109" s="28" t="s">
        <v>603</v>
      </c>
      <c r="I109" s="20">
        <v>42704</v>
      </c>
      <c r="J109" s="35">
        <f t="shared" ca="1" si="80"/>
        <v>1.178082191780822</v>
      </c>
      <c r="K109" s="60"/>
      <c r="L109" s="32"/>
      <c r="M109" s="82" t="str">
        <f t="shared" ca="1" si="81"/>
        <v>-</v>
      </c>
      <c r="N109" s="19"/>
      <c r="O109" s="68"/>
      <c r="P109" s="118"/>
      <c r="Q109" s="21"/>
      <c r="R109" s="20"/>
      <c r="S109" s="20" t="str">
        <f t="shared" si="82"/>
        <v>-</v>
      </c>
      <c r="T109" s="19" t="str">
        <f t="shared" ca="1" si="83"/>
        <v>-</v>
      </c>
      <c r="U109" s="3"/>
      <c r="V109" s="22" t="str">
        <f t="shared" si="84"/>
        <v>-</v>
      </c>
      <c r="W109" s="22"/>
      <c r="X109" s="22" t="str">
        <f t="shared" ca="1" si="85"/>
        <v>-</v>
      </c>
      <c r="Y109" s="20" t="str">
        <f t="shared" si="86"/>
        <v>-</v>
      </c>
      <c r="Z109" s="94" t="str">
        <f t="shared" si="87"/>
        <v>---------</v>
      </c>
      <c r="AA109" s="21"/>
      <c r="AB109" s="21" t="str">
        <f t="shared" si="88"/>
        <v>-</v>
      </c>
      <c r="AC109" s="21" t="str">
        <f t="shared" si="93"/>
        <v>-</v>
      </c>
      <c r="AD109" s="85"/>
      <c r="AE109" s="21" t="str">
        <f t="shared" si="89"/>
        <v>-</v>
      </c>
      <c r="AF109" s="21" t="str">
        <f t="shared" si="90"/>
        <v>-</v>
      </c>
      <c r="AG109" s="89" t="str">
        <f t="shared" ca="1" si="91"/>
        <v>-</v>
      </c>
      <c r="AH109" s="92"/>
      <c r="AI109" s="80" t="str">
        <f t="shared" ca="1" si="92"/>
        <v>-</v>
      </c>
      <c r="AJ109" s="80"/>
      <c r="AK109" s="123" t="s">
        <v>2257</v>
      </c>
      <c r="AL109" s="22" t="s">
        <v>1614</v>
      </c>
      <c r="AM109" s="80">
        <v>39</v>
      </c>
    </row>
    <row r="110" spans="1:39" s="2" customFormat="1" ht="15.95" customHeight="1" x14ac:dyDescent="0.25">
      <c r="A110" s="77">
        <v>108</v>
      </c>
      <c r="B110" s="84">
        <f t="shared" ca="1" si="65"/>
        <v>43134</v>
      </c>
      <c r="C110" s="29" t="s">
        <v>1554</v>
      </c>
      <c r="D110" s="59" t="s">
        <v>1555</v>
      </c>
      <c r="E110" s="22" t="s">
        <v>1557</v>
      </c>
      <c r="F110" s="27" t="s">
        <v>2245</v>
      </c>
      <c r="G110" s="27"/>
      <c r="H110" s="28" t="s">
        <v>603</v>
      </c>
      <c r="I110" s="20">
        <v>42708</v>
      </c>
      <c r="J110" s="35">
        <f t="shared" ca="1" si="80"/>
        <v>1.167123287671233</v>
      </c>
      <c r="K110" s="60"/>
      <c r="L110" s="32"/>
      <c r="M110" s="82" t="str">
        <f t="shared" ca="1" si="81"/>
        <v>-</v>
      </c>
      <c r="N110" s="19"/>
      <c r="O110" s="68"/>
      <c r="P110" s="118"/>
      <c r="Q110" s="21"/>
      <c r="R110" s="20"/>
      <c r="S110" s="20" t="str">
        <f t="shared" si="82"/>
        <v>-</v>
      </c>
      <c r="T110" s="19" t="str">
        <f t="shared" ca="1" si="83"/>
        <v>-</v>
      </c>
      <c r="U110" s="3"/>
      <c r="V110" s="22" t="str">
        <f t="shared" si="84"/>
        <v>-</v>
      </c>
      <c r="W110" s="22"/>
      <c r="X110" s="22" t="str">
        <f t="shared" ca="1" si="85"/>
        <v>-</v>
      </c>
      <c r="Y110" s="20" t="str">
        <f t="shared" si="86"/>
        <v>-</v>
      </c>
      <c r="Z110" s="94" t="str">
        <f t="shared" si="87"/>
        <v>---------</v>
      </c>
      <c r="AA110" s="21"/>
      <c r="AB110" s="21" t="str">
        <f t="shared" si="88"/>
        <v>-</v>
      </c>
      <c r="AC110" s="21" t="str">
        <f t="shared" si="93"/>
        <v>-</v>
      </c>
      <c r="AD110" s="85"/>
      <c r="AE110" s="21" t="str">
        <f t="shared" si="89"/>
        <v>-</v>
      </c>
      <c r="AF110" s="21" t="str">
        <f t="shared" si="90"/>
        <v>-</v>
      </c>
      <c r="AG110" s="89" t="str">
        <f t="shared" ca="1" si="91"/>
        <v>-</v>
      </c>
      <c r="AH110" s="92"/>
      <c r="AI110" s="80" t="str">
        <f t="shared" ca="1" si="92"/>
        <v>-</v>
      </c>
      <c r="AJ110" s="80"/>
      <c r="AK110" s="123" t="s">
        <v>2257</v>
      </c>
      <c r="AL110" s="22" t="s">
        <v>1614</v>
      </c>
      <c r="AM110" s="80">
        <v>42</v>
      </c>
    </row>
    <row r="111" spans="1:39" s="2" customFormat="1" ht="15.95" customHeight="1" x14ac:dyDescent="0.25">
      <c r="A111" s="77">
        <v>109</v>
      </c>
      <c r="B111" s="84">
        <f t="shared" ca="1" si="65"/>
        <v>43134</v>
      </c>
      <c r="C111" s="29" t="s">
        <v>1554</v>
      </c>
      <c r="D111" s="59" t="s">
        <v>1555</v>
      </c>
      <c r="E111" s="22" t="s">
        <v>1557</v>
      </c>
      <c r="F111" s="27" t="s">
        <v>2247</v>
      </c>
      <c r="G111" s="27"/>
      <c r="H111" s="28" t="s">
        <v>603</v>
      </c>
      <c r="I111" s="20">
        <v>42711</v>
      </c>
      <c r="J111" s="35">
        <f t="shared" ca="1" si="80"/>
        <v>1.1589041095890411</v>
      </c>
      <c r="K111" s="60"/>
      <c r="L111" s="32"/>
      <c r="M111" s="82" t="str">
        <f t="shared" ca="1" si="81"/>
        <v>-</v>
      </c>
      <c r="N111" s="19"/>
      <c r="O111" s="68"/>
      <c r="P111" s="118"/>
      <c r="Q111" s="21"/>
      <c r="R111" s="20"/>
      <c r="S111" s="20" t="str">
        <f t="shared" si="82"/>
        <v>-</v>
      </c>
      <c r="T111" s="19" t="str">
        <f t="shared" ca="1" si="83"/>
        <v>-</v>
      </c>
      <c r="U111" s="3"/>
      <c r="V111" s="22" t="str">
        <f t="shared" si="84"/>
        <v>-</v>
      </c>
      <c r="W111" s="22"/>
      <c r="X111" s="22" t="str">
        <f t="shared" ca="1" si="85"/>
        <v>-</v>
      </c>
      <c r="Y111" s="20" t="str">
        <f t="shared" si="86"/>
        <v>-</v>
      </c>
      <c r="Z111" s="94" t="str">
        <f t="shared" si="87"/>
        <v>---------</v>
      </c>
      <c r="AA111" s="21"/>
      <c r="AB111" s="21" t="str">
        <f t="shared" si="88"/>
        <v>-</v>
      </c>
      <c r="AC111" s="21" t="str">
        <f t="shared" si="93"/>
        <v>-</v>
      </c>
      <c r="AD111" s="85"/>
      <c r="AE111" s="21" t="str">
        <f t="shared" si="89"/>
        <v>-</v>
      </c>
      <c r="AF111" s="21" t="str">
        <f t="shared" si="90"/>
        <v>-</v>
      </c>
      <c r="AG111" s="89" t="str">
        <f t="shared" ca="1" si="91"/>
        <v>-</v>
      </c>
      <c r="AH111" s="92"/>
      <c r="AI111" s="80" t="str">
        <f t="shared" ca="1" si="92"/>
        <v>-</v>
      </c>
      <c r="AJ111" s="80"/>
      <c r="AK111" s="123" t="s">
        <v>2257</v>
      </c>
      <c r="AL111" s="22" t="s">
        <v>1614</v>
      </c>
      <c r="AM111" s="80">
        <v>50</v>
      </c>
    </row>
    <row r="112" spans="1:39" s="2" customFormat="1" ht="15.95" customHeight="1" x14ac:dyDescent="0.25">
      <c r="A112" s="77">
        <v>110</v>
      </c>
      <c r="B112" s="84">
        <f t="shared" ca="1" si="65"/>
        <v>43134</v>
      </c>
      <c r="C112" s="29" t="s">
        <v>1554</v>
      </c>
      <c r="D112" s="59" t="s">
        <v>1555</v>
      </c>
      <c r="E112" s="22" t="s">
        <v>1557</v>
      </c>
      <c r="F112" s="27" t="s">
        <v>2248</v>
      </c>
      <c r="G112" s="27"/>
      <c r="H112" s="28" t="s">
        <v>603</v>
      </c>
      <c r="I112" s="20">
        <v>42711</v>
      </c>
      <c r="J112" s="35">
        <f t="shared" ca="1" si="80"/>
        <v>1.1589041095890411</v>
      </c>
      <c r="K112" s="60"/>
      <c r="L112" s="32"/>
      <c r="M112" s="82" t="str">
        <f t="shared" ca="1" si="81"/>
        <v>-</v>
      </c>
      <c r="N112" s="19"/>
      <c r="O112" s="68"/>
      <c r="P112" s="118"/>
      <c r="Q112" s="21"/>
      <c r="R112" s="20"/>
      <c r="S112" s="20" t="str">
        <f t="shared" si="82"/>
        <v>-</v>
      </c>
      <c r="T112" s="19" t="str">
        <f t="shared" ca="1" si="83"/>
        <v>-</v>
      </c>
      <c r="U112" s="3"/>
      <c r="V112" s="22" t="str">
        <f t="shared" si="84"/>
        <v>-</v>
      </c>
      <c r="W112" s="22"/>
      <c r="X112" s="22" t="str">
        <f t="shared" ca="1" si="85"/>
        <v>-</v>
      </c>
      <c r="Y112" s="20" t="str">
        <f t="shared" si="86"/>
        <v>-</v>
      </c>
      <c r="Z112" s="94" t="str">
        <f t="shared" si="87"/>
        <v>---------</v>
      </c>
      <c r="AA112" s="21"/>
      <c r="AB112" s="21" t="str">
        <f t="shared" si="88"/>
        <v>-</v>
      </c>
      <c r="AC112" s="21" t="str">
        <f t="shared" si="93"/>
        <v>-</v>
      </c>
      <c r="AD112" s="85"/>
      <c r="AE112" s="21" t="str">
        <f t="shared" si="89"/>
        <v>-</v>
      </c>
      <c r="AF112" s="21" t="str">
        <f t="shared" si="90"/>
        <v>-</v>
      </c>
      <c r="AG112" s="89" t="str">
        <f t="shared" ca="1" si="91"/>
        <v>-</v>
      </c>
      <c r="AH112" s="92"/>
      <c r="AI112" s="80" t="str">
        <f t="shared" ca="1" si="92"/>
        <v>-</v>
      </c>
      <c r="AJ112" s="80"/>
      <c r="AK112" s="123" t="s">
        <v>2257</v>
      </c>
      <c r="AL112" s="22" t="s">
        <v>1614</v>
      </c>
      <c r="AM112" s="80">
        <v>42</v>
      </c>
    </row>
    <row r="113" spans="1:39" s="1" customFormat="1" ht="15.75" x14ac:dyDescent="0.25">
      <c r="A113" s="77">
        <v>111</v>
      </c>
      <c r="B113" s="84">
        <f t="shared" ca="1" si="65"/>
        <v>43134</v>
      </c>
      <c r="C113" s="179" t="s">
        <v>1554</v>
      </c>
      <c r="D113" s="59" t="s">
        <v>1555</v>
      </c>
      <c r="E113" s="22" t="s">
        <v>1557</v>
      </c>
      <c r="F113" s="27" t="s">
        <v>2255</v>
      </c>
      <c r="G113" s="27"/>
      <c r="H113" s="28" t="s">
        <v>603</v>
      </c>
      <c r="I113" s="20">
        <v>42715</v>
      </c>
      <c r="J113" s="35">
        <f t="shared" ca="1" si="80"/>
        <v>1.1479452054794521</v>
      </c>
      <c r="K113" s="60"/>
      <c r="L113" s="32"/>
      <c r="M113" s="82"/>
      <c r="N113" s="19"/>
      <c r="O113" s="68"/>
      <c r="P113" s="118"/>
      <c r="Q113" s="21"/>
      <c r="R113" s="20"/>
      <c r="S113" s="20"/>
      <c r="T113" s="19"/>
      <c r="U113" s="3"/>
      <c r="V113" s="22"/>
      <c r="W113" s="22"/>
      <c r="X113" s="22"/>
      <c r="Y113" s="20"/>
      <c r="Z113" s="94"/>
      <c r="AA113" s="21"/>
      <c r="AB113" s="21"/>
      <c r="AC113" s="21"/>
      <c r="AD113" s="85"/>
      <c r="AE113" s="21"/>
      <c r="AF113" s="21"/>
      <c r="AG113" s="89"/>
      <c r="AH113" s="92"/>
      <c r="AI113" s="80"/>
      <c r="AJ113" s="80"/>
      <c r="AK113" s="123" t="s">
        <v>2257</v>
      </c>
      <c r="AL113" s="22" t="s">
        <v>1614</v>
      </c>
      <c r="AM113" s="80">
        <v>40</v>
      </c>
    </row>
    <row r="114" spans="1:39" s="1" customFormat="1" ht="15.75" x14ac:dyDescent="0.25">
      <c r="A114" s="77">
        <v>112</v>
      </c>
      <c r="B114" s="84">
        <f t="shared" ca="1" si="65"/>
        <v>43134</v>
      </c>
      <c r="C114" s="179" t="s">
        <v>1554</v>
      </c>
      <c r="D114" s="59" t="s">
        <v>1555</v>
      </c>
      <c r="E114" s="22" t="s">
        <v>1557</v>
      </c>
      <c r="F114" s="27" t="s">
        <v>2256</v>
      </c>
      <c r="G114" s="27"/>
      <c r="H114" s="28" t="s">
        <v>603</v>
      </c>
      <c r="I114" s="20">
        <v>42716</v>
      </c>
      <c r="J114" s="35">
        <f t="shared" ca="1" si="80"/>
        <v>1.1452054794520548</v>
      </c>
      <c r="K114" s="60"/>
      <c r="L114" s="32"/>
      <c r="M114" s="82"/>
      <c r="N114" s="19"/>
      <c r="O114" s="68"/>
      <c r="P114" s="118"/>
      <c r="Q114" s="21"/>
      <c r="R114" s="20"/>
      <c r="S114" s="20"/>
      <c r="T114" s="19"/>
      <c r="U114" s="3"/>
      <c r="V114" s="22"/>
      <c r="W114" s="22"/>
      <c r="X114" s="22"/>
      <c r="Y114" s="20"/>
      <c r="Z114" s="94"/>
      <c r="AA114" s="21"/>
      <c r="AB114" s="21"/>
      <c r="AC114" s="21"/>
      <c r="AD114" s="85"/>
      <c r="AE114" s="21"/>
      <c r="AF114" s="21"/>
      <c r="AG114" s="89"/>
      <c r="AH114" s="92"/>
      <c r="AI114" s="80"/>
      <c r="AJ114" s="80"/>
      <c r="AK114" s="123" t="s">
        <v>2257</v>
      </c>
      <c r="AL114" s="22" t="s">
        <v>1614</v>
      </c>
      <c r="AM114" s="80">
        <v>37</v>
      </c>
    </row>
    <row r="115" spans="1:39" s="2" customFormat="1" ht="15.95" customHeight="1" x14ac:dyDescent="0.25">
      <c r="A115" s="77">
        <v>113</v>
      </c>
      <c r="B115" s="84">
        <f t="shared" ca="1" si="65"/>
        <v>43134</v>
      </c>
      <c r="C115" s="29" t="s">
        <v>1554</v>
      </c>
      <c r="D115" s="59" t="s">
        <v>1555</v>
      </c>
      <c r="E115" s="22" t="s">
        <v>1563</v>
      </c>
      <c r="F115" s="27" t="s">
        <v>1895</v>
      </c>
      <c r="G115" s="27"/>
      <c r="H115" s="28" t="s">
        <v>603</v>
      </c>
      <c r="I115" s="20">
        <v>42632</v>
      </c>
      <c r="J115" s="35">
        <f t="shared" ca="1" si="80"/>
        <v>1.3753424657534246</v>
      </c>
      <c r="K115" s="60"/>
      <c r="L115" s="32"/>
      <c r="M115" s="82" t="str">
        <f ca="1">IF(AND(B115&gt;0,L115&gt;0),B115-L115,"-")</f>
        <v>-</v>
      </c>
      <c r="N115" s="19"/>
      <c r="O115" s="68"/>
      <c r="P115" s="118"/>
      <c r="Q115" s="21"/>
      <c r="R115" s="20"/>
      <c r="S115" s="20" t="str">
        <f>IF(AND(W115&gt;1,R115&gt;0),R115+18,"-")</f>
        <v>-</v>
      </c>
      <c r="T115" s="19" t="str">
        <f ca="1">IF(AND(S115&gt;0,B115&gt;0,W115&gt;1),B115-S115,"-")</f>
        <v>-</v>
      </c>
      <c r="U115" s="3"/>
      <c r="V115" s="22" t="str">
        <f>IF(AND(L115&gt;0,R115&gt;0),R115-L115,"-")</f>
        <v>-</v>
      </c>
      <c r="W115" s="22"/>
      <c r="X115" s="22" t="str">
        <f ca="1">IF(AND(M115&gt;140,W115=0,L115&gt;0),"яловая","-")</f>
        <v>-</v>
      </c>
      <c r="Y115" s="20" t="str">
        <f>IF(AND(R115&gt;0,OR(W115=3,W115=2)),R115+35,"-")</f>
        <v>-</v>
      </c>
      <c r="Z115" s="94" t="str">
        <f>IF(AND(R115&gt;0,U115&gt;0,O115&gt;0,OR(W115=3,W115=2)),B115-Y115,"---------")</f>
        <v>---------</v>
      </c>
      <c r="AA115" s="21"/>
      <c r="AB115" s="21" t="str">
        <f>IF(AND($R115&gt;0,$L115&gt;0,$W115=1),$R115+285-90,"-")</f>
        <v>-</v>
      </c>
      <c r="AC115" s="21" t="str">
        <f>IF(AND(R115&gt;0,W115=1,L115&gt;0),R115+280-60,"-")</f>
        <v>-</v>
      </c>
      <c r="AD115" s="85"/>
      <c r="AE115" s="21" t="str">
        <f>IF(AND($R115&gt;0,$W115=1),$R115+280-21,"-")</f>
        <v>-</v>
      </c>
      <c r="AF115" s="21" t="str">
        <f>IF(AND(R115&gt;0,W115=1),R115+280,"-")</f>
        <v>-</v>
      </c>
      <c r="AG115" s="89" t="str">
        <f ca="1">IF(AND(B115&gt;0,AF115&gt;0,AA115&gt;0,W115=1),B115-AF115,"-")</f>
        <v>-</v>
      </c>
      <c r="AH115" s="92">
        <v>1</v>
      </c>
      <c r="AI115" s="80" t="str">
        <f ca="1">IF(AND(X115="яловая",M115&gt;300),"БРАК","-")</f>
        <v>-</v>
      </c>
      <c r="AJ115" s="80"/>
      <c r="AK115" s="123">
        <v>42632</v>
      </c>
      <c r="AL115" s="22" t="s">
        <v>1630</v>
      </c>
      <c r="AM115" s="80">
        <v>38</v>
      </c>
    </row>
    <row r="116" spans="1:39" s="2" customFormat="1" ht="15.95" customHeight="1" x14ac:dyDescent="0.25">
      <c r="A116" s="77">
        <v>114</v>
      </c>
      <c r="B116" s="84">
        <f t="shared" ca="1" si="65"/>
        <v>43134</v>
      </c>
      <c r="C116" s="29" t="s">
        <v>1554</v>
      </c>
      <c r="D116" s="59" t="s">
        <v>1555</v>
      </c>
      <c r="E116" s="22" t="s">
        <v>1557</v>
      </c>
      <c r="F116" s="27" t="s">
        <v>1898</v>
      </c>
      <c r="G116" s="27"/>
      <c r="H116" s="28" t="s">
        <v>603</v>
      </c>
      <c r="I116" s="20">
        <v>42634</v>
      </c>
      <c r="J116" s="35">
        <f t="shared" ca="1" si="80"/>
        <v>1.3698630136986301</v>
      </c>
      <c r="K116" s="60"/>
      <c r="L116" s="32"/>
      <c r="M116" s="82" t="str">
        <f ca="1">IF(AND(B116&gt;0,L116&gt;0),B116-L116,"-")</f>
        <v>-</v>
      </c>
      <c r="N116" s="19"/>
      <c r="O116" s="68"/>
      <c r="P116" s="118"/>
      <c r="Q116" s="21"/>
      <c r="R116" s="20"/>
      <c r="S116" s="20" t="str">
        <f>IF(AND(W116&gt;1,R116&gt;0),R116+18,"-")</f>
        <v>-</v>
      </c>
      <c r="T116" s="19" t="str">
        <f ca="1">IF(AND(S116&gt;0,B116&gt;0,W116&gt;1),B116-S116,"-")</f>
        <v>-</v>
      </c>
      <c r="U116" s="3"/>
      <c r="V116" s="22" t="str">
        <f>IF(AND(L116&gt;0,R116&gt;0),R116-L116,"-")</f>
        <v>-</v>
      </c>
      <c r="W116" s="22"/>
      <c r="X116" s="22" t="str">
        <f ca="1">IF(AND(M116&gt;140,W116=0,L116&gt;0),"яловая","-")</f>
        <v>-</v>
      </c>
      <c r="Y116" s="20" t="str">
        <f>IF(AND(R116&gt;0,OR(W116=3,W116=2)),R116+35,"-")</f>
        <v>-</v>
      </c>
      <c r="Z116" s="94" t="str">
        <f>IF(AND(R116&gt;0,U116&gt;0,O116&gt;0,OR(W116=3,W116=2)),B116-Y116,"---------")</f>
        <v>---------</v>
      </c>
      <c r="AA116" s="21"/>
      <c r="AB116" s="21" t="str">
        <f>IF(AND($R116&gt;0,$L116&gt;0,$W116=1),$R116+285-90,"-")</f>
        <v>-</v>
      </c>
      <c r="AC116" s="21" t="str">
        <f>IF(AND(R116&gt;0,W116=1,L116&gt;0),R116+280-60,"-")</f>
        <v>-</v>
      </c>
      <c r="AD116" s="85"/>
      <c r="AE116" s="21" t="str">
        <f>IF(AND($R116&gt;0,$W116=1),$R116+280-21,"-")</f>
        <v>-</v>
      </c>
      <c r="AF116" s="21" t="str">
        <f>IF(AND(R116&gt;0,W116=1),R116+280,"-")</f>
        <v>-</v>
      </c>
      <c r="AG116" s="89" t="str">
        <f ca="1">IF(AND(B116&gt;0,AF116&gt;0,AA116&gt;0,W116=1),B116-AF116,"-")</f>
        <v>-</v>
      </c>
      <c r="AH116" s="92">
        <v>1</v>
      </c>
      <c r="AI116" s="80" t="str">
        <f ca="1">IF(AND(X116="яловая",M116&gt;300),"БРАК","-")</f>
        <v>-</v>
      </c>
      <c r="AJ116" s="80"/>
      <c r="AK116" s="123">
        <v>42635</v>
      </c>
      <c r="AL116" s="22" t="s">
        <v>1614</v>
      </c>
      <c r="AM116" s="80">
        <v>40</v>
      </c>
    </row>
    <row r="117" spans="1:39" s="2" customFormat="1" ht="15.95" customHeight="1" x14ac:dyDescent="0.25">
      <c r="A117" s="77">
        <v>115</v>
      </c>
      <c r="B117" s="84">
        <f t="shared" ca="1" si="65"/>
        <v>43134</v>
      </c>
      <c r="C117" s="29" t="s">
        <v>1554</v>
      </c>
      <c r="D117" s="59" t="s">
        <v>1555</v>
      </c>
      <c r="E117" s="22" t="s">
        <v>1557</v>
      </c>
      <c r="F117" s="27" t="s">
        <v>1904</v>
      </c>
      <c r="G117" s="27"/>
      <c r="H117" s="28" t="s">
        <v>603</v>
      </c>
      <c r="I117" s="20">
        <v>42637</v>
      </c>
      <c r="J117" s="35">
        <f t="shared" ca="1" si="80"/>
        <v>1.3616438356164384</v>
      </c>
      <c r="K117" s="60"/>
      <c r="L117" s="32"/>
      <c r="M117" s="82" t="str">
        <f ca="1">IF(AND(B117&gt;0,L117&gt;0),B117-L117,"-")</f>
        <v>-</v>
      </c>
      <c r="N117" s="19"/>
      <c r="O117" s="68"/>
      <c r="P117" s="118"/>
      <c r="Q117" s="21"/>
      <c r="R117" s="20"/>
      <c r="S117" s="20" t="str">
        <f>IF(AND(W117&gt;1,R117&gt;0),R117+18,"-")</f>
        <v>-</v>
      </c>
      <c r="T117" s="19" t="str">
        <f ca="1">IF(AND(S117&gt;0,B117&gt;0,W117&gt;1),B117-S117,"-")</f>
        <v>-</v>
      </c>
      <c r="U117" s="3"/>
      <c r="V117" s="22" t="str">
        <f>IF(AND(L117&gt;0,R117&gt;0),R117-L117,"-")</f>
        <v>-</v>
      </c>
      <c r="W117" s="22"/>
      <c r="X117" s="22" t="str">
        <f ca="1">IF(AND(M117&gt;140,W117=0,L117&gt;0),"яловая","-")</f>
        <v>-</v>
      </c>
      <c r="Y117" s="20" t="str">
        <f>IF(AND(R117&gt;0,OR(W117=3,W117=2)),R117+35,"-")</f>
        <v>-</v>
      </c>
      <c r="Z117" s="94" t="str">
        <f>IF(AND(R117&gt;0,U117&gt;0,O117&gt;0,OR(W117=3,W117=2)),B117-Y117,"---------")</f>
        <v>---------</v>
      </c>
      <c r="AA117" s="21"/>
      <c r="AB117" s="21" t="str">
        <f>IF(AND($R117&gt;0,$L117&gt;0,$W117=1),$R117+285-90,"-")</f>
        <v>-</v>
      </c>
      <c r="AC117" s="21" t="str">
        <f>IF(AND(R117&gt;0,W117=1,L117&gt;0),R117+280-60,"-")</f>
        <v>-</v>
      </c>
      <c r="AD117" s="85"/>
      <c r="AE117" s="21" t="str">
        <f>IF(AND($R117&gt;0,$W117=1),$R117+280-21,"-")</f>
        <v>-</v>
      </c>
      <c r="AF117" s="21" t="str">
        <f>IF(AND(R117&gt;0,W117=1),R117+280,"-")</f>
        <v>-</v>
      </c>
      <c r="AG117" s="89" t="str">
        <f ca="1">IF(AND(B117&gt;0,AF117&gt;0,AA117&gt;0,W117=1),B117-AF117,"-")</f>
        <v>-</v>
      </c>
      <c r="AH117" s="92">
        <v>1</v>
      </c>
      <c r="AI117" s="80" t="str">
        <f ca="1">IF(AND(X117="яловая",M117&gt;300),"БРАК","-")</f>
        <v>-</v>
      </c>
      <c r="AJ117" s="80"/>
      <c r="AK117" s="123">
        <v>42639</v>
      </c>
      <c r="AL117" s="22" t="s">
        <v>1614</v>
      </c>
      <c r="AM117" s="80">
        <v>38</v>
      </c>
    </row>
    <row r="118" spans="1:39" s="2" customFormat="1" ht="15.95" customHeight="1" x14ac:dyDescent="0.25">
      <c r="A118" s="77">
        <v>116</v>
      </c>
      <c r="B118" s="84">
        <f t="shared" ca="1" si="65"/>
        <v>43134</v>
      </c>
      <c r="C118" s="29" t="s">
        <v>1554</v>
      </c>
      <c r="D118" s="59" t="s">
        <v>1555</v>
      </c>
      <c r="E118" s="22" t="s">
        <v>1557</v>
      </c>
      <c r="F118" s="27" t="s">
        <v>2147</v>
      </c>
      <c r="G118" s="27"/>
      <c r="H118" s="28" t="s">
        <v>603</v>
      </c>
      <c r="I118" s="20">
        <v>42663</v>
      </c>
      <c r="J118" s="35">
        <f t="shared" ca="1" si="80"/>
        <v>1.2904109589041095</v>
      </c>
      <c r="K118" s="60"/>
      <c r="L118" s="32"/>
      <c r="M118" s="82" t="str">
        <f ca="1">IF(AND(B118&gt;0,L118&gt;0),B118-L118,"-")</f>
        <v>-</v>
      </c>
      <c r="N118" s="19"/>
      <c r="O118" s="68"/>
      <c r="P118" s="118"/>
      <c r="Q118" s="21"/>
      <c r="R118" s="20"/>
      <c r="S118" s="20" t="str">
        <f>IF(AND(W118&gt;1,R118&gt;0),R118+18,"-")</f>
        <v>-</v>
      </c>
      <c r="T118" s="19" t="str">
        <f ca="1">IF(AND(S118&gt;0,B118&gt;0,W118&gt;1),B118-S118,"-")</f>
        <v>-</v>
      </c>
      <c r="U118" s="3"/>
      <c r="V118" s="22" t="str">
        <f>IF(AND(L118&gt;0,R118&gt;0),R118-L118,"-")</f>
        <v>-</v>
      </c>
      <c r="W118" s="22"/>
      <c r="X118" s="22" t="str">
        <f ca="1">IF(AND(M118&gt;140,W118=0,L118&gt;0),"яловая","-")</f>
        <v>-</v>
      </c>
      <c r="Y118" s="20" t="str">
        <f>IF(AND(R118&gt;0,OR(W118=3,W118=2)),R118+35,"-")</f>
        <v>-</v>
      </c>
      <c r="Z118" s="94" t="str">
        <f>IF(AND(R118&gt;0,U118&gt;0,O118&gt;0,OR(W118=3,W118=2)),B118-Y118,"---------")</f>
        <v>---------</v>
      </c>
      <c r="AA118" s="21"/>
      <c r="AB118" s="21" t="str">
        <f>IF(AND($R118&gt;0,$L118&gt;0,$W118=1),$R118+285-90,"-")</f>
        <v>-</v>
      </c>
      <c r="AC118" s="21" t="str">
        <f>IF(AND(R118&gt;0,W118=1,L118&gt;0),R118+280-60,"-")</f>
        <v>-</v>
      </c>
      <c r="AD118" s="85"/>
      <c r="AE118" s="21" t="str">
        <f>IF(AND($R118&gt;0,$W118=1),$R118+280-21,"-")</f>
        <v>-</v>
      </c>
      <c r="AF118" s="21" t="str">
        <f>IF(AND(R118&gt;0,W118=1),R118+280,"-")</f>
        <v>-</v>
      </c>
      <c r="AG118" s="89" t="str">
        <f ca="1">IF(AND(B118&gt;0,AF118&gt;0,AA118&gt;0,W118=1),B118-AF118,"-")</f>
        <v>-</v>
      </c>
      <c r="AH118" s="92">
        <v>1</v>
      </c>
      <c r="AI118" s="80" t="str">
        <f ca="1">IF(AND(X118="яловая",M118&gt;300),"БРАК","-")</f>
        <v>-</v>
      </c>
      <c r="AJ118" s="80"/>
      <c r="AK118" s="123">
        <v>42663</v>
      </c>
      <c r="AL118" s="22" t="s">
        <v>1614</v>
      </c>
      <c r="AM118" s="80">
        <v>38</v>
      </c>
    </row>
    <row r="119" spans="1:39" ht="15.75" x14ac:dyDescent="0.25">
      <c r="A119" s="77">
        <v>117</v>
      </c>
      <c r="B119" s="84">
        <f t="shared" ca="1" si="65"/>
        <v>43134</v>
      </c>
      <c r="C119" s="29" t="s">
        <v>1554</v>
      </c>
      <c r="D119" s="59" t="s">
        <v>1555</v>
      </c>
      <c r="E119" s="22" t="s">
        <v>1557</v>
      </c>
      <c r="F119" s="27" t="s">
        <v>2260</v>
      </c>
      <c r="G119" s="27"/>
      <c r="H119" s="28" t="s">
        <v>603</v>
      </c>
      <c r="I119" s="20">
        <v>42718</v>
      </c>
      <c r="J119" s="35">
        <f t="shared" ca="1" si="80"/>
        <v>1.1397260273972603</v>
      </c>
      <c r="K119" s="60"/>
      <c r="L119" s="32"/>
      <c r="M119" s="82"/>
      <c r="N119" s="19"/>
      <c r="O119" s="68"/>
      <c r="P119" s="118"/>
      <c r="Q119" s="21"/>
      <c r="R119" s="20"/>
      <c r="S119" s="20"/>
      <c r="T119" s="19"/>
      <c r="U119" s="3"/>
      <c r="V119" s="22"/>
      <c r="W119" s="22"/>
      <c r="X119" s="22"/>
      <c r="Y119" s="20"/>
      <c r="Z119" s="94"/>
      <c r="AA119" s="21"/>
      <c r="AB119" s="21"/>
      <c r="AC119" s="21"/>
      <c r="AD119" s="85"/>
      <c r="AE119" s="21"/>
      <c r="AF119" s="21"/>
      <c r="AG119" s="89"/>
      <c r="AH119" s="92"/>
      <c r="AI119" s="80"/>
      <c r="AJ119" s="80"/>
      <c r="AK119" s="123">
        <v>42725</v>
      </c>
      <c r="AL119" s="121" t="s">
        <v>1614</v>
      </c>
      <c r="AM119" s="80">
        <v>44</v>
      </c>
    </row>
    <row r="120" spans="1:39" ht="15.75" x14ac:dyDescent="0.25">
      <c r="A120" s="77">
        <v>118</v>
      </c>
      <c r="B120" s="84">
        <f t="shared" ca="1" si="65"/>
        <v>43134</v>
      </c>
      <c r="C120" s="29" t="s">
        <v>1554</v>
      </c>
      <c r="D120" s="59" t="s">
        <v>1555</v>
      </c>
      <c r="E120" s="22" t="s">
        <v>1557</v>
      </c>
      <c r="F120" s="27" t="s">
        <v>2273</v>
      </c>
      <c r="G120" s="27"/>
      <c r="H120" s="28" t="s">
        <v>603</v>
      </c>
      <c r="I120" s="20">
        <v>42721</v>
      </c>
      <c r="J120" s="35">
        <f t="shared" ca="1" si="80"/>
        <v>1.1315068493150684</v>
      </c>
      <c r="K120" s="60"/>
      <c r="L120" s="32"/>
      <c r="M120" s="82"/>
      <c r="N120" s="19"/>
      <c r="O120" s="68"/>
      <c r="P120" s="118"/>
      <c r="Q120" s="21"/>
      <c r="R120" s="20"/>
      <c r="S120" s="20"/>
      <c r="T120" s="19"/>
      <c r="U120" s="3"/>
      <c r="V120" s="22"/>
      <c r="W120" s="22"/>
      <c r="X120" s="22"/>
      <c r="Y120" s="20"/>
      <c r="Z120" s="94"/>
      <c r="AA120" s="21"/>
      <c r="AB120" s="21"/>
      <c r="AC120" s="21"/>
      <c r="AD120" s="85"/>
      <c r="AE120" s="21"/>
      <c r="AF120" s="21"/>
      <c r="AG120" s="89"/>
      <c r="AH120" s="92"/>
      <c r="AI120" s="80"/>
      <c r="AJ120" s="80"/>
      <c r="AK120" s="168">
        <v>42725</v>
      </c>
      <c r="AL120" s="121" t="s">
        <v>1614</v>
      </c>
      <c r="AM120" s="80">
        <v>38</v>
      </c>
    </row>
    <row r="121" spans="1:39" ht="15.75" x14ac:dyDescent="0.25">
      <c r="A121" s="77">
        <v>119</v>
      </c>
      <c r="B121" s="84">
        <f t="shared" ca="1" si="65"/>
        <v>43134</v>
      </c>
      <c r="C121" s="29" t="s">
        <v>1554</v>
      </c>
      <c r="D121" s="59" t="s">
        <v>1555</v>
      </c>
      <c r="E121" s="22" t="s">
        <v>1557</v>
      </c>
      <c r="F121" s="27" t="s">
        <v>2274</v>
      </c>
      <c r="G121" s="27"/>
      <c r="H121" s="28" t="s">
        <v>603</v>
      </c>
      <c r="I121" s="20">
        <v>42722</v>
      </c>
      <c r="J121" s="35">
        <f t="shared" ca="1" si="80"/>
        <v>1.1287671232876713</v>
      </c>
      <c r="K121" s="60"/>
      <c r="L121" s="32"/>
      <c r="M121" s="82"/>
      <c r="N121" s="19"/>
      <c r="O121" s="68"/>
      <c r="P121" s="118"/>
      <c r="Q121" s="21"/>
      <c r="R121" s="20"/>
      <c r="S121" s="20"/>
      <c r="T121" s="19"/>
      <c r="U121" s="3"/>
      <c r="V121" s="22"/>
      <c r="W121" s="22"/>
      <c r="X121" s="22"/>
      <c r="Y121" s="20"/>
      <c r="Z121" s="94"/>
      <c r="AA121" s="21"/>
      <c r="AB121" s="21"/>
      <c r="AC121" s="21"/>
      <c r="AD121" s="85"/>
      <c r="AE121" s="21"/>
      <c r="AF121" s="21"/>
      <c r="AG121" s="89"/>
      <c r="AH121" s="92"/>
      <c r="AI121" s="80"/>
      <c r="AJ121" s="80"/>
      <c r="AK121" s="123">
        <v>42725</v>
      </c>
      <c r="AL121" s="121" t="s">
        <v>1614</v>
      </c>
      <c r="AM121" s="80">
        <v>50</v>
      </c>
    </row>
    <row r="122" spans="1:39" ht="15.75" x14ac:dyDescent="0.25">
      <c r="A122" s="77">
        <v>120</v>
      </c>
      <c r="B122" s="84">
        <f t="shared" ca="1" si="65"/>
        <v>43134</v>
      </c>
      <c r="C122" s="29" t="s">
        <v>1554</v>
      </c>
      <c r="D122" s="59" t="s">
        <v>1555</v>
      </c>
      <c r="E122" s="22" t="s">
        <v>1557</v>
      </c>
      <c r="F122" s="27" t="s">
        <v>2277</v>
      </c>
      <c r="G122" s="27"/>
      <c r="H122" s="28" t="s">
        <v>603</v>
      </c>
      <c r="I122" s="20">
        <v>42722</v>
      </c>
      <c r="J122" s="35">
        <f t="shared" ca="1" si="80"/>
        <v>1.1287671232876713</v>
      </c>
      <c r="K122" s="60"/>
      <c r="L122" s="32"/>
      <c r="M122" s="82"/>
      <c r="N122" s="19"/>
      <c r="O122" s="68"/>
      <c r="P122" s="118"/>
      <c r="Q122" s="21"/>
      <c r="R122" s="20"/>
      <c r="S122" s="20"/>
      <c r="T122" s="19"/>
      <c r="U122" s="3"/>
      <c r="V122" s="22"/>
      <c r="W122" s="22"/>
      <c r="X122" s="22"/>
      <c r="Y122" s="20"/>
      <c r="Z122" s="94"/>
      <c r="AA122" s="21"/>
      <c r="AB122" s="21"/>
      <c r="AC122" s="21"/>
      <c r="AD122" s="85"/>
      <c r="AE122" s="21"/>
      <c r="AF122" s="21"/>
      <c r="AG122" s="89"/>
      <c r="AH122" s="92"/>
      <c r="AI122" s="80"/>
      <c r="AJ122" s="80"/>
      <c r="AK122" s="168">
        <v>42725</v>
      </c>
      <c r="AL122" s="121" t="s">
        <v>1614</v>
      </c>
      <c r="AM122" s="80">
        <v>42</v>
      </c>
    </row>
    <row r="123" spans="1:39" ht="15.75" x14ac:dyDescent="0.25">
      <c r="A123" s="77">
        <v>121</v>
      </c>
      <c r="B123" s="84">
        <f t="shared" ca="1" si="65"/>
        <v>43134</v>
      </c>
      <c r="C123" s="29" t="s">
        <v>1554</v>
      </c>
      <c r="D123" s="59" t="s">
        <v>1555</v>
      </c>
      <c r="E123" s="22" t="s">
        <v>1557</v>
      </c>
      <c r="F123" s="27" t="s">
        <v>2279</v>
      </c>
      <c r="G123" s="27"/>
      <c r="H123" s="28" t="s">
        <v>603</v>
      </c>
      <c r="I123" s="20">
        <v>42724</v>
      </c>
      <c r="J123" s="35">
        <f t="shared" ca="1" si="80"/>
        <v>1.1232876712328768</v>
      </c>
      <c r="K123" s="60"/>
      <c r="L123" s="32"/>
      <c r="M123" s="82"/>
      <c r="N123" s="19"/>
      <c r="O123" s="68"/>
      <c r="P123" s="118"/>
      <c r="Q123" s="21"/>
      <c r="R123" s="20"/>
      <c r="S123" s="20"/>
      <c r="T123" s="19"/>
      <c r="U123" s="3"/>
      <c r="V123" s="22"/>
      <c r="W123" s="22"/>
      <c r="X123" s="22"/>
      <c r="Y123" s="20"/>
      <c r="Z123" s="94"/>
      <c r="AA123" s="21"/>
      <c r="AB123" s="21"/>
      <c r="AC123" s="21"/>
      <c r="AD123" s="85"/>
      <c r="AE123" s="21"/>
      <c r="AF123" s="21"/>
      <c r="AG123" s="89"/>
      <c r="AH123" s="92"/>
      <c r="AI123" s="80"/>
      <c r="AJ123" s="80"/>
      <c r="AK123" s="169">
        <v>42725</v>
      </c>
      <c r="AL123" s="121" t="s">
        <v>1614</v>
      </c>
      <c r="AM123" s="121">
        <v>40</v>
      </c>
    </row>
    <row r="124" spans="1:39" ht="15.75" x14ac:dyDescent="0.25">
      <c r="A124" s="77">
        <v>122</v>
      </c>
      <c r="B124" s="84">
        <f t="shared" ca="1" si="65"/>
        <v>43134</v>
      </c>
      <c r="C124" s="29" t="s">
        <v>1554</v>
      </c>
      <c r="D124" s="59" t="s">
        <v>1555</v>
      </c>
      <c r="E124" s="22" t="s">
        <v>1557</v>
      </c>
      <c r="F124" s="27" t="s">
        <v>2289</v>
      </c>
      <c r="G124" s="27"/>
      <c r="H124" s="28" t="s">
        <v>603</v>
      </c>
      <c r="I124" s="20">
        <v>42727</v>
      </c>
      <c r="J124" s="35">
        <f t="shared" ca="1" si="80"/>
        <v>1.1150684931506849</v>
      </c>
      <c r="K124" s="60"/>
      <c r="L124" s="32"/>
      <c r="M124" s="82"/>
      <c r="N124" s="19"/>
      <c r="O124" s="68"/>
      <c r="P124" s="118"/>
      <c r="Q124" s="21"/>
      <c r="R124" s="20"/>
      <c r="S124" s="20"/>
      <c r="T124" s="19"/>
      <c r="U124" s="3"/>
      <c r="V124" s="22"/>
      <c r="W124" s="22"/>
      <c r="X124" s="22"/>
      <c r="Y124" s="20"/>
      <c r="Z124" s="94"/>
      <c r="AA124" s="21"/>
      <c r="AB124" s="21"/>
      <c r="AC124" s="21"/>
      <c r="AD124" s="85"/>
      <c r="AE124" s="21"/>
      <c r="AF124" s="21"/>
      <c r="AG124" s="89"/>
      <c r="AH124" s="92"/>
      <c r="AI124" s="80"/>
      <c r="AJ124" s="80"/>
      <c r="AK124" s="168">
        <v>42731</v>
      </c>
      <c r="AL124" s="121" t="s">
        <v>1614</v>
      </c>
      <c r="AM124" s="80">
        <v>44</v>
      </c>
    </row>
    <row r="125" spans="1:39" ht="15.75" x14ac:dyDescent="0.25">
      <c r="A125" s="77">
        <v>123</v>
      </c>
      <c r="B125" s="84">
        <f t="shared" ca="1" si="65"/>
        <v>43134</v>
      </c>
      <c r="C125" s="29" t="s">
        <v>1554</v>
      </c>
      <c r="D125" s="59" t="s">
        <v>1555</v>
      </c>
      <c r="E125" s="22" t="s">
        <v>1557</v>
      </c>
      <c r="F125" s="27" t="s">
        <v>2290</v>
      </c>
      <c r="G125" s="27"/>
      <c r="H125" s="28" t="s">
        <v>603</v>
      </c>
      <c r="I125" s="20">
        <v>42728</v>
      </c>
      <c r="J125" s="35">
        <f t="shared" ca="1" si="80"/>
        <v>1.1123287671232878</v>
      </c>
      <c r="K125" s="60"/>
      <c r="L125" s="32"/>
      <c r="M125" s="82"/>
      <c r="N125" s="19"/>
      <c r="O125" s="68"/>
      <c r="P125" s="118"/>
      <c r="Q125" s="21"/>
      <c r="R125" s="20"/>
      <c r="S125" s="20"/>
      <c r="T125" s="19"/>
      <c r="U125" s="3"/>
      <c r="V125" s="22"/>
      <c r="W125" s="22"/>
      <c r="X125" s="22"/>
      <c r="Y125" s="20"/>
      <c r="Z125" s="94"/>
      <c r="AA125" s="21"/>
      <c r="AB125" s="21"/>
      <c r="AC125" s="21"/>
      <c r="AD125" s="85"/>
      <c r="AE125" s="21"/>
      <c r="AF125" s="21"/>
      <c r="AG125" s="89"/>
      <c r="AH125" s="92"/>
      <c r="AI125" s="80"/>
      <c r="AJ125" s="80"/>
      <c r="AK125" s="123">
        <v>42731</v>
      </c>
      <c r="AL125" s="121" t="s">
        <v>1614</v>
      </c>
      <c r="AM125" s="80">
        <v>50</v>
      </c>
    </row>
    <row r="126" spans="1:39" ht="15.75" x14ac:dyDescent="0.25">
      <c r="A126" s="77">
        <v>124</v>
      </c>
      <c r="B126" s="84">
        <f t="shared" ca="1" si="65"/>
        <v>43134</v>
      </c>
      <c r="C126" s="29" t="s">
        <v>1554</v>
      </c>
      <c r="D126" s="59" t="s">
        <v>1555</v>
      </c>
      <c r="E126" s="22" t="s">
        <v>1557</v>
      </c>
      <c r="F126" s="27" t="s">
        <v>2291</v>
      </c>
      <c r="G126" s="27"/>
      <c r="H126" s="28" t="s">
        <v>603</v>
      </c>
      <c r="I126" s="20">
        <v>42729</v>
      </c>
      <c r="J126" s="35">
        <f t="shared" ca="1" si="80"/>
        <v>1.1095890410958904</v>
      </c>
      <c r="K126" s="60"/>
      <c r="L126" s="32"/>
      <c r="M126" s="82"/>
      <c r="N126" s="19"/>
      <c r="O126" s="68"/>
      <c r="P126" s="118"/>
      <c r="Q126" s="21"/>
      <c r="R126" s="20"/>
      <c r="S126" s="20"/>
      <c r="T126" s="19"/>
      <c r="U126" s="3"/>
      <c r="V126" s="22"/>
      <c r="W126" s="22"/>
      <c r="X126" s="22"/>
      <c r="Y126" s="20"/>
      <c r="Z126" s="94"/>
      <c r="AA126" s="21"/>
      <c r="AB126" s="21"/>
      <c r="AC126" s="21"/>
      <c r="AD126" s="85"/>
      <c r="AE126" s="21"/>
      <c r="AF126" s="21"/>
      <c r="AG126" s="89"/>
      <c r="AH126" s="92"/>
      <c r="AI126" s="80"/>
      <c r="AJ126" s="80"/>
      <c r="AK126" s="168">
        <v>42731</v>
      </c>
      <c r="AL126" s="121" t="s">
        <v>1614</v>
      </c>
      <c r="AM126" s="80">
        <v>44</v>
      </c>
    </row>
    <row r="127" spans="1:39" s="2" customFormat="1" ht="15.95" customHeight="1" x14ac:dyDescent="0.25">
      <c r="A127" s="77">
        <v>125</v>
      </c>
      <c r="B127" s="84">
        <f t="shared" ca="1" si="65"/>
        <v>43134</v>
      </c>
      <c r="C127" s="29" t="s">
        <v>1554</v>
      </c>
      <c r="D127" s="59" t="s">
        <v>1555</v>
      </c>
      <c r="E127" s="22" t="s">
        <v>1557</v>
      </c>
      <c r="F127" s="27" t="s">
        <v>2298</v>
      </c>
      <c r="G127" s="27"/>
      <c r="H127" s="28" t="s">
        <v>603</v>
      </c>
      <c r="I127" s="20">
        <v>42731</v>
      </c>
      <c r="J127" s="35">
        <v>0</v>
      </c>
      <c r="K127" s="60"/>
      <c r="L127" s="32"/>
      <c r="M127" s="82"/>
      <c r="N127" s="19"/>
      <c r="O127" s="68"/>
      <c r="P127" s="118"/>
      <c r="Q127" s="21"/>
      <c r="R127" s="20"/>
      <c r="S127" s="20"/>
      <c r="T127" s="19"/>
      <c r="U127" s="3"/>
      <c r="V127" s="22"/>
      <c r="W127" s="22"/>
      <c r="X127" s="22"/>
      <c r="Y127" s="20"/>
      <c r="Z127" s="94"/>
      <c r="AA127" s="21"/>
      <c r="AB127" s="21"/>
      <c r="AC127" s="21"/>
      <c r="AD127" s="85"/>
      <c r="AE127" s="21"/>
      <c r="AF127" s="21"/>
      <c r="AG127" s="89"/>
      <c r="AH127" s="92"/>
      <c r="AI127" s="80"/>
      <c r="AJ127" s="80"/>
      <c r="AK127" s="168">
        <v>42734</v>
      </c>
      <c r="AL127" s="22" t="s">
        <v>1614</v>
      </c>
      <c r="AM127" s="80">
        <v>40</v>
      </c>
    </row>
    <row r="128" spans="1:39" s="2" customFormat="1" ht="15.75" customHeight="1" x14ac:dyDescent="0.25">
      <c r="A128" s="77">
        <v>126</v>
      </c>
      <c r="B128" s="84">
        <f t="shared" ca="1" si="65"/>
        <v>43134</v>
      </c>
      <c r="C128" s="29" t="s">
        <v>1554</v>
      </c>
      <c r="D128" s="59" t="s">
        <v>1555</v>
      </c>
      <c r="E128" s="22" t="s">
        <v>1557</v>
      </c>
      <c r="F128" s="27" t="s">
        <v>2299</v>
      </c>
      <c r="G128" s="27"/>
      <c r="H128" s="28" t="s">
        <v>603</v>
      </c>
      <c r="I128" s="20">
        <v>42731</v>
      </c>
      <c r="J128" s="35">
        <v>0</v>
      </c>
      <c r="K128" s="60"/>
      <c r="L128" s="32"/>
      <c r="M128" s="82"/>
      <c r="N128" s="19"/>
      <c r="O128" s="68"/>
      <c r="P128" s="118"/>
      <c r="Q128" s="21"/>
      <c r="R128" s="20"/>
      <c r="S128" s="20"/>
      <c r="T128" s="19"/>
      <c r="U128" s="3"/>
      <c r="V128" s="22"/>
      <c r="W128" s="22"/>
      <c r="X128" s="22"/>
      <c r="Y128" s="20"/>
      <c r="Z128" s="94"/>
      <c r="AA128" s="21"/>
      <c r="AB128" s="21"/>
      <c r="AC128" s="21"/>
      <c r="AD128" s="85"/>
      <c r="AE128" s="21"/>
      <c r="AF128" s="21"/>
      <c r="AG128" s="89"/>
      <c r="AH128" s="92"/>
      <c r="AI128" s="80"/>
      <c r="AJ128" s="80"/>
      <c r="AK128" s="168">
        <v>42734</v>
      </c>
      <c r="AL128" s="22" t="s">
        <v>1614</v>
      </c>
      <c r="AM128" s="80">
        <v>41</v>
      </c>
    </row>
    <row r="129" spans="1:39" s="2" customFormat="1" ht="15.95" customHeight="1" x14ac:dyDescent="0.25">
      <c r="A129" s="77">
        <v>127</v>
      </c>
      <c r="B129" s="84">
        <f t="shared" ca="1" si="65"/>
        <v>43134</v>
      </c>
      <c r="C129" s="29" t="s">
        <v>1554</v>
      </c>
      <c r="D129" s="59" t="s">
        <v>1555</v>
      </c>
      <c r="E129" s="22" t="s">
        <v>1557</v>
      </c>
      <c r="F129" s="27" t="s">
        <v>2300</v>
      </c>
      <c r="G129" s="27"/>
      <c r="H129" s="28" t="s">
        <v>603</v>
      </c>
      <c r="I129" s="20">
        <v>42731</v>
      </c>
      <c r="J129" s="35">
        <v>0</v>
      </c>
      <c r="K129" s="60"/>
      <c r="L129" s="32"/>
      <c r="M129" s="82"/>
      <c r="N129" s="19"/>
      <c r="O129" s="68"/>
      <c r="P129" s="118"/>
      <c r="Q129" s="21"/>
      <c r="R129" s="20"/>
      <c r="S129" s="20"/>
      <c r="T129" s="19"/>
      <c r="U129" s="3"/>
      <c r="V129" s="22"/>
      <c r="W129" s="22"/>
      <c r="X129" s="22"/>
      <c r="Y129" s="20"/>
      <c r="Z129" s="94"/>
      <c r="AA129" s="21"/>
      <c r="AB129" s="21"/>
      <c r="AC129" s="21"/>
      <c r="AD129" s="85"/>
      <c r="AE129" s="21"/>
      <c r="AF129" s="21"/>
      <c r="AG129" s="89"/>
      <c r="AH129" s="92"/>
      <c r="AI129" s="80"/>
      <c r="AJ129" s="80"/>
      <c r="AK129" s="168">
        <v>42734</v>
      </c>
      <c r="AL129" s="22" t="s">
        <v>1614</v>
      </c>
      <c r="AM129" s="80">
        <v>50</v>
      </c>
    </row>
    <row r="130" spans="1:39" s="2" customFormat="1" ht="15.95" customHeight="1" x14ac:dyDescent="0.25">
      <c r="A130" s="77">
        <v>128</v>
      </c>
      <c r="B130" s="84">
        <f t="shared" ca="1" si="65"/>
        <v>43134</v>
      </c>
      <c r="C130" s="29" t="s">
        <v>1554</v>
      </c>
      <c r="D130" s="59" t="s">
        <v>1555</v>
      </c>
      <c r="E130" s="22" t="s">
        <v>1557</v>
      </c>
      <c r="F130" s="27" t="s">
        <v>2301</v>
      </c>
      <c r="G130" s="27"/>
      <c r="H130" s="28" t="s">
        <v>603</v>
      </c>
      <c r="I130" s="20">
        <v>42732</v>
      </c>
      <c r="J130" s="35">
        <v>0</v>
      </c>
      <c r="K130" s="60"/>
      <c r="L130" s="32"/>
      <c r="M130" s="82"/>
      <c r="N130" s="19"/>
      <c r="O130" s="68"/>
      <c r="P130" s="118"/>
      <c r="Q130" s="21"/>
      <c r="R130" s="20"/>
      <c r="S130" s="20"/>
      <c r="T130" s="19"/>
      <c r="U130" s="3"/>
      <c r="V130" s="22"/>
      <c r="W130" s="22"/>
      <c r="X130" s="22"/>
      <c r="Y130" s="20"/>
      <c r="Z130" s="94"/>
      <c r="AA130" s="21"/>
      <c r="AB130" s="21"/>
      <c r="AC130" s="21"/>
      <c r="AD130" s="85"/>
      <c r="AE130" s="21"/>
      <c r="AF130" s="21"/>
      <c r="AG130" s="89"/>
      <c r="AH130" s="92"/>
      <c r="AI130" s="80"/>
      <c r="AJ130" s="80"/>
      <c r="AK130" s="168">
        <v>42734</v>
      </c>
      <c r="AL130" s="22" t="s">
        <v>1614</v>
      </c>
      <c r="AM130" s="80">
        <v>52</v>
      </c>
    </row>
    <row r="131" spans="1:39" s="2" customFormat="1" ht="15.95" customHeight="1" x14ac:dyDescent="0.25">
      <c r="A131" s="77">
        <v>129</v>
      </c>
      <c r="B131" s="84">
        <f t="shared" ref="B131:B194" ca="1" si="94">TODAY()</f>
        <v>43134</v>
      </c>
      <c r="C131" s="29" t="s">
        <v>1554</v>
      </c>
      <c r="D131" s="59" t="s">
        <v>1555</v>
      </c>
      <c r="E131" s="22" t="s">
        <v>1557</v>
      </c>
      <c r="F131" s="27" t="s">
        <v>2302</v>
      </c>
      <c r="G131" s="27"/>
      <c r="H131" s="28" t="s">
        <v>603</v>
      </c>
      <c r="I131" s="20">
        <v>42733</v>
      </c>
      <c r="J131" s="35">
        <v>0</v>
      </c>
      <c r="K131" s="60"/>
      <c r="L131" s="32"/>
      <c r="M131" s="82"/>
      <c r="N131" s="19"/>
      <c r="O131" s="68"/>
      <c r="P131" s="118"/>
      <c r="Q131" s="21"/>
      <c r="R131" s="20"/>
      <c r="S131" s="20"/>
      <c r="T131" s="19"/>
      <c r="U131" s="3"/>
      <c r="V131" s="22"/>
      <c r="W131" s="22"/>
      <c r="X131" s="22"/>
      <c r="Y131" s="20"/>
      <c r="Z131" s="94"/>
      <c r="AA131" s="21"/>
      <c r="AB131" s="21"/>
      <c r="AC131" s="21"/>
      <c r="AD131" s="85"/>
      <c r="AE131" s="21"/>
      <c r="AF131" s="21"/>
      <c r="AG131" s="89"/>
      <c r="AH131" s="92"/>
      <c r="AI131" s="80"/>
      <c r="AJ131" s="80"/>
      <c r="AK131" s="352">
        <v>42740</v>
      </c>
      <c r="AL131" s="22" t="s">
        <v>1614</v>
      </c>
      <c r="AM131" s="80">
        <v>45</v>
      </c>
    </row>
    <row r="132" spans="1:39" s="2" customFormat="1" ht="15.95" customHeight="1" x14ac:dyDescent="0.25">
      <c r="A132" s="77">
        <v>130</v>
      </c>
      <c r="B132" s="84">
        <f t="shared" ca="1" si="94"/>
        <v>43134</v>
      </c>
      <c r="C132" s="29" t="s">
        <v>1554</v>
      </c>
      <c r="D132" s="59" t="s">
        <v>1555</v>
      </c>
      <c r="E132" s="22" t="s">
        <v>1557</v>
      </c>
      <c r="F132" s="27" t="s">
        <v>2303</v>
      </c>
      <c r="G132" s="27"/>
      <c r="H132" s="28" t="s">
        <v>603</v>
      </c>
      <c r="I132" s="20">
        <v>42734</v>
      </c>
      <c r="J132" s="35">
        <v>0</v>
      </c>
      <c r="K132" s="60"/>
      <c r="L132" s="32"/>
      <c r="M132" s="82"/>
      <c r="N132" s="19"/>
      <c r="O132" s="68"/>
      <c r="P132" s="118"/>
      <c r="Q132" s="21"/>
      <c r="R132" s="20"/>
      <c r="S132" s="20"/>
      <c r="T132" s="19"/>
      <c r="U132" s="3"/>
      <c r="V132" s="22"/>
      <c r="W132" s="22"/>
      <c r="X132" s="22"/>
      <c r="Y132" s="20"/>
      <c r="Z132" s="94"/>
      <c r="AA132" s="21"/>
      <c r="AB132" s="21"/>
      <c r="AC132" s="21"/>
      <c r="AD132" s="85"/>
      <c r="AE132" s="21"/>
      <c r="AF132" s="21"/>
      <c r="AG132" s="89"/>
      <c r="AH132" s="92"/>
      <c r="AI132" s="80"/>
      <c r="AJ132" s="80"/>
      <c r="AK132" s="352">
        <v>42740</v>
      </c>
      <c r="AL132" s="22" t="s">
        <v>1614</v>
      </c>
      <c r="AM132" s="80">
        <v>49</v>
      </c>
    </row>
    <row r="133" spans="1:39" s="2" customFormat="1" ht="15.95" customHeight="1" x14ac:dyDescent="0.25">
      <c r="A133" s="77">
        <v>131</v>
      </c>
      <c r="B133" s="84">
        <f t="shared" ca="1" si="94"/>
        <v>43134</v>
      </c>
      <c r="C133" s="29" t="s">
        <v>1554</v>
      </c>
      <c r="D133" s="59" t="s">
        <v>1555</v>
      </c>
      <c r="E133" s="22" t="s">
        <v>1557</v>
      </c>
      <c r="F133" s="27" t="s">
        <v>2304</v>
      </c>
      <c r="G133" s="27"/>
      <c r="H133" s="28" t="s">
        <v>603</v>
      </c>
      <c r="I133" s="20">
        <v>42737</v>
      </c>
      <c r="J133" s="35">
        <v>0</v>
      </c>
      <c r="K133" s="60"/>
      <c r="L133" s="32"/>
      <c r="M133" s="82"/>
      <c r="N133" s="19"/>
      <c r="O133" s="68"/>
      <c r="P133" s="118"/>
      <c r="Q133" s="21"/>
      <c r="R133" s="20"/>
      <c r="S133" s="20"/>
      <c r="T133" s="19"/>
      <c r="U133" s="3"/>
      <c r="V133" s="22"/>
      <c r="W133" s="22"/>
      <c r="X133" s="22"/>
      <c r="Y133" s="20"/>
      <c r="Z133" s="94"/>
      <c r="AA133" s="21"/>
      <c r="AB133" s="21"/>
      <c r="AC133" s="21"/>
      <c r="AD133" s="85"/>
      <c r="AE133" s="21"/>
      <c r="AF133" s="21"/>
      <c r="AG133" s="89"/>
      <c r="AH133" s="92"/>
      <c r="AI133" s="80"/>
      <c r="AJ133" s="80"/>
      <c r="AK133" s="352">
        <v>42740</v>
      </c>
      <c r="AL133" s="22" t="s">
        <v>1614</v>
      </c>
      <c r="AM133" s="80">
        <v>47</v>
      </c>
    </row>
    <row r="134" spans="1:39" s="2" customFormat="1" ht="15.95" customHeight="1" x14ac:dyDescent="0.25">
      <c r="A134" s="77">
        <v>132</v>
      </c>
      <c r="B134" s="84">
        <f t="shared" ca="1" si="94"/>
        <v>43134</v>
      </c>
      <c r="C134" s="29" t="s">
        <v>1554</v>
      </c>
      <c r="D134" s="59" t="s">
        <v>1555</v>
      </c>
      <c r="E134" s="22" t="s">
        <v>1557</v>
      </c>
      <c r="F134" s="27" t="s">
        <v>2306</v>
      </c>
      <c r="G134" s="27"/>
      <c r="H134" s="28" t="s">
        <v>603</v>
      </c>
      <c r="I134" s="20">
        <v>42737</v>
      </c>
      <c r="J134" s="35">
        <v>0</v>
      </c>
      <c r="K134" s="60"/>
      <c r="L134" s="32"/>
      <c r="M134" s="82"/>
      <c r="N134" s="19"/>
      <c r="O134" s="68"/>
      <c r="P134" s="118"/>
      <c r="Q134" s="21"/>
      <c r="R134" s="20"/>
      <c r="S134" s="20"/>
      <c r="T134" s="19"/>
      <c r="U134" s="3"/>
      <c r="V134" s="22"/>
      <c r="W134" s="22"/>
      <c r="X134" s="22"/>
      <c r="Y134" s="20"/>
      <c r="Z134" s="94"/>
      <c r="AA134" s="21"/>
      <c r="AB134" s="21"/>
      <c r="AC134" s="21"/>
      <c r="AD134" s="85"/>
      <c r="AE134" s="21"/>
      <c r="AF134" s="21"/>
      <c r="AG134" s="89"/>
      <c r="AH134" s="92"/>
      <c r="AI134" s="80"/>
      <c r="AJ134" s="80"/>
      <c r="AK134" s="352">
        <v>42740</v>
      </c>
      <c r="AL134" s="22" t="s">
        <v>1614</v>
      </c>
      <c r="AM134" s="80">
        <v>50</v>
      </c>
    </row>
    <row r="135" spans="1:39" s="2" customFormat="1" ht="15.95" customHeight="1" x14ac:dyDescent="0.25">
      <c r="A135" s="77">
        <v>133</v>
      </c>
      <c r="B135" s="84">
        <f t="shared" ca="1" si="94"/>
        <v>43134</v>
      </c>
      <c r="C135" s="29" t="s">
        <v>1554</v>
      </c>
      <c r="D135" s="59" t="s">
        <v>2236</v>
      </c>
      <c r="E135" s="211" t="s">
        <v>1557</v>
      </c>
      <c r="F135" s="27" t="s">
        <v>2240</v>
      </c>
      <c r="G135" s="27"/>
      <c r="H135" s="28" t="s">
        <v>603</v>
      </c>
      <c r="I135" s="20">
        <v>42376</v>
      </c>
      <c r="J135" s="35">
        <f t="shared" ref="J135:J140" ca="1" si="95">(B135-I135)/365</f>
        <v>2.0767123287671234</v>
      </c>
      <c r="K135" s="60"/>
      <c r="L135" s="32"/>
      <c r="M135" s="82" t="str">
        <f ca="1">IF(AND(B135&gt;0,L135&gt;0),B135-L135,"-")</f>
        <v>-</v>
      </c>
      <c r="N135" s="19"/>
      <c r="O135" s="68"/>
      <c r="P135" s="118"/>
      <c r="Q135" s="21"/>
      <c r="R135" s="20"/>
      <c r="S135" s="20" t="str">
        <f>IF(AND(W135&gt;1,R135&gt;0),R135+18,"-")</f>
        <v>-</v>
      </c>
      <c r="T135" s="19" t="str">
        <f ca="1">IF(AND(S135&gt;0,B135&gt;0,W135&gt;1),B135-S135,"-")</f>
        <v>-</v>
      </c>
      <c r="U135" s="3"/>
      <c r="V135" s="22" t="str">
        <f>IF(AND(L135&gt;0,R135&gt;0),R135-L135,"-")</f>
        <v>-</v>
      </c>
      <c r="W135" s="22"/>
      <c r="X135" s="22" t="str">
        <f ca="1">IF(AND(M135&gt;140,W135=0,L135&gt;0),"яловая","-")</f>
        <v>-</v>
      </c>
      <c r="Y135" s="20" t="str">
        <f>IF(AND(R135&gt;0,OR(W135=3,W135=2)),R135+35,"-")</f>
        <v>-</v>
      </c>
      <c r="Z135" s="94" t="str">
        <f>IF(AND(R135&gt;0,U135&gt;0,O135&gt;0,OR(W135=3,W135=2)),B135-Y135,"---------")</f>
        <v>---------</v>
      </c>
      <c r="AA135" s="21"/>
      <c r="AB135" s="21" t="str">
        <f>IF(AND($R135&gt;0,$L135&gt;0,$W135=1),$R135+280-90,"-")</f>
        <v>-</v>
      </c>
      <c r="AC135" s="21" t="str">
        <f>IF(AND(R135&gt;0,W135=1,L135&gt;0),R135+280-60,"-")</f>
        <v>-</v>
      </c>
      <c r="AD135" s="85"/>
      <c r="AE135" s="21" t="str">
        <f>IF(AND($R135&gt;0,$W135=1),$R135+280-21,"-")</f>
        <v>-</v>
      </c>
      <c r="AF135" s="21" t="str">
        <f>IF(AND(R135&gt;0,W135=1),R135+280,"-")</f>
        <v>-</v>
      </c>
      <c r="AG135" s="89" t="str">
        <f ca="1">IF(AND(B135&gt;0,AF135&gt;0,AA135&gt;0,W135=1),B135-AF135,"-")</f>
        <v>-</v>
      </c>
      <c r="AH135" s="92">
        <v>1</v>
      </c>
      <c r="AI135" s="80" t="str">
        <f ca="1">IF(AND(X135="яловая",M135&gt;300),"БРАК","-")</f>
        <v>-</v>
      </c>
      <c r="AJ135" s="80"/>
      <c r="AK135" s="168">
        <v>42717</v>
      </c>
      <c r="AL135" s="22" t="s">
        <v>2223</v>
      </c>
      <c r="AM135" s="80"/>
    </row>
    <row r="136" spans="1:39" s="2" customFormat="1" ht="15.95" customHeight="1" x14ac:dyDescent="0.25">
      <c r="A136" s="77">
        <v>134</v>
      </c>
      <c r="B136" s="84">
        <f t="shared" ca="1" si="94"/>
        <v>43134</v>
      </c>
      <c r="C136" s="29" t="s">
        <v>1554</v>
      </c>
      <c r="D136" s="59" t="s">
        <v>2236</v>
      </c>
      <c r="E136" s="211" t="s">
        <v>1557</v>
      </c>
      <c r="F136" s="27" t="s">
        <v>2239</v>
      </c>
      <c r="G136" s="27"/>
      <c r="H136" s="28" t="s">
        <v>603</v>
      </c>
      <c r="I136" s="20">
        <v>42388</v>
      </c>
      <c r="J136" s="35">
        <f t="shared" ca="1" si="95"/>
        <v>2.043835616438356</v>
      </c>
      <c r="K136" s="60"/>
      <c r="L136" s="32"/>
      <c r="M136" s="82" t="str">
        <f ca="1">IF(AND(B136&gt;0,L136&gt;0),B136-L136,"-")</f>
        <v>-</v>
      </c>
      <c r="N136" s="19"/>
      <c r="O136" s="68"/>
      <c r="P136" s="118"/>
      <c r="Q136" s="21"/>
      <c r="R136" s="20"/>
      <c r="S136" s="20" t="str">
        <f>IF(AND(W136&gt;1,R136&gt;0),R136+18,"-")</f>
        <v>-</v>
      </c>
      <c r="T136" s="19" t="str">
        <f ca="1">IF(AND(S136&gt;0,B136&gt;0,W136&gt;1),B136-S136,"-")</f>
        <v>-</v>
      </c>
      <c r="U136" s="3"/>
      <c r="V136" s="22" t="str">
        <f>IF(AND(L136&gt;0,R136&gt;0),R136-L136,"-")</f>
        <v>-</v>
      </c>
      <c r="W136" s="22"/>
      <c r="X136" s="22" t="str">
        <f ca="1">IF(AND(M136&gt;140,W136=0,L136&gt;0),"яловая","-")</f>
        <v>-</v>
      </c>
      <c r="Y136" s="20" t="str">
        <f>IF(AND(R136&gt;0,OR(W136=3,W136=2)),R136+35,"-")</f>
        <v>-</v>
      </c>
      <c r="Z136" s="94" t="str">
        <f>IF(AND(R136&gt;0,U136&gt;0,O136&gt;0,OR(W136=3,W136=2)),B136-Y136,"---------")</f>
        <v>---------</v>
      </c>
      <c r="AA136" s="21"/>
      <c r="AB136" s="21" t="str">
        <f>IF(AND($R136&gt;0,$L136&gt;0,$W136=1),$R136+280-90,"-")</f>
        <v>-</v>
      </c>
      <c r="AC136" s="21" t="str">
        <f>IF(AND(R136&gt;0,W136=1,L136&gt;0),R136+280-60,"-")</f>
        <v>-</v>
      </c>
      <c r="AD136" s="85"/>
      <c r="AE136" s="21" t="str">
        <f>IF(AND($R136&gt;0,$W136=1),$R136+280-21,"-")</f>
        <v>-</v>
      </c>
      <c r="AF136" s="21" t="str">
        <f>IF(AND(R136&gt;0,W136=1),R136+280,"-")</f>
        <v>-</v>
      </c>
      <c r="AG136" s="89" t="str">
        <f ca="1">IF(AND(B136&gt;0,AF136&gt;0,AA136&gt;0,W136=1),B136-AF136,"-")</f>
        <v>-</v>
      </c>
      <c r="AH136" s="92">
        <v>1</v>
      </c>
      <c r="AI136" s="80" t="str">
        <f ca="1">IF(AND(X136="яловая",M136&gt;300),"БРАК","-")</f>
        <v>-</v>
      </c>
      <c r="AJ136" s="80"/>
      <c r="AK136" s="168">
        <v>42727</v>
      </c>
      <c r="AL136" s="22" t="s">
        <v>2223</v>
      </c>
      <c r="AM136" s="80"/>
    </row>
    <row r="137" spans="1:39" s="2" customFormat="1" ht="15.95" customHeight="1" x14ac:dyDescent="0.25">
      <c r="A137" s="77">
        <v>135</v>
      </c>
      <c r="B137" s="84">
        <f t="shared" ca="1" si="94"/>
        <v>43134</v>
      </c>
      <c r="C137" s="29" t="s">
        <v>1554</v>
      </c>
      <c r="D137" s="59" t="s">
        <v>2236</v>
      </c>
      <c r="E137" s="211" t="s">
        <v>1557</v>
      </c>
      <c r="F137" s="27" t="s">
        <v>1729</v>
      </c>
      <c r="G137" s="27"/>
      <c r="H137" s="28" t="s">
        <v>603</v>
      </c>
      <c r="I137" s="20">
        <v>42407</v>
      </c>
      <c r="J137" s="35">
        <f t="shared" ca="1" si="95"/>
        <v>1.9917808219178081</v>
      </c>
      <c r="K137" s="60"/>
      <c r="L137" s="32"/>
      <c r="M137" s="82" t="str">
        <f ca="1">IF(AND(B137&gt;0,L137&gt;0),B137-L137,"-")</f>
        <v>-</v>
      </c>
      <c r="N137" s="19"/>
      <c r="O137" s="68"/>
      <c r="P137" s="118"/>
      <c r="Q137" s="21"/>
      <c r="R137" s="20"/>
      <c r="S137" s="20" t="str">
        <f>IF(AND(W137&gt;1,R137&gt;0),R137+18,"-")</f>
        <v>-</v>
      </c>
      <c r="T137" s="19" t="str">
        <f ca="1">IF(AND(S137&gt;0,B137&gt;0,W137&gt;1),B137-S137,"-")</f>
        <v>-</v>
      </c>
      <c r="U137" s="3"/>
      <c r="V137" s="22" t="str">
        <f>IF(AND(L137&gt;0,R137&gt;0),R137-L137,"-")</f>
        <v>-</v>
      </c>
      <c r="W137" s="22"/>
      <c r="X137" s="22" t="str">
        <f ca="1">IF(AND(M137&gt;140,W137=0,L137&gt;0),"яловая","-")</f>
        <v>-</v>
      </c>
      <c r="Y137" s="20" t="str">
        <f>IF(AND(R137&gt;0,OR(W137=3,W137=2)),R137+35,"-")</f>
        <v>-</v>
      </c>
      <c r="Z137" s="94" t="str">
        <f>IF(AND(R137&gt;0,U137&gt;0,O137&gt;0,OR(W137=3,W137=2)),B137-Y137,"---------")</f>
        <v>---------</v>
      </c>
      <c r="AA137" s="21"/>
      <c r="AB137" s="21" t="str">
        <f>IF(AND($R137&gt;0,$L137&gt;0,$W137=1),$R137+280-90,"-")</f>
        <v>-</v>
      </c>
      <c r="AC137" s="21" t="str">
        <f>IF(AND(R137&gt;0,W137=1,L137&gt;0),R137+280-60,"-")</f>
        <v>-</v>
      </c>
      <c r="AD137" s="85"/>
      <c r="AE137" s="21" t="str">
        <f>IF(AND($R137&gt;0,$W137=1),$R137+280-21,"-")</f>
        <v>-</v>
      </c>
      <c r="AF137" s="21" t="str">
        <f>IF(AND(R137&gt;0,W137=1),R137+280,"-")</f>
        <v>-</v>
      </c>
      <c r="AG137" s="89" t="str">
        <f ca="1">IF(AND(B137&gt;0,AF137&gt;0,AA137&gt;0,W137=1),B137-AF137,"-")</f>
        <v>-</v>
      </c>
      <c r="AH137" s="92">
        <v>1</v>
      </c>
      <c r="AI137" s="80" t="str">
        <f ca="1">IF(AND(X137="яловая",M137&gt;300),"БРАК","-")</f>
        <v>-</v>
      </c>
      <c r="AJ137" s="80"/>
      <c r="AK137" s="168">
        <v>42731</v>
      </c>
      <c r="AL137" s="22" t="s">
        <v>1614</v>
      </c>
      <c r="AM137" s="80"/>
    </row>
    <row r="138" spans="1:39" s="2" customFormat="1" ht="15.95" customHeight="1" x14ac:dyDescent="0.25">
      <c r="A138" s="77">
        <v>136</v>
      </c>
      <c r="B138" s="84">
        <f t="shared" ca="1" si="94"/>
        <v>43134</v>
      </c>
      <c r="C138" s="29" t="s">
        <v>1554</v>
      </c>
      <c r="D138" s="59" t="s">
        <v>2236</v>
      </c>
      <c r="E138" s="22" t="s">
        <v>1557</v>
      </c>
      <c r="F138" s="27" t="s">
        <v>1758</v>
      </c>
      <c r="G138" s="27"/>
      <c r="H138" s="28" t="s">
        <v>603</v>
      </c>
      <c r="I138" s="20">
        <v>42499</v>
      </c>
      <c r="J138" s="35">
        <f t="shared" ca="1" si="95"/>
        <v>1.7397260273972603</v>
      </c>
      <c r="K138" s="60"/>
      <c r="L138" s="32"/>
      <c r="M138" s="82" t="str">
        <f ca="1">IF(AND(B138&gt;0,L138&gt;0),B138-L138,"-")</f>
        <v>-</v>
      </c>
      <c r="N138" s="19"/>
      <c r="O138" s="68"/>
      <c r="P138" s="118"/>
      <c r="Q138" s="21"/>
      <c r="R138" s="20"/>
      <c r="S138" s="20" t="str">
        <f>IF(AND(W138&gt;1,R138&gt;0),R138+18,"-")</f>
        <v>-</v>
      </c>
      <c r="T138" s="19" t="str">
        <f ca="1">IF(AND(S138&gt;0,B138&gt;0,W138&gt;1),B138-S138,"-")</f>
        <v>-</v>
      </c>
      <c r="U138" s="3"/>
      <c r="V138" s="22" t="str">
        <f>IF(AND(L138&gt;0,R138&gt;0),R138-L138,"-")</f>
        <v>-</v>
      </c>
      <c r="W138" s="22"/>
      <c r="X138" s="22" t="str">
        <f ca="1">IF(AND(M138&gt;140,W138=0,L138&gt;0),"яловая","-")</f>
        <v>-</v>
      </c>
      <c r="Y138" s="20" t="str">
        <f>IF(AND(R138&gt;0,OR(W138=3,W138=2)),R138+35,"-")</f>
        <v>-</v>
      </c>
      <c r="Z138" s="94" t="str">
        <f>IF(AND(R138&gt;0,U138&gt;0,O138&gt;0,OR(W138=3,W138=2)),B138-Y138,"---------")</f>
        <v>---------</v>
      </c>
      <c r="AA138" s="21"/>
      <c r="AB138" s="21" t="str">
        <f>IF(AND($R138&gt;0,$L138&gt;0,$W138=1),$R138+280-90,"-")</f>
        <v>-</v>
      </c>
      <c r="AC138" s="21" t="str">
        <f>IF(AND(R138&gt;0,W138=1,L138&gt;0),R138+280-60,"-")</f>
        <v>-</v>
      </c>
      <c r="AD138" s="85"/>
      <c r="AE138" s="21" t="str">
        <f>IF(AND($R138&gt;0,$W138=1),$R138+280-21,"-")</f>
        <v>-</v>
      </c>
      <c r="AF138" s="21" t="str">
        <f>IF(AND(R138&gt;0,W138=1),R138+280,"-")</f>
        <v>-</v>
      </c>
      <c r="AG138" s="89" t="str">
        <f ca="1">IF(AND(B138&gt;0,AF138&gt;0,AA138&gt;0,W138=1),B138-AF138,"-")</f>
        <v>-</v>
      </c>
      <c r="AH138" s="92">
        <v>1</v>
      </c>
      <c r="AI138" s="80" t="str">
        <f ca="1">IF(AND(X138="яловая",M138&gt;300),"БРАК","-")</f>
        <v>-</v>
      </c>
      <c r="AJ138" s="80"/>
      <c r="AK138" s="168">
        <v>42731</v>
      </c>
      <c r="AL138" s="22" t="s">
        <v>1614</v>
      </c>
      <c r="AM138" s="80"/>
    </row>
    <row r="139" spans="1:39" s="2" customFormat="1" ht="15.95" customHeight="1" x14ac:dyDescent="0.25">
      <c r="A139" s="77">
        <v>137</v>
      </c>
      <c r="B139" s="84">
        <f t="shared" ca="1" si="94"/>
        <v>43134</v>
      </c>
      <c r="C139" s="29" t="s">
        <v>1554</v>
      </c>
      <c r="D139" s="59" t="s">
        <v>1555</v>
      </c>
      <c r="E139" s="22" t="s">
        <v>1557</v>
      </c>
      <c r="F139" s="27" t="s">
        <v>2321</v>
      </c>
      <c r="G139" s="27"/>
      <c r="H139" s="28" t="s">
        <v>603</v>
      </c>
      <c r="I139" s="20">
        <v>42742</v>
      </c>
      <c r="J139" s="35">
        <f t="shared" ca="1" si="95"/>
        <v>1.0739726027397261</v>
      </c>
      <c r="K139" s="60"/>
      <c r="L139" s="32"/>
      <c r="M139" s="82"/>
      <c r="N139" s="19"/>
      <c r="O139" s="68"/>
      <c r="P139" s="118"/>
      <c r="Q139" s="21"/>
      <c r="R139" s="20"/>
      <c r="S139" s="20"/>
      <c r="T139" s="19"/>
      <c r="U139" s="3"/>
      <c r="V139" s="22"/>
      <c r="W139" s="22"/>
      <c r="X139" s="22"/>
      <c r="Y139" s="20"/>
      <c r="Z139" s="94"/>
      <c r="AA139" s="21"/>
      <c r="AB139" s="21"/>
      <c r="AC139" s="21"/>
      <c r="AD139" s="85"/>
      <c r="AE139" s="21"/>
      <c r="AF139" s="21"/>
      <c r="AG139" s="89"/>
      <c r="AH139" s="92"/>
      <c r="AI139" s="80"/>
      <c r="AJ139" s="80"/>
      <c r="AK139" s="352">
        <v>42746</v>
      </c>
      <c r="AL139" s="22" t="s">
        <v>1614</v>
      </c>
      <c r="AM139" s="80">
        <v>48</v>
      </c>
    </row>
    <row r="140" spans="1:39" s="2" customFormat="1" ht="15.95" customHeight="1" x14ac:dyDescent="0.25">
      <c r="A140" s="77">
        <v>138</v>
      </c>
      <c r="B140" s="84">
        <f t="shared" ca="1" si="94"/>
        <v>43134</v>
      </c>
      <c r="C140" s="29" t="s">
        <v>1554</v>
      </c>
      <c r="D140" s="59" t="s">
        <v>1555</v>
      </c>
      <c r="E140" s="22" t="s">
        <v>1557</v>
      </c>
      <c r="F140" s="27" t="s">
        <v>2324</v>
      </c>
      <c r="G140" s="27"/>
      <c r="H140" s="28" t="s">
        <v>603</v>
      </c>
      <c r="I140" s="20">
        <v>42747</v>
      </c>
      <c r="J140" s="35">
        <f t="shared" ca="1" si="95"/>
        <v>1.0602739726027397</v>
      </c>
      <c r="K140" s="60"/>
      <c r="L140" s="32"/>
      <c r="M140" s="82"/>
      <c r="N140" s="19"/>
      <c r="O140" s="68"/>
      <c r="P140" s="118"/>
      <c r="Q140" s="21"/>
      <c r="R140" s="20"/>
      <c r="S140" s="20"/>
      <c r="T140" s="19"/>
      <c r="U140" s="3"/>
      <c r="V140" s="22"/>
      <c r="W140" s="22"/>
      <c r="X140" s="22"/>
      <c r="Y140" s="20"/>
      <c r="Z140" s="94"/>
      <c r="AA140" s="21"/>
      <c r="AB140" s="21"/>
      <c r="AC140" s="21"/>
      <c r="AD140" s="85"/>
      <c r="AE140" s="21"/>
      <c r="AF140" s="21"/>
      <c r="AG140" s="89"/>
      <c r="AH140" s="92"/>
      <c r="AI140" s="80"/>
      <c r="AJ140" s="80"/>
      <c r="AK140" s="352">
        <v>42751</v>
      </c>
      <c r="AL140" s="22" t="s">
        <v>1614</v>
      </c>
      <c r="AM140" s="80">
        <v>47</v>
      </c>
    </row>
    <row r="141" spans="1:39" s="2" customFormat="1" ht="15.95" customHeight="1" x14ac:dyDescent="0.25">
      <c r="A141" s="77">
        <v>139</v>
      </c>
      <c r="B141" s="84">
        <f t="shared" ca="1" si="94"/>
        <v>43134</v>
      </c>
      <c r="C141" s="29" t="s">
        <v>1554</v>
      </c>
      <c r="D141" s="59" t="s">
        <v>1555</v>
      </c>
      <c r="E141" s="22" t="s">
        <v>1557</v>
      </c>
      <c r="F141" s="27" t="s">
        <v>2307</v>
      </c>
      <c r="G141" s="27"/>
      <c r="H141" s="28" t="s">
        <v>603</v>
      </c>
      <c r="I141" s="20">
        <v>42738</v>
      </c>
      <c r="J141" s="35">
        <v>0</v>
      </c>
      <c r="K141" s="60"/>
      <c r="L141" s="32"/>
      <c r="M141" s="82" t="str">
        <f ca="1">IF(AND(B141&gt;0,L141&gt;0),B141-L141,"-")</f>
        <v>-</v>
      </c>
      <c r="N141" s="19"/>
      <c r="O141" s="68"/>
      <c r="P141" s="118"/>
      <c r="Q141" s="21"/>
      <c r="R141" s="20"/>
      <c r="S141" s="20" t="str">
        <f t="shared" ref="S141" si="96">IF(AND(W141&gt;1,R141&gt;0),R141+18,"-")</f>
        <v>-</v>
      </c>
      <c r="T141" s="19" t="str">
        <f ca="1">IF(AND(S141&gt;0,B141&gt;0,W141&gt;1),B141-S141,"-")</f>
        <v>-</v>
      </c>
      <c r="U141" s="3"/>
      <c r="V141" s="22" t="str">
        <f t="shared" ref="V141" si="97">IF(AND(L141&gt;0,R141&gt;0),R141-L141,"-")</f>
        <v>-</v>
      </c>
      <c r="W141" s="22"/>
      <c r="X141" s="22" t="str">
        <f t="shared" ref="X141" ca="1" si="98">IF(AND(M141&gt;140,W141=0,L141&gt;0),"яловая","-")</f>
        <v>-</v>
      </c>
      <c r="Y141" s="20" t="str">
        <f t="shared" ref="Y141" si="99">IF(AND(R141&gt;0,OR(W141=3,W141=2)),R141+35,"-")</f>
        <v>-</v>
      </c>
      <c r="Z141" s="94" t="str">
        <f>IF(AND(R141&gt;0,U141&gt;0,O141&gt;0,OR(W141=3,W141=2)),B141-Y141,"---------")</f>
        <v>---------</v>
      </c>
      <c r="AA141" s="21"/>
      <c r="AB141" s="21" t="str">
        <f t="shared" ref="AB141" si="100">IF(AND($R141&gt;0,$L141&gt;0,$W141=1),$R141+280-90,"-")</f>
        <v>-</v>
      </c>
      <c r="AC141" s="21" t="str">
        <f t="shared" ref="AC141" si="101">IF(AND(R141&gt;0,W141=1,L141&gt;0),R141+280-60,"-")</f>
        <v>-</v>
      </c>
      <c r="AD141" s="85"/>
      <c r="AE141" s="21" t="str">
        <f t="shared" ref="AE141" si="102">IF(AND($R141&gt;0,$W141=1),$R141+280-21,"-")</f>
        <v>-</v>
      </c>
      <c r="AF141" s="21" t="str">
        <f t="shared" ref="AF141" si="103">IF(AND(R141&gt;0,W141=1),R141+280,"-")</f>
        <v>-</v>
      </c>
      <c r="AG141" s="89" t="str">
        <f ca="1">IF(AND(B141&gt;0,AF141&gt;0,AA141&gt;0,W141=1),B141-AF141,"-")</f>
        <v>-</v>
      </c>
      <c r="AH141" s="92">
        <v>1</v>
      </c>
      <c r="AI141" s="80" t="str">
        <f t="shared" ref="AI141" ca="1" si="104">IF(AND(X141="яловая",M141&gt;300),"БРАК","-")</f>
        <v>-</v>
      </c>
      <c r="AJ141" s="80"/>
      <c r="AK141" s="352">
        <v>42752</v>
      </c>
      <c r="AL141" s="22" t="s">
        <v>1614</v>
      </c>
      <c r="AM141" s="80">
        <v>45</v>
      </c>
    </row>
    <row r="142" spans="1:39" s="2" customFormat="1" ht="15.95" customHeight="1" x14ac:dyDescent="0.25">
      <c r="A142" s="77">
        <v>140</v>
      </c>
      <c r="B142" s="84">
        <f t="shared" ca="1" si="94"/>
        <v>43134</v>
      </c>
      <c r="C142" s="29" t="s">
        <v>1554</v>
      </c>
      <c r="D142" s="59" t="s">
        <v>1555</v>
      </c>
      <c r="E142" s="22" t="s">
        <v>1557</v>
      </c>
      <c r="F142" s="27" t="s">
        <v>2351</v>
      </c>
      <c r="G142" s="27"/>
      <c r="H142" s="28" t="s">
        <v>603</v>
      </c>
      <c r="I142" s="20">
        <v>42741</v>
      </c>
      <c r="J142" s="35">
        <v>0</v>
      </c>
      <c r="K142" s="60"/>
      <c r="L142" s="32"/>
      <c r="M142" s="82"/>
      <c r="N142" s="19"/>
      <c r="O142" s="68"/>
      <c r="P142" s="118"/>
      <c r="Q142" s="21"/>
      <c r="R142" s="20"/>
      <c r="S142" s="20"/>
      <c r="T142" s="19"/>
      <c r="U142" s="3"/>
      <c r="V142" s="22"/>
      <c r="W142" s="22"/>
      <c r="X142" s="22"/>
      <c r="Y142" s="20"/>
      <c r="Z142" s="94"/>
      <c r="AA142" s="21"/>
      <c r="AB142" s="21"/>
      <c r="AC142" s="21"/>
      <c r="AD142" s="85"/>
      <c r="AE142" s="21"/>
      <c r="AF142" s="21"/>
      <c r="AG142" s="89"/>
      <c r="AH142" s="92"/>
      <c r="AI142" s="80"/>
      <c r="AJ142" s="80"/>
      <c r="AK142" s="352">
        <v>17</v>
      </c>
      <c r="AL142" s="22" t="s">
        <v>1614</v>
      </c>
      <c r="AM142" s="80">
        <v>43</v>
      </c>
    </row>
    <row r="143" spans="1:39" s="2" customFormat="1" ht="15.95" customHeight="1" x14ac:dyDescent="0.25">
      <c r="A143" s="77">
        <v>141</v>
      </c>
      <c r="B143" s="84">
        <f t="shared" ca="1" si="94"/>
        <v>43134</v>
      </c>
      <c r="C143" s="29" t="s">
        <v>1554</v>
      </c>
      <c r="D143" s="59" t="s">
        <v>1555</v>
      </c>
      <c r="E143" s="22" t="s">
        <v>1557</v>
      </c>
      <c r="F143" s="27" t="s">
        <v>2329</v>
      </c>
      <c r="G143" s="27"/>
      <c r="H143" s="28" t="s">
        <v>603</v>
      </c>
      <c r="I143" s="20">
        <v>42750</v>
      </c>
      <c r="J143" s="35">
        <f t="shared" ref="J143:J174" ca="1" si="105">(B143-I143)/365</f>
        <v>1.0520547945205478</v>
      </c>
      <c r="K143" s="60"/>
      <c r="L143" s="32"/>
      <c r="M143" s="82"/>
      <c r="N143" s="19"/>
      <c r="O143" s="68"/>
      <c r="P143" s="118"/>
      <c r="Q143" s="21"/>
      <c r="R143" s="20"/>
      <c r="S143" s="20"/>
      <c r="T143" s="19"/>
      <c r="U143" s="3"/>
      <c r="V143" s="22"/>
      <c r="W143" s="22"/>
      <c r="X143" s="22"/>
      <c r="Y143" s="20"/>
      <c r="Z143" s="94"/>
      <c r="AA143" s="21"/>
      <c r="AB143" s="21"/>
      <c r="AC143" s="21"/>
      <c r="AD143" s="85"/>
      <c r="AE143" s="21"/>
      <c r="AF143" s="21"/>
      <c r="AG143" s="89"/>
      <c r="AH143" s="92"/>
      <c r="AI143" s="80"/>
      <c r="AJ143" s="80"/>
      <c r="AK143" s="352">
        <v>42754</v>
      </c>
      <c r="AL143" s="22" t="s">
        <v>1614</v>
      </c>
      <c r="AM143" s="80">
        <v>45</v>
      </c>
    </row>
    <row r="144" spans="1:39" s="2" customFormat="1" ht="15.95" customHeight="1" x14ac:dyDescent="0.25">
      <c r="A144" s="77">
        <v>142</v>
      </c>
      <c r="B144" s="84">
        <f t="shared" ca="1" si="94"/>
        <v>43134</v>
      </c>
      <c r="C144" s="29" t="s">
        <v>1554</v>
      </c>
      <c r="D144" s="59" t="s">
        <v>1555</v>
      </c>
      <c r="E144" s="22" t="s">
        <v>1557</v>
      </c>
      <c r="F144" s="27" t="s">
        <v>2331</v>
      </c>
      <c r="G144" s="27"/>
      <c r="H144" s="28" t="s">
        <v>603</v>
      </c>
      <c r="I144" s="20">
        <v>42751</v>
      </c>
      <c r="J144" s="35">
        <f t="shared" ca="1" si="105"/>
        <v>1.0493150684931507</v>
      </c>
      <c r="K144" s="60"/>
      <c r="L144" s="32"/>
      <c r="M144" s="82" t="str">
        <f t="shared" ref="M144:M161" ca="1" si="106">IF(AND(B144&gt;0,L144&gt;0),B144-L144,"-")</f>
        <v>-</v>
      </c>
      <c r="N144" s="19"/>
      <c r="O144" s="68"/>
      <c r="P144" s="118"/>
      <c r="Q144" s="21"/>
      <c r="R144" s="20"/>
      <c r="S144" s="20" t="str">
        <f t="shared" ref="S144:S145" si="107">IF(AND(W144&gt;1,R144&gt;0),R144+18,"-")</f>
        <v>-</v>
      </c>
      <c r="T144" s="19" t="str">
        <f t="shared" ref="T144:T161" ca="1" si="108">IF(AND(S144&gt;0,B144&gt;0,W144&gt;1),B144-S144,"-")</f>
        <v>-</v>
      </c>
      <c r="U144" s="3"/>
      <c r="V144" s="22" t="str">
        <f t="shared" ref="V144:V145" si="109">IF(AND(L144&gt;0,R144&gt;0),R144-L144,"-")</f>
        <v>-</v>
      </c>
      <c r="W144" s="22"/>
      <c r="X144" s="22" t="str">
        <f t="shared" ref="X144:X145" ca="1" si="110">IF(AND(M144&gt;140,W144=0,L144&gt;0),"яловая","-")</f>
        <v>-</v>
      </c>
      <c r="Y144" s="20" t="str">
        <f t="shared" ref="Y144:Y145" si="111">IF(AND(R144&gt;0,OR(W144=3,W144=2)),R144+35,"-")</f>
        <v>-</v>
      </c>
      <c r="Z144" s="94" t="str">
        <f t="shared" ref="Z144:Z161" si="112">IF(AND(R144&gt;0,U144&gt;0,O144&gt;0,OR(W144=3,W144=2)),B144-Y144,"---------")</f>
        <v>---------</v>
      </c>
      <c r="AA144" s="21"/>
      <c r="AB144" s="21" t="str">
        <f t="shared" ref="AB144:AB145" si="113">IF(AND($R144&gt;0,$L144&gt;0,$W144=1),$R144+280-90,"-")</f>
        <v>-</v>
      </c>
      <c r="AC144" s="21" t="str">
        <f t="shared" ref="AC144:AC145" si="114">IF(AND(R144&gt;0,W144=1,L144&gt;0),R144+280-60,"-")</f>
        <v>-</v>
      </c>
      <c r="AD144" s="85"/>
      <c r="AE144" s="21" t="str">
        <f t="shared" ref="AE144:AE145" si="115">IF(AND($R144&gt;0,$W144=1),$R144+280-21,"-")</f>
        <v>-</v>
      </c>
      <c r="AF144" s="21" t="str">
        <f t="shared" ref="AF144:AF145" si="116">IF(AND(R144&gt;0,W144=1),R144+280,"-")</f>
        <v>-</v>
      </c>
      <c r="AG144" s="89" t="str">
        <f t="shared" ref="AG144:AG161" ca="1" si="117">IF(AND(B144&gt;0,AF144&gt;0,AA144&gt;0,W144=1),B144-AF144,"-")</f>
        <v>-</v>
      </c>
      <c r="AH144" s="92">
        <v>1</v>
      </c>
      <c r="AI144" s="80" t="str">
        <f t="shared" ref="AI144:AI145" ca="1" si="118">IF(AND(X144="яловая",M144&gt;300),"БРАК","-")</f>
        <v>-</v>
      </c>
      <c r="AJ144" s="80"/>
      <c r="AK144" s="352">
        <v>42758</v>
      </c>
      <c r="AL144" s="22" t="s">
        <v>1614</v>
      </c>
      <c r="AM144" s="80">
        <v>40</v>
      </c>
    </row>
    <row r="145" spans="1:39" s="1" customFormat="1" ht="15.95" customHeight="1" x14ac:dyDescent="0.25">
      <c r="A145" s="77">
        <v>143</v>
      </c>
      <c r="B145" s="84">
        <f t="shared" ca="1" si="94"/>
        <v>43134</v>
      </c>
      <c r="C145" s="29" t="s">
        <v>1554</v>
      </c>
      <c r="D145" s="59" t="s">
        <v>1555</v>
      </c>
      <c r="E145" s="22" t="s">
        <v>1557</v>
      </c>
      <c r="F145" s="27" t="s">
        <v>2337</v>
      </c>
      <c r="G145" s="27"/>
      <c r="H145" s="28" t="s">
        <v>603</v>
      </c>
      <c r="I145" s="20">
        <v>42752</v>
      </c>
      <c r="J145" s="35">
        <f t="shared" ca="1" si="105"/>
        <v>1.0465753424657533</v>
      </c>
      <c r="K145" s="60"/>
      <c r="L145" s="32"/>
      <c r="M145" s="82" t="str">
        <f t="shared" ca="1" si="106"/>
        <v>-</v>
      </c>
      <c r="N145" s="19"/>
      <c r="O145" s="68"/>
      <c r="P145" s="118"/>
      <c r="Q145" s="21"/>
      <c r="R145" s="20"/>
      <c r="S145" s="20" t="str">
        <f t="shared" si="107"/>
        <v>-</v>
      </c>
      <c r="T145" s="19" t="str">
        <f t="shared" ca="1" si="108"/>
        <v>-</v>
      </c>
      <c r="U145" s="3"/>
      <c r="V145" s="22" t="str">
        <f t="shared" si="109"/>
        <v>-</v>
      </c>
      <c r="W145" s="22"/>
      <c r="X145" s="22" t="str">
        <f t="shared" ca="1" si="110"/>
        <v>-</v>
      </c>
      <c r="Y145" s="20" t="str">
        <f t="shared" si="111"/>
        <v>-</v>
      </c>
      <c r="Z145" s="94" t="str">
        <f t="shared" si="112"/>
        <v>---------</v>
      </c>
      <c r="AA145" s="21"/>
      <c r="AB145" s="21" t="str">
        <f t="shared" si="113"/>
        <v>-</v>
      </c>
      <c r="AC145" s="21" t="str">
        <f t="shared" si="114"/>
        <v>-</v>
      </c>
      <c r="AD145" s="85"/>
      <c r="AE145" s="21" t="str">
        <f t="shared" si="115"/>
        <v>-</v>
      </c>
      <c r="AF145" s="21" t="str">
        <f t="shared" si="116"/>
        <v>-</v>
      </c>
      <c r="AG145" s="89" t="str">
        <f t="shared" ca="1" si="117"/>
        <v>-</v>
      </c>
      <c r="AH145" s="92">
        <v>1</v>
      </c>
      <c r="AI145" s="80" t="str">
        <f t="shared" ca="1" si="118"/>
        <v>-</v>
      </c>
      <c r="AJ145" s="80"/>
      <c r="AK145" s="352">
        <v>42758</v>
      </c>
      <c r="AL145" s="22" t="s">
        <v>1614</v>
      </c>
      <c r="AM145" s="80">
        <v>55</v>
      </c>
    </row>
    <row r="146" spans="1:39" s="2" customFormat="1" ht="15.95" customHeight="1" x14ac:dyDescent="0.25">
      <c r="A146" s="77">
        <v>144</v>
      </c>
      <c r="B146" s="84">
        <f t="shared" ca="1" si="94"/>
        <v>43134</v>
      </c>
      <c r="C146" s="29" t="s">
        <v>1554</v>
      </c>
      <c r="D146" s="59" t="s">
        <v>2236</v>
      </c>
      <c r="E146" s="22" t="s">
        <v>1557</v>
      </c>
      <c r="F146" s="27" t="s">
        <v>2241</v>
      </c>
      <c r="G146" s="27"/>
      <c r="H146" s="28" t="s">
        <v>603</v>
      </c>
      <c r="I146" s="20">
        <v>42380</v>
      </c>
      <c r="J146" s="35">
        <f t="shared" ca="1" si="105"/>
        <v>2.0657534246575344</v>
      </c>
      <c r="K146" s="60"/>
      <c r="L146" s="32"/>
      <c r="M146" s="82" t="str">
        <f t="shared" ca="1" si="106"/>
        <v>-</v>
      </c>
      <c r="N146" s="19"/>
      <c r="O146" s="68"/>
      <c r="P146" s="118"/>
      <c r="Q146" s="21"/>
      <c r="R146" s="20"/>
      <c r="S146" s="20" t="str">
        <f>IF(AND(W146&gt;1,R146&gt;0),R146+18,"-")</f>
        <v>-</v>
      </c>
      <c r="T146" s="19" t="str">
        <f t="shared" ca="1" si="108"/>
        <v>-</v>
      </c>
      <c r="U146" s="3"/>
      <c r="V146" s="22" t="str">
        <f>IF(AND(L146&gt;0,R146&gt;0),R146-L146,"-")</f>
        <v>-</v>
      </c>
      <c r="W146" s="22"/>
      <c r="X146" s="22" t="str">
        <f ca="1">IF(AND(M146&gt;140,W146=0,L146&gt;0),"яловая","-")</f>
        <v>-</v>
      </c>
      <c r="Y146" s="20" t="str">
        <f>IF(AND(R146&gt;0,OR(W146=3,W146=2)),R146+35,"-")</f>
        <v>-</v>
      </c>
      <c r="Z146" s="94" t="str">
        <f t="shared" si="112"/>
        <v>---------</v>
      </c>
      <c r="AA146" s="21"/>
      <c r="AB146" s="21" t="str">
        <f>IF(AND($R146&gt;0,$L146&gt;0,$W146=1),$R146+280-90,"-")</f>
        <v>-</v>
      </c>
      <c r="AC146" s="21" t="str">
        <f>IF(AND(R146&gt;0,W146=1,L146&gt;0),R146+280-60,"-")</f>
        <v>-</v>
      </c>
      <c r="AD146" s="85"/>
      <c r="AE146" s="21" t="str">
        <f>IF(AND($R146&gt;0,$W146=1),$R146+280-21,"-")</f>
        <v>-</v>
      </c>
      <c r="AF146" s="21" t="str">
        <f>IF(AND(R146&gt;0,W146=1),R146+280,"-")</f>
        <v>-</v>
      </c>
      <c r="AG146" s="89" t="str">
        <f t="shared" ca="1" si="117"/>
        <v>-</v>
      </c>
      <c r="AH146" s="92">
        <v>1</v>
      </c>
      <c r="AI146" s="80" t="str">
        <f ca="1">IF(AND(X146="яловая",M146&gt;300),"БРАК","-")</f>
        <v>-</v>
      </c>
      <c r="AJ146" s="80"/>
      <c r="AK146" s="352">
        <v>42763</v>
      </c>
      <c r="AL146" s="22" t="s">
        <v>1614</v>
      </c>
      <c r="AM146" s="80"/>
    </row>
    <row r="147" spans="1:39" s="2" customFormat="1" ht="15.95" customHeight="1" x14ac:dyDescent="0.25">
      <c r="A147" s="77">
        <v>145</v>
      </c>
      <c r="B147" s="84">
        <f t="shared" ca="1" si="94"/>
        <v>43134</v>
      </c>
      <c r="C147" s="29" t="s">
        <v>1554</v>
      </c>
      <c r="D147" s="59" t="s">
        <v>1555</v>
      </c>
      <c r="E147" s="22" t="s">
        <v>1557</v>
      </c>
      <c r="F147" s="27" t="s">
        <v>2379</v>
      </c>
      <c r="G147" s="27"/>
      <c r="H147" s="28" t="s">
        <v>603</v>
      </c>
      <c r="I147" s="20">
        <v>42763</v>
      </c>
      <c r="J147" s="35">
        <f t="shared" ca="1" si="105"/>
        <v>1.0164383561643835</v>
      </c>
      <c r="K147" s="60"/>
      <c r="L147" s="32"/>
      <c r="M147" s="82" t="str">
        <f t="shared" ca="1" si="106"/>
        <v>-</v>
      </c>
      <c r="N147" s="19"/>
      <c r="O147" s="68"/>
      <c r="P147" s="118"/>
      <c r="Q147" s="21"/>
      <c r="R147" s="20"/>
      <c r="S147" s="20" t="str">
        <f t="shared" ref="S147" si="119">IF(AND(W147&gt;1,R147&gt;0),R147+18,"-")</f>
        <v>-</v>
      </c>
      <c r="T147" s="19" t="str">
        <f t="shared" ca="1" si="108"/>
        <v>-</v>
      </c>
      <c r="U147" s="3"/>
      <c r="V147" s="22" t="str">
        <f t="shared" ref="V147" si="120">IF(AND(L147&gt;0,R147&gt;0),R147-L147,"-")</f>
        <v>-</v>
      </c>
      <c r="W147" s="22"/>
      <c r="X147" s="22" t="str">
        <f t="shared" ref="X147" ca="1" si="121">IF(AND(M147&gt;140,W147=0,L147&gt;0),"яловая","-")</f>
        <v>-</v>
      </c>
      <c r="Y147" s="20" t="str">
        <f t="shared" ref="Y147" si="122">IF(AND(R147&gt;0,OR(W147=3,W147=2)),R147+35,"-")</f>
        <v>-</v>
      </c>
      <c r="Z147" s="94" t="str">
        <f t="shared" si="112"/>
        <v>---------</v>
      </c>
      <c r="AA147" s="21"/>
      <c r="AB147" s="21" t="str">
        <f t="shared" ref="AB147" si="123">IF(AND($R147&gt;0,$L147&gt;0,$W147=1),$R147+280-90,"-")</f>
        <v>-</v>
      </c>
      <c r="AC147" s="21" t="str">
        <f t="shared" ref="AC147" si="124">IF(AND(R147&gt;0,W147=1,L147&gt;0),R147+280-60,"-")</f>
        <v>-</v>
      </c>
      <c r="AD147" s="85"/>
      <c r="AE147" s="21" t="str">
        <f t="shared" ref="AE147" si="125">IF(AND($R147&gt;0,$W147=1),$R147+280-21,"-")</f>
        <v>-</v>
      </c>
      <c r="AF147" s="21" t="str">
        <f t="shared" ref="AF147" si="126">IF(AND(R147&gt;0,W147=1),R147+280,"-")</f>
        <v>-</v>
      </c>
      <c r="AG147" s="89" t="str">
        <f t="shared" ca="1" si="117"/>
        <v>-</v>
      </c>
      <c r="AH147" s="92">
        <v>1</v>
      </c>
      <c r="AI147" s="80" t="str">
        <f t="shared" ref="AI147" ca="1" si="127">IF(AND(X147="яловая",M147&gt;300),"БРАК","-")</f>
        <v>-</v>
      </c>
      <c r="AJ147" s="80"/>
      <c r="AK147" s="352">
        <v>42765</v>
      </c>
      <c r="AL147" s="22" t="s">
        <v>1614</v>
      </c>
      <c r="AM147" s="80">
        <v>48</v>
      </c>
    </row>
    <row r="148" spans="1:39" s="2" customFormat="1" ht="15.95" customHeight="1" x14ac:dyDescent="0.25">
      <c r="A148" s="77">
        <v>146</v>
      </c>
      <c r="B148" s="84">
        <f t="shared" ca="1" si="94"/>
        <v>43134</v>
      </c>
      <c r="C148" s="29" t="s">
        <v>1554</v>
      </c>
      <c r="D148" s="59" t="s">
        <v>1555</v>
      </c>
      <c r="E148" s="22" t="s">
        <v>1557</v>
      </c>
      <c r="F148" s="27" t="s">
        <v>2332</v>
      </c>
      <c r="G148" s="27"/>
      <c r="H148" s="28" t="s">
        <v>603</v>
      </c>
      <c r="I148" s="20">
        <v>42751</v>
      </c>
      <c r="J148" s="35">
        <f t="shared" ca="1" si="105"/>
        <v>1.0493150684931507</v>
      </c>
      <c r="K148" s="60"/>
      <c r="L148" s="32"/>
      <c r="M148" s="82" t="str">
        <f t="shared" ca="1" si="106"/>
        <v>-</v>
      </c>
      <c r="N148" s="19"/>
      <c r="O148" s="68"/>
      <c r="P148" s="118"/>
      <c r="Q148" s="21"/>
      <c r="R148" s="20"/>
      <c r="S148" s="20" t="str">
        <f t="shared" ref="S148:S161" si="128">IF(AND(W148&gt;1,R148&gt;0),R148+18,"-")</f>
        <v>-</v>
      </c>
      <c r="T148" s="19" t="str">
        <f t="shared" ca="1" si="108"/>
        <v>-</v>
      </c>
      <c r="U148" s="3"/>
      <c r="V148" s="22" t="str">
        <f t="shared" ref="V148:V161" si="129">IF(AND(L148&gt;0,R148&gt;0),R148-L148,"-")</f>
        <v>-</v>
      </c>
      <c r="W148" s="22"/>
      <c r="X148" s="22" t="str">
        <f t="shared" ref="X148:X161" ca="1" si="130">IF(AND(M148&gt;140,W148=0,L148&gt;0),"яловая","-")</f>
        <v>-</v>
      </c>
      <c r="Y148" s="20" t="str">
        <f t="shared" ref="Y148:Y161" si="131">IF(AND(R148&gt;0,OR(W148=3,W148=2)),R148+35,"-")</f>
        <v>-</v>
      </c>
      <c r="Z148" s="94" t="str">
        <f t="shared" si="112"/>
        <v>---------</v>
      </c>
      <c r="AA148" s="21"/>
      <c r="AB148" s="21" t="str">
        <f t="shared" ref="AB148:AB161" si="132">IF(AND($R148&gt;0,$L148&gt;0,$W148=1),$R148+280-90,"-")</f>
        <v>-</v>
      </c>
      <c r="AC148" s="21" t="str">
        <f t="shared" ref="AC148:AC161" si="133">IF(AND(R148&gt;0,W148=1,L148&gt;0),R148+280-60,"-")</f>
        <v>-</v>
      </c>
      <c r="AD148" s="85"/>
      <c r="AE148" s="21" t="str">
        <f t="shared" ref="AE148:AE161" si="134">IF(AND($R148&gt;0,$W148=1),$R148+280-21,"-")</f>
        <v>-</v>
      </c>
      <c r="AF148" s="21" t="str">
        <f t="shared" ref="AF148:AF161" si="135">IF(AND(R148&gt;0,W148=1),R148+280,"-")</f>
        <v>-</v>
      </c>
      <c r="AG148" s="89" t="str">
        <f t="shared" ca="1" si="117"/>
        <v>-</v>
      </c>
      <c r="AH148" s="92">
        <v>1</v>
      </c>
      <c r="AI148" s="80" t="str">
        <f t="shared" ref="AI148:AI161" ca="1" si="136">IF(AND(X148="яловая",M148&gt;300),"БРАК","-")</f>
        <v>-</v>
      </c>
      <c r="AJ148" s="80"/>
      <c r="AK148" s="352">
        <v>42766</v>
      </c>
      <c r="AL148" s="22" t="s">
        <v>1614</v>
      </c>
      <c r="AM148" s="80">
        <v>46</v>
      </c>
    </row>
    <row r="149" spans="1:39" s="2" customFormat="1" ht="15.95" customHeight="1" x14ac:dyDescent="0.25">
      <c r="A149" s="77">
        <v>147</v>
      </c>
      <c r="B149" s="84">
        <f t="shared" ca="1" si="94"/>
        <v>43134</v>
      </c>
      <c r="C149" s="29" t="s">
        <v>1554</v>
      </c>
      <c r="D149" s="59" t="s">
        <v>1555</v>
      </c>
      <c r="E149" s="22" t="s">
        <v>1557</v>
      </c>
      <c r="F149" s="27" t="s">
        <v>2339</v>
      </c>
      <c r="G149" s="27"/>
      <c r="H149" s="28" t="s">
        <v>603</v>
      </c>
      <c r="I149" s="20">
        <v>42753</v>
      </c>
      <c r="J149" s="35">
        <f t="shared" ca="1" si="105"/>
        <v>1.0438356164383562</v>
      </c>
      <c r="K149" s="60"/>
      <c r="L149" s="32"/>
      <c r="M149" s="82" t="str">
        <f t="shared" ca="1" si="106"/>
        <v>-</v>
      </c>
      <c r="N149" s="19"/>
      <c r="O149" s="68"/>
      <c r="P149" s="118"/>
      <c r="Q149" s="21"/>
      <c r="R149" s="20"/>
      <c r="S149" s="20" t="str">
        <f t="shared" si="128"/>
        <v>-</v>
      </c>
      <c r="T149" s="19" t="str">
        <f t="shared" ca="1" si="108"/>
        <v>-</v>
      </c>
      <c r="U149" s="3"/>
      <c r="V149" s="22" t="str">
        <f t="shared" si="129"/>
        <v>-</v>
      </c>
      <c r="W149" s="22"/>
      <c r="X149" s="22" t="str">
        <f t="shared" ca="1" si="130"/>
        <v>-</v>
      </c>
      <c r="Y149" s="20" t="str">
        <f t="shared" si="131"/>
        <v>-</v>
      </c>
      <c r="Z149" s="94" t="str">
        <f t="shared" si="112"/>
        <v>---------</v>
      </c>
      <c r="AA149" s="21"/>
      <c r="AB149" s="21" t="str">
        <f t="shared" si="132"/>
        <v>-</v>
      </c>
      <c r="AC149" s="21" t="str">
        <f t="shared" si="133"/>
        <v>-</v>
      </c>
      <c r="AD149" s="85"/>
      <c r="AE149" s="21" t="str">
        <f t="shared" si="134"/>
        <v>-</v>
      </c>
      <c r="AF149" s="21" t="str">
        <f t="shared" si="135"/>
        <v>-</v>
      </c>
      <c r="AG149" s="89" t="str">
        <f t="shared" ca="1" si="117"/>
        <v>-</v>
      </c>
      <c r="AH149" s="92">
        <v>1</v>
      </c>
      <c r="AI149" s="80" t="str">
        <f t="shared" ca="1" si="136"/>
        <v>-</v>
      </c>
      <c r="AJ149" s="80"/>
      <c r="AK149" s="352">
        <v>42766</v>
      </c>
      <c r="AL149" s="22" t="s">
        <v>1614</v>
      </c>
      <c r="AM149" s="80">
        <v>48</v>
      </c>
    </row>
    <row r="150" spans="1:39" s="2" customFormat="1" ht="15.95" customHeight="1" x14ac:dyDescent="0.25">
      <c r="A150" s="77">
        <v>148</v>
      </c>
      <c r="B150" s="84">
        <f t="shared" ca="1" si="94"/>
        <v>43134</v>
      </c>
      <c r="C150" s="29" t="s">
        <v>1554</v>
      </c>
      <c r="D150" s="59" t="s">
        <v>1555</v>
      </c>
      <c r="E150" s="22" t="s">
        <v>1557</v>
      </c>
      <c r="F150" s="27" t="s">
        <v>2349</v>
      </c>
      <c r="G150" s="27"/>
      <c r="H150" s="28" t="s">
        <v>603</v>
      </c>
      <c r="I150" s="20">
        <v>42759</v>
      </c>
      <c r="J150" s="35">
        <f t="shared" ca="1" si="105"/>
        <v>1.0273972602739727</v>
      </c>
      <c r="K150" s="60"/>
      <c r="L150" s="32"/>
      <c r="M150" s="82" t="str">
        <f t="shared" ca="1" si="106"/>
        <v>-</v>
      </c>
      <c r="N150" s="19"/>
      <c r="O150" s="68"/>
      <c r="P150" s="118"/>
      <c r="Q150" s="21"/>
      <c r="R150" s="20"/>
      <c r="S150" s="20" t="str">
        <f t="shared" si="128"/>
        <v>-</v>
      </c>
      <c r="T150" s="19" t="str">
        <f t="shared" ca="1" si="108"/>
        <v>-</v>
      </c>
      <c r="U150" s="3"/>
      <c r="V150" s="22" t="str">
        <f t="shared" si="129"/>
        <v>-</v>
      </c>
      <c r="W150" s="22"/>
      <c r="X150" s="22" t="str">
        <f t="shared" ca="1" si="130"/>
        <v>-</v>
      </c>
      <c r="Y150" s="20" t="str">
        <f t="shared" si="131"/>
        <v>-</v>
      </c>
      <c r="Z150" s="94" t="str">
        <f t="shared" si="112"/>
        <v>---------</v>
      </c>
      <c r="AA150" s="21"/>
      <c r="AB150" s="21" t="str">
        <f t="shared" si="132"/>
        <v>-</v>
      </c>
      <c r="AC150" s="21" t="str">
        <f t="shared" si="133"/>
        <v>-</v>
      </c>
      <c r="AD150" s="85"/>
      <c r="AE150" s="21" t="str">
        <f t="shared" si="134"/>
        <v>-</v>
      </c>
      <c r="AF150" s="21" t="str">
        <f t="shared" si="135"/>
        <v>-</v>
      </c>
      <c r="AG150" s="89" t="str">
        <f t="shared" ca="1" si="117"/>
        <v>-</v>
      </c>
      <c r="AH150" s="92">
        <v>1</v>
      </c>
      <c r="AI150" s="80" t="str">
        <f t="shared" ca="1" si="136"/>
        <v>-</v>
      </c>
      <c r="AJ150" s="80"/>
      <c r="AK150" s="352">
        <v>42766</v>
      </c>
      <c r="AL150" s="22" t="s">
        <v>1614</v>
      </c>
      <c r="AM150" s="80">
        <v>48</v>
      </c>
    </row>
    <row r="151" spans="1:39" s="2" customFormat="1" ht="15.95" customHeight="1" x14ac:dyDescent="0.25">
      <c r="A151" s="77">
        <v>149</v>
      </c>
      <c r="B151" s="84">
        <f t="shared" ca="1" si="94"/>
        <v>43134</v>
      </c>
      <c r="C151" s="29" t="s">
        <v>1554</v>
      </c>
      <c r="D151" s="59" t="s">
        <v>1555</v>
      </c>
      <c r="E151" s="22" t="s">
        <v>1557</v>
      </c>
      <c r="F151" s="27" t="s">
        <v>2356</v>
      </c>
      <c r="G151" s="27"/>
      <c r="H151" s="28" t="s">
        <v>603</v>
      </c>
      <c r="I151" s="20">
        <v>42760</v>
      </c>
      <c r="J151" s="35">
        <f t="shared" ca="1" si="105"/>
        <v>1.0246575342465754</v>
      </c>
      <c r="K151" s="60"/>
      <c r="L151" s="32"/>
      <c r="M151" s="82" t="str">
        <f t="shared" ca="1" si="106"/>
        <v>-</v>
      </c>
      <c r="N151" s="19"/>
      <c r="O151" s="68"/>
      <c r="P151" s="118"/>
      <c r="Q151" s="21"/>
      <c r="R151" s="20"/>
      <c r="S151" s="20" t="str">
        <f t="shared" si="128"/>
        <v>-</v>
      </c>
      <c r="T151" s="19" t="str">
        <f t="shared" ca="1" si="108"/>
        <v>-</v>
      </c>
      <c r="U151" s="3"/>
      <c r="V151" s="22" t="str">
        <f t="shared" si="129"/>
        <v>-</v>
      </c>
      <c r="W151" s="22"/>
      <c r="X151" s="22" t="str">
        <f t="shared" ca="1" si="130"/>
        <v>-</v>
      </c>
      <c r="Y151" s="20" t="str">
        <f t="shared" si="131"/>
        <v>-</v>
      </c>
      <c r="Z151" s="94" t="str">
        <f t="shared" si="112"/>
        <v>---------</v>
      </c>
      <c r="AA151" s="21"/>
      <c r="AB151" s="21" t="str">
        <f t="shared" si="132"/>
        <v>-</v>
      </c>
      <c r="AC151" s="21" t="str">
        <f t="shared" si="133"/>
        <v>-</v>
      </c>
      <c r="AD151" s="85"/>
      <c r="AE151" s="21" t="str">
        <f t="shared" si="134"/>
        <v>-</v>
      </c>
      <c r="AF151" s="21" t="str">
        <f t="shared" si="135"/>
        <v>-</v>
      </c>
      <c r="AG151" s="89" t="str">
        <f t="shared" ca="1" si="117"/>
        <v>-</v>
      </c>
      <c r="AH151" s="92">
        <v>1</v>
      </c>
      <c r="AI151" s="80" t="str">
        <f t="shared" ca="1" si="136"/>
        <v>-</v>
      </c>
      <c r="AJ151" s="80"/>
      <c r="AK151" s="352">
        <v>42766</v>
      </c>
      <c r="AL151" s="22" t="s">
        <v>1614</v>
      </c>
      <c r="AM151" s="80">
        <v>44</v>
      </c>
    </row>
    <row r="152" spans="1:39" s="2" customFormat="1" ht="15.95" customHeight="1" x14ac:dyDescent="0.25">
      <c r="A152" s="77">
        <v>150</v>
      </c>
      <c r="B152" s="84">
        <f t="shared" ca="1" si="94"/>
        <v>43134</v>
      </c>
      <c r="C152" s="29" t="s">
        <v>1554</v>
      </c>
      <c r="D152" s="59" t="s">
        <v>1555</v>
      </c>
      <c r="E152" s="22" t="s">
        <v>1557</v>
      </c>
      <c r="F152" s="27" t="s">
        <v>2334</v>
      </c>
      <c r="G152" s="27"/>
      <c r="H152" s="28" t="s">
        <v>603</v>
      </c>
      <c r="I152" s="20">
        <v>42752</v>
      </c>
      <c r="J152" s="35">
        <f t="shared" ca="1" si="105"/>
        <v>1.0465753424657533</v>
      </c>
      <c r="K152" s="60"/>
      <c r="L152" s="32"/>
      <c r="M152" s="82" t="str">
        <f t="shared" ca="1" si="106"/>
        <v>-</v>
      </c>
      <c r="N152" s="19"/>
      <c r="O152" s="68"/>
      <c r="P152" s="118"/>
      <c r="Q152" s="21"/>
      <c r="R152" s="20"/>
      <c r="S152" s="20" t="str">
        <f t="shared" si="128"/>
        <v>-</v>
      </c>
      <c r="T152" s="19" t="str">
        <f t="shared" ca="1" si="108"/>
        <v>-</v>
      </c>
      <c r="U152" s="3"/>
      <c r="V152" s="22" t="str">
        <f t="shared" si="129"/>
        <v>-</v>
      </c>
      <c r="W152" s="22"/>
      <c r="X152" s="22" t="str">
        <f t="shared" ca="1" si="130"/>
        <v>-</v>
      </c>
      <c r="Y152" s="20" t="str">
        <f t="shared" si="131"/>
        <v>-</v>
      </c>
      <c r="Z152" s="94" t="str">
        <f t="shared" si="112"/>
        <v>---------</v>
      </c>
      <c r="AA152" s="21"/>
      <c r="AB152" s="21" t="str">
        <f t="shared" si="132"/>
        <v>-</v>
      </c>
      <c r="AC152" s="21" t="str">
        <f t="shared" si="133"/>
        <v>-</v>
      </c>
      <c r="AD152" s="85"/>
      <c r="AE152" s="21" t="str">
        <f t="shared" si="134"/>
        <v>-</v>
      </c>
      <c r="AF152" s="21" t="str">
        <f t="shared" si="135"/>
        <v>-</v>
      </c>
      <c r="AG152" s="89" t="str">
        <f t="shared" ca="1" si="117"/>
        <v>-</v>
      </c>
      <c r="AH152" s="92">
        <v>1</v>
      </c>
      <c r="AI152" s="80" t="str">
        <f t="shared" ca="1" si="136"/>
        <v>-</v>
      </c>
      <c r="AJ152" s="80"/>
      <c r="AK152" s="168">
        <v>42768</v>
      </c>
      <c r="AL152" s="22" t="s">
        <v>1614</v>
      </c>
      <c r="AM152" s="80">
        <v>49</v>
      </c>
    </row>
    <row r="153" spans="1:39" s="2" customFormat="1" ht="15.95" customHeight="1" x14ac:dyDescent="0.25">
      <c r="A153" s="77">
        <v>151</v>
      </c>
      <c r="B153" s="84">
        <f t="shared" ca="1" si="94"/>
        <v>43134</v>
      </c>
      <c r="C153" s="29" t="s">
        <v>1554</v>
      </c>
      <c r="D153" s="59" t="s">
        <v>1555</v>
      </c>
      <c r="E153" s="22" t="s">
        <v>1557</v>
      </c>
      <c r="F153" s="27" t="s">
        <v>2338</v>
      </c>
      <c r="G153" s="27"/>
      <c r="H153" s="28" t="s">
        <v>603</v>
      </c>
      <c r="I153" s="20">
        <v>42753</v>
      </c>
      <c r="J153" s="35">
        <f t="shared" ca="1" si="105"/>
        <v>1.0438356164383562</v>
      </c>
      <c r="K153" s="60"/>
      <c r="L153" s="32"/>
      <c r="M153" s="82" t="str">
        <f t="shared" ca="1" si="106"/>
        <v>-</v>
      </c>
      <c r="N153" s="19"/>
      <c r="O153" s="68"/>
      <c r="P153" s="118"/>
      <c r="Q153" s="21"/>
      <c r="R153" s="20"/>
      <c r="S153" s="20" t="str">
        <f t="shared" si="128"/>
        <v>-</v>
      </c>
      <c r="T153" s="19" t="str">
        <f t="shared" ca="1" si="108"/>
        <v>-</v>
      </c>
      <c r="U153" s="3"/>
      <c r="V153" s="22" t="str">
        <f t="shared" si="129"/>
        <v>-</v>
      </c>
      <c r="W153" s="22"/>
      <c r="X153" s="22" t="str">
        <f t="shared" ca="1" si="130"/>
        <v>-</v>
      </c>
      <c r="Y153" s="20" t="str">
        <f t="shared" si="131"/>
        <v>-</v>
      </c>
      <c r="Z153" s="94" t="str">
        <f t="shared" si="112"/>
        <v>---------</v>
      </c>
      <c r="AA153" s="21"/>
      <c r="AB153" s="21" t="str">
        <f t="shared" si="132"/>
        <v>-</v>
      </c>
      <c r="AC153" s="21" t="str">
        <f t="shared" si="133"/>
        <v>-</v>
      </c>
      <c r="AD153" s="85"/>
      <c r="AE153" s="21" t="str">
        <f t="shared" si="134"/>
        <v>-</v>
      </c>
      <c r="AF153" s="21" t="str">
        <f t="shared" si="135"/>
        <v>-</v>
      </c>
      <c r="AG153" s="89" t="str">
        <f t="shared" ca="1" si="117"/>
        <v>-</v>
      </c>
      <c r="AH153" s="92">
        <v>1</v>
      </c>
      <c r="AI153" s="80" t="str">
        <f t="shared" ca="1" si="136"/>
        <v>-</v>
      </c>
      <c r="AJ153" s="80"/>
      <c r="AK153" s="168">
        <v>42768</v>
      </c>
      <c r="AL153" s="22" t="s">
        <v>1614</v>
      </c>
      <c r="AM153" s="80">
        <v>45</v>
      </c>
    </row>
    <row r="154" spans="1:39" s="2" customFormat="1" ht="15.95" customHeight="1" x14ac:dyDescent="0.25">
      <c r="A154" s="77">
        <v>152</v>
      </c>
      <c r="B154" s="84">
        <f t="shared" ca="1" si="94"/>
        <v>43134</v>
      </c>
      <c r="C154" s="29" t="s">
        <v>1554</v>
      </c>
      <c r="D154" s="59" t="s">
        <v>1555</v>
      </c>
      <c r="E154" s="22" t="s">
        <v>1557</v>
      </c>
      <c r="F154" s="27" t="s">
        <v>2343</v>
      </c>
      <c r="G154" s="27"/>
      <c r="H154" s="28" t="s">
        <v>603</v>
      </c>
      <c r="I154" s="20">
        <v>42755</v>
      </c>
      <c r="J154" s="35">
        <f t="shared" ca="1" si="105"/>
        <v>1.0383561643835617</v>
      </c>
      <c r="K154" s="60"/>
      <c r="L154" s="32"/>
      <c r="M154" s="82" t="str">
        <f t="shared" ca="1" si="106"/>
        <v>-</v>
      </c>
      <c r="N154" s="19"/>
      <c r="O154" s="68"/>
      <c r="P154" s="118"/>
      <c r="Q154" s="21"/>
      <c r="R154" s="20"/>
      <c r="S154" s="20" t="str">
        <f t="shared" si="128"/>
        <v>-</v>
      </c>
      <c r="T154" s="19" t="str">
        <f t="shared" ca="1" si="108"/>
        <v>-</v>
      </c>
      <c r="U154" s="3"/>
      <c r="V154" s="22" t="str">
        <f t="shared" si="129"/>
        <v>-</v>
      </c>
      <c r="W154" s="22"/>
      <c r="X154" s="22" t="str">
        <f t="shared" ca="1" si="130"/>
        <v>-</v>
      </c>
      <c r="Y154" s="20" t="str">
        <f t="shared" si="131"/>
        <v>-</v>
      </c>
      <c r="Z154" s="94" t="str">
        <f t="shared" si="112"/>
        <v>---------</v>
      </c>
      <c r="AA154" s="21"/>
      <c r="AB154" s="21" t="str">
        <f t="shared" si="132"/>
        <v>-</v>
      </c>
      <c r="AC154" s="21" t="str">
        <f t="shared" si="133"/>
        <v>-</v>
      </c>
      <c r="AD154" s="85"/>
      <c r="AE154" s="21" t="str">
        <f t="shared" si="134"/>
        <v>-</v>
      </c>
      <c r="AF154" s="21" t="str">
        <f t="shared" si="135"/>
        <v>-</v>
      </c>
      <c r="AG154" s="89" t="str">
        <f t="shared" ca="1" si="117"/>
        <v>-</v>
      </c>
      <c r="AH154" s="92">
        <v>1</v>
      </c>
      <c r="AI154" s="80" t="str">
        <f t="shared" ca="1" si="136"/>
        <v>-</v>
      </c>
      <c r="AJ154" s="80"/>
      <c r="AK154" s="168">
        <v>42768</v>
      </c>
      <c r="AL154" s="22" t="s">
        <v>1614</v>
      </c>
      <c r="AM154" s="80">
        <v>44</v>
      </c>
    </row>
    <row r="155" spans="1:39" s="2" customFormat="1" ht="15.95" customHeight="1" x14ac:dyDescent="0.25">
      <c r="A155" s="77">
        <v>153</v>
      </c>
      <c r="B155" s="84">
        <f t="shared" ca="1" si="94"/>
        <v>43134</v>
      </c>
      <c r="C155" s="29" t="s">
        <v>1554</v>
      </c>
      <c r="D155" s="59" t="s">
        <v>1555</v>
      </c>
      <c r="E155" s="22" t="s">
        <v>1557</v>
      </c>
      <c r="F155" s="27" t="s">
        <v>2348</v>
      </c>
      <c r="G155" s="27"/>
      <c r="H155" s="28" t="s">
        <v>603</v>
      </c>
      <c r="I155" s="20">
        <v>42758</v>
      </c>
      <c r="J155" s="35">
        <f t="shared" ca="1" si="105"/>
        <v>1.0301369863013699</v>
      </c>
      <c r="K155" s="60"/>
      <c r="L155" s="32"/>
      <c r="M155" s="82" t="str">
        <f t="shared" ca="1" si="106"/>
        <v>-</v>
      </c>
      <c r="N155" s="19"/>
      <c r="O155" s="68"/>
      <c r="P155" s="118"/>
      <c r="Q155" s="21"/>
      <c r="R155" s="20"/>
      <c r="S155" s="20" t="str">
        <f t="shared" si="128"/>
        <v>-</v>
      </c>
      <c r="T155" s="19" t="str">
        <f t="shared" ca="1" si="108"/>
        <v>-</v>
      </c>
      <c r="U155" s="3"/>
      <c r="V155" s="22" t="str">
        <f t="shared" si="129"/>
        <v>-</v>
      </c>
      <c r="W155" s="22"/>
      <c r="X155" s="22" t="str">
        <f t="shared" ca="1" si="130"/>
        <v>-</v>
      </c>
      <c r="Y155" s="20" t="str">
        <f t="shared" si="131"/>
        <v>-</v>
      </c>
      <c r="Z155" s="94" t="str">
        <f t="shared" si="112"/>
        <v>---------</v>
      </c>
      <c r="AA155" s="21"/>
      <c r="AB155" s="21" t="str">
        <f t="shared" si="132"/>
        <v>-</v>
      </c>
      <c r="AC155" s="21" t="str">
        <f t="shared" si="133"/>
        <v>-</v>
      </c>
      <c r="AD155" s="85"/>
      <c r="AE155" s="21" t="str">
        <f t="shared" si="134"/>
        <v>-</v>
      </c>
      <c r="AF155" s="21" t="str">
        <f t="shared" si="135"/>
        <v>-</v>
      </c>
      <c r="AG155" s="89" t="str">
        <f t="shared" ca="1" si="117"/>
        <v>-</v>
      </c>
      <c r="AH155" s="92">
        <v>1</v>
      </c>
      <c r="AI155" s="80" t="str">
        <f t="shared" ca="1" si="136"/>
        <v>-</v>
      </c>
      <c r="AJ155" s="80"/>
      <c r="AK155" s="168">
        <v>42768</v>
      </c>
      <c r="AL155" s="22" t="s">
        <v>1614</v>
      </c>
      <c r="AM155" s="80">
        <v>46</v>
      </c>
    </row>
    <row r="156" spans="1:39" s="2" customFormat="1" ht="15.95" customHeight="1" x14ac:dyDescent="0.25">
      <c r="A156" s="77">
        <v>154</v>
      </c>
      <c r="B156" s="84">
        <f t="shared" ca="1" si="94"/>
        <v>43134</v>
      </c>
      <c r="C156" s="29" t="s">
        <v>1554</v>
      </c>
      <c r="D156" s="59" t="s">
        <v>1555</v>
      </c>
      <c r="E156" s="22" t="s">
        <v>1557</v>
      </c>
      <c r="F156" s="27" t="s">
        <v>2354</v>
      </c>
      <c r="G156" s="27"/>
      <c r="H156" s="28" t="s">
        <v>603</v>
      </c>
      <c r="I156" s="20">
        <v>42760</v>
      </c>
      <c r="J156" s="35">
        <f t="shared" ca="1" si="105"/>
        <v>1.0246575342465754</v>
      </c>
      <c r="K156" s="60"/>
      <c r="L156" s="32"/>
      <c r="M156" s="82" t="str">
        <f t="shared" ca="1" si="106"/>
        <v>-</v>
      </c>
      <c r="N156" s="19"/>
      <c r="O156" s="68"/>
      <c r="P156" s="118"/>
      <c r="Q156" s="21"/>
      <c r="R156" s="20"/>
      <c r="S156" s="20" t="str">
        <f t="shared" si="128"/>
        <v>-</v>
      </c>
      <c r="T156" s="19" t="str">
        <f t="shared" ca="1" si="108"/>
        <v>-</v>
      </c>
      <c r="U156" s="3"/>
      <c r="V156" s="22" t="str">
        <f t="shared" si="129"/>
        <v>-</v>
      </c>
      <c r="W156" s="22"/>
      <c r="X156" s="22" t="str">
        <f t="shared" ca="1" si="130"/>
        <v>-</v>
      </c>
      <c r="Y156" s="20" t="str">
        <f t="shared" si="131"/>
        <v>-</v>
      </c>
      <c r="Z156" s="94" t="str">
        <f t="shared" si="112"/>
        <v>---------</v>
      </c>
      <c r="AA156" s="21"/>
      <c r="AB156" s="21" t="str">
        <f t="shared" si="132"/>
        <v>-</v>
      </c>
      <c r="AC156" s="21" t="str">
        <f t="shared" si="133"/>
        <v>-</v>
      </c>
      <c r="AD156" s="85"/>
      <c r="AE156" s="21" t="str">
        <f t="shared" si="134"/>
        <v>-</v>
      </c>
      <c r="AF156" s="21" t="str">
        <f t="shared" si="135"/>
        <v>-</v>
      </c>
      <c r="AG156" s="89" t="str">
        <f t="shared" ca="1" si="117"/>
        <v>-</v>
      </c>
      <c r="AH156" s="92">
        <v>1</v>
      </c>
      <c r="AI156" s="80" t="str">
        <f t="shared" ca="1" si="136"/>
        <v>-</v>
      </c>
      <c r="AJ156" s="80"/>
      <c r="AK156" s="168">
        <v>42768</v>
      </c>
      <c r="AL156" s="22" t="s">
        <v>1614</v>
      </c>
      <c r="AM156" s="80">
        <v>45</v>
      </c>
    </row>
    <row r="157" spans="1:39" s="2" customFormat="1" ht="15" customHeight="1" x14ac:dyDescent="0.25">
      <c r="A157" s="77">
        <v>155</v>
      </c>
      <c r="B157" s="84">
        <f t="shared" ca="1" si="94"/>
        <v>43134</v>
      </c>
      <c r="C157" s="29" t="s">
        <v>1554</v>
      </c>
      <c r="D157" s="59" t="s">
        <v>1555</v>
      </c>
      <c r="E157" s="22" t="s">
        <v>1557</v>
      </c>
      <c r="F157" s="27" t="s">
        <v>2380</v>
      </c>
      <c r="G157" s="27"/>
      <c r="H157" s="28" t="s">
        <v>603</v>
      </c>
      <c r="I157" s="20">
        <v>42763</v>
      </c>
      <c r="J157" s="35">
        <f t="shared" ca="1" si="105"/>
        <v>1.0164383561643835</v>
      </c>
      <c r="K157" s="60"/>
      <c r="L157" s="32"/>
      <c r="M157" s="82" t="str">
        <f t="shared" ca="1" si="106"/>
        <v>-</v>
      </c>
      <c r="N157" s="19"/>
      <c r="O157" s="68"/>
      <c r="P157" s="118"/>
      <c r="Q157" s="21"/>
      <c r="R157" s="20"/>
      <c r="S157" s="20" t="str">
        <f t="shared" si="128"/>
        <v>-</v>
      </c>
      <c r="T157" s="19" t="str">
        <f t="shared" ca="1" si="108"/>
        <v>-</v>
      </c>
      <c r="U157" s="3"/>
      <c r="V157" s="22" t="str">
        <f t="shared" si="129"/>
        <v>-</v>
      </c>
      <c r="W157" s="22"/>
      <c r="X157" s="22" t="str">
        <f t="shared" ca="1" si="130"/>
        <v>-</v>
      </c>
      <c r="Y157" s="20" t="str">
        <f t="shared" si="131"/>
        <v>-</v>
      </c>
      <c r="Z157" s="94" t="str">
        <f t="shared" si="112"/>
        <v>---------</v>
      </c>
      <c r="AA157" s="21"/>
      <c r="AB157" s="21" t="str">
        <f t="shared" si="132"/>
        <v>-</v>
      </c>
      <c r="AC157" s="21" t="str">
        <f t="shared" si="133"/>
        <v>-</v>
      </c>
      <c r="AD157" s="85"/>
      <c r="AE157" s="21" t="str">
        <f t="shared" si="134"/>
        <v>-</v>
      </c>
      <c r="AF157" s="21" t="str">
        <f t="shared" si="135"/>
        <v>-</v>
      </c>
      <c r="AG157" s="89" t="str">
        <f t="shared" ca="1" si="117"/>
        <v>-</v>
      </c>
      <c r="AH157" s="92">
        <v>1</v>
      </c>
      <c r="AI157" s="80" t="str">
        <f t="shared" ca="1" si="136"/>
        <v>-</v>
      </c>
      <c r="AJ157" s="80"/>
      <c r="AK157" s="168">
        <v>42768</v>
      </c>
      <c r="AL157" s="22" t="s">
        <v>1614</v>
      </c>
      <c r="AM157" s="80">
        <v>45</v>
      </c>
    </row>
    <row r="158" spans="1:39" s="2" customFormat="1" ht="13.5" customHeight="1" x14ac:dyDescent="0.25">
      <c r="A158" s="77">
        <v>156</v>
      </c>
      <c r="B158" s="84">
        <f t="shared" ca="1" si="94"/>
        <v>43134</v>
      </c>
      <c r="C158" s="29" t="s">
        <v>1554</v>
      </c>
      <c r="D158" s="59" t="s">
        <v>1555</v>
      </c>
      <c r="E158" s="22" t="s">
        <v>1557</v>
      </c>
      <c r="F158" s="27" t="s">
        <v>2381</v>
      </c>
      <c r="G158" s="27"/>
      <c r="H158" s="28" t="s">
        <v>603</v>
      </c>
      <c r="I158" s="20">
        <v>42763</v>
      </c>
      <c r="J158" s="35">
        <f t="shared" ca="1" si="105"/>
        <v>1.0164383561643835</v>
      </c>
      <c r="K158" s="60"/>
      <c r="L158" s="32"/>
      <c r="M158" s="82" t="str">
        <f t="shared" ca="1" si="106"/>
        <v>-</v>
      </c>
      <c r="N158" s="19"/>
      <c r="O158" s="68"/>
      <c r="P158" s="118"/>
      <c r="Q158" s="21"/>
      <c r="R158" s="20"/>
      <c r="S158" s="20" t="str">
        <f t="shared" si="128"/>
        <v>-</v>
      </c>
      <c r="T158" s="19" t="str">
        <f t="shared" ca="1" si="108"/>
        <v>-</v>
      </c>
      <c r="U158" s="3"/>
      <c r="V158" s="22" t="str">
        <f t="shared" si="129"/>
        <v>-</v>
      </c>
      <c r="W158" s="22"/>
      <c r="X158" s="22" t="str">
        <f t="shared" ca="1" si="130"/>
        <v>-</v>
      </c>
      <c r="Y158" s="20" t="str">
        <f t="shared" si="131"/>
        <v>-</v>
      </c>
      <c r="Z158" s="94" t="str">
        <f t="shared" si="112"/>
        <v>---------</v>
      </c>
      <c r="AA158" s="21"/>
      <c r="AB158" s="21" t="str">
        <f t="shared" si="132"/>
        <v>-</v>
      </c>
      <c r="AC158" s="21" t="str">
        <f t="shared" si="133"/>
        <v>-</v>
      </c>
      <c r="AD158" s="85"/>
      <c r="AE158" s="21" t="str">
        <f t="shared" si="134"/>
        <v>-</v>
      </c>
      <c r="AF158" s="21" t="str">
        <f t="shared" si="135"/>
        <v>-</v>
      </c>
      <c r="AG158" s="89" t="str">
        <f t="shared" ca="1" si="117"/>
        <v>-</v>
      </c>
      <c r="AH158" s="92">
        <v>1</v>
      </c>
      <c r="AI158" s="80" t="str">
        <f t="shared" ca="1" si="136"/>
        <v>-</v>
      </c>
      <c r="AJ158" s="80"/>
      <c r="AK158" s="168">
        <v>42768</v>
      </c>
      <c r="AL158" s="22" t="s">
        <v>1614</v>
      </c>
      <c r="AM158" s="80">
        <v>43</v>
      </c>
    </row>
    <row r="159" spans="1:39" s="2" customFormat="1" ht="15.95" customHeight="1" x14ac:dyDescent="0.25">
      <c r="A159" s="77">
        <v>157</v>
      </c>
      <c r="B159" s="84">
        <f t="shared" ca="1" si="94"/>
        <v>43134</v>
      </c>
      <c r="C159" s="29" t="s">
        <v>1554</v>
      </c>
      <c r="D159" s="59" t="s">
        <v>1555</v>
      </c>
      <c r="E159" s="22" t="s">
        <v>1557</v>
      </c>
      <c r="F159" s="27" t="s">
        <v>2383</v>
      </c>
      <c r="G159" s="27"/>
      <c r="H159" s="28" t="s">
        <v>603</v>
      </c>
      <c r="I159" s="20">
        <v>42764</v>
      </c>
      <c r="J159" s="35">
        <f t="shared" ca="1" si="105"/>
        <v>1.0136986301369864</v>
      </c>
      <c r="K159" s="60"/>
      <c r="L159" s="32"/>
      <c r="M159" s="82" t="str">
        <f t="shared" ca="1" si="106"/>
        <v>-</v>
      </c>
      <c r="N159" s="19"/>
      <c r="O159" s="68"/>
      <c r="P159" s="118"/>
      <c r="Q159" s="21"/>
      <c r="R159" s="20"/>
      <c r="S159" s="20" t="str">
        <f t="shared" si="128"/>
        <v>-</v>
      </c>
      <c r="T159" s="19" t="str">
        <f t="shared" ca="1" si="108"/>
        <v>-</v>
      </c>
      <c r="U159" s="3"/>
      <c r="V159" s="22" t="str">
        <f t="shared" si="129"/>
        <v>-</v>
      </c>
      <c r="W159" s="22"/>
      <c r="X159" s="22" t="str">
        <f t="shared" ca="1" si="130"/>
        <v>-</v>
      </c>
      <c r="Y159" s="20" t="str">
        <f t="shared" si="131"/>
        <v>-</v>
      </c>
      <c r="Z159" s="94" t="str">
        <f t="shared" si="112"/>
        <v>---------</v>
      </c>
      <c r="AA159" s="21"/>
      <c r="AB159" s="21" t="str">
        <f t="shared" si="132"/>
        <v>-</v>
      </c>
      <c r="AC159" s="21" t="str">
        <f t="shared" si="133"/>
        <v>-</v>
      </c>
      <c r="AD159" s="85"/>
      <c r="AE159" s="21" t="str">
        <f t="shared" si="134"/>
        <v>-</v>
      </c>
      <c r="AF159" s="21" t="str">
        <f t="shared" si="135"/>
        <v>-</v>
      </c>
      <c r="AG159" s="89" t="str">
        <f t="shared" ca="1" si="117"/>
        <v>-</v>
      </c>
      <c r="AH159" s="92">
        <v>1</v>
      </c>
      <c r="AI159" s="80" t="str">
        <f t="shared" ca="1" si="136"/>
        <v>-</v>
      </c>
      <c r="AJ159" s="80"/>
      <c r="AK159" s="168">
        <v>42768</v>
      </c>
      <c r="AL159" s="22" t="s">
        <v>1614</v>
      </c>
      <c r="AM159" s="80">
        <v>48</v>
      </c>
    </row>
    <row r="160" spans="1:39" s="2" customFormat="1" ht="15.95" customHeight="1" x14ac:dyDescent="0.25">
      <c r="A160" s="77">
        <v>158</v>
      </c>
      <c r="B160" s="84">
        <f t="shared" ca="1" si="94"/>
        <v>43134</v>
      </c>
      <c r="C160" s="29" t="s">
        <v>1554</v>
      </c>
      <c r="D160" s="59" t="s">
        <v>1555</v>
      </c>
      <c r="E160" s="22" t="s">
        <v>1557</v>
      </c>
      <c r="F160" s="27" t="s">
        <v>2384</v>
      </c>
      <c r="G160" s="27"/>
      <c r="H160" s="28" t="s">
        <v>603</v>
      </c>
      <c r="I160" s="20">
        <v>42765</v>
      </c>
      <c r="J160" s="35">
        <f t="shared" ca="1" si="105"/>
        <v>1.010958904109589</v>
      </c>
      <c r="K160" s="60"/>
      <c r="L160" s="32"/>
      <c r="M160" s="82" t="str">
        <f t="shared" ca="1" si="106"/>
        <v>-</v>
      </c>
      <c r="N160" s="19"/>
      <c r="O160" s="68"/>
      <c r="P160" s="118"/>
      <c r="Q160" s="21"/>
      <c r="R160" s="20"/>
      <c r="S160" s="20" t="str">
        <f t="shared" si="128"/>
        <v>-</v>
      </c>
      <c r="T160" s="19" t="str">
        <f t="shared" ca="1" si="108"/>
        <v>-</v>
      </c>
      <c r="U160" s="3"/>
      <c r="V160" s="22" t="str">
        <f t="shared" si="129"/>
        <v>-</v>
      </c>
      <c r="W160" s="22"/>
      <c r="X160" s="22" t="str">
        <f t="shared" ca="1" si="130"/>
        <v>-</v>
      </c>
      <c r="Y160" s="20" t="str">
        <f t="shared" si="131"/>
        <v>-</v>
      </c>
      <c r="Z160" s="94" t="str">
        <f t="shared" si="112"/>
        <v>---------</v>
      </c>
      <c r="AA160" s="21"/>
      <c r="AB160" s="21" t="str">
        <f t="shared" si="132"/>
        <v>-</v>
      </c>
      <c r="AC160" s="21" t="str">
        <f t="shared" si="133"/>
        <v>-</v>
      </c>
      <c r="AD160" s="85"/>
      <c r="AE160" s="21" t="str">
        <f t="shared" si="134"/>
        <v>-</v>
      </c>
      <c r="AF160" s="21" t="str">
        <f t="shared" si="135"/>
        <v>-</v>
      </c>
      <c r="AG160" s="89" t="str">
        <f t="shared" ca="1" si="117"/>
        <v>-</v>
      </c>
      <c r="AH160" s="92">
        <v>1</v>
      </c>
      <c r="AI160" s="80" t="str">
        <f t="shared" ca="1" si="136"/>
        <v>-</v>
      </c>
      <c r="AJ160" s="80"/>
      <c r="AK160" s="168">
        <v>42768</v>
      </c>
      <c r="AL160" s="22" t="s">
        <v>1614</v>
      </c>
      <c r="AM160" s="80">
        <v>49</v>
      </c>
    </row>
    <row r="161" spans="1:39" s="2" customFormat="1" ht="15.95" customHeight="1" x14ac:dyDescent="0.25">
      <c r="A161" s="77">
        <v>159</v>
      </c>
      <c r="B161" s="84">
        <f t="shared" ca="1" si="94"/>
        <v>43134</v>
      </c>
      <c r="C161" s="29" t="s">
        <v>1554</v>
      </c>
      <c r="D161" s="59" t="s">
        <v>1555</v>
      </c>
      <c r="E161" s="22" t="s">
        <v>1557</v>
      </c>
      <c r="F161" s="27" t="s">
        <v>2385</v>
      </c>
      <c r="G161" s="27"/>
      <c r="H161" s="28" t="s">
        <v>603</v>
      </c>
      <c r="I161" s="20">
        <v>42765</v>
      </c>
      <c r="J161" s="35">
        <f t="shared" ca="1" si="105"/>
        <v>1.010958904109589</v>
      </c>
      <c r="K161" s="60"/>
      <c r="L161" s="32"/>
      <c r="M161" s="82" t="str">
        <f t="shared" ca="1" si="106"/>
        <v>-</v>
      </c>
      <c r="N161" s="19"/>
      <c r="O161" s="68"/>
      <c r="P161" s="118"/>
      <c r="Q161" s="21"/>
      <c r="R161" s="20"/>
      <c r="S161" s="20" t="str">
        <f t="shared" si="128"/>
        <v>-</v>
      </c>
      <c r="T161" s="19" t="str">
        <f t="shared" ca="1" si="108"/>
        <v>-</v>
      </c>
      <c r="U161" s="3"/>
      <c r="V161" s="22" t="str">
        <f t="shared" si="129"/>
        <v>-</v>
      </c>
      <c r="W161" s="22"/>
      <c r="X161" s="22" t="str">
        <f t="shared" ca="1" si="130"/>
        <v>-</v>
      </c>
      <c r="Y161" s="20" t="str">
        <f t="shared" si="131"/>
        <v>-</v>
      </c>
      <c r="Z161" s="94" t="str">
        <f t="shared" si="112"/>
        <v>---------</v>
      </c>
      <c r="AA161" s="21"/>
      <c r="AB161" s="21" t="str">
        <f t="shared" si="132"/>
        <v>-</v>
      </c>
      <c r="AC161" s="21" t="str">
        <f t="shared" si="133"/>
        <v>-</v>
      </c>
      <c r="AD161" s="85"/>
      <c r="AE161" s="21" t="str">
        <f t="shared" si="134"/>
        <v>-</v>
      </c>
      <c r="AF161" s="21" t="str">
        <f t="shared" si="135"/>
        <v>-</v>
      </c>
      <c r="AG161" s="89" t="str">
        <f t="shared" ca="1" si="117"/>
        <v>-</v>
      </c>
      <c r="AH161" s="92">
        <v>1</v>
      </c>
      <c r="AI161" s="80" t="str">
        <f t="shared" ca="1" si="136"/>
        <v>-</v>
      </c>
      <c r="AJ161" s="80"/>
      <c r="AK161" s="168">
        <v>42768</v>
      </c>
      <c r="AL161" s="22" t="s">
        <v>1614</v>
      </c>
      <c r="AM161" s="80">
        <v>47</v>
      </c>
    </row>
    <row r="162" spans="1:39" ht="15.75" x14ac:dyDescent="0.25">
      <c r="A162" s="77">
        <v>160</v>
      </c>
      <c r="B162" s="84">
        <f t="shared" ca="1" si="94"/>
        <v>43134</v>
      </c>
      <c r="C162" s="29" t="s">
        <v>1554</v>
      </c>
      <c r="D162" s="59" t="s">
        <v>1555</v>
      </c>
      <c r="E162" s="22" t="s">
        <v>1557</v>
      </c>
      <c r="F162" s="27" t="s">
        <v>2389</v>
      </c>
      <c r="G162" s="27"/>
      <c r="H162" s="28" t="s">
        <v>603</v>
      </c>
      <c r="I162" s="20">
        <v>42769</v>
      </c>
      <c r="J162" s="35">
        <f t="shared" ca="1" si="105"/>
        <v>1</v>
      </c>
      <c r="K162" s="60"/>
      <c r="L162" s="32"/>
      <c r="M162" s="82"/>
      <c r="N162" s="19"/>
      <c r="O162" s="68"/>
      <c r="P162" s="118"/>
      <c r="Q162" s="21"/>
      <c r="R162" s="20"/>
      <c r="S162" s="20"/>
      <c r="T162" s="19"/>
      <c r="U162" s="3"/>
      <c r="V162" s="22"/>
      <c r="W162" s="22"/>
      <c r="X162" s="22"/>
      <c r="Y162" s="20"/>
      <c r="Z162" s="94"/>
      <c r="AA162" s="21"/>
      <c r="AB162" s="21"/>
      <c r="AC162" s="21"/>
      <c r="AD162" s="85"/>
      <c r="AE162" s="21"/>
      <c r="AF162" s="21"/>
      <c r="AG162" s="89"/>
      <c r="AH162" s="92"/>
      <c r="AI162" s="80"/>
      <c r="AJ162" s="80"/>
      <c r="AK162" s="168">
        <v>42769</v>
      </c>
      <c r="AL162" s="121" t="s">
        <v>1614</v>
      </c>
      <c r="AM162" s="80">
        <v>44</v>
      </c>
    </row>
    <row r="163" spans="1:39" s="2" customFormat="1" ht="15.95" customHeight="1" x14ac:dyDescent="0.25">
      <c r="A163" s="77">
        <v>161</v>
      </c>
      <c r="B163" s="84">
        <f t="shared" ca="1" si="94"/>
        <v>43134</v>
      </c>
      <c r="C163" s="29" t="s">
        <v>1554</v>
      </c>
      <c r="D163" s="59" t="s">
        <v>1555</v>
      </c>
      <c r="E163" s="22" t="s">
        <v>2400</v>
      </c>
      <c r="F163" s="27" t="s">
        <v>2401</v>
      </c>
      <c r="G163" s="27"/>
      <c r="H163" s="28" t="s">
        <v>603</v>
      </c>
      <c r="I163" s="20">
        <v>42773</v>
      </c>
      <c r="J163" s="35">
        <f t="shared" ca="1" si="105"/>
        <v>0.989041095890411</v>
      </c>
      <c r="K163" s="60"/>
      <c r="L163" s="32"/>
      <c r="M163" s="82" t="str">
        <f ca="1">IF(AND(B163&gt;0,L163&gt;0),B163-L163,"-")</f>
        <v>-</v>
      </c>
      <c r="N163" s="19"/>
      <c r="O163" s="68"/>
      <c r="P163" s="118"/>
      <c r="Q163" s="21"/>
      <c r="R163" s="20"/>
      <c r="S163" s="20" t="str">
        <f t="shared" ref="S163:S164" si="137">IF(AND(W163&gt;1,R163&gt;0),R163+18,"-")</f>
        <v>-</v>
      </c>
      <c r="T163" s="19" t="str">
        <f t="shared" ref="T163:T191" ca="1" si="138">IF(AND(S163&gt;0,B163&gt;0,W163&gt;1),B163-S163,"-")</f>
        <v>-</v>
      </c>
      <c r="U163" s="3"/>
      <c r="V163" s="22" t="str">
        <f t="shared" ref="V163:V164" si="139">IF(AND(L163&gt;0,R163&gt;0),R163-L163,"-")</f>
        <v>-</v>
      </c>
      <c r="W163" s="22"/>
      <c r="X163" s="22" t="str">
        <f t="shared" ref="X163:X164" ca="1" si="140">IF(AND(M163&gt;140,W163=0,L163&gt;0),"яловая","-")</f>
        <v>-</v>
      </c>
      <c r="Y163" s="20" t="str">
        <f t="shared" ref="Y163:Y164" si="141">IF(AND(R163&gt;0,OR(W163=3,W163=2)),R163+35,"-")</f>
        <v>-</v>
      </c>
      <c r="Z163" s="94" t="str">
        <f t="shared" ref="Z163:Z191" si="142">IF(AND(R163&gt;0,U163&gt;0,O163&gt;0,OR(W163=3,W163=2)),B163-Y163,"---------")</f>
        <v>---------</v>
      </c>
      <c r="AA163" s="21"/>
      <c r="AB163" s="21" t="str">
        <f t="shared" ref="AB163:AB164" si="143">IF(AND($R163&gt;0,$L163&gt;0,$W163=1),$R163+280-90,"-")</f>
        <v>-</v>
      </c>
      <c r="AC163" s="21" t="str">
        <f t="shared" ref="AC163:AC164" si="144">IF(AND(R163&gt;0,W163=1,L163&gt;0),R163+280-60,"-")</f>
        <v>-</v>
      </c>
      <c r="AD163" s="85"/>
      <c r="AE163" s="21" t="str">
        <f t="shared" ref="AE163:AE164" si="145">IF(AND($R163&gt;0,$W163=1),$R163+280-21,"-")</f>
        <v>-</v>
      </c>
      <c r="AF163" s="21" t="str">
        <f t="shared" ref="AF163:AF164" si="146">IF(AND(R163&gt;0,W163=1),R163+280,"-")</f>
        <v>-</v>
      </c>
      <c r="AG163" s="89" t="str">
        <f t="shared" ref="AG163:AG191" ca="1" si="147">IF(AND(B163&gt;0,AF163&gt;0,AA163&gt;0,W163=1),B163-AF163,"-")</f>
        <v>-</v>
      </c>
      <c r="AH163" s="92">
        <v>1</v>
      </c>
      <c r="AI163" s="80" t="str">
        <f t="shared" ref="AI163:AI164" ca="1" si="148">IF(AND(X163="яловая",M163&gt;300),"БРАК","-")</f>
        <v>-</v>
      </c>
      <c r="AJ163" s="80"/>
      <c r="AK163" s="168">
        <v>42779</v>
      </c>
      <c r="AL163" s="22" t="s">
        <v>1614</v>
      </c>
      <c r="AM163" s="78">
        <v>44</v>
      </c>
    </row>
    <row r="164" spans="1:39" s="2" customFormat="1" ht="15.95" customHeight="1" x14ac:dyDescent="0.25">
      <c r="A164" s="77">
        <v>162</v>
      </c>
      <c r="B164" s="84">
        <f t="shared" ca="1" si="94"/>
        <v>43134</v>
      </c>
      <c r="C164" s="29" t="s">
        <v>1554</v>
      </c>
      <c r="D164" s="59" t="s">
        <v>1555</v>
      </c>
      <c r="E164" s="22" t="s">
        <v>1557</v>
      </c>
      <c r="F164" s="27" t="s">
        <v>2406</v>
      </c>
      <c r="G164" s="27"/>
      <c r="H164" s="28" t="s">
        <v>603</v>
      </c>
      <c r="I164" s="20">
        <v>42775</v>
      </c>
      <c r="J164" s="35">
        <f t="shared" ca="1" si="105"/>
        <v>0.98356164383561639</v>
      </c>
      <c r="K164" s="60"/>
      <c r="L164" s="32"/>
      <c r="M164" s="82"/>
      <c r="N164" s="19"/>
      <c r="O164" s="68"/>
      <c r="P164" s="118"/>
      <c r="Q164" s="21"/>
      <c r="R164" s="20"/>
      <c r="S164" s="20" t="str">
        <f t="shared" si="137"/>
        <v>-</v>
      </c>
      <c r="T164" s="19" t="str">
        <f t="shared" ca="1" si="138"/>
        <v>-</v>
      </c>
      <c r="U164" s="3"/>
      <c r="V164" s="22" t="str">
        <f t="shared" si="139"/>
        <v>-</v>
      </c>
      <c r="W164" s="22"/>
      <c r="X164" s="22" t="str">
        <f t="shared" si="140"/>
        <v>-</v>
      </c>
      <c r="Y164" s="20" t="str">
        <f t="shared" si="141"/>
        <v>-</v>
      </c>
      <c r="Z164" s="94" t="str">
        <f t="shared" si="142"/>
        <v>---------</v>
      </c>
      <c r="AA164" s="21"/>
      <c r="AB164" s="21" t="str">
        <f t="shared" si="143"/>
        <v>-</v>
      </c>
      <c r="AC164" s="21" t="str">
        <f t="shared" si="144"/>
        <v>-</v>
      </c>
      <c r="AD164" s="85"/>
      <c r="AE164" s="21" t="str">
        <f t="shared" si="145"/>
        <v>-</v>
      </c>
      <c r="AF164" s="21" t="str">
        <f t="shared" si="146"/>
        <v>-</v>
      </c>
      <c r="AG164" s="89" t="str">
        <f t="shared" ca="1" si="147"/>
        <v>-</v>
      </c>
      <c r="AH164" s="92"/>
      <c r="AI164" s="80" t="str">
        <f t="shared" si="148"/>
        <v>-</v>
      </c>
      <c r="AJ164" s="80"/>
      <c r="AK164" s="168">
        <v>42779</v>
      </c>
      <c r="AL164" s="22" t="s">
        <v>1614</v>
      </c>
      <c r="AM164" s="78">
        <v>50</v>
      </c>
    </row>
    <row r="165" spans="1:39" s="2" customFormat="1" ht="15.95" customHeight="1" x14ac:dyDescent="0.25">
      <c r="A165" s="77">
        <v>163</v>
      </c>
      <c r="B165" s="84">
        <f t="shared" ca="1" si="94"/>
        <v>43134</v>
      </c>
      <c r="C165" s="29" t="s">
        <v>1554</v>
      </c>
      <c r="D165" s="59" t="s">
        <v>1745</v>
      </c>
      <c r="E165" s="22" t="s">
        <v>1563</v>
      </c>
      <c r="F165" s="27" t="s">
        <v>1795</v>
      </c>
      <c r="G165" s="27"/>
      <c r="H165" s="28" t="s">
        <v>603</v>
      </c>
      <c r="I165" s="20">
        <v>42477</v>
      </c>
      <c r="J165" s="35">
        <f t="shared" ca="1" si="105"/>
        <v>1.8</v>
      </c>
      <c r="K165" s="60"/>
      <c r="L165" s="32"/>
      <c r="M165" s="82" t="str">
        <f ca="1">IF(AND(B165&gt;0,L165&gt;0),B165-L165,"-")</f>
        <v>-</v>
      </c>
      <c r="N165" s="19"/>
      <c r="O165" s="68"/>
      <c r="P165" s="118"/>
      <c r="Q165" s="21"/>
      <c r="R165" s="20"/>
      <c r="S165" s="20" t="str">
        <f t="shared" ref="S165:S178" si="149">IF(AND(W165&gt;1,R165&gt;0),R165+18,"-")</f>
        <v>-</v>
      </c>
      <c r="T165" s="19" t="str">
        <f t="shared" ca="1" si="138"/>
        <v>-</v>
      </c>
      <c r="U165" s="3"/>
      <c r="V165" s="22" t="str">
        <f t="shared" ref="V165:V178" si="150">IF(AND(L165&gt;0,R165&gt;0),R165-L165,"-")</f>
        <v>-</v>
      </c>
      <c r="W165" s="22"/>
      <c r="X165" s="22" t="str">
        <f t="shared" ref="X165:X178" ca="1" si="151">IF(AND(M165&gt;140,W165=0,L165&gt;0),"яловая","-")</f>
        <v>-</v>
      </c>
      <c r="Y165" s="20" t="str">
        <f t="shared" ref="Y165:Y178" si="152">IF(AND(R165&gt;0,OR(W165=3,W165=2)),R165+35,"-")</f>
        <v>-</v>
      </c>
      <c r="Z165" s="94" t="str">
        <f t="shared" si="142"/>
        <v>---------</v>
      </c>
      <c r="AA165" s="21"/>
      <c r="AB165" s="21" t="str">
        <f t="shared" ref="AB165:AB178" si="153">IF(AND($R165&gt;0,$L165&gt;0,$W165=1),$R165+280-90,"-")</f>
        <v>-</v>
      </c>
      <c r="AC165" s="21" t="str">
        <f t="shared" ref="AC165:AC178" si="154">IF(AND(R165&gt;0,W165=1,L165&gt;0),R165+280-60,"-")</f>
        <v>-</v>
      </c>
      <c r="AD165" s="85"/>
      <c r="AE165" s="21" t="str">
        <f t="shared" ref="AE165:AE178" si="155">IF(AND($R165&gt;0,$W165=1),$R165+280-21,"-")</f>
        <v>-</v>
      </c>
      <c r="AF165" s="21" t="str">
        <f t="shared" ref="AF165:AF178" si="156">IF(AND(R165&gt;0,W165=1),R165+280,"-")</f>
        <v>-</v>
      </c>
      <c r="AG165" s="89" t="str">
        <f t="shared" ca="1" si="147"/>
        <v>-</v>
      </c>
      <c r="AH165" s="92">
        <v>1</v>
      </c>
      <c r="AI165" s="80" t="str">
        <f t="shared" ref="AI165:AI178" ca="1" si="157">IF(AND(X165="яловая",M165&gt;300),"БРАК","-")</f>
        <v>-</v>
      </c>
      <c r="AJ165" s="80"/>
      <c r="AK165" s="168">
        <v>42776</v>
      </c>
      <c r="AL165" s="22" t="s">
        <v>2246</v>
      </c>
      <c r="AM165" s="78">
        <v>274</v>
      </c>
    </row>
    <row r="166" spans="1:39" s="2" customFormat="1" ht="15.95" customHeight="1" x14ac:dyDescent="0.25">
      <c r="A166" s="77">
        <v>164</v>
      </c>
      <c r="B166" s="84">
        <f t="shared" ca="1" si="94"/>
        <v>43134</v>
      </c>
      <c r="C166" s="29" t="s">
        <v>1554</v>
      </c>
      <c r="D166" s="59" t="s">
        <v>1555</v>
      </c>
      <c r="E166" s="22" t="s">
        <v>1557</v>
      </c>
      <c r="F166" s="27" t="s">
        <v>2408</v>
      </c>
      <c r="G166" s="27"/>
      <c r="H166" s="28" t="s">
        <v>603</v>
      </c>
      <c r="I166" s="20">
        <v>42780</v>
      </c>
      <c r="J166" s="35">
        <f t="shared" ca="1" si="105"/>
        <v>0.96986301369863015</v>
      </c>
      <c r="K166" s="60"/>
      <c r="L166" s="32"/>
      <c r="M166" s="82"/>
      <c r="N166" s="19"/>
      <c r="O166" s="68"/>
      <c r="P166" s="118"/>
      <c r="Q166" s="21"/>
      <c r="R166" s="20"/>
      <c r="S166" s="20" t="str">
        <f t="shared" si="149"/>
        <v>-</v>
      </c>
      <c r="T166" s="19" t="str">
        <f t="shared" ca="1" si="138"/>
        <v>-</v>
      </c>
      <c r="U166" s="3"/>
      <c r="V166" s="22" t="str">
        <f t="shared" si="150"/>
        <v>-</v>
      </c>
      <c r="W166" s="22"/>
      <c r="X166" s="22" t="str">
        <f t="shared" si="151"/>
        <v>-</v>
      </c>
      <c r="Y166" s="20" t="str">
        <f t="shared" si="152"/>
        <v>-</v>
      </c>
      <c r="Z166" s="94" t="str">
        <f t="shared" si="142"/>
        <v>---------</v>
      </c>
      <c r="AA166" s="21"/>
      <c r="AB166" s="21" t="str">
        <f t="shared" si="153"/>
        <v>-</v>
      </c>
      <c r="AC166" s="21" t="str">
        <f t="shared" si="154"/>
        <v>-</v>
      </c>
      <c r="AD166" s="85"/>
      <c r="AE166" s="21" t="str">
        <f t="shared" si="155"/>
        <v>-</v>
      </c>
      <c r="AF166" s="21" t="str">
        <f t="shared" si="156"/>
        <v>-</v>
      </c>
      <c r="AG166" s="89" t="str">
        <f t="shared" ca="1" si="147"/>
        <v>-</v>
      </c>
      <c r="AH166" s="92"/>
      <c r="AI166" s="80" t="str">
        <f t="shared" si="157"/>
        <v>-</v>
      </c>
      <c r="AJ166" s="80"/>
      <c r="AK166" s="168">
        <v>42783</v>
      </c>
      <c r="AL166" s="22" t="s">
        <v>1614</v>
      </c>
      <c r="AM166" s="22">
        <v>44</v>
      </c>
    </row>
    <row r="167" spans="1:39" s="2" customFormat="1" ht="15.95" customHeight="1" x14ac:dyDescent="0.25">
      <c r="A167" s="77">
        <v>165</v>
      </c>
      <c r="B167" s="84">
        <f t="shared" ca="1" si="94"/>
        <v>43134</v>
      </c>
      <c r="C167" s="29" t="s">
        <v>1554</v>
      </c>
      <c r="D167" s="59" t="s">
        <v>2236</v>
      </c>
      <c r="E167" s="22" t="s">
        <v>1557</v>
      </c>
      <c r="F167" s="27" t="s">
        <v>1757</v>
      </c>
      <c r="G167" s="27"/>
      <c r="H167" s="28" t="s">
        <v>603</v>
      </c>
      <c r="I167" s="20">
        <v>42413</v>
      </c>
      <c r="J167" s="35">
        <f t="shared" ca="1" si="105"/>
        <v>1.9753424657534246</v>
      </c>
      <c r="K167" s="60"/>
      <c r="L167" s="32"/>
      <c r="M167" s="82" t="str">
        <f t="shared" ref="M167:M184" ca="1" si="158">IF(AND(B167&gt;0,L167&gt;0),B167-L167,"-")</f>
        <v>-</v>
      </c>
      <c r="N167" s="19"/>
      <c r="O167" s="68"/>
      <c r="P167" s="118"/>
      <c r="Q167" s="21"/>
      <c r="R167" s="20"/>
      <c r="S167" s="20" t="str">
        <f t="shared" si="149"/>
        <v>-</v>
      </c>
      <c r="T167" s="19" t="str">
        <f t="shared" ca="1" si="138"/>
        <v>-</v>
      </c>
      <c r="U167" s="3"/>
      <c r="V167" s="22" t="str">
        <f t="shared" si="150"/>
        <v>-</v>
      </c>
      <c r="W167" s="22"/>
      <c r="X167" s="22" t="str">
        <f t="shared" ca="1" si="151"/>
        <v>-</v>
      </c>
      <c r="Y167" s="20" t="str">
        <f t="shared" si="152"/>
        <v>-</v>
      </c>
      <c r="Z167" s="94" t="str">
        <f t="shared" si="142"/>
        <v>---------</v>
      </c>
      <c r="AA167" s="21"/>
      <c r="AB167" s="21" t="str">
        <f t="shared" si="153"/>
        <v>-</v>
      </c>
      <c r="AC167" s="21" t="str">
        <f t="shared" si="154"/>
        <v>-</v>
      </c>
      <c r="AD167" s="85"/>
      <c r="AE167" s="21" t="str">
        <f t="shared" si="155"/>
        <v>-</v>
      </c>
      <c r="AF167" s="21" t="str">
        <f t="shared" si="156"/>
        <v>-</v>
      </c>
      <c r="AG167" s="89" t="str">
        <f t="shared" ca="1" si="147"/>
        <v>-</v>
      </c>
      <c r="AH167" s="92">
        <v>1</v>
      </c>
      <c r="AI167" s="80" t="str">
        <f t="shared" ca="1" si="157"/>
        <v>-</v>
      </c>
      <c r="AJ167" s="80"/>
      <c r="AK167" s="168">
        <v>42787</v>
      </c>
      <c r="AL167" s="22" t="s">
        <v>1614</v>
      </c>
      <c r="AM167" s="22">
        <v>340</v>
      </c>
    </row>
    <row r="168" spans="1:39" s="2" customFormat="1" ht="15.95" customHeight="1" x14ac:dyDescent="0.25">
      <c r="A168" s="77">
        <v>166</v>
      </c>
      <c r="B168" s="84">
        <f t="shared" ca="1" si="94"/>
        <v>43134</v>
      </c>
      <c r="C168" s="29" t="s">
        <v>1554</v>
      </c>
      <c r="D168" s="59" t="s">
        <v>2236</v>
      </c>
      <c r="E168" s="22" t="s">
        <v>1557</v>
      </c>
      <c r="F168" s="27" t="s">
        <v>1725</v>
      </c>
      <c r="G168" s="27"/>
      <c r="H168" s="28" t="s">
        <v>603</v>
      </c>
      <c r="I168" s="20">
        <v>42418</v>
      </c>
      <c r="J168" s="35">
        <f t="shared" ca="1" si="105"/>
        <v>1.9616438356164383</v>
      </c>
      <c r="K168" s="60"/>
      <c r="L168" s="32"/>
      <c r="M168" s="82" t="str">
        <f t="shared" ca="1" si="158"/>
        <v>-</v>
      </c>
      <c r="N168" s="19"/>
      <c r="O168" s="68"/>
      <c r="P168" s="118"/>
      <c r="Q168" s="21"/>
      <c r="R168" s="20"/>
      <c r="S168" s="20" t="str">
        <f t="shared" si="149"/>
        <v>-</v>
      </c>
      <c r="T168" s="19" t="str">
        <f t="shared" ca="1" si="138"/>
        <v>-</v>
      </c>
      <c r="U168" s="3"/>
      <c r="V168" s="22" t="str">
        <f t="shared" si="150"/>
        <v>-</v>
      </c>
      <c r="W168" s="22"/>
      <c r="X168" s="22" t="str">
        <f t="shared" ca="1" si="151"/>
        <v>-</v>
      </c>
      <c r="Y168" s="20" t="str">
        <f t="shared" si="152"/>
        <v>-</v>
      </c>
      <c r="Z168" s="94" t="str">
        <f t="shared" si="142"/>
        <v>---------</v>
      </c>
      <c r="AA168" s="21"/>
      <c r="AB168" s="21" t="str">
        <f t="shared" si="153"/>
        <v>-</v>
      </c>
      <c r="AC168" s="21" t="str">
        <f t="shared" si="154"/>
        <v>-</v>
      </c>
      <c r="AD168" s="85"/>
      <c r="AE168" s="21" t="str">
        <f t="shared" si="155"/>
        <v>-</v>
      </c>
      <c r="AF168" s="21" t="str">
        <f t="shared" si="156"/>
        <v>-</v>
      </c>
      <c r="AG168" s="89" t="str">
        <f t="shared" ca="1" si="147"/>
        <v>-</v>
      </c>
      <c r="AH168" s="92">
        <v>1</v>
      </c>
      <c r="AI168" s="80" t="str">
        <f t="shared" ca="1" si="157"/>
        <v>-</v>
      </c>
      <c r="AJ168" s="80"/>
      <c r="AK168" s="168">
        <v>42787</v>
      </c>
      <c r="AL168" s="22" t="s">
        <v>1614</v>
      </c>
      <c r="AM168" s="22">
        <v>348</v>
      </c>
    </row>
    <row r="169" spans="1:39" s="2" customFormat="1" ht="15.95" customHeight="1" x14ac:dyDescent="0.25">
      <c r="A169" s="77">
        <v>167</v>
      </c>
      <c r="B169" s="84">
        <f t="shared" ca="1" si="94"/>
        <v>43134</v>
      </c>
      <c r="C169" s="29" t="s">
        <v>1554</v>
      </c>
      <c r="D169" s="59" t="s">
        <v>2236</v>
      </c>
      <c r="E169" s="22" t="s">
        <v>1557</v>
      </c>
      <c r="F169" s="27" t="s">
        <v>1749</v>
      </c>
      <c r="G169" s="27"/>
      <c r="H169" s="28" t="s">
        <v>603</v>
      </c>
      <c r="I169" s="20">
        <v>42470</v>
      </c>
      <c r="J169" s="35">
        <f t="shared" ca="1" si="105"/>
        <v>1.8191780821917809</v>
      </c>
      <c r="K169" s="60"/>
      <c r="L169" s="32"/>
      <c r="M169" s="82" t="str">
        <f t="shared" ca="1" si="158"/>
        <v>-</v>
      </c>
      <c r="N169" s="19"/>
      <c r="O169" s="68"/>
      <c r="P169" s="118"/>
      <c r="Q169" s="21"/>
      <c r="R169" s="20"/>
      <c r="S169" s="20" t="str">
        <f t="shared" si="149"/>
        <v>-</v>
      </c>
      <c r="T169" s="19" t="str">
        <f t="shared" ca="1" si="138"/>
        <v>-</v>
      </c>
      <c r="U169" s="3"/>
      <c r="V169" s="22" t="str">
        <f t="shared" si="150"/>
        <v>-</v>
      </c>
      <c r="W169" s="22"/>
      <c r="X169" s="22" t="str">
        <f t="shared" ca="1" si="151"/>
        <v>-</v>
      </c>
      <c r="Y169" s="20" t="str">
        <f t="shared" si="152"/>
        <v>-</v>
      </c>
      <c r="Z169" s="94" t="str">
        <f t="shared" si="142"/>
        <v>---------</v>
      </c>
      <c r="AA169" s="21"/>
      <c r="AB169" s="21" t="str">
        <f t="shared" si="153"/>
        <v>-</v>
      </c>
      <c r="AC169" s="21" t="str">
        <f t="shared" si="154"/>
        <v>-</v>
      </c>
      <c r="AD169" s="85"/>
      <c r="AE169" s="21" t="str">
        <f t="shared" si="155"/>
        <v>-</v>
      </c>
      <c r="AF169" s="21" t="str">
        <f t="shared" si="156"/>
        <v>-</v>
      </c>
      <c r="AG169" s="89" t="str">
        <f t="shared" ca="1" si="147"/>
        <v>-</v>
      </c>
      <c r="AH169" s="92">
        <v>1</v>
      </c>
      <c r="AI169" s="80" t="str">
        <f t="shared" ca="1" si="157"/>
        <v>-</v>
      </c>
      <c r="AJ169" s="80"/>
      <c r="AK169" s="168">
        <v>42787</v>
      </c>
      <c r="AL169" s="22" t="s">
        <v>1614</v>
      </c>
      <c r="AM169" s="22">
        <v>300</v>
      </c>
    </row>
    <row r="170" spans="1:39" s="2" customFormat="1" ht="15.95" customHeight="1" x14ac:dyDescent="0.25">
      <c r="A170" s="77">
        <v>168</v>
      </c>
      <c r="B170" s="84">
        <f t="shared" ca="1" si="94"/>
        <v>43134</v>
      </c>
      <c r="C170" s="29" t="s">
        <v>1554</v>
      </c>
      <c r="D170" s="59" t="s">
        <v>2236</v>
      </c>
      <c r="E170" s="22" t="s">
        <v>1557</v>
      </c>
      <c r="F170" s="27" t="s">
        <v>1733</v>
      </c>
      <c r="G170" s="27"/>
      <c r="H170" s="28" t="s">
        <v>603</v>
      </c>
      <c r="I170" s="20">
        <v>42475</v>
      </c>
      <c r="J170" s="35">
        <f t="shared" ca="1" si="105"/>
        <v>1.8054794520547945</v>
      </c>
      <c r="K170" s="60"/>
      <c r="L170" s="32"/>
      <c r="M170" s="82" t="str">
        <f t="shared" ca="1" si="158"/>
        <v>-</v>
      </c>
      <c r="N170" s="19"/>
      <c r="O170" s="68"/>
      <c r="P170" s="118"/>
      <c r="Q170" s="21"/>
      <c r="R170" s="20"/>
      <c r="S170" s="20" t="str">
        <f t="shared" si="149"/>
        <v>-</v>
      </c>
      <c r="T170" s="19" t="str">
        <f t="shared" ca="1" si="138"/>
        <v>-</v>
      </c>
      <c r="U170" s="3"/>
      <c r="V170" s="22" t="str">
        <f t="shared" si="150"/>
        <v>-</v>
      </c>
      <c r="W170" s="22"/>
      <c r="X170" s="22" t="str">
        <f t="shared" ca="1" si="151"/>
        <v>-</v>
      </c>
      <c r="Y170" s="20" t="str">
        <f t="shared" si="152"/>
        <v>-</v>
      </c>
      <c r="Z170" s="94" t="str">
        <f t="shared" si="142"/>
        <v>---------</v>
      </c>
      <c r="AA170" s="21"/>
      <c r="AB170" s="21" t="str">
        <f t="shared" si="153"/>
        <v>-</v>
      </c>
      <c r="AC170" s="21" t="str">
        <f t="shared" si="154"/>
        <v>-</v>
      </c>
      <c r="AD170" s="85"/>
      <c r="AE170" s="21" t="str">
        <f t="shared" si="155"/>
        <v>-</v>
      </c>
      <c r="AF170" s="21" t="str">
        <f t="shared" si="156"/>
        <v>-</v>
      </c>
      <c r="AG170" s="89" t="str">
        <f t="shared" ca="1" si="147"/>
        <v>-</v>
      </c>
      <c r="AH170" s="92">
        <v>1</v>
      </c>
      <c r="AI170" s="80" t="str">
        <f t="shared" ca="1" si="157"/>
        <v>-</v>
      </c>
      <c r="AJ170" s="80"/>
      <c r="AK170" s="168">
        <v>42787</v>
      </c>
      <c r="AL170" s="22" t="s">
        <v>1614</v>
      </c>
      <c r="AM170" s="22">
        <v>320</v>
      </c>
    </row>
    <row r="171" spans="1:39" s="2" customFormat="1" ht="15.95" customHeight="1" x14ac:dyDescent="0.25">
      <c r="A171" s="77">
        <v>169</v>
      </c>
      <c r="B171" s="84">
        <f t="shared" ca="1" si="94"/>
        <v>43134</v>
      </c>
      <c r="C171" s="29" t="s">
        <v>1554</v>
      </c>
      <c r="D171" s="59" t="s">
        <v>2236</v>
      </c>
      <c r="E171" s="22" t="s">
        <v>1557</v>
      </c>
      <c r="F171" s="27" t="s">
        <v>1734</v>
      </c>
      <c r="G171" s="27"/>
      <c r="H171" s="28" t="s">
        <v>603</v>
      </c>
      <c r="I171" s="20">
        <v>42476</v>
      </c>
      <c r="J171" s="35">
        <f t="shared" ca="1" si="105"/>
        <v>1.8027397260273972</v>
      </c>
      <c r="K171" s="60"/>
      <c r="L171" s="32"/>
      <c r="M171" s="82" t="str">
        <f t="shared" ca="1" si="158"/>
        <v>-</v>
      </c>
      <c r="N171" s="19"/>
      <c r="O171" s="68"/>
      <c r="P171" s="118"/>
      <c r="Q171" s="21"/>
      <c r="R171" s="20"/>
      <c r="S171" s="20" t="str">
        <f t="shared" si="149"/>
        <v>-</v>
      </c>
      <c r="T171" s="19" t="str">
        <f t="shared" ca="1" si="138"/>
        <v>-</v>
      </c>
      <c r="U171" s="3"/>
      <c r="V171" s="22" t="str">
        <f t="shared" si="150"/>
        <v>-</v>
      </c>
      <c r="W171" s="22"/>
      <c r="X171" s="22" t="str">
        <f t="shared" ca="1" si="151"/>
        <v>-</v>
      </c>
      <c r="Y171" s="20" t="str">
        <f t="shared" si="152"/>
        <v>-</v>
      </c>
      <c r="Z171" s="94" t="str">
        <f t="shared" si="142"/>
        <v>---------</v>
      </c>
      <c r="AA171" s="21"/>
      <c r="AB171" s="21" t="str">
        <f t="shared" si="153"/>
        <v>-</v>
      </c>
      <c r="AC171" s="21" t="str">
        <f t="shared" si="154"/>
        <v>-</v>
      </c>
      <c r="AD171" s="85"/>
      <c r="AE171" s="21" t="str">
        <f t="shared" si="155"/>
        <v>-</v>
      </c>
      <c r="AF171" s="21" t="str">
        <f t="shared" si="156"/>
        <v>-</v>
      </c>
      <c r="AG171" s="89" t="str">
        <f t="shared" ca="1" si="147"/>
        <v>-</v>
      </c>
      <c r="AH171" s="92">
        <v>1</v>
      </c>
      <c r="AI171" s="80" t="str">
        <f t="shared" ca="1" si="157"/>
        <v>-</v>
      </c>
      <c r="AJ171" s="80"/>
      <c r="AK171" s="168">
        <v>42787</v>
      </c>
      <c r="AL171" s="22" t="s">
        <v>1614</v>
      </c>
      <c r="AM171" s="22">
        <v>314</v>
      </c>
    </row>
    <row r="172" spans="1:39" s="2" customFormat="1" ht="15.95" customHeight="1" x14ac:dyDescent="0.25">
      <c r="A172" s="77">
        <v>170</v>
      </c>
      <c r="B172" s="84">
        <f t="shared" ca="1" si="94"/>
        <v>43134</v>
      </c>
      <c r="C172" s="29" t="s">
        <v>1554</v>
      </c>
      <c r="D172" s="59" t="s">
        <v>2236</v>
      </c>
      <c r="E172" s="22" t="s">
        <v>1557</v>
      </c>
      <c r="F172" s="27" t="s">
        <v>1722</v>
      </c>
      <c r="G172" s="27"/>
      <c r="H172" s="28" t="s">
        <v>603</v>
      </c>
      <c r="I172" s="20">
        <v>42480</v>
      </c>
      <c r="J172" s="35">
        <f t="shared" ca="1" si="105"/>
        <v>1.7917808219178082</v>
      </c>
      <c r="K172" s="60"/>
      <c r="L172" s="32"/>
      <c r="M172" s="82" t="str">
        <f t="shared" ca="1" si="158"/>
        <v>-</v>
      </c>
      <c r="N172" s="19"/>
      <c r="O172" s="68"/>
      <c r="P172" s="118"/>
      <c r="Q172" s="21"/>
      <c r="R172" s="20"/>
      <c r="S172" s="20" t="str">
        <f t="shared" si="149"/>
        <v>-</v>
      </c>
      <c r="T172" s="19" t="str">
        <f t="shared" ca="1" si="138"/>
        <v>-</v>
      </c>
      <c r="U172" s="3"/>
      <c r="V172" s="22" t="str">
        <f t="shared" si="150"/>
        <v>-</v>
      </c>
      <c r="W172" s="22"/>
      <c r="X172" s="22" t="str">
        <f t="shared" ca="1" si="151"/>
        <v>-</v>
      </c>
      <c r="Y172" s="20" t="str">
        <f t="shared" si="152"/>
        <v>-</v>
      </c>
      <c r="Z172" s="94" t="str">
        <f t="shared" si="142"/>
        <v>---------</v>
      </c>
      <c r="AA172" s="21"/>
      <c r="AB172" s="21" t="str">
        <f t="shared" si="153"/>
        <v>-</v>
      </c>
      <c r="AC172" s="21" t="str">
        <f t="shared" si="154"/>
        <v>-</v>
      </c>
      <c r="AD172" s="85"/>
      <c r="AE172" s="21" t="str">
        <f t="shared" si="155"/>
        <v>-</v>
      </c>
      <c r="AF172" s="21" t="str">
        <f t="shared" si="156"/>
        <v>-</v>
      </c>
      <c r="AG172" s="89" t="str">
        <f t="shared" ca="1" si="147"/>
        <v>-</v>
      </c>
      <c r="AH172" s="92">
        <v>1</v>
      </c>
      <c r="AI172" s="80" t="str">
        <f t="shared" ca="1" si="157"/>
        <v>-</v>
      </c>
      <c r="AJ172" s="80"/>
      <c r="AK172" s="168">
        <v>42787</v>
      </c>
      <c r="AL172" s="22" t="s">
        <v>1614</v>
      </c>
      <c r="AM172" s="22">
        <v>315</v>
      </c>
    </row>
    <row r="173" spans="1:39" s="2" customFormat="1" ht="15.95" customHeight="1" x14ac:dyDescent="0.25">
      <c r="A173" s="77">
        <v>171</v>
      </c>
      <c r="B173" s="84">
        <f t="shared" ca="1" si="94"/>
        <v>43134</v>
      </c>
      <c r="C173" s="29" t="s">
        <v>1554</v>
      </c>
      <c r="D173" s="59" t="s">
        <v>2236</v>
      </c>
      <c r="E173" s="22" t="s">
        <v>1557</v>
      </c>
      <c r="F173" s="27" t="s">
        <v>1736</v>
      </c>
      <c r="G173" s="27"/>
      <c r="H173" s="28" t="s">
        <v>603</v>
      </c>
      <c r="I173" s="20">
        <v>42481</v>
      </c>
      <c r="J173" s="35">
        <f t="shared" ca="1" si="105"/>
        <v>1.789041095890411</v>
      </c>
      <c r="K173" s="60"/>
      <c r="L173" s="32"/>
      <c r="M173" s="82" t="str">
        <f t="shared" ca="1" si="158"/>
        <v>-</v>
      </c>
      <c r="N173" s="19"/>
      <c r="O173" s="68"/>
      <c r="P173" s="118"/>
      <c r="Q173" s="21"/>
      <c r="R173" s="20"/>
      <c r="S173" s="20" t="str">
        <f t="shared" si="149"/>
        <v>-</v>
      </c>
      <c r="T173" s="19" t="str">
        <f t="shared" ca="1" si="138"/>
        <v>-</v>
      </c>
      <c r="U173" s="3"/>
      <c r="V173" s="22" t="str">
        <f t="shared" si="150"/>
        <v>-</v>
      </c>
      <c r="W173" s="22"/>
      <c r="X173" s="22" t="str">
        <f t="shared" ca="1" si="151"/>
        <v>-</v>
      </c>
      <c r="Y173" s="20" t="str">
        <f t="shared" si="152"/>
        <v>-</v>
      </c>
      <c r="Z173" s="94" t="str">
        <f t="shared" si="142"/>
        <v>---------</v>
      </c>
      <c r="AA173" s="21"/>
      <c r="AB173" s="21" t="str">
        <f t="shared" si="153"/>
        <v>-</v>
      </c>
      <c r="AC173" s="21" t="str">
        <f t="shared" si="154"/>
        <v>-</v>
      </c>
      <c r="AD173" s="85"/>
      <c r="AE173" s="21" t="str">
        <f t="shared" si="155"/>
        <v>-</v>
      </c>
      <c r="AF173" s="21" t="str">
        <f t="shared" si="156"/>
        <v>-</v>
      </c>
      <c r="AG173" s="89" t="str">
        <f t="shared" ca="1" si="147"/>
        <v>-</v>
      </c>
      <c r="AH173" s="92">
        <v>1</v>
      </c>
      <c r="AI173" s="80" t="str">
        <f t="shared" ca="1" si="157"/>
        <v>-</v>
      </c>
      <c r="AJ173" s="80"/>
      <c r="AK173" s="168">
        <v>42787</v>
      </c>
      <c r="AL173" s="22" t="s">
        <v>1614</v>
      </c>
      <c r="AM173" s="22">
        <v>306</v>
      </c>
    </row>
    <row r="174" spans="1:39" s="2" customFormat="1" ht="15.95" customHeight="1" x14ac:dyDescent="0.25">
      <c r="A174" s="77">
        <v>172</v>
      </c>
      <c r="B174" s="84">
        <f t="shared" ca="1" si="94"/>
        <v>43134</v>
      </c>
      <c r="C174" s="29" t="s">
        <v>1554</v>
      </c>
      <c r="D174" s="59" t="s">
        <v>2236</v>
      </c>
      <c r="E174" s="22" t="s">
        <v>1557</v>
      </c>
      <c r="F174" s="27" t="s">
        <v>1737</v>
      </c>
      <c r="G174" s="27"/>
      <c r="H174" s="28" t="s">
        <v>603</v>
      </c>
      <c r="I174" s="20">
        <v>42494</v>
      </c>
      <c r="J174" s="35">
        <f t="shared" ca="1" si="105"/>
        <v>1.7534246575342465</v>
      </c>
      <c r="K174" s="60"/>
      <c r="L174" s="32"/>
      <c r="M174" s="82" t="str">
        <f t="shared" ca="1" si="158"/>
        <v>-</v>
      </c>
      <c r="N174" s="19"/>
      <c r="O174" s="68"/>
      <c r="P174" s="118"/>
      <c r="Q174" s="21"/>
      <c r="R174" s="20"/>
      <c r="S174" s="20" t="str">
        <f t="shared" si="149"/>
        <v>-</v>
      </c>
      <c r="T174" s="19" t="str">
        <f t="shared" ca="1" si="138"/>
        <v>-</v>
      </c>
      <c r="U174" s="3"/>
      <c r="V174" s="22" t="str">
        <f t="shared" si="150"/>
        <v>-</v>
      </c>
      <c r="W174" s="22"/>
      <c r="X174" s="22" t="str">
        <f t="shared" ca="1" si="151"/>
        <v>-</v>
      </c>
      <c r="Y174" s="20" t="str">
        <f t="shared" si="152"/>
        <v>-</v>
      </c>
      <c r="Z174" s="94" t="str">
        <f t="shared" si="142"/>
        <v>---------</v>
      </c>
      <c r="AA174" s="21"/>
      <c r="AB174" s="21" t="str">
        <f t="shared" si="153"/>
        <v>-</v>
      </c>
      <c r="AC174" s="21" t="str">
        <f t="shared" si="154"/>
        <v>-</v>
      </c>
      <c r="AD174" s="85"/>
      <c r="AE174" s="21" t="str">
        <f t="shared" si="155"/>
        <v>-</v>
      </c>
      <c r="AF174" s="21" t="str">
        <f t="shared" si="156"/>
        <v>-</v>
      </c>
      <c r="AG174" s="89" t="str">
        <f t="shared" ca="1" si="147"/>
        <v>-</v>
      </c>
      <c r="AH174" s="92">
        <v>1</v>
      </c>
      <c r="AI174" s="80" t="str">
        <f t="shared" ca="1" si="157"/>
        <v>-</v>
      </c>
      <c r="AJ174" s="80"/>
      <c r="AK174" s="168">
        <v>42787</v>
      </c>
      <c r="AL174" s="22" t="s">
        <v>1614</v>
      </c>
      <c r="AM174" s="22">
        <v>316</v>
      </c>
    </row>
    <row r="175" spans="1:39" s="2" customFormat="1" ht="15.95" customHeight="1" x14ac:dyDescent="0.25">
      <c r="A175" s="77">
        <v>173</v>
      </c>
      <c r="B175" s="84">
        <f t="shared" ca="1" si="94"/>
        <v>43134</v>
      </c>
      <c r="C175" s="29" t="s">
        <v>1554</v>
      </c>
      <c r="D175" s="59" t="s">
        <v>2236</v>
      </c>
      <c r="E175" s="22" t="s">
        <v>1557</v>
      </c>
      <c r="F175" s="27" t="s">
        <v>1776</v>
      </c>
      <c r="G175" s="27"/>
      <c r="H175" s="28" t="s">
        <v>603</v>
      </c>
      <c r="I175" s="20">
        <v>42406</v>
      </c>
      <c r="J175" s="35">
        <f t="shared" ref="J175:J206" ca="1" si="159">(B175-I175)/365</f>
        <v>1.9945205479452055</v>
      </c>
      <c r="K175" s="60"/>
      <c r="L175" s="32"/>
      <c r="M175" s="82" t="str">
        <f t="shared" ca="1" si="158"/>
        <v>-</v>
      </c>
      <c r="N175" s="19"/>
      <c r="O175" s="68"/>
      <c r="P175" s="118"/>
      <c r="Q175" s="21"/>
      <c r="R175" s="20"/>
      <c r="S175" s="20" t="str">
        <f t="shared" si="149"/>
        <v>-</v>
      </c>
      <c r="T175" s="19" t="str">
        <f t="shared" ca="1" si="138"/>
        <v>-</v>
      </c>
      <c r="U175" s="3"/>
      <c r="V175" s="22" t="str">
        <f t="shared" si="150"/>
        <v>-</v>
      </c>
      <c r="W175" s="22"/>
      <c r="X175" s="22" t="str">
        <f t="shared" ca="1" si="151"/>
        <v>-</v>
      </c>
      <c r="Y175" s="20" t="str">
        <f t="shared" si="152"/>
        <v>-</v>
      </c>
      <c r="Z175" s="94" t="str">
        <f t="shared" si="142"/>
        <v>---------</v>
      </c>
      <c r="AA175" s="21"/>
      <c r="AB175" s="21" t="str">
        <f t="shared" si="153"/>
        <v>-</v>
      </c>
      <c r="AC175" s="21" t="str">
        <f t="shared" si="154"/>
        <v>-</v>
      </c>
      <c r="AD175" s="85"/>
      <c r="AE175" s="21" t="str">
        <f t="shared" si="155"/>
        <v>-</v>
      </c>
      <c r="AF175" s="21" t="str">
        <f t="shared" si="156"/>
        <v>-</v>
      </c>
      <c r="AG175" s="89" t="str">
        <f t="shared" ca="1" si="147"/>
        <v>-</v>
      </c>
      <c r="AH175" s="92">
        <v>1</v>
      </c>
      <c r="AI175" s="80" t="str">
        <f t="shared" ca="1" si="157"/>
        <v>-</v>
      </c>
      <c r="AJ175" s="80"/>
      <c r="AK175" s="168">
        <v>42787</v>
      </c>
      <c r="AL175" s="22" t="s">
        <v>1614</v>
      </c>
      <c r="AM175" s="22">
        <v>373</v>
      </c>
    </row>
    <row r="176" spans="1:39" s="2" customFormat="1" ht="15.95" customHeight="1" x14ac:dyDescent="0.25">
      <c r="A176" s="77">
        <v>174</v>
      </c>
      <c r="B176" s="84">
        <f t="shared" ca="1" si="94"/>
        <v>43134</v>
      </c>
      <c r="C176" s="29" t="s">
        <v>1554</v>
      </c>
      <c r="D176" s="59" t="s">
        <v>2236</v>
      </c>
      <c r="E176" s="22" t="s">
        <v>1557</v>
      </c>
      <c r="F176" s="27" t="s">
        <v>1767</v>
      </c>
      <c r="G176" s="27"/>
      <c r="H176" s="28" t="s">
        <v>603</v>
      </c>
      <c r="I176" s="20">
        <v>42408</v>
      </c>
      <c r="J176" s="35">
        <f t="shared" ca="1" si="159"/>
        <v>1.989041095890411</v>
      </c>
      <c r="K176" s="60"/>
      <c r="L176" s="32"/>
      <c r="M176" s="82" t="str">
        <f t="shared" ca="1" si="158"/>
        <v>-</v>
      </c>
      <c r="N176" s="19"/>
      <c r="O176" s="68"/>
      <c r="P176" s="118"/>
      <c r="Q176" s="21"/>
      <c r="R176" s="20"/>
      <c r="S176" s="20" t="str">
        <f t="shared" si="149"/>
        <v>-</v>
      </c>
      <c r="T176" s="19" t="str">
        <f t="shared" ca="1" si="138"/>
        <v>-</v>
      </c>
      <c r="U176" s="3"/>
      <c r="V176" s="22" t="str">
        <f t="shared" si="150"/>
        <v>-</v>
      </c>
      <c r="W176" s="22"/>
      <c r="X176" s="22" t="str">
        <f t="shared" ca="1" si="151"/>
        <v>-</v>
      </c>
      <c r="Y176" s="20" t="str">
        <f t="shared" si="152"/>
        <v>-</v>
      </c>
      <c r="Z176" s="94" t="str">
        <f t="shared" si="142"/>
        <v>---------</v>
      </c>
      <c r="AA176" s="21"/>
      <c r="AB176" s="21" t="str">
        <f t="shared" si="153"/>
        <v>-</v>
      </c>
      <c r="AC176" s="21" t="str">
        <f t="shared" si="154"/>
        <v>-</v>
      </c>
      <c r="AD176" s="85"/>
      <c r="AE176" s="21" t="str">
        <f t="shared" si="155"/>
        <v>-</v>
      </c>
      <c r="AF176" s="21" t="str">
        <f t="shared" si="156"/>
        <v>-</v>
      </c>
      <c r="AG176" s="89" t="str">
        <f t="shared" ca="1" si="147"/>
        <v>-</v>
      </c>
      <c r="AH176" s="92">
        <v>1</v>
      </c>
      <c r="AI176" s="80" t="str">
        <f t="shared" ca="1" si="157"/>
        <v>-</v>
      </c>
      <c r="AJ176" s="80"/>
      <c r="AK176" s="168">
        <v>42787</v>
      </c>
      <c r="AL176" s="22" t="s">
        <v>1614</v>
      </c>
      <c r="AM176" s="22">
        <v>403</v>
      </c>
    </row>
    <row r="177" spans="1:39" s="2" customFormat="1" ht="15.95" customHeight="1" x14ac:dyDescent="0.25">
      <c r="A177" s="77">
        <v>175</v>
      </c>
      <c r="B177" s="84">
        <f t="shared" ca="1" si="94"/>
        <v>43134</v>
      </c>
      <c r="C177" s="29" t="s">
        <v>1554</v>
      </c>
      <c r="D177" s="59" t="s">
        <v>2236</v>
      </c>
      <c r="E177" s="22" t="s">
        <v>1557</v>
      </c>
      <c r="F177" s="27" t="s">
        <v>1761</v>
      </c>
      <c r="G177" s="27"/>
      <c r="H177" s="28" t="s">
        <v>603</v>
      </c>
      <c r="I177" s="20">
        <v>42496</v>
      </c>
      <c r="J177" s="35">
        <f t="shared" ca="1" si="159"/>
        <v>1.747945205479452</v>
      </c>
      <c r="K177" s="60"/>
      <c r="L177" s="32"/>
      <c r="M177" s="82" t="str">
        <f t="shared" ca="1" si="158"/>
        <v>-</v>
      </c>
      <c r="N177" s="19"/>
      <c r="O177" s="68"/>
      <c r="P177" s="118"/>
      <c r="Q177" s="21"/>
      <c r="R177" s="20"/>
      <c r="S177" s="20" t="str">
        <f t="shared" si="149"/>
        <v>-</v>
      </c>
      <c r="T177" s="19" t="str">
        <f t="shared" ca="1" si="138"/>
        <v>-</v>
      </c>
      <c r="U177" s="3"/>
      <c r="V177" s="22" t="str">
        <f t="shared" si="150"/>
        <v>-</v>
      </c>
      <c r="W177" s="22"/>
      <c r="X177" s="22" t="str">
        <f t="shared" ca="1" si="151"/>
        <v>-</v>
      </c>
      <c r="Y177" s="20" t="str">
        <f t="shared" si="152"/>
        <v>-</v>
      </c>
      <c r="Z177" s="94" t="str">
        <f t="shared" si="142"/>
        <v>---------</v>
      </c>
      <c r="AA177" s="21"/>
      <c r="AB177" s="21" t="str">
        <f t="shared" si="153"/>
        <v>-</v>
      </c>
      <c r="AC177" s="21" t="str">
        <f t="shared" si="154"/>
        <v>-</v>
      </c>
      <c r="AD177" s="85"/>
      <c r="AE177" s="21" t="str">
        <f t="shared" si="155"/>
        <v>-</v>
      </c>
      <c r="AF177" s="21" t="str">
        <f t="shared" si="156"/>
        <v>-</v>
      </c>
      <c r="AG177" s="89" t="str">
        <f t="shared" ca="1" si="147"/>
        <v>-</v>
      </c>
      <c r="AH177" s="92">
        <v>1</v>
      </c>
      <c r="AI177" s="80" t="str">
        <f t="shared" ca="1" si="157"/>
        <v>-</v>
      </c>
      <c r="AJ177" s="80"/>
      <c r="AK177" s="168">
        <v>42787</v>
      </c>
      <c r="AL177" s="22" t="s">
        <v>1614</v>
      </c>
      <c r="AM177" s="22">
        <v>327</v>
      </c>
    </row>
    <row r="178" spans="1:39" s="2" customFormat="1" ht="15.95" customHeight="1" x14ac:dyDescent="0.25">
      <c r="A178" s="77">
        <v>176</v>
      </c>
      <c r="B178" s="84">
        <f t="shared" ca="1" si="94"/>
        <v>43134</v>
      </c>
      <c r="C178" s="29" t="s">
        <v>1554</v>
      </c>
      <c r="D178" s="59" t="s">
        <v>2236</v>
      </c>
      <c r="E178" s="22" t="s">
        <v>1557</v>
      </c>
      <c r="F178" s="27" t="s">
        <v>1731</v>
      </c>
      <c r="G178" s="27"/>
      <c r="H178" s="28" t="s">
        <v>603</v>
      </c>
      <c r="I178" s="20">
        <v>42503</v>
      </c>
      <c r="J178" s="35">
        <f t="shared" ca="1" si="159"/>
        <v>1.7287671232876711</v>
      </c>
      <c r="K178" s="60"/>
      <c r="L178" s="32"/>
      <c r="M178" s="82" t="str">
        <f t="shared" ca="1" si="158"/>
        <v>-</v>
      </c>
      <c r="N178" s="19"/>
      <c r="O178" s="68"/>
      <c r="P178" s="118"/>
      <c r="Q178" s="21"/>
      <c r="R178" s="20"/>
      <c r="S178" s="20" t="str">
        <f t="shared" si="149"/>
        <v>-</v>
      </c>
      <c r="T178" s="19" t="str">
        <f t="shared" ca="1" si="138"/>
        <v>-</v>
      </c>
      <c r="U178" s="3"/>
      <c r="V178" s="22" t="str">
        <f t="shared" si="150"/>
        <v>-</v>
      </c>
      <c r="W178" s="22"/>
      <c r="X178" s="22" t="str">
        <f t="shared" ca="1" si="151"/>
        <v>-</v>
      </c>
      <c r="Y178" s="20" t="str">
        <f t="shared" si="152"/>
        <v>-</v>
      </c>
      <c r="Z178" s="94" t="str">
        <f t="shared" si="142"/>
        <v>---------</v>
      </c>
      <c r="AA178" s="21"/>
      <c r="AB178" s="21" t="str">
        <f t="shared" si="153"/>
        <v>-</v>
      </c>
      <c r="AC178" s="21" t="str">
        <f t="shared" si="154"/>
        <v>-</v>
      </c>
      <c r="AD178" s="85"/>
      <c r="AE178" s="21" t="str">
        <f t="shared" si="155"/>
        <v>-</v>
      </c>
      <c r="AF178" s="21" t="str">
        <f t="shared" si="156"/>
        <v>-</v>
      </c>
      <c r="AG178" s="89" t="str">
        <f t="shared" ca="1" si="147"/>
        <v>-</v>
      </c>
      <c r="AH178" s="92">
        <v>1</v>
      </c>
      <c r="AI178" s="80" t="str">
        <f t="shared" ca="1" si="157"/>
        <v>-</v>
      </c>
      <c r="AJ178" s="80"/>
      <c r="AK178" s="168">
        <v>42787</v>
      </c>
      <c r="AL178" s="22" t="s">
        <v>1614</v>
      </c>
      <c r="AM178" s="22">
        <v>320</v>
      </c>
    </row>
    <row r="179" spans="1:39" s="2" customFormat="1" ht="15.95" customHeight="1" x14ac:dyDescent="0.25">
      <c r="A179" s="77">
        <v>177</v>
      </c>
      <c r="B179" s="84">
        <f t="shared" ca="1" si="94"/>
        <v>43134</v>
      </c>
      <c r="C179" s="29" t="s">
        <v>1554</v>
      </c>
      <c r="D179" s="59" t="s">
        <v>1555</v>
      </c>
      <c r="E179" s="22" t="s">
        <v>1557</v>
      </c>
      <c r="F179" s="27" t="s">
        <v>2425</v>
      </c>
      <c r="G179" s="27"/>
      <c r="H179" s="28" t="s">
        <v>603</v>
      </c>
      <c r="I179" s="20">
        <v>42785</v>
      </c>
      <c r="J179" s="35">
        <f t="shared" ca="1" si="159"/>
        <v>0.95616438356164379</v>
      </c>
      <c r="K179" s="60"/>
      <c r="L179" s="32"/>
      <c r="M179" s="82" t="str">
        <f t="shared" ca="1" si="158"/>
        <v>-</v>
      </c>
      <c r="N179" s="19"/>
      <c r="O179" s="68"/>
      <c r="P179" s="118"/>
      <c r="Q179" s="21"/>
      <c r="R179" s="20"/>
      <c r="S179" s="20" t="str">
        <f>IF(AND(W179&gt;1,R179&gt;0),R179+18,"-")</f>
        <v>-</v>
      </c>
      <c r="T179" s="19" t="str">
        <f t="shared" ca="1" si="138"/>
        <v>-</v>
      </c>
      <c r="U179" s="3"/>
      <c r="V179" s="22" t="str">
        <f>IF(AND(L179&gt;0,R179&gt;0),R179-L179,"-")</f>
        <v>-</v>
      </c>
      <c r="W179" s="22"/>
      <c r="X179" s="22" t="str">
        <f ca="1">IF(AND(M179&gt;140,W179=0,L179&gt;0),"яловая","-")</f>
        <v>-</v>
      </c>
      <c r="Y179" s="20" t="str">
        <f>IF(AND(R179&gt;0,OR(W179=3,W179=2)),R179+35,"-")</f>
        <v>-</v>
      </c>
      <c r="Z179" s="94" t="str">
        <f t="shared" si="142"/>
        <v>---------</v>
      </c>
      <c r="AA179" s="21"/>
      <c r="AB179" s="21" t="str">
        <f>IF(AND($R179&gt;0,$L179&gt;0,$W179=1),$R179+280-90,"-")</f>
        <v>-</v>
      </c>
      <c r="AC179" s="21" t="str">
        <f>IF(AND(R179&gt;0,W179=1,L179&gt;0),R179+280-60,"-")</f>
        <v>-</v>
      </c>
      <c r="AD179" s="85"/>
      <c r="AE179" s="21" t="str">
        <f>IF(AND($R179&gt;0,$W179=1),$R179+280-21,"-")</f>
        <v>-</v>
      </c>
      <c r="AF179" s="21" t="str">
        <f>IF(AND(R179&gt;0,W179=1),R179+280,"-")</f>
        <v>-</v>
      </c>
      <c r="AG179" s="89" t="str">
        <f t="shared" ca="1" si="147"/>
        <v>-</v>
      </c>
      <c r="AH179" s="92">
        <v>1</v>
      </c>
      <c r="AI179" s="80" t="str">
        <f ca="1">IF(AND(X179="яловая",M179&gt;300),"БРАК","-")</f>
        <v>-</v>
      </c>
      <c r="AJ179" s="80"/>
      <c r="AK179" s="168">
        <v>42788</v>
      </c>
      <c r="AL179" s="22" t="s">
        <v>1614</v>
      </c>
      <c r="AM179" s="22">
        <v>43</v>
      </c>
    </row>
    <row r="180" spans="1:39" s="2" customFormat="1" ht="15.95" customHeight="1" x14ac:dyDescent="0.25">
      <c r="A180" s="77">
        <v>178</v>
      </c>
      <c r="B180" s="84">
        <f t="shared" ca="1" si="94"/>
        <v>43134</v>
      </c>
      <c r="C180" s="29" t="s">
        <v>1554</v>
      </c>
      <c r="D180" s="59" t="s">
        <v>1555</v>
      </c>
      <c r="E180" s="22" t="s">
        <v>1557</v>
      </c>
      <c r="F180" s="27" t="s">
        <v>2410</v>
      </c>
      <c r="G180" s="27"/>
      <c r="H180" s="28" t="s">
        <v>603</v>
      </c>
      <c r="I180" s="20">
        <v>42780</v>
      </c>
      <c r="J180" s="35">
        <f t="shared" ca="1" si="159"/>
        <v>0.96986301369863015</v>
      </c>
      <c r="K180" s="60"/>
      <c r="L180" s="32"/>
      <c r="M180" s="82" t="str">
        <f t="shared" ca="1" si="158"/>
        <v>-</v>
      </c>
      <c r="N180" s="19"/>
      <c r="O180" s="68"/>
      <c r="P180" s="118"/>
      <c r="Q180" s="21"/>
      <c r="R180" s="20"/>
      <c r="S180" s="20" t="str">
        <f t="shared" ref="S180:S185" si="160">IF(AND(W180&gt;1,R180&gt;0),R180+18,"-")</f>
        <v>-</v>
      </c>
      <c r="T180" s="19" t="str">
        <f t="shared" ca="1" si="138"/>
        <v>-</v>
      </c>
      <c r="U180" s="3"/>
      <c r="V180" s="22" t="str">
        <f t="shared" ref="V180:V185" si="161">IF(AND(L180&gt;0,R180&gt;0),R180-L180,"-")</f>
        <v>-</v>
      </c>
      <c r="W180" s="22"/>
      <c r="X180" s="22" t="str">
        <f t="shared" ref="X180:X185" ca="1" si="162">IF(AND(M180&gt;140,W180=0,L180&gt;0),"яловая","-")</f>
        <v>-</v>
      </c>
      <c r="Y180" s="20" t="str">
        <f t="shared" ref="Y180:Y185" si="163">IF(AND(R180&gt;0,OR(W180=3,W180=2)),R180+35,"-")</f>
        <v>-</v>
      </c>
      <c r="Z180" s="94" t="str">
        <f t="shared" si="142"/>
        <v>---------</v>
      </c>
      <c r="AA180" s="21"/>
      <c r="AB180" s="21" t="str">
        <f t="shared" ref="AB180:AB185" si="164">IF(AND($R180&gt;0,$L180&gt;0,$W180=1),$R180+280-90,"-")</f>
        <v>-</v>
      </c>
      <c r="AC180" s="21" t="str">
        <f t="shared" ref="AC180:AC185" si="165">IF(AND(R180&gt;0,W180=1,L180&gt;0),R180+280-60,"-")</f>
        <v>-</v>
      </c>
      <c r="AD180" s="85"/>
      <c r="AE180" s="21" t="str">
        <f t="shared" ref="AE180:AE185" si="166">IF(AND($R180&gt;0,$W180=1),$R180+280-21,"-")</f>
        <v>-</v>
      </c>
      <c r="AF180" s="21" t="str">
        <f t="shared" ref="AF180:AF185" si="167">IF(AND(R180&gt;0,W180=1),R180+280,"-")</f>
        <v>-</v>
      </c>
      <c r="AG180" s="89" t="str">
        <f t="shared" ca="1" si="147"/>
        <v>-</v>
      </c>
      <c r="AH180" s="92">
        <v>1</v>
      </c>
      <c r="AI180" s="80" t="str">
        <f t="shared" ref="AI180:AI185" ca="1" si="168">IF(AND(X180="яловая",M180&gt;300),"БРАК","-")</f>
        <v>-</v>
      </c>
      <c r="AJ180" s="80"/>
      <c r="AK180" s="168">
        <v>42793</v>
      </c>
      <c r="AL180" s="234" t="s">
        <v>1614</v>
      </c>
      <c r="AM180" s="22">
        <v>42</v>
      </c>
    </row>
    <row r="181" spans="1:39" s="2" customFormat="1" ht="15.95" customHeight="1" x14ac:dyDescent="0.25">
      <c r="A181" s="77">
        <v>179</v>
      </c>
      <c r="B181" s="84">
        <f t="shared" ca="1" si="94"/>
        <v>43134</v>
      </c>
      <c r="C181" s="29" t="s">
        <v>1554</v>
      </c>
      <c r="D181" s="59" t="s">
        <v>1555</v>
      </c>
      <c r="E181" s="22" t="s">
        <v>1557</v>
      </c>
      <c r="F181" s="27" t="s">
        <v>2430</v>
      </c>
      <c r="G181" s="27"/>
      <c r="H181" s="28" t="s">
        <v>603</v>
      </c>
      <c r="I181" s="20">
        <v>42789</v>
      </c>
      <c r="J181" s="35">
        <f t="shared" ca="1" si="159"/>
        <v>0.9452054794520548</v>
      </c>
      <c r="K181" s="60"/>
      <c r="L181" s="32"/>
      <c r="M181" s="82" t="str">
        <f t="shared" ca="1" si="158"/>
        <v>-</v>
      </c>
      <c r="N181" s="19"/>
      <c r="O181" s="68"/>
      <c r="P181" s="118"/>
      <c r="Q181" s="21"/>
      <c r="R181" s="20"/>
      <c r="S181" s="20" t="str">
        <f t="shared" si="160"/>
        <v>-</v>
      </c>
      <c r="T181" s="19" t="str">
        <f t="shared" ca="1" si="138"/>
        <v>-</v>
      </c>
      <c r="U181" s="3"/>
      <c r="V181" s="22" t="str">
        <f t="shared" si="161"/>
        <v>-</v>
      </c>
      <c r="W181" s="22"/>
      <c r="X181" s="22" t="str">
        <f t="shared" ca="1" si="162"/>
        <v>-</v>
      </c>
      <c r="Y181" s="20" t="str">
        <f t="shared" si="163"/>
        <v>-</v>
      </c>
      <c r="Z181" s="94" t="str">
        <f t="shared" si="142"/>
        <v>---------</v>
      </c>
      <c r="AA181" s="21"/>
      <c r="AB181" s="21" t="str">
        <f t="shared" si="164"/>
        <v>-</v>
      </c>
      <c r="AC181" s="21" t="str">
        <f t="shared" si="165"/>
        <v>-</v>
      </c>
      <c r="AD181" s="85"/>
      <c r="AE181" s="21" t="str">
        <f t="shared" si="166"/>
        <v>-</v>
      </c>
      <c r="AF181" s="21" t="str">
        <f t="shared" si="167"/>
        <v>-</v>
      </c>
      <c r="AG181" s="89" t="str">
        <f t="shared" ca="1" si="147"/>
        <v>-</v>
      </c>
      <c r="AH181" s="92">
        <v>1</v>
      </c>
      <c r="AI181" s="80" t="str">
        <f t="shared" ca="1" si="168"/>
        <v>-</v>
      </c>
      <c r="AJ181" s="80"/>
      <c r="AK181" s="168">
        <v>42793</v>
      </c>
      <c r="AL181" s="234" t="s">
        <v>1614</v>
      </c>
      <c r="AM181" s="22">
        <v>45</v>
      </c>
    </row>
    <row r="182" spans="1:39" s="2" customFormat="1" ht="15.95" customHeight="1" x14ac:dyDescent="0.25">
      <c r="A182" s="77">
        <v>180</v>
      </c>
      <c r="B182" s="84">
        <f t="shared" ca="1" si="94"/>
        <v>43134</v>
      </c>
      <c r="C182" s="29" t="s">
        <v>1554</v>
      </c>
      <c r="D182" s="59" t="s">
        <v>1555</v>
      </c>
      <c r="E182" s="22" t="s">
        <v>1557</v>
      </c>
      <c r="F182" s="27" t="s">
        <v>2431</v>
      </c>
      <c r="G182" s="27"/>
      <c r="H182" s="28" t="s">
        <v>603</v>
      </c>
      <c r="I182" s="20">
        <v>42789</v>
      </c>
      <c r="J182" s="35">
        <f t="shared" ca="1" si="159"/>
        <v>0.9452054794520548</v>
      </c>
      <c r="K182" s="60"/>
      <c r="L182" s="32"/>
      <c r="M182" s="82" t="str">
        <f t="shared" ca="1" si="158"/>
        <v>-</v>
      </c>
      <c r="N182" s="19"/>
      <c r="O182" s="68"/>
      <c r="P182" s="118"/>
      <c r="Q182" s="21"/>
      <c r="R182" s="20"/>
      <c r="S182" s="20" t="str">
        <f t="shared" si="160"/>
        <v>-</v>
      </c>
      <c r="T182" s="19" t="str">
        <f t="shared" ca="1" si="138"/>
        <v>-</v>
      </c>
      <c r="U182" s="3"/>
      <c r="V182" s="22" t="str">
        <f t="shared" si="161"/>
        <v>-</v>
      </c>
      <c r="W182" s="22"/>
      <c r="X182" s="22" t="str">
        <f t="shared" ca="1" si="162"/>
        <v>-</v>
      </c>
      <c r="Y182" s="20" t="str">
        <f t="shared" si="163"/>
        <v>-</v>
      </c>
      <c r="Z182" s="94" t="str">
        <f t="shared" si="142"/>
        <v>---------</v>
      </c>
      <c r="AA182" s="21"/>
      <c r="AB182" s="21" t="str">
        <f t="shared" si="164"/>
        <v>-</v>
      </c>
      <c r="AC182" s="21" t="str">
        <f t="shared" si="165"/>
        <v>-</v>
      </c>
      <c r="AD182" s="85"/>
      <c r="AE182" s="21" t="str">
        <f t="shared" si="166"/>
        <v>-</v>
      </c>
      <c r="AF182" s="21" t="str">
        <f t="shared" si="167"/>
        <v>-</v>
      </c>
      <c r="AG182" s="89" t="str">
        <f t="shared" ca="1" si="147"/>
        <v>-</v>
      </c>
      <c r="AH182" s="92">
        <v>1</v>
      </c>
      <c r="AI182" s="80" t="str">
        <f t="shared" ca="1" si="168"/>
        <v>-</v>
      </c>
      <c r="AJ182" s="80"/>
      <c r="AK182" s="168">
        <v>42793</v>
      </c>
      <c r="AL182" s="234" t="s">
        <v>1614</v>
      </c>
      <c r="AM182" s="22">
        <v>43</v>
      </c>
    </row>
    <row r="183" spans="1:39" s="1" customFormat="1" ht="15.95" customHeight="1" x14ac:dyDescent="0.25">
      <c r="A183" s="77">
        <v>181</v>
      </c>
      <c r="B183" s="84">
        <f t="shared" ca="1" si="94"/>
        <v>43134</v>
      </c>
      <c r="C183" s="29" t="s">
        <v>1554</v>
      </c>
      <c r="D183" s="59" t="s">
        <v>1555</v>
      </c>
      <c r="E183" s="22" t="s">
        <v>1557</v>
      </c>
      <c r="F183" s="27" t="s">
        <v>2436</v>
      </c>
      <c r="G183" s="27"/>
      <c r="H183" s="28" t="s">
        <v>603</v>
      </c>
      <c r="I183" s="20">
        <v>42791</v>
      </c>
      <c r="J183" s="35">
        <f t="shared" ca="1" si="159"/>
        <v>0.9397260273972603</v>
      </c>
      <c r="K183" s="60"/>
      <c r="L183" s="32"/>
      <c r="M183" s="82" t="str">
        <f t="shared" ca="1" si="158"/>
        <v>-</v>
      </c>
      <c r="N183" s="19"/>
      <c r="O183" s="68"/>
      <c r="P183" s="118"/>
      <c r="Q183" s="21"/>
      <c r="R183" s="20"/>
      <c r="S183" s="20" t="str">
        <f t="shared" si="160"/>
        <v>-</v>
      </c>
      <c r="T183" s="19" t="str">
        <f t="shared" ca="1" si="138"/>
        <v>-</v>
      </c>
      <c r="U183" s="3"/>
      <c r="V183" s="22" t="str">
        <f t="shared" si="161"/>
        <v>-</v>
      </c>
      <c r="W183" s="22"/>
      <c r="X183" s="22" t="str">
        <f t="shared" ca="1" si="162"/>
        <v>-</v>
      </c>
      <c r="Y183" s="20" t="str">
        <f t="shared" si="163"/>
        <v>-</v>
      </c>
      <c r="Z183" s="94" t="str">
        <f t="shared" si="142"/>
        <v>---------</v>
      </c>
      <c r="AA183" s="21"/>
      <c r="AB183" s="21" t="str">
        <f t="shared" si="164"/>
        <v>-</v>
      </c>
      <c r="AC183" s="21" t="str">
        <f t="shared" si="165"/>
        <v>-</v>
      </c>
      <c r="AD183" s="85"/>
      <c r="AE183" s="21" t="str">
        <f t="shared" si="166"/>
        <v>-</v>
      </c>
      <c r="AF183" s="21" t="str">
        <f t="shared" si="167"/>
        <v>-</v>
      </c>
      <c r="AG183" s="89" t="str">
        <f t="shared" ca="1" si="147"/>
        <v>-</v>
      </c>
      <c r="AH183" s="92">
        <v>1</v>
      </c>
      <c r="AI183" s="80" t="str">
        <f t="shared" ca="1" si="168"/>
        <v>-</v>
      </c>
      <c r="AJ183" s="80"/>
      <c r="AK183" s="350">
        <v>42795</v>
      </c>
      <c r="AL183" s="234" t="s">
        <v>1614</v>
      </c>
      <c r="AM183" s="22">
        <v>40</v>
      </c>
    </row>
    <row r="184" spans="1:39" s="1" customFormat="1" ht="15.95" customHeight="1" x14ac:dyDescent="0.25">
      <c r="A184" s="77">
        <v>182</v>
      </c>
      <c r="B184" s="84">
        <f t="shared" ca="1" si="94"/>
        <v>43134</v>
      </c>
      <c r="C184" s="29" t="s">
        <v>1554</v>
      </c>
      <c r="D184" s="59" t="s">
        <v>1555</v>
      </c>
      <c r="E184" s="22" t="s">
        <v>1557</v>
      </c>
      <c r="F184" s="27" t="s">
        <v>2450</v>
      </c>
      <c r="G184" s="27"/>
      <c r="H184" s="28" t="s">
        <v>603</v>
      </c>
      <c r="I184" s="20">
        <v>42793</v>
      </c>
      <c r="J184" s="35">
        <f t="shared" ca="1" si="159"/>
        <v>0.9342465753424658</v>
      </c>
      <c r="K184" s="60"/>
      <c r="L184" s="32"/>
      <c r="M184" s="82" t="str">
        <f t="shared" ca="1" si="158"/>
        <v>-</v>
      </c>
      <c r="N184" s="19"/>
      <c r="O184" s="68"/>
      <c r="P184" s="118"/>
      <c r="Q184" s="21"/>
      <c r="R184" s="20"/>
      <c r="S184" s="20" t="str">
        <f t="shared" si="160"/>
        <v>-</v>
      </c>
      <c r="T184" s="19" t="str">
        <f t="shared" ca="1" si="138"/>
        <v>-</v>
      </c>
      <c r="U184" s="3"/>
      <c r="V184" s="22" t="str">
        <f t="shared" si="161"/>
        <v>-</v>
      </c>
      <c r="W184" s="22"/>
      <c r="X184" s="22" t="str">
        <f t="shared" ca="1" si="162"/>
        <v>-</v>
      </c>
      <c r="Y184" s="20" t="str">
        <f t="shared" si="163"/>
        <v>-</v>
      </c>
      <c r="Z184" s="94" t="str">
        <f t="shared" si="142"/>
        <v>---------</v>
      </c>
      <c r="AA184" s="21"/>
      <c r="AB184" s="21" t="str">
        <f t="shared" si="164"/>
        <v>-</v>
      </c>
      <c r="AC184" s="21" t="str">
        <f t="shared" si="165"/>
        <v>-</v>
      </c>
      <c r="AD184" s="85"/>
      <c r="AE184" s="21" t="str">
        <f t="shared" si="166"/>
        <v>-</v>
      </c>
      <c r="AF184" s="21" t="str">
        <f t="shared" si="167"/>
        <v>-</v>
      </c>
      <c r="AG184" s="89" t="str">
        <f t="shared" ca="1" si="147"/>
        <v>-</v>
      </c>
      <c r="AH184" s="92">
        <v>1</v>
      </c>
      <c r="AI184" s="80" t="str">
        <f t="shared" ca="1" si="168"/>
        <v>-</v>
      </c>
      <c r="AJ184" s="80"/>
      <c r="AK184" s="350">
        <v>42795</v>
      </c>
      <c r="AL184" s="234" t="s">
        <v>1614</v>
      </c>
      <c r="AM184" s="22">
        <v>50</v>
      </c>
    </row>
    <row r="185" spans="1:39" s="1" customFormat="1" ht="15.95" customHeight="1" x14ac:dyDescent="0.25">
      <c r="A185" s="77">
        <v>183</v>
      </c>
      <c r="B185" s="84">
        <f t="shared" ca="1" si="94"/>
        <v>43134</v>
      </c>
      <c r="C185" s="29" t="s">
        <v>1554</v>
      </c>
      <c r="D185" s="59" t="s">
        <v>1555</v>
      </c>
      <c r="E185" s="22" t="s">
        <v>1557</v>
      </c>
      <c r="F185" s="27" t="s">
        <v>2453</v>
      </c>
      <c r="G185" s="27"/>
      <c r="H185" s="28" t="s">
        <v>603</v>
      </c>
      <c r="I185" s="20">
        <v>42793</v>
      </c>
      <c r="J185" s="35">
        <f t="shared" ca="1" si="159"/>
        <v>0.9342465753424658</v>
      </c>
      <c r="K185" s="60"/>
      <c r="L185" s="32"/>
      <c r="M185" s="82"/>
      <c r="N185" s="19"/>
      <c r="O185" s="68"/>
      <c r="P185" s="118"/>
      <c r="Q185" s="21"/>
      <c r="R185" s="20"/>
      <c r="S185" s="20" t="str">
        <f t="shared" si="160"/>
        <v>-</v>
      </c>
      <c r="T185" s="19" t="str">
        <f t="shared" ca="1" si="138"/>
        <v>-</v>
      </c>
      <c r="U185" s="3"/>
      <c r="V185" s="22" t="str">
        <f t="shared" si="161"/>
        <v>-</v>
      </c>
      <c r="W185" s="22"/>
      <c r="X185" s="22" t="str">
        <f t="shared" si="162"/>
        <v>-</v>
      </c>
      <c r="Y185" s="20" t="str">
        <f t="shared" si="163"/>
        <v>-</v>
      </c>
      <c r="Z185" s="94" t="str">
        <f t="shared" si="142"/>
        <v>---------</v>
      </c>
      <c r="AA185" s="21"/>
      <c r="AB185" s="21" t="str">
        <f t="shared" si="164"/>
        <v>-</v>
      </c>
      <c r="AC185" s="21" t="str">
        <f t="shared" si="165"/>
        <v>-</v>
      </c>
      <c r="AD185" s="85"/>
      <c r="AE185" s="21" t="str">
        <f t="shared" si="166"/>
        <v>-</v>
      </c>
      <c r="AF185" s="21" t="str">
        <f t="shared" si="167"/>
        <v>-</v>
      </c>
      <c r="AG185" s="89" t="str">
        <f t="shared" ca="1" si="147"/>
        <v>-</v>
      </c>
      <c r="AH185" s="92"/>
      <c r="AI185" s="80" t="str">
        <f t="shared" si="168"/>
        <v>-</v>
      </c>
      <c r="AJ185" s="80"/>
      <c r="AK185" s="350">
        <v>42795</v>
      </c>
      <c r="AL185" s="234" t="s">
        <v>1614</v>
      </c>
      <c r="AM185" s="22">
        <v>47</v>
      </c>
    </row>
    <row r="186" spans="1:39" s="2" customFormat="1" ht="15.95" customHeight="1" x14ac:dyDescent="0.25">
      <c r="A186" s="77">
        <v>184</v>
      </c>
      <c r="B186" s="84">
        <f t="shared" ca="1" si="94"/>
        <v>43134</v>
      </c>
      <c r="C186" s="29" t="s">
        <v>1554</v>
      </c>
      <c r="D186" s="59" t="s">
        <v>1555</v>
      </c>
      <c r="E186" s="22" t="s">
        <v>1557</v>
      </c>
      <c r="F186" s="27" t="s">
        <v>2429</v>
      </c>
      <c r="G186" s="27"/>
      <c r="H186" s="28" t="s">
        <v>603</v>
      </c>
      <c r="I186" s="20">
        <v>42788</v>
      </c>
      <c r="J186" s="35">
        <f t="shared" ca="1" si="159"/>
        <v>0.94794520547945205</v>
      </c>
      <c r="K186" s="60"/>
      <c r="L186" s="32"/>
      <c r="M186" s="82" t="str">
        <f ca="1">IF(AND(B186&gt;0,L186&gt;0),B186-L186,"-")</f>
        <v>-</v>
      </c>
      <c r="N186" s="19"/>
      <c r="O186" s="68"/>
      <c r="P186" s="118"/>
      <c r="Q186" s="21"/>
      <c r="R186" s="20"/>
      <c r="S186" s="20" t="str">
        <f>IF(AND(W186&gt;1,R186&gt;0),R186+18,"-")</f>
        <v>-</v>
      </c>
      <c r="T186" s="19" t="str">
        <f t="shared" ca="1" si="138"/>
        <v>-</v>
      </c>
      <c r="U186" s="3"/>
      <c r="V186" s="22" t="str">
        <f>IF(AND(L186&gt;0,R186&gt;0),R186-L186,"-")</f>
        <v>-</v>
      </c>
      <c r="W186" s="22"/>
      <c r="X186" s="22" t="str">
        <f ca="1">IF(AND(M186&gt;140,W186=0,L186&gt;0),"яловая","-")</f>
        <v>-</v>
      </c>
      <c r="Y186" s="20" t="str">
        <f>IF(AND(R186&gt;0,OR(W186=3,W186=2)),R186+35,"-")</f>
        <v>-</v>
      </c>
      <c r="Z186" s="94" t="str">
        <f t="shared" si="142"/>
        <v>---------</v>
      </c>
      <c r="AA186" s="21"/>
      <c r="AB186" s="21" t="str">
        <f>IF(AND($R186&gt;0,$L186&gt;0,$W186=1),$R186+280-90,"-")</f>
        <v>-</v>
      </c>
      <c r="AC186" s="21" t="str">
        <f>IF(AND(R186&gt;0,W186=1,L186&gt;0),R186+280-60,"-")</f>
        <v>-</v>
      </c>
      <c r="AD186" s="85"/>
      <c r="AE186" s="21" t="str">
        <f>IF(AND($R186&gt;0,$W186=1),$R186+280-21,"-")</f>
        <v>-</v>
      </c>
      <c r="AF186" s="21" t="str">
        <f>IF(AND(R186&gt;0,W186=1),R186+280,"-")</f>
        <v>-</v>
      </c>
      <c r="AG186" s="89" t="str">
        <f t="shared" ca="1" si="147"/>
        <v>-</v>
      </c>
      <c r="AH186" s="92">
        <v>1</v>
      </c>
      <c r="AI186" s="80" t="str">
        <f ca="1">IF(AND(X186="яловая",M186&gt;300),"БРАК","-")</f>
        <v>-</v>
      </c>
      <c r="AJ186" s="80"/>
      <c r="AK186" s="350">
        <v>42797</v>
      </c>
      <c r="AL186" s="234" t="s">
        <v>2459</v>
      </c>
      <c r="AM186" s="22">
        <v>45</v>
      </c>
    </row>
    <row r="187" spans="1:39" s="2" customFormat="1" ht="15.95" customHeight="1" x14ac:dyDescent="0.25">
      <c r="A187" s="77">
        <v>185</v>
      </c>
      <c r="B187" s="84">
        <f t="shared" ca="1" si="94"/>
        <v>43134</v>
      </c>
      <c r="C187" s="29" t="s">
        <v>1554</v>
      </c>
      <c r="D187" s="59" t="s">
        <v>2236</v>
      </c>
      <c r="E187" s="22" t="s">
        <v>1557</v>
      </c>
      <c r="F187" s="27" t="s">
        <v>2237</v>
      </c>
      <c r="G187" s="27"/>
      <c r="H187" s="28" t="s">
        <v>603</v>
      </c>
      <c r="I187" s="20">
        <v>42407</v>
      </c>
      <c r="J187" s="35">
        <f t="shared" ca="1" si="159"/>
        <v>1.9917808219178081</v>
      </c>
      <c r="K187" s="60"/>
      <c r="L187" s="32"/>
      <c r="M187" s="82" t="str">
        <f ca="1">IF(AND(B187&gt;0,L187&gt;0),B187-L187,"-")</f>
        <v>-</v>
      </c>
      <c r="N187" s="19"/>
      <c r="O187" s="68"/>
      <c r="P187" s="118"/>
      <c r="Q187" s="21"/>
      <c r="R187" s="20"/>
      <c r="S187" s="20" t="str">
        <f>IF(AND(W187&gt;1,R187&gt;0),R187+18,"-")</f>
        <v>-</v>
      </c>
      <c r="T187" s="19" t="str">
        <f t="shared" ca="1" si="138"/>
        <v>-</v>
      </c>
      <c r="U187" s="3"/>
      <c r="V187" s="22" t="str">
        <f>IF(AND(L187&gt;0,R187&gt;0),R187-L187,"-")</f>
        <v>-</v>
      </c>
      <c r="W187" s="22"/>
      <c r="X187" s="22" t="str">
        <f ca="1">IF(AND(M187&gt;140,W187=0,L187&gt;0),"яловая","-")</f>
        <v>-</v>
      </c>
      <c r="Y187" s="20" t="str">
        <f>IF(AND(R187&gt;0,OR(W187=3,W187=2)),R187+35,"-")</f>
        <v>-</v>
      </c>
      <c r="Z187" s="94" t="str">
        <f t="shared" si="142"/>
        <v>---------</v>
      </c>
      <c r="AA187" s="21"/>
      <c r="AB187" s="21" t="str">
        <f>IF(AND($R187&gt;0,$L187&gt;0,$W187=1),$R187+280-90,"-")</f>
        <v>-</v>
      </c>
      <c r="AC187" s="21" t="str">
        <f>IF(AND(R187&gt;0,W187=1,L187&gt;0),R187+280-60,"-")</f>
        <v>-</v>
      </c>
      <c r="AD187" s="85"/>
      <c r="AE187" s="21" t="str">
        <f>IF(AND($R187&gt;0,$W187=1),$R187+280-21,"-")</f>
        <v>-</v>
      </c>
      <c r="AF187" s="21" t="str">
        <f>IF(AND(R187&gt;0,W187=1),R187+280,"-")</f>
        <v>-</v>
      </c>
      <c r="AG187" s="89" t="str">
        <f t="shared" ca="1" si="147"/>
        <v>-</v>
      </c>
      <c r="AH187" s="92">
        <v>1</v>
      </c>
      <c r="AI187" s="80" t="str">
        <f ca="1">IF(AND(X187="яловая",M187&gt;300),"БРАК","-")</f>
        <v>-</v>
      </c>
      <c r="AJ187" s="80"/>
      <c r="AK187" s="350">
        <v>42800</v>
      </c>
      <c r="AL187" s="234" t="s">
        <v>2223</v>
      </c>
      <c r="AM187" s="22" t="str">
        <f>IF(AND(L187&gt;0,R187&gt;0,U187&gt;0,W187=1,AA187&gt;0,AD187&gt;0),"DRY COW","-")</f>
        <v>-</v>
      </c>
    </row>
    <row r="188" spans="1:39" s="1" customFormat="1" ht="15.95" customHeight="1" x14ac:dyDescent="0.25">
      <c r="A188" s="77">
        <v>186</v>
      </c>
      <c r="B188" s="84">
        <f t="shared" ca="1" si="94"/>
        <v>43134</v>
      </c>
      <c r="C188" s="29" t="s">
        <v>1554</v>
      </c>
      <c r="D188" s="59" t="s">
        <v>1555</v>
      </c>
      <c r="E188" s="22" t="s">
        <v>1557</v>
      </c>
      <c r="F188" s="27" t="s">
        <v>2466</v>
      </c>
      <c r="G188" s="27"/>
      <c r="H188" s="28" t="s">
        <v>603</v>
      </c>
      <c r="I188" s="20">
        <v>42799</v>
      </c>
      <c r="J188" s="35">
        <f t="shared" ca="1" si="159"/>
        <v>0.9178082191780822</v>
      </c>
      <c r="K188" s="60"/>
      <c r="L188" s="32"/>
      <c r="M188" s="82" t="str">
        <f ca="1">IF(AND(B188&gt;0,L188&gt;0),B188-L188,"-")</f>
        <v>-</v>
      </c>
      <c r="N188" s="19"/>
      <c r="O188" s="68"/>
      <c r="P188" s="118"/>
      <c r="Q188" s="21"/>
      <c r="R188" s="20"/>
      <c r="S188" s="20" t="str">
        <f t="shared" ref="S188:S191" si="169">IF(AND(W188&gt;1,R188&gt;0),R188+18,"-")</f>
        <v>-</v>
      </c>
      <c r="T188" s="19" t="str">
        <f t="shared" ca="1" si="138"/>
        <v>-</v>
      </c>
      <c r="U188" s="3"/>
      <c r="V188" s="22" t="str">
        <f t="shared" ref="V188:V191" si="170">IF(AND(L188&gt;0,R188&gt;0),R188-L188,"-")</f>
        <v>-</v>
      </c>
      <c r="W188" s="22"/>
      <c r="X188" s="22" t="str">
        <f t="shared" ref="X188:X191" ca="1" si="171">IF(AND(M188&gt;140,W188=0,L188&gt;0),"яловая","-")</f>
        <v>-</v>
      </c>
      <c r="Y188" s="20" t="str">
        <f t="shared" ref="Y188:Y191" si="172">IF(AND(R188&gt;0,OR(W188=3,W188=2)),R188+35,"-")</f>
        <v>-</v>
      </c>
      <c r="Z188" s="94" t="str">
        <f t="shared" si="142"/>
        <v>---------</v>
      </c>
      <c r="AA188" s="21"/>
      <c r="AB188" s="21" t="str">
        <f t="shared" ref="AB188:AB191" si="173">IF(AND($R188&gt;0,$L188&gt;0,$W188=1),$R188+280-90,"-")</f>
        <v>-</v>
      </c>
      <c r="AC188" s="21" t="str">
        <f t="shared" ref="AC188:AC191" si="174">IF(AND(R188&gt;0,W188=1,L188&gt;0),R188+280-60,"-")</f>
        <v>-</v>
      </c>
      <c r="AD188" s="85"/>
      <c r="AE188" s="21" t="str">
        <f t="shared" ref="AE188:AE191" si="175">IF(AND($R188&gt;0,$W188=1),$R188+280-21,"-")</f>
        <v>-</v>
      </c>
      <c r="AF188" s="21" t="str">
        <f t="shared" ref="AF188:AF191" si="176">IF(AND(R188&gt;0,W188=1),R188+280,"-")</f>
        <v>-</v>
      </c>
      <c r="AG188" s="89" t="str">
        <f t="shared" ca="1" si="147"/>
        <v>-</v>
      </c>
      <c r="AH188" s="92">
        <v>1</v>
      </c>
      <c r="AI188" s="80" t="str">
        <f t="shared" ref="AI188:AI191" ca="1" si="177">IF(AND(X188="яловая",M188&gt;300),"БРАК","-")</f>
        <v>-</v>
      </c>
      <c r="AJ188" s="80"/>
      <c r="AK188" s="350">
        <v>42803</v>
      </c>
      <c r="AL188" s="234" t="s">
        <v>1614</v>
      </c>
      <c r="AM188" s="22">
        <v>42</v>
      </c>
    </row>
    <row r="189" spans="1:39" s="1" customFormat="1" ht="15.95" customHeight="1" x14ac:dyDescent="0.25">
      <c r="A189" s="77">
        <v>187</v>
      </c>
      <c r="B189" s="84">
        <f t="shared" ca="1" si="94"/>
        <v>43134</v>
      </c>
      <c r="C189" s="29" t="s">
        <v>1554</v>
      </c>
      <c r="D189" s="59" t="s">
        <v>1555</v>
      </c>
      <c r="E189" s="22" t="s">
        <v>1557</v>
      </c>
      <c r="F189" s="27" t="s">
        <v>2468</v>
      </c>
      <c r="G189" s="27"/>
      <c r="H189" s="28" t="s">
        <v>603</v>
      </c>
      <c r="I189" s="20">
        <v>42800</v>
      </c>
      <c r="J189" s="35">
        <f t="shared" ca="1" si="159"/>
        <v>0.91506849315068495</v>
      </c>
      <c r="K189" s="60"/>
      <c r="L189" s="32"/>
      <c r="M189" s="82" t="str">
        <f ca="1">IF(AND(B189&gt;0,L189&gt;0),B189-L189,"-")</f>
        <v>-</v>
      </c>
      <c r="N189" s="19"/>
      <c r="O189" s="68"/>
      <c r="P189" s="118"/>
      <c r="Q189" s="21"/>
      <c r="R189" s="20"/>
      <c r="S189" s="20" t="str">
        <f t="shared" si="169"/>
        <v>-</v>
      </c>
      <c r="T189" s="19" t="str">
        <f t="shared" ca="1" si="138"/>
        <v>-</v>
      </c>
      <c r="U189" s="3"/>
      <c r="V189" s="22" t="str">
        <f t="shared" si="170"/>
        <v>-</v>
      </c>
      <c r="W189" s="22"/>
      <c r="X189" s="22" t="str">
        <f t="shared" ca="1" si="171"/>
        <v>-</v>
      </c>
      <c r="Y189" s="20" t="str">
        <f t="shared" si="172"/>
        <v>-</v>
      </c>
      <c r="Z189" s="94" t="str">
        <f t="shared" si="142"/>
        <v>---------</v>
      </c>
      <c r="AA189" s="21"/>
      <c r="AB189" s="21" t="str">
        <f t="shared" si="173"/>
        <v>-</v>
      </c>
      <c r="AC189" s="21" t="str">
        <f t="shared" si="174"/>
        <v>-</v>
      </c>
      <c r="AD189" s="85"/>
      <c r="AE189" s="21" t="str">
        <f t="shared" si="175"/>
        <v>-</v>
      </c>
      <c r="AF189" s="21" t="str">
        <f t="shared" si="176"/>
        <v>-</v>
      </c>
      <c r="AG189" s="89" t="str">
        <f t="shared" ca="1" si="147"/>
        <v>-</v>
      </c>
      <c r="AH189" s="92">
        <v>1</v>
      </c>
      <c r="AI189" s="80" t="str">
        <f t="shared" ca="1" si="177"/>
        <v>-</v>
      </c>
      <c r="AJ189" s="80"/>
      <c r="AK189" s="350">
        <v>42803</v>
      </c>
      <c r="AL189" s="234" t="s">
        <v>1614</v>
      </c>
      <c r="AM189" s="22">
        <v>45</v>
      </c>
    </row>
    <row r="190" spans="1:39" s="1" customFormat="1" ht="15.95" customHeight="1" x14ac:dyDescent="0.25">
      <c r="A190" s="77">
        <v>188</v>
      </c>
      <c r="B190" s="84">
        <f t="shared" ca="1" si="94"/>
        <v>43134</v>
      </c>
      <c r="C190" s="29" t="s">
        <v>1554</v>
      </c>
      <c r="D190" s="59" t="s">
        <v>1555</v>
      </c>
      <c r="E190" s="22" t="s">
        <v>1557</v>
      </c>
      <c r="F190" s="27" t="s">
        <v>2469</v>
      </c>
      <c r="G190" s="27"/>
      <c r="H190" s="28" t="s">
        <v>603</v>
      </c>
      <c r="I190" s="20">
        <v>42800</v>
      </c>
      <c r="J190" s="35">
        <f t="shared" ca="1" si="159"/>
        <v>0.91506849315068495</v>
      </c>
      <c r="K190" s="60"/>
      <c r="L190" s="32"/>
      <c r="M190" s="82"/>
      <c r="N190" s="19"/>
      <c r="O190" s="68"/>
      <c r="P190" s="118"/>
      <c r="Q190" s="21"/>
      <c r="R190" s="20"/>
      <c r="S190" s="20" t="str">
        <f t="shared" si="169"/>
        <v>-</v>
      </c>
      <c r="T190" s="19" t="str">
        <f t="shared" ca="1" si="138"/>
        <v>-</v>
      </c>
      <c r="U190" s="3"/>
      <c r="V190" s="22" t="str">
        <f t="shared" si="170"/>
        <v>-</v>
      </c>
      <c r="W190" s="22"/>
      <c r="X190" s="22" t="str">
        <f t="shared" si="171"/>
        <v>-</v>
      </c>
      <c r="Y190" s="20" t="str">
        <f t="shared" si="172"/>
        <v>-</v>
      </c>
      <c r="Z190" s="94" t="str">
        <f t="shared" si="142"/>
        <v>---------</v>
      </c>
      <c r="AA190" s="21"/>
      <c r="AB190" s="21" t="str">
        <f t="shared" si="173"/>
        <v>-</v>
      </c>
      <c r="AC190" s="21" t="str">
        <f t="shared" si="174"/>
        <v>-</v>
      </c>
      <c r="AD190" s="85"/>
      <c r="AE190" s="21" t="str">
        <f t="shared" si="175"/>
        <v>-</v>
      </c>
      <c r="AF190" s="21" t="str">
        <f t="shared" si="176"/>
        <v>-</v>
      </c>
      <c r="AG190" s="89" t="str">
        <f t="shared" ca="1" si="147"/>
        <v>-</v>
      </c>
      <c r="AH190" s="92"/>
      <c r="AI190" s="80" t="str">
        <f t="shared" si="177"/>
        <v>-</v>
      </c>
      <c r="AJ190" s="80"/>
      <c r="AK190" s="350">
        <v>42804</v>
      </c>
      <c r="AL190" s="234" t="s">
        <v>1614</v>
      </c>
      <c r="AM190" s="22">
        <v>45</v>
      </c>
    </row>
    <row r="191" spans="1:39" s="1" customFormat="1" ht="15.95" customHeight="1" x14ac:dyDescent="0.25">
      <c r="A191" s="77">
        <v>189</v>
      </c>
      <c r="B191" s="84">
        <f t="shared" ca="1" si="94"/>
        <v>43134</v>
      </c>
      <c r="C191" s="29" t="s">
        <v>1554</v>
      </c>
      <c r="D191" s="59" t="s">
        <v>1555</v>
      </c>
      <c r="E191" s="22" t="s">
        <v>1557</v>
      </c>
      <c r="F191" s="27" t="s">
        <v>2471</v>
      </c>
      <c r="G191" s="27"/>
      <c r="H191" s="28" t="s">
        <v>603</v>
      </c>
      <c r="I191" s="20">
        <v>42801</v>
      </c>
      <c r="J191" s="35">
        <f t="shared" ca="1" si="159"/>
        <v>0.9123287671232877</v>
      </c>
      <c r="K191" s="60"/>
      <c r="L191" s="32"/>
      <c r="M191" s="82"/>
      <c r="N191" s="19"/>
      <c r="O191" s="68"/>
      <c r="P191" s="118"/>
      <c r="Q191" s="21"/>
      <c r="R191" s="20"/>
      <c r="S191" s="20" t="str">
        <f t="shared" si="169"/>
        <v>-</v>
      </c>
      <c r="T191" s="19" t="str">
        <f t="shared" ca="1" si="138"/>
        <v>-</v>
      </c>
      <c r="U191" s="3"/>
      <c r="V191" s="22" t="str">
        <f t="shared" si="170"/>
        <v>-</v>
      </c>
      <c r="W191" s="22"/>
      <c r="X191" s="22" t="str">
        <f t="shared" si="171"/>
        <v>-</v>
      </c>
      <c r="Y191" s="20" t="str">
        <f t="shared" si="172"/>
        <v>-</v>
      </c>
      <c r="Z191" s="94" t="str">
        <f t="shared" si="142"/>
        <v>---------</v>
      </c>
      <c r="AA191" s="21"/>
      <c r="AB191" s="21" t="str">
        <f t="shared" si="173"/>
        <v>-</v>
      </c>
      <c r="AC191" s="21" t="str">
        <f t="shared" si="174"/>
        <v>-</v>
      </c>
      <c r="AD191" s="85"/>
      <c r="AE191" s="21" t="str">
        <f t="shared" si="175"/>
        <v>-</v>
      </c>
      <c r="AF191" s="21" t="str">
        <f t="shared" si="176"/>
        <v>-</v>
      </c>
      <c r="AG191" s="89" t="str">
        <f t="shared" ca="1" si="147"/>
        <v>-</v>
      </c>
      <c r="AH191" s="92"/>
      <c r="AI191" s="80" t="str">
        <f t="shared" si="177"/>
        <v>-</v>
      </c>
      <c r="AJ191" s="80"/>
      <c r="AK191" s="350">
        <v>42804</v>
      </c>
      <c r="AL191" s="234" t="s">
        <v>1614</v>
      </c>
      <c r="AM191" s="22">
        <v>48</v>
      </c>
    </row>
    <row r="192" spans="1:39" s="1" customFormat="1" ht="15.95" customHeight="1" x14ac:dyDescent="0.25">
      <c r="A192" s="77">
        <v>190</v>
      </c>
      <c r="B192" s="84">
        <f t="shared" ca="1" si="94"/>
        <v>43134</v>
      </c>
      <c r="C192" s="179" t="s">
        <v>1554</v>
      </c>
      <c r="D192" s="59" t="s">
        <v>1555</v>
      </c>
      <c r="E192" s="22" t="s">
        <v>1557</v>
      </c>
      <c r="F192" s="27" t="s">
        <v>2473</v>
      </c>
      <c r="G192" s="27"/>
      <c r="H192" s="28" t="s">
        <v>603</v>
      </c>
      <c r="I192" s="20">
        <v>42802</v>
      </c>
      <c r="J192" s="35">
        <f t="shared" ca="1" si="159"/>
        <v>0.90958904109589045</v>
      </c>
      <c r="K192" s="60"/>
      <c r="L192" s="32"/>
      <c r="M192" s="82"/>
      <c r="N192" s="19"/>
      <c r="O192" s="68"/>
      <c r="P192" s="118"/>
      <c r="Q192" s="21"/>
      <c r="R192" s="20"/>
      <c r="S192" s="20"/>
      <c r="T192" s="19"/>
      <c r="U192" s="3"/>
      <c r="V192" s="22"/>
      <c r="W192" s="22"/>
      <c r="X192" s="22"/>
      <c r="Y192" s="20"/>
      <c r="Z192" s="94"/>
      <c r="AA192" s="21"/>
      <c r="AB192" s="21"/>
      <c r="AC192" s="21"/>
      <c r="AD192" s="85"/>
      <c r="AE192" s="21"/>
      <c r="AF192" s="21"/>
      <c r="AG192" s="89"/>
      <c r="AH192" s="92"/>
      <c r="AI192" s="80"/>
      <c r="AJ192" s="80"/>
      <c r="AK192" s="350">
        <v>42804</v>
      </c>
      <c r="AL192" s="234" t="s">
        <v>1614</v>
      </c>
      <c r="AM192" s="22">
        <v>42</v>
      </c>
    </row>
    <row r="193" spans="1:39" s="1" customFormat="1" ht="15.75" x14ac:dyDescent="0.25">
      <c r="A193" s="77">
        <v>191</v>
      </c>
      <c r="B193" s="84">
        <f t="shared" ca="1" si="94"/>
        <v>43134</v>
      </c>
      <c r="C193" s="179" t="s">
        <v>1554</v>
      </c>
      <c r="D193" s="59" t="s">
        <v>1041</v>
      </c>
      <c r="E193" s="22" t="s">
        <v>1529</v>
      </c>
      <c r="F193" s="27" t="s">
        <v>1514</v>
      </c>
      <c r="G193" s="27"/>
      <c r="H193" s="28" t="s">
        <v>603</v>
      </c>
      <c r="I193" s="20">
        <v>42226</v>
      </c>
      <c r="J193" s="35">
        <f t="shared" ca="1" si="159"/>
        <v>2.4876712328767123</v>
      </c>
      <c r="K193" s="60"/>
      <c r="L193" s="32"/>
      <c r="M193" s="82" t="str">
        <f ca="1">IF(AND(B193&gt;0,L193&gt;0),B193-L193,"-")</f>
        <v>-</v>
      </c>
      <c r="N193" s="19"/>
      <c r="O193" s="68"/>
      <c r="P193" s="118"/>
      <c r="Q193" s="21"/>
      <c r="R193" s="20"/>
      <c r="S193" s="20" t="str">
        <f>IF(AND(W193&gt;1,R193&gt;0),R193+18,"-")</f>
        <v>-</v>
      </c>
      <c r="T193" s="19" t="str">
        <f ca="1">IF(AND(S193&gt;0,B193&gt;0,W193&gt;1),B193-S193,"-")</f>
        <v>-</v>
      </c>
      <c r="U193" s="3">
        <v>0</v>
      </c>
      <c r="V193" s="22" t="str">
        <f>IF(AND(L193&gt;0,R193&gt;0),R193-L193,"-")</f>
        <v>-</v>
      </c>
      <c r="W193" s="22">
        <v>0</v>
      </c>
      <c r="X193" s="22" t="str">
        <f ca="1">IF(AND(M193&gt;140,W193=0,L193&gt;0),"яловая","-")</f>
        <v>-</v>
      </c>
      <c r="Y193" s="20" t="str">
        <f>IF(AND(R193&gt;0,OR(W193=3,W193=2)),R193+35,"-")</f>
        <v>-</v>
      </c>
      <c r="Z193" s="94" t="str">
        <f>IF(AND(R193&gt;0,U193&gt;0,O193&gt;0,OR(W193=3,W193=2)),B193-Y193,"---------")</f>
        <v>---------</v>
      </c>
      <c r="AA193" s="21"/>
      <c r="AB193" s="21" t="str">
        <f>IF(AND($R193&gt;0,$L193&gt;0,$W193=1),$R193+280-90,"-")</f>
        <v>-</v>
      </c>
      <c r="AC193" s="21" t="str">
        <f>IF(AND(R193&gt;0,W193=1,L193&gt;0),R193+280-60,"-")</f>
        <v>-</v>
      </c>
      <c r="AD193" s="85"/>
      <c r="AE193" s="21" t="str">
        <f>IF(AND($R193&gt;0,$W193=1),$R193+280-21,"-")</f>
        <v>-</v>
      </c>
      <c r="AF193" s="21" t="str">
        <f>IF(AND(R193&gt;0,W193=1),R193+280,"-")</f>
        <v>-</v>
      </c>
      <c r="AG193" s="89" t="str">
        <f ca="1">IF(AND(B193&gt;0,AF193&gt;0,AA193&gt;0,W193=1),B193-AF193,"-")</f>
        <v>-</v>
      </c>
      <c r="AH193" s="92">
        <v>1</v>
      </c>
      <c r="AI193" s="80" t="str">
        <f ca="1">IF(AND(X193="яловая",M193&gt;300),"БРАК","-")</f>
        <v>-</v>
      </c>
      <c r="AJ193" s="80"/>
      <c r="AK193" s="350"/>
      <c r="AL193" s="234" t="s">
        <v>2494</v>
      </c>
      <c r="AM193" s="22" t="str">
        <f>IF(AND(L193&gt;0,R193&gt;0,U193&gt;0,W193=1,AA193&gt;0,AD193&gt;0),"DRY COW","-")</f>
        <v>-</v>
      </c>
    </row>
    <row r="194" spans="1:39" s="1" customFormat="1" ht="15.95" customHeight="1" x14ac:dyDescent="0.25">
      <c r="A194" s="77">
        <v>192</v>
      </c>
      <c r="B194" s="84">
        <f t="shared" ca="1" si="94"/>
        <v>43134</v>
      </c>
      <c r="C194" s="29" t="s">
        <v>1554</v>
      </c>
      <c r="D194" s="210" t="s">
        <v>1635</v>
      </c>
      <c r="E194" s="22" t="s">
        <v>1557</v>
      </c>
      <c r="F194" s="27" t="s">
        <v>2352</v>
      </c>
      <c r="G194" s="27"/>
      <c r="H194" s="28" t="s">
        <v>603</v>
      </c>
      <c r="I194" s="20">
        <v>42735</v>
      </c>
      <c r="J194" s="35">
        <f t="shared" ca="1" si="159"/>
        <v>1.0931506849315069</v>
      </c>
      <c r="K194" s="60"/>
      <c r="L194" s="32"/>
      <c r="M194" s="82" t="str">
        <f ca="1">IF(AND(B194&gt;0,L194&gt;0),B194-L194,"-")</f>
        <v>-</v>
      </c>
      <c r="N194" s="19"/>
      <c r="O194" s="68"/>
      <c r="P194" s="118"/>
      <c r="Q194" s="21"/>
      <c r="R194" s="20"/>
      <c r="S194" s="20" t="str">
        <f>IF(AND(W194&gt;1,R194&gt;0),R194+18,"-")</f>
        <v>-</v>
      </c>
      <c r="T194" s="19" t="str">
        <f ca="1">IF(AND(S194&gt;0,B194&gt;0,W194&gt;1),B194-S194,"-")</f>
        <v>-</v>
      </c>
      <c r="U194" s="3"/>
      <c r="V194" s="22" t="str">
        <f>IF(AND(L194&gt;0,R194&gt;0),R194-L194,"-")</f>
        <v>-</v>
      </c>
      <c r="W194" s="22"/>
      <c r="X194" s="22" t="str">
        <f ca="1">IF(AND(M194&gt;140,W194=0,L194&gt;0),"яловая","-")</f>
        <v>-</v>
      </c>
      <c r="Y194" s="20" t="str">
        <f>IF(AND(R194&gt;0,OR(W194=3,W194=2)),R194+35,"-")</f>
        <v>-</v>
      </c>
      <c r="Z194" s="94" t="str">
        <f>IF(AND(R194&gt;0,U194&gt;0,O194&gt;0,OR(W194=3,W194=2)),B194-Y194,"---------")</f>
        <v>---------</v>
      </c>
      <c r="AA194" s="21"/>
      <c r="AB194" s="21" t="str">
        <f>IF(AND($R194&gt;0,$L194&gt;0,$W194=1),$R194+280-90,"-")</f>
        <v>-</v>
      </c>
      <c r="AC194" s="21" t="str">
        <f>IF(AND(R194&gt;0,W194=1,L194&gt;0),R194+280-60,"-")</f>
        <v>-</v>
      </c>
      <c r="AD194" s="85"/>
      <c r="AE194" s="21" t="str">
        <f>IF(AND($R194&gt;0,$W194=1),$R194+280-21,"-")</f>
        <v>-</v>
      </c>
      <c r="AF194" s="21" t="str">
        <f>IF(AND(R194&gt;0,W194=1),R194+280,"-")</f>
        <v>-</v>
      </c>
      <c r="AG194" s="89" t="str">
        <f ca="1">IF(AND(B194&gt;0,AF194&gt;0,AA194&gt;0,W194=1),B194-AF194,"-")</f>
        <v>-</v>
      </c>
      <c r="AH194" s="92">
        <v>1</v>
      </c>
      <c r="AI194" s="80" t="str">
        <f ca="1">IF(AND(X194="яловая",M194&gt;300),"БРАК","-")</f>
        <v>-</v>
      </c>
      <c r="AJ194" s="80"/>
      <c r="AK194" s="350">
        <v>42807</v>
      </c>
      <c r="AL194" s="234" t="s">
        <v>1614</v>
      </c>
      <c r="AM194" s="22" t="str">
        <f>IF(AND(L194&gt;0,R194&gt;0,U194&gt;0,W194=1,AA194&gt;0,AD194&gt;0),"DRY COW","-")</f>
        <v>-</v>
      </c>
    </row>
    <row r="195" spans="1:39" s="1" customFormat="1" ht="15.95" customHeight="1" x14ac:dyDescent="0.25">
      <c r="A195" s="77">
        <v>193</v>
      </c>
      <c r="B195" s="84">
        <f t="shared" ref="B195:B258" ca="1" si="178">TODAY()</f>
        <v>43134</v>
      </c>
      <c r="C195" s="179" t="s">
        <v>1554</v>
      </c>
      <c r="D195" s="59" t="s">
        <v>1555</v>
      </c>
      <c r="E195" s="22" t="s">
        <v>1557</v>
      </c>
      <c r="F195" s="27" t="s">
        <v>2476</v>
      </c>
      <c r="G195" s="27"/>
      <c r="H195" s="28" t="s">
        <v>603</v>
      </c>
      <c r="I195" s="20">
        <v>42803</v>
      </c>
      <c r="J195" s="35">
        <f t="shared" ca="1" si="159"/>
        <v>0.9068493150684932</v>
      </c>
      <c r="K195" s="60"/>
      <c r="L195" s="32"/>
      <c r="M195" s="82"/>
      <c r="N195" s="19"/>
      <c r="O195" s="68"/>
      <c r="P195" s="118"/>
      <c r="Q195" s="21"/>
      <c r="R195" s="20"/>
      <c r="S195" s="20"/>
      <c r="T195" s="19"/>
      <c r="U195" s="3"/>
      <c r="V195" s="22"/>
      <c r="W195" s="22"/>
      <c r="X195" s="22"/>
      <c r="Y195" s="20"/>
      <c r="Z195" s="94"/>
      <c r="AA195" s="21"/>
      <c r="AB195" s="21"/>
      <c r="AC195" s="21"/>
      <c r="AD195" s="85"/>
      <c r="AE195" s="21"/>
      <c r="AF195" s="21"/>
      <c r="AG195" s="89"/>
      <c r="AH195" s="92"/>
      <c r="AI195" s="80"/>
      <c r="AJ195" s="80"/>
      <c r="AK195" s="350">
        <v>42807</v>
      </c>
      <c r="AL195" s="234" t="s">
        <v>1614</v>
      </c>
      <c r="AM195" s="22">
        <v>41</v>
      </c>
    </row>
    <row r="196" spans="1:39" s="1" customFormat="1" ht="15.95" customHeight="1" x14ac:dyDescent="0.25">
      <c r="A196" s="77">
        <v>194</v>
      </c>
      <c r="B196" s="84">
        <f t="shared" ca="1" si="178"/>
        <v>43134</v>
      </c>
      <c r="C196" s="29" t="s">
        <v>1554</v>
      </c>
      <c r="D196" s="59" t="s">
        <v>1555</v>
      </c>
      <c r="E196" s="22" t="s">
        <v>1557</v>
      </c>
      <c r="F196" s="27" t="s">
        <v>2455</v>
      </c>
      <c r="G196" s="27"/>
      <c r="H196" s="28" t="s">
        <v>603</v>
      </c>
      <c r="I196" s="20">
        <v>42795</v>
      </c>
      <c r="J196" s="35">
        <f t="shared" ca="1" si="159"/>
        <v>0.92876712328767119</v>
      </c>
      <c r="K196" s="60"/>
      <c r="L196" s="32"/>
      <c r="M196" s="82" t="str">
        <f ca="1">IF(AND(B196&gt;0,L196&gt;0),B196-L196,"-")</f>
        <v>-</v>
      </c>
      <c r="N196" s="19"/>
      <c r="O196" s="68"/>
      <c r="P196" s="118"/>
      <c r="Q196" s="21"/>
      <c r="R196" s="20"/>
      <c r="S196" s="20" t="str">
        <f>IF(AND(W196&gt;1,R196&gt;0),R196+18,"-")</f>
        <v>-</v>
      </c>
      <c r="T196" s="19" t="str">
        <f ca="1">IF(AND(S196&gt;0,B196&gt;0,W196&gt;1),B196-S196,"-")</f>
        <v>-</v>
      </c>
      <c r="U196" s="3"/>
      <c r="V196" s="22" t="str">
        <f>IF(AND(L196&gt;0,R196&gt;0),R196-L196,"-")</f>
        <v>-</v>
      </c>
      <c r="W196" s="22"/>
      <c r="X196" s="22" t="str">
        <f ca="1">IF(AND(M196&gt;140,W196=0,L196&gt;0),"яловая","-")</f>
        <v>-</v>
      </c>
      <c r="Y196" s="20" t="str">
        <f>IF(AND(R196&gt;0,OR(W196=3,W196=2)),R196+35,"-")</f>
        <v>-</v>
      </c>
      <c r="Z196" s="94" t="str">
        <f>IF(AND(R196&gt;0,U196&gt;0,O196&gt;0,OR(W196=3,W196=2)),B196-Y196,"---------")</f>
        <v>---------</v>
      </c>
      <c r="AA196" s="21"/>
      <c r="AB196" s="21" t="str">
        <f>IF(AND($R196&gt;0,$L196&gt;0,$W196=1),$R196+280-90,"-")</f>
        <v>-</v>
      </c>
      <c r="AC196" s="21" t="str">
        <f>IF(AND(R196&gt;0,W196=1,L196&gt;0),R196+280-60,"-")</f>
        <v>-</v>
      </c>
      <c r="AD196" s="85"/>
      <c r="AE196" s="21" t="str">
        <f>IF(AND($R196&gt;0,$W196=1),$R196+280-21,"-")</f>
        <v>-</v>
      </c>
      <c r="AF196" s="21" t="str">
        <f>IF(AND(R196&gt;0,W196=1),R196+280,"-")</f>
        <v>-</v>
      </c>
      <c r="AG196" s="89" t="str">
        <f ca="1">IF(AND(B196&gt;0,AF196&gt;0,AA196&gt;0,W196=1),B196-AF196,"-")</f>
        <v>-</v>
      </c>
      <c r="AH196" s="92">
        <v>1</v>
      </c>
      <c r="AI196" s="80" t="str">
        <f ca="1">IF(AND(X196="яловая",M196&gt;300),"БРАК","-")</f>
        <v>-</v>
      </c>
      <c r="AJ196" s="80"/>
      <c r="AK196" s="350">
        <v>42808</v>
      </c>
      <c r="AL196" s="234" t="s">
        <v>1614</v>
      </c>
      <c r="AM196" s="22">
        <v>42</v>
      </c>
    </row>
    <row r="197" spans="1:39" s="1" customFormat="1" ht="15.95" customHeight="1" x14ac:dyDescent="0.25">
      <c r="A197" s="77">
        <v>195</v>
      </c>
      <c r="B197" s="84">
        <f t="shared" ca="1" si="178"/>
        <v>43134</v>
      </c>
      <c r="C197" s="179" t="s">
        <v>1554</v>
      </c>
      <c r="D197" s="59" t="s">
        <v>1555</v>
      </c>
      <c r="E197" s="22" t="s">
        <v>1557</v>
      </c>
      <c r="F197" s="27" t="s">
        <v>2478</v>
      </c>
      <c r="G197" s="27"/>
      <c r="H197" s="28" t="s">
        <v>603</v>
      </c>
      <c r="I197" s="20">
        <v>42804</v>
      </c>
      <c r="J197" s="35">
        <f t="shared" ca="1" si="159"/>
        <v>0.90410958904109584</v>
      </c>
      <c r="K197" s="60"/>
      <c r="L197" s="32"/>
      <c r="M197" s="82"/>
      <c r="N197" s="19"/>
      <c r="O197" s="68"/>
      <c r="P197" s="118"/>
      <c r="Q197" s="21"/>
      <c r="R197" s="20"/>
      <c r="S197" s="20"/>
      <c r="T197" s="19"/>
      <c r="U197" s="3"/>
      <c r="V197" s="22"/>
      <c r="W197" s="22"/>
      <c r="X197" s="22"/>
      <c r="Y197" s="20"/>
      <c r="Z197" s="94"/>
      <c r="AA197" s="21"/>
      <c r="AB197" s="21"/>
      <c r="AC197" s="21"/>
      <c r="AD197" s="85"/>
      <c r="AE197" s="21"/>
      <c r="AF197" s="21"/>
      <c r="AG197" s="89"/>
      <c r="AH197" s="92"/>
      <c r="AI197" s="80"/>
      <c r="AJ197" s="80"/>
      <c r="AK197" s="350">
        <v>42808</v>
      </c>
      <c r="AL197" s="234" t="s">
        <v>1614</v>
      </c>
      <c r="AM197" s="22">
        <v>42</v>
      </c>
    </row>
    <row r="198" spans="1:39" s="1" customFormat="1" ht="15.95" customHeight="1" x14ac:dyDescent="0.25">
      <c r="A198" s="77">
        <v>196</v>
      </c>
      <c r="B198" s="84">
        <f t="shared" ca="1" si="178"/>
        <v>43134</v>
      </c>
      <c r="C198" s="29" t="s">
        <v>1554</v>
      </c>
      <c r="D198" s="59" t="s">
        <v>1555</v>
      </c>
      <c r="E198" s="22" t="s">
        <v>1557</v>
      </c>
      <c r="F198" s="27" t="s">
        <v>2501</v>
      </c>
      <c r="G198" s="27"/>
      <c r="H198" s="28" t="s">
        <v>603</v>
      </c>
      <c r="I198" s="20">
        <v>42807</v>
      </c>
      <c r="J198" s="35">
        <f t="shared" ca="1" si="159"/>
        <v>0.89589041095890409</v>
      </c>
      <c r="K198" s="60"/>
      <c r="L198" s="32"/>
      <c r="M198" s="82"/>
      <c r="N198" s="19"/>
      <c r="O198" s="68"/>
      <c r="P198" s="118"/>
      <c r="Q198" s="21"/>
      <c r="R198" s="20"/>
      <c r="S198" s="20" t="str">
        <f t="shared" ref="S198:S203" si="179">IF(AND(W198&gt;1,R198&gt;0),R198+18,"-")</f>
        <v>-</v>
      </c>
      <c r="T198" s="19" t="str">
        <f t="shared" ref="T198:T203" ca="1" si="180">IF(AND(S198&gt;0,B198&gt;0,W198&gt;1),B198-S198,"-")</f>
        <v>-</v>
      </c>
      <c r="U198" s="3"/>
      <c r="V198" s="22" t="str">
        <f t="shared" ref="V198:V203" si="181">IF(AND(L198&gt;0,R198&gt;0),R198-L198,"-")</f>
        <v>-</v>
      </c>
      <c r="W198" s="22"/>
      <c r="X198" s="22" t="str">
        <f t="shared" ref="X198:X203" si="182">IF(AND(M198&gt;140,W198=0,L198&gt;0),"яловая","-")</f>
        <v>-</v>
      </c>
      <c r="Y198" s="20" t="str">
        <f t="shared" ref="Y198:Y203" si="183">IF(AND(R198&gt;0,OR(W198=3,W198=2)),R198+35,"-")</f>
        <v>-</v>
      </c>
      <c r="Z198" s="94" t="str">
        <f t="shared" ref="Z198:Z203" si="184">IF(AND(R198&gt;0,U198&gt;0,O198&gt;0,OR(W198=3,W198=2)),B198-Y198,"---------")</f>
        <v>---------</v>
      </c>
      <c r="AA198" s="21"/>
      <c r="AB198" s="21" t="str">
        <f t="shared" ref="AB198:AB203" si="185">IF(AND($R198&gt;0,$L198&gt;0,$W198=1),$R198+280-90,"-")</f>
        <v>-</v>
      </c>
      <c r="AC198" s="21" t="str">
        <f t="shared" ref="AC198:AC203" si="186">IF(AND(R198&gt;0,W198=1,L198&gt;0),R198+280-60,"-")</f>
        <v>-</v>
      </c>
      <c r="AD198" s="85"/>
      <c r="AE198" s="21" t="str">
        <f t="shared" ref="AE198:AE203" si="187">IF(AND($R198&gt;0,$W198=1),$R198+280-21,"-")</f>
        <v>-</v>
      </c>
      <c r="AF198" s="21" t="str">
        <f t="shared" ref="AF198:AF203" si="188">IF(AND(R198&gt;0,W198=1),R198+280,"-")</f>
        <v>-</v>
      </c>
      <c r="AG198" s="89" t="str">
        <f t="shared" ref="AG198:AG203" ca="1" si="189">IF(AND(B198&gt;0,AF198&gt;0,AA198&gt;0,W198=1),B198-AF198,"-")</f>
        <v>-</v>
      </c>
      <c r="AH198" s="92"/>
      <c r="AI198" s="80" t="str">
        <f t="shared" ref="AI198:AI203" si="190">IF(AND(X198="яловая",M198&gt;300),"БРАК","-")</f>
        <v>-</v>
      </c>
      <c r="AJ198" s="80"/>
      <c r="AK198" s="350">
        <v>42808</v>
      </c>
      <c r="AL198" s="234" t="s">
        <v>1614</v>
      </c>
      <c r="AM198" s="22">
        <v>48</v>
      </c>
    </row>
    <row r="199" spans="1:39" s="1" customFormat="1" ht="15.95" customHeight="1" x14ac:dyDescent="0.25">
      <c r="A199" s="77">
        <v>197</v>
      </c>
      <c r="B199" s="84">
        <f t="shared" ca="1" si="178"/>
        <v>43134</v>
      </c>
      <c r="C199" s="29" t="s">
        <v>1554</v>
      </c>
      <c r="D199" s="59" t="s">
        <v>1555</v>
      </c>
      <c r="E199" s="22" t="s">
        <v>1557</v>
      </c>
      <c r="F199" s="27" t="s">
        <v>2482</v>
      </c>
      <c r="G199" s="27"/>
      <c r="H199" s="28" t="s">
        <v>603</v>
      </c>
      <c r="I199" s="20">
        <v>42805</v>
      </c>
      <c r="J199" s="35">
        <f t="shared" ca="1" si="159"/>
        <v>0.90136986301369859</v>
      </c>
      <c r="K199" s="60"/>
      <c r="L199" s="32"/>
      <c r="M199" s="82"/>
      <c r="N199" s="19"/>
      <c r="O199" s="68"/>
      <c r="P199" s="118"/>
      <c r="Q199" s="21"/>
      <c r="R199" s="20"/>
      <c r="S199" s="20" t="str">
        <f t="shared" si="179"/>
        <v>-</v>
      </c>
      <c r="T199" s="19" t="str">
        <f t="shared" ca="1" si="180"/>
        <v>-</v>
      </c>
      <c r="U199" s="3"/>
      <c r="V199" s="22" t="str">
        <f t="shared" si="181"/>
        <v>-</v>
      </c>
      <c r="W199" s="22"/>
      <c r="X199" s="22" t="str">
        <f t="shared" si="182"/>
        <v>-</v>
      </c>
      <c r="Y199" s="20" t="str">
        <f t="shared" si="183"/>
        <v>-</v>
      </c>
      <c r="Z199" s="94" t="str">
        <f t="shared" si="184"/>
        <v>---------</v>
      </c>
      <c r="AA199" s="21"/>
      <c r="AB199" s="21" t="str">
        <f t="shared" si="185"/>
        <v>-</v>
      </c>
      <c r="AC199" s="21" t="str">
        <f t="shared" si="186"/>
        <v>-</v>
      </c>
      <c r="AD199" s="85"/>
      <c r="AE199" s="21" t="str">
        <f t="shared" si="187"/>
        <v>-</v>
      </c>
      <c r="AF199" s="21" t="str">
        <f t="shared" si="188"/>
        <v>-</v>
      </c>
      <c r="AG199" s="89" t="str">
        <f t="shared" ca="1" si="189"/>
        <v>-</v>
      </c>
      <c r="AH199" s="92"/>
      <c r="AI199" s="80" t="str">
        <f t="shared" si="190"/>
        <v>-</v>
      </c>
      <c r="AJ199" s="80"/>
      <c r="AK199" s="350">
        <v>42809</v>
      </c>
      <c r="AL199" s="234" t="s">
        <v>1614</v>
      </c>
      <c r="AM199" s="22">
        <v>43</v>
      </c>
    </row>
    <row r="200" spans="1:39" s="1" customFormat="1" ht="15.75" customHeight="1" x14ac:dyDescent="0.25">
      <c r="A200" s="77">
        <v>198</v>
      </c>
      <c r="B200" s="84">
        <f t="shared" ca="1" si="178"/>
        <v>43134</v>
      </c>
      <c r="C200" s="29" t="s">
        <v>1554</v>
      </c>
      <c r="D200" s="59" t="s">
        <v>1555</v>
      </c>
      <c r="E200" s="22" t="s">
        <v>1557</v>
      </c>
      <c r="F200" s="27" t="s">
        <v>2483</v>
      </c>
      <c r="G200" s="27"/>
      <c r="H200" s="28" t="s">
        <v>603</v>
      </c>
      <c r="I200" s="20">
        <v>42805</v>
      </c>
      <c r="J200" s="35">
        <f t="shared" ca="1" si="159"/>
        <v>0.90136986301369859</v>
      </c>
      <c r="K200" s="60"/>
      <c r="L200" s="32"/>
      <c r="M200" s="82"/>
      <c r="N200" s="19"/>
      <c r="O200" s="68"/>
      <c r="P200" s="118"/>
      <c r="Q200" s="21"/>
      <c r="R200" s="20"/>
      <c r="S200" s="20" t="str">
        <f t="shared" si="179"/>
        <v>-</v>
      </c>
      <c r="T200" s="19" t="str">
        <f t="shared" ca="1" si="180"/>
        <v>-</v>
      </c>
      <c r="U200" s="3"/>
      <c r="V200" s="22" t="str">
        <f t="shared" si="181"/>
        <v>-</v>
      </c>
      <c r="W200" s="22"/>
      <c r="X200" s="22" t="str">
        <f t="shared" si="182"/>
        <v>-</v>
      </c>
      <c r="Y200" s="20" t="str">
        <f t="shared" si="183"/>
        <v>-</v>
      </c>
      <c r="Z200" s="94" t="str">
        <f t="shared" si="184"/>
        <v>---------</v>
      </c>
      <c r="AA200" s="21"/>
      <c r="AB200" s="21" t="str">
        <f t="shared" si="185"/>
        <v>-</v>
      </c>
      <c r="AC200" s="21" t="str">
        <f t="shared" si="186"/>
        <v>-</v>
      </c>
      <c r="AD200" s="85"/>
      <c r="AE200" s="21" t="str">
        <f t="shared" si="187"/>
        <v>-</v>
      </c>
      <c r="AF200" s="21" t="str">
        <f t="shared" si="188"/>
        <v>-</v>
      </c>
      <c r="AG200" s="89" t="str">
        <f t="shared" ca="1" si="189"/>
        <v>-</v>
      </c>
      <c r="AH200" s="92"/>
      <c r="AI200" s="80" t="str">
        <f t="shared" si="190"/>
        <v>-</v>
      </c>
      <c r="AJ200" s="80"/>
      <c r="AK200" s="350">
        <v>42809</v>
      </c>
      <c r="AL200" s="234" t="s">
        <v>1614</v>
      </c>
      <c r="AM200" s="22">
        <v>46</v>
      </c>
    </row>
    <row r="201" spans="1:39" s="1" customFormat="1" ht="15.75" customHeight="1" x14ac:dyDescent="0.25">
      <c r="A201" s="77">
        <v>199</v>
      </c>
      <c r="B201" s="84">
        <f t="shared" ca="1" si="178"/>
        <v>43134</v>
      </c>
      <c r="C201" s="29" t="s">
        <v>1554</v>
      </c>
      <c r="D201" s="59" t="s">
        <v>1555</v>
      </c>
      <c r="E201" s="22" t="s">
        <v>1557</v>
      </c>
      <c r="F201" s="27" t="s">
        <v>2484</v>
      </c>
      <c r="G201" s="27"/>
      <c r="H201" s="28" t="s">
        <v>603</v>
      </c>
      <c r="I201" s="20">
        <v>42805</v>
      </c>
      <c r="J201" s="35">
        <f t="shared" ca="1" si="159"/>
        <v>0.90136986301369859</v>
      </c>
      <c r="K201" s="60"/>
      <c r="L201" s="32"/>
      <c r="M201" s="82"/>
      <c r="N201" s="19"/>
      <c r="O201" s="68"/>
      <c r="P201" s="118"/>
      <c r="Q201" s="21"/>
      <c r="R201" s="20"/>
      <c r="S201" s="20" t="str">
        <f t="shared" si="179"/>
        <v>-</v>
      </c>
      <c r="T201" s="19" t="str">
        <f t="shared" ca="1" si="180"/>
        <v>-</v>
      </c>
      <c r="U201" s="3"/>
      <c r="V201" s="22" t="str">
        <f t="shared" si="181"/>
        <v>-</v>
      </c>
      <c r="W201" s="22"/>
      <c r="X201" s="22" t="str">
        <f t="shared" si="182"/>
        <v>-</v>
      </c>
      <c r="Y201" s="20" t="str">
        <f t="shared" si="183"/>
        <v>-</v>
      </c>
      <c r="Z201" s="94" t="str">
        <f t="shared" si="184"/>
        <v>---------</v>
      </c>
      <c r="AA201" s="21"/>
      <c r="AB201" s="21" t="str">
        <f t="shared" si="185"/>
        <v>-</v>
      </c>
      <c r="AC201" s="21" t="str">
        <f t="shared" si="186"/>
        <v>-</v>
      </c>
      <c r="AD201" s="85"/>
      <c r="AE201" s="21" t="str">
        <f t="shared" si="187"/>
        <v>-</v>
      </c>
      <c r="AF201" s="21" t="str">
        <f t="shared" si="188"/>
        <v>-</v>
      </c>
      <c r="AG201" s="89" t="str">
        <f t="shared" ca="1" si="189"/>
        <v>-</v>
      </c>
      <c r="AH201" s="92"/>
      <c r="AI201" s="80" t="str">
        <f t="shared" si="190"/>
        <v>-</v>
      </c>
      <c r="AJ201" s="80"/>
      <c r="AK201" s="350">
        <v>42810</v>
      </c>
      <c r="AL201" s="234" t="s">
        <v>1614</v>
      </c>
      <c r="AM201" s="22">
        <v>45</v>
      </c>
    </row>
    <row r="202" spans="1:39" s="1" customFormat="1" ht="15.95" customHeight="1" x14ac:dyDescent="0.25">
      <c r="A202" s="77">
        <v>200</v>
      </c>
      <c r="B202" s="84">
        <f t="shared" ca="1" si="178"/>
        <v>43134</v>
      </c>
      <c r="C202" s="29" t="s">
        <v>1554</v>
      </c>
      <c r="D202" s="59" t="s">
        <v>1555</v>
      </c>
      <c r="E202" s="22" t="s">
        <v>1557</v>
      </c>
      <c r="F202" s="27" t="s">
        <v>2485</v>
      </c>
      <c r="G202" s="27"/>
      <c r="H202" s="28" t="s">
        <v>603</v>
      </c>
      <c r="I202" s="20">
        <v>42806</v>
      </c>
      <c r="J202" s="35">
        <f t="shared" ca="1" si="159"/>
        <v>0.89863013698630134</v>
      </c>
      <c r="K202" s="60"/>
      <c r="L202" s="32"/>
      <c r="M202" s="82"/>
      <c r="N202" s="19"/>
      <c r="O202" s="68"/>
      <c r="P202" s="118"/>
      <c r="Q202" s="21"/>
      <c r="R202" s="20"/>
      <c r="S202" s="20" t="str">
        <f t="shared" si="179"/>
        <v>-</v>
      </c>
      <c r="T202" s="19" t="str">
        <f t="shared" ca="1" si="180"/>
        <v>-</v>
      </c>
      <c r="U202" s="3"/>
      <c r="V202" s="22" t="str">
        <f t="shared" si="181"/>
        <v>-</v>
      </c>
      <c r="W202" s="22"/>
      <c r="X202" s="22" t="str">
        <f t="shared" si="182"/>
        <v>-</v>
      </c>
      <c r="Y202" s="20" t="str">
        <f t="shared" si="183"/>
        <v>-</v>
      </c>
      <c r="Z202" s="94" t="str">
        <f t="shared" si="184"/>
        <v>---------</v>
      </c>
      <c r="AA202" s="21"/>
      <c r="AB202" s="21" t="str">
        <f t="shared" si="185"/>
        <v>-</v>
      </c>
      <c r="AC202" s="21" t="str">
        <f t="shared" si="186"/>
        <v>-</v>
      </c>
      <c r="AD202" s="85"/>
      <c r="AE202" s="21" t="str">
        <f t="shared" si="187"/>
        <v>-</v>
      </c>
      <c r="AF202" s="21" t="str">
        <f t="shared" si="188"/>
        <v>-</v>
      </c>
      <c r="AG202" s="89" t="str">
        <f t="shared" ca="1" si="189"/>
        <v>-</v>
      </c>
      <c r="AH202" s="92"/>
      <c r="AI202" s="80" t="str">
        <f t="shared" si="190"/>
        <v>-</v>
      </c>
      <c r="AJ202" s="80"/>
      <c r="AK202" s="350">
        <v>42810</v>
      </c>
      <c r="AL202" s="234" t="s">
        <v>1614</v>
      </c>
      <c r="AM202" s="22">
        <v>46</v>
      </c>
    </row>
    <row r="203" spans="1:39" s="1" customFormat="1" ht="15.95" customHeight="1" x14ac:dyDescent="0.25">
      <c r="A203" s="77">
        <v>201</v>
      </c>
      <c r="B203" s="84">
        <f t="shared" ca="1" si="178"/>
        <v>43134</v>
      </c>
      <c r="C203" s="29" t="s">
        <v>1554</v>
      </c>
      <c r="D203" s="59" t="s">
        <v>1555</v>
      </c>
      <c r="E203" s="22" t="s">
        <v>1557</v>
      </c>
      <c r="F203" s="27" t="s">
        <v>2495</v>
      </c>
      <c r="G203" s="27"/>
      <c r="H203" s="28" t="s">
        <v>603</v>
      </c>
      <c r="I203" s="20">
        <v>42807</v>
      </c>
      <c r="J203" s="35">
        <f t="shared" ca="1" si="159"/>
        <v>0.89589041095890409</v>
      </c>
      <c r="K203" s="60"/>
      <c r="L203" s="32"/>
      <c r="M203" s="82"/>
      <c r="N203" s="19"/>
      <c r="O203" s="68"/>
      <c r="P203" s="118"/>
      <c r="Q203" s="21"/>
      <c r="R203" s="20"/>
      <c r="S203" s="20" t="str">
        <f t="shared" si="179"/>
        <v>-</v>
      </c>
      <c r="T203" s="19" t="str">
        <f t="shared" ca="1" si="180"/>
        <v>-</v>
      </c>
      <c r="U203" s="3"/>
      <c r="V203" s="22" t="str">
        <f t="shared" si="181"/>
        <v>-</v>
      </c>
      <c r="W203" s="22"/>
      <c r="X203" s="22" t="str">
        <f t="shared" si="182"/>
        <v>-</v>
      </c>
      <c r="Y203" s="20" t="str">
        <f t="shared" si="183"/>
        <v>-</v>
      </c>
      <c r="Z203" s="94" t="str">
        <f t="shared" si="184"/>
        <v>---------</v>
      </c>
      <c r="AA203" s="21"/>
      <c r="AB203" s="21" t="str">
        <f t="shared" si="185"/>
        <v>-</v>
      </c>
      <c r="AC203" s="21" t="str">
        <f t="shared" si="186"/>
        <v>-</v>
      </c>
      <c r="AD203" s="85"/>
      <c r="AE203" s="21" t="str">
        <f t="shared" si="187"/>
        <v>-</v>
      </c>
      <c r="AF203" s="21" t="str">
        <f t="shared" si="188"/>
        <v>-</v>
      </c>
      <c r="AG203" s="89" t="str">
        <f t="shared" ca="1" si="189"/>
        <v>-</v>
      </c>
      <c r="AH203" s="92"/>
      <c r="AI203" s="80" t="str">
        <f t="shared" si="190"/>
        <v>-</v>
      </c>
      <c r="AJ203" s="80"/>
      <c r="AK203" s="350">
        <v>42810</v>
      </c>
      <c r="AL203" s="234" t="s">
        <v>1614</v>
      </c>
      <c r="AM203" s="22">
        <v>45</v>
      </c>
    </row>
    <row r="204" spans="1:39" ht="15.75" x14ac:dyDescent="0.25">
      <c r="A204" s="77">
        <v>202</v>
      </c>
      <c r="B204" s="84">
        <f t="shared" ca="1" si="178"/>
        <v>43134</v>
      </c>
      <c r="C204" s="179" t="s">
        <v>1554</v>
      </c>
      <c r="D204" s="59" t="s">
        <v>1555</v>
      </c>
      <c r="E204" s="22" t="s">
        <v>1557</v>
      </c>
      <c r="F204" s="27" t="s">
        <v>2505</v>
      </c>
      <c r="G204" s="27"/>
      <c r="H204" s="28" t="s">
        <v>603</v>
      </c>
      <c r="I204" s="20">
        <v>42810</v>
      </c>
      <c r="J204" s="35">
        <f t="shared" ca="1" si="159"/>
        <v>0.88767123287671235</v>
      </c>
      <c r="K204" s="60"/>
      <c r="L204" s="32"/>
      <c r="M204" s="82"/>
      <c r="N204" s="19"/>
      <c r="O204" s="68"/>
      <c r="P204" s="118"/>
      <c r="Q204" s="21"/>
      <c r="R204" s="20"/>
      <c r="S204" s="20"/>
      <c r="T204" s="19"/>
      <c r="U204" s="3"/>
      <c r="V204" s="22"/>
      <c r="W204" s="22"/>
      <c r="X204" s="22"/>
      <c r="Y204" s="20"/>
      <c r="Z204" s="94"/>
      <c r="AA204" s="21"/>
      <c r="AB204" s="21"/>
      <c r="AC204" s="21"/>
      <c r="AD204" s="85"/>
      <c r="AE204" s="21"/>
      <c r="AF204" s="21"/>
      <c r="AG204" s="89"/>
      <c r="AH204" s="92"/>
      <c r="AI204" s="80"/>
      <c r="AJ204" s="80"/>
      <c r="AK204" s="350">
        <v>42811</v>
      </c>
      <c r="AL204" s="234" t="s">
        <v>1614</v>
      </c>
      <c r="AM204" s="22">
        <v>44</v>
      </c>
    </row>
    <row r="205" spans="1:39" s="1" customFormat="1" ht="15.95" customHeight="1" x14ac:dyDescent="0.25">
      <c r="A205" s="77">
        <v>203</v>
      </c>
      <c r="B205" s="84">
        <f t="shared" ca="1" si="178"/>
        <v>43134</v>
      </c>
      <c r="C205" s="179" t="s">
        <v>1554</v>
      </c>
      <c r="D205" s="59" t="s">
        <v>1555</v>
      </c>
      <c r="E205" s="22" t="s">
        <v>1557</v>
      </c>
      <c r="F205" s="27" t="s">
        <v>2474</v>
      </c>
      <c r="G205" s="27"/>
      <c r="H205" s="28" t="s">
        <v>603</v>
      </c>
      <c r="I205" s="20">
        <v>42802</v>
      </c>
      <c r="J205" s="240">
        <f t="shared" ca="1" si="159"/>
        <v>0.90958904109589045</v>
      </c>
      <c r="K205" s="60"/>
      <c r="L205" s="32"/>
      <c r="M205" s="82" t="str">
        <f ca="1">IF(AND(B205&gt;0,L205&gt;0),B205-L205,"-")</f>
        <v>-</v>
      </c>
      <c r="N205" s="19"/>
      <c r="O205" s="68"/>
      <c r="P205" s="118"/>
      <c r="Q205" s="21"/>
      <c r="R205" s="20"/>
      <c r="S205" s="20" t="str">
        <f t="shared" ref="S205:S206" si="191">IF(AND(W205&gt;1,R205&gt;0),R205+18,"-")</f>
        <v>-</v>
      </c>
      <c r="T205" s="19" t="str">
        <f ca="1">IF(AND(S205&gt;0,B205&gt;0,W205&gt;1),B205-S205,"-")</f>
        <v>-</v>
      </c>
      <c r="U205" s="3"/>
      <c r="V205" s="22" t="str">
        <f t="shared" ref="V205:V206" si="192">IF(AND(L205&gt;0,R205&gt;0),R205-L205,"-")</f>
        <v>-</v>
      </c>
      <c r="W205" s="22"/>
      <c r="X205" s="22" t="str">
        <f t="shared" ref="X205:X206" ca="1" si="193">IF(AND(M205&gt;140,W205=0,L205&gt;0),"яловая","-")</f>
        <v>-</v>
      </c>
      <c r="Y205" s="20" t="str">
        <f t="shared" ref="Y205:Y206" si="194">IF(AND(R205&gt;0,OR(W205=3,W205=2)),R205+35,"-")</f>
        <v>-</v>
      </c>
      <c r="Z205" s="94" t="str">
        <f>IF(AND(R205&gt;0,U205&gt;0,O205&gt;0,OR(W205=3,W205=2)),B205-Y205,"---------")</f>
        <v>---------</v>
      </c>
      <c r="AA205" s="21"/>
      <c r="AB205" s="21" t="str">
        <f t="shared" ref="AB205:AB206" si="195">IF(AND($R205&gt;0,$L205&gt;0,$W205=1),$R205+280-90,"-")</f>
        <v>-</v>
      </c>
      <c r="AC205" s="21" t="str">
        <f t="shared" ref="AC205:AC206" si="196">IF(AND(R205&gt;0,W205=1,L205&gt;0),R205+280-60,"-")</f>
        <v>-</v>
      </c>
      <c r="AD205" s="85"/>
      <c r="AE205" s="21" t="str">
        <f t="shared" ref="AE205:AE206" si="197">IF(AND($R205&gt;0,$W205=1),$R205+280-21,"-")</f>
        <v>-</v>
      </c>
      <c r="AF205" s="21" t="str">
        <f t="shared" ref="AF205:AF206" si="198">IF(AND(R205&gt;0,W205=1),R205+280,"-")</f>
        <v>-</v>
      </c>
      <c r="AG205" s="89" t="str">
        <f ca="1">IF(AND(B205&gt;0,AF205&gt;0,AA205&gt;0,W205=1),B205-AF205,"-")</f>
        <v>-</v>
      </c>
      <c r="AH205" s="92"/>
      <c r="AI205" s="80" t="str">
        <f t="shared" ref="AI205:AI206" ca="1" si="199">IF(AND(X205="яловая",M205&gt;300),"БРАК","-")</f>
        <v>-</v>
      </c>
      <c r="AJ205" s="80"/>
      <c r="AK205" s="350">
        <v>42814</v>
      </c>
      <c r="AL205" s="234" t="s">
        <v>1614</v>
      </c>
      <c r="AM205" s="22">
        <v>42</v>
      </c>
    </row>
    <row r="206" spans="1:39" s="1" customFormat="1" ht="15.95" customHeight="1" x14ac:dyDescent="0.25">
      <c r="A206" s="77">
        <v>204</v>
      </c>
      <c r="B206" s="84">
        <f t="shared" ca="1" si="178"/>
        <v>43134</v>
      </c>
      <c r="C206" s="29" t="s">
        <v>1554</v>
      </c>
      <c r="D206" s="59" t="s">
        <v>1555</v>
      </c>
      <c r="E206" s="22" t="s">
        <v>1557</v>
      </c>
      <c r="F206" s="27" t="s">
        <v>2503</v>
      </c>
      <c r="G206" s="27"/>
      <c r="H206" s="28" t="s">
        <v>603</v>
      </c>
      <c r="I206" s="20">
        <v>42809</v>
      </c>
      <c r="J206" s="240">
        <f t="shared" ca="1" si="159"/>
        <v>0.8904109589041096</v>
      </c>
      <c r="K206" s="60"/>
      <c r="L206" s="32"/>
      <c r="M206" s="82" t="str">
        <f ca="1">IF(AND(B206&gt;0,L206&gt;0),B206-L206,"-")</f>
        <v>-</v>
      </c>
      <c r="N206" s="19"/>
      <c r="O206" s="68"/>
      <c r="P206" s="118"/>
      <c r="Q206" s="21"/>
      <c r="R206" s="20"/>
      <c r="S206" s="20" t="str">
        <f t="shared" si="191"/>
        <v>-</v>
      </c>
      <c r="T206" s="19" t="str">
        <f ca="1">IF(AND(S206&gt;0,B206&gt;0,W206&gt;1),B206-S206,"-")</f>
        <v>-</v>
      </c>
      <c r="U206" s="3"/>
      <c r="V206" s="22" t="str">
        <f t="shared" si="192"/>
        <v>-</v>
      </c>
      <c r="W206" s="22"/>
      <c r="X206" s="22" t="str">
        <f t="shared" ca="1" si="193"/>
        <v>-</v>
      </c>
      <c r="Y206" s="20" t="str">
        <f t="shared" si="194"/>
        <v>-</v>
      </c>
      <c r="Z206" s="94" t="str">
        <f>IF(AND(R206&gt;0,U206&gt;0,O206&gt;0,OR(W206=3,W206=2)),B206-Y206,"---------")</f>
        <v>---------</v>
      </c>
      <c r="AA206" s="21"/>
      <c r="AB206" s="21" t="str">
        <f t="shared" si="195"/>
        <v>-</v>
      </c>
      <c r="AC206" s="21" t="str">
        <f t="shared" si="196"/>
        <v>-</v>
      </c>
      <c r="AD206" s="85"/>
      <c r="AE206" s="21" t="str">
        <f t="shared" si="197"/>
        <v>-</v>
      </c>
      <c r="AF206" s="21" t="str">
        <f t="shared" si="198"/>
        <v>-</v>
      </c>
      <c r="AG206" s="89" t="str">
        <f ca="1">IF(AND(B206&gt;0,AF206&gt;0,AA206&gt;0,W206=1),B206-AF206,"-")</f>
        <v>-</v>
      </c>
      <c r="AH206" s="92"/>
      <c r="AI206" s="80" t="str">
        <f t="shared" ca="1" si="199"/>
        <v>-</v>
      </c>
      <c r="AJ206" s="80"/>
      <c r="AK206" s="350">
        <v>42814</v>
      </c>
      <c r="AL206" s="234" t="s">
        <v>1614</v>
      </c>
      <c r="AM206" s="22">
        <v>42</v>
      </c>
    </row>
    <row r="207" spans="1:39" s="1" customFormat="1" ht="15.95" customHeight="1" x14ac:dyDescent="0.25">
      <c r="A207" s="77">
        <v>205</v>
      </c>
      <c r="B207" s="84">
        <f t="shared" ca="1" si="178"/>
        <v>43134</v>
      </c>
      <c r="C207" s="29" t="s">
        <v>1554</v>
      </c>
      <c r="D207" s="59" t="s">
        <v>1555</v>
      </c>
      <c r="E207" s="22" t="s">
        <v>1557</v>
      </c>
      <c r="F207" s="27" t="s">
        <v>2507</v>
      </c>
      <c r="G207" s="27"/>
      <c r="H207" s="28" t="s">
        <v>603</v>
      </c>
      <c r="I207" s="20">
        <v>42811</v>
      </c>
      <c r="J207" s="240">
        <f t="shared" ref="J207:J238" ca="1" si="200">(B207-I207)/365</f>
        <v>0.8849315068493151</v>
      </c>
      <c r="K207" s="240">
        <f t="shared" ref="K207:K244" ca="1" si="201">(B207-I207)/30</f>
        <v>10.766666666666667</v>
      </c>
      <c r="L207" s="240">
        <f t="shared" ref="L207:L244" ca="1" si="202">B207-I207</f>
        <v>323</v>
      </c>
      <c r="M207" s="60"/>
      <c r="N207" s="32"/>
      <c r="O207" s="82" t="str">
        <f ca="1">IF(AND(B207&gt;0,N207&gt;0),B207-N207,"-")</f>
        <v>-</v>
      </c>
      <c r="P207" s="19"/>
      <c r="Q207" s="68"/>
      <c r="R207" s="118"/>
      <c r="S207" s="21"/>
      <c r="T207" s="20"/>
      <c r="U207" s="20" t="str">
        <f>IF(AND(Y207&gt;1,T207&gt;0),T207+18,"-")</f>
        <v>-</v>
      </c>
      <c r="V207" s="19" t="str">
        <f ca="1">IF(AND(U207&gt;0,B207&gt;0,Y207&gt;1),B207-U207,"-")</f>
        <v>-</v>
      </c>
      <c r="W207" s="3"/>
      <c r="X207" s="22" t="str">
        <f>IF(AND(N207&gt;0,T207&gt;0),T207-N207,"-")</f>
        <v>-</v>
      </c>
      <c r="Y207" s="22"/>
      <c r="Z207" s="22" t="str">
        <f ca="1">IF(AND(O207&gt;140,Y207=0,N207&gt;0),"яловая","-")</f>
        <v>-</v>
      </c>
      <c r="AA207" s="20" t="str">
        <f>IF(AND(T207&gt;0,OR(Y207=3,Y207=2)),T207+35,"-")</f>
        <v>-</v>
      </c>
      <c r="AB207" s="94" t="str">
        <f>IF(AND(T207&gt;0,W207&gt;0,Q207&gt;0,OR(Y207=3,Y207=2)),B207-AA207,"---------")</f>
        <v>---------</v>
      </c>
      <c r="AC207" s="21"/>
      <c r="AD207" s="21" t="str">
        <f>IF(AND($T207&gt;0,$N207&gt;0,$Y207=1),$T207+280-90,"-")</f>
        <v>-</v>
      </c>
      <c r="AE207" s="21" t="str">
        <f>IF(AND(T207&gt;0,Y207=1,N207&gt;0),T207+280-60,"-")</f>
        <v>-</v>
      </c>
      <c r="AF207" s="85"/>
      <c r="AG207" s="21" t="str">
        <f>IF(AND($T207&gt;0,$Y207=1),$T207+280-21,"-")</f>
        <v>-</v>
      </c>
      <c r="AH207" s="21" t="str">
        <f>IF(AND(T207&gt;0,Y207=1),T207+280,"-")</f>
        <v>-</v>
      </c>
      <c r="AI207" s="89" t="str">
        <f ca="1">IF(AND(B207&gt;0,AH207&gt;0,AC207&gt;0,Y207=1),B207-AH207,"-")</f>
        <v>-</v>
      </c>
      <c r="AJ207" s="92"/>
      <c r="AK207" s="350">
        <v>42815</v>
      </c>
      <c r="AL207" s="234" t="s">
        <v>1614</v>
      </c>
      <c r="AM207" s="22">
        <v>46</v>
      </c>
    </row>
    <row r="208" spans="1:39" s="1" customFormat="1" ht="15.95" customHeight="1" x14ac:dyDescent="0.25">
      <c r="A208" s="77">
        <v>206</v>
      </c>
      <c r="B208" s="84">
        <f t="shared" ca="1" si="178"/>
        <v>43134</v>
      </c>
      <c r="C208" s="29" t="s">
        <v>1554</v>
      </c>
      <c r="D208" s="59" t="s">
        <v>1555</v>
      </c>
      <c r="E208" s="22" t="s">
        <v>1557</v>
      </c>
      <c r="F208" s="27" t="s">
        <v>2526</v>
      </c>
      <c r="G208" s="27"/>
      <c r="H208" s="28" t="s">
        <v>603</v>
      </c>
      <c r="I208" s="20">
        <v>42813</v>
      </c>
      <c r="J208" s="240">
        <f t="shared" ca="1" si="200"/>
        <v>0.8794520547945206</v>
      </c>
      <c r="K208" s="240">
        <f t="shared" ca="1" si="201"/>
        <v>10.7</v>
      </c>
      <c r="L208" s="240">
        <f t="shared" ca="1" si="202"/>
        <v>321</v>
      </c>
      <c r="M208" s="60"/>
      <c r="N208" s="32"/>
      <c r="O208" s="82"/>
      <c r="P208" s="19"/>
      <c r="Q208" s="68"/>
      <c r="R208" s="118"/>
      <c r="S208" s="21"/>
      <c r="T208" s="20"/>
      <c r="U208" s="20"/>
      <c r="V208" s="19"/>
      <c r="W208" s="3"/>
      <c r="X208" s="22"/>
      <c r="Y208" s="22"/>
      <c r="Z208" s="22"/>
      <c r="AA208" s="20"/>
      <c r="AB208" s="94"/>
      <c r="AC208" s="21"/>
      <c r="AD208" s="21"/>
      <c r="AE208" s="21"/>
      <c r="AF208" s="85"/>
      <c r="AG208" s="21"/>
      <c r="AH208" s="21"/>
      <c r="AI208" s="89"/>
      <c r="AJ208" s="92"/>
      <c r="AK208" s="350">
        <v>42815</v>
      </c>
      <c r="AL208" s="234" t="s">
        <v>1614</v>
      </c>
      <c r="AM208" s="22">
        <v>46</v>
      </c>
    </row>
    <row r="209" spans="1:39" s="1" customFormat="1" ht="15.95" customHeight="1" x14ac:dyDescent="0.25">
      <c r="A209" s="77">
        <v>207</v>
      </c>
      <c r="B209" s="84">
        <f t="shared" ca="1" si="178"/>
        <v>43134</v>
      </c>
      <c r="C209" s="29" t="s">
        <v>1554</v>
      </c>
      <c r="D209" s="59" t="s">
        <v>1555</v>
      </c>
      <c r="E209" s="22" t="s">
        <v>1557</v>
      </c>
      <c r="F209" s="27" t="s">
        <v>2458</v>
      </c>
      <c r="G209" s="27"/>
      <c r="H209" s="28" t="s">
        <v>603</v>
      </c>
      <c r="I209" s="20">
        <v>42796</v>
      </c>
      <c r="J209" s="240">
        <f t="shared" ca="1" si="200"/>
        <v>0.92602739726027394</v>
      </c>
      <c r="K209" s="240">
        <f t="shared" ca="1" si="201"/>
        <v>11.266666666666667</v>
      </c>
      <c r="L209" s="240">
        <f t="shared" ca="1" si="202"/>
        <v>338</v>
      </c>
      <c r="M209" s="60"/>
      <c r="N209" s="32"/>
      <c r="O209" s="82" t="str">
        <f ca="1">IF(AND(B209&gt;0,N209&gt;0),B209-N209,"-")</f>
        <v>-</v>
      </c>
      <c r="P209" s="19"/>
      <c r="Q209" s="68"/>
      <c r="R209" s="118"/>
      <c r="S209" s="21"/>
      <c r="T209" s="20"/>
      <c r="U209" s="20" t="str">
        <f t="shared" ref="U209:U212" si="203">IF(AND(Y209&gt;1,T209&gt;0),T209+18,"-")</f>
        <v>-</v>
      </c>
      <c r="V209" s="19" t="str">
        <f t="shared" ref="V209:V239" ca="1" si="204">IF(AND(U209&gt;0,B209&gt;0,Y209&gt;1),B209-U209,"-")</f>
        <v>-</v>
      </c>
      <c r="W209" s="3"/>
      <c r="X209" s="22" t="str">
        <f t="shared" ref="X209:X212" si="205">IF(AND(N209&gt;0,T209&gt;0),T209-N209,"-")</f>
        <v>-</v>
      </c>
      <c r="Y209" s="22"/>
      <c r="Z209" s="22" t="str">
        <f t="shared" ref="Z209:Z212" ca="1" si="206">IF(AND(O209&gt;140,Y209=0,N209&gt;0),"яловая","-")</f>
        <v>-</v>
      </c>
      <c r="AA209" s="20" t="str">
        <f t="shared" ref="AA209:AA212" si="207">IF(AND(T209&gt;0,OR(Y209=3,Y209=2)),T209+35,"-")</f>
        <v>-</v>
      </c>
      <c r="AB209" s="94" t="str">
        <f t="shared" ref="AB209:AB239" si="208">IF(AND(T209&gt;0,W209&gt;0,Q209&gt;0,OR(Y209=3,Y209=2)),B209-AA209,"---------")</f>
        <v>---------</v>
      </c>
      <c r="AC209" s="21"/>
      <c r="AD209" s="21" t="str">
        <f t="shared" ref="AD209:AD213" si="209">IF(AND($T209&gt;0,$N209&gt;0,$Y209=1),$T209+280-90,"-")</f>
        <v>-</v>
      </c>
      <c r="AE209" s="21" t="str">
        <f t="shared" ref="AE209:AE212" si="210">IF(AND(T209&gt;0,Y209=1,N209&gt;0),T209+280-60,"-")</f>
        <v>-</v>
      </c>
      <c r="AF209" s="85"/>
      <c r="AG209" s="21" t="str">
        <f t="shared" ref="AG209:AG213" si="211">IF(AND($T209&gt;0,$Y209=1),$T209+280-21,"-")</f>
        <v>-</v>
      </c>
      <c r="AH209" s="21" t="str">
        <f t="shared" ref="AH209:AH212" si="212">IF(AND(T209&gt;0,Y209=1),T209+280,"-")</f>
        <v>-</v>
      </c>
      <c r="AI209" s="89" t="str">
        <f t="shared" ref="AI209:AI239" ca="1" si="213">IF(AND(B209&gt;0,AH209&gt;0,AC209&gt;0,Y209=1),B209-AH209,"-")</f>
        <v>-</v>
      </c>
      <c r="AJ209" s="92">
        <v>1</v>
      </c>
      <c r="AK209" s="351">
        <v>42817</v>
      </c>
      <c r="AL209" s="234" t="s">
        <v>1614</v>
      </c>
      <c r="AM209" s="22">
        <v>40</v>
      </c>
    </row>
    <row r="210" spans="1:39" s="1" customFormat="1" ht="15.95" customHeight="1" x14ac:dyDescent="0.25">
      <c r="A210" s="77">
        <v>208</v>
      </c>
      <c r="B210" s="84">
        <f t="shared" ca="1" si="178"/>
        <v>43134</v>
      </c>
      <c r="C210" s="29" t="s">
        <v>1554</v>
      </c>
      <c r="D210" s="59" t="s">
        <v>1555</v>
      </c>
      <c r="E210" s="22" t="s">
        <v>1557</v>
      </c>
      <c r="F210" s="27" t="s">
        <v>2538</v>
      </c>
      <c r="G210" s="27"/>
      <c r="H210" s="28" t="s">
        <v>603</v>
      </c>
      <c r="I210" s="20">
        <v>42815</v>
      </c>
      <c r="J210" s="240">
        <f t="shared" ca="1" si="200"/>
        <v>0.87397260273972599</v>
      </c>
      <c r="K210" s="240">
        <f t="shared" ca="1" si="201"/>
        <v>10.633333333333333</v>
      </c>
      <c r="L210" s="240">
        <f t="shared" ca="1" si="202"/>
        <v>319</v>
      </c>
      <c r="M210" s="60"/>
      <c r="N210" s="32"/>
      <c r="O210" s="82" t="str">
        <f ca="1">IF(AND(B210&gt;0,N210&gt;0),B210-N210,"-")</f>
        <v>-</v>
      </c>
      <c r="P210" s="19"/>
      <c r="Q210" s="68"/>
      <c r="R210" s="118"/>
      <c r="S210" s="21"/>
      <c r="T210" s="20"/>
      <c r="U210" s="20" t="str">
        <f t="shared" si="203"/>
        <v>-</v>
      </c>
      <c r="V210" s="19" t="str">
        <f t="shared" ca="1" si="204"/>
        <v>-</v>
      </c>
      <c r="W210" s="3"/>
      <c r="X210" s="22" t="str">
        <f t="shared" si="205"/>
        <v>-</v>
      </c>
      <c r="Y210" s="22"/>
      <c r="Z210" s="22" t="str">
        <f t="shared" ca="1" si="206"/>
        <v>-</v>
      </c>
      <c r="AA210" s="20" t="str">
        <f t="shared" si="207"/>
        <v>-</v>
      </c>
      <c r="AB210" s="94" t="str">
        <f t="shared" si="208"/>
        <v>---------</v>
      </c>
      <c r="AC210" s="21"/>
      <c r="AD210" s="21" t="str">
        <f t="shared" si="209"/>
        <v>-</v>
      </c>
      <c r="AE210" s="21" t="str">
        <f t="shared" si="210"/>
        <v>-</v>
      </c>
      <c r="AF210" s="85"/>
      <c r="AG210" s="21" t="str">
        <f t="shared" si="211"/>
        <v>-</v>
      </c>
      <c r="AH210" s="21" t="str">
        <f t="shared" si="212"/>
        <v>-</v>
      </c>
      <c r="AI210" s="89" t="str">
        <f t="shared" ca="1" si="213"/>
        <v>-</v>
      </c>
      <c r="AJ210" s="92">
        <v>1</v>
      </c>
      <c r="AK210" s="351">
        <v>42818</v>
      </c>
      <c r="AL210" s="234" t="s">
        <v>1614</v>
      </c>
      <c r="AM210" s="22">
        <v>40</v>
      </c>
    </row>
    <row r="211" spans="1:39" s="1" customFormat="1" ht="15.95" customHeight="1" x14ac:dyDescent="0.25">
      <c r="A211" s="77">
        <v>209</v>
      </c>
      <c r="B211" s="84">
        <f t="shared" ca="1" si="178"/>
        <v>43134</v>
      </c>
      <c r="C211" s="29" t="s">
        <v>1554</v>
      </c>
      <c r="D211" s="59" t="s">
        <v>1555</v>
      </c>
      <c r="E211" s="22" t="s">
        <v>1557</v>
      </c>
      <c r="F211" s="27" t="s">
        <v>2542</v>
      </c>
      <c r="G211" s="27"/>
      <c r="H211" s="28" t="s">
        <v>603</v>
      </c>
      <c r="I211" s="20">
        <v>42816</v>
      </c>
      <c r="J211" s="35">
        <f t="shared" ca="1" si="200"/>
        <v>0.87123287671232874</v>
      </c>
      <c r="K211" s="240">
        <f t="shared" ca="1" si="201"/>
        <v>10.6</v>
      </c>
      <c r="L211" s="35">
        <f t="shared" ca="1" si="202"/>
        <v>318</v>
      </c>
      <c r="M211" s="60"/>
      <c r="N211" s="32"/>
      <c r="O211" s="82"/>
      <c r="P211" s="19"/>
      <c r="Q211" s="68"/>
      <c r="R211" s="118"/>
      <c r="S211" s="21"/>
      <c r="T211" s="20"/>
      <c r="U211" s="20" t="str">
        <f t="shared" si="203"/>
        <v>-</v>
      </c>
      <c r="V211" s="19" t="str">
        <f t="shared" ca="1" si="204"/>
        <v>-</v>
      </c>
      <c r="W211" s="3"/>
      <c r="X211" s="22" t="str">
        <f t="shared" si="205"/>
        <v>-</v>
      </c>
      <c r="Y211" s="22"/>
      <c r="Z211" s="22" t="str">
        <f t="shared" si="206"/>
        <v>-</v>
      </c>
      <c r="AA211" s="20" t="str">
        <f t="shared" si="207"/>
        <v>-</v>
      </c>
      <c r="AB211" s="94" t="str">
        <f t="shared" si="208"/>
        <v>---------</v>
      </c>
      <c r="AC211" s="21"/>
      <c r="AD211" s="21" t="str">
        <f t="shared" si="209"/>
        <v>-</v>
      </c>
      <c r="AE211" s="21" t="str">
        <f t="shared" si="210"/>
        <v>-</v>
      </c>
      <c r="AF211" s="85"/>
      <c r="AG211" s="21" t="str">
        <f t="shared" si="211"/>
        <v>-</v>
      </c>
      <c r="AH211" s="21" t="str">
        <f t="shared" si="212"/>
        <v>-</v>
      </c>
      <c r="AI211" s="89" t="str">
        <f t="shared" ca="1" si="213"/>
        <v>-</v>
      </c>
      <c r="AJ211" s="92"/>
      <c r="AK211" s="351">
        <v>42818</v>
      </c>
      <c r="AL211" s="234" t="s">
        <v>1614</v>
      </c>
      <c r="AM211" s="22">
        <v>42</v>
      </c>
    </row>
    <row r="212" spans="1:39" s="1" customFormat="1" ht="15.95" customHeight="1" x14ac:dyDescent="0.25">
      <c r="A212" s="77">
        <v>210</v>
      </c>
      <c r="B212" s="84">
        <f t="shared" ca="1" si="178"/>
        <v>43134</v>
      </c>
      <c r="C212" s="29" t="s">
        <v>1554</v>
      </c>
      <c r="D212" s="59" t="s">
        <v>1555</v>
      </c>
      <c r="E212" s="22" t="s">
        <v>1557</v>
      </c>
      <c r="F212" s="27" t="s">
        <v>2544</v>
      </c>
      <c r="G212" s="27"/>
      <c r="H212" s="28" t="s">
        <v>603</v>
      </c>
      <c r="I212" s="20">
        <v>42816</v>
      </c>
      <c r="J212" s="35">
        <f t="shared" ca="1" si="200"/>
        <v>0.87123287671232874</v>
      </c>
      <c r="K212" s="240">
        <f t="shared" ca="1" si="201"/>
        <v>10.6</v>
      </c>
      <c r="L212" s="35">
        <f t="shared" ca="1" si="202"/>
        <v>318</v>
      </c>
      <c r="M212" s="60"/>
      <c r="N212" s="32"/>
      <c r="O212" s="82"/>
      <c r="P212" s="19"/>
      <c r="Q212" s="68"/>
      <c r="R212" s="118"/>
      <c r="S212" s="21"/>
      <c r="T212" s="20"/>
      <c r="U212" s="20" t="str">
        <f t="shared" si="203"/>
        <v>-</v>
      </c>
      <c r="V212" s="19" t="str">
        <f t="shared" ca="1" si="204"/>
        <v>-</v>
      </c>
      <c r="W212" s="3"/>
      <c r="X212" s="22" t="str">
        <f t="shared" si="205"/>
        <v>-</v>
      </c>
      <c r="Y212" s="22"/>
      <c r="Z212" s="22" t="str">
        <f t="shared" si="206"/>
        <v>-</v>
      </c>
      <c r="AA212" s="20" t="str">
        <f t="shared" si="207"/>
        <v>-</v>
      </c>
      <c r="AB212" s="94" t="str">
        <f t="shared" si="208"/>
        <v>---------</v>
      </c>
      <c r="AC212" s="21"/>
      <c r="AD212" s="21" t="str">
        <f t="shared" si="209"/>
        <v>-</v>
      </c>
      <c r="AE212" s="21" t="str">
        <f t="shared" si="210"/>
        <v>-</v>
      </c>
      <c r="AF212" s="85"/>
      <c r="AG212" s="21" t="str">
        <f t="shared" si="211"/>
        <v>-</v>
      </c>
      <c r="AH212" s="21" t="str">
        <f t="shared" si="212"/>
        <v>-</v>
      </c>
      <c r="AI212" s="89" t="str">
        <f t="shared" ca="1" si="213"/>
        <v>-</v>
      </c>
      <c r="AJ212" s="92"/>
      <c r="AK212" s="351">
        <v>42818</v>
      </c>
      <c r="AL212" s="234" t="s">
        <v>1614</v>
      </c>
      <c r="AM212" s="22">
        <v>46</v>
      </c>
    </row>
    <row r="213" spans="1:39" s="1" customFormat="1" ht="15.95" customHeight="1" x14ac:dyDescent="0.25">
      <c r="A213" s="77">
        <v>211</v>
      </c>
      <c r="B213" s="84">
        <f t="shared" ca="1" si="178"/>
        <v>43134</v>
      </c>
      <c r="C213" s="29" t="s">
        <v>1554</v>
      </c>
      <c r="D213" s="59" t="s">
        <v>1555</v>
      </c>
      <c r="E213" s="22" t="s">
        <v>1557</v>
      </c>
      <c r="F213" s="27" t="s">
        <v>2560</v>
      </c>
      <c r="G213" s="27"/>
      <c r="H213" s="28" t="s">
        <v>603</v>
      </c>
      <c r="I213" s="20">
        <v>42817</v>
      </c>
      <c r="J213" s="35">
        <f t="shared" ca="1" si="200"/>
        <v>0.86849315068493149</v>
      </c>
      <c r="K213" s="240">
        <f t="shared" ca="1" si="201"/>
        <v>10.566666666666666</v>
      </c>
      <c r="L213" s="35">
        <f t="shared" ca="1" si="202"/>
        <v>317</v>
      </c>
      <c r="M213" s="60"/>
      <c r="N213" s="32"/>
      <c r="O213" s="82"/>
      <c r="P213" s="19"/>
      <c r="Q213" s="68"/>
      <c r="R213" s="118"/>
      <c r="S213" s="21"/>
      <c r="T213" s="20"/>
      <c r="U213" s="20" t="str">
        <f t="shared" ref="U213" si="214">IF(AND(Y213&gt;1,T213&gt;0),T213+18,"-")</f>
        <v>-</v>
      </c>
      <c r="V213" s="19" t="str">
        <f t="shared" ca="1" si="204"/>
        <v>-</v>
      </c>
      <c r="W213" s="3"/>
      <c r="X213" s="22" t="str">
        <f t="shared" ref="X213" si="215">IF(AND(N213&gt;0,T213&gt;0),T213-N213,"-")</f>
        <v>-</v>
      </c>
      <c r="Y213" s="22"/>
      <c r="Z213" s="22" t="str">
        <f t="shared" ref="Z213" si="216">IF(AND(O213&gt;140,Y213=0,N213&gt;0),"яловая","-")</f>
        <v>-</v>
      </c>
      <c r="AA213" s="20" t="str">
        <f t="shared" ref="AA213" si="217">IF(AND(T213&gt;0,OR(Y213=3,Y213=2)),T213+35,"-")</f>
        <v>-</v>
      </c>
      <c r="AB213" s="94" t="str">
        <f t="shared" si="208"/>
        <v>---------</v>
      </c>
      <c r="AC213" s="21"/>
      <c r="AD213" s="21" t="str">
        <f t="shared" si="209"/>
        <v>-</v>
      </c>
      <c r="AE213" s="21" t="str">
        <f t="shared" ref="AE213" si="218">IF(AND(T213&gt;0,Y213=1,N213&gt;0),T213+280-60,"-")</f>
        <v>-</v>
      </c>
      <c r="AF213" s="85"/>
      <c r="AG213" s="21" t="str">
        <f t="shared" si="211"/>
        <v>-</v>
      </c>
      <c r="AH213" s="21" t="str">
        <f t="shared" ref="AH213" si="219">IF(AND(T213&gt;0,Y213=1),T213+280,"-")</f>
        <v>-</v>
      </c>
      <c r="AI213" s="89" t="str">
        <f t="shared" ca="1" si="213"/>
        <v>-</v>
      </c>
      <c r="AJ213" s="92"/>
      <c r="AK213" s="351">
        <v>42818</v>
      </c>
      <c r="AL213" s="234" t="s">
        <v>1614</v>
      </c>
      <c r="AM213" s="22">
        <v>50</v>
      </c>
    </row>
    <row r="214" spans="1:39" s="1" customFormat="1" ht="15.95" customHeight="1" x14ac:dyDescent="0.25">
      <c r="A214" s="77">
        <v>212</v>
      </c>
      <c r="B214" s="84">
        <f t="shared" ca="1" si="178"/>
        <v>43134</v>
      </c>
      <c r="C214" s="29" t="s">
        <v>1554</v>
      </c>
      <c r="D214" s="59" t="s">
        <v>1555</v>
      </c>
      <c r="E214" s="22" t="s">
        <v>1557</v>
      </c>
      <c r="F214" s="27" t="s">
        <v>2527</v>
      </c>
      <c r="G214" s="27"/>
      <c r="H214" s="28" t="s">
        <v>603</v>
      </c>
      <c r="I214" s="20">
        <v>42813</v>
      </c>
      <c r="J214" s="240">
        <f t="shared" ca="1" si="200"/>
        <v>0.8794520547945206</v>
      </c>
      <c r="K214" s="240">
        <f t="shared" ca="1" si="201"/>
        <v>10.7</v>
      </c>
      <c r="L214" s="240">
        <f t="shared" ca="1" si="202"/>
        <v>321</v>
      </c>
      <c r="M214" s="60"/>
      <c r="N214" s="32"/>
      <c r="O214" s="82" t="str">
        <f t="shared" ref="O214:O239" ca="1" si="220">IF(AND(B214&gt;0,N214&gt;0),B214-N214,"-")</f>
        <v>-</v>
      </c>
      <c r="P214" s="19"/>
      <c r="Q214" s="68"/>
      <c r="R214" s="118"/>
      <c r="S214" s="21"/>
      <c r="T214" s="20"/>
      <c r="U214" s="20" t="str">
        <f t="shared" ref="U214:U220" si="221">IF(AND(Y214&gt;1,T214&gt;0),T214+18,"-")</f>
        <v>-</v>
      </c>
      <c r="V214" s="19" t="str">
        <f t="shared" ca="1" si="204"/>
        <v>-</v>
      </c>
      <c r="W214" s="3"/>
      <c r="X214" s="22" t="str">
        <f t="shared" ref="X214:X220" si="222">IF(AND(N214&gt;0,T214&gt;0),T214-N214,"-")</f>
        <v>-</v>
      </c>
      <c r="Y214" s="22"/>
      <c r="Z214" s="22" t="str">
        <f t="shared" ref="Z214:Z220" ca="1" si="223">IF(AND(O214&gt;140,Y214=0,N214&gt;0),"яловая","-")</f>
        <v>-</v>
      </c>
      <c r="AA214" s="20" t="str">
        <f t="shared" ref="AA214:AA220" si="224">IF(AND(T214&gt;0,OR(Y214=3,Y214=2)),T214+35,"-")</f>
        <v>-</v>
      </c>
      <c r="AB214" s="94" t="str">
        <f t="shared" si="208"/>
        <v>---------</v>
      </c>
      <c r="AC214" s="21"/>
      <c r="AD214" s="21" t="str">
        <f t="shared" ref="AD214:AD220" si="225">IF(AND($T214&gt;0,$N214&gt;0,$Y214=1),$T214+280-90,"-")</f>
        <v>-</v>
      </c>
      <c r="AE214" s="21" t="str">
        <f t="shared" ref="AE214:AE220" si="226">IF(AND(T214&gt;0,Y214=1,N214&gt;0),T214+280-60,"-")</f>
        <v>-</v>
      </c>
      <c r="AF214" s="85"/>
      <c r="AG214" s="21" t="str">
        <f t="shared" ref="AG214:AG220" si="227">IF(AND($T214&gt;0,$Y214=1),$T214+280-21,"-")</f>
        <v>-</v>
      </c>
      <c r="AH214" s="21" t="str">
        <f t="shared" ref="AH214:AH220" si="228">IF(AND(T214&gt;0,Y214=1),T214+280,"-")</f>
        <v>-</v>
      </c>
      <c r="AI214" s="89" t="str">
        <f t="shared" ca="1" si="213"/>
        <v>-</v>
      </c>
      <c r="AJ214" s="92">
        <v>1</v>
      </c>
      <c r="AK214" s="351">
        <v>42822</v>
      </c>
      <c r="AL214" s="234" t="s">
        <v>1614</v>
      </c>
      <c r="AM214" s="22">
        <v>48</v>
      </c>
    </row>
    <row r="215" spans="1:39" s="1" customFormat="1" ht="15.75" x14ac:dyDescent="0.25">
      <c r="A215" s="77">
        <v>213</v>
      </c>
      <c r="B215" s="84">
        <f t="shared" ca="1" si="178"/>
        <v>43134</v>
      </c>
      <c r="C215" s="29" t="s">
        <v>1554</v>
      </c>
      <c r="D215" s="59" t="s">
        <v>1635</v>
      </c>
      <c r="E215" s="22" t="s">
        <v>1557</v>
      </c>
      <c r="F215" s="27" t="s">
        <v>2413</v>
      </c>
      <c r="G215" s="27"/>
      <c r="H215" s="28" t="s">
        <v>603</v>
      </c>
      <c r="I215" s="20">
        <v>42783</v>
      </c>
      <c r="J215" s="240">
        <f t="shared" ca="1" si="200"/>
        <v>0.9616438356164384</v>
      </c>
      <c r="K215" s="240">
        <f t="shared" ca="1" si="201"/>
        <v>11.7</v>
      </c>
      <c r="L215" s="240">
        <f t="shared" ca="1" si="202"/>
        <v>351</v>
      </c>
      <c r="M215" s="60"/>
      <c r="N215" s="32"/>
      <c r="O215" s="82" t="str">
        <f t="shared" ca="1" si="220"/>
        <v>-</v>
      </c>
      <c r="P215" s="19"/>
      <c r="Q215" s="68"/>
      <c r="R215" s="118"/>
      <c r="S215" s="21"/>
      <c r="T215" s="20"/>
      <c r="U215" s="20" t="str">
        <f t="shared" si="221"/>
        <v>-</v>
      </c>
      <c r="V215" s="19" t="str">
        <f t="shared" ca="1" si="204"/>
        <v>-</v>
      </c>
      <c r="W215" s="3"/>
      <c r="X215" s="22" t="str">
        <f t="shared" si="222"/>
        <v>-</v>
      </c>
      <c r="Y215" s="22"/>
      <c r="Z215" s="22" t="str">
        <f t="shared" ca="1" si="223"/>
        <v>-</v>
      </c>
      <c r="AA215" s="20" t="str">
        <f t="shared" si="224"/>
        <v>-</v>
      </c>
      <c r="AB215" s="94" t="str">
        <f t="shared" si="208"/>
        <v>---------</v>
      </c>
      <c r="AC215" s="21"/>
      <c r="AD215" s="21" t="str">
        <f t="shared" si="225"/>
        <v>-</v>
      </c>
      <c r="AE215" s="21" t="str">
        <f t="shared" si="226"/>
        <v>-</v>
      </c>
      <c r="AF215" s="85"/>
      <c r="AG215" s="21" t="str">
        <f t="shared" si="227"/>
        <v>-</v>
      </c>
      <c r="AH215" s="21" t="str">
        <f t="shared" si="228"/>
        <v>-</v>
      </c>
      <c r="AI215" s="89" t="str">
        <f t="shared" ca="1" si="213"/>
        <v>-</v>
      </c>
      <c r="AJ215" s="92">
        <v>1</v>
      </c>
      <c r="AK215" s="351">
        <v>42821</v>
      </c>
      <c r="AL215" s="234" t="s">
        <v>1614</v>
      </c>
      <c r="AM215" s="22">
        <v>44</v>
      </c>
    </row>
    <row r="216" spans="1:39" s="2" customFormat="1" ht="15.95" customHeight="1" x14ac:dyDescent="0.25">
      <c r="A216" s="77">
        <v>214</v>
      </c>
      <c r="B216" s="84">
        <f t="shared" ca="1" si="178"/>
        <v>43134</v>
      </c>
      <c r="C216" s="29" t="s">
        <v>2546</v>
      </c>
      <c r="D216" s="59" t="s">
        <v>1555</v>
      </c>
      <c r="E216" s="22" t="s">
        <v>1557</v>
      </c>
      <c r="F216" s="27" t="s">
        <v>2561</v>
      </c>
      <c r="G216" s="27"/>
      <c r="H216" s="28" t="s">
        <v>603</v>
      </c>
      <c r="I216" s="20">
        <v>42818</v>
      </c>
      <c r="J216" s="35">
        <f t="shared" ca="1" si="200"/>
        <v>0.86575342465753424</v>
      </c>
      <c r="K216" s="240">
        <f t="shared" ca="1" si="201"/>
        <v>10.533333333333333</v>
      </c>
      <c r="L216" s="35">
        <f t="shared" ca="1" si="202"/>
        <v>316</v>
      </c>
      <c r="M216" s="60"/>
      <c r="N216" s="32"/>
      <c r="O216" s="82" t="str">
        <f t="shared" ca="1" si="220"/>
        <v>-</v>
      </c>
      <c r="P216" s="19"/>
      <c r="Q216" s="68"/>
      <c r="R216" s="118"/>
      <c r="S216" s="21"/>
      <c r="T216" s="20"/>
      <c r="U216" s="20" t="str">
        <f t="shared" si="221"/>
        <v>-</v>
      </c>
      <c r="V216" s="19" t="str">
        <f t="shared" ca="1" si="204"/>
        <v>-</v>
      </c>
      <c r="W216" s="3"/>
      <c r="X216" s="22" t="str">
        <f t="shared" si="222"/>
        <v>-</v>
      </c>
      <c r="Y216" s="22"/>
      <c r="Z216" s="22" t="str">
        <f t="shared" ca="1" si="223"/>
        <v>-</v>
      </c>
      <c r="AA216" s="20" t="str">
        <f t="shared" si="224"/>
        <v>-</v>
      </c>
      <c r="AB216" s="94" t="str">
        <f t="shared" si="208"/>
        <v>---------</v>
      </c>
      <c r="AC216" s="21"/>
      <c r="AD216" s="21" t="str">
        <f t="shared" si="225"/>
        <v>-</v>
      </c>
      <c r="AE216" s="21" t="str">
        <f t="shared" si="226"/>
        <v>-</v>
      </c>
      <c r="AF216" s="85"/>
      <c r="AG216" s="21" t="str">
        <f t="shared" si="227"/>
        <v>-</v>
      </c>
      <c r="AH216" s="21" t="str">
        <f t="shared" si="228"/>
        <v>-</v>
      </c>
      <c r="AI216" s="89" t="str">
        <f t="shared" ca="1" si="213"/>
        <v>-</v>
      </c>
      <c r="AJ216" s="92"/>
      <c r="AK216" s="93">
        <v>42828</v>
      </c>
      <c r="AL216" s="234" t="s">
        <v>1614</v>
      </c>
      <c r="AM216" s="22">
        <v>50</v>
      </c>
    </row>
    <row r="217" spans="1:39" s="2" customFormat="1" ht="15.95" customHeight="1" x14ac:dyDescent="0.25">
      <c r="A217" s="77">
        <v>215</v>
      </c>
      <c r="B217" s="84">
        <f t="shared" ca="1" si="178"/>
        <v>43134</v>
      </c>
      <c r="C217" s="29" t="s">
        <v>2546</v>
      </c>
      <c r="D217" s="59" t="s">
        <v>1555</v>
      </c>
      <c r="E217" s="22" t="s">
        <v>1557</v>
      </c>
      <c r="F217" s="27" t="s">
        <v>2569</v>
      </c>
      <c r="G217" s="27"/>
      <c r="H217" s="28" t="s">
        <v>603</v>
      </c>
      <c r="I217" s="20">
        <v>42820</v>
      </c>
      <c r="J217" s="240">
        <f t="shared" ca="1" si="200"/>
        <v>0.86027397260273974</v>
      </c>
      <c r="K217" s="240">
        <f t="shared" ca="1" si="201"/>
        <v>10.466666666666667</v>
      </c>
      <c r="L217" s="35">
        <f t="shared" ca="1" si="202"/>
        <v>314</v>
      </c>
      <c r="M217" s="60"/>
      <c r="N217" s="32"/>
      <c r="O217" s="82" t="str">
        <f t="shared" ca="1" si="220"/>
        <v>-</v>
      </c>
      <c r="P217" s="19"/>
      <c r="Q217" s="68"/>
      <c r="R217" s="118"/>
      <c r="S217" s="21"/>
      <c r="T217" s="20"/>
      <c r="U217" s="20" t="str">
        <f t="shared" si="221"/>
        <v>-</v>
      </c>
      <c r="V217" s="19" t="str">
        <f t="shared" ca="1" si="204"/>
        <v>-</v>
      </c>
      <c r="W217" s="3"/>
      <c r="X217" s="22" t="str">
        <f t="shared" si="222"/>
        <v>-</v>
      </c>
      <c r="Y217" s="22"/>
      <c r="Z217" s="22" t="str">
        <f t="shared" ca="1" si="223"/>
        <v>-</v>
      </c>
      <c r="AA217" s="20" t="str">
        <f t="shared" si="224"/>
        <v>-</v>
      </c>
      <c r="AB217" s="94" t="str">
        <f t="shared" si="208"/>
        <v>---------</v>
      </c>
      <c r="AC217" s="21"/>
      <c r="AD217" s="21" t="str">
        <f t="shared" si="225"/>
        <v>-</v>
      </c>
      <c r="AE217" s="21" t="str">
        <f t="shared" si="226"/>
        <v>-</v>
      </c>
      <c r="AF217" s="85"/>
      <c r="AG217" s="21" t="str">
        <f t="shared" si="227"/>
        <v>-</v>
      </c>
      <c r="AH217" s="21" t="str">
        <f t="shared" si="228"/>
        <v>-</v>
      </c>
      <c r="AI217" s="89" t="str">
        <f t="shared" ca="1" si="213"/>
        <v>-</v>
      </c>
      <c r="AJ217" s="92">
        <v>1</v>
      </c>
      <c r="AK217" s="93">
        <v>42828</v>
      </c>
      <c r="AL217" s="234" t="s">
        <v>1614</v>
      </c>
      <c r="AM217" s="22">
        <v>50</v>
      </c>
    </row>
    <row r="218" spans="1:39" s="2" customFormat="1" ht="15.95" customHeight="1" x14ac:dyDescent="0.25">
      <c r="A218" s="77">
        <v>216</v>
      </c>
      <c r="B218" s="84">
        <f t="shared" ca="1" si="178"/>
        <v>43134</v>
      </c>
      <c r="C218" s="29" t="s">
        <v>2546</v>
      </c>
      <c r="D218" s="59" t="s">
        <v>1555</v>
      </c>
      <c r="E218" s="22" t="s">
        <v>1557</v>
      </c>
      <c r="F218" s="27" t="s">
        <v>2592</v>
      </c>
      <c r="G218" s="27"/>
      <c r="H218" s="28" t="s">
        <v>603</v>
      </c>
      <c r="I218" s="20">
        <v>42824</v>
      </c>
      <c r="J218" s="35">
        <f t="shared" ca="1" si="200"/>
        <v>0.84931506849315064</v>
      </c>
      <c r="K218" s="240">
        <f t="shared" ca="1" si="201"/>
        <v>10.333333333333334</v>
      </c>
      <c r="L218" s="35">
        <f t="shared" ca="1" si="202"/>
        <v>310</v>
      </c>
      <c r="M218" s="60"/>
      <c r="N218" s="32"/>
      <c r="O218" s="82" t="str">
        <f t="shared" ca="1" si="220"/>
        <v>-</v>
      </c>
      <c r="P218" s="19"/>
      <c r="Q218" s="68"/>
      <c r="R218" s="118"/>
      <c r="S218" s="21"/>
      <c r="T218" s="20"/>
      <c r="U218" s="20" t="str">
        <f t="shared" si="221"/>
        <v>-</v>
      </c>
      <c r="V218" s="19" t="str">
        <f t="shared" ca="1" si="204"/>
        <v>-</v>
      </c>
      <c r="W218" s="3"/>
      <c r="X218" s="22" t="str">
        <f t="shared" si="222"/>
        <v>-</v>
      </c>
      <c r="Y218" s="22"/>
      <c r="Z218" s="22" t="str">
        <f t="shared" ca="1" si="223"/>
        <v>-</v>
      </c>
      <c r="AA218" s="20" t="str">
        <f t="shared" si="224"/>
        <v>-</v>
      </c>
      <c r="AB218" s="94" t="str">
        <f t="shared" si="208"/>
        <v>---------</v>
      </c>
      <c r="AC218" s="21"/>
      <c r="AD218" s="21" t="str">
        <f t="shared" si="225"/>
        <v>-</v>
      </c>
      <c r="AE218" s="21" t="str">
        <f t="shared" si="226"/>
        <v>-</v>
      </c>
      <c r="AF218" s="85"/>
      <c r="AG218" s="21" t="str">
        <f t="shared" si="227"/>
        <v>-</v>
      </c>
      <c r="AH218" s="21" t="str">
        <f t="shared" si="228"/>
        <v>-</v>
      </c>
      <c r="AI218" s="89" t="str">
        <f t="shared" ca="1" si="213"/>
        <v>-</v>
      </c>
      <c r="AJ218" s="92"/>
      <c r="AK218" s="93">
        <v>42828</v>
      </c>
      <c r="AL218" s="234" t="s">
        <v>1614</v>
      </c>
      <c r="AM218" s="22">
        <v>45</v>
      </c>
    </row>
    <row r="219" spans="1:39" s="2" customFormat="1" ht="15.95" customHeight="1" x14ac:dyDescent="0.25">
      <c r="A219" s="77">
        <v>217</v>
      </c>
      <c r="B219" s="84">
        <f t="shared" ca="1" si="178"/>
        <v>43134</v>
      </c>
      <c r="C219" s="29" t="s">
        <v>2546</v>
      </c>
      <c r="D219" s="59" t="s">
        <v>1555</v>
      </c>
      <c r="E219" s="22" t="s">
        <v>1557</v>
      </c>
      <c r="F219" s="27" t="s">
        <v>2594</v>
      </c>
      <c r="G219" s="27"/>
      <c r="H219" s="28" t="s">
        <v>603</v>
      </c>
      <c r="I219" s="20">
        <v>42825</v>
      </c>
      <c r="J219" s="35">
        <f t="shared" ca="1" si="200"/>
        <v>0.84657534246575339</v>
      </c>
      <c r="K219" s="240">
        <f t="shared" ca="1" si="201"/>
        <v>10.3</v>
      </c>
      <c r="L219" s="35">
        <f t="shared" ca="1" si="202"/>
        <v>309</v>
      </c>
      <c r="M219" s="60"/>
      <c r="N219" s="32"/>
      <c r="O219" s="82" t="str">
        <f t="shared" ca="1" si="220"/>
        <v>-</v>
      </c>
      <c r="P219" s="19"/>
      <c r="Q219" s="68"/>
      <c r="R219" s="118"/>
      <c r="S219" s="21"/>
      <c r="T219" s="20"/>
      <c r="U219" s="20" t="str">
        <f t="shared" si="221"/>
        <v>-</v>
      </c>
      <c r="V219" s="19" t="str">
        <f t="shared" ca="1" si="204"/>
        <v>-</v>
      </c>
      <c r="W219" s="3"/>
      <c r="X219" s="22" t="str">
        <f t="shared" si="222"/>
        <v>-</v>
      </c>
      <c r="Y219" s="22"/>
      <c r="Z219" s="22" t="str">
        <f t="shared" ca="1" si="223"/>
        <v>-</v>
      </c>
      <c r="AA219" s="20" t="str">
        <f t="shared" si="224"/>
        <v>-</v>
      </c>
      <c r="AB219" s="94" t="str">
        <f t="shared" si="208"/>
        <v>---------</v>
      </c>
      <c r="AC219" s="21"/>
      <c r="AD219" s="21" t="str">
        <f t="shared" si="225"/>
        <v>-</v>
      </c>
      <c r="AE219" s="21" t="str">
        <f t="shared" si="226"/>
        <v>-</v>
      </c>
      <c r="AF219" s="85"/>
      <c r="AG219" s="21" t="str">
        <f t="shared" si="227"/>
        <v>-</v>
      </c>
      <c r="AH219" s="21" t="str">
        <f t="shared" si="228"/>
        <v>-</v>
      </c>
      <c r="AI219" s="89" t="str">
        <f t="shared" ca="1" si="213"/>
        <v>-</v>
      </c>
      <c r="AJ219" s="92"/>
      <c r="AK219" s="93">
        <v>42829</v>
      </c>
      <c r="AL219" s="234" t="s">
        <v>1614</v>
      </c>
      <c r="AM219" s="22">
        <v>50</v>
      </c>
    </row>
    <row r="220" spans="1:39" s="2" customFormat="1" ht="15.95" customHeight="1" x14ac:dyDescent="0.25">
      <c r="A220" s="77">
        <v>218</v>
      </c>
      <c r="B220" s="84">
        <f t="shared" ca="1" si="178"/>
        <v>43134</v>
      </c>
      <c r="C220" s="29" t="s">
        <v>2546</v>
      </c>
      <c r="D220" s="59" t="s">
        <v>1555</v>
      </c>
      <c r="E220" s="22" t="s">
        <v>1557</v>
      </c>
      <c r="F220" s="27" t="s">
        <v>2595</v>
      </c>
      <c r="G220" s="27"/>
      <c r="H220" s="28" t="s">
        <v>603</v>
      </c>
      <c r="I220" s="20">
        <v>42825</v>
      </c>
      <c r="J220" s="35">
        <f t="shared" ca="1" si="200"/>
        <v>0.84657534246575339</v>
      </c>
      <c r="K220" s="240">
        <f t="shared" ca="1" si="201"/>
        <v>10.3</v>
      </c>
      <c r="L220" s="35">
        <f t="shared" ca="1" si="202"/>
        <v>309</v>
      </c>
      <c r="M220" s="60"/>
      <c r="N220" s="32"/>
      <c r="O220" s="82" t="str">
        <f t="shared" ca="1" si="220"/>
        <v>-</v>
      </c>
      <c r="P220" s="19"/>
      <c r="Q220" s="68"/>
      <c r="R220" s="118"/>
      <c r="S220" s="21"/>
      <c r="T220" s="20"/>
      <c r="U220" s="20" t="str">
        <f t="shared" si="221"/>
        <v>-</v>
      </c>
      <c r="V220" s="19" t="str">
        <f t="shared" ca="1" si="204"/>
        <v>-</v>
      </c>
      <c r="W220" s="3"/>
      <c r="X220" s="22" t="str">
        <f t="shared" si="222"/>
        <v>-</v>
      </c>
      <c r="Y220" s="22"/>
      <c r="Z220" s="22" t="str">
        <f t="shared" ca="1" si="223"/>
        <v>-</v>
      </c>
      <c r="AA220" s="20" t="str">
        <f t="shared" si="224"/>
        <v>-</v>
      </c>
      <c r="AB220" s="94" t="str">
        <f t="shared" si="208"/>
        <v>---------</v>
      </c>
      <c r="AC220" s="21"/>
      <c r="AD220" s="21" t="str">
        <f t="shared" si="225"/>
        <v>-</v>
      </c>
      <c r="AE220" s="21" t="str">
        <f t="shared" si="226"/>
        <v>-</v>
      </c>
      <c r="AF220" s="85"/>
      <c r="AG220" s="21" t="str">
        <f t="shared" si="227"/>
        <v>-</v>
      </c>
      <c r="AH220" s="21" t="str">
        <f t="shared" si="228"/>
        <v>-</v>
      </c>
      <c r="AI220" s="89" t="str">
        <f t="shared" ca="1" si="213"/>
        <v>-</v>
      </c>
      <c r="AJ220" s="92"/>
      <c r="AK220" s="93">
        <v>42829</v>
      </c>
      <c r="AL220" s="234" t="s">
        <v>1614</v>
      </c>
      <c r="AM220" s="22">
        <v>46</v>
      </c>
    </row>
    <row r="221" spans="1:39" s="1" customFormat="1" ht="15.95" customHeight="1" x14ac:dyDescent="0.25">
      <c r="A221" s="77">
        <v>219</v>
      </c>
      <c r="B221" s="84">
        <f t="shared" ca="1" si="178"/>
        <v>43134</v>
      </c>
      <c r="C221" s="29" t="s">
        <v>2585</v>
      </c>
      <c r="D221" s="59" t="s">
        <v>2586</v>
      </c>
      <c r="E221" s="22" t="s">
        <v>1557</v>
      </c>
      <c r="F221" s="27" t="s">
        <v>1807</v>
      </c>
      <c r="G221" s="27"/>
      <c r="H221" s="28" t="s">
        <v>603</v>
      </c>
      <c r="I221" s="20">
        <v>42480</v>
      </c>
      <c r="J221" s="240">
        <f t="shared" ca="1" si="200"/>
        <v>1.7917808219178082</v>
      </c>
      <c r="K221" s="240">
        <f t="shared" ca="1" si="201"/>
        <v>21.8</v>
      </c>
      <c r="L221" s="240">
        <f t="shared" ca="1" si="202"/>
        <v>654</v>
      </c>
      <c r="M221" s="60"/>
      <c r="N221" s="32"/>
      <c r="O221" s="82" t="str">
        <f t="shared" ca="1" si="220"/>
        <v>-</v>
      </c>
      <c r="P221" s="19"/>
      <c r="Q221" s="68"/>
      <c r="R221" s="118"/>
      <c r="S221" s="21"/>
      <c r="T221" s="20"/>
      <c r="U221" s="20" t="str">
        <f>IF(AND(Y221&gt;1,T221&gt;0),T221+18,"-")</f>
        <v>-</v>
      </c>
      <c r="V221" s="19" t="str">
        <f t="shared" ca="1" si="204"/>
        <v>-</v>
      </c>
      <c r="W221" s="3"/>
      <c r="X221" s="22" t="str">
        <f>IF(AND(N221&gt;0,T221&gt;0),T221-N221,"-")</f>
        <v>-</v>
      </c>
      <c r="Y221" s="22"/>
      <c r="Z221" s="22" t="str">
        <f ca="1">IF(AND(O221&gt;140,Y221=0,N221&gt;0),"яловая","-")</f>
        <v>-</v>
      </c>
      <c r="AA221" s="20" t="str">
        <f>IF(AND(T221&gt;0,OR(Y221=3,Y221=2)),T221+35,"-")</f>
        <v>-</v>
      </c>
      <c r="AB221" s="94" t="str">
        <f t="shared" si="208"/>
        <v>---------</v>
      </c>
      <c r="AC221" s="21"/>
      <c r="AD221" s="21" t="str">
        <f>IF(AND($T221&gt;0,$N221&gt;0,$Y221=1),$T221+280-90,"-")</f>
        <v>-</v>
      </c>
      <c r="AE221" s="21" t="str">
        <f>IF(AND(T221&gt;0,Y221=1,N221&gt;0),T221+280-60,"-")</f>
        <v>-</v>
      </c>
      <c r="AF221" s="85"/>
      <c r="AG221" s="21" t="str">
        <f>IF(AND($T221&gt;0,$Y221=1),$T221+280-21,"-")</f>
        <v>-</v>
      </c>
      <c r="AH221" s="21" t="str">
        <f>IF(AND(T221&gt;0,Y221=1),T221+280,"-")</f>
        <v>-</v>
      </c>
      <c r="AI221" s="89" t="str">
        <f t="shared" ca="1" si="213"/>
        <v>-</v>
      </c>
      <c r="AJ221" s="92">
        <v>1</v>
      </c>
      <c r="AK221" s="93">
        <v>42831</v>
      </c>
      <c r="AL221" s="80" t="s">
        <v>1630</v>
      </c>
      <c r="AM221" s="22" t="str">
        <f t="shared" ref="AM221" si="229">IF(AND(Y221=1,P221=0),"НЕТЕЛЬ","-")</f>
        <v>-</v>
      </c>
    </row>
    <row r="222" spans="1:39" s="2" customFormat="1" ht="15.95" customHeight="1" x14ac:dyDescent="0.25">
      <c r="A222" s="77">
        <v>220</v>
      </c>
      <c r="B222" s="84">
        <f t="shared" ca="1" si="178"/>
        <v>43134</v>
      </c>
      <c r="C222" s="29" t="s">
        <v>2546</v>
      </c>
      <c r="D222" s="59" t="s">
        <v>1555</v>
      </c>
      <c r="E222" s="22" t="s">
        <v>1557</v>
      </c>
      <c r="F222" s="27" t="s">
        <v>2596</v>
      </c>
      <c r="G222" s="27"/>
      <c r="H222" s="28" t="s">
        <v>603</v>
      </c>
      <c r="I222" s="20">
        <v>42825</v>
      </c>
      <c r="J222" s="240">
        <f t="shared" ca="1" si="200"/>
        <v>0.84657534246575339</v>
      </c>
      <c r="K222" s="240">
        <f t="shared" ca="1" si="201"/>
        <v>10.3</v>
      </c>
      <c r="L222" s="35">
        <f t="shared" ca="1" si="202"/>
        <v>309</v>
      </c>
      <c r="M222" s="60"/>
      <c r="N222" s="32"/>
      <c r="O222" s="82" t="str">
        <f t="shared" ca="1" si="220"/>
        <v>-</v>
      </c>
      <c r="P222" s="19"/>
      <c r="Q222" s="68"/>
      <c r="R222" s="118"/>
      <c r="S222" s="21"/>
      <c r="T222" s="20"/>
      <c r="U222" s="20" t="str">
        <f t="shared" ref="U222:U226" si="230">IF(AND(Y222&gt;1,T222&gt;0),T222+18,"-")</f>
        <v>-</v>
      </c>
      <c r="V222" s="19" t="str">
        <f t="shared" ca="1" si="204"/>
        <v>-</v>
      </c>
      <c r="W222" s="3"/>
      <c r="X222" s="22" t="str">
        <f t="shared" ref="X222:X226" si="231">IF(AND(N222&gt;0,T222&gt;0),T222-N222,"-")</f>
        <v>-</v>
      </c>
      <c r="Y222" s="22"/>
      <c r="Z222" s="22" t="str">
        <f t="shared" ref="Z222:Z226" ca="1" si="232">IF(AND(O222&gt;140,Y222=0,N222&gt;0),"яловая","-")</f>
        <v>-</v>
      </c>
      <c r="AA222" s="20" t="str">
        <f t="shared" ref="AA222:AA226" si="233">IF(AND(T222&gt;0,OR(Y222=3,Y222=2)),T222+35,"-")</f>
        <v>-</v>
      </c>
      <c r="AB222" s="94" t="str">
        <f t="shared" si="208"/>
        <v>---------</v>
      </c>
      <c r="AC222" s="21"/>
      <c r="AD222" s="21" t="str">
        <f t="shared" ref="AD222:AD226" si="234">IF(AND($T222&gt;0,$N222&gt;0,$Y222=1),$T222+280-90,"-")</f>
        <v>-</v>
      </c>
      <c r="AE222" s="21" t="str">
        <f t="shared" ref="AE222:AE226" si="235">IF(AND(T222&gt;0,Y222=1,N222&gt;0),T222+280-60,"-")</f>
        <v>-</v>
      </c>
      <c r="AF222" s="85"/>
      <c r="AG222" s="21" t="str">
        <f t="shared" ref="AG222:AG226" si="236">IF(AND($T222&gt;0,$Y222=1),$T222+280-21,"-")</f>
        <v>-</v>
      </c>
      <c r="AH222" s="21" t="str">
        <f t="shared" ref="AH222:AH226" si="237">IF(AND(T222&gt;0,Y222=1),T222+280,"-")</f>
        <v>-</v>
      </c>
      <c r="AI222" s="89" t="str">
        <f t="shared" ca="1" si="213"/>
        <v>-</v>
      </c>
      <c r="AJ222" s="92"/>
      <c r="AK222" s="93">
        <v>42829</v>
      </c>
      <c r="AL222" s="80" t="s">
        <v>1614</v>
      </c>
      <c r="AM222" s="22">
        <v>47</v>
      </c>
    </row>
    <row r="223" spans="1:39" s="2" customFormat="1" ht="15.95" customHeight="1" x14ac:dyDescent="0.25">
      <c r="A223" s="77">
        <v>221</v>
      </c>
      <c r="B223" s="84">
        <f t="shared" ca="1" si="178"/>
        <v>43134</v>
      </c>
      <c r="C223" s="29" t="s">
        <v>2546</v>
      </c>
      <c r="D223" s="59" t="s">
        <v>1555</v>
      </c>
      <c r="E223" s="22" t="s">
        <v>1557</v>
      </c>
      <c r="F223" s="27" t="s">
        <v>2564</v>
      </c>
      <c r="G223" s="27"/>
      <c r="H223" s="28" t="s">
        <v>603</v>
      </c>
      <c r="I223" s="20">
        <v>42818</v>
      </c>
      <c r="J223" s="240">
        <f t="shared" ca="1" si="200"/>
        <v>0.86575342465753424</v>
      </c>
      <c r="K223" s="240">
        <f t="shared" ca="1" si="201"/>
        <v>10.533333333333333</v>
      </c>
      <c r="L223" s="35">
        <f t="shared" ca="1" si="202"/>
        <v>316</v>
      </c>
      <c r="M223" s="60"/>
      <c r="N223" s="32"/>
      <c r="O223" s="82" t="str">
        <f t="shared" ca="1" si="220"/>
        <v>-</v>
      </c>
      <c r="P223" s="19"/>
      <c r="Q223" s="68"/>
      <c r="R223" s="118"/>
      <c r="S223" s="21"/>
      <c r="T223" s="20"/>
      <c r="U223" s="20" t="str">
        <f t="shared" si="230"/>
        <v>-</v>
      </c>
      <c r="V223" s="19" t="str">
        <f t="shared" ca="1" si="204"/>
        <v>-</v>
      </c>
      <c r="W223" s="3"/>
      <c r="X223" s="22" t="str">
        <f t="shared" si="231"/>
        <v>-</v>
      </c>
      <c r="Y223" s="22"/>
      <c r="Z223" s="22" t="str">
        <f t="shared" ca="1" si="232"/>
        <v>-</v>
      </c>
      <c r="AA223" s="20" t="str">
        <f t="shared" si="233"/>
        <v>-</v>
      </c>
      <c r="AB223" s="94" t="str">
        <f t="shared" si="208"/>
        <v>---------</v>
      </c>
      <c r="AC223" s="21"/>
      <c r="AD223" s="21" t="str">
        <f t="shared" si="234"/>
        <v>-</v>
      </c>
      <c r="AE223" s="21" t="str">
        <f t="shared" si="235"/>
        <v>-</v>
      </c>
      <c r="AF223" s="85"/>
      <c r="AG223" s="21" t="str">
        <f t="shared" si="236"/>
        <v>-</v>
      </c>
      <c r="AH223" s="21" t="str">
        <f t="shared" si="237"/>
        <v>-</v>
      </c>
      <c r="AI223" s="89" t="str">
        <f t="shared" ca="1" si="213"/>
        <v>-</v>
      </c>
      <c r="AJ223" s="92">
        <v>1</v>
      </c>
      <c r="AK223" s="93">
        <v>42829</v>
      </c>
      <c r="AL223" s="80" t="s">
        <v>1614</v>
      </c>
      <c r="AM223" s="22">
        <v>46</v>
      </c>
    </row>
    <row r="224" spans="1:39" s="2" customFormat="1" ht="15.95" customHeight="1" x14ac:dyDescent="0.25">
      <c r="A224" s="77">
        <v>222</v>
      </c>
      <c r="B224" s="84">
        <f t="shared" ca="1" si="178"/>
        <v>43134</v>
      </c>
      <c r="C224" s="29" t="s">
        <v>2546</v>
      </c>
      <c r="D224" s="59" t="s">
        <v>1555</v>
      </c>
      <c r="E224" s="22" t="s">
        <v>1557</v>
      </c>
      <c r="F224" s="27" t="s">
        <v>2618</v>
      </c>
      <c r="G224" s="27"/>
      <c r="H224" s="28" t="s">
        <v>603</v>
      </c>
      <c r="I224" s="20">
        <v>42830</v>
      </c>
      <c r="J224" s="35">
        <f t="shared" ca="1" si="200"/>
        <v>0.83287671232876714</v>
      </c>
      <c r="K224" s="240">
        <f t="shared" ca="1" si="201"/>
        <v>10.133333333333333</v>
      </c>
      <c r="L224" s="35">
        <f t="shared" ca="1" si="202"/>
        <v>304</v>
      </c>
      <c r="M224" s="60"/>
      <c r="N224" s="32"/>
      <c r="O224" s="82" t="str">
        <f t="shared" ca="1" si="220"/>
        <v>-</v>
      </c>
      <c r="P224" s="19"/>
      <c r="Q224" s="68"/>
      <c r="R224" s="118"/>
      <c r="S224" s="21"/>
      <c r="T224" s="20"/>
      <c r="U224" s="20" t="str">
        <f t="shared" si="230"/>
        <v>-</v>
      </c>
      <c r="V224" s="19" t="str">
        <f t="shared" ca="1" si="204"/>
        <v>-</v>
      </c>
      <c r="W224" s="3"/>
      <c r="X224" s="22" t="str">
        <f t="shared" si="231"/>
        <v>-</v>
      </c>
      <c r="Y224" s="22"/>
      <c r="Z224" s="22" t="str">
        <f t="shared" ca="1" si="232"/>
        <v>-</v>
      </c>
      <c r="AA224" s="20" t="str">
        <f t="shared" si="233"/>
        <v>-</v>
      </c>
      <c r="AB224" s="94" t="str">
        <f t="shared" si="208"/>
        <v>---------</v>
      </c>
      <c r="AC224" s="21"/>
      <c r="AD224" s="21" t="str">
        <f t="shared" si="234"/>
        <v>-</v>
      </c>
      <c r="AE224" s="21" t="str">
        <f t="shared" si="235"/>
        <v>-</v>
      </c>
      <c r="AF224" s="85"/>
      <c r="AG224" s="21" t="str">
        <f t="shared" si="236"/>
        <v>-</v>
      </c>
      <c r="AH224" s="21" t="str">
        <f t="shared" si="237"/>
        <v>-</v>
      </c>
      <c r="AI224" s="89" t="str">
        <f t="shared" ca="1" si="213"/>
        <v>-</v>
      </c>
      <c r="AJ224" s="92">
        <v>1</v>
      </c>
      <c r="AK224" s="93">
        <v>42832</v>
      </c>
      <c r="AL224" s="80" t="s">
        <v>1614</v>
      </c>
      <c r="AM224" s="22">
        <v>50</v>
      </c>
    </row>
    <row r="225" spans="1:39" s="2" customFormat="1" ht="15.95" customHeight="1" x14ac:dyDescent="0.25">
      <c r="A225" s="77">
        <v>223</v>
      </c>
      <c r="B225" s="84">
        <f t="shared" ca="1" si="178"/>
        <v>43134</v>
      </c>
      <c r="C225" s="29" t="s">
        <v>2546</v>
      </c>
      <c r="D225" s="59" t="s">
        <v>1555</v>
      </c>
      <c r="E225" s="22" t="s">
        <v>1557</v>
      </c>
      <c r="F225" s="27" t="s">
        <v>2621</v>
      </c>
      <c r="G225" s="27"/>
      <c r="H225" s="28" t="s">
        <v>603</v>
      </c>
      <c r="I225" s="20">
        <v>42831</v>
      </c>
      <c r="J225" s="35">
        <f t="shared" ca="1" si="200"/>
        <v>0.83013698630136989</v>
      </c>
      <c r="K225" s="240">
        <f t="shared" ca="1" si="201"/>
        <v>10.1</v>
      </c>
      <c r="L225" s="35">
        <f t="shared" ca="1" si="202"/>
        <v>303</v>
      </c>
      <c r="M225" s="60"/>
      <c r="N225" s="32"/>
      <c r="O225" s="82" t="str">
        <f t="shared" ca="1" si="220"/>
        <v>-</v>
      </c>
      <c r="P225" s="19"/>
      <c r="Q225" s="68"/>
      <c r="R225" s="118"/>
      <c r="S225" s="21"/>
      <c r="T225" s="20"/>
      <c r="U225" s="20" t="str">
        <f t="shared" si="230"/>
        <v>-</v>
      </c>
      <c r="V225" s="19" t="str">
        <f t="shared" ca="1" si="204"/>
        <v>-</v>
      </c>
      <c r="W225" s="3"/>
      <c r="X225" s="22" t="str">
        <f t="shared" si="231"/>
        <v>-</v>
      </c>
      <c r="Y225" s="22"/>
      <c r="Z225" s="22" t="str">
        <f t="shared" ca="1" si="232"/>
        <v>-</v>
      </c>
      <c r="AA225" s="20" t="str">
        <f t="shared" si="233"/>
        <v>-</v>
      </c>
      <c r="AB225" s="94" t="str">
        <f t="shared" si="208"/>
        <v>---------</v>
      </c>
      <c r="AC225" s="21"/>
      <c r="AD225" s="21" t="str">
        <f t="shared" si="234"/>
        <v>-</v>
      </c>
      <c r="AE225" s="21" t="str">
        <f t="shared" si="235"/>
        <v>-</v>
      </c>
      <c r="AF225" s="85"/>
      <c r="AG225" s="21" t="str">
        <f t="shared" si="236"/>
        <v>-</v>
      </c>
      <c r="AH225" s="21" t="str">
        <f t="shared" si="237"/>
        <v>-</v>
      </c>
      <c r="AI225" s="89" t="str">
        <f t="shared" ca="1" si="213"/>
        <v>-</v>
      </c>
      <c r="AJ225" s="92">
        <v>1</v>
      </c>
      <c r="AK225" s="93">
        <v>42832</v>
      </c>
      <c r="AL225" s="80" t="s">
        <v>1614</v>
      </c>
      <c r="AM225" s="22">
        <v>47</v>
      </c>
    </row>
    <row r="226" spans="1:39" s="2" customFormat="1" ht="15.95" customHeight="1" x14ac:dyDescent="0.25">
      <c r="A226" s="77">
        <v>224</v>
      </c>
      <c r="B226" s="84">
        <f t="shared" ca="1" si="178"/>
        <v>43134</v>
      </c>
      <c r="C226" s="29" t="s">
        <v>2547</v>
      </c>
      <c r="D226" s="59" t="s">
        <v>1635</v>
      </c>
      <c r="E226" s="22" t="s">
        <v>1563</v>
      </c>
      <c r="F226" s="27" t="s">
        <v>2537</v>
      </c>
      <c r="G226" s="27"/>
      <c r="H226" s="28" t="s">
        <v>603</v>
      </c>
      <c r="I226" s="20">
        <v>42815</v>
      </c>
      <c r="J226" s="240">
        <f t="shared" ca="1" si="200"/>
        <v>0.87397260273972599</v>
      </c>
      <c r="K226" s="240">
        <f t="shared" ca="1" si="201"/>
        <v>10.633333333333333</v>
      </c>
      <c r="L226" s="240">
        <f t="shared" ca="1" si="202"/>
        <v>319</v>
      </c>
      <c r="M226" s="60"/>
      <c r="N226" s="32"/>
      <c r="O226" s="82" t="str">
        <f t="shared" ca="1" si="220"/>
        <v>-</v>
      </c>
      <c r="P226" s="19"/>
      <c r="Q226" s="68"/>
      <c r="R226" s="118"/>
      <c r="S226" s="21"/>
      <c r="T226" s="20"/>
      <c r="U226" s="20" t="str">
        <f t="shared" si="230"/>
        <v>-</v>
      </c>
      <c r="V226" s="19" t="str">
        <f t="shared" ca="1" si="204"/>
        <v>-</v>
      </c>
      <c r="W226" s="3"/>
      <c r="X226" s="22" t="str">
        <f t="shared" si="231"/>
        <v>-</v>
      </c>
      <c r="Y226" s="22"/>
      <c r="Z226" s="22" t="str">
        <f t="shared" ca="1" si="232"/>
        <v>-</v>
      </c>
      <c r="AA226" s="20" t="str">
        <f t="shared" si="233"/>
        <v>-</v>
      </c>
      <c r="AB226" s="94" t="str">
        <f t="shared" si="208"/>
        <v>---------</v>
      </c>
      <c r="AC226" s="21"/>
      <c r="AD226" s="21" t="str">
        <f t="shared" si="234"/>
        <v>-</v>
      </c>
      <c r="AE226" s="21" t="str">
        <f t="shared" si="235"/>
        <v>-</v>
      </c>
      <c r="AF226" s="85"/>
      <c r="AG226" s="21" t="str">
        <f t="shared" si="236"/>
        <v>-</v>
      </c>
      <c r="AH226" s="21" t="str">
        <f t="shared" si="237"/>
        <v>-</v>
      </c>
      <c r="AI226" s="89" t="str">
        <f t="shared" ca="1" si="213"/>
        <v>-</v>
      </c>
      <c r="AJ226" s="92">
        <v>1</v>
      </c>
      <c r="AK226" s="93">
        <v>42832</v>
      </c>
      <c r="AL226" s="80" t="s">
        <v>1614</v>
      </c>
      <c r="AM226" s="22">
        <v>36</v>
      </c>
    </row>
    <row r="227" spans="1:39" s="1" customFormat="1" ht="15.95" customHeight="1" x14ac:dyDescent="0.25">
      <c r="A227" s="77">
        <v>225</v>
      </c>
      <c r="B227" s="84">
        <f t="shared" ca="1" si="178"/>
        <v>43134</v>
      </c>
      <c r="C227" s="29" t="s">
        <v>2548</v>
      </c>
      <c r="D227" s="59" t="s">
        <v>2586</v>
      </c>
      <c r="E227" s="22" t="s">
        <v>1563</v>
      </c>
      <c r="F227" s="239" t="s">
        <v>1762</v>
      </c>
      <c r="G227" s="239"/>
      <c r="H227" s="28" t="s">
        <v>603</v>
      </c>
      <c r="I227" s="20">
        <v>42442</v>
      </c>
      <c r="J227" s="240">
        <f t="shared" ca="1" si="200"/>
        <v>1.8958904109589041</v>
      </c>
      <c r="K227" s="240">
        <f t="shared" ca="1" si="201"/>
        <v>23.066666666666666</v>
      </c>
      <c r="L227" s="240">
        <f t="shared" ca="1" si="202"/>
        <v>692</v>
      </c>
      <c r="M227" s="60"/>
      <c r="N227" s="32"/>
      <c r="O227" s="82" t="str">
        <f t="shared" ca="1" si="220"/>
        <v>-</v>
      </c>
      <c r="P227" s="19"/>
      <c r="Q227" s="68"/>
      <c r="R227" s="118"/>
      <c r="S227" s="21"/>
      <c r="T227" s="20"/>
      <c r="U227" s="20" t="str">
        <f t="shared" ref="U227:U232" si="238">IF(AND(Y227&gt;1,T227&gt;0),T227+18,"-")</f>
        <v>-</v>
      </c>
      <c r="V227" s="19" t="str">
        <f t="shared" ca="1" si="204"/>
        <v>-</v>
      </c>
      <c r="W227" s="3"/>
      <c r="X227" s="22" t="str">
        <f t="shared" ref="X227:X232" si="239">IF(AND(N227&gt;0,T227&gt;0),T227-N227,"-")</f>
        <v>-</v>
      </c>
      <c r="Y227" s="22"/>
      <c r="Z227" s="22" t="str">
        <f t="shared" ref="Z227:Z232" ca="1" si="240">IF(AND(O227&gt;140,Y227=0,N227&gt;0),"яловая","-")</f>
        <v>-</v>
      </c>
      <c r="AA227" s="20" t="str">
        <f t="shared" ref="AA227:AA232" si="241">IF(AND(T227&gt;0,OR(Y227=3,Y227=2)),T227+35,"-")</f>
        <v>-</v>
      </c>
      <c r="AB227" s="94" t="str">
        <f t="shared" si="208"/>
        <v>---------</v>
      </c>
      <c r="AC227" s="21"/>
      <c r="AD227" s="21" t="str">
        <f t="shared" ref="AD227:AD232" si="242">IF(AND($T227&gt;0,$N227&gt;0,$Y227=1),$T227+280-90,"-")</f>
        <v>-</v>
      </c>
      <c r="AE227" s="21" t="str">
        <f t="shared" ref="AE227:AE232" si="243">IF(AND(T227&gt;0,Y227=1,N227&gt;0),T227+280-60,"-")</f>
        <v>-</v>
      </c>
      <c r="AF227" s="85"/>
      <c r="AG227" s="21" t="str">
        <f t="shared" ref="AG227:AG232" si="244">IF(AND($T227&gt;0,$Y227=1),$T227+280-21,"-")</f>
        <v>-</v>
      </c>
      <c r="AH227" s="21" t="str">
        <f t="shared" ref="AH227:AH232" si="245">IF(AND(T227&gt;0,Y227=1),T227+280,"-")</f>
        <v>-</v>
      </c>
      <c r="AI227" s="89" t="str">
        <f t="shared" ca="1" si="213"/>
        <v>-</v>
      </c>
      <c r="AJ227" s="92">
        <v>1</v>
      </c>
      <c r="AK227" s="93">
        <v>42832</v>
      </c>
      <c r="AL227" s="80" t="s">
        <v>2629</v>
      </c>
      <c r="AM227" s="22" t="str">
        <f t="shared" ref="AM227" si="246">IF(AND(Y227=1,P227=0),"НЕТЕЛЬ","-")</f>
        <v>-</v>
      </c>
    </row>
    <row r="228" spans="1:39" s="2" customFormat="1" ht="15.95" customHeight="1" x14ac:dyDescent="0.25">
      <c r="A228" s="77">
        <v>226</v>
      </c>
      <c r="B228" s="84">
        <f t="shared" ca="1" si="178"/>
        <v>43134</v>
      </c>
      <c r="C228" s="29" t="s">
        <v>2546</v>
      </c>
      <c r="D228" s="59" t="s">
        <v>1555</v>
      </c>
      <c r="E228" s="22" t="s">
        <v>1557</v>
      </c>
      <c r="F228" s="27" t="s">
        <v>2608</v>
      </c>
      <c r="G228" s="27"/>
      <c r="H228" s="28" t="s">
        <v>603</v>
      </c>
      <c r="I228" s="20">
        <v>42829</v>
      </c>
      <c r="J228" s="240">
        <f t="shared" ca="1" si="200"/>
        <v>0.83561643835616439</v>
      </c>
      <c r="K228" s="240">
        <f t="shared" ca="1" si="201"/>
        <v>10.166666666666666</v>
      </c>
      <c r="L228" s="35">
        <f t="shared" ca="1" si="202"/>
        <v>305</v>
      </c>
      <c r="M228" s="60"/>
      <c r="N228" s="32"/>
      <c r="O228" s="82" t="str">
        <f t="shared" ca="1" si="220"/>
        <v>-</v>
      </c>
      <c r="P228" s="19"/>
      <c r="Q228" s="68"/>
      <c r="R228" s="118"/>
      <c r="S228" s="21"/>
      <c r="T228" s="20"/>
      <c r="U228" s="20" t="str">
        <f t="shared" si="238"/>
        <v>-</v>
      </c>
      <c r="V228" s="19" t="str">
        <f t="shared" ca="1" si="204"/>
        <v>-</v>
      </c>
      <c r="W228" s="3"/>
      <c r="X228" s="22" t="str">
        <f t="shared" si="239"/>
        <v>-</v>
      </c>
      <c r="Y228" s="22"/>
      <c r="Z228" s="22" t="str">
        <f t="shared" ca="1" si="240"/>
        <v>-</v>
      </c>
      <c r="AA228" s="20" t="str">
        <f t="shared" si="241"/>
        <v>-</v>
      </c>
      <c r="AB228" s="94" t="str">
        <f t="shared" si="208"/>
        <v>---------</v>
      </c>
      <c r="AC228" s="21"/>
      <c r="AD228" s="21" t="str">
        <f t="shared" si="242"/>
        <v>-</v>
      </c>
      <c r="AE228" s="21" t="str">
        <f t="shared" si="243"/>
        <v>-</v>
      </c>
      <c r="AF228" s="85"/>
      <c r="AG228" s="21" t="str">
        <f t="shared" si="244"/>
        <v>-</v>
      </c>
      <c r="AH228" s="21" t="str">
        <f t="shared" si="245"/>
        <v>-</v>
      </c>
      <c r="AI228" s="89" t="str">
        <f t="shared" ca="1" si="213"/>
        <v>-</v>
      </c>
      <c r="AJ228" s="92">
        <v>1</v>
      </c>
      <c r="AK228" s="93">
        <v>42832</v>
      </c>
      <c r="AL228" s="80" t="s">
        <v>1614</v>
      </c>
      <c r="AM228" s="22">
        <v>48</v>
      </c>
    </row>
    <row r="229" spans="1:39" s="2" customFormat="1" ht="15.95" customHeight="1" x14ac:dyDescent="0.25">
      <c r="A229" s="77">
        <v>227</v>
      </c>
      <c r="B229" s="84">
        <f t="shared" ca="1" si="178"/>
        <v>43134</v>
      </c>
      <c r="C229" s="29" t="s">
        <v>2546</v>
      </c>
      <c r="D229" s="59" t="s">
        <v>1555</v>
      </c>
      <c r="E229" s="22" t="s">
        <v>1557</v>
      </c>
      <c r="F229" s="27" t="s">
        <v>2616</v>
      </c>
      <c r="G229" s="27"/>
      <c r="H229" s="28" t="s">
        <v>603</v>
      </c>
      <c r="I229" s="20">
        <v>42830</v>
      </c>
      <c r="J229" s="35">
        <f t="shared" ca="1" si="200"/>
        <v>0.83287671232876714</v>
      </c>
      <c r="K229" s="240">
        <f t="shared" ca="1" si="201"/>
        <v>10.133333333333333</v>
      </c>
      <c r="L229" s="35">
        <f t="shared" ca="1" si="202"/>
        <v>304</v>
      </c>
      <c r="M229" s="60"/>
      <c r="N229" s="32"/>
      <c r="O229" s="82" t="str">
        <f t="shared" ca="1" si="220"/>
        <v>-</v>
      </c>
      <c r="P229" s="19"/>
      <c r="Q229" s="68"/>
      <c r="R229" s="118"/>
      <c r="S229" s="21"/>
      <c r="T229" s="20"/>
      <c r="U229" s="20" t="str">
        <f t="shared" si="238"/>
        <v>-</v>
      </c>
      <c r="V229" s="19" t="str">
        <f t="shared" ca="1" si="204"/>
        <v>-</v>
      </c>
      <c r="W229" s="3"/>
      <c r="X229" s="22" t="str">
        <f t="shared" si="239"/>
        <v>-</v>
      </c>
      <c r="Y229" s="22"/>
      <c r="Z229" s="22" t="str">
        <f t="shared" ca="1" si="240"/>
        <v>-</v>
      </c>
      <c r="AA229" s="20" t="str">
        <f t="shared" si="241"/>
        <v>-</v>
      </c>
      <c r="AB229" s="94" t="str">
        <f t="shared" si="208"/>
        <v>---------</v>
      </c>
      <c r="AC229" s="21"/>
      <c r="AD229" s="21" t="str">
        <f t="shared" si="242"/>
        <v>-</v>
      </c>
      <c r="AE229" s="21" t="str">
        <f t="shared" si="243"/>
        <v>-</v>
      </c>
      <c r="AF229" s="85"/>
      <c r="AG229" s="21" t="str">
        <f t="shared" si="244"/>
        <v>-</v>
      </c>
      <c r="AH229" s="21" t="str">
        <f t="shared" si="245"/>
        <v>-</v>
      </c>
      <c r="AI229" s="89" t="str">
        <f t="shared" ca="1" si="213"/>
        <v>-</v>
      </c>
      <c r="AJ229" s="92">
        <v>1</v>
      </c>
      <c r="AK229" s="93">
        <v>42832</v>
      </c>
      <c r="AL229" s="80" t="s">
        <v>1614</v>
      </c>
      <c r="AM229" s="22">
        <v>47</v>
      </c>
    </row>
    <row r="230" spans="1:39" s="2" customFormat="1" ht="15.95" customHeight="1" x14ac:dyDescent="0.25">
      <c r="A230" s="77">
        <v>228</v>
      </c>
      <c r="B230" s="84">
        <f t="shared" ca="1" si="178"/>
        <v>43134</v>
      </c>
      <c r="C230" s="29" t="s">
        <v>2546</v>
      </c>
      <c r="D230" s="59" t="s">
        <v>1555</v>
      </c>
      <c r="E230" s="22" t="s">
        <v>1557</v>
      </c>
      <c r="F230" s="27" t="s">
        <v>2602</v>
      </c>
      <c r="G230" s="27"/>
      <c r="H230" s="28" t="s">
        <v>603</v>
      </c>
      <c r="I230" s="20">
        <v>42827</v>
      </c>
      <c r="J230" s="240">
        <f t="shared" ca="1" si="200"/>
        <v>0.84109589041095889</v>
      </c>
      <c r="K230" s="240">
        <f t="shared" ca="1" si="201"/>
        <v>10.233333333333333</v>
      </c>
      <c r="L230" s="35">
        <f t="shared" ca="1" si="202"/>
        <v>307</v>
      </c>
      <c r="M230" s="60"/>
      <c r="N230" s="32"/>
      <c r="O230" s="82" t="str">
        <f t="shared" ca="1" si="220"/>
        <v>-</v>
      </c>
      <c r="P230" s="19"/>
      <c r="Q230" s="68"/>
      <c r="R230" s="118"/>
      <c r="S230" s="21"/>
      <c r="T230" s="20"/>
      <c r="U230" s="20" t="str">
        <f t="shared" si="238"/>
        <v>-</v>
      </c>
      <c r="V230" s="19" t="str">
        <f t="shared" ca="1" si="204"/>
        <v>-</v>
      </c>
      <c r="W230" s="3"/>
      <c r="X230" s="22" t="str">
        <f t="shared" si="239"/>
        <v>-</v>
      </c>
      <c r="Y230" s="22"/>
      <c r="Z230" s="22" t="str">
        <f t="shared" ca="1" si="240"/>
        <v>-</v>
      </c>
      <c r="AA230" s="20" t="str">
        <f t="shared" si="241"/>
        <v>-</v>
      </c>
      <c r="AB230" s="94" t="str">
        <f t="shared" si="208"/>
        <v>---------</v>
      </c>
      <c r="AC230" s="21"/>
      <c r="AD230" s="21" t="str">
        <f t="shared" si="242"/>
        <v>-</v>
      </c>
      <c r="AE230" s="21" t="str">
        <f t="shared" si="243"/>
        <v>-</v>
      </c>
      <c r="AF230" s="85"/>
      <c r="AG230" s="21" t="str">
        <f t="shared" si="244"/>
        <v>-</v>
      </c>
      <c r="AH230" s="21" t="str">
        <f t="shared" si="245"/>
        <v>-</v>
      </c>
      <c r="AI230" s="89" t="str">
        <f t="shared" ca="1" si="213"/>
        <v>-</v>
      </c>
      <c r="AJ230" s="92">
        <v>1</v>
      </c>
      <c r="AK230" s="93">
        <v>42835</v>
      </c>
      <c r="AL230" s="80" t="s">
        <v>1614</v>
      </c>
      <c r="AM230" s="22">
        <v>45</v>
      </c>
    </row>
    <row r="231" spans="1:39" s="2" customFormat="1" ht="15.95" customHeight="1" x14ac:dyDescent="0.25">
      <c r="A231" s="77">
        <v>229</v>
      </c>
      <c r="B231" s="84">
        <f t="shared" ca="1" si="178"/>
        <v>43134</v>
      </c>
      <c r="C231" s="29" t="s">
        <v>2546</v>
      </c>
      <c r="D231" s="59" t="s">
        <v>1555</v>
      </c>
      <c r="E231" s="22" t="s">
        <v>1557</v>
      </c>
      <c r="F231" s="27" t="s">
        <v>2620</v>
      </c>
      <c r="G231" s="27"/>
      <c r="H231" s="28" t="s">
        <v>603</v>
      </c>
      <c r="I231" s="20">
        <v>42831</v>
      </c>
      <c r="J231" s="35">
        <f t="shared" ca="1" si="200"/>
        <v>0.83013698630136989</v>
      </c>
      <c r="K231" s="240">
        <f t="shared" ca="1" si="201"/>
        <v>10.1</v>
      </c>
      <c r="L231" s="35">
        <f t="shared" ca="1" si="202"/>
        <v>303</v>
      </c>
      <c r="M231" s="60"/>
      <c r="N231" s="32"/>
      <c r="O231" s="82" t="str">
        <f t="shared" ca="1" si="220"/>
        <v>-</v>
      </c>
      <c r="P231" s="19"/>
      <c r="Q231" s="68"/>
      <c r="R231" s="118"/>
      <c r="S231" s="21"/>
      <c r="T231" s="20"/>
      <c r="U231" s="20" t="str">
        <f t="shared" si="238"/>
        <v>-</v>
      </c>
      <c r="V231" s="19" t="str">
        <f t="shared" ca="1" si="204"/>
        <v>-</v>
      </c>
      <c r="W231" s="3"/>
      <c r="X231" s="22" t="str">
        <f t="shared" si="239"/>
        <v>-</v>
      </c>
      <c r="Y231" s="22"/>
      <c r="Z231" s="22" t="str">
        <f t="shared" ca="1" si="240"/>
        <v>-</v>
      </c>
      <c r="AA231" s="20" t="str">
        <f t="shared" si="241"/>
        <v>-</v>
      </c>
      <c r="AB231" s="94" t="str">
        <f t="shared" si="208"/>
        <v>---------</v>
      </c>
      <c r="AC231" s="21"/>
      <c r="AD231" s="21" t="str">
        <f t="shared" si="242"/>
        <v>-</v>
      </c>
      <c r="AE231" s="21" t="str">
        <f t="shared" si="243"/>
        <v>-</v>
      </c>
      <c r="AF231" s="85"/>
      <c r="AG231" s="21" t="str">
        <f t="shared" si="244"/>
        <v>-</v>
      </c>
      <c r="AH231" s="21" t="str">
        <f t="shared" si="245"/>
        <v>-</v>
      </c>
      <c r="AI231" s="89" t="str">
        <f t="shared" ca="1" si="213"/>
        <v>-</v>
      </c>
      <c r="AJ231" s="92">
        <v>1</v>
      </c>
      <c r="AK231" s="93">
        <v>42835</v>
      </c>
      <c r="AL231" s="80" t="s">
        <v>1614</v>
      </c>
      <c r="AM231" s="22">
        <v>44</v>
      </c>
    </row>
    <row r="232" spans="1:39" s="2" customFormat="1" ht="15.95" customHeight="1" x14ac:dyDescent="0.25">
      <c r="A232" s="77">
        <v>230</v>
      </c>
      <c r="B232" s="84">
        <f t="shared" ca="1" si="178"/>
        <v>43134</v>
      </c>
      <c r="C232" s="29" t="s">
        <v>2546</v>
      </c>
      <c r="D232" s="59" t="s">
        <v>1555</v>
      </c>
      <c r="E232" s="22" t="s">
        <v>1557</v>
      </c>
      <c r="F232" s="27" t="s">
        <v>2622</v>
      </c>
      <c r="G232" s="27"/>
      <c r="H232" s="28" t="s">
        <v>603</v>
      </c>
      <c r="I232" s="20">
        <v>42832</v>
      </c>
      <c r="J232" s="35">
        <f t="shared" ca="1" si="200"/>
        <v>0.82739726027397265</v>
      </c>
      <c r="K232" s="240">
        <f t="shared" ca="1" si="201"/>
        <v>10.066666666666666</v>
      </c>
      <c r="L232" s="35">
        <f t="shared" ca="1" si="202"/>
        <v>302</v>
      </c>
      <c r="M232" s="60"/>
      <c r="N232" s="32"/>
      <c r="O232" s="82" t="str">
        <f t="shared" ca="1" si="220"/>
        <v>-</v>
      </c>
      <c r="P232" s="19"/>
      <c r="Q232" s="68"/>
      <c r="R232" s="118"/>
      <c r="S232" s="21"/>
      <c r="T232" s="20"/>
      <c r="U232" s="20" t="str">
        <f t="shared" si="238"/>
        <v>-</v>
      </c>
      <c r="V232" s="19" t="str">
        <f t="shared" ca="1" si="204"/>
        <v>-</v>
      </c>
      <c r="W232" s="3"/>
      <c r="X232" s="22" t="str">
        <f t="shared" si="239"/>
        <v>-</v>
      </c>
      <c r="Y232" s="22"/>
      <c r="Z232" s="22" t="str">
        <f t="shared" ca="1" si="240"/>
        <v>-</v>
      </c>
      <c r="AA232" s="20" t="str">
        <f t="shared" si="241"/>
        <v>-</v>
      </c>
      <c r="AB232" s="94" t="str">
        <f t="shared" si="208"/>
        <v>---------</v>
      </c>
      <c r="AC232" s="21"/>
      <c r="AD232" s="21" t="str">
        <f t="shared" si="242"/>
        <v>-</v>
      </c>
      <c r="AE232" s="21" t="str">
        <f t="shared" si="243"/>
        <v>-</v>
      </c>
      <c r="AF232" s="85"/>
      <c r="AG232" s="21" t="str">
        <f t="shared" si="244"/>
        <v>-</v>
      </c>
      <c r="AH232" s="21" t="str">
        <f t="shared" si="245"/>
        <v>-</v>
      </c>
      <c r="AI232" s="89" t="str">
        <f t="shared" ca="1" si="213"/>
        <v>-</v>
      </c>
      <c r="AJ232" s="92">
        <v>1</v>
      </c>
      <c r="AK232" s="93">
        <v>42835</v>
      </c>
      <c r="AL232" s="80" t="s">
        <v>1614</v>
      </c>
      <c r="AM232" s="22">
        <v>53</v>
      </c>
    </row>
    <row r="233" spans="1:39" s="2" customFormat="1" ht="15.95" customHeight="1" x14ac:dyDescent="0.25">
      <c r="A233" s="77">
        <v>231</v>
      </c>
      <c r="B233" s="84">
        <f t="shared" ca="1" si="178"/>
        <v>43134</v>
      </c>
      <c r="C233" s="29" t="s">
        <v>2546</v>
      </c>
      <c r="D233" s="59" t="s">
        <v>1555</v>
      </c>
      <c r="E233" s="22" t="s">
        <v>1557</v>
      </c>
      <c r="F233" s="27" t="s">
        <v>2624</v>
      </c>
      <c r="G233" s="27"/>
      <c r="H233" s="28" t="s">
        <v>603</v>
      </c>
      <c r="I233" s="20">
        <v>42833</v>
      </c>
      <c r="J233" s="35">
        <f t="shared" ca="1" si="200"/>
        <v>0.8246575342465754</v>
      </c>
      <c r="K233" s="240">
        <f t="shared" ca="1" si="201"/>
        <v>10.033333333333333</v>
      </c>
      <c r="L233" s="35">
        <f t="shared" ca="1" si="202"/>
        <v>301</v>
      </c>
      <c r="M233" s="60"/>
      <c r="N233" s="32"/>
      <c r="O233" s="82" t="str">
        <f t="shared" ca="1" si="220"/>
        <v>-</v>
      </c>
      <c r="P233" s="19"/>
      <c r="Q233" s="68"/>
      <c r="R233" s="118"/>
      <c r="S233" s="21"/>
      <c r="T233" s="20"/>
      <c r="U233" s="20" t="str">
        <f>IF(AND(Y233&gt;1,T233&gt;0),T233+18,"-")</f>
        <v>-</v>
      </c>
      <c r="V233" s="19" t="str">
        <f t="shared" ca="1" si="204"/>
        <v>-</v>
      </c>
      <c r="W233" s="3"/>
      <c r="X233" s="22" t="str">
        <f>IF(AND(N233&gt;0,T233&gt;0),T233-N233,"-")</f>
        <v>-</v>
      </c>
      <c r="Y233" s="22"/>
      <c r="Z233" s="22" t="str">
        <f ca="1">IF(AND(O233&gt;140,Y233=0,N233&gt;0),"яловая","-")</f>
        <v>-</v>
      </c>
      <c r="AA233" s="20" t="str">
        <f>IF(AND(T233&gt;0,OR(Y233=3,Y233=2)),T233+35,"-")</f>
        <v>-</v>
      </c>
      <c r="AB233" s="94" t="str">
        <f t="shared" si="208"/>
        <v>---------</v>
      </c>
      <c r="AC233" s="21"/>
      <c r="AD233" s="21" t="str">
        <f>IF(AND($T233&gt;0,$N233&gt;0,$Y233=1),$T233+280-90,"-")</f>
        <v>-</v>
      </c>
      <c r="AE233" s="21" t="str">
        <f>IF(AND(T233&gt;0,Y233=1,N233&gt;0),T233+280-60,"-")</f>
        <v>-</v>
      </c>
      <c r="AF233" s="85"/>
      <c r="AG233" s="21" t="str">
        <f>IF(AND($T233&gt;0,$Y233=1),$T233+280-21,"-")</f>
        <v>-</v>
      </c>
      <c r="AH233" s="21" t="str">
        <f>IF(AND(T233&gt;0,Y233=1),T233+280,"-")</f>
        <v>-</v>
      </c>
      <c r="AI233" s="89" t="str">
        <f t="shared" ca="1" si="213"/>
        <v>-</v>
      </c>
      <c r="AJ233" s="92">
        <v>1</v>
      </c>
      <c r="AK233" s="93">
        <v>42837</v>
      </c>
      <c r="AL233" s="80" t="s">
        <v>1614</v>
      </c>
      <c r="AM233" s="22">
        <v>44</v>
      </c>
    </row>
    <row r="234" spans="1:39" s="2" customFormat="1" ht="15.95" customHeight="1" x14ac:dyDescent="0.25">
      <c r="A234" s="77">
        <v>232</v>
      </c>
      <c r="B234" s="84">
        <f t="shared" ca="1" si="178"/>
        <v>43134</v>
      </c>
      <c r="C234" s="29" t="s">
        <v>2546</v>
      </c>
      <c r="D234" s="59" t="s">
        <v>1555</v>
      </c>
      <c r="E234" s="22" t="s">
        <v>1557</v>
      </c>
      <c r="F234" s="27" t="s">
        <v>2627</v>
      </c>
      <c r="G234" s="27"/>
      <c r="H234" s="28" t="s">
        <v>603</v>
      </c>
      <c r="I234" s="20">
        <v>42834</v>
      </c>
      <c r="J234" s="35">
        <f t="shared" ca="1" si="200"/>
        <v>0.82191780821917804</v>
      </c>
      <c r="K234" s="240">
        <f t="shared" ca="1" si="201"/>
        <v>10</v>
      </c>
      <c r="L234" s="35">
        <f t="shared" ca="1" si="202"/>
        <v>300</v>
      </c>
      <c r="M234" s="60"/>
      <c r="N234" s="32"/>
      <c r="O234" s="82" t="str">
        <f t="shared" ca="1" si="220"/>
        <v>-</v>
      </c>
      <c r="P234" s="19"/>
      <c r="Q234" s="68"/>
      <c r="R234" s="118"/>
      <c r="S234" s="21"/>
      <c r="T234" s="20"/>
      <c r="U234" s="20" t="str">
        <f>IF(AND(Y234&gt;1,T234&gt;0),T234+18,"-")</f>
        <v>-</v>
      </c>
      <c r="V234" s="19" t="str">
        <f t="shared" ca="1" si="204"/>
        <v>-</v>
      </c>
      <c r="W234" s="3"/>
      <c r="X234" s="22" t="str">
        <f>IF(AND(N234&gt;0,T234&gt;0),T234-N234,"-")</f>
        <v>-</v>
      </c>
      <c r="Y234" s="22"/>
      <c r="Z234" s="22" t="str">
        <f ca="1">IF(AND(O234&gt;140,Y234=0,N234&gt;0),"яловая","-")</f>
        <v>-</v>
      </c>
      <c r="AA234" s="20" t="str">
        <f>IF(AND(T234&gt;0,OR(Y234=3,Y234=2)),T234+35,"-")</f>
        <v>-</v>
      </c>
      <c r="AB234" s="94" t="str">
        <f t="shared" si="208"/>
        <v>---------</v>
      </c>
      <c r="AC234" s="21"/>
      <c r="AD234" s="21" t="str">
        <f>IF(AND($T234&gt;0,$N234&gt;0,$Y234=1),$T234+280-90,"-")</f>
        <v>-</v>
      </c>
      <c r="AE234" s="21" t="str">
        <f>IF(AND(T234&gt;0,Y234=1,N234&gt;0),T234+280-60,"-")</f>
        <v>-</v>
      </c>
      <c r="AF234" s="85"/>
      <c r="AG234" s="21" t="str">
        <f>IF(AND($T234&gt;0,$Y234=1),$T234+280-21,"-")</f>
        <v>-</v>
      </c>
      <c r="AH234" s="21" t="str">
        <f>IF(AND(T234&gt;0,Y234=1),T234+280,"-")</f>
        <v>-</v>
      </c>
      <c r="AI234" s="89" t="str">
        <f t="shared" ca="1" si="213"/>
        <v>-</v>
      </c>
      <c r="AJ234" s="92">
        <v>1</v>
      </c>
      <c r="AK234" s="93">
        <v>42837</v>
      </c>
      <c r="AL234" s="80" t="s">
        <v>1614</v>
      </c>
      <c r="AM234" s="22">
        <v>46</v>
      </c>
    </row>
    <row r="235" spans="1:39" s="2" customFormat="1" ht="15.95" customHeight="1" x14ac:dyDescent="0.25">
      <c r="A235" s="77">
        <v>233</v>
      </c>
      <c r="B235" s="84">
        <f t="shared" ca="1" si="178"/>
        <v>43134</v>
      </c>
      <c r="C235" s="29" t="s">
        <v>2546</v>
      </c>
      <c r="D235" s="59" t="s">
        <v>1555</v>
      </c>
      <c r="E235" s="22" t="s">
        <v>1557</v>
      </c>
      <c r="F235" s="27" t="s">
        <v>2623</v>
      </c>
      <c r="G235" s="27"/>
      <c r="H235" s="28" t="s">
        <v>603</v>
      </c>
      <c r="I235" s="20">
        <v>42832</v>
      </c>
      <c r="J235" s="35">
        <f t="shared" ca="1" si="200"/>
        <v>0.82739726027397265</v>
      </c>
      <c r="K235" s="240">
        <f t="shared" ca="1" si="201"/>
        <v>10.066666666666666</v>
      </c>
      <c r="L235" s="35">
        <f t="shared" ca="1" si="202"/>
        <v>302</v>
      </c>
      <c r="M235" s="60"/>
      <c r="N235" s="32"/>
      <c r="O235" s="82" t="str">
        <f t="shared" ca="1" si="220"/>
        <v>-</v>
      </c>
      <c r="P235" s="19"/>
      <c r="Q235" s="68"/>
      <c r="R235" s="118"/>
      <c r="S235" s="21"/>
      <c r="T235" s="20"/>
      <c r="U235" s="20" t="str">
        <f>IF(AND(Y235&gt;1,T235&gt;0),T235+18,"-")</f>
        <v>-</v>
      </c>
      <c r="V235" s="19" t="str">
        <f t="shared" ca="1" si="204"/>
        <v>-</v>
      </c>
      <c r="W235" s="3"/>
      <c r="X235" s="22" t="str">
        <f>IF(AND(N235&gt;0,T235&gt;0),T235-N235,"-")</f>
        <v>-</v>
      </c>
      <c r="Y235" s="22"/>
      <c r="Z235" s="22" t="str">
        <f ca="1">IF(AND(O235&gt;140,Y235=0,N235&gt;0),"яловая","-")</f>
        <v>-</v>
      </c>
      <c r="AA235" s="20" t="str">
        <f>IF(AND(T235&gt;0,OR(Y235=3,Y235=2)),T235+35,"-")</f>
        <v>-</v>
      </c>
      <c r="AB235" s="94" t="str">
        <f t="shared" si="208"/>
        <v>---------</v>
      </c>
      <c r="AC235" s="21"/>
      <c r="AD235" s="21" t="str">
        <f>IF(AND($T235&gt;0,$N235&gt;0,$Y235=1),$T235+280-90,"-")</f>
        <v>-</v>
      </c>
      <c r="AE235" s="21" t="str">
        <f>IF(AND(T235&gt;0,Y235=1,N235&gt;0),T235+280-60,"-")</f>
        <v>-</v>
      </c>
      <c r="AF235" s="85"/>
      <c r="AG235" s="21" t="str">
        <f>IF(AND($T235&gt;0,$Y235=1),$T235+280-21,"-")</f>
        <v>-</v>
      </c>
      <c r="AH235" s="21" t="str">
        <f>IF(AND(T235&gt;0,Y235=1),T235+280,"-")</f>
        <v>-</v>
      </c>
      <c r="AI235" s="89" t="str">
        <f t="shared" ca="1" si="213"/>
        <v>-</v>
      </c>
      <c r="AJ235" s="92">
        <v>1</v>
      </c>
      <c r="AK235" s="93">
        <v>42835</v>
      </c>
      <c r="AL235" s="80" t="s">
        <v>1614</v>
      </c>
      <c r="AM235" s="22">
        <v>48</v>
      </c>
    </row>
    <row r="236" spans="1:39" s="2" customFormat="1" ht="15.95" customHeight="1" x14ac:dyDescent="0.25">
      <c r="A236" s="77">
        <v>234</v>
      </c>
      <c r="B236" s="84">
        <f t="shared" ca="1" si="178"/>
        <v>43134</v>
      </c>
      <c r="C236" s="29" t="s">
        <v>2546</v>
      </c>
      <c r="D236" s="59" t="s">
        <v>1555</v>
      </c>
      <c r="E236" s="22" t="s">
        <v>1557</v>
      </c>
      <c r="F236" s="27" t="s">
        <v>2626</v>
      </c>
      <c r="G236" s="27"/>
      <c r="H236" s="28" t="s">
        <v>603</v>
      </c>
      <c r="I236" s="20">
        <v>42833</v>
      </c>
      <c r="J236" s="35">
        <f t="shared" ca="1" si="200"/>
        <v>0.8246575342465754</v>
      </c>
      <c r="K236" s="240">
        <f t="shared" ca="1" si="201"/>
        <v>10.033333333333333</v>
      </c>
      <c r="L236" s="35">
        <f t="shared" ca="1" si="202"/>
        <v>301</v>
      </c>
      <c r="M236" s="60"/>
      <c r="N236" s="32"/>
      <c r="O236" s="82" t="str">
        <f t="shared" ca="1" si="220"/>
        <v>-</v>
      </c>
      <c r="P236" s="19"/>
      <c r="Q236" s="68"/>
      <c r="R236" s="118"/>
      <c r="S236" s="21"/>
      <c r="T236" s="20"/>
      <c r="U236" s="20" t="str">
        <f>IF(AND(Y236&gt;1,T236&gt;0),T236+18,"-")</f>
        <v>-</v>
      </c>
      <c r="V236" s="19" t="str">
        <f t="shared" ca="1" si="204"/>
        <v>-</v>
      </c>
      <c r="W236" s="3"/>
      <c r="X236" s="22" t="str">
        <f>IF(AND(N236&gt;0,T236&gt;0),T236-N236,"-")</f>
        <v>-</v>
      </c>
      <c r="Y236" s="22"/>
      <c r="Z236" s="22" t="str">
        <f ca="1">IF(AND(O236&gt;140,Y236=0,N236&gt;0),"яловая","-")</f>
        <v>-</v>
      </c>
      <c r="AA236" s="20" t="str">
        <f>IF(AND(T236&gt;0,OR(Y236=3,Y236=2)),T236+35,"-")</f>
        <v>-</v>
      </c>
      <c r="AB236" s="94" t="str">
        <f t="shared" si="208"/>
        <v>---------</v>
      </c>
      <c r="AC236" s="21"/>
      <c r="AD236" s="21" t="str">
        <f>IF(AND($T236&gt;0,$N236&gt;0,$Y236=1),$T236+280-90,"-")</f>
        <v>-</v>
      </c>
      <c r="AE236" s="21" t="str">
        <f>IF(AND(T236&gt;0,Y236=1,N236&gt;0),T236+280-60,"-")</f>
        <v>-</v>
      </c>
      <c r="AF236" s="85"/>
      <c r="AG236" s="21" t="str">
        <f>IF(AND($T236&gt;0,$Y236=1),$T236+280-21,"-")</f>
        <v>-</v>
      </c>
      <c r="AH236" s="21" t="str">
        <f>IF(AND(T236&gt;0,Y236=1),T236+280,"-")</f>
        <v>-</v>
      </c>
      <c r="AI236" s="89" t="str">
        <f t="shared" ca="1" si="213"/>
        <v>-</v>
      </c>
      <c r="AJ236" s="92">
        <v>1</v>
      </c>
      <c r="AK236" s="93">
        <v>42835</v>
      </c>
      <c r="AL236" s="80" t="s">
        <v>1614</v>
      </c>
      <c r="AM236" s="22">
        <v>42</v>
      </c>
    </row>
    <row r="237" spans="1:39" s="2" customFormat="1" ht="15.95" customHeight="1" x14ac:dyDescent="0.25">
      <c r="A237" s="77">
        <v>235</v>
      </c>
      <c r="B237" s="84">
        <f t="shared" ca="1" si="178"/>
        <v>43134</v>
      </c>
      <c r="C237" s="271" t="s">
        <v>2584</v>
      </c>
      <c r="D237" s="59" t="s">
        <v>2582</v>
      </c>
      <c r="E237" s="22" t="s">
        <v>1563</v>
      </c>
      <c r="F237" s="27" t="s">
        <v>1468</v>
      </c>
      <c r="G237" s="27"/>
      <c r="H237" s="28" t="s">
        <v>603</v>
      </c>
      <c r="I237" s="20">
        <v>42092</v>
      </c>
      <c r="J237" s="240">
        <f t="shared" ca="1" si="200"/>
        <v>2.8547945205479452</v>
      </c>
      <c r="K237" s="240">
        <f t="shared" ca="1" si="201"/>
        <v>34.733333333333334</v>
      </c>
      <c r="L237" s="240">
        <f t="shared" ca="1" si="202"/>
        <v>1042</v>
      </c>
      <c r="M237" s="60"/>
      <c r="N237" s="32"/>
      <c r="O237" s="82" t="str">
        <f t="shared" ca="1" si="220"/>
        <v>-</v>
      </c>
      <c r="P237" s="19"/>
      <c r="Q237" s="68" t="s">
        <v>1482</v>
      </c>
      <c r="R237" s="118" t="s">
        <v>1874</v>
      </c>
      <c r="S237" s="21">
        <v>42609</v>
      </c>
      <c r="T237" s="20">
        <v>42723</v>
      </c>
      <c r="U237" s="20" t="str">
        <f>IF(AND(Y237&gt;1,T237&gt;0),T237+18,"-")</f>
        <v>-</v>
      </c>
      <c r="V237" s="19" t="str">
        <f t="shared" ca="1" si="204"/>
        <v>-</v>
      </c>
      <c r="W237" s="3">
        <v>3</v>
      </c>
      <c r="X237" s="22" t="str">
        <f>IF(AND(N237&gt;0,T237&gt;0),T237-N237,"-")</f>
        <v>-</v>
      </c>
      <c r="Y237" s="22">
        <v>0</v>
      </c>
      <c r="Z237" s="22" t="str">
        <f ca="1">IF(AND(O237&gt;140,Y237=0,N237&gt;0),"яловая","-")</f>
        <v>-</v>
      </c>
      <c r="AA237" s="20" t="str">
        <f>IF(AND(T237&gt;0,OR(Y237=3,Y237=2)),T237+35,"-")</f>
        <v>-</v>
      </c>
      <c r="AB237" s="94" t="str">
        <f t="shared" si="208"/>
        <v>---------</v>
      </c>
      <c r="AC237" s="21">
        <v>42791</v>
      </c>
      <c r="AD237" s="21" t="str">
        <f>IF(AND($T237&gt;0,$N237&gt;0,$Y237=1),$T237+280-90,"-")</f>
        <v>-</v>
      </c>
      <c r="AE237" s="21" t="str">
        <f>IF(AND(T237&gt;0,Y237=1,N237&gt;0),T237+280-60,"-")</f>
        <v>-</v>
      </c>
      <c r="AF237" s="85"/>
      <c r="AG237" s="21" t="str">
        <f>IF(AND($T237&gt;0,$Y237=1),$T237+280-21,"-")</f>
        <v>-</v>
      </c>
      <c r="AH237" s="21" t="str">
        <f>IF(AND(T237&gt;0,Y237=1),T237+280,"-")</f>
        <v>-</v>
      </c>
      <c r="AI237" s="89" t="str">
        <f t="shared" ca="1" si="213"/>
        <v>-</v>
      </c>
      <c r="AJ237" s="92">
        <v>1</v>
      </c>
      <c r="AK237" s="93">
        <v>42836</v>
      </c>
      <c r="AL237" s="80" t="s">
        <v>2494</v>
      </c>
      <c r="AM237" s="22" t="str">
        <f>IF(AND(Y237=1,P237=0),"НЕТЕЛЬ","-")</f>
        <v>-</v>
      </c>
    </row>
    <row r="238" spans="1:39" s="2" customFormat="1" ht="15.95" customHeight="1" x14ac:dyDescent="0.25">
      <c r="A238" s="77">
        <v>236</v>
      </c>
      <c r="B238" s="84">
        <f t="shared" ca="1" si="178"/>
        <v>43134</v>
      </c>
      <c r="C238" s="29" t="s">
        <v>2548</v>
      </c>
      <c r="D238" s="59" t="s">
        <v>2586</v>
      </c>
      <c r="E238" s="22" t="s">
        <v>1563</v>
      </c>
      <c r="F238" s="239" t="s">
        <v>1764</v>
      </c>
      <c r="G238" s="239"/>
      <c r="H238" s="28" t="s">
        <v>603</v>
      </c>
      <c r="I238" s="20">
        <v>42420</v>
      </c>
      <c r="J238" s="240">
        <f t="shared" ca="1" si="200"/>
        <v>1.9561643835616438</v>
      </c>
      <c r="K238" s="240">
        <f t="shared" ca="1" si="201"/>
        <v>23.8</v>
      </c>
      <c r="L238" s="240">
        <f t="shared" ca="1" si="202"/>
        <v>714</v>
      </c>
      <c r="M238" s="60"/>
      <c r="N238" s="32"/>
      <c r="O238" s="82" t="str">
        <f t="shared" ca="1" si="220"/>
        <v>-</v>
      </c>
      <c r="P238" s="19"/>
      <c r="Q238" s="68"/>
      <c r="R238" s="118"/>
      <c r="S238" s="21"/>
      <c r="T238" s="20"/>
      <c r="U238" s="20" t="str">
        <f t="shared" ref="U238:U239" si="247">IF(AND(Y238&gt;1,T238&gt;0),T238+18,"-")</f>
        <v>-</v>
      </c>
      <c r="V238" s="19" t="str">
        <f t="shared" ca="1" si="204"/>
        <v>-</v>
      </c>
      <c r="W238" s="3"/>
      <c r="X238" s="22" t="str">
        <f t="shared" ref="X238:X239" si="248">IF(AND(N238&gt;0,T238&gt;0),T238-N238,"-")</f>
        <v>-</v>
      </c>
      <c r="Y238" s="22"/>
      <c r="Z238" s="22" t="str">
        <f t="shared" ref="Z238:Z239" ca="1" si="249">IF(AND(O238&gt;140,Y238=0,N238&gt;0),"яловая","-")</f>
        <v>-</v>
      </c>
      <c r="AA238" s="20" t="str">
        <f t="shared" ref="AA238:AA239" si="250">IF(AND(T238&gt;0,OR(Y238=3,Y238=2)),T238+35,"-")</f>
        <v>-</v>
      </c>
      <c r="AB238" s="94" t="str">
        <f t="shared" si="208"/>
        <v>---------</v>
      </c>
      <c r="AC238" s="21"/>
      <c r="AD238" s="21" t="str">
        <f t="shared" ref="AD238:AD239" si="251">IF(AND($T238&gt;0,$N238&gt;0,$Y238=1),$T238+280-90,"-")</f>
        <v>-</v>
      </c>
      <c r="AE238" s="21" t="str">
        <f t="shared" ref="AE238:AE239" si="252">IF(AND(T238&gt;0,Y238=1,N238&gt;0),T238+280-60,"-")</f>
        <v>-</v>
      </c>
      <c r="AF238" s="85"/>
      <c r="AG238" s="21" t="str">
        <f t="shared" ref="AG238:AG239" si="253">IF(AND($T238&gt;0,$Y238=1),$T238+280-21,"-")</f>
        <v>-</v>
      </c>
      <c r="AH238" s="21" t="str">
        <f t="shared" ref="AH238:AH239" si="254">IF(AND(T238&gt;0,Y238=1),T238+280,"-")</f>
        <v>-</v>
      </c>
      <c r="AI238" s="89" t="str">
        <f t="shared" ca="1" si="213"/>
        <v>-</v>
      </c>
      <c r="AJ238" s="92">
        <v>1</v>
      </c>
      <c r="AK238" s="93">
        <v>42838</v>
      </c>
      <c r="AL238" s="80" t="s">
        <v>2494</v>
      </c>
      <c r="AM238" s="22" t="str">
        <f t="shared" ref="AM238" si="255">IF(AND(Y238=1,P238=0),"НЕТЕЛЬ","-")</f>
        <v>-</v>
      </c>
    </row>
    <row r="239" spans="1:39" s="2" customFormat="1" ht="15.95" customHeight="1" x14ac:dyDescent="0.25">
      <c r="A239" s="77">
        <v>237</v>
      </c>
      <c r="B239" s="84">
        <f t="shared" ca="1" si="178"/>
        <v>43134</v>
      </c>
      <c r="C239" s="29" t="s">
        <v>2546</v>
      </c>
      <c r="D239" s="59" t="s">
        <v>1555</v>
      </c>
      <c r="E239" s="22" t="s">
        <v>1557</v>
      </c>
      <c r="F239" s="27" t="s">
        <v>2628</v>
      </c>
      <c r="G239" s="27"/>
      <c r="H239" s="28" t="s">
        <v>603</v>
      </c>
      <c r="I239" s="20">
        <v>42835</v>
      </c>
      <c r="J239" s="35">
        <f t="shared" ref="J239:J248" ca="1" si="256">(B239-I239)/365</f>
        <v>0.81917808219178079</v>
      </c>
      <c r="K239" s="240">
        <f t="shared" ca="1" si="201"/>
        <v>9.9666666666666668</v>
      </c>
      <c r="L239" s="35">
        <f t="shared" ca="1" si="202"/>
        <v>299</v>
      </c>
      <c r="M239" s="60"/>
      <c r="N239" s="32"/>
      <c r="O239" s="82" t="str">
        <f t="shared" ca="1" si="220"/>
        <v>-</v>
      </c>
      <c r="P239" s="19"/>
      <c r="Q239" s="68"/>
      <c r="R239" s="118"/>
      <c r="S239" s="21"/>
      <c r="T239" s="20"/>
      <c r="U239" s="20" t="str">
        <f t="shared" si="247"/>
        <v>-</v>
      </c>
      <c r="V239" s="19" t="str">
        <f t="shared" ca="1" si="204"/>
        <v>-</v>
      </c>
      <c r="W239" s="3"/>
      <c r="X239" s="22" t="str">
        <f t="shared" si="248"/>
        <v>-</v>
      </c>
      <c r="Y239" s="22"/>
      <c r="Z239" s="22" t="str">
        <f t="shared" ca="1" si="249"/>
        <v>-</v>
      </c>
      <c r="AA239" s="20" t="str">
        <f t="shared" si="250"/>
        <v>-</v>
      </c>
      <c r="AB239" s="94" t="str">
        <f t="shared" si="208"/>
        <v>---------</v>
      </c>
      <c r="AC239" s="21"/>
      <c r="AD239" s="21" t="str">
        <f t="shared" si="251"/>
        <v>-</v>
      </c>
      <c r="AE239" s="21" t="str">
        <f t="shared" si="252"/>
        <v>-</v>
      </c>
      <c r="AF239" s="85"/>
      <c r="AG239" s="21" t="str">
        <f t="shared" si="253"/>
        <v>-</v>
      </c>
      <c r="AH239" s="21" t="str">
        <f t="shared" si="254"/>
        <v>-</v>
      </c>
      <c r="AI239" s="89" t="str">
        <f t="shared" ca="1" si="213"/>
        <v>-</v>
      </c>
      <c r="AJ239" s="92">
        <v>1</v>
      </c>
      <c r="AK239" s="93">
        <v>42839</v>
      </c>
      <c r="AL239" s="80" t="s">
        <v>1614</v>
      </c>
      <c r="AM239" s="22">
        <v>45</v>
      </c>
    </row>
    <row r="240" spans="1:39" s="2" customFormat="1" ht="15.95" customHeight="1" x14ac:dyDescent="0.25">
      <c r="A240" s="77">
        <v>238</v>
      </c>
      <c r="B240" s="84">
        <f t="shared" ca="1" si="178"/>
        <v>43134</v>
      </c>
      <c r="C240" s="29" t="s">
        <v>2546</v>
      </c>
      <c r="D240" s="59" t="s">
        <v>1555</v>
      </c>
      <c r="E240" s="22" t="s">
        <v>1557</v>
      </c>
      <c r="F240" s="27" t="s">
        <v>2636</v>
      </c>
      <c r="G240" s="27"/>
      <c r="H240" s="28" t="s">
        <v>603</v>
      </c>
      <c r="I240" s="20">
        <v>42836</v>
      </c>
      <c r="J240" s="35">
        <f t="shared" ca="1" si="256"/>
        <v>0.81643835616438354</v>
      </c>
      <c r="K240" s="240">
        <f t="shared" ca="1" si="201"/>
        <v>9.9333333333333336</v>
      </c>
      <c r="L240" s="35">
        <f t="shared" ca="1" si="202"/>
        <v>298</v>
      </c>
      <c r="M240" s="60"/>
      <c r="N240" s="32"/>
      <c r="O240" s="82"/>
      <c r="P240" s="19"/>
      <c r="Q240" s="68"/>
      <c r="R240" s="118"/>
      <c r="S240" s="21"/>
      <c r="T240" s="20"/>
      <c r="U240" s="20"/>
      <c r="V240" s="19"/>
      <c r="W240" s="3"/>
      <c r="X240" s="22"/>
      <c r="Y240" s="22"/>
      <c r="Z240" s="22"/>
      <c r="AA240" s="20"/>
      <c r="AB240" s="94"/>
      <c r="AC240" s="21"/>
      <c r="AD240" s="21"/>
      <c r="AE240" s="21"/>
      <c r="AF240" s="85"/>
      <c r="AG240" s="21"/>
      <c r="AH240" s="21"/>
      <c r="AI240" s="89"/>
      <c r="AJ240" s="92"/>
      <c r="AK240" s="93">
        <v>42839</v>
      </c>
      <c r="AL240" s="80" t="s">
        <v>1614</v>
      </c>
      <c r="AM240" s="22">
        <v>35</v>
      </c>
    </row>
    <row r="241" spans="1:39" s="2" customFormat="1" ht="15.95" customHeight="1" x14ac:dyDescent="0.25">
      <c r="A241" s="77">
        <v>239</v>
      </c>
      <c r="B241" s="84">
        <f t="shared" ca="1" si="178"/>
        <v>43134</v>
      </c>
      <c r="C241" s="29" t="s">
        <v>2546</v>
      </c>
      <c r="D241" s="59" t="s">
        <v>1555</v>
      </c>
      <c r="E241" s="22" t="s">
        <v>1557</v>
      </c>
      <c r="F241" s="27" t="s">
        <v>2637</v>
      </c>
      <c r="G241" s="27"/>
      <c r="H241" s="28" t="s">
        <v>603</v>
      </c>
      <c r="I241" s="20">
        <v>42836</v>
      </c>
      <c r="J241" s="35">
        <f t="shared" ca="1" si="256"/>
        <v>0.81643835616438354</v>
      </c>
      <c r="K241" s="240">
        <f t="shared" ca="1" si="201"/>
        <v>9.9333333333333336</v>
      </c>
      <c r="L241" s="35">
        <f t="shared" ca="1" si="202"/>
        <v>298</v>
      </c>
      <c r="M241" s="60"/>
      <c r="N241" s="32"/>
      <c r="O241" s="82"/>
      <c r="P241" s="19"/>
      <c r="Q241" s="68"/>
      <c r="R241" s="118"/>
      <c r="S241" s="21"/>
      <c r="T241" s="20"/>
      <c r="U241" s="20"/>
      <c r="V241" s="19"/>
      <c r="W241" s="3"/>
      <c r="X241" s="22"/>
      <c r="Y241" s="22"/>
      <c r="Z241" s="22"/>
      <c r="AA241" s="20"/>
      <c r="AB241" s="94"/>
      <c r="AC241" s="21"/>
      <c r="AD241" s="21"/>
      <c r="AE241" s="21"/>
      <c r="AF241" s="85"/>
      <c r="AG241" s="21"/>
      <c r="AH241" s="21"/>
      <c r="AI241" s="89"/>
      <c r="AJ241" s="92"/>
      <c r="AK241" s="93">
        <v>42839</v>
      </c>
      <c r="AL241" s="80" t="s">
        <v>1614</v>
      </c>
      <c r="AM241" s="22">
        <v>34</v>
      </c>
    </row>
    <row r="242" spans="1:39" s="2" customFormat="1" ht="15.95" customHeight="1" x14ac:dyDescent="0.25">
      <c r="A242" s="77">
        <v>240</v>
      </c>
      <c r="B242" s="84">
        <f t="shared" ca="1" si="178"/>
        <v>43134</v>
      </c>
      <c r="C242" s="29" t="s">
        <v>2546</v>
      </c>
      <c r="D242" s="59" t="s">
        <v>1555</v>
      </c>
      <c r="E242" s="22" t="s">
        <v>1557</v>
      </c>
      <c r="F242" s="27" t="s">
        <v>2639</v>
      </c>
      <c r="G242" s="27"/>
      <c r="H242" s="28" t="s">
        <v>603</v>
      </c>
      <c r="I242" s="20">
        <v>42836</v>
      </c>
      <c r="J242" s="35">
        <f t="shared" ca="1" si="256"/>
        <v>0.81643835616438354</v>
      </c>
      <c r="K242" s="240">
        <f t="shared" ca="1" si="201"/>
        <v>9.9333333333333336</v>
      </c>
      <c r="L242" s="35">
        <f t="shared" ca="1" si="202"/>
        <v>298</v>
      </c>
      <c r="M242" s="60"/>
      <c r="N242" s="32"/>
      <c r="O242" s="82"/>
      <c r="P242" s="19"/>
      <c r="Q242" s="68"/>
      <c r="R242" s="118"/>
      <c r="S242" s="21"/>
      <c r="T242" s="20"/>
      <c r="U242" s="20"/>
      <c r="V242" s="19"/>
      <c r="W242" s="3"/>
      <c r="X242" s="22"/>
      <c r="Y242" s="22"/>
      <c r="Z242" s="22"/>
      <c r="AA242" s="20"/>
      <c r="AB242" s="94"/>
      <c r="AC242" s="21"/>
      <c r="AD242" s="21"/>
      <c r="AE242" s="21"/>
      <c r="AF242" s="85"/>
      <c r="AG242" s="21"/>
      <c r="AH242" s="21"/>
      <c r="AI242" s="89"/>
      <c r="AJ242" s="92"/>
      <c r="AK242" s="93">
        <v>42839</v>
      </c>
      <c r="AL242" s="80" t="s">
        <v>1614</v>
      </c>
      <c r="AM242" s="22">
        <v>47</v>
      </c>
    </row>
    <row r="243" spans="1:39" s="2" customFormat="1" ht="15.95" customHeight="1" x14ac:dyDescent="0.25">
      <c r="A243" s="77">
        <v>241</v>
      </c>
      <c r="B243" s="84">
        <f t="shared" ca="1" si="178"/>
        <v>43134</v>
      </c>
      <c r="C243" s="29" t="s">
        <v>2546</v>
      </c>
      <c r="D243" s="59" t="s">
        <v>1555</v>
      </c>
      <c r="E243" s="22" t="s">
        <v>1557</v>
      </c>
      <c r="F243" s="27" t="s">
        <v>2644</v>
      </c>
      <c r="G243" s="27"/>
      <c r="H243" s="28" t="s">
        <v>603</v>
      </c>
      <c r="I243" s="20">
        <v>42837</v>
      </c>
      <c r="J243" s="35">
        <f t="shared" ca="1" si="256"/>
        <v>0.81369863013698629</v>
      </c>
      <c r="K243" s="240">
        <f t="shared" ca="1" si="201"/>
        <v>9.9</v>
      </c>
      <c r="L243" s="35">
        <f t="shared" ca="1" si="202"/>
        <v>297</v>
      </c>
      <c r="M243" s="60"/>
      <c r="N243" s="32"/>
      <c r="O243" s="82"/>
      <c r="P243" s="19"/>
      <c r="Q243" s="68"/>
      <c r="R243" s="118"/>
      <c r="S243" s="21"/>
      <c r="T243" s="20"/>
      <c r="U243" s="20"/>
      <c r="V243" s="19"/>
      <c r="W243" s="3"/>
      <c r="X243" s="22"/>
      <c r="Y243" s="22"/>
      <c r="Z243" s="22"/>
      <c r="AA243" s="20"/>
      <c r="AB243" s="94"/>
      <c r="AC243" s="21"/>
      <c r="AD243" s="21"/>
      <c r="AE243" s="21"/>
      <c r="AF243" s="85"/>
      <c r="AG243" s="21"/>
      <c r="AH243" s="21"/>
      <c r="AI243" s="89"/>
      <c r="AJ243" s="92"/>
      <c r="AK243" s="93">
        <v>42839</v>
      </c>
      <c r="AL243" s="80" t="s">
        <v>1614</v>
      </c>
      <c r="AM243" s="22">
        <v>35</v>
      </c>
    </row>
    <row r="244" spans="1:39" s="2" customFormat="1" ht="15.95" customHeight="1" x14ac:dyDescent="0.25">
      <c r="A244" s="77">
        <v>242</v>
      </c>
      <c r="B244" s="84">
        <f t="shared" ca="1" si="178"/>
        <v>43134</v>
      </c>
      <c r="C244" s="29" t="s">
        <v>2546</v>
      </c>
      <c r="D244" s="59" t="s">
        <v>1555</v>
      </c>
      <c r="E244" s="22" t="s">
        <v>1557</v>
      </c>
      <c r="F244" s="27" t="s">
        <v>2646</v>
      </c>
      <c r="G244" s="27"/>
      <c r="H244" s="28" t="s">
        <v>603</v>
      </c>
      <c r="I244" s="20">
        <v>42838</v>
      </c>
      <c r="J244" s="240">
        <f t="shared" ca="1" si="256"/>
        <v>0.81095890410958904</v>
      </c>
      <c r="K244" s="240">
        <f t="shared" ca="1" si="201"/>
        <v>9.8666666666666671</v>
      </c>
      <c r="L244" s="240">
        <f t="shared" ca="1" si="202"/>
        <v>296</v>
      </c>
      <c r="M244" s="60"/>
      <c r="N244" s="32"/>
      <c r="O244" s="82" t="str">
        <f ca="1">IF(AND(B244&gt;0,N244&gt;0),B244-N244,"-")</f>
        <v>-</v>
      </c>
      <c r="P244" s="19"/>
      <c r="Q244" s="68"/>
      <c r="R244" s="118"/>
      <c r="S244" s="21"/>
      <c r="T244" s="20"/>
      <c r="U244" s="20" t="str">
        <f t="shared" ref="U244:U245" si="257">IF(AND(Y244&gt;1,T244&gt;0),T244+18,"-")</f>
        <v>-</v>
      </c>
      <c r="V244" s="19" t="str">
        <f ca="1">IF(AND(U244&gt;0,B244&gt;0,Y244&gt;1),B244-U244,"-")</f>
        <v>-</v>
      </c>
      <c r="W244" s="3"/>
      <c r="X244" s="22" t="str">
        <f t="shared" ref="X244:X245" si="258">IF(AND(N244&gt;0,T244&gt;0),T244-N244,"-")</f>
        <v>-</v>
      </c>
      <c r="Y244" s="22"/>
      <c r="Z244" s="22" t="str">
        <f t="shared" ref="Z244:Z245" ca="1" si="259">IF(AND(O244&gt;140,Y244=0,N244&gt;0),"яловая","-")</f>
        <v>-</v>
      </c>
      <c r="AA244" s="20" t="str">
        <f t="shared" ref="AA244:AA245" si="260">IF(AND(T244&gt;0,OR(Y244=3,Y244=2)),T244+35,"-")</f>
        <v>-</v>
      </c>
      <c r="AB244" s="94" t="str">
        <f>IF(AND(T244&gt;0,W244&gt;0,Q244&gt;0,OR(Y244=3,Y244=2)),B244-AA244,"---------")</f>
        <v>---------</v>
      </c>
      <c r="AC244" s="21"/>
      <c r="AD244" s="21" t="str">
        <f t="shared" ref="AD244:AD245" si="261">IF(AND($T244&gt;0,$N244&gt;0,$Y244=1),$T244+280-90,"-")</f>
        <v>-</v>
      </c>
      <c r="AE244" s="21" t="str">
        <f t="shared" ref="AE244:AE245" si="262">IF(AND(T244&gt;0,Y244=1,N244&gt;0),T244+280-60,"-")</f>
        <v>-</v>
      </c>
      <c r="AF244" s="85"/>
      <c r="AG244" s="21" t="str">
        <f t="shared" ref="AG244:AG245" si="263">IF(AND($T244&gt;0,$Y244=1),$T244+280-21,"-")</f>
        <v>-</v>
      </c>
      <c r="AH244" s="21" t="str">
        <f t="shared" ref="AH244:AH245" si="264">IF(AND(T244&gt;0,Y244=1),T244+280,"-")</f>
        <v>-</v>
      </c>
      <c r="AI244" s="89" t="str">
        <f ca="1">IF(AND(B244&gt;0,AH244&gt;0,AC244&gt;0,Y244=1),B244-AH244,"-")</f>
        <v>-</v>
      </c>
      <c r="AJ244" s="92">
        <v>1</v>
      </c>
      <c r="AK244" s="93">
        <v>42849</v>
      </c>
      <c r="AL244" s="80" t="s">
        <v>1614</v>
      </c>
      <c r="AM244" s="22">
        <v>40</v>
      </c>
    </row>
    <row r="245" spans="1:39" s="2" customFormat="1" ht="15.95" customHeight="1" x14ac:dyDescent="0.25">
      <c r="A245" s="77">
        <v>243</v>
      </c>
      <c r="B245" s="84">
        <f t="shared" ca="1" si="178"/>
        <v>43134</v>
      </c>
      <c r="C245" s="29" t="s">
        <v>2546</v>
      </c>
      <c r="D245" s="59" t="s">
        <v>1555</v>
      </c>
      <c r="E245" s="22" t="s">
        <v>1557</v>
      </c>
      <c r="F245" s="27" t="s">
        <v>2662</v>
      </c>
      <c r="G245" s="27"/>
      <c r="H245" s="28" t="s">
        <v>603</v>
      </c>
      <c r="I245" s="20">
        <v>42845</v>
      </c>
      <c r="J245" s="240">
        <f t="shared" ca="1" si="256"/>
        <v>0.79178082191780819</v>
      </c>
      <c r="K245" s="240" t="e">
        <f>(#REF!-I245)/30</f>
        <v>#REF!</v>
      </c>
      <c r="L245" s="240" t="e">
        <f>#REF!-I245</f>
        <v>#REF!</v>
      </c>
      <c r="M245" s="60"/>
      <c r="N245" s="32"/>
      <c r="O245" s="82" t="str">
        <f ca="1">IF(AND(B245&gt;0,N245&gt;0),B245-N245,"-")</f>
        <v>-</v>
      </c>
      <c r="P245" s="19"/>
      <c r="Q245" s="68"/>
      <c r="R245" s="118"/>
      <c r="S245" s="21"/>
      <c r="T245" s="20"/>
      <c r="U245" s="20" t="str">
        <f t="shared" si="257"/>
        <v>-</v>
      </c>
      <c r="V245" s="19" t="str">
        <f ca="1">IF(AND(U245&gt;0,B245&gt;0,Y245&gt;1),B245-U245,"-")</f>
        <v>-</v>
      </c>
      <c r="W245" s="3"/>
      <c r="X245" s="22" t="str">
        <f t="shared" si="258"/>
        <v>-</v>
      </c>
      <c r="Y245" s="22"/>
      <c r="Z245" s="22" t="str">
        <f t="shared" ca="1" si="259"/>
        <v>-</v>
      </c>
      <c r="AA245" s="20" t="str">
        <f t="shared" si="260"/>
        <v>-</v>
      </c>
      <c r="AB245" s="94" t="str">
        <f>IF(AND(T245&gt;0,W245&gt;0,Q245&gt;0,OR(Y245=3,Y245=2)),B245-AA245,"---------")</f>
        <v>---------</v>
      </c>
      <c r="AC245" s="21"/>
      <c r="AD245" s="21" t="str">
        <f t="shared" si="261"/>
        <v>-</v>
      </c>
      <c r="AE245" s="21" t="str">
        <f t="shared" si="262"/>
        <v>-</v>
      </c>
      <c r="AF245" s="85"/>
      <c r="AG245" s="21" t="str">
        <f t="shared" si="263"/>
        <v>-</v>
      </c>
      <c r="AH245" s="21" t="str">
        <f t="shared" si="264"/>
        <v>-</v>
      </c>
      <c r="AI245" s="89" t="str">
        <f ca="1">IF(AND(B245&gt;0,AH245&gt;0,AC245&gt;0,Y245=1),B245-AH245,"-")</f>
        <v>-</v>
      </c>
      <c r="AJ245" s="92">
        <v>1</v>
      </c>
      <c r="AK245" s="93">
        <v>42849</v>
      </c>
      <c r="AL245" s="80" t="s">
        <v>1614</v>
      </c>
      <c r="AM245" s="22">
        <v>41</v>
      </c>
    </row>
    <row r="246" spans="1:39" s="2" customFormat="1" ht="15.95" customHeight="1" x14ac:dyDescent="0.25">
      <c r="A246" s="77">
        <v>244</v>
      </c>
      <c r="B246" s="84">
        <f t="shared" ca="1" si="178"/>
        <v>43134</v>
      </c>
      <c r="C246" s="29" t="s">
        <v>2546</v>
      </c>
      <c r="D246" s="59" t="s">
        <v>1555</v>
      </c>
      <c r="E246" s="22" t="s">
        <v>1557</v>
      </c>
      <c r="F246" s="27" t="s">
        <v>2673</v>
      </c>
      <c r="G246" s="27"/>
      <c r="H246" s="28" t="s">
        <v>603</v>
      </c>
      <c r="I246" s="20">
        <v>42847</v>
      </c>
      <c r="J246" s="240">
        <f t="shared" ca="1" si="256"/>
        <v>0.78630136986301369</v>
      </c>
      <c r="K246" s="240" t="e">
        <f>(#REF!-I246)/30</f>
        <v>#REF!</v>
      </c>
      <c r="L246" s="240" t="e">
        <f>#REF!-I246</f>
        <v>#REF!</v>
      </c>
      <c r="M246" s="60"/>
      <c r="N246" s="32"/>
      <c r="O246" s="82"/>
      <c r="P246" s="19"/>
      <c r="Q246" s="68"/>
      <c r="R246" s="118"/>
      <c r="S246" s="21"/>
      <c r="T246" s="20"/>
      <c r="U246" s="20"/>
      <c r="V246" s="19"/>
      <c r="W246" s="3"/>
      <c r="X246" s="22"/>
      <c r="Y246" s="22"/>
      <c r="Z246" s="22"/>
      <c r="AA246" s="20"/>
      <c r="AB246" s="94"/>
      <c r="AC246" s="21"/>
      <c r="AD246" s="21"/>
      <c r="AE246" s="21"/>
      <c r="AF246" s="85"/>
      <c r="AG246" s="21"/>
      <c r="AH246" s="21"/>
      <c r="AI246" s="89"/>
      <c r="AJ246" s="92"/>
      <c r="AK246" s="93">
        <v>42851</v>
      </c>
      <c r="AL246" s="80" t="s">
        <v>1614</v>
      </c>
      <c r="AM246" s="22">
        <v>47</v>
      </c>
    </row>
    <row r="247" spans="1:39" s="2" customFormat="1" ht="15.95" customHeight="1" x14ac:dyDescent="0.25">
      <c r="A247" s="77">
        <v>245</v>
      </c>
      <c r="B247" s="84">
        <f t="shared" ca="1" si="178"/>
        <v>43134</v>
      </c>
      <c r="C247" s="29" t="s">
        <v>2548</v>
      </c>
      <c r="D247" s="59" t="s">
        <v>2586</v>
      </c>
      <c r="E247" s="22" t="s">
        <v>1104</v>
      </c>
      <c r="F247" s="239" t="s">
        <v>1789</v>
      </c>
      <c r="G247" s="239"/>
      <c r="H247" s="28" t="s">
        <v>603</v>
      </c>
      <c r="I247" s="20">
        <v>42448</v>
      </c>
      <c r="J247" s="240">
        <f t="shared" ca="1" si="256"/>
        <v>1.8794520547945206</v>
      </c>
      <c r="K247" s="240">
        <f ca="1">(B247-I247)/30</f>
        <v>22.866666666666667</v>
      </c>
      <c r="L247" s="240">
        <f ca="1">B247-I247</f>
        <v>686</v>
      </c>
      <c r="M247" s="60"/>
      <c r="N247" s="32"/>
      <c r="O247" s="82" t="str">
        <f t="shared" ref="O247:O292" ca="1" si="265">IF(AND(B247&gt;0,N247&gt;0),B247-N247,"-")</f>
        <v>-</v>
      </c>
      <c r="P247" s="19"/>
      <c r="Q247" s="68" t="s">
        <v>2366</v>
      </c>
      <c r="R247" s="118" t="s">
        <v>1876</v>
      </c>
      <c r="S247" s="21">
        <v>42796</v>
      </c>
      <c r="T247" s="20">
        <v>42796</v>
      </c>
      <c r="U247" s="20">
        <f t="shared" ref="U247" si="266">IF(AND(Y247&gt;1,T247&gt;0),T247+18,"-")</f>
        <v>42814</v>
      </c>
      <c r="V247" s="19">
        <f t="shared" ref="V247:V292" ca="1" si="267">IF(AND(U247&gt;0,B247&gt;0,Y247&gt;1),B247-U247,"-")</f>
        <v>320</v>
      </c>
      <c r="W247" s="3">
        <v>1</v>
      </c>
      <c r="X247" s="22" t="str">
        <f t="shared" ref="X247" si="268">IF(AND(N247&gt;0,T247&gt;0),T247-N247,"-")</f>
        <v>-</v>
      </c>
      <c r="Y247" s="22">
        <v>3</v>
      </c>
      <c r="Z247" s="22" t="str">
        <f t="shared" ref="Z247" ca="1" si="269">IF(AND(O247&gt;140,Y247=0,N247&gt;0),"яловая","-")</f>
        <v>-</v>
      </c>
      <c r="AA247" s="20">
        <f t="shared" ref="AA247" si="270">IF(AND(T247&gt;0,OR(Y247=3,Y247=2)),T247+35,"-")</f>
        <v>42831</v>
      </c>
      <c r="AB247" s="94">
        <f t="shared" ref="AB247:AB292" ca="1" si="271">IF(AND(T247&gt;0,W247&gt;0,Q247&gt;0,OR(Y247=3,Y247=2)),B247-AA247,"---------")</f>
        <v>303</v>
      </c>
      <c r="AC247" s="21"/>
      <c r="AD247" s="21" t="str">
        <f t="shared" ref="AD247" si="272">IF(AND($T247&gt;0,$N247&gt;0,$Y247=1),$T247+280-90,"-")</f>
        <v>-</v>
      </c>
      <c r="AE247" s="21" t="str">
        <f t="shared" ref="AE247" si="273">IF(AND(T247&gt;0,Y247=1,N247&gt;0),T247+280-60,"-")</f>
        <v>-</v>
      </c>
      <c r="AF247" s="85"/>
      <c r="AG247" s="21" t="str">
        <f t="shared" ref="AG247" si="274">IF(AND($T247&gt;0,$Y247=1),$T247+280-21,"-")</f>
        <v>-</v>
      </c>
      <c r="AH247" s="21" t="str">
        <f t="shared" ref="AH247" si="275">IF(AND(T247&gt;0,Y247=1),T247+280,"-")</f>
        <v>-</v>
      </c>
      <c r="AI247" s="89" t="str">
        <f t="shared" ref="AI247:AI292" ca="1" si="276">IF(AND(B247&gt;0,AH247&gt;0,AC247&gt;0,Y247=1),B247-AH247,"-")</f>
        <v>-</v>
      </c>
      <c r="AJ247" s="92">
        <v>1</v>
      </c>
      <c r="AK247" s="93">
        <v>42850</v>
      </c>
      <c r="AL247" s="80" t="s">
        <v>2494</v>
      </c>
      <c r="AM247" s="22" t="str">
        <f t="shared" ref="AM247" si="277">IF(AND(Y247=1,P247=0),"НЕТЕЛЬ","-")</f>
        <v>-</v>
      </c>
    </row>
    <row r="248" spans="1:39" s="2" customFormat="1" ht="15.75" customHeight="1" x14ac:dyDescent="0.25">
      <c r="A248" s="77">
        <v>246</v>
      </c>
      <c r="B248" s="84">
        <f t="shared" ca="1" si="178"/>
        <v>43134</v>
      </c>
      <c r="C248" s="29" t="s">
        <v>2554</v>
      </c>
      <c r="D248" s="59" t="s">
        <v>2586</v>
      </c>
      <c r="E248" s="22" t="s">
        <v>1526</v>
      </c>
      <c r="F248" s="27" t="s">
        <v>1509</v>
      </c>
      <c r="G248" s="27"/>
      <c r="H248" s="28" t="s">
        <v>603</v>
      </c>
      <c r="I248" s="20">
        <v>42169</v>
      </c>
      <c r="J248" s="240">
        <f t="shared" ca="1" si="256"/>
        <v>2.6438356164383561</v>
      </c>
      <c r="K248" s="240">
        <f ca="1">(B248-I248)/30</f>
        <v>32.166666666666664</v>
      </c>
      <c r="L248" s="240">
        <f ca="1">B248-I248</f>
        <v>965</v>
      </c>
      <c r="M248" s="60"/>
      <c r="N248" s="32"/>
      <c r="O248" s="82" t="str">
        <f t="shared" ca="1" si="265"/>
        <v>-</v>
      </c>
      <c r="P248" s="19"/>
      <c r="Q248" s="68" t="s">
        <v>1448</v>
      </c>
      <c r="R248" s="118">
        <v>9320</v>
      </c>
      <c r="S248" s="21">
        <v>42576</v>
      </c>
      <c r="T248" s="20">
        <v>42616</v>
      </c>
      <c r="U248" s="20" t="str">
        <f t="shared" ref="U248:U292" si="278">IF(AND(Y248&gt;1,T248&gt;0),T248+18,"-")</f>
        <v>-</v>
      </c>
      <c r="V248" s="19" t="str">
        <f t="shared" ca="1" si="267"/>
        <v>-</v>
      </c>
      <c r="W248" s="3">
        <v>2</v>
      </c>
      <c r="X248" s="22" t="str">
        <f t="shared" ref="X248:X292" si="279">IF(AND(N248&gt;0,T248&gt;0),T248-N248,"-")</f>
        <v>-</v>
      </c>
      <c r="Y248" s="22">
        <v>1</v>
      </c>
      <c r="Z248" s="22" t="str">
        <f t="shared" ref="Z248:Z292" ca="1" si="280">IF(AND(O248&gt;140,Y248=0,N248&gt;0),"яловая","-")</f>
        <v>-</v>
      </c>
      <c r="AA248" s="20" t="str">
        <f t="shared" ref="AA248:AA292" si="281">IF(AND(T248&gt;0,OR(Y248=3,Y248=2)),T248+35,"-")</f>
        <v>-</v>
      </c>
      <c r="AB248" s="94" t="str">
        <f t="shared" si="271"/>
        <v>---------</v>
      </c>
      <c r="AC248" s="21">
        <v>42653</v>
      </c>
      <c r="AD248" s="21" t="str">
        <f t="shared" ref="AD248:AD292" si="282">IF(AND($T248&gt;0,$N248&gt;0,$Y248=1),$T248+280-90,"-")</f>
        <v>-</v>
      </c>
      <c r="AE248" s="21" t="str">
        <f t="shared" ref="AE248:AE292" si="283">IF(AND(T248&gt;0,Y248=1,N248&gt;0),T248+280-60,"-")</f>
        <v>-</v>
      </c>
      <c r="AF248" s="85"/>
      <c r="AG248" s="21">
        <f t="shared" ref="AG248:AG292" si="284">IF(AND($T248&gt;0,$Y248=1),$T248+280-21,"-")</f>
        <v>42875</v>
      </c>
      <c r="AH248" s="21">
        <f t="shared" ref="AH248:AH292" si="285">IF(AND(T248&gt;0,Y248=1),T248+280,"-")</f>
        <v>42896</v>
      </c>
      <c r="AI248" s="89">
        <f t="shared" ca="1" si="276"/>
        <v>238</v>
      </c>
      <c r="AJ248" s="92">
        <v>1</v>
      </c>
      <c r="AK248" s="93">
        <v>42855</v>
      </c>
      <c r="AL248" s="80" t="s">
        <v>2683</v>
      </c>
      <c r="AM248" s="22" t="str">
        <f t="shared" ref="AM248" si="286">IF(AND(Y248=1,P248=0),"НЕТЕЛЬ","-")</f>
        <v>НЕТЕЛЬ</v>
      </c>
    </row>
    <row r="249" spans="1:39" s="2" customFormat="1" ht="15.95" customHeight="1" x14ac:dyDescent="0.25">
      <c r="A249" s="77">
        <v>247</v>
      </c>
      <c r="B249" s="84">
        <f t="shared" ca="1" si="178"/>
        <v>43134</v>
      </c>
      <c r="C249" s="29" t="s">
        <v>2546</v>
      </c>
      <c r="D249" s="59" t="s">
        <v>1555</v>
      </c>
      <c r="E249" s="22" t="s">
        <v>1557</v>
      </c>
      <c r="F249" s="27" t="s">
        <v>2671</v>
      </c>
      <c r="G249" s="27"/>
      <c r="H249" s="28" t="s">
        <v>603</v>
      </c>
      <c r="I249" s="20">
        <v>42846</v>
      </c>
      <c r="J249" s="240">
        <f ca="1">('ВЫБЫТИЕ МОЛ'!B253-I249)/365</f>
        <v>0.78904109589041094</v>
      </c>
      <c r="K249" s="240">
        <f ca="1">('ВЫБЫТИЕ МОЛ'!B253-I249)/30</f>
        <v>9.6</v>
      </c>
      <c r="L249" s="240">
        <f ca="1">'ВЫБЫТИЕ МОЛ'!B253-I249</f>
        <v>288</v>
      </c>
      <c r="M249" s="60"/>
      <c r="N249" s="32"/>
      <c r="O249" s="82" t="str">
        <f t="shared" ca="1" si="265"/>
        <v>-</v>
      </c>
      <c r="P249" s="19"/>
      <c r="Q249" s="68"/>
      <c r="R249" s="118"/>
      <c r="S249" s="21"/>
      <c r="T249" s="20"/>
      <c r="U249" s="20" t="str">
        <f t="shared" si="278"/>
        <v>-</v>
      </c>
      <c r="V249" s="19" t="str">
        <f t="shared" ca="1" si="267"/>
        <v>-</v>
      </c>
      <c r="W249" s="3"/>
      <c r="X249" s="22" t="str">
        <f t="shared" si="279"/>
        <v>-</v>
      </c>
      <c r="Y249" s="22"/>
      <c r="Z249" s="22" t="str">
        <f t="shared" ca="1" si="280"/>
        <v>-</v>
      </c>
      <c r="AA249" s="20" t="str">
        <f t="shared" si="281"/>
        <v>-</v>
      </c>
      <c r="AB249" s="94" t="str">
        <f t="shared" si="271"/>
        <v>---------</v>
      </c>
      <c r="AC249" s="21"/>
      <c r="AD249" s="21" t="str">
        <f t="shared" si="282"/>
        <v>-</v>
      </c>
      <c r="AE249" s="21" t="str">
        <f t="shared" si="283"/>
        <v>-</v>
      </c>
      <c r="AF249" s="85"/>
      <c r="AG249" s="21" t="str">
        <f t="shared" si="284"/>
        <v>-</v>
      </c>
      <c r="AH249" s="21" t="str">
        <f t="shared" si="285"/>
        <v>-</v>
      </c>
      <c r="AI249" s="89" t="str">
        <f t="shared" ca="1" si="276"/>
        <v>-</v>
      </c>
      <c r="AJ249" s="92"/>
      <c r="AK249" s="349">
        <v>42857</v>
      </c>
      <c r="AL249" s="80" t="s">
        <v>1614</v>
      </c>
      <c r="AM249" s="22">
        <v>50</v>
      </c>
    </row>
    <row r="250" spans="1:39" s="2" customFormat="1" ht="15.95" customHeight="1" x14ac:dyDescent="0.25">
      <c r="A250" s="77">
        <v>248</v>
      </c>
      <c r="B250" s="84">
        <f t="shared" ca="1" si="178"/>
        <v>43134</v>
      </c>
      <c r="C250" s="29" t="s">
        <v>2546</v>
      </c>
      <c r="D250" s="59" t="s">
        <v>1555</v>
      </c>
      <c r="E250" s="22" t="s">
        <v>1557</v>
      </c>
      <c r="F250" s="27" t="s">
        <v>2672</v>
      </c>
      <c r="G250" s="27"/>
      <c r="H250" s="28" t="s">
        <v>603</v>
      </c>
      <c r="I250" s="20">
        <v>42846</v>
      </c>
      <c r="J250" s="240">
        <f ca="1">('ВЫБЫТИЕ МОЛ'!B271-I250)/365</f>
        <v>0.78904109589041094</v>
      </c>
      <c r="K250" s="240">
        <f ca="1">('ВЫБЫТИЕ МОЛ'!B271-I250)/30</f>
        <v>9.6</v>
      </c>
      <c r="L250" s="240">
        <f ca="1">'ВЫБЫТИЕ МОЛ'!B271-I250</f>
        <v>288</v>
      </c>
      <c r="M250" s="60"/>
      <c r="N250" s="32"/>
      <c r="O250" s="82" t="str">
        <f t="shared" ca="1" si="265"/>
        <v>-</v>
      </c>
      <c r="P250" s="19"/>
      <c r="Q250" s="68"/>
      <c r="R250" s="118"/>
      <c r="S250" s="21"/>
      <c r="T250" s="20"/>
      <c r="U250" s="20" t="str">
        <f t="shared" si="278"/>
        <v>-</v>
      </c>
      <c r="V250" s="19" t="str">
        <f t="shared" ca="1" si="267"/>
        <v>-</v>
      </c>
      <c r="W250" s="3"/>
      <c r="X250" s="22" t="str">
        <f t="shared" si="279"/>
        <v>-</v>
      </c>
      <c r="Y250" s="22"/>
      <c r="Z250" s="22" t="str">
        <f t="shared" ca="1" si="280"/>
        <v>-</v>
      </c>
      <c r="AA250" s="20" t="str">
        <f t="shared" si="281"/>
        <v>-</v>
      </c>
      <c r="AB250" s="94" t="str">
        <f t="shared" si="271"/>
        <v>---------</v>
      </c>
      <c r="AC250" s="21"/>
      <c r="AD250" s="21" t="str">
        <f t="shared" si="282"/>
        <v>-</v>
      </c>
      <c r="AE250" s="21" t="str">
        <f t="shared" si="283"/>
        <v>-</v>
      </c>
      <c r="AF250" s="85"/>
      <c r="AG250" s="21" t="str">
        <f t="shared" si="284"/>
        <v>-</v>
      </c>
      <c r="AH250" s="21" t="str">
        <f t="shared" si="285"/>
        <v>-</v>
      </c>
      <c r="AI250" s="89" t="str">
        <f t="shared" ca="1" si="276"/>
        <v>-</v>
      </c>
      <c r="AJ250" s="92"/>
      <c r="AK250" s="349">
        <v>42857</v>
      </c>
      <c r="AL250" s="80" t="s">
        <v>1614</v>
      </c>
      <c r="AM250" s="22">
        <v>50</v>
      </c>
    </row>
    <row r="251" spans="1:39" s="2" customFormat="1" ht="15.95" customHeight="1" x14ac:dyDescent="0.25">
      <c r="A251" s="77">
        <v>249</v>
      </c>
      <c r="B251" s="84">
        <f t="shared" ca="1" si="178"/>
        <v>43134</v>
      </c>
      <c r="C251" s="29" t="s">
        <v>2546</v>
      </c>
      <c r="D251" s="59" t="s">
        <v>1555</v>
      </c>
      <c r="E251" s="22" t="s">
        <v>1557</v>
      </c>
      <c r="F251" s="27" t="s">
        <v>2678</v>
      </c>
      <c r="G251" s="27"/>
      <c r="H251" s="28" t="s">
        <v>603</v>
      </c>
      <c r="I251" s="20">
        <v>42850</v>
      </c>
      <c r="J251" s="240">
        <f ca="1">('ВЫБЫТИЕ МОЛ'!B272-I251)/365</f>
        <v>0.77808219178082194</v>
      </c>
      <c r="K251" s="240" t="e">
        <f>(worksheet!#REF!-I251)/30</f>
        <v>#REF!</v>
      </c>
      <c r="L251" s="240" t="e">
        <f>worksheet!#REF!-I251</f>
        <v>#REF!</v>
      </c>
      <c r="M251" s="60"/>
      <c r="N251" s="32"/>
      <c r="O251" s="82" t="str">
        <f t="shared" ca="1" si="265"/>
        <v>-</v>
      </c>
      <c r="P251" s="19"/>
      <c r="Q251" s="68"/>
      <c r="R251" s="118"/>
      <c r="S251" s="21"/>
      <c r="T251" s="20"/>
      <c r="U251" s="20" t="str">
        <f t="shared" si="278"/>
        <v>-</v>
      </c>
      <c r="V251" s="19" t="str">
        <f t="shared" ca="1" si="267"/>
        <v>-</v>
      </c>
      <c r="W251" s="3"/>
      <c r="X251" s="22" t="str">
        <f t="shared" si="279"/>
        <v>-</v>
      </c>
      <c r="Y251" s="22"/>
      <c r="Z251" s="22" t="str">
        <f t="shared" ca="1" si="280"/>
        <v>-</v>
      </c>
      <c r="AA251" s="20" t="str">
        <f t="shared" si="281"/>
        <v>-</v>
      </c>
      <c r="AB251" s="94" t="str">
        <f t="shared" si="271"/>
        <v>---------</v>
      </c>
      <c r="AC251" s="21"/>
      <c r="AD251" s="21" t="str">
        <f t="shared" si="282"/>
        <v>-</v>
      </c>
      <c r="AE251" s="21" t="str">
        <f t="shared" si="283"/>
        <v>-</v>
      </c>
      <c r="AF251" s="85"/>
      <c r="AG251" s="21" t="str">
        <f t="shared" si="284"/>
        <v>-</v>
      </c>
      <c r="AH251" s="21" t="str">
        <f t="shared" si="285"/>
        <v>-</v>
      </c>
      <c r="AI251" s="89" t="str">
        <f t="shared" ca="1" si="276"/>
        <v>-</v>
      </c>
      <c r="AJ251" s="92">
        <v>1</v>
      </c>
      <c r="AK251" s="349">
        <v>42857</v>
      </c>
      <c r="AL251" s="80" t="s">
        <v>1614</v>
      </c>
      <c r="AM251" s="22">
        <v>43</v>
      </c>
    </row>
    <row r="252" spans="1:39" s="2" customFormat="1" ht="15.95" customHeight="1" x14ac:dyDescent="0.25">
      <c r="A252" s="77">
        <v>250</v>
      </c>
      <c r="B252" s="84">
        <f t="shared" ca="1" si="178"/>
        <v>43134</v>
      </c>
      <c r="C252" s="29" t="s">
        <v>2546</v>
      </c>
      <c r="D252" s="59" t="s">
        <v>1555</v>
      </c>
      <c r="E252" s="22" t="s">
        <v>1557</v>
      </c>
      <c r="F252" s="27" t="s">
        <v>2680</v>
      </c>
      <c r="G252" s="27"/>
      <c r="H252" s="28" t="s">
        <v>603</v>
      </c>
      <c r="I252" s="20">
        <v>42853</v>
      </c>
      <c r="J252" s="35">
        <f t="shared" ref="J252:J283" ca="1" si="287">(B252-I252)/365</f>
        <v>0.76986301369863008</v>
      </c>
      <c r="K252" s="35">
        <f t="shared" ref="K252:K294" ca="1" si="288">(B252-I252)/30</f>
        <v>9.3666666666666671</v>
      </c>
      <c r="L252" s="35">
        <f t="shared" ref="L252:L294" ca="1" si="289">B252-I252</f>
        <v>281</v>
      </c>
      <c r="M252" s="60"/>
      <c r="N252" s="32"/>
      <c r="O252" s="82" t="str">
        <f t="shared" ca="1" si="265"/>
        <v>-</v>
      </c>
      <c r="P252" s="19"/>
      <c r="Q252" s="68"/>
      <c r="R252" s="118"/>
      <c r="S252" s="21"/>
      <c r="T252" s="20"/>
      <c r="U252" s="20" t="str">
        <f t="shared" si="278"/>
        <v>-</v>
      </c>
      <c r="V252" s="19" t="str">
        <f t="shared" ca="1" si="267"/>
        <v>-</v>
      </c>
      <c r="W252" s="3"/>
      <c r="X252" s="22" t="str">
        <f t="shared" si="279"/>
        <v>-</v>
      </c>
      <c r="Y252" s="22"/>
      <c r="Z252" s="22" t="str">
        <f t="shared" ca="1" si="280"/>
        <v>-</v>
      </c>
      <c r="AA252" s="20" t="str">
        <f t="shared" si="281"/>
        <v>-</v>
      </c>
      <c r="AB252" s="94" t="str">
        <f t="shared" si="271"/>
        <v>---------</v>
      </c>
      <c r="AC252" s="21"/>
      <c r="AD252" s="21" t="str">
        <f t="shared" si="282"/>
        <v>-</v>
      </c>
      <c r="AE252" s="21" t="str">
        <f t="shared" si="283"/>
        <v>-</v>
      </c>
      <c r="AF252" s="85"/>
      <c r="AG252" s="21" t="str">
        <f t="shared" si="284"/>
        <v>-</v>
      </c>
      <c r="AH252" s="21" t="str">
        <f t="shared" si="285"/>
        <v>-</v>
      </c>
      <c r="AI252" s="89" t="str">
        <f t="shared" ca="1" si="276"/>
        <v>-</v>
      </c>
      <c r="AJ252" s="92">
        <v>1</v>
      </c>
      <c r="AK252" s="349">
        <v>42857</v>
      </c>
      <c r="AL252" s="80" t="s">
        <v>1614</v>
      </c>
      <c r="AM252" s="22">
        <v>45</v>
      </c>
    </row>
    <row r="253" spans="1:39" s="2" customFormat="1" ht="15.95" customHeight="1" x14ac:dyDescent="0.25">
      <c r="A253" s="77">
        <v>251</v>
      </c>
      <c r="B253" s="84">
        <f t="shared" ca="1" si="178"/>
        <v>43134</v>
      </c>
      <c r="C253" s="29" t="s">
        <v>2546</v>
      </c>
      <c r="D253" s="59" t="s">
        <v>1555</v>
      </c>
      <c r="E253" s="22" t="s">
        <v>1557</v>
      </c>
      <c r="F253" s="27" t="s">
        <v>2681</v>
      </c>
      <c r="G253" s="27"/>
      <c r="H253" s="28" t="s">
        <v>603</v>
      </c>
      <c r="I253" s="20">
        <v>42854</v>
      </c>
      <c r="J253" s="35">
        <f t="shared" ca="1" si="287"/>
        <v>0.76712328767123283</v>
      </c>
      <c r="K253" s="35">
        <f t="shared" ca="1" si="288"/>
        <v>9.3333333333333339</v>
      </c>
      <c r="L253" s="35">
        <f t="shared" ca="1" si="289"/>
        <v>280</v>
      </c>
      <c r="M253" s="60"/>
      <c r="N253" s="32"/>
      <c r="O253" s="82" t="str">
        <f t="shared" ca="1" si="265"/>
        <v>-</v>
      </c>
      <c r="P253" s="19"/>
      <c r="Q253" s="68"/>
      <c r="R253" s="118"/>
      <c r="S253" s="21"/>
      <c r="T253" s="20"/>
      <c r="U253" s="20" t="str">
        <f t="shared" si="278"/>
        <v>-</v>
      </c>
      <c r="V253" s="19" t="str">
        <f t="shared" ca="1" si="267"/>
        <v>-</v>
      </c>
      <c r="W253" s="3"/>
      <c r="X253" s="22" t="str">
        <f t="shared" si="279"/>
        <v>-</v>
      </c>
      <c r="Y253" s="22"/>
      <c r="Z253" s="22" t="str">
        <f t="shared" ca="1" si="280"/>
        <v>-</v>
      </c>
      <c r="AA253" s="20" t="str">
        <f t="shared" si="281"/>
        <v>-</v>
      </c>
      <c r="AB253" s="94" t="str">
        <f t="shared" si="271"/>
        <v>---------</v>
      </c>
      <c r="AC253" s="21"/>
      <c r="AD253" s="21" t="str">
        <f t="shared" si="282"/>
        <v>-</v>
      </c>
      <c r="AE253" s="21" t="str">
        <f t="shared" si="283"/>
        <v>-</v>
      </c>
      <c r="AF253" s="85"/>
      <c r="AG253" s="21" t="str">
        <f t="shared" si="284"/>
        <v>-</v>
      </c>
      <c r="AH253" s="21" t="str">
        <f t="shared" si="285"/>
        <v>-</v>
      </c>
      <c r="AI253" s="89" t="str">
        <f t="shared" ca="1" si="276"/>
        <v>-</v>
      </c>
      <c r="AJ253" s="92">
        <v>1</v>
      </c>
      <c r="AK253" s="349">
        <v>42857</v>
      </c>
      <c r="AL253" s="80" t="s">
        <v>1614</v>
      </c>
      <c r="AM253" s="22">
        <v>47</v>
      </c>
    </row>
    <row r="254" spans="1:39" s="2" customFormat="1" ht="15.95" customHeight="1" x14ac:dyDescent="0.25">
      <c r="A254" s="77">
        <v>252</v>
      </c>
      <c r="B254" s="84">
        <f t="shared" ca="1" si="178"/>
        <v>43134</v>
      </c>
      <c r="C254" s="29" t="s">
        <v>2546</v>
      </c>
      <c r="D254" s="59" t="s">
        <v>1555</v>
      </c>
      <c r="E254" s="22" t="s">
        <v>1557</v>
      </c>
      <c r="F254" s="27" t="s">
        <v>2686</v>
      </c>
      <c r="G254" s="27"/>
      <c r="H254" s="28" t="s">
        <v>603</v>
      </c>
      <c r="I254" s="20">
        <v>42855</v>
      </c>
      <c r="J254" s="35">
        <f t="shared" ca="1" si="287"/>
        <v>0.76438356164383559</v>
      </c>
      <c r="K254" s="35">
        <f t="shared" ca="1" si="288"/>
        <v>9.3000000000000007</v>
      </c>
      <c r="L254" s="35">
        <f t="shared" ca="1" si="289"/>
        <v>279</v>
      </c>
      <c r="M254" s="60"/>
      <c r="N254" s="32"/>
      <c r="O254" s="82" t="str">
        <f t="shared" ca="1" si="265"/>
        <v>-</v>
      </c>
      <c r="P254" s="19"/>
      <c r="Q254" s="68"/>
      <c r="R254" s="118"/>
      <c r="S254" s="21"/>
      <c r="T254" s="20"/>
      <c r="U254" s="20" t="str">
        <f t="shared" si="278"/>
        <v>-</v>
      </c>
      <c r="V254" s="19" t="str">
        <f t="shared" ca="1" si="267"/>
        <v>-</v>
      </c>
      <c r="W254" s="3"/>
      <c r="X254" s="22" t="str">
        <f t="shared" si="279"/>
        <v>-</v>
      </c>
      <c r="Y254" s="22"/>
      <c r="Z254" s="22" t="str">
        <f t="shared" ca="1" si="280"/>
        <v>-</v>
      </c>
      <c r="AA254" s="20" t="str">
        <f t="shared" si="281"/>
        <v>-</v>
      </c>
      <c r="AB254" s="94" t="str">
        <f t="shared" si="271"/>
        <v>---------</v>
      </c>
      <c r="AC254" s="21"/>
      <c r="AD254" s="21" t="str">
        <f t="shared" si="282"/>
        <v>-</v>
      </c>
      <c r="AE254" s="21" t="str">
        <f t="shared" si="283"/>
        <v>-</v>
      </c>
      <c r="AF254" s="85"/>
      <c r="AG254" s="21" t="str">
        <f t="shared" si="284"/>
        <v>-</v>
      </c>
      <c r="AH254" s="21" t="str">
        <f t="shared" si="285"/>
        <v>-</v>
      </c>
      <c r="AI254" s="89" t="str">
        <f t="shared" ca="1" si="276"/>
        <v>-</v>
      </c>
      <c r="AJ254" s="92">
        <v>1</v>
      </c>
      <c r="AK254" s="349">
        <v>42857</v>
      </c>
      <c r="AL254" s="80" t="s">
        <v>1614</v>
      </c>
      <c r="AM254" s="22">
        <v>37</v>
      </c>
    </row>
    <row r="255" spans="1:39" s="2" customFormat="1" ht="15.95" customHeight="1" x14ac:dyDescent="0.25">
      <c r="A255" s="77">
        <v>253</v>
      </c>
      <c r="B255" s="84">
        <f t="shared" ca="1" si="178"/>
        <v>43134</v>
      </c>
      <c r="C255" s="29" t="s">
        <v>2546</v>
      </c>
      <c r="D255" s="59" t="s">
        <v>1555</v>
      </c>
      <c r="E255" s="22" t="s">
        <v>1557</v>
      </c>
      <c r="F255" s="27" t="s">
        <v>2687</v>
      </c>
      <c r="G255" s="27"/>
      <c r="H255" s="28" t="s">
        <v>603</v>
      </c>
      <c r="I255" s="20">
        <v>42855</v>
      </c>
      <c r="J255" s="35">
        <f t="shared" ca="1" si="287"/>
        <v>0.76438356164383559</v>
      </c>
      <c r="K255" s="35">
        <f t="shared" ca="1" si="288"/>
        <v>9.3000000000000007</v>
      </c>
      <c r="L255" s="35">
        <f t="shared" ca="1" si="289"/>
        <v>279</v>
      </c>
      <c r="M255" s="60"/>
      <c r="N255" s="32"/>
      <c r="O255" s="82" t="str">
        <f t="shared" ca="1" si="265"/>
        <v>-</v>
      </c>
      <c r="P255" s="19"/>
      <c r="Q255" s="68"/>
      <c r="R255" s="118"/>
      <c r="S255" s="21"/>
      <c r="T255" s="20"/>
      <c r="U255" s="20" t="str">
        <f t="shared" si="278"/>
        <v>-</v>
      </c>
      <c r="V255" s="19" t="str">
        <f t="shared" ca="1" si="267"/>
        <v>-</v>
      </c>
      <c r="W255" s="3"/>
      <c r="X255" s="22" t="str">
        <f t="shared" si="279"/>
        <v>-</v>
      </c>
      <c r="Y255" s="22"/>
      <c r="Z255" s="22" t="str">
        <f t="shared" ca="1" si="280"/>
        <v>-</v>
      </c>
      <c r="AA255" s="20" t="str">
        <f t="shared" si="281"/>
        <v>-</v>
      </c>
      <c r="AB255" s="94" t="str">
        <f t="shared" si="271"/>
        <v>---------</v>
      </c>
      <c r="AC255" s="21"/>
      <c r="AD255" s="21" t="str">
        <f t="shared" si="282"/>
        <v>-</v>
      </c>
      <c r="AE255" s="21" t="str">
        <f t="shared" si="283"/>
        <v>-</v>
      </c>
      <c r="AF255" s="85"/>
      <c r="AG255" s="21" t="str">
        <f t="shared" si="284"/>
        <v>-</v>
      </c>
      <c r="AH255" s="21" t="str">
        <f t="shared" si="285"/>
        <v>-</v>
      </c>
      <c r="AI255" s="89" t="str">
        <f t="shared" ca="1" si="276"/>
        <v>-</v>
      </c>
      <c r="AJ255" s="92">
        <v>1</v>
      </c>
      <c r="AK255" s="349">
        <v>42857</v>
      </c>
      <c r="AL255" s="80" t="s">
        <v>1614</v>
      </c>
      <c r="AM255" s="22">
        <v>43</v>
      </c>
    </row>
    <row r="256" spans="1:39" s="2" customFormat="1" ht="15.95" customHeight="1" x14ac:dyDescent="0.25">
      <c r="A256" s="77">
        <v>254</v>
      </c>
      <c r="B256" s="84">
        <f t="shared" ca="1" si="178"/>
        <v>43134</v>
      </c>
      <c r="C256" s="29" t="s">
        <v>2546</v>
      </c>
      <c r="D256" s="59" t="s">
        <v>1555</v>
      </c>
      <c r="E256" s="22" t="s">
        <v>1557</v>
      </c>
      <c r="F256" s="27" t="s">
        <v>2689</v>
      </c>
      <c r="G256" s="27"/>
      <c r="H256" s="28" t="s">
        <v>603</v>
      </c>
      <c r="I256" s="20">
        <v>42856</v>
      </c>
      <c r="J256" s="35">
        <f t="shared" ca="1" si="287"/>
        <v>0.76164383561643834</v>
      </c>
      <c r="K256" s="35">
        <f t="shared" ca="1" si="288"/>
        <v>9.2666666666666675</v>
      </c>
      <c r="L256" s="35">
        <f t="shared" ca="1" si="289"/>
        <v>278</v>
      </c>
      <c r="M256" s="60"/>
      <c r="N256" s="32"/>
      <c r="O256" s="82" t="str">
        <f t="shared" ca="1" si="265"/>
        <v>-</v>
      </c>
      <c r="P256" s="19"/>
      <c r="Q256" s="68"/>
      <c r="R256" s="118"/>
      <c r="S256" s="21"/>
      <c r="T256" s="20"/>
      <c r="U256" s="20" t="str">
        <f t="shared" si="278"/>
        <v>-</v>
      </c>
      <c r="V256" s="19" t="str">
        <f t="shared" ca="1" si="267"/>
        <v>-</v>
      </c>
      <c r="W256" s="3"/>
      <c r="X256" s="22" t="str">
        <f t="shared" si="279"/>
        <v>-</v>
      </c>
      <c r="Y256" s="22"/>
      <c r="Z256" s="22" t="str">
        <f t="shared" ca="1" si="280"/>
        <v>-</v>
      </c>
      <c r="AA256" s="20" t="str">
        <f t="shared" si="281"/>
        <v>-</v>
      </c>
      <c r="AB256" s="94" t="str">
        <f t="shared" si="271"/>
        <v>---------</v>
      </c>
      <c r="AC256" s="21"/>
      <c r="AD256" s="21" t="str">
        <f t="shared" si="282"/>
        <v>-</v>
      </c>
      <c r="AE256" s="21" t="str">
        <f t="shared" si="283"/>
        <v>-</v>
      </c>
      <c r="AF256" s="85"/>
      <c r="AG256" s="21" t="str">
        <f t="shared" si="284"/>
        <v>-</v>
      </c>
      <c r="AH256" s="21" t="str">
        <f t="shared" si="285"/>
        <v>-</v>
      </c>
      <c r="AI256" s="89" t="str">
        <f t="shared" ca="1" si="276"/>
        <v>-</v>
      </c>
      <c r="AJ256" s="92">
        <v>1</v>
      </c>
      <c r="AK256" s="349">
        <v>42857</v>
      </c>
      <c r="AL256" s="80" t="s">
        <v>1614</v>
      </c>
      <c r="AM256" s="22">
        <v>53</v>
      </c>
    </row>
    <row r="257" spans="1:39" s="1" customFormat="1" ht="15.95" customHeight="1" x14ac:dyDescent="0.25">
      <c r="A257" s="77">
        <v>255</v>
      </c>
      <c r="B257" s="84">
        <f t="shared" ca="1" si="178"/>
        <v>43134</v>
      </c>
      <c r="C257" s="271" t="s">
        <v>2584</v>
      </c>
      <c r="D257" s="59" t="s">
        <v>2582</v>
      </c>
      <c r="E257" s="22" t="s">
        <v>1563</v>
      </c>
      <c r="F257" s="27" t="s">
        <v>2739</v>
      </c>
      <c r="G257" s="27"/>
      <c r="H257" s="28" t="s">
        <v>603</v>
      </c>
      <c r="I257" s="20">
        <v>42348</v>
      </c>
      <c r="J257" s="240">
        <f t="shared" ca="1" si="287"/>
        <v>2.1534246575342464</v>
      </c>
      <c r="K257" s="240">
        <f t="shared" ca="1" si="288"/>
        <v>26.2</v>
      </c>
      <c r="L257" s="240">
        <f t="shared" ca="1" si="289"/>
        <v>786</v>
      </c>
      <c r="M257" s="60"/>
      <c r="N257" s="32"/>
      <c r="O257" s="82" t="str">
        <f t="shared" ca="1" si="265"/>
        <v>-</v>
      </c>
      <c r="P257" s="19"/>
      <c r="Q257" s="68"/>
      <c r="R257" s="118"/>
      <c r="S257" s="21"/>
      <c r="T257" s="20"/>
      <c r="U257" s="20" t="str">
        <f t="shared" si="278"/>
        <v>-</v>
      </c>
      <c r="V257" s="19" t="str">
        <f t="shared" ca="1" si="267"/>
        <v>-</v>
      </c>
      <c r="W257" s="3"/>
      <c r="X257" s="22" t="str">
        <f t="shared" si="279"/>
        <v>-</v>
      </c>
      <c r="Y257" s="22"/>
      <c r="Z257" s="22" t="str">
        <f t="shared" ca="1" si="280"/>
        <v>-</v>
      </c>
      <c r="AA257" s="20" t="str">
        <f t="shared" si="281"/>
        <v>-</v>
      </c>
      <c r="AB257" s="94" t="str">
        <f t="shared" si="271"/>
        <v>---------</v>
      </c>
      <c r="AC257" s="21"/>
      <c r="AD257" s="21" t="str">
        <f t="shared" si="282"/>
        <v>-</v>
      </c>
      <c r="AE257" s="21" t="str">
        <f t="shared" si="283"/>
        <v>-</v>
      </c>
      <c r="AF257" s="85"/>
      <c r="AG257" s="21" t="str">
        <f t="shared" si="284"/>
        <v>-</v>
      </c>
      <c r="AH257" s="21" t="str">
        <f t="shared" si="285"/>
        <v>-</v>
      </c>
      <c r="AI257" s="89" t="str">
        <f t="shared" ca="1" si="276"/>
        <v>-</v>
      </c>
      <c r="AJ257" s="92">
        <v>1</v>
      </c>
      <c r="AK257" s="349">
        <v>42859</v>
      </c>
      <c r="AL257" s="80" t="s">
        <v>617</v>
      </c>
      <c r="AM257" s="22" t="str">
        <f>IF(AND(Y257=1,P257=0),"НЕТЕЛЬ","-")</f>
        <v>-</v>
      </c>
    </row>
    <row r="258" spans="1:39" s="2" customFormat="1" ht="15.95" customHeight="1" x14ac:dyDescent="0.25">
      <c r="A258" s="77">
        <v>256</v>
      </c>
      <c r="B258" s="84">
        <f t="shared" ca="1" si="178"/>
        <v>43134</v>
      </c>
      <c r="C258" s="29" t="s">
        <v>2546</v>
      </c>
      <c r="D258" s="59" t="s">
        <v>1555</v>
      </c>
      <c r="E258" s="22" t="s">
        <v>1557</v>
      </c>
      <c r="F258" s="27" t="s">
        <v>2693</v>
      </c>
      <c r="G258" s="27"/>
      <c r="H258" s="28" t="s">
        <v>603</v>
      </c>
      <c r="I258" s="20">
        <v>42858</v>
      </c>
      <c r="J258" s="240">
        <f t="shared" ca="1" si="287"/>
        <v>0.75616438356164384</v>
      </c>
      <c r="K258" s="240">
        <f t="shared" ca="1" si="288"/>
        <v>9.1999999999999993</v>
      </c>
      <c r="L258" s="240">
        <f t="shared" ca="1" si="289"/>
        <v>276</v>
      </c>
      <c r="M258" s="60"/>
      <c r="N258" s="32"/>
      <c r="O258" s="82" t="str">
        <f t="shared" ca="1" si="265"/>
        <v>-</v>
      </c>
      <c r="P258" s="19"/>
      <c r="Q258" s="68"/>
      <c r="R258" s="118"/>
      <c r="S258" s="21"/>
      <c r="T258" s="20"/>
      <c r="U258" s="20" t="str">
        <f t="shared" si="278"/>
        <v>-</v>
      </c>
      <c r="V258" s="19" t="str">
        <f t="shared" ca="1" si="267"/>
        <v>-</v>
      </c>
      <c r="W258" s="3"/>
      <c r="X258" s="22" t="str">
        <f t="shared" si="279"/>
        <v>-</v>
      </c>
      <c r="Y258" s="22"/>
      <c r="Z258" s="22" t="str">
        <f t="shared" ca="1" si="280"/>
        <v>-</v>
      </c>
      <c r="AA258" s="20" t="str">
        <f t="shared" si="281"/>
        <v>-</v>
      </c>
      <c r="AB258" s="94" t="str">
        <f t="shared" si="271"/>
        <v>---------</v>
      </c>
      <c r="AC258" s="21"/>
      <c r="AD258" s="21" t="str">
        <f t="shared" si="282"/>
        <v>-</v>
      </c>
      <c r="AE258" s="21" t="str">
        <f t="shared" si="283"/>
        <v>-</v>
      </c>
      <c r="AF258" s="85"/>
      <c r="AG258" s="21" t="str">
        <f t="shared" si="284"/>
        <v>-</v>
      </c>
      <c r="AH258" s="21" t="str">
        <f t="shared" si="285"/>
        <v>-</v>
      </c>
      <c r="AI258" s="89" t="str">
        <f t="shared" ca="1" si="276"/>
        <v>-</v>
      </c>
      <c r="AJ258" s="92"/>
      <c r="AK258" s="349">
        <v>42860</v>
      </c>
      <c r="AL258" s="80" t="s">
        <v>1614</v>
      </c>
      <c r="AM258" s="22">
        <v>39</v>
      </c>
    </row>
    <row r="259" spans="1:39" s="2" customFormat="1" ht="15.95" customHeight="1" x14ac:dyDescent="0.25">
      <c r="A259" s="77">
        <v>257</v>
      </c>
      <c r="B259" s="84">
        <f t="shared" ref="B259:B322" ca="1" si="290">TODAY()</f>
        <v>43134</v>
      </c>
      <c r="C259" s="29" t="s">
        <v>2546</v>
      </c>
      <c r="D259" s="59" t="s">
        <v>1555</v>
      </c>
      <c r="E259" s="22" t="s">
        <v>1557</v>
      </c>
      <c r="F259" s="27" t="s">
        <v>2694</v>
      </c>
      <c r="G259" s="27"/>
      <c r="H259" s="28" t="s">
        <v>603</v>
      </c>
      <c r="I259" s="20">
        <v>42858</v>
      </c>
      <c r="J259" s="240">
        <f t="shared" ca="1" si="287"/>
        <v>0.75616438356164384</v>
      </c>
      <c r="K259" s="240">
        <f t="shared" ca="1" si="288"/>
        <v>9.1999999999999993</v>
      </c>
      <c r="L259" s="240">
        <f t="shared" ca="1" si="289"/>
        <v>276</v>
      </c>
      <c r="M259" s="60"/>
      <c r="N259" s="32"/>
      <c r="O259" s="82" t="str">
        <f t="shared" ca="1" si="265"/>
        <v>-</v>
      </c>
      <c r="P259" s="19"/>
      <c r="Q259" s="68"/>
      <c r="R259" s="118"/>
      <c r="S259" s="21"/>
      <c r="T259" s="20"/>
      <c r="U259" s="20" t="str">
        <f t="shared" si="278"/>
        <v>-</v>
      </c>
      <c r="V259" s="19" t="str">
        <f t="shared" ca="1" si="267"/>
        <v>-</v>
      </c>
      <c r="W259" s="3"/>
      <c r="X259" s="22" t="str">
        <f t="shared" si="279"/>
        <v>-</v>
      </c>
      <c r="Y259" s="22"/>
      <c r="Z259" s="22" t="str">
        <f t="shared" ca="1" si="280"/>
        <v>-</v>
      </c>
      <c r="AA259" s="20" t="str">
        <f t="shared" si="281"/>
        <v>-</v>
      </c>
      <c r="AB259" s="94" t="str">
        <f t="shared" si="271"/>
        <v>---------</v>
      </c>
      <c r="AC259" s="21"/>
      <c r="AD259" s="21" t="str">
        <f t="shared" si="282"/>
        <v>-</v>
      </c>
      <c r="AE259" s="21" t="str">
        <f t="shared" si="283"/>
        <v>-</v>
      </c>
      <c r="AF259" s="85"/>
      <c r="AG259" s="21" t="str">
        <f t="shared" si="284"/>
        <v>-</v>
      </c>
      <c r="AH259" s="21" t="str">
        <f t="shared" si="285"/>
        <v>-</v>
      </c>
      <c r="AI259" s="89" t="str">
        <f t="shared" ca="1" si="276"/>
        <v>-</v>
      </c>
      <c r="AJ259" s="92"/>
      <c r="AK259" s="349">
        <v>42860</v>
      </c>
      <c r="AL259" s="80" t="s">
        <v>1614</v>
      </c>
      <c r="AM259" s="22">
        <v>38</v>
      </c>
    </row>
    <row r="260" spans="1:39" s="1" customFormat="1" ht="15.95" customHeight="1" x14ac:dyDescent="0.25">
      <c r="A260" s="77">
        <v>258</v>
      </c>
      <c r="B260" s="84">
        <f t="shared" ca="1" si="290"/>
        <v>43134</v>
      </c>
      <c r="C260" s="271" t="s">
        <v>2584</v>
      </c>
      <c r="D260" s="59" t="s">
        <v>2582</v>
      </c>
      <c r="E260" s="22" t="s">
        <v>1563</v>
      </c>
      <c r="F260" s="27" t="s">
        <v>1913</v>
      </c>
      <c r="G260" s="27"/>
      <c r="H260" s="28" t="s">
        <v>603</v>
      </c>
      <c r="I260" s="20">
        <v>42198</v>
      </c>
      <c r="J260" s="240">
        <f t="shared" ca="1" si="287"/>
        <v>2.5643835616438357</v>
      </c>
      <c r="K260" s="240">
        <f t="shared" ca="1" si="288"/>
        <v>31.2</v>
      </c>
      <c r="L260" s="240">
        <f t="shared" ca="1" si="289"/>
        <v>936</v>
      </c>
      <c r="M260" s="60"/>
      <c r="N260" s="32"/>
      <c r="O260" s="82" t="str">
        <f t="shared" ca="1" si="265"/>
        <v>-</v>
      </c>
      <c r="P260" s="19"/>
      <c r="Q260" s="68" t="s">
        <v>1451</v>
      </c>
      <c r="R260" s="118" t="s">
        <v>1876</v>
      </c>
      <c r="S260" s="21">
        <v>42802</v>
      </c>
      <c r="T260" s="20">
        <v>42802</v>
      </c>
      <c r="U260" s="20">
        <f t="shared" si="278"/>
        <v>42820</v>
      </c>
      <c r="V260" s="19">
        <f t="shared" ca="1" si="267"/>
        <v>314</v>
      </c>
      <c r="W260" s="3">
        <v>1</v>
      </c>
      <c r="X260" s="22" t="str">
        <f t="shared" si="279"/>
        <v>-</v>
      </c>
      <c r="Y260" s="22">
        <v>3</v>
      </c>
      <c r="Z260" s="22" t="str">
        <f t="shared" ca="1" si="280"/>
        <v>-</v>
      </c>
      <c r="AA260" s="20">
        <f t="shared" si="281"/>
        <v>42837</v>
      </c>
      <c r="AB260" s="94">
        <f t="shared" ca="1" si="271"/>
        <v>297</v>
      </c>
      <c r="AC260" s="21"/>
      <c r="AD260" s="21" t="str">
        <f t="shared" si="282"/>
        <v>-</v>
      </c>
      <c r="AE260" s="21" t="str">
        <f t="shared" si="283"/>
        <v>-</v>
      </c>
      <c r="AF260" s="85"/>
      <c r="AG260" s="21" t="str">
        <f t="shared" si="284"/>
        <v>-</v>
      </c>
      <c r="AH260" s="21" t="str">
        <f t="shared" si="285"/>
        <v>-</v>
      </c>
      <c r="AI260" s="89" t="str">
        <f t="shared" ca="1" si="276"/>
        <v>-</v>
      </c>
      <c r="AJ260" s="92">
        <v>1</v>
      </c>
      <c r="AK260" s="349">
        <v>42862</v>
      </c>
      <c r="AL260" s="80" t="s">
        <v>617</v>
      </c>
      <c r="AM260" s="22" t="str">
        <f>IF(AND(Y260=1,P260=0),"НЕТЕЛЬ","-")</f>
        <v>-</v>
      </c>
    </row>
    <row r="261" spans="1:39" s="2" customFormat="1" ht="15.95" customHeight="1" x14ac:dyDescent="0.25">
      <c r="A261" s="77">
        <v>259</v>
      </c>
      <c r="B261" s="84">
        <f t="shared" ca="1" si="290"/>
        <v>43134</v>
      </c>
      <c r="C261" s="29" t="s">
        <v>2546</v>
      </c>
      <c r="D261" s="59" t="s">
        <v>1555</v>
      </c>
      <c r="E261" s="22" t="s">
        <v>1557</v>
      </c>
      <c r="F261" s="27" t="s">
        <v>2695</v>
      </c>
      <c r="G261" s="27"/>
      <c r="H261" s="28" t="s">
        <v>603</v>
      </c>
      <c r="I261" s="20">
        <v>42859</v>
      </c>
      <c r="J261" s="240">
        <f t="shared" ca="1" si="287"/>
        <v>0.75342465753424659</v>
      </c>
      <c r="K261" s="240">
        <f t="shared" ca="1" si="288"/>
        <v>9.1666666666666661</v>
      </c>
      <c r="L261" s="240">
        <f t="shared" ca="1" si="289"/>
        <v>275</v>
      </c>
      <c r="M261" s="60"/>
      <c r="N261" s="32"/>
      <c r="O261" s="82" t="str">
        <f t="shared" ca="1" si="265"/>
        <v>-</v>
      </c>
      <c r="P261" s="19"/>
      <c r="Q261" s="68"/>
      <c r="R261" s="118"/>
      <c r="S261" s="21"/>
      <c r="T261" s="20"/>
      <c r="U261" s="20" t="str">
        <f t="shared" si="278"/>
        <v>-</v>
      </c>
      <c r="V261" s="19" t="str">
        <f t="shared" ca="1" si="267"/>
        <v>-</v>
      </c>
      <c r="W261" s="3">
        <v>0</v>
      </c>
      <c r="X261" s="22" t="str">
        <f t="shared" si="279"/>
        <v>-</v>
      </c>
      <c r="Y261" s="22">
        <v>0</v>
      </c>
      <c r="Z261" s="22" t="str">
        <f t="shared" ca="1" si="280"/>
        <v>-</v>
      </c>
      <c r="AA261" s="20" t="str">
        <f t="shared" si="281"/>
        <v>-</v>
      </c>
      <c r="AB261" s="94" t="str">
        <f t="shared" si="271"/>
        <v>---------</v>
      </c>
      <c r="AC261" s="21"/>
      <c r="AD261" s="21" t="str">
        <f t="shared" si="282"/>
        <v>-</v>
      </c>
      <c r="AE261" s="21" t="str">
        <f t="shared" si="283"/>
        <v>-</v>
      </c>
      <c r="AF261" s="85"/>
      <c r="AG261" s="21" t="str">
        <f t="shared" si="284"/>
        <v>-</v>
      </c>
      <c r="AH261" s="21" t="str">
        <f t="shared" si="285"/>
        <v>-</v>
      </c>
      <c r="AI261" s="89" t="str">
        <f t="shared" ca="1" si="276"/>
        <v>-</v>
      </c>
      <c r="AJ261" s="92">
        <v>1</v>
      </c>
      <c r="AK261" s="349">
        <v>42865</v>
      </c>
      <c r="AL261" s="80" t="s">
        <v>1614</v>
      </c>
      <c r="AM261" s="22">
        <v>47</v>
      </c>
    </row>
    <row r="262" spans="1:39" s="2" customFormat="1" ht="15.95" customHeight="1" x14ac:dyDescent="0.25">
      <c r="A262" s="77">
        <v>260</v>
      </c>
      <c r="B262" s="84">
        <f t="shared" ca="1" si="290"/>
        <v>43134</v>
      </c>
      <c r="C262" s="29" t="s">
        <v>2546</v>
      </c>
      <c r="D262" s="59" t="s">
        <v>1555</v>
      </c>
      <c r="E262" s="22" t="s">
        <v>1557</v>
      </c>
      <c r="F262" s="27" t="s">
        <v>2697</v>
      </c>
      <c r="G262" s="27"/>
      <c r="H262" s="28" t="s">
        <v>603</v>
      </c>
      <c r="I262" s="20">
        <v>42860</v>
      </c>
      <c r="J262" s="240">
        <f t="shared" ca="1" si="287"/>
        <v>0.75068493150684934</v>
      </c>
      <c r="K262" s="240">
        <f t="shared" ca="1" si="288"/>
        <v>9.1333333333333329</v>
      </c>
      <c r="L262" s="240">
        <f t="shared" ca="1" si="289"/>
        <v>274</v>
      </c>
      <c r="M262" s="60"/>
      <c r="N262" s="32"/>
      <c r="O262" s="82" t="str">
        <f t="shared" ca="1" si="265"/>
        <v>-</v>
      </c>
      <c r="P262" s="19"/>
      <c r="Q262" s="68"/>
      <c r="R262" s="118"/>
      <c r="S262" s="21"/>
      <c r="T262" s="20"/>
      <c r="U262" s="20" t="str">
        <f t="shared" si="278"/>
        <v>-</v>
      </c>
      <c r="V262" s="19" t="str">
        <f t="shared" ca="1" si="267"/>
        <v>-</v>
      </c>
      <c r="W262" s="3">
        <v>0</v>
      </c>
      <c r="X262" s="22" t="str">
        <f t="shared" si="279"/>
        <v>-</v>
      </c>
      <c r="Y262" s="22">
        <v>0</v>
      </c>
      <c r="Z262" s="22" t="str">
        <f t="shared" ca="1" si="280"/>
        <v>-</v>
      </c>
      <c r="AA262" s="20" t="str">
        <f t="shared" si="281"/>
        <v>-</v>
      </c>
      <c r="AB262" s="94" t="str">
        <f t="shared" si="271"/>
        <v>---------</v>
      </c>
      <c r="AC262" s="21"/>
      <c r="AD262" s="21" t="str">
        <f t="shared" si="282"/>
        <v>-</v>
      </c>
      <c r="AE262" s="21" t="str">
        <f t="shared" si="283"/>
        <v>-</v>
      </c>
      <c r="AF262" s="85"/>
      <c r="AG262" s="21" t="str">
        <f t="shared" si="284"/>
        <v>-</v>
      </c>
      <c r="AH262" s="21" t="str">
        <f t="shared" si="285"/>
        <v>-</v>
      </c>
      <c r="AI262" s="89" t="str">
        <f t="shared" ca="1" si="276"/>
        <v>-</v>
      </c>
      <c r="AJ262" s="92">
        <v>1</v>
      </c>
      <c r="AK262" s="349">
        <v>42865</v>
      </c>
      <c r="AL262" s="80" t="s">
        <v>1614</v>
      </c>
      <c r="AM262" s="22">
        <v>43</v>
      </c>
    </row>
    <row r="263" spans="1:39" s="2" customFormat="1" ht="15.95" customHeight="1" x14ac:dyDescent="0.25">
      <c r="A263" s="77">
        <v>261</v>
      </c>
      <c r="B263" s="84">
        <f t="shared" ca="1" si="290"/>
        <v>43134</v>
      </c>
      <c r="C263" s="29" t="s">
        <v>2546</v>
      </c>
      <c r="D263" s="59" t="s">
        <v>1555</v>
      </c>
      <c r="E263" s="22" t="s">
        <v>1557</v>
      </c>
      <c r="F263" s="27" t="s">
        <v>2698</v>
      </c>
      <c r="G263" s="27"/>
      <c r="H263" s="28" t="s">
        <v>603</v>
      </c>
      <c r="I263" s="20">
        <v>42860</v>
      </c>
      <c r="J263" s="240">
        <f t="shared" ca="1" si="287"/>
        <v>0.75068493150684934</v>
      </c>
      <c r="K263" s="240">
        <f t="shared" ca="1" si="288"/>
        <v>9.1333333333333329</v>
      </c>
      <c r="L263" s="240">
        <f t="shared" ca="1" si="289"/>
        <v>274</v>
      </c>
      <c r="M263" s="60"/>
      <c r="N263" s="32"/>
      <c r="O263" s="82" t="str">
        <f t="shared" ca="1" si="265"/>
        <v>-</v>
      </c>
      <c r="P263" s="19"/>
      <c r="Q263" s="68"/>
      <c r="R263" s="118"/>
      <c r="S263" s="21"/>
      <c r="T263" s="20"/>
      <c r="U263" s="20" t="str">
        <f t="shared" si="278"/>
        <v>-</v>
      </c>
      <c r="V263" s="19" t="str">
        <f t="shared" ca="1" si="267"/>
        <v>-</v>
      </c>
      <c r="W263" s="3">
        <v>0</v>
      </c>
      <c r="X263" s="22" t="str">
        <f t="shared" si="279"/>
        <v>-</v>
      </c>
      <c r="Y263" s="22">
        <v>0</v>
      </c>
      <c r="Z263" s="22" t="str">
        <f t="shared" ca="1" si="280"/>
        <v>-</v>
      </c>
      <c r="AA263" s="20" t="str">
        <f t="shared" si="281"/>
        <v>-</v>
      </c>
      <c r="AB263" s="94" t="str">
        <f t="shared" si="271"/>
        <v>---------</v>
      </c>
      <c r="AC263" s="21"/>
      <c r="AD263" s="21" t="str">
        <f t="shared" si="282"/>
        <v>-</v>
      </c>
      <c r="AE263" s="21" t="str">
        <f t="shared" si="283"/>
        <v>-</v>
      </c>
      <c r="AF263" s="85"/>
      <c r="AG263" s="21" t="str">
        <f t="shared" si="284"/>
        <v>-</v>
      </c>
      <c r="AH263" s="21" t="str">
        <f t="shared" si="285"/>
        <v>-</v>
      </c>
      <c r="AI263" s="89" t="str">
        <f t="shared" ca="1" si="276"/>
        <v>-</v>
      </c>
      <c r="AJ263" s="92">
        <v>1</v>
      </c>
      <c r="AK263" s="349">
        <v>42865</v>
      </c>
      <c r="AL263" s="80" t="s">
        <v>1614</v>
      </c>
      <c r="AM263" s="22">
        <v>43</v>
      </c>
    </row>
    <row r="264" spans="1:39" s="2" customFormat="1" ht="15.95" customHeight="1" x14ac:dyDescent="0.25">
      <c r="A264" s="77">
        <v>262</v>
      </c>
      <c r="B264" s="84">
        <f t="shared" ca="1" si="290"/>
        <v>43134</v>
      </c>
      <c r="C264" s="29" t="s">
        <v>2546</v>
      </c>
      <c r="D264" s="59" t="s">
        <v>1555</v>
      </c>
      <c r="E264" s="22" t="s">
        <v>1557</v>
      </c>
      <c r="F264" s="27" t="s">
        <v>2707</v>
      </c>
      <c r="G264" s="27"/>
      <c r="H264" s="28" t="s">
        <v>603</v>
      </c>
      <c r="I264" s="20">
        <v>42863</v>
      </c>
      <c r="J264" s="240">
        <f t="shared" ca="1" si="287"/>
        <v>0.74246575342465748</v>
      </c>
      <c r="K264" s="240">
        <f t="shared" ca="1" si="288"/>
        <v>9.0333333333333332</v>
      </c>
      <c r="L264" s="240">
        <f t="shared" ca="1" si="289"/>
        <v>271</v>
      </c>
      <c r="M264" s="60"/>
      <c r="N264" s="32"/>
      <c r="O264" s="82" t="str">
        <f t="shared" ca="1" si="265"/>
        <v>-</v>
      </c>
      <c r="P264" s="19"/>
      <c r="Q264" s="68"/>
      <c r="R264" s="118"/>
      <c r="S264" s="21"/>
      <c r="T264" s="20"/>
      <c r="U264" s="20" t="str">
        <f t="shared" si="278"/>
        <v>-</v>
      </c>
      <c r="V264" s="19" t="str">
        <f t="shared" ca="1" si="267"/>
        <v>-</v>
      </c>
      <c r="W264" s="3">
        <v>0</v>
      </c>
      <c r="X264" s="22" t="str">
        <f t="shared" si="279"/>
        <v>-</v>
      </c>
      <c r="Y264" s="22">
        <v>0</v>
      </c>
      <c r="Z264" s="22" t="str">
        <f t="shared" ca="1" si="280"/>
        <v>-</v>
      </c>
      <c r="AA264" s="20" t="str">
        <f t="shared" si="281"/>
        <v>-</v>
      </c>
      <c r="AB264" s="94" t="str">
        <f t="shared" si="271"/>
        <v>---------</v>
      </c>
      <c r="AC264" s="21"/>
      <c r="AD264" s="21" t="str">
        <f t="shared" si="282"/>
        <v>-</v>
      </c>
      <c r="AE264" s="21" t="str">
        <f t="shared" si="283"/>
        <v>-</v>
      </c>
      <c r="AF264" s="85"/>
      <c r="AG264" s="21" t="str">
        <f t="shared" si="284"/>
        <v>-</v>
      </c>
      <c r="AH264" s="21" t="str">
        <f t="shared" si="285"/>
        <v>-</v>
      </c>
      <c r="AI264" s="89" t="str">
        <f t="shared" ca="1" si="276"/>
        <v>-</v>
      </c>
      <c r="AJ264" s="92">
        <v>1</v>
      </c>
      <c r="AK264" s="349">
        <v>42865</v>
      </c>
      <c r="AL264" s="80" t="s">
        <v>1614</v>
      </c>
      <c r="AM264" s="22">
        <v>42</v>
      </c>
    </row>
    <row r="265" spans="1:39" s="2" customFormat="1" ht="15.95" customHeight="1" x14ac:dyDescent="0.25">
      <c r="A265" s="77">
        <v>263</v>
      </c>
      <c r="B265" s="84">
        <f t="shared" ca="1" si="290"/>
        <v>43134</v>
      </c>
      <c r="C265" s="29" t="s">
        <v>2546</v>
      </c>
      <c r="D265" s="59" t="s">
        <v>1555</v>
      </c>
      <c r="E265" s="22" t="s">
        <v>1557</v>
      </c>
      <c r="F265" s="27" t="s">
        <v>2703</v>
      </c>
      <c r="G265" s="27"/>
      <c r="H265" s="28" t="s">
        <v>603</v>
      </c>
      <c r="I265" s="20">
        <v>42862</v>
      </c>
      <c r="J265" s="240">
        <f t="shared" ca="1" si="287"/>
        <v>0.74520547945205484</v>
      </c>
      <c r="K265" s="240">
        <f t="shared" ca="1" si="288"/>
        <v>9.0666666666666664</v>
      </c>
      <c r="L265" s="240">
        <f t="shared" ca="1" si="289"/>
        <v>272</v>
      </c>
      <c r="M265" s="60"/>
      <c r="N265" s="32"/>
      <c r="O265" s="82" t="str">
        <f t="shared" ca="1" si="265"/>
        <v>-</v>
      </c>
      <c r="P265" s="19"/>
      <c r="Q265" s="68"/>
      <c r="R265" s="118"/>
      <c r="S265" s="21"/>
      <c r="T265" s="20"/>
      <c r="U265" s="20" t="str">
        <f t="shared" si="278"/>
        <v>-</v>
      </c>
      <c r="V265" s="19" t="str">
        <f t="shared" ca="1" si="267"/>
        <v>-</v>
      </c>
      <c r="W265" s="3">
        <v>0</v>
      </c>
      <c r="X265" s="22" t="str">
        <f t="shared" si="279"/>
        <v>-</v>
      </c>
      <c r="Y265" s="22">
        <v>0</v>
      </c>
      <c r="Z265" s="22" t="str">
        <f t="shared" ca="1" si="280"/>
        <v>-</v>
      </c>
      <c r="AA265" s="20" t="str">
        <f t="shared" si="281"/>
        <v>-</v>
      </c>
      <c r="AB265" s="94" t="str">
        <f t="shared" si="271"/>
        <v>---------</v>
      </c>
      <c r="AC265" s="21"/>
      <c r="AD265" s="21" t="str">
        <f t="shared" si="282"/>
        <v>-</v>
      </c>
      <c r="AE265" s="21" t="str">
        <f t="shared" si="283"/>
        <v>-</v>
      </c>
      <c r="AF265" s="85"/>
      <c r="AG265" s="21" t="str">
        <f t="shared" si="284"/>
        <v>-</v>
      </c>
      <c r="AH265" s="21" t="str">
        <f t="shared" si="285"/>
        <v>-</v>
      </c>
      <c r="AI265" s="89" t="str">
        <f t="shared" ca="1" si="276"/>
        <v>-</v>
      </c>
      <c r="AJ265" s="92">
        <v>1</v>
      </c>
      <c r="AK265" s="349">
        <v>42866</v>
      </c>
      <c r="AL265" s="80" t="s">
        <v>1614</v>
      </c>
      <c r="AM265" s="22">
        <v>37</v>
      </c>
    </row>
    <row r="266" spans="1:39" s="2" customFormat="1" ht="15.95" customHeight="1" x14ac:dyDescent="0.25">
      <c r="A266" s="77">
        <v>264</v>
      </c>
      <c r="B266" s="84">
        <f t="shared" ca="1" si="290"/>
        <v>43134</v>
      </c>
      <c r="C266" s="29" t="s">
        <v>2546</v>
      </c>
      <c r="D266" s="59" t="s">
        <v>1555</v>
      </c>
      <c r="E266" s="22" t="s">
        <v>1557</v>
      </c>
      <c r="F266" s="27" t="s">
        <v>2705</v>
      </c>
      <c r="G266" s="27"/>
      <c r="H266" s="28" t="s">
        <v>603</v>
      </c>
      <c r="I266" s="20">
        <v>42862</v>
      </c>
      <c r="J266" s="240">
        <f t="shared" ca="1" si="287"/>
        <v>0.74520547945205484</v>
      </c>
      <c r="K266" s="240">
        <f t="shared" ca="1" si="288"/>
        <v>9.0666666666666664</v>
      </c>
      <c r="L266" s="240">
        <f t="shared" ca="1" si="289"/>
        <v>272</v>
      </c>
      <c r="M266" s="60"/>
      <c r="N266" s="32"/>
      <c r="O266" s="82" t="str">
        <f t="shared" ca="1" si="265"/>
        <v>-</v>
      </c>
      <c r="P266" s="19"/>
      <c r="Q266" s="68"/>
      <c r="R266" s="118"/>
      <c r="S266" s="21"/>
      <c r="T266" s="20"/>
      <c r="U266" s="20" t="str">
        <f t="shared" si="278"/>
        <v>-</v>
      </c>
      <c r="V266" s="19" t="str">
        <f t="shared" ca="1" si="267"/>
        <v>-</v>
      </c>
      <c r="W266" s="3">
        <v>0</v>
      </c>
      <c r="X266" s="22" t="str">
        <f t="shared" si="279"/>
        <v>-</v>
      </c>
      <c r="Y266" s="22">
        <v>0</v>
      </c>
      <c r="Z266" s="22" t="str">
        <f t="shared" ca="1" si="280"/>
        <v>-</v>
      </c>
      <c r="AA266" s="20" t="str">
        <f t="shared" si="281"/>
        <v>-</v>
      </c>
      <c r="AB266" s="94" t="str">
        <f t="shared" si="271"/>
        <v>---------</v>
      </c>
      <c r="AC266" s="21"/>
      <c r="AD266" s="21" t="str">
        <f t="shared" si="282"/>
        <v>-</v>
      </c>
      <c r="AE266" s="21" t="str">
        <f t="shared" si="283"/>
        <v>-</v>
      </c>
      <c r="AF266" s="85"/>
      <c r="AG266" s="21" t="str">
        <f t="shared" si="284"/>
        <v>-</v>
      </c>
      <c r="AH266" s="21" t="str">
        <f t="shared" si="285"/>
        <v>-</v>
      </c>
      <c r="AI266" s="89" t="str">
        <f t="shared" ca="1" si="276"/>
        <v>-</v>
      </c>
      <c r="AJ266" s="92">
        <v>1</v>
      </c>
      <c r="AK266" s="349">
        <v>42866</v>
      </c>
      <c r="AL266" s="80" t="s">
        <v>1614</v>
      </c>
      <c r="AM266" s="22">
        <v>45</v>
      </c>
    </row>
    <row r="267" spans="1:39" s="2" customFormat="1" ht="15.95" customHeight="1" x14ac:dyDescent="0.25">
      <c r="A267" s="77">
        <v>265</v>
      </c>
      <c r="B267" s="84">
        <f t="shared" ca="1" si="290"/>
        <v>43134</v>
      </c>
      <c r="C267" s="29" t="s">
        <v>2546</v>
      </c>
      <c r="D267" s="59" t="s">
        <v>1555</v>
      </c>
      <c r="E267" s="22" t="s">
        <v>1557</v>
      </c>
      <c r="F267" s="27" t="s">
        <v>2706</v>
      </c>
      <c r="G267" s="27"/>
      <c r="H267" s="28" t="s">
        <v>603</v>
      </c>
      <c r="I267" s="20">
        <v>42863</v>
      </c>
      <c r="J267" s="240">
        <f t="shared" ca="1" si="287"/>
        <v>0.74246575342465748</v>
      </c>
      <c r="K267" s="240">
        <f t="shared" ca="1" si="288"/>
        <v>9.0333333333333332</v>
      </c>
      <c r="L267" s="240">
        <f t="shared" ca="1" si="289"/>
        <v>271</v>
      </c>
      <c r="M267" s="60"/>
      <c r="N267" s="32"/>
      <c r="O267" s="82" t="str">
        <f t="shared" ca="1" si="265"/>
        <v>-</v>
      </c>
      <c r="P267" s="19"/>
      <c r="Q267" s="68"/>
      <c r="R267" s="118"/>
      <c r="S267" s="21"/>
      <c r="T267" s="20"/>
      <c r="U267" s="20" t="str">
        <f t="shared" si="278"/>
        <v>-</v>
      </c>
      <c r="V267" s="19" t="str">
        <f t="shared" ca="1" si="267"/>
        <v>-</v>
      </c>
      <c r="W267" s="3">
        <v>0</v>
      </c>
      <c r="X267" s="22" t="str">
        <f t="shared" si="279"/>
        <v>-</v>
      </c>
      <c r="Y267" s="22">
        <v>0</v>
      </c>
      <c r="Z267" s="22" t="str">
        <f t="shared" ca="1" si="280"/>
        <v>-</v>
      </c>
      <c r="AA267" s="20" t="str">
        <f t="shared" si="281"/>
        <v>-</v>
      </c>
      <c r="AB267" s="94" t="str">
        <f t="shared" si="271"/>
        <v>---------</v>
      </c>
      <c r="AC267" s="21"/>
      <c r="AD267" s="21" t="str">
        <f t="shared" si="282"/>
        <v>-</v>
      </c>
      <c r="AE267" s="21" t="str">
        <f t="shared" si="283"/>
        <v>-</v>
      </c>
      <c r="AF267" s="85"/>
      <c r="AG267" s="21" t="str">
        <f t="shared" si="284"/>
        <v>-</v>
      </c>
      <c r="AH267" s="21" t="str">
        <f t="shared" si="285"/>
        <v>-</v>
      </c>
      <c r="AI267" s="89" t="str">
        <f t="shared" ca="1" si="276"/>
        <v>-</v>
      </c>
      <c r="AJ267" s="92">
        <v>1</v>
      </c>
      <c r="AK267" s="349">
        <v>42867</v>
      </c>
      <c r="AL267" s="80" t="s">
        <v>1614</v>
      </c>
      <c r="AM267" s="22">
        <v>44</v>
      </c>
    </row>
    <row r="268" spans="1:39" s="2" customFormat="1" ht="15.95" customHeight="1" x14ac:dyDescent="0.25">
      <c r="A268" s="77">
        <v>266</v>
      </c>
      <c r="B268" s="84">
        <f t="shared" ca="1" si="290"/>
        <v>43134</v>
      </c>
      <c r="C268" s="29" t="s">
        <v>2546</v>
      </c>
      <c r="D268" s="59" t="s">
        <v>1555</v>
      </c>
      <c r="E268" s="22" t="s">
        <v>1557</v>
      </c>
      <c r="F268" s="27" t="s">
        <v>2711</v>
      </c>
      <c r="G268" s="27"/>
      <c r="H268" s="28" t="s">
        <v>603</v>
      </c>
      <c r="I268" s="20">
        <v>42863</v>
      </c>
      <c r="J268" s="240">
        <f t="shared" ca="1" si="287"/>
        <v>0.74246575342465748</v>
      </c>
      <c r="K268" s="240">
        <f t="shared" ca="1" si="288"/>
        <v>9.0333333333333332</v>
      </c>
      <c r="L268" s="240">
        <f t="shared" ca="1" si="289"/>
        <v>271</v>
      </c>
      <c r="M268" s="60"/>
      <c r="N268" s="32"/>
      <c r="O268" s="82" t="str">
        <f t="shared" ca="1" si="265"/>
        <v>-</v>
      </c>
      <c r="P268" s="19"/>
      <c r="Q268" s="68"/>
      <c r="R268" s="118"/>
      <c r="S268" s="21"/>
      <c r="T268" s="20"/>
      <c r="U268" s="20" t="str">
        <f t="shared" si="278"/>
        <v>-</v>
      </c>
      <c r="V268" s="19" t="str">
        <f t="shared" ca="1" si="267"/>
        <v>-</v>
      </c>
      <c r="W268" s="3"/>
      <c r="X268" s="22" t="str">
        <f t="shared" si="279"/>
        <v>-</v>
      </c>
      <c r="Y268" s="22"/>
      <c r="Z268" s="22" t="str">
        <f t="shared" ca="1" si="280"/>
        <v>-</v>
      </c>
      <c r="AA268" s="20" t="str">
        <f t="shared" si="281"/>
        <v>-</v>
      </c>
      <c r="AB268" s="94" t="str">
        <f t="shared" si="271"/>
        <v>---------</v>
      </c>
      <c r="AC268" s="21"/>
      <c r="AD268" s="21" t="str">
        <f t="shared" si="282"/>
        <v>-</v>
      </c>
      <c r="AE268" s="21" t="str">
        <f t="shared" si="283"/>
        <v>-</v>
      </c>
      <c r="AF268" s="85"/>
      <c r="AG268" s="21" t="str">
        <f t="shared" si="284"/>
        <v>-</v>
      </c>
      <c r="AH268" s="21" t="str">
        <f t="shared" si="285"/>
        <v>-</v>
      </c>
      <c r="AI268" s="89" t="str">
        <f t="shared" ca="1" si="276"/>
        <v>-</v>
      </c>
      <c r="AJ268" s="92">
        <v>1</v>
      </c>
      <c r="AK268" s="349">
        <v>42867</v>
      </c>
      <c r="AL268" s="80" t="s">
        <v>1614</v>
      </c>
      <c r="AM268" s="22">
        <v>42</v>
      </c>
    </row>
    <row r="269" spans="1:39" s="2" customFormat="1" ht="15.95" customHeight="1" x14ac:dyDescent="0.25">
      <c r="A269" s="77">
        <v>267</v>
      </c>
      <c r="B269" s="84">
        <f t="shared" ca="1" si="290"/>
        <v>43134</v>
      </c>
      <c r="C269" s="29" t="s">
        <v>2546</v>
      </c>
      <c r="D269" s="59" t="s">
        <v>1555</v>
      </c>
      <c r="E269" s="22" t="s">
        <v>1557</v>
      </c>
      <c r="F269" s="27" t="s">
        <v>2723</v>
      </c>
      <c r="G269" s="27"/>
      <c r="H269" s="28" t="s">
        <v>603</v>
      </c>
      <c r="I269" s="20">
        <v>42866</v>
      </c>
      <c r="J269" s="240">
        <f t="shared" ca="1" si="287"/>
        <v>0.73424657534246573</v>
      </c>
      <c r="K269" s="35">
        <f t="shared" ca="1" si="288"/>
        <v>8.9333333333333336</v>
      </c>
      <c r="L269" s="35">
        <f t="shared" ca="1" si="289"/>
        <v>268</v>
      </c>
      <c r="M269" s="60"/>
      <c r="N269" s="32"/>
      <c r="O269" s="82" t="str">
        <f t="shared" ca="1" si="265"/>
        <v>-</v>
      </c>
      <c r="P269" s="19"/>
      <c r="Q269" s="68"/>
      <c r="R269" s="118"/>
      <c r="S269" s="21"/>
      <c r="T269" s="20"/>
      <c r="U269" s="20" t="str">
        <f t="shared" si="278"/>
        <v>-</v>
      </c>
      <c r="V269" s="19" t="str">
        <f t="shared" ca="1" si="267"/>
        <v>-</v>
      </c>
      <c r="W269" s="3"/>
      <c r="X269" s="22" t="str">
        <f t="shared" si="279"/>
        <v>-</v>
      </c>
      <c r="Y269" s="22"/>
      <c r="Z269" s="22" t="str">
        <f t="shared" ca="1" si="280"/>
        <v>-</v>
      </c>
      <c r="AA269" s="20" t="str">
        <f t="shared" si="281"/>
        <v>-</v>
      </c>
      <c r="AB269" s="94" t="str">
        <f t="shared" si="271"/>
        <v>---------</v>
      </c>
      <c r="AC269" s="21"/>
      <c r="AD269" s="21" t="str">
        <f t="shared" si="282"/>
        <v>-</v>
      </c>
      <c r="AE269" s="21" t="str">
        <f t="shared" si="283"/>
        <v>-</v>
      </c>
      <c r="AF269" s="85"/>
      <c r="AG269" s="21" t="str">
        <f t="shared" si="284"/>
        <v>-</v>
      </c>
      <c r="AH269" s="21" t="str">
        <f t="shared" si="285"/>
        <v>-</v>
      </c>
      <c r="AI269" s="89" t="str">
        <f t="shared" ca="1" si="276"/>
        <v>-</v>
      </c>
      <c r="AJ269" s="92">
        <v>1</v>
      </c>
      <c r="AK269" s="349">
        <v>42870</v>
      </c>
      <c r="AL269" s="80" t="s">
        <v>1614</v>
      </c>
      <c r="AM269" s="22">
        <v>47</v>
      </c>
    </row>
    <row r="270" spans="1:39" s="2" customFormat="1" ht="15.95" customHeight="1" x14ac:dyDescent="0.25">
      <c r="A270" s="77">
        <v>268</v>
      </c>
      <c r="B270" s="84">
        <f t="shared" ca="1" si="290"/>
        <v>43134</v>
      </c>
      <c r="C270" s="29" t="s">
        <v>2546</v>
      </c>
      <c r="D270" s="59" t="s">
        <v>1555</v>
      </c>
      <c r="E270" s="22" t="s">
        <v>1557</v>
      </c>
      <c r="F270" s="27" t="s">
        <v>2725</v>
      </c>
      <c r="G270" s="27"/>
      <c r="H270" s="28" t="s">
        <v>603</v>
      </c>
      <c r="I270" s="20">
        <v>42867</v>
      </c>
      <c r="J270" s="240">
        <f t="shared" ca="1" si="287"/>
        <v>0.73150684931506849</v>
      </c>
      <c r="K270" s="35">
        <f t="shared" ca="1" si="288"/>
        <v>8.9</v>
      </c>
      <c r="L270" s="35">
        <f t="shared" ca="1" si="289"/>
        <v>267</v>
      </c>
      <c r="M270" s="60"/>
      <c r="N270" s="32"/>
      <c r="O270" s="82" t="str">
        <f t="shared" ca="1" si="265"/>
        <v>-</v>
      </c>
      <c r="P270" s="19"/>
      <c r="Q270" s="68"/>
      <c r="R270" s="118"/>
      <c r="S270" s="21"/>
      <c r="T270" s="20"/>
      <c r="U270" s="20" t="str">
        <f t="shared" si="278"/>
        <v>-</v>
      </c>
      <c r="V270" s="19" t="str">
        <f t="shared" ca="1" si="267"/>
        <v>-</v>
      </c>
      <c r="W270" s="3"/>
      <c r="X270" s="22" t="str">
        <f t="shared" si="279"/>
        <v>-</v>
      </c>
      <c r="Y270" s="22"/>
      <c r="Z270" s="22" t="str">
        <f t="shared" ca="1" si="280"/>
        <v>-</v>
      </c>
      <c r="AA270" s="20" t="str">
        <f t="shared" si="281"/>
        <v>-</v>
      </c>
      <c r="AB270" s="94" t="str">
        <f t="shared" si="271"/>
        <v>---------</v>
      </c>
      <c r="AC270" s="21"/>
      <c r="AD270" s="21" t="str">
        <f t="shared" si="282"/>
        <v>-</v>
      </c>
      <c r="AE270" s="21" t="str">
        <f t="shared" si="283"/>
        <v>-</v>
      </c>
      <c r="AF270" s="85"/>
      <c r="AG270" s="21" t="str">
        <f t="shared" si="284"/>
        <v>-</v>
      </c>
      <c r="AH270" s="21" t="str">
        <f t="shared" si="285"/>
        <v>-</v>
      </c>
      <c r="AI270" s="89" t="str">
        <f t="shared" ca="1" si="276"/>
        <v>-</v>
      </c>
      <c r="AJ270" s="92"/>
      <c r="AK270" s="349">
        <v>42870</v>
      </c>
      <c r="AL270" s="80" t="s">
        <v>1614</v>
      </c>
      <c r="AM270" s="22">
        <v>48</v>
      </c>
    </row>
    <row r="271" spans="1:39" s="2" customFormat="1" ht="15.95" customHeight="1" x14ac:dyDescent="0.25">
      <c r="A271" s="77">
        <v>269</v>
      </c>
      <c r="B271" s="84">
        <f t="shared" ca="1" si="290"/>
        <v>43134</v>
      </c>
      <c r="C271" s="29" t="s">
        <v>2546</v>
      </c>
      <c r="D271" s="59" t="s">
        <v>1555</v>
      </c>
      <c r="E271" s="22" t="s">
        <v>1557</v>
      </c>
      <c r="F271" s="27" t="s">
        <v>2701</v>
      </c>
      <c r="G271" s="27"/>
      <c r="H271" s="28" t="s">
        <v>603</v>
      </c>
      <c r="I271" s="20">
        <v>42862</v>
      </c>
      <c r="J271" s="240">
        <f t="shared" ca="1" si="287"/>
        <v>0.74520547945205484</v>
      </c>
      <c r="K271" s="240">
        <f t="shared" ca="1" si="288"/>
        <v>9.0666666666666664</v>
      </c>
      <c r="L271" s="240">
        <f t="shared" ca="1" si="289"/>
        <v>272</v>
      </c>
      <c r="M271" s="60"/>
      <c r="N271" s="32"/>
      <c r="O271" s="82" t="str">
        <f t="shared" ca="1" si="265"/>
        <v>-</v>
      </c>
      <c r="P271" s="19"/>
      <c r="Q271" s="68"/>
      <c r="R271" s="118"/>
      <c r="S271" s="21"/>
      <c r="T271" s="20"/>
      <c r="U271" s="20" t="str">
        <f t="shared" si="278"/>
        <v>-</v>
      </c>
      <c r="V271" s="19" t="str">
        <f t="shared" ca="1" si="267"/>
        <v>-</v>
      </c>
      <c r="W271" s="3">
        <v>0</v>
      </c>
      <c r="X271" s="22" t="str">
        <f t="shared" si="279"/>
        <v>-</v>
      </c>
      <c r="Y271" s="22">
        <v>0</v>
      </c>
      <c r="Z271" s="22" t="str">
        <f t="shared" ca="1" si="280"/>
        <v>-</v>
      </c>
      <c r="AA271" s="20" t="str">
        <f t="shared" si="281"/>
        <v>-</v>
      </c>
      <c r="AB271" s="94" t="str">
        <f t="shared" si="271"/>
        <v>---------</v>
      </c>
      <c r="AC271" s="21"/>
      <c r="AD271" s="21" t="str">
        <f t="shared" si="282"/>
        <v>-</v>
      </c>
      <c r="AE271" s="21" t="str">
        <f t="shared" si="283"/>
        <v>-</v>
      </c>
      <c r="AF271" s="85"/>
      <c r="AG271" s="21" t="str">
        <f t="shared" si="284"/>
        <v>-</v>
      </c>
      <c r="AH271" s="21" t="str">
        <f t="shared" si="285"/>
        <v>-</v>
      </c>
      <c r="AI271" s="89" t="str">
        <f t="shared" ca="1" si="276"/>
        <v>-</v>
      </c>
      <c r="AJ271" s="92">
        <v>1</v>
      </c>
      <c r="AK271" s="349">
        <v>42870</v>
      </c>
      <c r="AL271" s="80" t="s">
        <v>1614</v>
      </c>
      <c r="AM271" s="22">
        <v>46</v>
      </c>
    </row>
    <row r="272" spans="1:39" s="2" customFormat="1" ht="15.95" customHeight="1" x14ac:dyDescent="0.25">
      <c r="A272" s="77">
        <v>270</v>
      </c>
      <c r="B272" s="84">
        <f t="shared" ca="1" si="290"/>
        <v>43134</v>
      </c>
      <c r="C272" s="29" t="s">
        <v>2601</v>
      </c>
      <c r="D272" s="59" t="s">
        <v>2582</v>
      </c>
      <c r="E272" s="22" t="s">
        <v>1557</v>
      </c>
      <c r="F272" s="27" t="s">
        <v>1716</v>
      </c>
      <c r="G272" s="27"/>
      <c r="H272" s="28" t="s">
        <v>603</v>
      </c>
      <c r="I272" s="20">
        <v>42492</v>
      </c>
      <c r="J272" s="240">
        <f t="shared" ca="1" si="287"/>
        <v>1.7589041095890412</v>
      </c>
      <c r="K272" s="240">
        <f t="shared" ca="1" si="288"/>
        <v>21.4</v>
      </c>
      <c r="L272" s="240">
        <f t="shared" ca="1" si="289"/>
        <v>642</v>
      </c>
      <c r="M272" s="60"/>
      <c r="N272" s="32"/>
      <c r="O272" s="82" t="str">
        <f t="shared" ca="1" si="265"/>
        <v>-</v>
      </c>
      <c r="P272" s="19"/>
      <c r="Q272" s="68"/>
      <c r="R272" s="118"/>
      <c r="S272" s="21"/>
      <c r="T272" s="20"/>
      <c r="U272" s="20" t="str">
        <f t="shared" si="278"/>
        <v>-</v>
      </c>
      <c r="V272" s="19" t="str">
        <f t="shared" ca="1" si="267"/>
        <v>-</v>
      </c>
      <c r="W272" s="3">
        <v>0</v>
      </c>
      <c r="X272" s="22" t="str">
        <f t="shared" si="279"/>
        <v>-</v>
      </c>
      <c r="Y272" s="22">
        <v>0</v>
      </c>
      <c r="Z272" s="22" t="str">
        <f t="shared" ca="1" si="280"/>
        <v>-</v>
      </c>
      <c r="AA272" s="20" t="str">
        <f t="shared" si="281"/>
        <v>-</v>
      </c>
      <c r="AB272" s="94" t="str">
        <f t="shared" si="271"/>
        <v>---------</v>
      </c>
      <c r="AC272" s="21"/>
      <c r="AD272" s="21" t="str">
        <f t="shared" si="282"/>
        <v>-</v>
      </c>
      <c r="AE272" s="21" t="str">
        <f t="shared" si="283"/>
        <v>-</v>
      </c>
      <c r="AF272" s="85"/>
      <c r="AG272" s="21" t="str">
        <f t="shared" si="284"/>
        <v>-</v>
      </c>
      <c r="AH272" s="21" t="str">
        <f t="shared" si="285"/>
        <v>-</v>
      </c>
      <c r="AI272" s="89" t="str">
        <f t="shared" ca="1" si="276"/>
        <v>-</v>
      </c>
      <c r="AJ272" s="92">
        <v>1</v>
      </c>
      <c r="AK272" s="349">
        <v>42871</v>
      </c>
      <c r="AL272" s="80" t="s">
        <v>617</v>
      </c>
      <c r="AM272" s="22" t="str">
        <f>IF(AND(Y272=1,P272=0),"НЕТЕЛЬ","-")</f>
        <v>-</v>
      </c>
    </row>
    <row r="273" spans="1:39" s="2" customFormat="1" ht="15.95" customHeight="1" x14ac:dyDescent="0.25">
      <c r="A273" s="77">
        <v>271</v>
      </c>
      <c r="B273" s="84">
        <f t="shared" ca="1" si="290"/>
        <v>43134</v>
      </c>
      <c r="C273" s="29" t="s">
        <v>2546</v>
      </c>
      <c r="D273" s="59" t="s">
        <v>1555</v>
      </c>
      <c r="E273" s="22" t="s">
        <v>1557</v>
      </c>
      <c r="F273" s="27" t="s">
        <v>2712</v>
      </c>
      <c r="G273" s="27"/>
      <c r="H273" s="28" t="s">
        <v>603</v>
      </c>
      <c r="I273" s="20">
        <v>42864</v>
      </c>
      <c r="J273" s="240">
        <f t="shared" ca="1" si="287"/>
        <v>0.73972602739726023</v>
      </c>
      <c r="K273" s="240">
        <f t="shared" ca="1" si="288"/>
        <v>9</v>
      </c>
      <c r="L273" s="240">
        <f t="shared" ca="1" si="289"/>
        <v>270</v>
      </c>
      <c r="M273" s="60"/>
      <c r="N273" s="32"/>
      <c r="O273" s="82" t="str">
        <f t="shared" ca="1" si="265"/>
        <v>-</v>
      </c>
      <c r="P273" s="19"/>
      <c r="Q273" s="68"/>
      <c r="R273" s="118"/>
      <c r="S273" s="21"/>
      <c r="T273" s="20"/>
      <c r="U273" s="20" t="str">
        <f t="shared" si="278"/>
        <v>-</v>
      </c>
      <c r="V273" s="19" t="str">
        <f t="shared" ca="1" si="267"/>
        <v>-</v>
      </c>
      <c r="W273" s="3"/>
      <c r="X273" s="22" t="str">
        <f t="shared" si="279"/>
        <v>-</v>
      </c>
      <c r="Y273" s="22"/>
      <c r="Z273" s="22" t="str">
        <f t="shared" ca="1" si="280"/>
        <v>-</v>
      </c>
      <c r="AA273" s="20" t="str">
        <f t="shared" si="281"/>
        <v>-</v>
      </c>
      <c r="AB273" s="94" t="str">
        <f t="shared" si="271"/>
        <v>---------</v>
      </c>
      <c r="AC273" s="21"/>
      <c r="AD273" s="21" t="str">
        <f t="shared" si="282"/>
        <v>-</v>
      </c>
      <c r="AE273" s="21" t="str">
        <f t="shared" si="283"/>
        <v>-</v>
      </c>
      <c r="AF273" s="85"/>
      <c r="AG273" s="21" t="str">
        <f t="shared" si="284"/>
        <v>-</v>
      </c>
      <c r="AH273" s="21" t="str">
        <f t="shared" si="285"/>
        <v>-</v>
      </c>
      <c r="AI273" s="89" t="str">
        <f t="shared" ca="1" si="276"/>
        <v>-</v>
      </c>
      <c r="AJ273" s="92">
        <v>1</v>
      </c>
      <c r="AK273" s="349">
        <v>42872</v>
      </c>
      <c r="AL273" s="80" t="s">
        <v>1614</v>
      </c>
      <c r="AM273" s="22">
        <v>52</v>
      </c>
    </row>
    <row r="274" spans="1:39" s="2" customFormat="1" ht="15.95" customHeight="1" x14ac:dyDescent="0.25">
      <c r="A274" s="77">
        <v>272</v>
      </c>
      <c r="B274" s="84">
        <f t="shared" ca="1" si="290"/>
        <v>43134</v>
      </c>
      <c r="C274" s="29" t="s">
        <v>2546</v>
      </c>
      <c r="D274" s="59" t="s">
        <v>1555</v>
      </c>
      <c r="E274" s="22" t="s">
        <v>1557</v>
      </c>
      <c r="F274" s="27" t="s">
        <v>2720</v>
      </c>
      <c r="G274" s="27"/>
      <c r="H274" s="28" t="s">
        <v>603</v>
      </c>
      <c r="I274" s="20">
        <v>42865</v>
      </c>
      <c r="J274" s="240">
        <f t="shared" ca="1" si="287"/>
        <v>0.73698630136986298</v>
      </c>
      <c r="K274" s="35">
        <f t="shared" ca="1" si="288"/>
        <v>8.9666666666666668</v>
      </c>
      <c r="L274" s="35">
        <f t="shared" ca="1" si="289"/>
        <v>269</v>
      </c>
      <c r="M274" s="60"/>
      <c r="N274" s="32"/>
      <c r="O274" s="82" t="str">
        <f t="shared" ca="1" si="265"/>
        <v>-</v>
      </c>
      <c r="P274" s="19"/>
      <c r="Q274" s="68"/>
      <c r="R274" s="118"/>
      <c r="S274" s="21"/>
      <c r="T274" s="20"/>
      <c r="U274" s="20" t="str">
        <f t="shared" si="278"/>
        <v>-</v>
      </c>
      <c r="V274" s="19" t="str">
        <f t="shared" ca="1" si="267"/>
        <v>-</v>
      </c>
      <c r="W274" s="3"/>
      <c r="X274" s="22" t="str">
        <f t="shared" si="279"/>
        <v>-</v>
      </c>
      <c r="Y274" s="22"/>
      <c r="Z274" s="22" t="str">
        <f t="shared" ca="1" si="280"/>
        <v>-</v>
      </c>
      <c r="AA274" s="20" t="str">
        <f t="shared" si="281"/>
        <v>-</v>
      </c>
      <c r="AB274" s="94" t="str">
        <f t="shared" si="271"/>
        <v>---------</v>
      </c>
      <c r="AC274" s="21"/>
      <c r="AD274" s="21" t="str">
        <f t="shared" si="282"/>
        <v>-</v>
      </c>
      <c r="AE274" s="21" t="str">
        <f t="shared" si="283"/>
        <v>-</v>
      </c>
      <c r="AF274" s="85"/>
      <c r="AG274" s="21" t="str">
        <f t="shared" si="284"/>
        <v>-</v>
      </c>
      <c r="AH274" s="21" t="str">
        <f t="shared" si="285"/>
        <v>-</v>
      </c>
      <c r="AI274" s="89" t="str">
        <f t="shared" ca="1" si="276"/>
        <v>-</v>
      </c>
      <c r="AJ274" s="92">
        <v>1</v>
      </c>
      <c r="AK274" s="93">
        <v>42842</v>
      </c>
      <c r="AL274" s="80" t="s">
        <v>1614</v>
      </c>
      <c r="AM274" s="22">
        <v>44</v>
      </c>
    </row>
    <row r="275" spans="1:39" s="2" customFormat="1" ht="15.95" customHeight="1" x14ac:dyDescent="0.25">
      <c r="A275" s="77">
        <v>273</v>
      </c>
      <c r="B275" s="84">
        <f t="shared" ca="1" si="290"/>
        <v>43134</v>
      </c>
      <c r="C275" s="29" t="s">
        <v>2546</v>
      </c>
      <c r="D275" s="59" t="s">
        <v>1555</v>
      </c>
      <c r="E275" s="22" t="s">
        <v>1557</v>
      </c>
      <c r="F275" s="27" t="s">
        <v>2732</v>
      </c>
      <c r="G275" s="27"/>
      <c r="H275" s="28" t="s">
        <v>603</v>
      </c>
      <c r="I275" s="20">
        <v>42870</v>
      </c>
      <c r="J275" s="240">
        <f t="shared" ca="1" si="287"/>
        <v>0.72328767123287674</v>
      </c>
      <c r="K275" s="240">
        <f t="shared" ca="1" si="288"/>
        <v>8.8000000000000007</v>
      </c>
      <c r="L275" s="240">
        <f t="shared" ca="1" si="289"/>
        <v>264</v>
      </c>
      <c r="M275" s="60"/>
      <c r="N275" s="32"/>
      <c r="O275" s="82" t="str">
        <f t="shared" ca="1" si="265"/>
        <v>-</v>
      </c>
      <c r="P275" s="19"/>
      <c r="Q275" s="68"/>
      <c r="R275" s="118"/>
      <c r="S275" s="21"/>
      <c r="T275" s="20"/>
      <c r="U275" s="20" t="str">
        <f t="shared" si="278"/>
        <v>-</v>
      </c>
      <c r="V275" s="19" t="str">
        <f t="shared" ca="1" si="267"/>
        <v>-</v>
      </c>
      <c r="W275" s="3">
        <v>0</v>
      </c>
      <c r="X275" s="22" t="str">
        <f t="shared" si="279"/>
        <v>-</v>
      </c>
      <c r="Y275" s="22">
        <v>0</v>
      </c>
      <c r="Z275" s="22" t="str">
        <f t="shared" ca="1" si="280"/>
        <v>-</v>
      </c>
      <c r="AA275" s="20" t="str">
        <f t="shared" si="281"/>
        <v>-</v>
      </c>
      <c r="AB275" s="94" t="str">
        <f t="shared" si="271"/>
        <v>---------</v>
      </c>
      <c r="AC275" s="21"/>
      <c r="AD275" s="21" t="str">
        <f t="shared" si="282"/>
        <v>-</v>
      </c>
      <c r="AE275" s="21" t="str">
        <f t="shared" si="283"/>
        <v>-</v>
      </c>
      <c r="AF275" s="85"/>
      <c r="AG275" s="21" t="str">
        <f t="shared" si="284"/>
        <v>-</v>
      </c>
      <c r="AH275" s="21" t="str">
        <f t="shared" si="285"/>
        <v>-</v>
      </c>
      <c r="AI275" s="89" t="str">
        <f t="shared" ca="1" si="276"/>
        <v>-</v>
      </c>
      <c r="AJ275" s="92">
        <v>1</v>
      </c>
      <c r="AK275" s="93">
        <v>42842</v>
      </c>
      <c r="AL275" s="80" t="s">
        <v>1614</v>
      </c>
      <c r="AM275" s="22">
        <v>40</v>
      </c>
    </row>
    <row r="276" spans="1:39" s="2" customFormat="1" ht="15.95" customHeight="1" x14ac:dyDescent="0.25">
      <c r="A276" s="77">
        <v>274</v>
      </c>
      <c r="B276" s="84">
        <f t="shared" ca="1" si="290"/>
        <v>43134</v>
      </c>
      <c r="C276" s="29" t="s">
        <v>2546</v>
      </c>
      <c r="D276" s="59" t="s">
        <v>1555</v>
      </c>
      <c r="E276" s="22" t="s">
        <v>1557</v>
      </c>
      <c r="F276" s="27" t="s">
        <v>2733</v>
      </c>
      <c r="G276" s="27"/>
      <c r="H276" s="28" t="s">
        <v>603</v>
      </c>
      <c r="I276" s="20">
        <v>42870</v>
      </c>
      <c r="J276" s="240">
        <f t="shared" ca="1" si="287"/>
        <v>0.72328767123287674</v>
      </c>
      <c r="K276" s="240">
        <f t="shared" ca="1" si="288"/>
        <v>8.8000000000000007</v>
      </c>
      <c r="L276" s="240">
        <f t="shared" ca="1" si="289"/>
        <v>264</v>
      </c>
      <c r="M276" s="60"/>
      <c r="N276" s="32"/>
      <c r="O276" s="82" t="str">
        <f t="shared" ca="1" si="265"/>
        <v>-</v>
      </c>
      <c r="P276" s="19"/>
      <c r="Q276" s="68"/>
      <c r="R276" s="118"/>
      <c r="S276" s="21"/>
      <c r="T276" s="20"/>
      <c r="U276" s="20" t="str">
        <f t="shared" si="278"/>
        <v>-</v>
      </c>
      <c r="V276" s="19" t="str">
        <f t="shared" ca="1" si="267"/>
        <v>-</v>
      </c>
      <c r="W276" s="3">
        <v>0</v>
      </c>
      <c r="X276" s="22" t="str">
        <f t="shared" si="279"/>
        <v>-</v>
      </c>
      <c r="Y276" s="22">
        <v>0</v>
      </c>
      <c r="Z276" s="22" t="str">
        <f t="shared" ca="1" si="280"/>
        <v>-</v>
      </c>
      <c r="AA276" s="20" t="str">
        <f t="shared" si="281"/>
        <v>-</v>
      </c>
      <c r="AB276" s="94" t="str">
        <f t="shared" si="271"/>
        <v>---------</v>
      </c>
      <c r="AC276" s="21"/>
      <c r="AD276" s="21" t="str">
        <f t="shared" si="282"/>
        <v>-</v>
      </c>
      <c r="AE276" s="21" t="str">
        <f t="shared" si="283"/>
        <v>-</v>
      </c>
      <c r="AF276" s="85"/>
      <c r="AG276" s="21" t="str">
        <f t="shared" si="284"/>
        <v>-</v>
      </c>
      <c r="AH276" s="21" t="str">
        <f t="shared" si="285"/>
        <v>-</v>
      </c>
      <c r="AI276" s="89" t="str">
        <f t="shared" ca="1" si="276"/>
        <v>-</v>
      </c>
      <c r="AJ276" s="92">
        <v>1</v>
      </c>
      <c r="AK276" s="93">
        <v>42842</v>
      </c>
      <c r="AL276" s="80" t="s">
        <v>1614</v>
      </c>
      <c r="AM276" s="22">
        <v>40</v>
      </c>
    </row>
    <row r="277" spans="1:39" s="2" customFormat="1" ht="15.95" customHeight="1" x14ac:dyDescent="0.25">
      <c r="A277" s="77">
        <v>275</v>
      </c>
      <c r="B277" s="84">
        <f t="shared" ca="1" si="290"/>
        <v>43134</v>
      </c>
      <c r="C277" s="29" t="s">
        <v>2546</v>
      </c>
      <c r="D277" s="59" t="s">
        <v>1555</v>
      </c>
      <c r="E277" s="22" t="s">
        <v>1557</v>
      </c>
      <c r="F277" s="27" t="s">
        <v>2734</v>
      </c>
      <c r="G277" s="27"/>
      <c r="H277" s="28" t="s">
        <v>603</v>
      </c>
      <c r="I277" s="20">
        <v>42872</v>
      </c>
      <c r="J277" s="240">
        <f t="shared" ca="1" si="287"/>
        <v>0.71780821917808224</v>
      </c>
      <c r="K277" s="35">
        <f t="shared" ca="1" si="288"/>
        <v>8.7333333333333325</v>
      </c>
      <c r="L277" s="35">
        <f t="shared" ca="1" si="289"/>
        <v>262</v>
      </c>
      <c r="M277" s="60"/>
      <c r="N277" s="32"/>
      <c r="O277" s="82" t="str">
        <f t="shared" ca="1" si="265"/>
        <v>-</v>
      </c>
      <c r="P277" s="19"/>
      <c r="Q277" s="68"/>
      <c r="R277" s="118"/>
      <c r="S277" s="21"/>
      <c r="T277" s="20"/>
      <c r="U277" s="20" t="str">
        <f t="shared" si="278"/>
        <v>-</v>
      </c>
      <c r="V277" s="19" t="str">
        <f t="shared" ca="1" si="267"/>
        <v>-</v>
      </c>
      <c r="W277" s="3">
        <v>0</v>
      </c>
      <c r="X277" s="22" t="str">
        <f t="shared" si="279"/>
        <v>-</v>
      </c>
      <c r="Y277" s="22">
        <v>0</v>
      </c>
      <c r="Z277" s="22" t="str">
        <f t="shared" ca="1" si="280"/>
        <v>-</v>
      </c>
      <c r="AA277" s="20" t="str">
        <f t="shared" si="281"/>
        <v>-</v>
      </c>
      <c r="AB277" s="94" t="str">
        <f t="shared" si="271"/>
        <v>---------</v>
      </c>
      <c r="AC277" s="21"/>
      <c r="AD277" s="21" t="str">
        <f t="shared" si="282"/>
        <v>-</v>
      </c>
      <c r="AE277" s="21" t="str">
        <f t="shared" si="283"/>
        <v>-</v>
      </c>
      <c r="AF277" s="85"/>
      <c r="AG277" s="21" t="str">
        <f t="shared" si="284"/>
        <v>-</v>
      </c>
      <c r="AH277" s="21" t="str">
        <f t="shared" si="285"/>
        <v>-</v>
      </c>
      <c r="AI277" s="89" t="str">
        <f t="shared" ca="1" si="276"/>
        <v>-</v>
      </c>
      <c r="AJ277" s="92"/>
      <c r="AK277" s="349">
        <v>42874</v>
      </c>
      <c r="AL277" s="80" t="s">
        <v>1614</v>
      </c>
      <c r="AM277" s="22">
        <v>41</v>
      </c>
    </row>
    <row r="278" spans="1:39" s="2" customFormat="1" ht="15.95" customHeight="1" x14ac:dyDescent="0.25">
      <c r="A278" s="77">
        <v>276</v>
      </c>
      <c r="B278" s="84">
        <f t="shared" ca="1" si="290"/>
        <v>43134</v>
      </c>
      <c r="C278" s="29" t="s">
        <v>2546</v>
      </c>
      <c r="D278" s="59" t="s">
        <v>1555</v>
      </c>
      <c r="E278" s="22" t="s">
        <v>1557</v>
      </c>
      <c r="F278" s="27" t="s">
        <v>2736</v>
      </c>
      <c r="G278" s="27"/>
      <c r="H278" s="28" t="s">
        <v>603</v>
      </c>
      <c r="I278" s="20">
        <v>42872</v>
      </c>
      <c r="J278" s="240">
        <f t="shared" ca="1" si="287"/>
        <v>0.71780821917808224</v>
      </c>
      <c r="K278" s="35">
        <f t="shared" ca="1" si="288"/>
        <v>8.7333333333333325</v>
      </c>
      <c r="L278" s="35">
        <f t="shared" ca="1" si="289"/>
        <v>262</v>
      </c>
      <c r="M278" s="60"/>
      <c r="N278" s="32"/>
      <c r="O278" s="82" t="str">
        <f t="shared" ca="1" si="265"/>
        <v>-</v>
      </c>
      <c r="P278" s="19"/>
      <c r="Q278" s="68"/>
      <c r="R278" s="118"/>
      <c r="S278" s="21"/>
      <c r="T278" s="20"/>
      <c r="U278" s="20" t="str">
        <f t="shared" si="278"/>
        <v>-</v>
      </c>
      <c r="V278" s="19" t="str">
        <f t="shared" ca="1" si="267"/>
        <v>-</v>
      </c>
      <c r="W278" s="3">
        <v>0</v>
      </c>
      <c r="X278" s="22" t="str">
        <f t="shared" si="279"/>
        <v>-</v>
      </c>
      <c r="Y278" s="22">
        <v>0</v>
      </c>
      <c r="Z278" s="22" t="str">
        <f t="shared" ca="1" si="280"/>
        <v>-</v>
      </c>
      <c r="AA278" s="20" t="str">
        <f t="shared" si="281"/>
        <v>-</v>
      </c>
      <c r="AB278" s="94" t="str">
        <f t="shared" si="271"/>
        <v>---------</v>
      </c>
      <c r="AC278" s="21"/>
      <c r="AD278" s="21" t="str">
        <f t="shared" si="282"/>
        <v>-</v>
      </c>
      <c r="AE278" s="21" t="str">
        <f t="shared" si="283"/>
        <v>-</v>
      </c>
      <c r="AF278" s="85"/>
      <c r="AG278" s="21" t="str">
        <f t="shared" si="284"/>
        <v>-</v>
      </c>
      <c r="AH278" s="21" t="str">
        <f t="shared" si="285"/>
        <v>-</v>
      </c>
      <c r="AI278" s="89" t="str">
        <f t="shared" ca="1" si="276"/>
        <v>-</v>
      </c>
      <c r="AJ278" s="92"/>
      <c r="AK278" s="349">
        <v>42874</v>
      </c>
      <c r="AL278" s="80" t="s">
        <v>1614</v>
      </c>
      <c r="AM278" s="22">
        <v>36</v>
      </c>
    </row>
    <row r="279" spans="1:39" s="2" customFormat="1" ht="15.95" customHeight="1" x14ac:dyDescent="0.25">
      <c r="A279" s="77">
        <v>277</v>
      </c>
      <c r="B279" s="84">
        <f t="shared" ca="1" si="290"/>
        <v>43134</v>
      </c>
      <c r="C279" s="29" t="s">
        <v>2546</v>
      </c>
      <c r="D279" s="59" t="s">
        <v>1555</v>
      </c>
      <c r="E279" s="22" t="s">
        <v>1557</v>
      </c>
      <c r="F279" s="27" t="s">
        <v>2737</v>
      </c>
      <c r="G279" s="27"/>
      <c r="H279" s="28" t="s">
        <v>603</v>
      </c>
      <c r="I279" s="20">
        <v>42872</v>
      </c>
      <c r="J279" s="240">
        <f t="shared" ca="1" si="287"/>
        <v>0.71780821917808224</v>
      </c>
      <c r="K279" s="35">
        <f t="shared" ca="1" si="288"/>
        <v>8.7333333333333325</v>
      </c>
      <c r="L279" s="35">
        <f t="shared" ca="1" si="289"/>
        <v>262</v>
      </c>
      <c r="M279" s="60"/>
      <c r="N279" s="32"/>
      <c r="O279" s="82" t="str">
        <f t="shared" ca="1" si="265"/>
        <v>-</v>
      </c>
      <c r="P279" s="19"/>
      <c r="Q279" s="68"/>
      <c r="R279" s="118"/>
      <c r="S279" s="21"/>
      <c r="T279" s="20"/>
      <c r="U279" s="20" t="str">
        <f t="shared" si="278"/>
        <v>-</v>
      </c>
      <c r="V279" s="19" t="str">
        <f t="shared" ca="1" si="267"/>
        <v>-</v>
      </c>
      <c r="W279" s="3">
        <v>0</v>
      </c>
      <c r="X279" s="22" t="str">
        <f t="shared" si="279"/>
        <v>-</v>
      </c>
      <c r="Y279" s="22">
        <v>0</v>
      </c>
      <c r="Z279" s="22" t="str">
        <f t="shared" ca="1" si="280"/>
        <v>-</v>
      </c>
      <c r="AA279" s="20" t="str">
        <f t="shared" si="281"/>
        <v>-</v>
      </c>
      <c r="AB279" s="94" t="str">
        <f t="shared" si="271"/>
        <v>---------</v>
      </c>
      <c r="AC279" s="21"/>
      <c r="AD279" s="21" t="str">
        <f t="shared" si="282"/>
        <v>-</v>
      </c>
      <c r="AE279" s="21" t="str">
        <f t="shared" si="283"/>
        <v>-</v>
      </c>
      <c r="AF279" s="85"/>
      <c r="AG279" s="21" t="str">
        <f t="shared" si="284"/>
        <v>-</v>
      </c>
      <c r="AH279" s="21" t="str">
        <f t="shared" si="285"/>
        <v>-</v>
      </c>
      <c r="AI279" s="89" t="str">
        <f t="shared" ca="1" si="276"/>
        <v>-</v>
      </c>
      <c r="AJ279" s="92"/>
      <c r="AK279" s="349">
        <v>42874</v>
      </c>
      <c r="AL279" s="80" t="s">
        <v>1614</v>
      </c>
      <c r="AM279" s="22">
        <v>34</v>
      </c>
    </row>
    <row r="280" spans="1:39" s="2" customFormat="1" ht="15.95" customHeight="1" x14ac:dyDescent="0.25">
      <c r="A280" s="77">
        <v>278</v>
      </c>
      <c r="B280" s="84">
        <f t="shared" ca="1" si="290"/>
        <v>43134</v>
      </c>
      <c r="C280" s="29" t="s">
        <v>2546</v>
      </c>
      <c r="D280" s="59" t="s">
        <v>1555</v>
      </c>
      <c r="E280" s="22" t="s">
        <v>1557</v>
      </c>
      <c r="F280" s="27" t="s">
        <v>2738</v>
      </c>
      <c r="G280" s="27"/>
      <c r="H280" s="28" t="s">
        <v>603</v>
      </c>
      <c r="I280" s="20">
        <v>42872</v>
      </c>
      <c r="J280" s="240">
        <f t="shared" ca="1" si="287"/>
        <v>0.71780821917808224</v>
      </c>
      <c r="K280" s="35">
        <f t="shared" ca="1" si="288"/>
        <v>8.7333333333333325</v>
      </c>
      <c r="L280" s="35">
        <f t="shared" ca="1" si="289"/>
        <v>262</v>
      </c>
      <c r="M280" s="60"/>
      <c r="N280" s="32"/>
      <c r="O280" s="82" t="str">
        <f t="shared" ca="1" si="265"/>
        <v>-</v>
      </c>
      <c r="P280" s="19"/>
      <c r="Q280" s="68"/>
      <c r="R280" s="118"/>
      <c r="S280" s="21"/>
      <c r="T280" s="20"/>
      <c r="U280" s="20" t="str">
        <f t="shared" si="278"/>
        <v>-</v>
      </c>
      <c r="V280" s="19" t="str">
        <f t="shared" ca="1" si="267"/>
        <v>-</v>
      </c>
      <c r="W280" s="3">
        <v>0</v>
      </c>
      <c r="X280" s="22" t="str">
        <f t="shared" si="279"/>
        <v>-</v>
      </c>
      <c r="Y280" s="22">
        <v>0</v>
      </c>
      <c r="Z280" s="22" t="str">
        <f t="shared" ca="1" si="280"/>
        <v>-</v>
      </c>
      <c r="AA280" s="20" t="str">
        <f t="shared" si="281"/>
        <v>-</v>
      </c>
      <c r="AB280" s="94" t="str">
        <f t="shared" si="271"/>
        <v>---------</v>
      </c>
      <c r="AC280" s="21"/>
      <c r="AD280" s="21" t="str">
        <f t="shared" si="282"/>
        <v>-</v>
      </c>
      <c r="AE280" s="21" t="str">
        <f t="shared" si="283"/>
        <v>-</v>
      </c>
      <c r="AF280" s="85"/>
      <c r="AG280" s="21" t="str">
        <f t="shared" si="284"/>
        <v>-</v>
      </c>
      <c r="AH280" s="21" t="str">
        <f t="shared" si="285"/>
        <v>-</v>
      </c>
      <c r="AI280" s="89" t="str">
        <f t="shared" ca="1" si="276"/>
        <v>-</v>
      </c>
      <c r="AJ280" s="92"/>
      <c r="AK280" s="349">
        <v>42874</v>
      </c>
      <c r="AL280" s="80" t="s">
        <v>1614</v>
      </c>
      <c r="AM280" s="22">
        <v>43</v>
      </c>
    </row>
    <row r="281" spans="1:39" s="2" customFormat="1" ht="15.95" customHeight="1" x14ac:dyDescent="0.25">
      <c r="A281" s="77">
        <v>279</v>
      </c>
      <c r="B281" s="84">
        <f t="shared" ca="1" si="290"/>
        <v>43134</v>
      </c>
      <c r="C281" s="29" t="s">
        <v>2546</v>
      </c>
      <c r="D281" s="59" t="s">
        <v>1555</v>
      </c>
      <c r="E281" s="22" t="s">
        <v>1557</v>
      </c>
      <c r="F281" s="27" t="s">
        <v>2742</v>
      </c>
      <c r="G281" s="27"/>
      <c r="H281" s="28" t="s">
        <v>603</v>
      </c>
      <c r="I281" s="20">
        <v>42873</v>
      </c>
      <c r="J281" s="240">
        <f t="shared" ca="1" si="287"/>
        <v>0.71506849315068488</v>
      </c>
      <c r="K281" s="240">
        <f t="shared" ca="1" si="288"/>
        <v>8.6999999999999993</v>
      </c>
      <c r="L281" s="240">
        <f t="shared" ca="1" si="289"/>
        <v>261</v>
      </c>
      <c r="M281" s="60"/>
      <c r="N281" s="32"/>
      <c r="O281" s="82" t="str">
        <f t="shared" ca="1" si="265"/>
        <v>-</v>
      </c>
      <c r="P281" s="19"/>
      <c r="Q281" s="68"/>
      <c r="R281" s="118"/>
      <c r="S281" s="21"/>
      <c r="T281" s="20"/>
      <c r="U281" s="20" t="str">
        <f t="shared" si="278"/>
        <v>-</v>
      </c>
      <c r="V281" s="19" t="str">
        <f t="shared" ca="1" si="267"/>
        <v>-</v>
      </c>
      <c r="W281" s="3">
        <v>0</v>
      </c>
      <c r="X281" s="22" t="str">
        <f t="shared" si="279"/>
        <v>-</v>
      </c>
      <c r="Y281" s="22">
        <v>0</v>
      </c>
      <c r="Z281" s="22" t="str">
        <f t="shared" ca="1" si="280"/>
        <v>-</v>
      </c>
      <c r="AA281" s="20" t="str">
        <f t="shared" si="281"/>
        <v>-</v>
      </c>
      <c r="AB281" s="94" t="str">
        <f t="shared" si="271"/>
        <v>---------</v>
      </c>
      <c r="AC281" s="21"/>
      <c r="AD281" s="21" t="str">
        <f t="shared" si="282"/>
        <v>-</v>
      </c>
      <c r="AE281" s="21" t="str">
        <f t="shared" si="283"/>
        <v>-</v>
      </c>
      <c r="AF281" s="85"/>
      <c r="AG281" s="21" t="str">
        <f t="shared" si="284"/>
        <v>-</v>
      </c>
      <c r="AH281" s="21" t="str">
        <f t="shared" si="285"/>
        <v>-</v>
      </c>
      <c r="AI281" s="89" t="str">
        <f t="shared" ca="1" si="276"/>
        <v>-</v>
      </c>
      <c r="AJ281" s="92">
        <v>1</v>
      </c>
      <c r="AK281" s="349">
        <v>42877</v>
      </c>
      <c r="AL281" s="80" t="s">
        <v>1614</v>
      </c>
      <c r="AM281" s="22">
        <v>44</v>
      </c>
    </row>
    <row r="282" spans="1:39" s="2" customFormat="1" ht="15.95" customHeight="1" x14ac:dyDescent="0.25">
      <c r="A282" s="77">
        <v>280</v>
      </c>
      <c r="B282" s="84">
        <f t="shared" ca="1" si="290"/>
        <v>43134</v>
      </c>
      <c r="C282" s="29" t="s">
        <v>2546</v>
      </c>
      <c r="D282" s="59" t="s">
        <v>1555</v>
      </c>
      <c r="E282" s="22" t="s">
        <v>1563</v>
      </c>
      <c r="F282" s="27" t="s">
        <v>2751</v>
      </c>
      <c r="G282" s="27"/>
      <c r="H282" s="28" t="s">
        <v>603</v>
      </c>
      <c r="I282" s="20">
        <v>42876</v>
      </c>
      <c r="J282" s="240">
        <f t="shared" ca="1" si="287"/>
        <v>0.70684931506849313</v>
      </c>
      <c r="K282" s="240">
        <f t="shared" ca="1" si="288"/>
        <v>8.6</v>
      </c>
      <c r="L282" s="240">
        <f t="shared" ca="1" si="289"/>
        <v>258</v>
      </c>
      <c r="M282" s="60"/>
      <c r="N282" s="32"/>
      <c r="O282" s="82" t="str">
        <f t="shared" ca="1" si="265"/>
        <v>-</v>
      </c>
      <c r="P282" s="19"/>
      <c r="Q282" s="68"/>
      <c r="R282" s="118"/>
      <c r="S282" s="21"/>
      <c r="T282" s="20"/>
      <c r="U282" s="20" t="str">
        <f t="shared" si="278"/>
        <v>-</v>
      </c>
      <c r="V282" s="19" t="str">
        <f t="shared" ca="1" si="267"/>
        <v>-</v>
      </c>
      <c r="W282" s="3">
        <v>0</v>
      </c>
      <c r="X282" s="22" t="str">
        <f t="shared" si="279"/>
        <v>-</v>
      </c>
      <c r="Y282" s="22">
        <v>0</v>
      </c>
      <c r="Z282" s="22" t="str">
        <f t="shared" ca="1" si="280"/>
        <v>-</v>
      </c>
      <c r="AA282" s="20" t="str">
        <f t="shared" si="281"/>
        <v>-</v>
      </c>
      <c r="AB282" s="94" t="str">
        <f t="shared" si="271"/>
        <v>---------</v>
      </c>
      <c r="AC282" s="21"/>
      <c r="AD282" s="21" t="str">
        <f t="shared" si="282"/>
        <v>-</v>
      </c>
      <c r="AE282" s="21" t="str">
        <f t="shared" si="283"/>
        <v>-</v>
      </c>
      <c r="AF282" s="85"/>
      <c r="AG282" s="21" t="str">
        <f t="shared" si="284"/>
        <v>-</v>
      </c>
      <c r="AH282" s="21" t="str">
        <f t="shared" si="285"/>
        <v>-</v>
      </c>
      <c r="AI282" s="89" t="str">
        <f t="shared" ca="1" si="276"/>
        <v>-</v>
      </c>
      <c r="AJ282" s="92">
        <v>1</v>
      </c>
      <c r="AK282" s="349">
        <v>42878</v>
      </c>
      <c r="AL282" s="80" t="s">
        <v>2761</v>
      </c>
      <c r="AM282" s="22">
        <v>41</v>
      </c>
    </row>
    <row r="283" spans="1:39" s="2" customFormat="1" ht="15.95" customHeight="1" x14ac:dyDescent="0.25">
      <c r="A283" s="77">
        <v>281</v>
      </c>
      <c r="B283" s="84">
        <f t="shared" ca="1" si="290"/>
        <v>43134</v>
      </c>
      <c r="C283" s="29" t="s">
        <v>2546</v>
      </c>
      <c r="D283" s="59" t="s">
        <v>1555</v>
      </c>
      <c r="E283" s="22" t="s">
        <v>1557</v>
      </c>
      <c r="F283" s="27" t="s">
        <v>2752</v>
      </c>
      <c r="G283" s="27"/>
      <c r="H283" s="28" t="s">
        <v>603</v>
      </c>
      <c r="I283" s="20">
        <v>42877</v>
      </c>
      <c r="J283" s="240">
        <f t="shared" ca="1" si="287"/>
        <v>0.70410958904109588</v>
      </c>
      <c r="K283" s="240">
        <f t="shared" ca="1" si="288"/>
        <v>8.5666666666666664</v>
      </c>
      <c r="L283" s="240">
        <f t="shared" ca="1" si="289"/>
        <v>257</v>
      </c>
      <c r="M283" s="60"/>
      <c r="N283" s="32"/>
      <c r="O283" s="82" t="str">
        <f t="shared" ca="1" si="265"/>
        <v>-</v>
      </c>
      <c r="P283" s="19"/>
      <c r="Q283" s="68"/>
      <c r="R283" s="118"/>
      <c r="S283" s="21"/>
      <c r="T283" s="20"/>
      <c r="U283" s="20" t="str">
        <f t="shared" si="278"/>
        <v>-</v>
      </c>
      <c r="V283" s="19" t="str">
        <f t="shared" ca="1" si="267"/>
        <v>-</v>
      </c>
      <c r="W283" s="3">
        <v>0</v>
      </c>
      <c r="X283" s="22" t="str">
        <f t="shared" si="279"/>
        <v>-</v>
      </c>
      <c r="Y283" s="22">
        <v>0</v>
      </c>
      <c r="Z283" s="22" t="str">
        <f t="shared" ca="1" si="280"/>
        <v>-</v>
      </c>
      <c r="AA283" s="20" t="str">
        <f t="shared" si="281"/>
        <v>-</v>
      </c>
      <c r="AB283" s="94" t="str">
        <f t="shared" si="271"/>
        <v>---------</v>
      </c>
      <c r="AC283" s="21"/>
      <c r="AD283" s="21" t="str">
        <f t="shared" si="282"/>
        <v>-</v>
      </c>
      <c r="AE283" s="21" t="str">
        <f t="shared" si="283"/>
        <v>-</v>
      </c>
      <c r="AF283" s="85"/>
      <c r="AG283" s="21" t="str">
        <f t="shared" si="284"/>
        <v>-</v>
      </c>
      <c r="AH283" s="21" t="str">
        <f t="shared" si="285"/>
        <v>-</v>
      </c>
      <c r="AI283" s="89" t="str">
        <f t="shared" ca="1" si="276"/>
        <v>-</v>
      </c>
      <c r="AJ283" s="92">
        <v>1</v>
      </c>
      <c r="AK283" s="349">
        <v>42880</v>
      </c>
      <c r="AL283" s="80" t="s">
        <v>1614</v>
      </c>
      <c r="AM283" s="22">
        <v>47</v>
      </c>
    </row>
    <row r="284" spans="1:39" s="1" customFormat="1" ht="15.95" customHeight="1" x14ac:dyDescent="0.25">
      <c r="A284" s="77">
        <v>282</v>
      </c>
      <c r="B284" s="84">
        <f t="shared" ca="1" si="290"/>
        <v>43134</v>
      </c>
      <c r="C284" s="294" t="s">
        <v>2741</v>
      </c>
      <c r="D284" s="59" t="s">
        <v>1635</v>
      </c>
      <c r="E284" s="22" t="s">
        <v>1563</v>
      </c>
      <c r="F284" s="292" t="s">
        <v>2524</v>
      </c>
      <c r="G284" s="292"/>
      <c r="H284" s="28" t="s">
        <v>603</v>
      </c>
      <c r="I284" s="20">
        <v>42812</v>
      </c>
      <c r="J284" s="240">
        <f t="shared" ref="J284:J305" ca="1" si="291">(B284-I284)/365</f>
        <v>0.88219178082191785</v>
      </c>
      <c r="K284" s="240">
        <f t="shared" ca="1" si="288"/>
        <v>10.733333333333333</v>
      </c>
      <c r="L284" s="240">
        <f t="shared" ca="1" si="289"/>
        <v>322</v>
      </c>
      <c r="M284" s="60"/>
      <c r="N284" s="32"/>
      <c r="O284" s="82" t="str">
        <f t="shared" ca="1" si="265"/>
        <v>-</v>
      </c>
      <c r="P284" s="19"/>
      <c r="Q284" s="68"/>
      <c r="R284" s="118"/>
      <c r="S284" s="21"/>
      <c r="T284" s="20"/>
      <c r="U284" s="20" t="str">
        <f t="shared" si="278"/>
        <v>-</v>
      </c>
      <c r="V284" s="19" t="str">
        <f t="shared" ca="1" si="267"/>
        <v>-</v>
      </c>
      <c r="W284" s="3">
        <v>0</v>
      </c>
      <c r="X284" s="22" t="str">
        <f t="shared" si="279"/>
        <v>-</v>
      </c>
      <c r="Y284" s="22">
        <v>0</v>
      </c>
      <c r="Z284" s="22" t="str">
        <f t="shared" ca="1" si="280"/>
        <v>-</v>
      </c>
      <c r="AA284" s="20" t="str">
        <f t="shared" si="281"/>
        <v>-</v>
      </c>
      <c r="AB284" s="94" t="str">
        <f t="shared" si="271"/>
        <v>---------</v>
      </c>
      <c r="AC284" s="21"/>
      <c r="AD284" s="21" t="str">
        <f t="shared" si="282"/>
        <v>-</v>
      </c>
      <c r="AE284" s="21" t="str">
        <f t="shared" si="283"/>
        <v>-</v>
      </c>
      <c r="AF284" s="85"/>
      <c r="AG284" s="21" t="str">
        <f t="shared" si="284"/>
        <v>-</v>
      </c>
      <c r="AH284" s="21" t="str">
        <f t="shared" si="285"/>
        <v>-</v>
      </c>
      <c r="AI284" s="89" t="str">
        <f t="shared" ca="1" si="276"/>
        <v>-</v>
      </c>
      <c r="AJ284" s="92">
        <v>1</v>
      </c>
      <c r="AK284" s="349">
        <v>42880</v>
      </c>
      <c r="AL284" s="80" t="s">
        <v>1614</v>
      </c>
      <c r="AM284" s="22">
        <v>132</v>
      </c>
    </row>
    <row r="285" spans="1:39" s="1" customFormat="1" ht="15.95" customHeight="1" x14ac:dyDescent="0.25">
      <c r="A285" s="77">
        <v>283</v>
      </c>
      <c r="B285" s="84">
        <f t="shared" ca="1" si="290"/>
        <v>43134</v>
      </c>
      <c r="C285" s="294" t="s">
        <v>2741</v>
      </c>
      <c r="D285" s="59" t="s">
        <v>1635</v>
      </c>
      <c r="E285" s="22" t="s">
        <v>1563</v>
      </c>
      <c r="F285" s="292" t="s">
        <v>2567</v>
      </c>
      <c r="G285" s="292"/>
      <c r="H285" s="28" t="s">
        <v>603</v>
      </c>
      <c r="I285" s="20">
        <v>42819</v>
      </c>
      <c r="J285" s="240">
        <f t="shared" ca="1" si="291"/>
        <v>0.86301369863013699</v>
      </c>
      <c r="K285" s="240">
        <f t="shared" ca="1" si="288"/>
        <v>10.5</v>
      </c>
      <c r="L285" s="240">
        <f t="shared" ca="1" si="289"/>
        <v>315</v>
      </c>
      <c r="M285" s="60"/>
      <c r="N285" s="32"/>
      <c r="O285" s="82" t="str">
        <f t="shared" ca="1" si="265"/>
        <v>-</v>
      </c>
      <c r="P285" s="19"/>
      <c r="Q285" s="68"/>
      <c r="R285" s="118"/>
      <c r="S285" s="21"/>
      <c r="T285" s="20"/>
      <c r="U285" s="20" t="str">
        <f t="shared" si="278"/>
        <v>-</v>
      </c>
      <c r="V285" s="19" t="str">
        <f t="shared" ca="1" si="267"/>
        <v>-</v>
      </c>
      <c r="W285" s="3">
        <v>0</v>
      </c>
      <c r="X285" s="22" t="str">
        <f t="shared" si="279"/>
        <v>-</v>
      </c>
      <c r="Y285" s="22">
        <v>0</v>
      </c>
      <c r="Z285" s="22" t="str">
        <f t="shared" ca="1" si="280"/>
        <v>-</v>
      </c>
      <c r="AA285" s="20" t="str">
        <f t="shared" si="281"/>
        <v>-</v>
      </c>
      <c r="AB285" s="94" t="str">
        <f t="shared" si="271"/>
        <v>---------</v>
      </c>
      <c r="AC285" s="21"/>
      <c r="AD285" s="21" t="str">
        <f t="shared" si="282"/>
        <v>-</v>
      </c>
      <c r="AE285" s="21" t="str">
        <f t="shared" si="283"/>
        <v>-</v>
      </c>
      <c r="AF285" s="85"/>
      <c r="AG285" s="21" t="str">
        <f t="shared" si="284"/>
        <v>-</v>
      </c>
      <c r="AH285" s="21" t="str">
        <f t="shared" si="285"/>
        <v>-</v>
      </c>
      <c r="AI285" s="89" t="str">
        <f t="shared" ca="1" si="276"/>
        <v>-</v>
      </c>
      <c r="AJ285" s="92">
        <v>1</v>
      </c>
      <c r="AK285" s="349">
        <v>42880</v>
      </c>
      <c r="AL285" s="80" t="s">
        <v>1614</v>
      </c>
      <c r="AM285" s="22">
        <v>115</v>
      </c>
    </row>
    <row r="286" spans="1:39" s="1" customFormat="1" ht="15.95" customHeight="1" x14ac:dyDescent="0.25">
      <c r="A286" s="77">
        <v>284</v>
      </c>
      <c r="B286" s="84">
        <f t="shared" ca="1" si="290"/>
        <v>43134</v>
      </c>
      <c r="C286" s="294" t="s">
        <v>2741</v>
      </c>
      <c r="D286" s="59" t="s">
        <v>1635</v>
      </c>
      <c r="E286" s="22" t="s">
        <v>1563</v>
      </c>
      <c r="F286" s="292" t="s">
        <v>2568</v>
      </c>
      <c r="G286" s="292"/>
      <c r="H286" s="28" t="s">
        <v>603</v>
      </c>
      <c r="I286" s="20">
        <v>42819</v>
      </c>
      <c r="J286" s="240">
        <f t="shared" ca="1" si="291"/>
        <v>0.86301369863013699</v>
      </c>
      <c r="K286" s="240">
        <f t="shared" ca="1" si="288"/>
        <v>10.5</v>
      </c>
      <c r="L286" s="240">
        <f t="shared" ca="1" si="289"/>
        <v>315</v>
      </c>
      <c r="M286" s="60"/>
      <c r="N286" s="32"/>
      <c r="O286" s="82" t="str">
        <f t="shared" ca="1" si="265"/>
        <v>-</v>
      </c>
      <c r="P286" s="19"/>
      <c r="Q286" s="68"/>
      <c r="R286" s="118"/>
      <c r="S286" s="21"/>
      <c r="T286" s="20"/>
      <c r="U286" s="20" t="str">
        <f t="shared" si="278"/>
        <v>-</v>
      </c>
      <c r="V286" s="19" t="str">
        <f t="shared" ca="1" si="267"/>
        <v>-</v>
      </c>
      <c r="W286" s="3">
        <v>0</v>
      </c>
      <c r="X286" s="22" t="str">
        <f t="shared" si="279"/>
        <v>-</v>
      </c>
      <c r="Y286" s="22">
        <v>0</v>
      </c>
      <c r="Z286" s="22" t="str">
        <f t="shared" ca="1" si="280"/>
        <v>-</v>
      </c>
      <c r="AA286" s="20" t="str">
        <f t="shared" si="281"/>
        <v>-</v>
      </c>
      <c r="AB286" s="94" t="str">
        <f t="shared" si="271"/>
        <v>---------</v>
      </c>
      <c r="AC286" s="21"/>
      <c r="AD286" s="21" t="str">
        <f t="shared" si="282"/>
        <v>-</v>
      </c>
      <c r="AE286" s="21" t="str">
        <f t="shared" si="283"/>
        <v>-</v>
      </c>
      <c r="AF286" s="85"/>
      <c r="AG286" s="21" t="str">
        <f t="shared" si="284"/>
        <v>-</v>
      </c>
      <c r="AH286" s="21" t="str">
        <f t="shared" si="285"/>
        <v>-</v>
      </c>
      <c r="AI286" s="89" t="str">
        <f t="shared" ca="1" si="276"/>
        <v>-</v>
      </c>
      <c r="AJ286" s="92">
        <v>1</v>
      </c>
      <c r="AK286" s="349">
        <v>42880</v>
      </c>
      <c r="AL286" s="80" t="s">
        <v>1614</v>
      </c>
      <c r="AM286" s="22">
        <v>68</v>
      </c>
    </row>
    <row r="287" spans="1:39" s="1" customFormat="1" ht="15.95" customHeight="1" x14ac:dyDescent="0.25">
      <c r="A287" s="77">
        <v>285</v>
      </c>
      <c r="B287" s="84">
        <f t="shared" ca="1" si="290"/>
        <v>43134</v>
      </c>
      <c r="C287" s="294" t="s">
        <v>2741</v>
      </c>
      <c r="D287" s="59" t="s">
        <v>1635</v>
      </c>
      <c r="E287" s="22" t="s">
        <v>1563</v>
      </c>
      <c r="F287" s="292" t="s">
        <v>2570</v>
      </c>
      <c r="G287" s="292"/>
      <c r="H287" s="28" t="s">
        <v>603</v>
      </c>
      <c r="I287" s="20">
        <v>42821</v>
      </c>
      <c r="J287" s="240">
        <f t="shared" ca="1" si="291"/>
        <v>0.8575342465753425</v>
      </c>
      <c r="K287" s="240">
        <f t="shared" ca="1" si="288"/>
        <v>10.433333333333334</v>
      </c>
      <c r="L287" s="240">
        <f t="shared" ca="1" si="289"/>
        <v>313</v>
      </c>
      <c r="M287" s="60"/>
      <c r="N287" s="32"/>
      <c r="O287" s="82" t="str">
        <f t="shared" ca="1" si="265"/>
        <v>-</v>
      </c>
      <c r="P287" s="19"/>
      <c r="Q287" s="68"/>
      <c r="R287" s="118"/>
      <c r="S287" s="21"/>
      <c r="T287" s="20"/>
      <c r="U287" s="20" t="str">
        <f t="shared" si="278"/>
        <v>-</v>
      </c>
      <c r="V287" s="19" t="str">
        <f t="shared" ca="1" si="267"/>
        <v>-</v>
      </c>
      <c r="W287" s="3">
        <v>0</v>
      </c>
      <c r="X287" s="22" t="str">
        <f t="shared" si="279"/>
        <v>-</v>
      </c>
      <c r="Y287" s="22">
        <v>0</v>
      </c>
      <c r="Z287" s="22" t="str">
        <f t="shared" ca="1" si="280"/>
        <v>-</v>
      </c>
      <c r="AA287" s="20" t="str">
        <f t="shared" si="281"/>
        <v>-</v>
      </c>
      <c r="AB287" s="94" t="str">
        <f t="shared" si="271"/>
        <v>---------</v>
      </c>
      <c r="AC287" s="21"/>
      <c r="AD287" s="21" t="str">
        <f t="shared" si="282"/>
        <v>-</v>
      </c>
      <c r="AE287" s="21" t="str">
        <f t="shared" si="283"/>
        <v>-</v>
      </c>
      <c r="AF287" s="85"/>
      <c r="AG287" s="21" t="str">
        <f t="shared" si="284"/>
        <v>-</v>
      </c>
      <c r="AH287" s="21" t="str">
        <f t="shared" si="285"/>
        <v>-</v>
      </c>
      <c r="AI287" s="89" t="str">
        <f t="shared" ca="1" si="276"/>
        <v>-</v>
      </c>
      <c r="AJ287" s="92">
        <v>1</v>
      </c>
      <c r="AK287" s="349">
        <v>42880</v>
      </c>
      <c r="AL287" s="80" t="s">
        <v>1614</v>
      </c>
      <c r="AM287" s="22">
        <v>69</v>
      </c>
    </row>
    <row r="288" spans="1:39" s="1" customFormat="1" ht="15.95" customHeight="1" x14ac:dyDescent="0.25">
      <c r="A288" s="77">
        <v>286</v>
      </c>
      <c r="B288" s="84">
        <f t="shared" ca="1" si="290"/>
        <v>43134</v>
      </c>
      <c r="C288" s="294" t="s">
        <v>2741</v>
      </c>
      <c r="D288" s="59" t="s">
        <v>1635</v>
      </c>
      <c r="E288" s="22" t="s">
        <v>1563</v>
      </c>
      <c r="F288" s="292" t="s">
        <v>2593</v>
      </c>
      <c r="G288" s="292"/>
      <c r="H288" s="28" t="s">
        <v>603</v>
      </c>
      <c r="I288" s="20">
        <v>42824</v>
      </c>
      <c r="J288" s="240">
        <f t="shared" ca="1" si="291"/>
        <v>0.84931506849315064</v>
      </c>
      <c r="K288" s="240">
        <f t="shared" ca="1" si="288"/>
        <v>10.333333333333334</v>
      </c>
      <c r="L288" s="240">
        <f t="shared" ca="1" si="289"/>
        <v>310</v>
      </c>
      <c r="M288" s="60"/>
      <c r="N288" s="32"/>
      <c r="O288" s="82" t="str">
        <f t="shared" ca="1" si="265"/>
        <v>-</v>
      </c>
      <c r="P288" s="19"/>
      <c r="Q288" s="68"/>
      <c r="R288" s="118"/>
      <c r="S288" s="21"/>
      <c r="T288" s="20"/>
      <c r="U288" s="20" t="str">
        <f t="shared" si="278"/>
        <v>-</v>
      </c>
      <c r="V288" s="19" t="str">
        <f t="shared" ca="1" si="267"/>
        <v>-</v>
      </c>
      <c r="W288" s="3">
        <v>0</v>
      </c>
      <c r="X288" s="22" t="str">
        <f t="shared" si="279"/>
        <v>-</v>
      </c>
      <c r="Y288" s="22">
        <v>0</v>
      </c>
      <c r="Z288" s="22" t="str">
        <f t="shared" ca="1" si="280"/>
        <v>-</v>
      </c>
      <c r="AA288" s="20" t="str">
        <f t="shared" si="281"/>
        <v>-</v>
      </c>
      <c r="AB288" s="94" t="str">
        <f t="shared" si="271"/>
        <v>---------</v>
      </c>
      <c r="AC288" s="21"/>
      <c r="AD288" s="21" t="str">
        <f t="shared" si="282"/>
        <v>-</v>
      </c>
      <c r="AE288" s="21" t="str">
        <f t="shared" si="283"/>
        <v>-</v>
      </c>
      <c r="AF288" s="85"/>
      <c r="AG288" s="21" t="str">
        <f t="shared" si="284"/>
        <v>-</v>
      </c>
      <c r="AH288" s="21" t="str">
        <f t="shared" si="285"/>
        <v>-</v>
      </c>
      <c r="AI288" s="89" t="str">
        <f t="shared" ca="1" si="276"/>
        <v>-</v>
      </c>
      <c r="AJ288" s="92">
        <v>1</v>
      </c>
      <c r="AK288" s="349">
        <v>42880</v>
      </c>
      <c r="AL288" s="80" t="s">
        <v>1614</v>
      </c>
      <c r="AM288" s="22">
        <v>70</v>
      </c>
    </row>
    <row r="289" spans="1:39" s="2" customFormat="1" ht="15.95" customHeight="1" x14ac:dyDescent="0.25">
      <c r="A289" s="77">
        <v>287</v>
      </c>
      <c r="B289" s="84">
        <f t="shared" ca="1" si="290"/>
        <v>43134</v>
      </c>
      <c r="C289" s="29" t="s">
        <v>2546</v>
      </c>
      <c r="D289" s="59" t="s">
        <v>1555</v>
      </c>
      <c r="E289" s="22" t="s">
        <v>1557</v>
      </c>
      <c r="F289" s="27" t="s">
        <v>2753</v>
      </c>
      <c r="G289" s="27"/>
      <c r="H289" s="28" t="s">
        <v>603</v>
      </c>
      <c r="I289" s="20">
        <v>42877</v>
      </c>
      <c r="J289" s="240">
        <f t="shared" ca="1" si="291"/>
        <v>0.70410958904109588</v>
      </c>
      <c r="K289" s="240">
        <f t="shared" ca="1" si="288"/>
        <v>8.5666666666666664</v>
      </c>
      <c r="L289" s="240">
        <f t="shared" ca="1" si="289"/>
        <v>257</v>
      </c>
      <c r="M289" s="60"/>
      <c r="N289" s="32"/>
      <c r="O289" s="82" t="str">
        <f t="shared" ca="1" si="265"/>
        <v>-</v>
      </c>
      <c r="P289" s="19"/>
      <c r="Q289" s="68"/>
      <c r="R289" s="118"/>
      <c r="S289" s="21"/>
      <c r="T289" s="20"/>
      <c r="U289" s="20" t="str">
        <f t="shared" si="278"/>
        <v>-</v>
      </c>
      <c r="V289" s="19" t="str">
        <f t="shared" ca="1" si="267"/>
        <v>-</v>
      </c>
      <c r="W289" s="3">
        <v>0</v>
      </c>
      <c r="X289" s="22" t="str">
        <f t="shared" si="279"/>
        <v>-</v>
      </c>
      <c r="Y289" s="22">
        <v>0</v>
      </c>
      <c r="Z289" s="22" t="str">
        <f t="shared" ca="1" si="280"/>
        <v>-</v>
      </c>
      <c r="AA289" s="20" t="str">
        <f t="shared" si="281"/>
        <v>-</v>
      </c>
      <c r="AB289" s="94" t="str">
        <f t="shared" si="271"/>
        <v>---------</v>
      </c>
      <c r="AC289" s="21"/>
      <c r="AD289" s="21" t="str">
        <f t="shared" si="282"/>
        <v>-</v>
      </c>
      <c r="AE289" s="21" t="str">
        <f t="shared" si="283"/>
        <v>-</v>
      </c>
      <c r="AF289" s="85"/>
      <c r="AG289" s="21" t="str">
        <f t="shared" si="284"/>
        <v>-</v>
      </c>
      <c r="AH289" s="21" t="str">
        <f t="shared" si="285"/>
        <v>-</v>
      </c>
      <c r="AI289" s="89" t="str">
        <f t="shared" ca="1" si="276"/>
        <v>-</v>
      </c>
      <c r="AJ289" s="92">
        <v>1</v>
      </c>
      <c r="AK289" s="349">
        <v>42881</v>
      </c>
      <c r="AL289" s="80" t="s">
        <v>1614</v>
      </c>
      <c r="AM289" s="22">
        <v>44</v>
      </c>
    </row>
    <row r="290" spans="1:39" s="2" customFormat="1" ht="15.95" customHeight="1" x14ac:dyDescent="0.25">
      <c r="A290" s="77">
        <v>288</v>
      </c>
      <c r="B290" s="84">
        <f t="shared" ca="1" si="290"/>
        <v>43134</v>
      </c>
      <c r="C290" s="29" t="s">
        <v>2546</v>
      </c>
      <c r="D290" s="59" t="s">
        <v>1555</v>
      </c>
      <c r="E290" s="22" t="s">
        <v>1557</v>
      </c>
      <c r="F290" s="27" t="s">
        <v>2760</v>
      </c>
      <c r="G290" s="27"/>
      <c r="H290" s="28" t="s">
        <v>603</v>
      </c>
      <c r="I290" s="20">
        <v>42879</v>
      </c>
      <c r="J290" s="240">
        <f t="shared" ca="1" si="291"/>
        <v>0.69863013698630139</v>
      </c>
      <c r="K290" s="240">
        <f t="shared" ca="1" si="288"/>
        <v>8.5</v>
      </c>
      <c r="L290" s="240">
        <f t="shared" ca="1" si="289"/>
        <v>255</v>
      </c>
      <c r="M290" s="60"/>
      <c r="N290" s="32"/>
      <c r="O290" s="82" t="str">
        <f t="shared" ca="1" si="265"/>
        <v>-</v>
      </c>
      <c r="P290" s="19"/>
      <c r="Q290" s="68"/>
      <c r="R290" s="118"/>
      <c r="S290" s="21"/>
      <c r="T290" s="20"/>
      <c r="U290" s="20" t="str">
        <f t="shared" si="278"/>
        <v>-</v>
      </c>
      <c r="V290" s="19" t="str">
        <f t="shared" ca="1" si="267"/>
        <v>-</v>
      </c>
      <c r="W290" s="3">
        <v>0</v>
      </c>
      <c r="X290" s="22" t="str">
        <f t="shared" si="279"/>
        <v>-</v>
      </c>
      <c r="Y290" s="22">
        <v>0</v>
      </c>
      <c r="Z290" s="22" t="str">
        <f t="shared" ca="1" si="280"/>
        <v>-</v>
      </c>
      <c r="AA290" s="20" t="str">
        <f t="shared" si="281"/>
        <v>-</v>
      </c>
      <c r="AB290" s="94" t="str">
        <f t="shared" si="271"/>
        <v>---------</v>
      </c>
      <c r="AC290" s="21"/>
      <c r="AD290" s="21" t="str">
        <f t="shared" si="282"/>
        <v>-</v>
      </c>
      <c r="AE290" s="21" t="str">
        <f t="shared" si="283"/>
        <v>-</v>
      </c>
      <c r="AF290" s="85"/>
      <c r="AG290" s="21" t="str">
        <f t="shared" si="284"/>
        <v>-</v>
      </c>
      <c r="AH290" s="21" t="str">
        <f t="shared" si="285"/>
        <v>-</v>
      </c>
      <c r="AI290" s="89" t="str">
        <f t="shared" ca="1" si="276"/>
        <v>-</v>
      </c>
      <c r="AJ290" s="92">
        <v>1</v>
      </c>
      <c r="AK290" s="349">
        <v>42881</v>
      </c>
      <c r="AL290" s="80" t="s">
        <v>1614</v>
      </c>
      <c r="AM290" s="22">
        <v>40</v>
      </c>
    </row>
    <row r="291" spans="1:39" s="1" customFormat="1" ht="15.95" customHeight="1" x14ac:dyDescent="0.25">
      <c r="A291" s="77">
        <v>289</v>
      </c>
      <c r="B291" s="84">
        <f t="shared" ca="1" si="290"/>
        <v>43134</v>
      </c>
      <c r="C291" s="271" t="s">
        <v>2584</v>
      </c>
      <c r="D291" s="270" t="s">
        <v>2582</v>
      </c>
      <c r="E291" s="22" t="s">
        <v>1563</v>
      </c>
      <c r="F291" s="27" t="s">
        <v>1693</v>
      </c>
      <c r="G291" s="27"/>
      <c r="H291" s="28" t="s">
        <v>603</v>
      </c>
      <c r="I291" s="20">
        <v>42517</v>
      </c>
      <c r="J291" s="240">
        <f t="shared" ca="1" si="291"/>
        <v>1.6904109589041096</v>
      </c>
      <c r="K291" s="240">
        <f t="shared" ca="1" si="288"/>
        <v>20.566666666666666</v>
      </c>
      <c r="L291" s="298">
        <f t="shared" ca="1" si="289"/>
        <v>617</v>
      </c>
      <c r="M291" s="60"/>
      <c r="N291" s="32"/>
      <c r="O291" s="82" t="str">
        <f t="shared" ca="1" si="265"/>
        <v>-</v>
      </c>
      <c r="P291" s="19"/>
      <c r="Q291" s="68"/>
      <c r="R291" s="118"/>
      <c r="S291" s="21"/>
      <c r="T291" s="20"/>
      <c r="U291" s="20" t="str">
        <f t="shared" si="278"/>
        <v>-</v>
      </c>
      <c r="V291" s="19" t="str">
        <f t="shared" ca="1" si="267"/>
        <v>-</v>
      </c>
      <c r="W291" s="3">
        <v>0</v>
      </c>
      <c r="X291" s="22" t="str">
        <f t="shared" si="279"/>
        <v>-</v>
      </c>
      <c r="Y291" s="22">
        <v>0</v>
      </c>
      <c r="Z291" s="22" t="str">
        <f t="shared" ca="1" si="280"/>
        <v>-</v>
      </c>
      <c r="AA291" s="20" t="str">
        <f t="shared" si="281"/>
        <v>-</v>
      </c>
      <c r="AB291" s="94" t="str">
        <f t="shared" si="271"/>
        <v>---------</v>
      </c>
      <c r="AC291" s="21"/>
      <c r="AD291" s="21" t="str">
        <f t="shared" si="282"/>
        <v>-</v>
      </c>
      <c r="AE291" s="21" t="str">
        <f t="shared" si="283"/>
        <v>-</v>
      </c>
      <c r="AF291" s="85"/>
      <c r="AG291" s="21" t="str">
        <f t="shared" si="284"/>
        <v>-</v>
      </c>
      <c r="AH291" s="21" t="str">
        <f t="shared" si="285"/>
        <v>-</v>
      </c>
      <c r="AI291" s="89" t="str">
        <f t="shared" ca="1" si="276"/>
        <v>-</v>
      </c>
      <c r="AJ291" s="92">
        <v>1</v>
      </c>
      <c r="AK291" s="349">
        <v>42884</v>
      </c>
      <c r="AL291" s="80" t="s">
        <v>2223</v>
      </c>
      <c r="AM291" s="22" t="str">
        <f>IF(AND(Y291=1,P291=0),"НЕТЕЛЬ","-")</f>
        <v>-</v>
      </c>
    </row>
    <row r="292" spans="1:39" s="2" customFormat="1" ht="15.95" customHeight="1" x14ac:dyDescent="0.25">
      <c r="A292" s="77">
        <v>290</v>
      </c>
      <c r="B292" s="84">
        <f t="shared" ca="1" si="290"/>
        <v>43134</v>
      </c>
      <c r="C292" s="29" t="s">
        <v>2546</v>
      </c>
      <c r="D292" s="59" t="s">
        <v>1555</v>
      </c>
      <c r="E292" s="22" t="s">
        <v>1557</v>
      </c>
      <c r="F292" s="27" t="s">
        <v>2762</v>
      </c>
      <c r="G292" s="27"/>
      <c r="H292" s="28" t="s">
        <v>603</v>
      </c>
      <c r="I292" s="20">
        <v>42880</v>
      </c>
      <c r="J292" s="240">
        <f t="shared" ca="1" si="291"/>
        <v>0.69589041095890414</v>
      </c>
      <c r="K292" s="240">
        <f t="shared" ca="1" si="288"/>
        <v>8.4666666666666668</v>
      </c>
      <c r="L292" s="298">
        <f t="shared" ca="1" si="289"/>
        <v>254</v>
      </c>
      <c r="M292" s="60"/>
      <c r="N292" s="32"/>
      <c r="O292" s="82" t="str">
        <f t="shared" ca="1" si="265"/>
        <v>-</v>
      </c>
      <c r="P292" s="19"/>
      <c r="Q292" s="68"/>
      <c r="R292" s="118"/>
      <c r="S292" s="21"/>
      <c r="T292" s="20"/>
      <c r="U292" s="20" t="str">
        <f t="shared" si="278"/>
        <v>-</v>
      </c>
      <c r="V292" s="19" t="str">
        <f t="shared" ca="1" si="267"/>
        <v>-</v>
      </c>
      <c r="W292" s="3">
        <v>0</v>
      </c>
      <c r="X292" s="22" t="str">
        <f t="shared" si="279"/>
        <v>-</v>
      </c>
      <c r="Y292" s="22">
        <v>0</v>
      </c>
      <c r="Z292" s="22" t="str">
        <f t="shared" ca="1" si="280"/>
        <v>-</v>
      </c>
      <c r="AA292" s="20" t="str">
        <f t="shared" si="281"/>
        <v>-</v>
      </c>
      <c r="AB292" s="94" t="str">
        <f t="shared" si="271"/>
        <v>---------</v>
      </c>
      <c r="AC292" s="21"/>
      <c r="AD292" s="21" t="str">
        <f t="shared" si="282"/>
        <v>-</v>
      </c>
      <c r="AE292" s="21" t="str">
        <f t="shared" si="283"/>
        <v>-</v>
      </c>
      <c r="AF292" s="85"/>
      <c r="AG292" s="21" t="str">
        <f t="shared" si="284"/>
        <v>-</v>
      </c>
      <c r="AH292" s="21" t="str">
        <f t="shared" si="285"/>
        <v>-</v>
      </c>
      <c r="AI292" s="89" t="str">
        <f t="shared" ca="1" si="276"/>
        <v>-</v>
      </c>
      <c r="AJ292" s="92">
        <v>1</v>
      </c>
      <c r="AK292" s="349">
        <v>42884</v>
      </c>
      <c r="AL292" s="80" t="s">
        <v>1614</v>
      </c>
      <c r="AM292" s="22">
        <v>45</v>
      </c>
    </row>
    <row r="293" spans="1:39" s="2" customFormat="1" ht="15.95" customHeight="1" x14ac:dyDescent="0.25">
      <c r="A293" s="77">
        <v>291</v>
      </c>
      <c r="B293" s="84">
        <f t="shared" ca="1" si="290"/>
        <v>43134</v>
      </c>
      <c r="C293" s="29" t="s">
        <v>2546</v>
      </c>
      <c r="D293" s="59" t="s">
        <v>1555</v>
      </c>
      <c r="E293" s="22" t="s">
        <v>1557</v>
      </c>
      <c r="F293" s="27" t="s">
        <v>2791</v>
      </c>
      <c r="G293" s="27"/>
      <c r="H293" s="28" t="s">
        <v>603</v>
      </c>
      <c r="I293" s="20">
        <v>42882</v>
      </c>
      <c r="J293" s="240">
        <f t="shared" ca="1" si="291"/>
        <v>0.69041095890410964</v>
      </c>
      <c r="K293" s="240">
        <f t="shared" ca="1" si="288"/>
        <v>8.4</v>
      </c>
      <c r="L293" s="298">
        <f t="shared" ca="1" si="289"/>
        <v>252</v>
      </c>
      <c r="M293" s="60"/>
      <c r="N293" s="32"/>
      <c r="O293" s="82"/>
      <c r="P293" s="19"/>
      <c r="Q293" s="68"/>
      <c r="R293" s="118"/>
      <c r="S293" s="21"/>
      <c r="T293" s="20"/>
      <c r="U293" s="20"/>
      <c r="V293" s="19"/>
      <c r="W293" s="3"/>
      <c r="X293" s="22"/>
      <c r="Y293" s="22"/>
      <c r="Z293" s="22"/>
      <c r="AA293" s="20"/>
      <c r="AB293" s="94"/>
      <c r="AC293" s="21"/>
      <c r="AD293" s="21"/>
      <c r="AE293" s="21"/>
      <c r="AF293" s="85"/>
      <c r="AG293" s="21"/>
      <c r="AH293" s="21"/>
      <c r="AI293" s="89"/>
      <c r="AJ293" s="92"/>
      <c r="AK293" s="349">
        <v>42884</v>
      </c>
      <c r="AL293" s="80" t="s">
        <v>1614</v>
      </c>
      <c r="AM293" s="22">
        <v>47</v>
      </c>
    </row>
    <row r="294" spans="1:39" s="1" customFormat="1" ht="15.95" customHeight="1" x14ac:dyDescent="0.25">
      <c r="A294" s="77">
        <v>292</v>
      </c>
      <c r="B294" s="84">
        <f t="shared" ca="1" si="290"/>
        <v>43134</v>
      </c>
      <c r="C294" s="29" t="s">
        <v>2546</v>
      </c>
      <c r="D294" s="59" t="s">
        <v>1555</v>
      </c>
      <c r="E294" s="22" t="s">
        <v>1557</v>
      </c>
      <c r="F294" s="27" t="s">
        <v>2795</v>
      </c>
      <c r="G294" s="27"/>
      <c r="H294" s="28" t="s">
        <v>603</v>
      </c>
      <c r="I294" s="20">
        <v>42886</v>
      </c>
      <c r="J294" s="240">
        <f t="shared" ca="1" si="291"/>
        <v>0.67945205479452053</v>
      </c>
      <c r="K294" s="240">
        <f t="shared" ca="1" si="288"/>
        <v>8.2666666666666675</v>
      </c>
      <c r="L294" s="298">
        <f t="shared" ca="1" si="289"/>
        <v>248</v>
      </c>
      <c r="M294" s="60"/>
      <c r="N294" s="32"/>
      <c r="O294" s="82" t="str">
        <f ca="1">IF(AND(B294&gt;0,N294&gt;0),B294-N294,"-")</f>
        <v>-</v>
      </c>
      <c r="P294" s="19"/>
      <c r="Q294" s="68"/>
      <c r="R294" s="118"/>
      <c r="S294" s="21"/>
      <c r="T294" s="20"/>
      <c r="U294" s="20" t="str">
        <f>IF(AND(Y294&gt;1,T294&gt;0),T294+18,"-")</f>
        <v>-</v>
      </c>
      <c r="V294" s="19" t="str">
        <f ca="1">IF(AND(U294&gt;0,B294&gt;0,Y294&gt;1),B294-U294,"-")</f>
        <v>-</v>
      </c>
      <c r="W294" s="3">
        <v>0</v>
      </c>
      <c r="X294" s="22" t="str">
        <f>IF(AND(N294&gt;0,T294&gt;0),T294-N294,"-")</f>
        <v>-</v>
      </c>
      <c r="Y294" s="22">
        <v>0</v>
      </c>
      <c r="Z294" s="22" t="str">
        <f ca="1">IF(AND(O294&gt;140,Y294=0,N294&gt;0),"яловая","-")</f>
        <v>-</v>
      </c>
      <c r="AA294" s="20" t="str">
        <f>IF(AND(T294&gt;0,OR(Y294=3,Y294=2)),T294+35,"-")</f>
        <v>-</v>
      </c>
      <c r="AB294" s="94" t="str">
        <f>IF(AND(T294&gt;0,W294&gt;0,Q294&gt;0,OR(Y294=3,Y294=2)),B294-AA294,"---------")</f>
        <v>---------</v>
      </c>
      <c r="AC294" s="21"/>
      <c r="AD294" s="21" t="str">
        <f>IF(AND($T294&gt;0,$N294&gt;0,$Y294=1),$T294+280-90,"-")</f>
        <v>-</v>
      </c>
      <c r="AE294" s="21" t="str">
        <f>IF(AND(T294&gt;0,Y294=1,N294&gt;0),T294+280-60,"-")</f>
        <v>-</v>
      </c>
      <c r="AF294" s="85"/>
      <c r="AG294" s="21" t="str">
        <f>IF(AND($T294&gt;0,$Y294=1),$T294+280-21,"-")</f>
        <v>-</v>
      </c>
      <c r="AH294" s="21" t="str">
        <f>IF(AND(T294&gt;0,Y294=1),T294+280,"-")</f>
        <v>-</v>
      </c>
      <c r="AI294" s="89" t="str">
        <f ca="1">IF(AND(B294&gt;0,AH294&gt;0,AC294&gt;0,Y294=1),B294-AH294,"-")</f>
        <v>-</v>
      </c>
      <c r="AJ294" s="92">
        <v>1</v>
      </c>
      <c r="AK294" s="93">
        <v>42888</v>
      </c>
      <c r="AL294" s="80" t="s">
        <v>1614</v>
      </c>
      <c r="AM294" s="22">
        <v>47</v>
      </c>
    </row>
    <row r="295" spans="1:39" s="1" customFormat="1" ht="15.95" customHeight="1" x14ac:dyDescent="0.25">
      <c r="A295" s="77">
        <v>293</v>
      </c>
      <c r="B295" s="84">
        <f t="shared" ca="1" si="290"/>
        <v>43134</v>
      </c>
      <c r="C295" s="29" t="s">
        <v>2546</v>
      </c>
      <c r="D295" s="59" t="s">
        <v>1555</v>
      </c>
      <c r="E295" s="22" t="s">
        <v>1557</v>
      </c>
      <c r="F295" s="27" t="s">
        <v>2827</v>
      </c>
      <c r="G295" s="27"/>
      <c r="H295" s="28" t="s">
        <v>603</v>
      </c>
      <c r="I295" s="81">
        <v>42886</v>
      </c>
      <c r="J295" s="240">
        <f t="shared" ca="1" si="291"/>
        <v>0.67945205479452053</v>
      </c>
      <c r="K295" s="240">
        <f ca="1">(B295-J295)/365</f>
        <v>118.17348095327455</v>
      </c>
      <c r="L295" s="240">
        <f ca="1">(B295-J295)/30</f>
        <v>1437.7773515981737</v>
      </c>
      <c r="M295" s="298">
        <f ca="1">B295-J295</f>
        <v>43133.320547945208</v>
      </c>
      <c r="N295" s="60"/>
      <c r="O295" s="32"/>
      <c r="P295" s="82" t="str">
        <f ca="1">IF(AND(B295&gt;0,O295&gt;0),B295-O295,"-")</f>
        <v>-</v>
      </c>
      <c r="Q295" s="19"/>
      <c r="R295" s="68"/>
      <c r="S295" s="118"/>
      <c r="T295" s="21"/>
      <c r="U295" s="20"/>
      <c r="V295" s="20" t="str">
        <f>IF(AND(Z295&gt;1,U295&gt;0),U295+18,"-")</f>
        <v>-</v>
      </c>
      <c r="W295" s="19" t="str">
        <f ca="1">IF(AND(V295&gt;0,B295&gt;0,Z295&gt;1),B295-V295,"-")</f>
        <v>-</v>
      </c>
      <c r="X295" s="3">
        <v>0</v>
      </c>
      <c r="Y295" s="22" t="str">
        <f>IF(AND(O295&gt;0,U295&gt;0),U295-O295,"-")</f>
        <v>-</v>
      </c>
      <c r="Z295" s="22">
        <v>0</v>
      </c>
      <c r="AA295" s="22" t="str">
        <f ca="1">IF(AND(P295&gt;140,Z295=0,O295&gt;0),"яловая","-")</f>
        <v>-</v>
      </c>
      <c r="AB295" s="20" t="str">
        <f>IF(AND(U295&gt;0,OR(Z295=3,Z295=2)),U295+35,"-")</f>
        <v>-</v>
      </c>
      <c r="AC295" s="94" t="str">
        <f>IF(AND(U295&gt;0,X295&gt;0,R295&gt;0,OR(Z295=3,Z295=2)),B295-AB295,"---------")</f>
        <v>---------</v>
      </c>
      <c r="AD295" s="21"/>
      <c r="AE295" s="21" t="str">
        <f>IF(AND($U295&gt;0,$O295&gt;0,$Z295=1),$U295+280-90,"-")</f>
        <v>-</v>
      </c>
      <c r="AF295" s="21" t="str">
        <f>IF(AND(U295&gt;0,Z295=1,O295&gt;0),U295+280-60,"-")</f>
        <v>-</v>
      </c>
      <c r="AG295" s="85"/>
      <c r="AH295" s="21" t="str">
        <f>IF(AND($U295&gt;0,$Z295=1),$U295+280-21,"-")</f>
        <v>-</v>
      </c>
      <c r="AI295" s="21" t="str">
        <f>IF(AND(U295&gt;0,Z295=1),U295+280,"-")</f>
        <v>-</v>
      </c>
      <c r="AJ295" s="89" t="str">
        <f ca="1">IF(AND(B295&gt;0,AI295&gt;0,AD295&gt;0,Z295=1),B295-AI295,"-")</f>
        <v>-</v>
      </c>
      <c r="AK295" s="93">
        <v>42892</v>
      </c>
      <c r="AL295" s="80" t="s">
        <v>1614</v>
      </c>
      <c r="AM295" s="80">
        <v>50</v>
      </c>
    </row>
    <row r="296" spans="1:39" s="1" customFormat="1" ht="15.95" customHeight="1" x14ac:dyDescent="0.25">
      <c r="A296" s="77">
        <v>294</v>
      </c>
      <c r="B296" s="84">
        <f t="shared" ca="1" si="290"/>
        <v>43134</v>
      </c>
      <c r="C296" s="29" t="s">
        <v>2546</v>
      </c>
      <c r="D296" s="59" t="s">
        <v>1555</v>
      </c>
      <c r="E296" s="22" t="s">
        <v>1557</v>
      </c>
      <c r="F296" s="27" t="s">
        <v>2828</v>
      </c>
      <c r="G296" s="27"/>
      <c r="H296" s="28" t="s">
        <v>603</v>
      </c>
      <c r="I296" s="81">
        <v>42888</v>
      </c>
      <c r="J296" s="240">
        <f t="shared" ca="1" si="291"/>
        <v>0.67397260273972603</v>
      </c>
      <c r="K296" s="240">
        <f ca="1">(B296-J296)/365</f>
        <v>118.17349596547196</v>
      </c>
      <c r="L296" s="240">
        <f ca="1">(B296-J296)/30</f>
        <v>1437.7775342465754</v>
      </c>
      <c r="M296" s="298">
        <f ca="1">B296-J296</f>
        <v>43133.326027397263</v>
      </c>
      <c r="N296" s="60"/>
      <c r="O296" s="32"/>
      <c r="P296" s="82" t="str">
        <f ca="1">IF(AND(B296&gt;0,O296&gt;0),B296-O296,"-")</f>
        <v>-</v>
      </c>
      <c r="Q296" s="19"/>
      <c r="R296" s="68"/>
      <c r="S296" s="118"/>
      <c r="T296" s="21"/>
      <c r="U296" s="20"/>
      <c r="V296" s="20" t="str">
        <f>IF(AND(Z296&gt;1,U296&gt;0),U296+18,"-")</f>
        <v>-</v>
      </c>
      <c r="W296" s="19" t="str">
        <f ca="1">IF(AND(V296&gt;0,B296&gt;0,Z296&gt;1),B296-V296,"-")</f>
        <v>-</v>
      </c>
      <c r="X296" s="3">
        <v>0</v>
      </c>
      <c r="Y296" s="22" t="str">
        <f>IF(AND(O296&gt;0,U296&gt;0),U296-O296,"-")</f>
        <v>-</v>
      </c>
      <c r="Z296" s="22">
        <v>0</v>
      </c>
      <c r="AA296" s="22" t="str">
        <f ca="1">IF(AND(P296&gt;140,Z296=0,O296&gt;0),"яловая","-")</f>
        <v>-</v>
      </c>
      <c r="AB296" s="20" t="str">
        <f>IF(AND(U296&gt;0,OR(Z296=3,Z296=2)),U296+35,"-")</f>
        <v>-</v>
      </c>
      <c r="AC296" s="94" t="str">
        <f>IF(AND(U296&gt;0,X296&gt;0,R296&gt;0,OR(Z296=3,Z296=2)),B296-AB296,"---------")</f>
        <v>---------</v>
      </c>
      <c r="AD296" s="21"/>
      <c r="AE296" s="21" t="str">
        <f>IF(AND($U296&gt;0,$O296&gt;0,$Z296=1),$U296+280-90,"-")</f>
        <v>-</v>
      </c>
      <c r="AF296" s="21" t="str">
        <f>IF(AND(U296&gt;0,Z296=1,O296&gt;0),U296+280-60,"-")</f>
        <v>-</v>
      </c>
      <c r="AG296" s="85"/>
      <c r="AH296" s="21" t="str">
        <f>IF(AND($U296&gt;0,$Z296=1),$U296+280-21,"-")</f>
        <v>-</v>
      </c>
      <c r="AI296" s="21" t="str">
        <f>IF(AND(U296&gt;0,Z296=1),U296+280,"-")</f>
        <v>-</v>
      </c>
      <c r="AJ296" s="89" t="str">
        <f ca="1">IF(AND(B296&gt;0,AI296&gt;0,AD296&gt;0,Z296=1),B296-AI296,"-")</f>
        <v>-</v>
      </c>
      <c r="AK296" s="93">
        <v>42892</v>
      </c>
      <c r="AL296" s="80" t="s">
        <v>1614</v>
      </c>
      <c r="AM296" s="80">
        <v>44</v>
      </c>
    </row>
    <row r="297" spans="1:39" s="1" customFormat="1" ht="15.95" customHeight="1" x14ac:dyDescent="0.25">
      <c r="A297" s="77">
        <v>295</v>
      </c>
      <c r="B297" s="84">
        <f t="shared" ca="1" si="290"/>
        <v>43134</v>
      </c>
      <c r="C297" s="29" t="s">
        <v>2546</v>
      </c>
      <c r="D297" s="59" t="s">
        <v>1555</v>
      </c>
      <c r="E297" s="22" t="s">
        <v>1557</v>
      </c>
      <c r="F297" s="27" t="s">
        <v>2829</v>
      </c>
      <c r="G297" s="27"/>
      <c r="H297" s="28" t="s">
        <v>603</v>
      </c>
      <c r="I297" s="81">
        <v>42888</v>
      </c>
      <c r="J297" s="240">
        <f t="shared" ca="1" si="291"/>
        <v>0.67397260273972603</v>
      </c>
      <c r="K297" s="240">
        <f ca="1">(B297-J297)/365</f>
        <v>118.17349596547196</v>
      </c>
      <c r="L297" s="240">
        <f ca="1">(B297-J297)/30</f>
        <v>1437.7775342465754</v>
      </c>
      <c r="M297" s="298">
        <f ca="1">B297-J297</f>
        <v>43133.326027397263</v>
      </c>
      <c r="N297" s="60"/>
      <c r="O297" s="32"/>
      <c r="P297" s="82" t="str">
        <f ca="1">IF(AND(B297&gt;0,O297&gt;0),B297-O297,"-")</f>
        <v>-</v>
      </c>
      <c r="Q297" s="19"/>
      <c r="R297" s="68"/>
      <c r="S297" s="118"/>
      <c r="T297" s="21"/>
      <c r="U297" s="20"/>
      <c r="V297" s="20" t="str">
        <f>IF(AND(Z297&gt;1,U297&gt;0),U297+18,"-")</f>
        <v>-</v>
      </c>
      <c r="W297" s="19" t="str">
        <f ca="1">IF(AND(V297&gt;0,B297&gt;0,Z297&gt;1),B297-V297,"-")</f>
        <v>-</v>
      </c>
      <c r="X297" s="3">
        <v>0</v>
      </c>
      <c r="Y297" s="22" t="str">
        <f>IF(AND(O297&gt;0,U297&gt;0),U297-O297,"-")</f>
        <v>-</v>
      </c>
      <c r="Z297" s="22">
        <v>0</v>
      </c>
      <c r="AA297" s="22" t="str">
        <f ca="1">IF(AND(P297&gt;140,Z297=0,O297&gt;0),"яловая","-")</f>
        <v>-</v>
      </c>
      <c r="AB297" s="20" t="str">
        <f>IF(AND(U297&gt;0,OR(Z297=3,Z297=2)),U297+35,"-")</f>
        <v>-</v>
      </c>
      <c r="AC297" s="94" t="str">
        <f>IF(AND(U297&gt;0,X297&gt;0,R297&gt;0,OR(Z297=3,Z297=2)),B297-AB297,"---------")</f>
        <v>---------</v>
      </c>
      <c r="AD297" s="21"/>
      <c r="AE297" s="21" t="str">
        <f>IF(AND($U297&gt;0,$O297&gt;0,$Z297=1),$U297+280-90,"-")</f>
        <v>-</v>
      </c>
      <c r="AF297" s="21" t="str">
        <f>IF(AND(U297&gt;0,Z297=1,O297&gt;0),U297+280-60,"-")</f>
        <v>-</v>
      </c>
      <c r="AG297" s="85"/>
      <c r="AH297" s="21" t="str">
        <f>IF(AND($U297&gt;0,$Z297=1),$U297+280-21,"-")</f>
        <v>-</v>
      </c>
      <c r="AI297" s="21" t="str">
        <f>IF(AND(U297&gt;0,Z297=1),U297+280,"-")</f>
        <v>-</v>
      </c>
      <c r="AJ297" s="89" t="str">
        <f ca="1">IF(AND(B297&gt;0,AI297&gt;0,AD297&gt;0,Z297=1),B297-AI297,"-")</f>
        <v>-</v>
      </c>
      <c r="AK297" s="93">
        <v>42892</v>
      </c>
      <c r="AL297" s="80" t="s">
        <v>1614</v>
      </c>
      <c r="AM297" s="80">
        <v>45</v>
      </c>
    </row>
    <row r="298" spans="1:39" s="1" customFormat="1" ht="15.95" customHeight="1" x14ac:dyDescent="0.25">
      <c r="A298" s="77">
        <v>296</v>
      </c>
      <c r="B298" s="84">
        <f t="shared" ca="1" si="290"/>
        <v>43134</v>
      </c>
      <c r="C298" s="29" t="s">
        <v>2546</v>
      </c>
      <c r="D298" s="59" t="s">
        <v>1555</v>
      </c>
      <c r="E298" s="22" t="s">
        <v>1557</v>
      </c>
      <c r="F298" s="27" t="s">
        <v>2797</v>
      </c>
      <c r="G298" s="324"/>
      <c r="H298" s="28" t="s">
        <v>603</v>
      </c>
      <c r="I298" s="20">
        <v>42885</v>
      </c>
      <c r="J298" s="240">
        <f t="shared" ca="1" si="291"/>
        <v>0.68219178082191778</v>
      </c>
      <c r="K298" s="240">
        <f t="shared" ref="K298:K305" ca="1" si="292">(B298-I298)/30</f>
        <v>8.3000000000000007</v>
      </c>
      <c r="L298" s="298">
        <f t="shared" ref="L298:L305" ca="1" si="293">B298-I298</f>
        <v>249</v>
      </c>
      <c r="M298" s="60"/>
      <c r="N298" s="32"/>
      <c r="O298" s="82" t="str">
        <f ca="1">IF(AND(B298&gt;0,N298&gt;0),B298-N298,"-")</f>
        <v>-</v>
      </c>
      <c r="P298" s="19"/>
      <c r="Q298" s="68"/>
      <c r="R298" s="118"/>
      <c r="S298" s="21"/>
      <c r="T298" s="20"/>
      <c r="U298" s="20" t="str">
        <f>IF(AND(Y298&gt;1,T298&gt;0),T298+18,"-")</f>
        <v>-</v>
      </c>
      <c r="V298" s="19" t="str">
        <f ca="1">IF(AND(U298&gt;0,B298&gt;0,Y298&gt;1),B298-U298,"-")</f>
        <v>-</v>
      </c>
      <c r="W298" s="3">
        <v>0</v>
      </c>
      <c r="X298" s="22" t="str">
        <f>IF(AND(N298&gt;0,T298&gt;0),T298-N298,"-")</f>
        <v>-</v>
      </c>
      <c r="Y298" s="22">
        <v>0</v>
      </c>
      <c r="Z298" s="22" t="str">
        <f ca="1">IF(AND(O298&gt;140,Y298=0,N298&gt;0),"яловая","-")</f>
        <v>-</v>
      </c>
      <c r="AA298" s="20" t="str">
        <f>IF(AND(T298&gt;0,OR(Y298=3,Y298=2)),T298+35,"-")</f>
        <v>-</v>
      </c>
      <c r="AB298" s="94" t="str">
        <f>IF(AND(T298&gt;0,W298&gt;0,Q298&gt;0,OR(Y298=3,Y298=2)),B298-AA298,"---------")</f>
        <v>---------</v>
      </c>
      <c r="AC298" s="21"/>
      <c r="AD298" s="21" t="str">
        <f>IF(AND($T298&gt;0,$N298&gt;0,$Y298=1),$T298+280-90,"-")</f>
        <v>-</v>
      </c>
      <c r="AE298" s="21" t="str">
        <f>IF(AND(T298&gt;0,Y298=1,N298&gt;0),T298+280-60,"-")</f>
        <v>-</v>
      </c>
      <c r="AF298" s="85"/>
      <c r="AG298" s="21" t="str">
        <f>IF(AND($T298&gt;0,$Y298=1),$T298+280-21,"-")</f>
        <v>-</v>
      </c>
      <c r="AH298" s="21" t="str">
        <f>IF(AND(T298&gt;0,Y298=1),T298+280,"-")</f>
        <v>-</v>
      </c>
      <c r="AI298" s="89" t="str">
        <f ca="1">IF(AND(B298&gt;0,AH298&gt;0,AC298&gt;0,Y298=1),B298-AH298,"-")</f>
        <v>-</v>
      </c>
      <c r="AJ298" s="92">
        <v>1</v>
      </c>
      <c r="AK298" s="93">
        <v>42899</v>
      </c>
      <c r="AL298" s="80" t="s">
        <v>1614</v>
      </c>
      <c r="AM298" s="80">
        <v>45</v>
      </c>
    </row>
    <row r="299" spans="1:39" s="2" customFormat="1" ht="15.95" customHeight="1" x14ac:dyDescent="0.25">
      <c r="A299" s="77">
        <v>297</v>
      </c>
      <c r="B299" s="84">
        <f t="shared" ca="1" si="290"/>
        <v>43134</v>
      </c>
      <c r="C299" s="29" t="s">
        <v>2585</v>
      </c>
      <c r="D299" s="59" t="s">
        <v>2586</v>
      </c>
      <c r="E299" s="22" t="s">
        <v>1563</v>
      </c>
      <c r="F299" s="27" t="s">
        <v>2314</v>
      </c>
      <c r="G299" s="324">
        <f>SUMIFS(МОЛОКО!L9:L6958,МОЛОКО!F9:F6958,"3378",МОЛОКО!L9:L6958,"&gt;0")</f>
        <v>0</v>
      </c>
      <c r="H299" s="28" t="s">
        <v>603</v>
      </c>
      <c r="I299" s="20">
        <v>42742</v>
      </c>
      <c r="J299" s="240">
        <f ca="1">(B299-I299)/365</f>
        <v>1.0739726027397261</v>
      </c>
      <c r="K299" s="240">
        <f ca="1">(B299-I299)/30</f>
        <v>13.066666666666666</v>
      </c>
      <c r="L299" s="298">
        <f ca="1">B299-I299</f>
        <v>392</v>
      </c>
      <c r="M299" s="60"/>
      <c r="N299" s="32"/>
      <c r="O299" s="82" t="str">
        <f ca="1">IF(AND(B299&gt;0,N299&gt;0),B299-N299,"-")</f>
        <v>-</v>
      </c>
      <c r="P299" s="19"/>
      <c r="Q299" s="68"/>
      <c r="R299" s="118"/>
      <c r="S299" s="21"/>
      <c r="T299" s="20"/>
      <c r="U299" s="20" t="str">
        <f>IF(AND(Y299&gt;1,T299&gt;0),T299+18,"-")</f>
        <v>-</v>
      </c>
      <c r="V299" s="19" t="str">
        <f ca="1">IF(AND(U299&gt;0,B299&gt;0,Y299&gt;1),B299-U299,"-")</f>
        <v>-</v>
      </c>
      <c r="W299" s="3">
        <v>0</v>
      </c>
      <c r="X299" s="22" t="str">
        <f>IF(AND(N299&gt;0,T299&gt;0),T299-N299,"-")</f>
        <v>-</v>
      </c>
      <c r="Y299" s="22">
        <v>0</v>
      </c>
      <c r="Z299" s="329" t="str">
        <f ca="1">IF(AND(Y299=1,AA299&gt;71,AB299&lt;1),"ПОДЛЕЖИТ ПЕРЕПРОВЕРКЕ","-----")</f>
        <v>-----</v>
      </c>
      <c r="AA299" s="328">
        <f ca="1">IF(AND(O299&gt;-1,W299&gt;0,Y299=1,AB299=1),"-----",B299-T299)</f>
        <v>43134</v>
      </c>
      <c r="AB299" s="22"/>
      <c r="AC299" s="328" t="str">
        <f ca="1">IF(AND(AB299&lt;1,Z299="ПОДТВЕРЖДЕНИЕ СТЕЛЬНОСТИ",Y299=1),T299+72,"-----")</f>
        <v>-----</v>
      </c>
      <c r="AD299" s="22"/>
      <c r="AE299" s="22" t="str">
        <f ca="1">IF(AND(O299&gt;140,Y299=0,N299&gt;0),"яловая","-")</f>
        <v>-</v>
      </c>
      <c r="AF299" s="20" t="str">
        <f>IF(AND(T299&gt;0,OR(Y299=3,Y299=2)),T299+35,"-")</f>
        <v>-</v>
      </c>
      <c r="AG299" s="94" t="str">
        <f>IF(AND(T299&gt;0,W299&gt;0,Q299&gt;0,OR(Y299=3,Y299=2)),B299-AF299,"---------")</f>
        <v>---------</v>
      </c>
      <c r="AH299" s="21"/>
      <c r="AI299" s="21" t="str">
        <f>IF(AND($T299&gt;0,$N299&gt;0,$Y299=1),$T299+280-90,"-")</f>
        <v>-</v>
      </c>
      <c r="AJ299" s="21" t="str">
        <f>IF(AND(T299&gt;0,Y299=1,N299&gt;0),T299+280-60,"-")</f>
        <v>-</v>
      </c>
      <c r="AK299" s="93">
        <v>42893</v>
      </c>
      <c r="AL299" s="80" t="s">
        <v>1614</v>
      </c>
      <c r="AM299" s="21" t="str">
        <f>IF(AND(T299&gt;0,Y299=1),T299+280,"-")</f>
        <v>-</v>
      </c>
    </row>
    <row r="300" spans="1:39" s="1" customFormat="1" ht="15.95" customHeight="1" x14ac:dyDescent="0.25">
      <c r="A300" s="77">
        <v>298</v>
      </c>
      <c r="B300" s="84">
        <f t="shared" ca="1" si="290"/>
        <v>43134</v>
      </c>
      <c r="C300" s="29" t="s">
        <v>2546</v>
      </c>
      <c r="D300" s="59" t="s">
        <v>1555</v>
      </c>
      <c r="E300" s="22" t="s">
        <v>1557</v>
      </c>
      <c r="F300" s="27" t="s">
        <v>2854</v>
      </c>
      <c r="G300" s="324"/>
      <c r="H300" s="28" t="s">
        <v>603</v>
      </c>
      <c r="I300" s="20">
        <v>42895</v>
      </c>
      <c r="J300" s="240">
        <f t="shared" ca="1" si="291"/>
        <v>0.65479452054794518</v>
      </c>
      <c r="K300" s="240">
        <f t="shared" ca="1" si="292"/>
        <v>7.9666666666666668</v>
      </c>
      <c r="L300" s="298">
        <f t="shared" ca="1" si="293"/>
        <v>239</v>
      </c>
      <c r="M300" s="60"/>
      <c r="N300" s="32"/>
      <c r="O300" s="82"/>
      <c r="P300" s="19"/>
      <c r="Q300" s="68"/>
      <c r="R300" s="118"/>
      <c r="S300" s="21"/>
      <c r="T300" s="20"/>
      <c r="U300" s="20"/>
      <c r="V300" s="19"/>
      <c r="W300" s="3"/>
      <c r="X300" s="22"/>
      <c r="Y300" s="22"/>
      <c r="Z300" s="22"/>
      <c r="AA300" s="20"/>
      <c r="AB300" s="94"/>
      <c r="AC300" s="21"/>
      <c r="AD300" s="21"/>
      <c r="AE300" s="21"/>
      <c r="AF300" s="85"/>
      <c r="AG300" s="21"/>
      <c r="AH300" s="21"/>
      <c r="AI300" s="89"/>
      <c r="AJ300" s="92"/>
      <c r="AK300" s="93">
        <v>42899</v>
      </c>
      <c r="AL300" s="80" t="s">
        <v>1614</v>
      </c>
      <c r="AM300" s="80">
        <v>45</v>
      </c>
    </row>
    <row r="301" spans="1:39" s="1" customFormat="1" ht="15.95" customHeight="1" x14ac:dyDescent="0.25">
      <c r="A301" s="77">
        <v>299</v>
      </c>
      <c r="B301" s="84">
        <f t="shared" ca="1" si="290"/>
        <v>43134</v>
      </c>
      <c r="C301" s="29" t="s">
        <v>2546</v>
      </c>
      <c r="D301" s="59" t="s">
        <v>1555</v>
      </c>
      <c r="E301" s="22" t="s">
        <v>1557</v>
      </c>
      <c r="F301" s="27" t="s">
        <v>2857</v>
      </c>
      <c r="G301" s="324"/>
      <c r="H301" s="28" t="s">
        <v>603</v>
      </c>
      <c r="I301" s="20">
        <v>42896</v>
      </c>
      <c r="J301" s="35">
        <f t="shared" ca="1" si="291"/>
        <v>0.65205479452054793</v>
      </c>
      <c r="K301" s="35">
        <f t="shared" ca="1" si="292"/>
        <v>7.9333333333333336</v>
      </c>
      <c r="L301" s="299">
        <f t="shared" ca="1" si="293"/>
        <v>238</v>
      </c>
      <c r="M301" s="60"/>
      <c r="N301" s="32"/>
      <c r="O301" s="82" t="str">
        <f t="shared" ref="O301:O306" ca="1" si="294">IF(AND(B301&gt;0,N301&gt;0),B301-N301,"-")</f>
        <v>-</v>
      </c>
      <c r="P301" s="19"/>
      <c r="Q301" s="68"/>
      <c r="R301" s="118"/>
      <c r="S301" s="21"/>
      <c r="T301" s="20"/>
      <c r="U301" s="20" t="str">
        <f t="shared" ref="U301:U306" si="295">IF(AND(Y301&gt;1,T301&gt;0),T301+18,"-")</f>
        <v>-</v>
      </c>
      <c r="V301" s="19" t="str">
        <f t="shared" ref="V301:V306" ca="1" si="296">IF(AND(U301&gt;0,B301&gt;0,Y301&gt;1),B301-U301,"-")</f>
        <v>-</v>
      </c>
      <c r="W301" s="3"/>
      <c r="X301" s="22" t="str">
        <f t="shared" ref="X301:X306" si="297">IF(AND(N301&gt;0,T301&gt;0),T301-N301,"-")</f>
        <v>-</v>
      </c>
      <c r="Y301" s="22"/>
      <c r="Z301" s="22" t="str">
        <f t="shared" ref="Z301:Z306" ca="1" si="298">IF(AND(O301&gt;140,Y301=0,N301&gt;0),"яловая","-")</f>
        <v>-</v>
      </c>
      <c r="AA301" s="20" t="str">
        <f t="shared" ref="AA301:AA306" si="299">IF(AND(T301&gt;0,OR(Y301=3,Y301=2)),T301+35,"-")</f>
        <v>-</v>
      </c>
      <c r="AB301" s="94" t="str">
        <f t="shared" ref="AB301:AB306" si="300">IF(AND(T301&gt;0,W301&gt;0,Q301&gt;0,OR(Y301=3,Y301=2)),B301-AA301,"---------")</f>
        <v>---------</v>
      </c>
      <c r="AC301" s="21"/>
      <c r="AD301" s="21" t="str">
        <f t="shared" ref="AD301:AD306" si="301">IF(AND($T301&gt;0,$N301&gt;0,$Y301=1),$T301+280-90,"-")</f>
        <v>-</v>
      </c>
      <c r="AE301" s="21" t="str">
        <f t="shared" ref="AE301:AE306" si="302">IF(AND(T301&gt;0,Y301=1,N301&gt;0),T301+280-60,"-")</f>
        <v>-</v>
      </c>
      <c r="AF301" s="85"/>
      <c r="AG301" s="21" t="str">
        <f t="shared" ref="AG301:AG306" si="303">IF(AND($T301&gt;0,$Y301=1),$T301+280-21,"-")</f>
        <v>-</v>
      </c>
      <c r="AH301" s="21" t="str">
        <f t="shared" ref="AH301:AH306" si="304">IF(AND(T301&gt;0,Y301=1),T301+280,"-")</f>
        <v>-</v>
      </c>
      <c r="AI301" s="89" t="str">
        <f t="shared" ref="AI301:AI306" ca="1" si="305">IF(AND(B301&gt;0,AH301&gt;0,AC301&gt;0,Y301=1),B301-AH301,"-")</f>
        <v>-</v>
      </c>
      <c r="AJ301" s="92"/>
      <c r="AK301" s="93">
        <v>42899</v>
      </c>
      <c r="AL301" s="80" t="s">
        <v>1614</v>
      </c>
      <c r="AM301" s="80">
        <v>43</v>
      </c>
    </row>
    <row r="302" spans="1:39" s="1" customFormat="1" ht="15.95" customHeight="1" x14ac:dyDescent="0.25">
      <c r="A302" s="77">
        <v>300</v>
      </c>
      <c r="B302" s="84">
        <f t="shared" ca="1" si="290"/>
        <v>43134</v>
      </c>
      <c r="C302" s="29" t="s">
        <v>2546</v>
      </c>
      <c r="D302" s="59" t="s">
        <v>1555</v>
      </c>
      <c r="E302" s="22" t="s">
        <v>1557</v>
      </c>
      <c r="F302" s="27" t="s">
        <v>2858</v>
      </c>
      <c r="G302" s="324"/>
      <c r="H302" s="28" t="s">
        <v>603</v>
      </c>
      <c r="I302" s="20">
        <v>42897</v>
      </c>
      <c r="J302" s="35">
        <f t="shared" ca="1" si="291"/>
        <v>0.64931506849315068</v>
      </c>
      <c r="K302" s="35">
        <f t="shared" ca="1" si="292"/>
        <v>7.9</v>
      </c>
      <c r="L302" s="299">
        <f t="shared" ca="1" si="293"/>
        <v>237</v>
      </c>
      <c r="M302" s="60"/>
      <c r="N302" s="32"/>
      <c r="O302" s="82" t="str">
        <f t="shared" ca="1" si="294"/>
        <v>-</v>
      </c>
      <c r="P302" s="19"/>
      <c r="Q302" s="68"/>
      <c r="R302" s="118"/>
      <c r="S302" s="21"/>
      <c r="T302" s="20"/>
      <c r="U302" s="20" t="str">
        <f t="shared" si="295"/>
        <v>-</v>
      </c>
      <c r="V302" s="19" t="str">
        <f t="shared" ca="1" si="296"/>
        <v>-</v>
      </c>
      <c r="W302" s="3"/>
      <c r="X302" s="22" t="str">
        <f t="shared" si="297"/>
        <v>-</v>
      </c>
      <c r="Y302" s="22"/>
      <c r="Z302" s="22" t="str">
        <f t="shared" ca="1" si="298"/>
        <v>-</v>
      </c>
      <c r="AA302" s="20" t="str">
        <f t="shared" si="299"/>
        <v>-</v>
      </c>
      <c r="AB302" s="94" t="str">
        <f t="shared" si="300"/>
        <v>---------</v>
      </c>
      <c r="AC302" s="21"/>
      <c r="AD302" s="21" t="str">
        <f t="shared" si="301"/>
        <v>-</v>
      </c>
      <c r="AE302" s="21" t="str">
        <f t="shared" si="302"/>
        <v>-</v>
      </c>
      <c r="AF302" s="85"/>
      <c r="AG302" s="21" t="str">
        <f t="shared" si="303"/>
        <v>-</v>
      </c>
      <c r="AH302" s="21" t="str">
        <f t="shared" si="304"/>
        <v>-</v>
      </c>
      <c r="AI302" s="89" t="str">
        <f t="shared" ca="1" si="305"/>
        <v>-</v>
      </c>
      <c r="AJ302" s="92"/>
      <c r="AK302" s="93">
        <v>42899</v>
      </c>
      <c r="AL302" s="80" t="s">
        <v>1614</v>
      </c>
      <c r="AM302" s="80">
        <v>44</v>
      </c>
    </row>
    <row r="303" spans="1:39" s="1" customFormat="1" ht="15.95" customHeight="1" x14ac:dyDescent="0.25">
      <c r="A303" s="77">
        <v>301</v>
      </c>
      <c r="B303" s="84">
        <f t="shared" ca="1" si="290"/>
        <v>43134</v>
      </c>
      <c r="C303" s="29" t="s">
        <v>2546</v>
      </c>
      <c r="D303" s="59" t="s">
        <v>1555</v>
      </c>
      <c r="E303" s="22" t="s">
        <v>1557</v>
      </c>
      <c r="F303" s="27" t="s">
        <v>2848</v>
      </c>
      <c r="G303" s="324"/>
      <c r="H303" s="28" t="s">
        <v>603</v>
      </c>
      <c r="I303" s="20">
        <v>42894</v>
      </c>
      <c r="J303" s="240">
        <f t="shared" ca="1" si="291"/>
        <v>0.65753424657534243</v>
      </c>
      <c r="K303" s="240">
        <f t="shared" ca="1" si="292"/>
        <v>8</v>
      </c>
      <c r="L303" s="298">
        <f t="shared" ca="1" si="293"/>
        <v>240</v>
      </c>
      <c r="M303" s="60"/>
      <c r="N303" s="32"/>
      <c r="O303" s="82" t="str">
        <f t="shared" ca="1" si="294"/>
        <v>-</v>
      </c>
      <c r="P303" s="19"/>
      <c r="Q303" s="68"/>
      <c r="R303" s="118"/>
      <c r="S303" s="21"/>
      <c r="T303" s="20"/>
      <c r="U303" s="20" t="str">
        <f t="shared" si="295"/>
        <v>-</v>
      </c>
      <c r="V303" s="19" t="str">
        <f t="shared" ca="1" si="296"/>
        <v>-</v>
      </c>
      <c r="W303" s="3"/>
      <c r="X303" s="22" t="str">
        <f t="shared" si="297"/>
        <v>-</v>
      </c>
      <c r="Y303" s="22"/>
      <c r="Z303" s="22" t="str">
        <f t="shared" ca="1" si="298"/>
        <v>-</v>
      </c>
      <c r="AA303" s="20" t="str">
        <f t="shared" si="299"/>
        <v>-</v>
      </c>
      <c r="AB303" s="94" t="str">
        <f t="shared" si="300"/>
        <v>---------</v>
      </c>
      <c r="AC303" s="21"/>
      <c r="AD303" s="21" t="str">
        <f t="shared" si="301"/>
        <v>-</v>
      </c>
      <c r="AE303" s="21" t="str">
        <f t="shared" si="302"/>
        <v>-</v>
      </c>
      <c r="AF303" s="85"/>
      <c r="AG303" s="21" t="str">
        <f t="shared" si="303"/>
        <v>-</v>
      </c>
      <c r="AH303" s="21" t="str">
        <f t="shared" si="304"/>
        <v>-</v>
      </c>
      <c r="AI303" s="89" t="str">
        <f t="shared" ca="1" si="305"/>
        <v>-</v>
      </c>
      <c r="AJ303" s="92"/>
      <c r="AK303" s="93">
        <v>42899</v>
      </c>
      <c r="AL303" s="80" t="s">
        <v>1614</v>
      </c>
      <c r="AM303" s="80">
        <v>48</v>
      </c>
    </row>
    <row r="304" spans="1:39" s="1" customFormat="1" ht="15.95" customHeight="1" x14ac:dyDescent="0.25">
      <c r="A304" s="77">
        <v>302</v>
      </c>
      <c r="B304" s="84">
        <f t="shared" ca="1" si="290"/>
        <v>43134</v>
      </c>
      <c r="C304" s="29" t="s">
        <v>2546</v>
      </c>
      <c r="D304" s="59" t="s">
        <v>1555</v>
      </c>
      <c r="E304" s="22" t="s">
        <v>1557</v>
      </c>
      <c r="F304" s="27" t="s">
        <v>2856</v>
      </c>
      <c r="G304" s="324"/>
      <c r="H304" s="28" t="s">
        <v>603</v>
      </c>
      <c r="I304" s="20">
        <v>42896</v>
      </c>
      <c r="J304" s="35">
        <f t="shared" ca="1" si="291"/>
        <v>0.65205479452054793</v>
      </c>
      <c r="K304" s="35">
        <f t="shared" ca="1" si="292"/>
        <v>7.9333333333333336</v>
      </c>
      <c r="L304" s="299">
        <f t="shared" ca="1" si="293"/>
        <v>238</v>
      </c>
      <c r="M304" s="60"/>
      <c r="N304" s="32"/>
      <c r="O304" s="82" t="str">
        <f t="shared" ca="1" si="294"/>
        <v>-</v>
      </c>
      <c r="P304" s="19"/>
      <c r="Q304" s="68"/>
      <c r="R304" s="118"/>
      <c r="S304" s="21"/>
      <c r="T304" s="20"/>
      <c r="U304" s="20" t="str">
        <f t="shared" si="295"/>
        <v>-</v>
      </c>
      <c r="V304" s="19" t="str">
        <f t="shared" ca="1" si="296"/>
        <v>-</v>
      </c>
      <c r="W304" s="3"/>
      <c r="X304" s="22" t="str">
        <f t="shared" si="297"/>
        <v>-</v>
      </c>
      <c r="Y304" s="22"/>
      <c r="Z304" s="22" t="str">
        <f t="shared" ca="1" si="298"/>
        <v>-</v>
      </c>
      <c r="AA304" s="20" t="str">
        <f t="shared" si="299"/>
        <v>-</v>
      </c>
      <c r="AB304" s="94" t="str">
        <f t="shared" si="300"/>
        <v>---------</v>
      </c>
      <c r="AC304" s="21"/>
      <c r="AD304" s="21" t="str">
        <f t="shared" si="301"/>
        <v>-</v>
      </c>
      <c r="AE304" s="21" t="str">
        <f t="shared" si="302"/>
        <v>-</v>
      </c>
      <c r="AF304" s="85"/>
      <c r="AG304" s="21" t="str">
        <f t="shared" si="303"/>
        <v>-</v>
      </c>
      <c r="AH304" s="21" t="str">
        <f t="shared" si="304"/>
        <v>-</v>
      </c>
      <c r="AI304" s="89" t="str">
        <f t="shared" ca="1" si="305"/>
        <v>-</v>
      </c>
      <c r="AJ304" s="92"/>
      <c r="AK304" s="93">
        <v>42899</v>
      </c>
      <c r="AL304" s="80" t="s">
        <v>1614</v>
      </c>
      <c r="AM304" s="80">
        <v>39</v>
      </c>
    </row>
    <row r="305" spans="1:39" s="1" customFormat="1" ht="15.95" customHeight="1" x14ac:dyDescent="0.25">
      <c r="A305" s="77">
        <v>303</v>
      </c>
      <c r="B305" s="84">
        <f t="shared" ca="1" si="290"/>
        <v>43134</v>
      </c>
      <c r="C305" s="29" t="s">
        <v>2546</v>
      </c>
      <c r="D305" s="59" t="s">
        <v>1555</v>
      </c>
      <c r="E305" s="22" t="s">
        <v>1557</v>
      </c>
      <c r="F305" s="27" t="s">
        <v>2861</v>
      </c>
      <c r="G305" s="324">
        <f>SUMIFS(МОЛОКО!L10:L6959,МОЛОКО!F10:F6959,"3611",МОЛОКО!L10:L6959,"&gt;0")</f>
        <v>0</v>
      </c>
      <c r="H305" s="28" t="s">
        <v>603</v>
      </c>
      <c r="I305" s="20">
        <v>42900</v>
      </c>
      <c r="J305" s="240">
        <f t="shared" ca="1" si="291"/>
        <v>0.64109589041095894</v>
      </c>
      <c r="K305" s="240">
        <f t="shared" ca="1" si="292"/>
        <v>7.8</v>
      </c>
      <c r="L305" s="298">
        <f t="shared" ca="1" si="293"/>
        <v>234</v>
      </c>
      <c r="M305" s="60"/>
      <c r="N305" s="32"/>
      <c r="O305" s="82" t="str">
        <f t="shared" ca="1" si="294"/>
        <v>-</v>
      </c>
      <c r="P305" s="19"/>
      <c r="Q305" s="68"/>
      <c r="R305" s="118"/>
      <c r="S305" s="21"/>
      <c r="T305" s="20"/>
      <c r="U305" s="20" t="str">
        <f t="shared" si="295"/>
        <v>-</v>
      </c>
      <c r="V305" s="19" t="str">
        <f t="shared" ca="1" si="296"/>
        <v>-</v>
      </c>
      <c r="W305" s="3">
        <v>0</v>
      </c>
      <c r="X305" s="22" t="str">
        <f t="shared" si="297"/>
        <v>-</v>
      </c>
      <c r="Y305" s="22">
        <v>0</v>
      </c>
      <c r="Z305" s="22" t="str">
        <f t="shared" ca="1" si="298"/>
        <v>-</v>
      </c>
      <c r="AA305" s="20" t="str">
        <f t="shared" si="299"/>
        <v>-</v>
      </c>
      <c r="AB305" s="94" t="str">
        <f t="shared" si="300"/>
        <v>---------</v>
      </c>
      <c r="AC305" s="21"/>
      <c r="AD305" s="21" t="str">
        <f t="shared" si="301"/>
        <v>-</v>
      </c>
      <c r="AE305" s="21" t="str">
        <f t="shared" si="302"/>
        <v>-</v>
      </c>
      <c r="AF305" s="85"/>
      <c r="AG305" s="21" t="str">
        <f t="shared" si="303"/>
        <v>-</v>
      </c>
      <c r="AH305" s="21" t="str">
        <f t="shared" si="304"/>
        <v>-</v>
      </c>
      <c r="AI305" s="89" t="str">
        <f t="shared" ca="1" si="305"/>
        <v>-</v>
      </c>
      <c r="AJ305" s="92">
        <v>1</v>
      </c>
      <c r="AK305" s="93">
        <v>42901</v>
      </c>
      <c r="AL305" s="80" t="s">
        <v>1614</v>
      </c>
      <c r="AM305" s="80">
        <v>54</v>
      </c>
    </row>
    <row r="306" spans="1:39" s="1" customFormat="1" ht="15.95" customHeight="1" x14ac:dyDescent="0.25">
      <c r="A306" s="77">
        <v>304</v>
      </c>
      <c r="B306" s="84">
        <f t="shared" ca="1" si="290"/>
        <v>43134</v>
      </c>
      <c r="C306" s="29" t="s">
        <v>2546</v>
      </c>
      <c r="D306" s="59" t="s">
        <v>1555</v>
      </c>
      <c r="E306" s="22" t="s">
        <v>1557</v>
      </c>
      <c r="F306" s="27" t="s">
        <v>2860</v>
      </c>
      <c r="G306" s="324">
        <f>SUMIFS(МОЛОКО!L11:L6960,МОЛОКО!F11:F6960,"3611",МОЛОКО!L11:L6960,"&gt;0")</f>
        <v>0</v>
      </c>
      <c r="H306" s="28" t="s">
        <v>603</v>
      </c>
      <c r="I306" s="20">
        <v>42902</v>
      </c>
      <c r="J306" s="240">
        <f t="shared" ref="J306:J311" ca="1" si="306">(B306-I306)/365</f>
        <v>0.63561643835616444</v>
      </c>
      <c r="K306" s="240">
        <f t="shared" ref="K306:K311" ca="1" si="307">(B306-I306)/30</f>
        <v>7.7333333333333334</v>
      </c>
      <c r="L306" s="298">
        <f t="shared" ref="L306:L311" ca="1" si="308">B306-I306</f>
        <v>232</v>
      </c>
      <c r="M306" s="60"/>
      <c r="N306" s="32"/>
      <c r="O306" s="82" t="str">
        <f t="shared" ca="1" si="294"/>
        <v>-</v>
      </c>
      <c r="P306" s="19"/>
      <c r="Q306" s="68"/>
      <c r="R306" s="118"/>
      <c r="S306" s="21"/>
      <c r="T306" s="20"/>
      <c r="U306" s="20" t="str">
        <f t="shared" si="295"/>
        <v>-</v>
      </c>
      <c r="V306" s="19" t="str">
        <f t="shared" ca="1" si="296"/>
        <v>-</v>
      </c>
      <c r="W306" s="3">
        <v>0</v>
      </c>
      <c r="X306" s="22" t="str">
        <f t="shared" si="297"/>
        <v>-</v>
      </c>
      <c r="Y306" s="22">
        <v>0</v>
      </c>
      <c r="Z306" s="22" t="str">
        <f t="shared" ca="1" si="298"/>
        <v>-</v>
      </c>
      <c r="AA306" s="20" t="str">
        <f t="shared" si="299"/>
        <v>-</v>
      </c>
      <c r="AB306" s="94" t="str">
        <f t="shared" si="300"/>
        <v>---------</v>
      </c>
      <c r="AC306" s="21"/>
      <c r="AD306" s="21" t="str">
        <f t="shared" si="301"/>
        <v>-</v>
      </c>
      <c r="AE306" s="21" t="str">
        <f t="shared" si="302"/>
        <v>-</v>
      </c>
      <c r="AF306" s="85"/>
      <c r="AG306" s="21" t="str">
        <f t="shared" si="303"/>
        <v>-</v>
      </c>
      <c r="AH306" s="21" t="str">
        <f t="shared" si="304"/>
        <v>-</v>
      </c>
      <c r="AI306" s="89" t="str">
        <f t="shared" ca="1" si="305"/>
        <v>-</v>
      </c>
      <c r="AJ306" s="92">
        <v>1</v>
      </c>
      <c r="AK306" s="93">
        <v>42906</v>
      </c>
      <c r="AL306" s="80" t="s">
        <v>1614</v>
      </c>
      <c r="AM306" s="80">
        <v>44</v>
      </c>
    </row>
    <row r="307" spans="1:39" s="1" customFormat="1" ht="15.95" customHeight="1" x14ac:dyDescent="0.25">
      <c r="A307" s="77">
        <v>305</v>
      </c>
      <c r="B307" s="84">
        <f t="shared" ca="1" si="290"/>
        <v>43134</v>
      </c>
      <c r="C307" s="29" t="s">
        <v>2546</v>
      </c>
      <c r="D307" s="59" t="s">
        <v>1555</v>
      </c>
      <c r="E307" s="22" t="s">
        <v>1557</v>
      </c>
      <c r="F307" s="27" t="s">
        <v>2868</v>
      </c>
      <c r="G307" s="324">
        <f>SUMIFS(МОЛОКО!L12:L6961,МОЛОКО!F12:F6961,"3611",МОЛОКО!L12:L6961,"&gt;0")</f>
        <v>0</v>
      </c>
      <c r="H307" s="28" t="s">
        <v>603</v>
      </c>
      <c r="I307" s="20">
        <v>42904</v>
      </c>
      <c r="J307" s="35">
        <f t="shared" ca="1" si="306"/>
        <v>0.63013698630136983</v>
      </c>
      <c r="K307" s="35">
        <f t="shared" ca="1" si="307"/>
        <v>7.666666666666667</v>
      </c>
      <c r="L307" s="299">
        <f t="shared" ca="1" si="308"/>
        <v>230</v>
      </c>
      <c r="M307" s="60"/>
      <c r="N307" s="32"/>
      <c r="O307" s="82" t="str">
        <f t="shared" ref="O307:O313" ca="1" si="309">IF(AND(B307&gt;0,N307&gt;0),B307-N307,"-")</f>
        <v>-</v>
      </c>
      <c r="P307" s="19"/>
      <c r="Q307" s="68"/>
      <c r="R307" s="118"/>
      <c r="S307" s="21"/>
      <c r="T307" s="20"/>
      <c r="U307" s="20" t="str">
        <f t="shared" ref="U307:U313" si="310">IF(AND(Y307&gt;1,T307&gt;0),T307+18,"-")</f>
        <v>-</v>
      </c>
      <c r="V307" s="19" t="str">
        <f t="shared" ref="V307:V313" ca="1" si="311">IF(AND(U307&gt;0,B307&gt;0,Y307&gt;1),B307-U307,"-")</f>
        <v>-</v>
      </c>
      <c r="W307" s="3"/>
      <c r="X307" s="22" t="str">
        <f t="shared" ref="X307:X313" si="312">IF(AND(N307&gt;0,T307&gt;0),T307-N307,"-")</f>
        <v>-</v>
      </c>
      <c r="Y307" s="22"/>
      <c r="Z307" s="22" t="str">
        <f ca="1">IF(AND(O307&gt;140,Y307=0,N307&gt;0),"яловая","-")</f>
        <v>-</v>
      </c>
      <c r="AA307" s="20" t="str">
        <f>IF(AND(T307&gt;0,OR(Y307=3,Y307=2)),T307+35,"-")</f>
        <v>-</v>
      </c>
      <c r="AB307" s="94" t="str">
        <f>IF(AND(T307&gt;0,W307&gt;0,Q307&gt;0,OR(Y307=3,Y307=2)),B307-AA307,"---------")</f>
        <v>---------</v>
      </c>
      <c r="AC307" s="21"/>
      <c r="AD307" s="21" t="str">
        <f>IF(AND($T307&gt;0,$N307&gt;0,$Y307=1),$T307+280-90,"-")</f>
        <v>-</v>
      </c>
      <c r="AE307" s="21" t="str">
        <f>IF(AND(T307&gt;0,Y307=1,N307&gt;0),T307+280-60,"-")</f>
        <v>-</v>
      </c>
      <c r="AF307" s="85"/>
      <c r="AG307" s="21" t="str">
        <f>IF(AND($T307&gt;0,$Y307=1),$T307+280-21,"-")</f>
        <v>-</v>
      </c>
      <c r="AH307" s="21" t="str">
        <f>IF(AND(T307&gt;0,Y307=1),T307+280,"-")</f>
        <v>-</v>
      </c>
      <c r="AI307" s="89" t="str">
        <f ca="1">IF(AND(B307&gt;0,AH307&gt;0,AC307&gt;0,Y307=1),B307-AH307,"-")</f>
        <v>-</v>
      </c>
      <c r="AJ307" s="92"/>
      <c r="AK307" s="93">
        <v>42906</v>
      </c>
      <c r="AL307" s="80" t="s">
        <v>1614</v>
      </c>
      <c r="AM307" s="80">
        <v>50</v>
      </c>
    </row>
    <row r="308" spans="1:39" s="1" customFormat="1" ht="15.95" customHeight="1" x14ac:dyDescent="0.25">
      <c r="A308" s="77">
        <v>306</v>
      </c>
      <c r="B308" s="84">
        <f t="shared" ca="1" si="290"/>
        <v>43134</v>
      </c>
      <c r="C308" s="29" t="s">
        <v>2546</v>
      </c>
      <c r="D308" s="59" t="s">
        <v>1555</v>
      </c>
      <c r="E308" s="22" t="s">
        <v>1557</v>
      </c>
      <c r="F308" s="27" t="s">
        <v>2870</v>
      </c>
      <c r="G308" s="324">
        <f>SUMIFS(МОЛОКО!L13:L6962,МОЛОКО!F13:F6962,"3611",МОЛОКО!L13:L6962,"&gt;0")</f>
        <v>0</v>
      </c>
      <c r="H308" s="28" t="s">
        <v>603</v>
      </c>
      <c r="I308" s="20">
        <v>42905</v>
      </c>
      <c r="J308" s="240">
        <f t="shared" ca="1" si="306"/>
        <v>0.62739726027397258</v>
      </c>
      <c r="K308" s="240">
        <f t="shared" ca="1" si="307"/>
        <v>7.6333333333333337</v>
      </c>
      <c r="L308" s="298">
        <f t="shared" ca="1" si="308"/>
        <v>229</v>
      </c>
      <c r="M308" s="60"/>
      <c r="N308" s="32"/>
      <c r="O308" s="82" t="str">
        <f t="shared" ca="1" si="309"/>
        <v>-</v>
      </c>
      <c r="P308" s="19"/>
      <c r="Q308" s="68"/>
      <c r="R308" s="118"/>
      <c r="S308" s="21"/>
      <c r="T308" s="20"/>
      <c r="U308" s="20" t="str">
        <f t="shared" si="310"/>
        <v>-</v>
      </c>
      <c r="V308" s="19" t="str">
        <f t="shared" ca="1" si="311"/>
        <v>-</v>
      </c>
      <c r="W308" s="3">
        <v>0</v>
      </c>
      <c r="X308" s="22" t="str">
        <f t="shared" si="312"/>
        <v>-</v>
      </c>
      <c r="Y308" s="22">
        <v>0</v>
      </c>
      <c r="Z308" s="329" t="str">
        <f ca="1">IF(AND(Y308=1,AA308&gt;71,AB308&lt;1),"ПОДЛЕЖИТ ПЕРЕПРОВЕРКЕ","-----")</f>
        <v>-----</v>
      </c>
      <c r="AA308" s="328">
        <f t="shared" ref="AA308:AA313" ca="1" si="313">IF(AND(O308&gt;-1,W308&gt;0,Y308=1,AB308=1),"-----",B308-T308)</f>
        <v>43134</v>
      </c>
      <c r="AB308" s="22"/>
      <c r="AC308" s="328" t="str">
        <f ca="1">IF(AND(AB308&lt;1,Z308="ПОДТВЕРЖДЕНИЕ СТЕЛЬНОСТИ",Y308=1),T308+72,"-----")</f>
        <v>-----</v>
      </c>
      <c r="AD308" s="22"/>
      <c r="AE308" s="22" t="str">
        <f t="shared" ref="AE308:AE313" ca="1" si="314">IF(AND(O308&gt;140,Y308=0,N308&gt;0),"яловая","-")</f>
        <v>-</v>
      </c>
      <c r="AF308" s="20" t="str">
        <f t="shared" ref="AF308:AF313" si="315">IF(AND(T308&gt;0,OR(Y308=3,Y308=2)),T308+35,"-")</f>
        <v>-</v>
      </c>
      <c r="AG308" s="94" t="str">
        <f t="shared" ref="AG308:AG313" si="316">IF(AND(T308&gt;0,W308&gt;0,Q308&gt;0,OR(Y308=3,Y308=2)),B308-AF308,"---------")</f>
        <v>---------</v>
      </c>
      <c r="AH308" s="21"/>
      <c r="AI308" s="21" t="str">
        <f t="shared" ref="AI308:AI313" si="317">IF(AND($T308&gt;0,$N308&gt;0,$Y308=1),$T308+280-90,"-")</f>
        <v>-</v>
      </c>
      <c r="AJ308" s="21" t="str">
        <f t="shared" ref="AJ308:AJ313" si="318">IF(AND(T308&gt;0,Y308=1,N308&gt;0),T308+280-60,"-")</f>
        <v>-</v>
      </c>
      <c r="AK308" s="93">
        <v>42909</v>
      </c>
      <c r="AL308" s="80" t="s">
        <v>1614</v>
      </c>
      <c r="AM308" s="80">
        <v>50</v>
      </c>
    </row>
    <row r="309" spans="1:39" s="1" customFormat="1" ht="15.95" customHeight="1" x14ac:dyDescent="0.25">
      <c r="A309" s="77">
        <v>307</v>
      </c>
      <c r="B309" s="84">
        <f t="shared" ca="1" si="290"/>
        <v>43134</v>
      </c>
      <c r="C309" s="29" t="s">
        <v>2546</v>
      </c>
      <c r="D309" s="59" t="s">
        <v>1555</v>
      </c>
      <c r="E309" s="22" t="s">
        <v>1557</v>
      </c>
      <c r="F309" s="27" t="s">
        <v>2871</v>
      </c>
      <c r="G309" s="324">
        <f>SUMIFS(МОЛОКО!L14:L6963,МОЛОКО!F14:F6963,"3611",МОЛОКО!L14:L6963,"&gt;0")</f>
        <v>0</v>
      </c>
      <c r="H309" s="28" t="s">
        <v>603</v>
      </c>
      <c r="I309" s="20">
        <v>42906</v>
      </c>
      <c r="J309" s="240">
        <f t="shared" ca="1" si="306"/>
        <v>0.62465753424657533</v>
      </c>
      <c r="K309" s="240">
        <f t="shared" ca="1" si="307"/>
        <v>7.6</v>
      </c>
      <c r="L309" s="298">
        <f t="shared" ca="1" si="308"/>
        <v>228</v>
      </c>
      <c r="M309" s="60"/>
      <c r="N309" s="32"/>
      <c r="O309" s="82" t="str">
        <f t="shared" ca="1" si="309"/>
        <v>-</v>
      </c>
      <c r="P309" s="19"/>
      <c r="Q309" s="68"/>
      <c r="R309" s="118"/>
      <c r="S309" s="21"/>
      <c r="T309" s="20"/>
      <c r="U309" s="20" t="str">
        <f t="shared" si="310"/>
        <v>-</v>
      </c>
      <c r="V309" s="19" t="str">
        <f t="shared" ca="1" si="311"/>
        <v>-</v>
      </c>
      <c r="W309" s="3">
        <v>0</v>
      </c>
      <c r="X309" s="22" t="str">
        <f t="shared" si="312"/>
        <v>-</v>
      </c>
      <c r="Y309" s="22">
        <v>0</v>
      </c>
      <c r="Z309" s="329" t="str">
        <f ca="1">IF(AND(Y309=1,AA309&gt;71,AB309&lt;1),"ПОДЛЕЖИТ ПЕРЕПРОВЕРКЕ","-----")</f>
        <v>-----</v>
      </c>
      <c r="AA309" s="328">
        <f t="shared" ca="1" si="313"/>
        <v>43134</v>
      </c>
      <c r="AB309" s="22"/>
      <c r="AC309" s="328" t="str">
        <f ca="1">IF(AND(AB309&lt;1,Z309="ПОДТВЕРЖДЕНИЕ СТЕЛЬНОСТИ",Y309=1),T309+72,"-----")</f>
        <v>-----</v>
      </c>
      <c r="AD309" s="22"/>
      <c r="AE309" s="22" t="str">
        <f t="shared" ca="1" si="314"/>
        <v>-</v>
      </c>
      <c r="AF309" s="20" t="str">
        <f t="shared" si="315"/>
        <v>-</v>
      </c>
      <c r="AG309" s="94" t="str">
        <f t="shared" si="316"/>
        <v>---------</v>
      </c>
      <c r="AH309" s="21"/>
      <c r="AI309" s="21" t="str">
        <f t="shared" si="317"/>
        <v>-</v>
      </c>
      <c r="AJ309" s="21" t="str">
        <f t="shared" si="318"/>
        <v>-</v>
      </c>
      <c r="AK309" s="93">
        <v>42912</v>
      </c>
      <c r="AL309" s="80" t="s">
        <v>1614</v>
      </c>
      <c r="AM309" s="80">
        <v>44</v>
      </c>
    </row>
    <row r="310" spans="1:39" s="1" customFormat="1" ht="15.95" customHeight="1" x14ac:dyDescent="0.25">
      <c r="A310" s="77">
        <v>308</v>
      </c>
      <c r="B310" s="84">
        <f t="shared" ca="1" si="290"/>
        <v>43134</v>
      </c>
      <c r="C310" s="29" t="s">
        <v>2546</v>
      </c>
      <c r="D310" s="59" t="s">
        <v>1555</v>
      </c>
      <c r="E310" s="22" t="s">
        <v>1557</v>
      </c>
      <c r="F310" s="27" t="s">
        <v>2875</v>
      </c>
      <c r="G310" s="324">
        <f>SUMIFS(МОЛОКО!L191:L7154,МОЛОКО!F191:F7154,"3433",МОЛОКО!L191:L7154,"&gt;0")</f>
        <v>0</v>
      </c>
      <c r="H310" s="28" t="s">
        <v>603</v>
      </c>
      <c r="I310" s="20">
        <v>42907</v>
      </c>
      <c r="J310" s="240">
        <f t="shared" ca="1" si="306"/>
        <v>0.62191780821917808</v>
      </c>
      <c r="K310" s="240">
        <f t="shared" ca="1" si="307"/>
        <v>7.5666666666666664</v>
      </c>
      <c r="L310" s="298">
        <f t="shared" ca="1" si="308"/>
        <v>227</v>
      </c>
      <c r="M310" s="60"/>
      <c r="N310" s="32"/>
      <c r="O310" s="82" t="str">
        <f t="shared" ca="1" si="309"/>
        <v>-</v>
      </c>
      <c r="P310" s="19"/>
      <c r="Q310" s="68"/>
      <c r="R310" s="118"/>
      <c r="S310" s="21"/>
      <c r="T310" s="20"/>
      <c r="U310" s="20" t="str">
        <f t="shared" si="310"/>
        <v>-</v>
      </c>
      <c r="V310" s="19" t="str">
        <f t="shared" ca="1" si="311"/>
        <v>-</v>
      </c>
      <c r="W310" s="3">
        <v>0</v>
      </c>
      <c r="X310" s="22" t="str">
        <f t="shared" si="312"/>
        <v>-</v>
      </c>
      <c r="Y310" s="22">
        <v>0</v>
      </c>
      <c r="Z310" s="329" t="str">
        <f ca="1">IF(AND(Y310=1,AA310&gt;71,AB310&lt;1),"ПОДЛЕЖИТ ПЕРЕПРОВЕРКЕ","-----")</f>
        <v>-----</v>
      </c>
      <c r="AA310" s="328">
        <f t="shared" ca="1" si="313"/>
        <v>43134</v>
      </c>
      <c r="AB310" s="22"/>
      <c r="AC310" s="328" t="str">
        <f ca="1">IF(AND(AB310&lt;1,Z310="ПОДТВЕРЖДЕНИЕ СТЕЛЬНОСТИ",Y310=1),T310+72,"-----")</f>
        <v>-----</v>
      </c>
      <c r="AD310" s="22"/>
      <c r="AE310" s="22" t="str">
        <f t="shared" ca="1" si="314"/>
        <v>-</v>
      </c>
      <c r="AF310" s="20" t="str">
        <f t="shared" si="315"/>
        <v>-</v>
      </c>
      <c r="AG310" s="94" t="str">
        <f t="shared" si="316"/>
        <v>---------</v>
      </c>
      <c r="AH310" s="21"/>
      <c r="AI310" s="21" t="str">
        <f t="shared" si="317"/>
        <v>-</v>
      </c>
      <c r="AJ310" s="21" t="str">
        <f t="shared" si="318"/>
        <v>-</v>
      </c>
      <c r="AK310" s="93">
        <v>42912</v>
      </c>
      <c r="AL310" s="80" t="s">
        <v>1614</v>
      </c>
      <c r="AM310" s="80">
        <v>43</v>
      </c>
    </row>
    <row r="311" spans="1:39" s="1" customFormat="1" ht="15.95" customHeight="1" x14ac:dyDescent="0.25">
      <c r="A311" s="77">
        <v>309</v>
      </c>
      <c r="B311" s="84">
        <f t="shared" ca="1" si="290"/>
        <v>43134</v>
      </c>
      <c r="C311" s="271" t="s">
        <v>2584</v>
      </c>
      <c r="D311" s="270" t="s">
        <v>2582</v>
      </c>
      <c r="E311" s="22" t="s">
        <v>1563</v>
      </c>
      <c r="F311" s="27" t="s">
        <v>1806</v>
      </c>
      <c r="G311" s="324">
        <f>SUMIFS(МОЛОКО!L149:L7103,МОЛОКО!F149:F7103,"3433",МОЛОКО!L149:L7103,"&gt;0")</f>
        <v>0</v>
      </c>
      <c r="H311" s="28" t="s">
        <v>603</v>
      </c>
      <c r="I311" s="20">
        <v>42471</v>
      </c>
      <c r="J311" s="240">
        <f t="shared" ca="1" si="306"/>
        <v>1.8164383561643835</v>
      </c>
      <c r="K311" s="240">
        <f t="shared" ca="1" si="307"/>
        <v>22.1</v>
      </c>
      <c r="L311" s="298">
        <f t="shared" ca="1" si="308"/>
        <v>663</v>
      </c>
      <c r="M311" s="60"/>
      <c r="N311" s="32"/>
      <c r="O311" s="82" t="str">
        <f t="shared" ca="1" si="309"/>
        <v>-</v>
      </c>
      <c r="P311" s="19"/>
      <c r="Q311" s="68"/>
      <c r="R311" s="118"/>
      <c r="S311" s="21"/>
      <c r="T311" s="20"/>
      <c r="U311" s="20" t="str">
        <f t="shared" si="310"/>
        <v>-</v>
      </c>
      <c r="V311" s="19" t="str">
        <f t="shared" ca="1" si="311"/>
        <v>-</v>
      </c>
      <c r="W311" s="3">
        <v>0</v>
      </c>
      <c r="X311" s="22" t="str">
        <f t="shared" si="312"/>
        <v>-</v>
      </c>
      <c r="Y311" s="22">
        <v>0</v>
      </c>
      <c r="Z311" s="329" t="str">
        <f t="shared" ref="Z311:Z320" ca="1" si="319">IF(AND(Y311=1,AA311&gt;71,OR(ISBLANK(AB311),AB311=2)),"ПОДЛЕЖИТ ПЕРЕПРОВЕРКЕ","-----")</f>
        <v>-----</v>
      </c>
      <c r="AA311" s="328">
        <f t="shared" ca="1" si="313"/>
        <v>43134</v>
      </c>
      <c r="AB311" s="19"/>
      <c r="AC311" s="331" t="str">
        <f t="shared" ref="AC311:AC320" ca="1" si="320">IF(AND(AB311&lt;1,Z311="ПОДЛЕЖИТ ПЕРЕПРОВЕРКЕ",Y311=1),T311+72,"-----")</f>
        <v>-----</v>
      </c>
      <c r="AD311" s="20"/>
      <c r="AE311" s="22" t="str">
        <f t="shared" ca="1" si="314"/>
        <v>-</v>
      </c>
      <c r="AF311" s="20" t="str">
        <f t="shared" si="315"/>
        <v>-</v>
      </c>
      <c r="AG311" s="94" t="str">
        <f t="shared" si="316"/>
        <v>---------</v>
      </c>
      <c r="AH311" s="21"/>
      <c r="AI311" s="21" t="str">
        <f t="shared" si="317"/>
        <v>-</v>
      </c>
      <c r="AJ311" s="21" t="str">
        <f t="shared" si="318"/>
        <v>-</v>
      </c>
      <c r="AK311" s="20">
        <v>42913</v>
      </c>
      <c r="AL311" s="21" t="s">
        <v>2892</v>
      </c>
      <c r="AM311" s="80"/>
    </row>
    <row r="312" spans="1:39" s="2" customFormat="1" ht="15.95" customHeight="1" x14ac:dyDescent="0.25">
      <c r="A312" s="77">
        <v>310</v>
      </c>
      <c r="B312" s="84">
        <f t="shared" ca="1" si="290"/>
        <v>43134</v>
      </c>
      <c r="C312" s="29" t="s">
        <v>2546</v>
      </c>
      <c r="D312" s="59" t="s">
        <v>1555</v>
      </c>
      <c r="E312" s="22" t="s">
        <v>1557</v>
      </c>
      <c r="F312" s="27" t="s">
        <v>2881</v>
      </c>
      <c r="G312" s="324">
        <f>SUMIFS(МОЛОКО!L191:L7154,МОЛОКО!F191:F7154,"3433",МОЛОКО!L191:L7154,"&gt;0")</f>
        <v>0</v>
      </c>
      <c r="H312" s="28" t="s">
        <v>603</v>
      </c>
      <c r="I312" s="20">
        <v>42910</v>
      </c>
      <c r="J312" s="240">
        <f t="shared" ref="J312:J320" ca="1" si="321">(B312-I312)/365</f>
        <v>0.61369863013698633</v>
      </c>
      <c r="K312" s="240">
        <f t="shared" ref="K312:K320" ca="1" si="322">(B312-I312)/30</f>
        <v>7.4666666666666668</v>
      </c>
      <c r="L312" s="298">
        <f t="shared" ref="L312:L320" ca="1" si="323">B312-I312</f>
        <v>224</v>
      </c>
      <c r="M312" s="60"/>
      <c r="N312" s="32"/>
      <c r="O312" s="82" t="str">
        <f t="shared" ca="1" si="309"/>
        <v>-</v>
      </c>
      <c r="P312" s="19"/>
      <c r="Q312" s="68"/>
      <c r="R312" s="118"/>
      <c r="S312" s="21"/>
      <c r="T312" s="20"/>
      <c r="U312" s="20" t="str">
        <f t="shared" si="310"/>
        <v>-</v>
      </c>
      <c r="V312" s="19" t="str">
        <f t="shared" ca="1" si="311"/>
        <v>-</v>
      </c>
      <c r="W312" s="3">
        <v>0</v>
      </c>
      <c r="X312" s="22" t="str">
        <f t="shared" si="312"/>
        <v>-</v>
      </c>
      <c r="Y312" s="22">
        <v>0</v>
      </c>
      <c r="Z312" s="329" t="str">
        <f t="shared" ca="1" si="319"/>
        <v>-----</v>
      </c>
      <c r="AA312" s="328">
        <f t="shared" ca="1" si="313"/>
        <v>43134</v>
      </c>
      <c r="AB312" s="19"/>
      <c r="AC312" s="331" t="str">
        <f t="shared" ca="1" si="320"/>
        <v>-----</v>
      </c>
      <c r="AD312" s="20"/>
      <c r="AE312" s="22" t="str">
        <f t="shared" ca="1" si="314"/>
        <v>-</v>
      </c>
      <c r="AF312" s="20" t="str">
        <f t="shared" si="315"/>
        <v>-</v>
      </c>
      <c r="AG312" s="94" t="str">
        <f t="shared" si="316"/>
        <v>---------</v>
      </c>
      <c r="AH312" s="21"/>
      <c r="AI312" s="21" t="str">
        <f t="shared" si="317"/>
        <v>-</v>
      </c>
      <c r="AJ312" s="21" t="str">
        <f t="shared" si="318"/>
        <v>-</v>
      </c>
      <c r="AK312" s="20">
        <v>42914</v>
      </c>
      <c r="AL312" s="21" t="s">
        <v>1614</v>
      </c>
      <c r="AM312" s="80">
        <v>38</v>
      </c>
    </row>
    <row r="313" spans="1:39" s="2" customFormat="1" ht="15.95" customHeight="1" x14ac:dyDescent="0.25">
      <c r="A313" s="77">
        <v>311</v>
      </c>
      <c r="B313" s="84">
        <f t="shared" ca="1" si="290"/>
        <v>43134</v>
      </c>
      <c r="C313" s="29" t="s">
        <v>2546</v>
      </c>
      <c r="D313" s="59" t="s">
        <v>1555</v>
      </c>
      <c r="E313" s="22" t="s">
        <v>1557</v>
      </c>
      <c r="F313" s="27" t="s">
        <v>2887</v>
      </c>
      <c r="G313" s="324">
        <f>SUMIFS(МОЛОКО!L191:L7154,МОЛОКО!F191:F7154,"3433",МОЛОКО!L191:L7154,"&gt;0")</f>
        <v>0</v>
      </c>
      <c r="H313" s="28" t="s">
        <v>603</v>
      </c>
      <c r="I313" s="20">
        <v>42913</v>
      </c>
      <c r="J313" s="35">
        <f t="shared" ca="1" si="321"/>
        <v>0.60547945205479448</v>
      </c>
      <c r="K313" s="35">
        <f t="shared" ca="1" si="322"/>
        <v>7.3666666666666663</v>
      </c>
      <c r="L313" s="299">
        <f t="shared" ca="1" si="323"/>
        <v>221</v>
      </c>
      <c r="M313" s="60"/>
      <c r="N313" s="32"/>
      <c r="O313" s="82" t="str">
        <f t="shared" ca="1" si="309"/>
        <v>-</v>
      </c>
      <c r="P313" s="19"/>
      <c r="Q313" s="68"/>
      <c r="R313" s="118"/>
      <c r="S313" s="21"/>
      <c r="T313" s="20"/>
      <c r="U313" s="20" t="str">
        <f t="shared" si="310"/>
        <v>-</v>
      </c>
      <c r="V313" s="19" t="str">
        <f t="shared" ca="1" si="311"/>
        <v>-</v>
      </c>
      <c r="W313" s="3"/>
      <c r="X313" s="22" t="str">
        <f t="shared" si="312"/>
        <v>-</v>
      </c>
      <c r="Y313" s="22"/>
      <c r="Z313" s="329" t="str">
        <f t="shared" ca="1" si="319"/>
        <v>-----</v>
      </c>
      <c r="AA313" s="328">
        <f t="shared" ca="1" si="313"/>
        <v>43134</v>
      </c>
      <c r="AB313" s="19"/>
      <c r="AC313" s="331" t="str">
        <f t="shared" ca="1" si="320"/>
        <v>-----</v>
      </c>
      <c r="AD313" s="20"/>
      <c r="AE313" s="22" t="str">
        <f t="shared" ca="1" si="314"/>
        <v>-</v>
      </c>
      <c r="AF313" s="20" t="str">
        <f t="shared" si="315"/>
        <v>-</v>
      </c>
      <c r="AG313" s="94" t="str">
        <f t="shared" si="316"/>
        <v>---------</v>
      </c>
      <c r="AH313" s="21"/>
      <c r="AI313" s="21" t="str">
        <f t="shared" si="317"/>
        <v>-</v>
      </c>
      <c r="AJ313" s="21" t="str">
        <f t="shared" si="318"/>
        <v>-</v>
      </c>
      <c r="AK313" s="20">
        <v>42914</v>
      </c>
      <c r="AL313" s="21" t="s">
        <v>1614</v>
      </c>
      <c r="AM313" s="80">
        <v>38</v>
      </c>
    </row>
    <row r="314" spans="1:39" s="2" customFormat="1" ht="15.95" customHeight="1" x14ac:dyDescent="0.25">
      <c r="A314" s="77">
        <v>312</v>
      </c>
      <c r="B314" s="84">
        <f t="shared" ca="1" si="290"/>
        <v>43134</v>
      </c>
      <c r="C314" s="29" t="s">
        <v>2553</v>
      </c>
      <c r="D314" s="59" t="s">
        <v>2586</v>
      </c>
      <c r="E314" s="22"/>
      <c r="F314" s="239" t="s">
        <v>1753</v>
      </c>
      <c r="G314" s="324">
        <f>SUMIFS(МОЛОКО!L9:L6958,МОЛОКО!F9:F6958,"2973",МОЛОКО!L9:L6958,"&gt;0")</f>
        <v>0</v>
      </c>
      <c r="H314" s="28" t="s">
        <v>603</v>
      </c>
      <c r="I314" s="20">
        <v>42502</v>
      </c>
      <c r="J314" s="240">
        <f t="shared" ca="1" si="321"/>
        <v>1.7315068493150685</v>
      </c>
      <c r="K314" s="240">
        <f t="shared" ca="1" si="322"/>
        <v>21.066666666666666</v>
      </c>
      <c r="L314" s="298">
        <f t="shared" ca="1" si="323"/>
        <v>632</v>
      </c>
      <c r="M314" s="60"/>
      <c r="N314" s="32"/>
      <c r="O314" s="82" t="str">
        <f t="shared" ref="O314:O320" ca="1" si="324">IF(AND(B314&gt;0,N314&gt;0),B314-N314,"-")</f>
        <v>-</v>
      </c>
      <c r="P314" s="19"/>
      <c r="Q314" s="68"/>
      <c r="R314" s="118"/>
      <c r="S314" s="21"/>
      <c r="T314" s="20"/>
      <c r="U314" s="20" t="str">
        <f t="shared" ref="U314:U320" si="325">IF(AND(Y314&gt;1,T314&gt;0),T314+18,"-")</f>
        <v>-</v>
      </c>
      <c r="V314" s="19" t="str">
        <f t="shared" ref="V314:V320" ca="1" si="326">IF(AND(U314&gt;0,B314&gt;0,Y314&gt;1),B314-U314,"-")</f>
        <v>-</v>
      </c>
      <c r="W314" s="3">
        <v>0</v>
      </c>
      <c r="X314" s="22" t="str">
        <f t="shared" ref="X314:X320" si="327">IF(AND(N314&gt;0,T314&gt;0),T314-N314,"-")</f>
        <v>-</v>
      </c>
      <c r="Y314" s="22">
        <v>0</v>
      </c>
      <c r="Z314" s="329" t="str">
        <f t="shared" ca="1" si="319"/>
        <v>-----</v>
      </c>
      <c r="AA314" s="328">
        <f t="shared" ref="AA314:AA320" ca="1" si="328">IF(AND(O314&gt;-1,W314&gt;0,Y314=1,AB314=1),"-----",B314-T314)</f>
        <v>43134</v>
      </c>
      <c r="AB314" s="19"/>
      <c r="AC314" s="331" t="str">
        <f t="shared" ca="1" si="320"/>
        <v>-----</v>
      </c>
      <c r="AD314" s="20"/>
      <c r="AE314" s="22" t="str">
        <f t="shared" ref="AE314:AE320" ca="1" si="329">IF(AND(O314&gt;140,Y314=0,N314&gt;0),"яловая","-")</f>
        <v>-</v>
      </c>
      <c r="AF314" s="20" t="str">
        <f t="shared" ref="AF314:AF320" si="330">IF(AND(T314&gt;0,OR(Y314=3,Y314=2)),T314+35,"-")</f>
        <v>-</v>
      </c>
      <c r="AG314" s="94" t="str">
        <f t="shared" ref="AG314:AG320" si="331">IF(AND(T314&gt;0,W314&gt;0,Q314&gt;0,OR(Y314=3,Y314=2)),B314-AF314,"---------")</f>
        <v>---------</v>
      </c>
      <c r="AH314" s="21"/>
      <c r="AI314" s="21" t="str">
        <f t="shared" ref="AI314:AI320" si="332">IF(AND($T314&gt;0,$N314&gt;0,$Y314=1),$T314+280-90,"-")</f>
        <v>-</v>
      </c>
      <c r="AJ314" s="21" t="str">
        <f t="shared" ref="AJ314:AJ320" si="333">IF(AND(T314&gt;0,Y314=1,N314&gt;0),T314+280-60,"-")</f>
        <v>-</v>
      </c>
      <c r="AK314" s="85">
        <v>42919</v>
      </c>
      <c r="AL314" s="21" t="s">
        <v>2892</v>
      </c>
      <c r="AM314" s="80"/>
    </row>
    <row r="315" spans="1:39" s="2" customFormat="1" ht="15.95" customHeight="1" x14ac:dyDescent="0.25">
      <c r="A315" s="77">
        <v>313</v>
      </c>
      <c r="B315" s="84">
        <f t="shared" ca="1" si="290"/>
        <v>43134</v>
      </c>
      <c r="C315" s="29" t="s">
        <v>2546</v>
      </c>
      <c r="D315" s="59" t="s">
        <v>1555</v>
      </c>
      <c r="E315" s="22" t="s">
        <v>1557</v>
      </c>
      <c r="F315" s="27" t="s">
        <v>2891</v>
      </c>
      <c r="G315" s="324">
        <f>SUMIFS(МОЛОКО!L192:L7155,МОЛОКО!F192:F7155,"3433",МОЛОКО!L192:L7155,"&gt;0")</f>
        <v>0</v>
      </c>
      <c r="H315" s="28" t="s">
        <v>603</v>
      </c>
      <c r="I315" s="20">
        <v>42915</v>
      </c>
      <c r="J315" s="35">
        <f t="shared" ca="1" si="321"/>
        <v>0.6</v>
      </c>
      <c r="K315" s="35">
        <f t="shared" ca="1" si="322"/>
        <v>7.3</v>
      </c>
      <c r="L315" s="299">
        <f t="shared" ca="1" si="323"/>
        <v>219</v>
      </c>
      <c r="M315" s="60"/>
      <c r="N315" s="32"/>
      <c r="O315" s="82" t="str">
        <f t="shared" ca="1" si="324"/>
        <v>-</v>
      </c>
      <c r="P315" s="19"/>
      <c r="Q315" s="68"/>
      <c r="R315" s="118"/>
      <c r="S315" s="21"/>
      <c r="T315" s="20"/>
      <c r="U315" s="20" t="str">
        <f t="shared" si="325"/>
        <v>-</v>
      </c>
      <c r="V315" s="19" t="str">
        <f t="shared" ca="1" si="326"/>
        <v>-</v>
      </c>
      <c r="W315" s="3"/>
      <c r="X315" s="22" t="str">
        <f t="shared" si="327"/>
        <v>-</v>
      </c>
      <c r="Y315" s="22"/>
      <c r="Z315" s="329" t="str">
        <f t="shared" ca="1" si="319"/>
        <v>-----</v>
      </c>
      <c r="AA315" s="328">
        <f t="shared" ca="1" si="328"/>
        <v>43134</v>
      </c>
      <c r="AB315" s="19"/>
      <c r="AC315" s="331" t="str">
        <f t="shared" ca="1" si="320"/>
        <v>-----</v>
      </c>
      <c r="AD315" s="20"/>
      <c r="AE315" s="22" t="str">
        <f t="shared" ca="1" si="329"/>
        <v>-</v>
      </c>
      <c r="AF315" s="20" t="str">
        <f t="shared" si="330"/>
        <v>-</v>
      </c>
      <c r="AG315" s="94" t="str">
        <f t="shared" si="331"/>
        <v>---------</v>
      </c>
      <c r="AH315" s="21"/>
      <c r="AI315" s="21" t="str">
        <f t="shared" si="332"/>
        <v>-</v>
      </c>
      <c r="AJ315" s="21" t="str">
        <f t="shared" si="333"/>
        <v>-</v>
      </c>
      <c r="AK315" s="85">
        <v>42919</v>
      </c>
      <c r="AL315" s="21" t="s">
        <v>1614</v>
      </c>
      <c r="AM315" s="80">
        <v>49</v>
      </c>
    </row>
    <row r="316" spans="1:39" s="2" customFormat="1" ht="15.95" customHeight="1" x14ac:dyDescent="0.25">
      <c r="A316" s="77">
        <v>314</v>
      </c>
      <c r="B316" s="84">
        <f t="shared" ca="1" si="290"/>
        <v>43134</v>
      </c>
      <c r="C316" s="29" t="s">
        <v>2546</v>
      </c>
      <c r="D316" s="59" t="s">
        <v>1555</v>
      </c>
      <c r="E316" s="22" t="s">
        <v>1557</v>
      </c>
      <c r="F316" s="27" t="s">
        <v>2894</v>
      </c>
      <c r="G316" s="324">
        <f>SUMIFS(МОЛОКО!L191:L7154,МОЛОКО!F191:F7154,"3433",МОЛОКО!L191:L7154,"&gt;0")</f>
        <v>0</v>
      </c>
      <c r="H316" s="28" t="s">
        <v>603</v>
      </c>
      <c r="I316" s="20">
        <v>42915</v>
      </c>
      <c r="J316" s="35">
        <f t="shared" ca="1" si="321"/>
        <v>0.6</v>
      </c>
      <c r="K316" s="35">
        <f t="shared" ca="1" si="322"/>
        <v>7.3</v>
      </c>
      <c r="L316" s="299">
        <f t="shared" ca="1" si="323"/>
        <v>219</v>
      </c>
      <c r="M316" s="60"/>
      <c r="N316" s="32"/>
      <c r="O316" s="82" t="str">
        <f t="shared" ca="1" si="324"/>
        <v>-</v>
      </c>
      <c r="P316" s="19"/>
      <c r="Q316" s="68"/>
      <c r="R316" s="118"/>
      <c r="S316" s="21"/>
      <c r="T316" s="20"/>
      <c r="U316" s="20" t="str">
        <f t="shared" si="325"/>
        <v>-</v>
      </c>
      <c r="V316" s="19" t="str">
        <f t="shared" ca="1" si="326"/>
        <v>-</v>
      </c>
      <c r="W316" s="3"/>
      <c r="X316" s="22" t="str">
        <f t="shared" si="327"/>
        <v>-</v>
      </c>
      <c r="Y316" s="22"/>
      <c r="Z316" s="329" t="str">
        <f t="shared" ca="1" si="319"/>
        <v>-----</v>
      </c>
      <c r="AA316" s="328">
        <f t="shared" ca="1" si="328"/>
        <v>43134</v>
      </c>
      <c r="AB316" s="19"/>
      <c r="AC316" s="331" t="str">
        <f t="shared" ca="1" si="320"/>
        <v>-----</v>
      </c>
      <c r="AD316" s="20"/>
      <c r="AE316" s="22" t="str">
        <f t="shared" ca="1" si="329"/>
        <v>-</v>
      </c>
      <c r="AF316" s="20" t="str">
        <f t="shared" si="330"/>
        <v>-</v>
      </c>
      <c r="AG316" s="94" t="str">
        <f t="shared" si="331"/>
        <v>---------</v>
      </c>
      <c r="AH316" s="21"/>
      <c r="AI316" s="21" t="str">
        <f t="shared" si="332"/>
        <v>-</v>
      </c>
      <c r="AJ316" s="21" t="str">
        <f t="shared" si="333"/>
        <v>-</v>
      </c>
      <c r="AK316" s="85">
        <v>42919</v>
      </c>
      <c r="AL316" s="21" t="s">
        <v>1614</v>
      </c>
      <c r="AM316" s="80">
        <v>52</v>
      </c>
    </row>
    <row r="317" spans="1:39" s="2" customFormat="1" ht="15.95" customHeight="1" x14ac:dyDescent="0.25">
      <c r="A317" s="77">
        <v>315</v>
      </c>
      <c r="B317" s="84">
        <f t="shared" ca="1" si="290"/>
        <v>43134</v>
      </c>
      <c r="C317" s="29" t="s">
        <v>2546</v>
      </c>
      <c r="D317" s="59" t="s">
        <v>1555</v>
      </c>
      <c r="E317" s="22" t="s">
        <v>1557</v>
      </c>
      <c r="F317" s="27" t="s">
        <v>2902</v>
      </c>
      <c r="G317" s="324"/>
      <c r="H317" s="28" t="s">
        <v>603</v>
      </c>
      <c r="I317" s="20">
        <v>42916</v>
      </c>
      <c r="J317" s="240">
        <f t="shared" ca="1" si="321"/>
        <v>0.59726027397260273</v>
      </c>
      <c r="K317" s="240">
        <f t="shared" ca="1" si="322"/>
        <v>7.2666666666666666</v>
      </c>
      <c r="L317" s="298">
        <f t="shared" ca="1" si="323"/>
        <v>218</v>
      </c>
      <c r="M317" s="60"/>
      <c r="N317" s="32"/>
      <c r="O317" s="82" t="str">
        <f t="shared" ca="1" si="324"/>
        <v>-</v>
      </c>
      <c r="P317" s="19"/>
      <c r="Q317" s="68"/>
      <c r="R317" s="118"/>
      <c r="S317" s="21"/>
      <c r="T317" s="20"/>
      <c r="U317" s="20" t="str">
        <f t="shared" si="325"/>
        <v>-</v>
      </c>
      <c r="V317" s="19" t="str">
        <f t="shared" ca="1" si="326"/>
        <v>-</v>
      </c>
      <c r="W317" s="3"/>
      <c r="X317" s="22" t="str">
        <f t="shared" si="327"/>
        <v>-</v>
      </c>
      <c r="Y317" s="22"/>
      <c r="Z317" s="329" t="str">
        <f t="shared" ca="1" si="319"/>
        <v>-----</v>
      </c>
      <c r="AA317" s="328">
        <f t="shared" ca="1" si="328"/>
        <v>43134</v>
      </c>
      <c r="AB317" s="19"/>
      <c r="AC317" s="331" t="str">
        <f t="shared" ca="1" si="320"/>
        <v>-----</v>
      </c>
      <c r="AD317" s="20"/>
      <c r="AE317" s="22" t="str">
        <f t="shared" ca="1" si="329"/>
        <v>-</v>
      </c>
      <c r="AF317" s="20" t="str">
        <f t="shared" si="330"/>
        <v>-</v>
      </c>
      <c r="AG317" s="94" t="str">
        <f t="shared" si="331"/>
        <v>---------</v>
      </c>
      <c r="AH317" s="21"/>
      <c r="AI317" s="21" t="str">
        <f t="shared" si="332"/>
        <v>-</v>
      </c>
      <c r="AJ317" s="21" t="str">
        <f t="shared" si="333"/>
        <v>-</v>
      </c>
      <c r="AK317" s="85">
        <v>42919</v>
      </c>
      <c r="AL317" s="21" t="s">
        <v>1614</v>
      </c>
      <c r="AM317" s="80">
        <v>52</v>
      </c>
    </row>
    <row r="318" spans="1:39" s="2" customFormat="1" ht="15.95" customHeight="1" x14ac:dyDescent="0.25">
      <c r="A318" s="77">
        <v>316</v>
      </c>
      <c r="B318" s="84">
        <f t="shared" ca="1" si="290"/>
        <v>43134</v>
      </c>
      <c r="C318" s="29" t="s">
        <v>2546</v>
      </c>
      <c r="D318" s="59" t="s">
        <v>1555</v>
      </c>
      <c r="E318" s="22" t="s">
        <v>1557</v>
      </c>
      <c r="F318" s="27" t="s">
        <v>2907</v>
      </c>
      <c r="G318" s="324"/>
      <c r="H318" s="28" t="s">
        <v>603</v>
      </c>
      <c r="I318" s="20">
        <v>42916</v>
      </c>
      <c r="J318" s="240">
        <f t="shared" ca="1" si="321"/>
        <v>0.59726027397260273</v>
      </c>
      <c r="K318" s="240">
        <f t="shared" ca="1" si="322"/>
        <v>7.2666666666666666</v>
      </c>
      <c r="L318" s="298">
        <f t="shared" ca="1" si="323"/>
        <v>218</v>
      </c>
      <c r="M318" s="60"/>
      <c r="N318" s="32"/>
      <c r="O318" s="82" t="str">
        <f t="shared" ca="1" si="324"/>
        <v>-</v>
      </c>
      <c r="P318" s="19"/>
      <c r="Q318" s="68"/>
      <c r="R318" s="118"/>
      <c r="S318" s="21"/>
      <c r="T318" s="20"/>
      <c r="U318" s="20" t="str">
        <f t="shared" si="325"/>
        <v>-</v>
      </c>
      <c r="V318" s="19" t="str">
        <f t="shared" ca="1" si="326"/>
        <v>-</v>
      </c>
      <c r="W318" s="3"/>
      <c r="X318" s="22" t="str">
        <f t="shared" si="327"/>
        <v>-</v>
      </c>
      <c r="Y318" s="22"/>
      <c r="Z318" s="329" t="str">
        <f t="shared" ca="1" si="319"/>
        <v>-----</v>
      </c>
      <c r="AA318" s="328">
        <f t="shared" ca="1" si="328"/>
        <v>43134</v>
      </c>
      <c r="AB318" s="19"/>
      <c r="AC318" s="331" t="str">
        <f t="shared" ca="1" si="320"/>
        <v>-----</v>
      </c>
      <c r="AD318" s="20"/>
      <c r="AE318" s="22" t="str">
        <f t="shared" ca="1" si="329"/>
        <v>-</v>
      </c>
      <c r="AF318" s="20" t="str">
        <f t="shared" si="330"/>
        <v>-</v>
      </c>
      <c r="AG318" s="94" t="str">
        <f t="shared" si="331"/>
        <v>---------</v>
      </c>
      <c r="AH318" s="21"/>
      <c r="AI318" s="21" t="str">
        <f t="shared" si="332"/>
        <v>-</v>
      </c>
      <c r="AJ318" s="21" t="str">
        <f t="shared" si="333"/>
        <v>-</v>
      </c>
      <c r="AK318" s="85">
        <v>42919</v>
      </c>
      <c r="AL318" s="21" t="s">
        <v>1614</v>
      </c>
      <c r="AM318" s="80">
        <v>47</v>
      </c>
    </row>
    <row r="319" spans="1:39" s="2" customFormat="1" ht="15.95" customHeight="1" x14ac:dyDescent="0.25">
      <c r="A319" s="77">
        <v>317</v>
      </c>
      <c r="B319" s="84">
        <f t="shared" ca="1" si="290"/>
        <v>43134</v>
      </c>
      <c r="C319" s="29" t="s">
        <v>2546</v>
      </c>
      <c r="D319" s="59" t="s">
        <v>1555</v>
      </c>
      <c r="E319" s="22" t="s">
        <v>1557</v>
      </c>
      <c r="F319" s="27" t="s">
        <v>2908</v>
      </c>
      <c r="G319" s="324"/>
      <c r="H319" s="28" t="s">
        <v>603</v>
      </c>
      <c r="I319" s="20">
        <v>42917</v>
      </c>
      <c r="J319" s="35">
        <f t="shared" ca="1" si="321"/>
        <v>0.59452054794520548</v>
      </c>
      <c r="K319" s="35">
        <f t="shared" ca="1" si="322"/>
        <v>7.2333333333333334</v>
      </c>
      <c r="L319" s="299">
        <f t="shared" ca="1" si="323"/>
        <v>217</v>
      </c>
      <c r="M319" s="60"/>
      <c r="N319" s="32"/>
      <c r="O319" s="82" t="str">
        <f t="shared" ca="1" si="324"/>
        <v>-</v>
      </c>
      <c r="P319" s="19"/>
      <c r="Q319" s="68"/>
      <c r="R319" s="118"/>
      <c r="S319" s="21"/>
      <c r="T319" s="20"/>
      <c r="U319" s="20" t="str">
        <f t="shared" si="325"/>
        <v>-</v>
      </c>
      <c r="V319" s="19" t="str">
        <f t="shared" ca="1" si="326"/>
        <v>-</v>
      </c>
      <c r="W319" s="3"/>
      <c r="X319" s="22" t="str">
        <f t="shared" si="327"/>
        <v>-</v>
      </c>
      <c r="Y319" s="22"/>
      <c r="Z319" s="329" t="str">
        <f t="shared" ca="1" si="319"/>
        <v>-----</v>
      </c>
      <c r="AA319" s="328">
        <f t="shared" ca="1" si="328"/>
        <v>43134</v>
      </c>
      <c r="AB319" s="19"/>
      <c r="AC319" s="331" t="str">
        <f t="shared" ca="1" si="320"/>
        <v>-----</v>
      </c>
      <c r="AD319" s="20"/>
      <c r="AE319" s="22" t="str">
        <f t="shared" ca="1" si="329"/>
        <v>-</v>
      </c>
      <c r="AF319" s="20" t="str">
        <f t="shared" si="330"/>
        <v>-</v>
      </c>
      <c r="AG319" s="94" t="str">
        <f t="shared" si="331"/>
        <v>---------</v>
      </c>
      <c r="AH319" s="21"/>
      <c r="AI319" s="21" t="str">
        <f t="shared" si="332"/>
        <v>-</v>
      </c>
      <c r="AJ319" s="21" t="str">
        <f t="shared" si="333"/>
        <v>-</v>
      </c>
      <c r="AK319" s="85">
        <v>42919</v>
      </c>
      <c r="AL319" s="21" t="s">
        <v>1614</v>
      </c>
      <c r="AM319" s="80">
        <v>39</v>
      </c>
    </row>
    <row r="320" spans="1:39" s="1" customFormat="1" ht="15.95" customHeight="1" x14ac:dyDescent="0.25">
      <c r="A320" s="77">
        <v>318</v>
      </c>
      <c r="B320" s="84">
        <f t="shared" ca="1" si="290"/>
        <v>43134</v>
      </c>
      <c r="C320" s="29" t="s">
        <v>2546</v>
      </c>
      <c r="D320" s="59" t="s">
        <v>1555</v>
      </c>
      <c r="E320" s="22" t="s">
        <v>1557</v>
      </c>
      <c r="F320" s="27" t="s">
        <v>2911</v>
      </c>
      <c r="G320" s="324"/>
      <c r="H320" s="28" t="s">
        <v>603</v>
      </c>
      <c r="I320" s="20">
        <v>42917</v>
      </c>
      <c r="J320" s="35">
        <f t="shared" ca="1" si="321"/>
        <v>0.59452054794520548</v>
      </c>
      <c r="K320" s="35">
        <f t="shared" ca="1" si="322"/>
        <v>7.2333333333333334</v>
      </c>
      <c r="L320" s="299">
        <f t="shared" ca="1" si="323"/>
        <v>217</v>
      </c>
      <c r="M320" s="60"/>
      <c r="N320" s="32"/>
      <c r="O320" s="82" t="str">
        <f t="shared" ca="1" si="324"/>
        <v>-</v>
      </c>
      <c r="P320" s="19"/>
      <c r="Q320" s="68"/>
      <c r="R320" s="118"/>
      <c r="S320" s="21"/>
      <c r="T320" s="20"/>
      <c r="U320" s="20" t="str">
        <f t="shared" si="325"/>
        <v>-</v>
      </c>
      <c r="V320" s="19" t="str">
        <f t="shared" ca="1" si="326"/>
        <v>-</v>
      </c>
      <c r="W320" s="3"/>
      <c r="X320" s="22" t="str">
        <f t="shared" si="327"/>
        <v>-</v>
      </c>
      <c r="Y320" s="22"/>
      <c r="Z320" s="329" t="str">
        <f t="shared" ca="1" si="319"/>
        <v>-----</v>
      </c>
      <c r="AA320" s="328">
        <f t="shared" ca="1" si="328"/>
        <v>43134</v>
      </c>
      <c r="AB320" s="19"/>
      <c r="AC320" s="331" t="str">
        <f t="shared" ca="1" si="320"/>
        <v>-----</v>
      </c>
      <c r="AD320" s="20"/>
      <c r="AE320" s="22" t="str">
        <f t="shared" ca="1" si="329"/>
        <v>-</v>
      </c>
      <c r="AF320" s="20" t="str">
        <f t="shared" si="330"/>
        <v>-</v>
      </c>
      <c r="AG320" s="94" t="str">
        <f t="shared" si="331"/>
        <v>---------</v>
      </c>
      <c r="AH320" s="21"/>
      <c r="AI320" s="21" t="str">
        <f t="shared" si="332"/>
        <v>-</v>
      </c>
      <c r="AJ320" s="21" t="str">
        <f t="shared" si="333"/>
        <v>-</v>
      </c>
      <c r="AK320" s="85">
        <v>42919</v>
      </c>
      <c r="AL320" s="21" t="s">
        <v>1614</v>
      </c>
      <c r="AM320" s="80">
        <v>58</v>
      </c>
    </row>
    <row r="321" spans="1:39" s="2" customFormat="1" ht="15.95" customHeight="1" x14ac:dyDescent="0.25">
      <c r="A321" s="77">
        <v>319</v>
      </c>
      <c r="B321" s="84">
        <f t="shared" ca="1" si="290"/>
        <v>43134</v>
      </c>
      <c r="C321" s="29" t="s">
        <v>2546</v>
      </c>
      <c r="D321" s="59" t="s">
        <v>1555</v>
      </c>
      <c r="E321" s="22" t="s">
        <v>1557</v>
      </c>
      <c r="F321" s="27" t="s">
        <v>2912</v>
      </c>
      <c r="G321" s="324"/>
      <c r="H321" s="28" t="s">
        <v>603</v>
      </c>
      <c r="I321" s="20">
        <v>42918</v>
      </c>
      <c r="J321" s="35">
        <f t="shared" ref="J321:J326" ca="1" si="334">(B321-I321)/365</f>
        <v>0.59178082191780823</v>
      </c>
      <c r="K321" s="35">
        <f t="shared" ref="K321:K326" ca="1" si="335">(B321-I321)/30</f>
        <v>7.2</v>
      </c>
      <c r="L321" s="299">
        <f t="shared" ref="L321:L326" ca="1" si="336">B321-I321</f>
        <v>216</v>
      </c>
      <c r="M321" s="60"/>
      <c r="N321" s="32"/>
      <c r="O321" s="82" t="str">
        <f t="shared" ref="O321:O326" ca="1" si="337">IF(AND(B321&gt;0,N321&gt;0),B321-N321,"-")</f>
        <v>-</v>
      </c>
      <c r="P321" s="19"/>
      <c r="Q321" s="68"/>
      <c r="R321" s="118"/>
      <c r="S321" s="21"/>
      <c r="T321" s="20"/>
      <c r="U321" s="20" t="str">
        <f t="shared" ref="U321:U326" si="338">IF(AND(Y321&gt;1,T321&gt;0),T321+18,"-")</f>
        <v>-</v>
      </c>
      <c r="V321" s="19" t="str">
        <f t="shared" ref="V321:V326" ca="1" si="339">IF(AND(U321&gt;0,B321&gt;0,Y321&gt;1),B321-U321,"-")</f>
        <v>-</v>
      </c>
      <c r="W321" s="3"/>
      <c r="X321" s="22" t="str">
        <f t="shared" ref="X321:X326" si="340">IF(AND(N321&gt;0,T321&gt;0),T321-N321,"-")</f>
        <v>-</v>
      </c>
      <c r="Y321" s="22"/>
      <c r="Z321" s="329" t="str">
        <f t="shared" ref="Z321:Z326" ca="1" si="341">IF(AND(Y321=1,AA321&gt;71,OR(ISBLANK(AB321),AB321=2)),"ПОДЛЕЖИТ ПЕРЕПРОВЕРКЕ","-----")</f>
        <v>-----</v>
      </c>
      <c r="AA321" s="328">
        <f t="shared" ref="AA321:AA326" ca="1" si="342">IF(AND(O321&gt;-1,W321&gt;0,Y321=1,AB321=1),"-----",B321-T321)</f>
        <v>43134</v>
      </c>
      <c r="AB321" s="19"/>
      <c r="AC321" s="331" t="str">
        <f t="shared" ref="AC321:AC326" ca="1" si="343">IF(AND(AB321&lt;1,Z321="ПОДЛЕЖИТ ПЕРЕПРОВЕРКЕ",Y321=1),T321+72,"-----")</f>
        <v>-----</v>
      </c>
      <c r="AD321" s="20"/>
      <c r="AE321" s="22" t="str">
        <f t="shared" ref="AE321:AE326" ca="1" si="344">IF(AND(O321&gt;140,Y321=0,N321&gt;0),"яловая","-")</f>
        <v>-</v>
      </c>
      <c r="AF321" s="20" t="str">
        <f t="shared" ref="AF321:AF326" si="345">IF(AND(T321&gt;0,OR(Y321=3,Y321=2)),T321+35,"-")</f>
        <v>-</v>
      </c>
      <c r="AG321" s="94" t="str">
        <f t="shared" ref="AG321:AG326" si="346">IF(AND(T321&gt;0,W321&gt;0,Q321&gt;0,OR(Y321=3,Y321=2)),B321-AF321,"---------")</f>
        <v>---------</v>
      </c>
      <c r="AH321" s="21"/>
      <c r="AI321" s="21" t="str">
        <f t="shared" ref="AI321:AI326" si="347">IF(AND($T321&gt;0,$N321&gt;0,$Y321=1),$T321+280-90,"-")</f>
        <v>-</v>
      </c>
      <c r="AJ321" s="21" t="str">
        <f t="shared" ref="AJ321:AJ326" si="348">IF(AND(T321&gt;0,Y321=1,N321&gt;0),T321+280-60,"-")</f>
        <v>-</v>
      </c>
      <c r="AK321" s="85">
        <v>42920</v>
      </c>
      <c r="AL321" s="21" t="s">
        <v>1614</v>
      </c>
      <c r="AM321" s="80">
        <v>38</v>
      </c>
    </row>
    <row r="322" spans="1:39" s="1" customFormat="1" ht="15.95" customHeight="1" x14ac:dyDescent="0.25">
      <c r="A322" s="77">
        <v>320</v>
      </c>
      <c r="B322" s="84">
        <f t="shared" ca="1" si="290"/>
        <v>43134</v>
      </c>
      <c r="C322" s="29" t="s">
        <v>2546</v>
      </c>
      <c r="D322" s="59" t="s">
        <v>1555</v>
      </c>
      <c r="E322" s="22" t="s">
        <v>1557</v>
      </c>
      <c r="F322" s="27" t="s">
        <v>2913</v>
      </c>
      <c r="G322" s="324"/>
      <c r="H322" s="28" t="s">
        <v>603</v>
      </c>
      <c r="I322" s="20">
        <v>42918</v>
      </c>
      <c r="J322" s="35">
        <f t="shared" ca="1" si="334"/>
        <v>0.59178082191780823</v>
      </c>
      <c r="K322" s="35">
        <f t="shared" ca="1" si="335"/>
        <v>7.2</v>
      </c>
      <c r="L322" s="299">
        <f t="shared" ca="1" si="336"/>
        <v>216</v>
      </c>
      <c r="M322" s="60"/>
      <c r="N322" s="32"/>
      <c r="O322" s="82" t="str">
        <f t="shared" ca="1" si="337"/>
        <v>-</v>
      </c>
      <c r="P322" s="19"/>
      <c r="Q322" s="68"/>
      <c r="R322" s="118"/>
      <c r="S322" s="21"/>
      <c r="T322" s="20"/>
      <c r="U322" s="20" t="str">
        <f t="shared" si="338"/>
        <v>-</v>
      </c>
      <c r="V322" s="19" t="str">
        <f t="shared" ca="1" si="339"/>
        <v>-</v>
      </c>
      <c r="W322" s="3"/>
      <c r="X322" s="22" t="str">
        <f t="shared" si="340"/>
        <v>-</v>
      </c>
      <c r="Y322" s="22"/>
      <c r="Z322" s="329" t="str">
        <f t="shared" ca="1" si="341"/>
        <v>-----</v>
      </c>
      <c r="AA322" s="328">
        <f t="shared" ca="1" si="342"/>
        <v>43134</v>
      </c>
      <c r="AB322" s="19"/>
      <c r="AC322" s="331" t="str">
        <f t="shared" ca="1" si="343"/>
        <v>-----</v>
      </c>
      <c r="AD322" s="20"/>
      <c r="AE322" s="22" t="str">
        <f t="shared" ca="1" si="344"/>
        <v>-</v>
      </c>
      <c r="AF322" s="20" t="str">
        <f t="shared" si="345"/>
        <v>-</v>
      </c>
      <c r="AG322" s="94" t="str">
        <f t="shared" si="346"/>
        <v>---------</v>
      </c>
      <c r="AH322" s="21"/>
      <c r="AI322" s="21" t="str">
        <f t="shared" si="347"/>
        <v>-</v>
      </c>
      <c r="AJ322" s="21" t="str">
        <f t="shared" si="348"/>
        <v>-</v>
      </c>
      <c r="AK322" s="85">
        <v>42920</v>
      </c>
      <c r="AL322" s="21" t="s">
        <v>1614</v>
      </c>
      <c r="AM322" s="80">
        <v>47</v>
      </c>
    </row>
    <row r="323" spans="1:39" s="1" customFormat="1" ht="15.95" customHeight="1" x14ac:dyDescent="0.25">
      <c r="A323" s="77">
        <v>321</v>
      </c>
      <c r="B323" s="84">
        <f t="shared" ref="B323:B362" ca="1" si="349">TODAY()</f>
        <v>43134</v>
      </c>
      <c r="C323" s="29" t="s">
        <v>2546</v>
      </c>
      <c r="D323" s="59" t="s">
        <v>1555</v>
      </c>
      <c r="E323" s="22" t="s">
        <v>1557</v>
      </c>
      <c r="F323" s="27" t="s">
        <v>2914</v>
      </c>
      <c r="G323" s="324"/>
      <c r="H323" s="28" t="s">
        <v>603</v>
      </c>
      <c r="I323" s="20">
        <v>42918</v>
      </c>
      <c r="J323" s="35">
        <f t="shared" ca="1" si="334"/>
        <v>0.59178082191780823</v>
      </c>
      <c r="K323" s="35">
        <f t="shared" ca="1" si="335"/>
        <v>7.2</v>
      </c>
      <c r="L323" s="299">
        <f t="shared" ca="1" si="336"/>
        <v>216</v>
      </c>
      <c r="M323" s="60"/>
      <c r="N323" s="32"/>
      <c r="O323" s="82" t="str">
        <f t="shared" ca="1" si="337"/>
        <v>-</v>
      </c>
      <c r="P323" s="19"/>
      <c r="Q323" s="68"/>
      <c r="R323" s="118"/>
      <c r="S323" s="21"/>
      <c r="T323" s="20"/>
      <c r="U323" s="20" t="str">
        <f t="shared" si="338"/>
        <v>-</v>
      </c>
      <c r="V323" s="19" t="str">
        <f t="shared" ca="1" si="339"/>
        <v>-</v>
      </c>
      <c r="W323" s="3"/>
      <c r="X323" s="22" t="str">
        <f t="shared" si="340"/>
        <v>-</v>
      </c>
      <c r="Y323" s="22"/>
      <c r="Z323" s="329" t="str">
        <f t="shared" ca="1" si="341"/>
        <v>-----</v>
      </c>
      <c r="AA323" s="328">
        <f t="shared" ca="1" si="342"/>
        <v>43134</v>
      </c>
      <c r="AB323" s="19"/>
      <c r="AC323" s="331" t="str">
        <f t="shared" ca="1" si="343"/>
        <v>-----</v>
      </c>
      <c r="AD323" s="20"/>
      <c r="AE323" s="22" t="str">
        <f t="shared" ca="1" si="344"/>
        <v>-</v>
      </c>
      <c r="AF323" s="20" t="str">
        <f t="shared" si="345"/>
        <v>-</v>
      </c>
      <c r="AG323" s="94" t="str">
        <f t="shared" si="346"/>
        <v>---------</v>
      </c>
      <c r="AH323" s="21"/>
      <c r="AI323" s="21" t="str">
        <f t="shared" si="347"/>
        <v>-</v>
      </c>
      <c r="AJ323" s="21" t="str">
        <f t="shared" si="348"/>
        <v>-</v>
      </c>
      <c r="AK323" s="85">
        <v>42922</v>
      </c>
      <c r="AL323" s="21" t="s">
        <v>1614</v>
      </c>
      <c r="AM323" s="80">
        <v>45</v>
      </c>
    </row>
    <row r="324" spans="1:39" s="1" customFormat="1" ht="15.95" customHeight="1" x14ac:dyDescent="0.25">
      <c r="A324" s="77">
        <v>322</v>
      </c>
      <c r="B324" s="84">
        <f t="shared" ca="1" si="349"/>
        <v>43134</v>
      </c>
      <c r="C324" s="29" t="s">
        <v>2546</v>
      </c>
      <c r="D324" s="59" t="s">
        <v>1555</v>
      </c>
      <c r="E324" s="22" t="s">
        <v>1557</v>
      </c>
      <c r="F324" s="27" t="s">
        <v>2916</v>
      </c>
      <c r="G324" s="324"/>
      <c r="H324" s="28" t="s">
        <v>603</v>
      </c>
      <c r="I324" s="20">
        <v>42920</v>
      </c>
      <c r="J324" s="35">
        <f t="shared" ca="1" si="334"/>
        <v>0.58630136986301373</v>
      </c>
      <c r="K324" s="35">
        <f t="shared" ca="1" si="335"/>
        <v>7.1333333333333337</v>
      </c>
      <c r="L324" s="299">
        <f t="shared" ca="1" si="336"/>
        <v>214</v>
      </c>
      <c r="M324" s="60"/>
      <c r="N324" s="32"/>
      <c r="O324" s="82" t="str">
        <f t="shared" ca="1" si="337"/>
        <v>-</v>
      </c>
      <c r="P324" s="19"/>
      <c r="Q324" s="68"/>
      <c r="R324" s="118"/>
      <c r="S324" s="21"/>
      <c r="T324" s="20"/>
      <c r="U324" s="20" t="str">
        <f t="shared" si="338"/>
        <v>-</v>
      </c>
      <c r="V324" s="19" t="str">
        <f t="shared" ca="1" si="339"/>
        <v>-</v>
      </c>
      <c r="W324" s="3"/>
      <c r="X324" s="22" t="str">
        <f t="shared" si="340"/>
        <v>-</v>
      </c>
      <c r="Y324" s="22"/>
      <c r="Z324" s="329" t="str">
        <f t="shared" ca="1" si="341"/>
        <v>-----</v>
      </c>
      <c r="AA324" s="328">
        <f t="shared" ca="1" si="342"/>
        <v>43134</v>
      </c>
      <c r="AB324" s="19"/>
      <c r="AC324" s="331" t="str">
        <f t="shared" ca="1" si="343"/>
        <v>-----</v>
      </c>
      <c r="AD324" s="20"/>
      <c r="AE324" s="22" t="str">
        <f t="shared" ca="1" si="344"/>
        <v>-</v>
      </c>
      <c r="AF324" s="20" t="str">
        <f t="shared" si="345"/>
        <v>-</v>
      </c>
      <c r="AG324" s="94" t="str">
        <f t="shared" si="346"/>
        <v>---------</v>
      </c>
      <c r="AH324" s="21"/>
      <c r="AI324" s="21" t="str">
        <f t="shared" si="347"/>
        <v>-</v>
      </c>
      <c r="AJ324" s="21" t="str">
        <f t="shared" si="348"/>
        <v>-</v>
      </c>
      <c r="AK324" s="85">
        <v>42923</v>
      </c>
      <c r="AL324" s="21" t="s">
        <v>1614</v>
      </c>
      <c r="AM324" s="80">
        <v>46</v>
      </c>
    </row>
    <row r="325" spans="1:39" s="1" customFormat="1" ht="15.95" customHeight="1" x14ac:dyDescent="0.25">
      <c r="A325" s="77">
        <v>323</v>
      </c>
      <c r="B325" s="84">
        <f t="shared" ca="1" si="349"/>
        <v>43134</v>
      </c>
      <c r="C325" s="29" t="s">
        <v>2546</v>
      </c>
      <c r="D325" s="59" t="s">
        <v>1555</v>
      </c>
      <c r="E325" s="22" t="s">
        <v>1557</v>
      </c>
      <c r="F325" s="27" t="s">
        <v>2920</v>
      </c>
      <c r="G325" s="324"/>
      <c r="H325" s="28" t="s">
        <v>603</v>
      </c>
      <c r="I325" s="20">
        <v>42921</v>
      </c>
      <c r="J325" s="240">
        <f t="shared" ca="1" si="334"/>
        <v>0.58356164383561648</v>
      </c>
      <c r="K325" s="240">
        <f t="shared" ca="1" si="335"/>
        <v>7.1</v>
      </c>
      <c r="L325" s="298">
        <f t="shared" ca="1" si="336"/>
        <v>213</v>
      </c>
      <c r="M325" s="60"/>
      <c r="N325" s="32"/>
      <c r="O325" s="82" t="str">
        <f t="shared" ca="1" si="337"/>
        <v>-</v>
      </c>
      <c r="P325" s="19"/>
      <c r="Q325" s="68"/>
      <c r="R325" s="118"/>
      <c r="S325" s="21"/>
      <c r="T325" s="20"/>
      <c r="U325" s="20" t="str">
        <f t="shared" si="338"/>
        <v>-</v>
      </c>
      <c r="V325" s="19" t="str">
        <f t="shared" ca="1" si="339"/>
        <v>-</v>
      </c>
      <c r="W325" s="3"/>
      <c r="X325" s="22" t="str">
        <f t="shared" si="340"/>
        <v>-</v>
      </c>
      <c r="Y325" s="22"/>
      <c r="Z325" s="329" t="str">
        <f t="shared" ca="1" si="341"/>
        <v>-----</v>
      </c>
      <c r="AA325" s="328">
        <f t="shared" ca="1" si="342"/>
        <v>43134</v>
      </c>
      <c r="AB325" s="19"/>
      <c r="AC325" s="331" t="str">
        <f t="shared" ca="1" si="343"/>
        <v>-----</v>
      </c>
      <c r="AD325" s="20"/>
      <c r="AE325" s="22" t="str">
        <f t="shared" ca="1" si="344"/>
        <v>-</v>
      </c>
      <c r="AF325" s="20" t="str">
        <f t="shared" si="345"/>
        <v>-</v>
      </c>
      <c r="AG325" s="94" t="str">
        <f t="shared" si="346"/>
        <v>---------</v>
      </c>
      <c r="AH325" s="21"/>
      <c r="AI325" s="21" t="str">
        <f t="shared" si="347"/>
        <v>-</v>
      </c>
      <c r="AJ325" s="21" t="str">
        <f t="shared" si="348"/>
        <v>-</v>
      </c>
      <c r="AK325" s="85">
        <v>42926</v>
      </c>
      <c r="AL325" s="21" t="s">
        <v>1614</v>
      </c>
      <c r="AM325" s="80">
        <v>43</v>
      </c>
    </row>
    <row r="326" spans="1:39" s="1" customFormat="1" ht="15.95" customHeight="1" x14ac:dyDescent="0.25">
      <c r="A326" s="77">
        <v>324</v>
      </c>
      <c r="B326" s="84">
        <f t="shared" ca="1" si="349"/>
        <v>43134</v>
      </c>
      <c r="C326" s="29" t="s">
        <v>2546</v>
      </c>
      <c r="D326" s="59" t="s">
        <v>1555</v>
      </c>
      <c r="E326" s="22" t="s">
        <v>1557</v>
      </c>
      <c r="F326" s="27" t="s">
        <v>2921</v>
      </c>
      <c r="G326" s="324"/>
      <c r="H326" s="28" t="s">
        <v>603</v>
      </c>
      <c r="I326" s="20">
        <v>42922</v>
      </c>
      <c r="J326" s="240">
        <f t="shared" ca="1" si="334"/>
        <v>0.58082191780821912</v>
      </c>
      <c r="K326" s="240">
        <f t="shared" ca="1" si="335"/>
        <v>7.0666666666666664</v>
      </c>
      <c r="L326" s="298">
        <f t="shared" ca="1" si="336"/>
        <v>212</v>
      </c>
      <c r="M326" s="60"/>
      <c r="N326" s="32"/>
      <c r="O326" s="82" t="str">
        <f t="shared" ca="1" si="337"/>
        <v>-</v>
      </c>
      <c r="P326" s="19"/>
      <c r="Q326" s="68"/>
      <c r="R326" s="118"/>
      <c r="S326" s="21"/>
      <c r="T326" s="20"/>
      <c r="U326" s="20" t="str">
        <f t="shared" si="338"/>
        <v>-</v>
      </c>
      <c r="V326" s="19" t="str">
        <f t="shared" ca="1" si="339"/>
        <v>-</v>
      </c>
      <c r="W326" s="3"/>
      <c r="X326" s="22" t="str">
        <f t="shared" si="340"/>
        <v>-</v>
      </c>
      <c r="Y326" s="22"/>
      <c r="Z326" s="329" t="str">
        <f t="shared" ca="1" si="341"/>
        <v>-----</v>
      </c>
      <c r="AA326" s="328">
        <f t="shared" ca="1" si="342"/>
        <v>43134</v>
      </c>
      <c r="AB326" s="19"/>
      <c r="AC326" s="331" t="str">
        <f t="shared" ca="1" si="343"/>
        <v>-----</v>
      </c>
      <c r="AD326" s="20"/>
      <c r="AE326" s="22" t="str">
        <f t="shared" ca="1" si="344"/>
        <v>-</v>
      </c>
      <c r="AF326" s="20" t="str">
        <f t="shared" si="345"/>
        <v>-</v>
      </c>
      <c r="AG326" s="94" t="str">
        <f t="shared" si="346"/>
        <v>---------</v>
      </c>
      <c r="AH326" s="21"/>
      <c r="AI326" s="21" t="str">
        <f t="shared" si="347"/>
        <v>-</v>
      </c>
      <c r="AJ326" s="21" t="str">
        <f t="shared" si="348"/>
        <v>-</v>
      </c>
      <c r="AK326" s="85">
        <v>42926</v>
      </c>
      <c r="AL326" s="21" t="s">
        <v>1614</v>
      </c>
      <c r="AM326" s="80">
        <v>38</v>
      </c>
    </row>
    <row r="327" spans="1:39" s="1" customFormat="1" ht="15.95" customHeight="1" x14ac:dyDescent="0.25">
      <c r="A327" s="77">
        <v>325</v>
      </c>
      <c r="B327" s="84">
        <f t="shared" ca="1" si="349"/>
        <v>43134</v>
      </c>
      <c r="C327" s="29" t="s">
        <v>2546</v>
      </c>
      <c r="D327" s="59" t="s">
        <v>1555</v>
      </c>
      <c r="E327" s="22" t="s">
        <v>1557</v>
      </c>
      <c r="F327" s="27" t="s">
        <v>2928</v>
      </c>
      <c r="G327" s="324"/>
      <c r="H327" s="28" t="s">
        <v>603</v>
      </c>
      <c r="I327" s="20">
        <v>42923</v>
      </c>
      <c r="J327" s="240">
        <f t="shared" ref="J327:J332" ca="1" si="350">(B327-I327)/365</f>
        <v>0.57808219178082187</v>
      </c>
      <c r="K327" s="240">
        <f t="shared" ref="K327:K332" ca="1" si="351">(B327-I327)/30</f>
        <v>7.0333333333333332</v>
      </c>
      <c r="L327" s="298">
        <f t="shared" ref="L327:L332" ca="1" si="352">B327-I327</f>
        <v>211</v>
      </c>
      <c r="M327" s="60"/>
      <c r="N327" s="32"/>
      <c r="O327" s="82" t="str">
        <f t="shared" ref="O327:O332" ca="1" si="353">IF(AND(B327&gt;0,N327&gt;0),B327-N327,"-")</f>
        <v>-</v>
      </c>
      <c r="P327" s="19"/>
      <c r="Q327" s="68"/>
      <c r="R327" s="118"/>
      <c r="S327" s="21"/>
      <c r="T327" s="20"/>
      <c r="U327" s="20" t="str">
        <f t="shared" ref="U327:U332" si="354">IF(AND(Y327&gt;1,T327&gt;0),T327+18,"-")</f>
        <v>-</v>
      </c>
      <c r="V327" s="19" t="str">
        <f t="shared" ref="V327:V332" ca="1" si="355">IF(AND(U327&gt;0,B327&gt;0,Y327&gt;1),B327-U327,"-")</f>
        <v>-</v>
      </c>
      <c r="W327" s="3"/>
      <c r="X327" s="22" t="str">
        <f t="shared" ref="X327:X332" si="356">IF(AND(N327&gt;0,T327&gt;0),T327-N327,"-")</f>
        <v>-</v>
      </c>
      <c r="Y327" s="22"/>
      <c r="Z327" s="329" t="str">
        <f t="shared" ref="Z327:Z332" ca="1" si="357">IF(AND(Y327=1,AA327&gt;71,OR(ISBLANK(AB327),AB327=2)),"ПОДЛЕЖИТ ПЕРЕПРОВЕРКЕ","-----")</f>
        <v>-----</v>
      </c>
      <c r="AA327" s="328">
        <f t="shared" ref="AA327:AA332" ca="1" si="358">IF(AND(O327&gt;-1,W327&gt;0,Y327=1,AB327=1),"-----",B327-T327)</f>
        <v>43134</v>
      </c>
      <c r="AB327" s="19"/>
      <c r="AC327" s="331" t="str">
        <f t="shared" ref="AC327:AC332" ca="1" si="359">IF(AND(AB327&lt;1,Z327="ПОДЛЕЖИТ ПЕРЕПРОВЕРКЕ",Y327=1),T327+72,"-----")</f>
        <v>-----</v>
      </c>
      <c r="AD327" s="20"/>
      <c r="AE327" s="22" t="str">
        <f t="shared" ref="AE327:AE332" ca="1" si="360">IF(AND(O327&gt;140,Y327=0,N327&gt;0),"яловая","-")</f>
        <v>-</v>
      </c>
      <c r="AF327" s="20" t="str">
        <f t="shared" ref="AF327:AF332" si="361">IF(AND(T327&gt;0,OR(Y327=3,Y327=2)),T327+35,"-")</f>
        <v>-</v>
      </c>
      <c r="AG327" s="94" t="str">
        <f t="shared" ref="AG327:AG332" si="362">IF(AND(T327&gt;0,W327&gt;0,Q327&gt;0,OR(Y327=3,Y327=2)),B327-AF327,"---------")</f>
        <v>---------</v>
      </c>
      <c r="AH327" s="21"/>
      <c r="AI327" s="21" t="str">
        <f t="shared" ref="AI327:AI332" si="363">IF(AND($T327&gt;0,$N327&gt;0,$Y327=1),$T327+280-90,"-")</f>
        <v>-</v>
      </c>
      <c r="AJ327" s="21" t="str">
        <f t="shared" ref="AJ327:AJ332" si="364">IF(AND(T327&gt;0,Y327=1,N327&gt;0),T327+280-60,"-")</f>
        <v>-</v>
      </c>
      <c r="AK327" s="85">
        <v>42927</v>
      </c>
      <c r="AL327" s="21" t="s">
        <v>1614</v>
      </c>
      <c r="AM327" s="80">
        <v>40</v>
      </c>
    </row>
    <row r="328" spans="1:39" s="1" customFormat="1" ht="15.95" customHeight="1" x14ac:dyDescent="0.25">
      <c r="A328" s="77">
        <v>326</v>
      </c>
      <c r="B328" s="84">
        <f t="shared" ca="1" si="349"/>
        <v>43134</v>
      </c>
      <c r="C328" s="29" t="s">
        <v>2546</v>
      </c>
      <c r="D328" s="59" t="s">
        <v>1555</v>
      </c>
      <c r="E328" s="22" t="s">
        <v>1557</v>
      </c>
      <c r="F328" s="27" t="s">
        <v>2922</v>
      </c>
      <c r="G328" s="324"/>
      <c r="H328" s="28" t="s">
        <v>603</v>
      </c>
      <c r="I328" s="20">
        <v>42922</v>
      </c>
      <c r="J328" s="240">
        <f t="shared" ca="1" si="350"/>
        <v>0.58082191780821912</v>
      </c>
      <c r="K328" s="240">
        <f t="shared" ca="1" si="351"/>
        <v>7.0666666666666664</v>
      </c>
      <c r="L328" s="298">
        <f t="shared" ca="1" si="352"/>
        <v>212</v>
      </c>
      <c r="M328" s="60"/>
      <c r="N328" s="32"/>
      <c r="O328" s="82" t="str">
        <f t="shared" ca="1" si="353"/>
        <v>-</v>
      </c>
      <c r="P328" s="19"/>
      <c r="Q328" s="68"/>
      <c r="R328" s="118"/>
      <c r="S328" s="21"/>
      <c r="T328" s="20"/>
      <c r="U328" s="20" t="str">
        <f t="shared" si="354"/>
        <v>-</v>
      </c>
      <c r="V328" s="19" t="str">
        <f t="shared" ca="1" si="355"/>
        <v>-</v>
      </c>
      <c r="W328" s="3"/>
      <c r="X328" s="22" t="str">
        <f t="shared" si="356"/>
        <v>-</v>
      </c>
      <c r="Y328" s="22"/>
      <c r="Z328" s="329" t="str">
        <f t="shared" ca="1" si="357"/>
        <v>-----</v>
      </c>
      <c r="AA328" s="328">
        <f t="shared" ca="1" si="358"/>
        <v>43134</v>
      </c>
      <c r="AB328" s="19"/>
      <c r="AC328" s="331" t="str">
        <f t="shared" ca="1" si="359"/>
        <v>-----</v>
      </c>
      <c r="AD328" s="20"/>
      <c r="AE328" s="22" t="str">
        <f t="shared" ca="1" si="360"/>
        <v>-</v>
      </c>
      <c r="AF328" s="20" t="str">
        <f t="shared" si="361"/>
        <v>-</v>
      </c>
      <c r="AG328" s="94" t="str">
        <f t="shared" si="362"/>
        <v>---------</v>
      </c>
      <c r="AH328" s="21"/>
      <c r="AI328" s="21" t="str">
        <f t="shared" si="363"/>
        <v>-</v>
      </c>
      <c r="AJ328" s="21" t="str">
        <f t="shared" si="364"/>
        <v>-</v>
      </c>
      <c r="AK328" s="85">
        <v>42928</v>
      </c>
      <c r="AL328" s="21" t="s">
        <v>1614</v>
      </c>
      <c r="AM328" s="80">
        <v>47</v>
      </c>
    </row>
    <row r="329" spans="1:39" s="1" customFormat="1" ht="15.95" customHeight="1" x14ac:dyDescent="0.25">
      <c r="A329" s="77">
        <v>327</v>
      </c>
      <c r="B329" s="84">
        <f t="shared" ca="1" si="349"/>
        <v>43134</v>
      </c>
      <c r="C329" s="29" t="s">
        <v>2546</v>
      </c>
      <c r="D329" s="59" t="s">
        <v>1555</v>
      </c>
      <c r="E329" s="22" t="s">
        <v>1557</v>
      </c>
      <c r="F329" s="27" t="s">
        <v>2923</v>
      </c>
      <c r="G329" s="324"/>
      <c r="H329" s="28" t="s">
        <v>603</v>
      </c>
      <c r="I329" s="20">
        <v>42922</v>
      </c>
      <c r="J329" s="240">
        <f t="shared" ca="1" si="350"/>
        <v>0.58082191780821912</v>
      </c>
      <c r="K329" s="240">
        <f t="shared" ca="1" si="351"/>
        <v>7.0666666666666664</v>
      </c>
      <c r="L329" s="298">
        <f t="shared" ca="1" si="352"/>
        <v>212</v>
      </c>
      <c r="M329" s="60"/>
      <c r="N329" s="32"/>
      <c r="O329" s="82" t="str">
        <f t="shared" ca="1" si="353"/>
        <v>-</v>
      </c>
      <c r="P329" s="19"/>
      <c r="Q329" s="68"/>
      <c r="R329" s="118"/>
      <c r="S329" s="21"/>
      <c r="T329" s="20"/>
      <c r="U329" s="20" t="str">
        <f t="shared" si="354"/>
        <v>-</v>
      </c>
      <c r="V329" s="19" t="str">
        <f t="shared" ca="1" si="355"/>
        <v>-</v>
      </c>
      <c r="W329" s="3"/>
      <c r="X329" s="22" t="str">
        <f t="shared" si="356"/>
        <v>-</v>
      </c>
      <c r="Y329" s="22"/>
      <c r="Z329" s="329" t="str">
        <f t="shared" ca="1" si="357"/>
        <v>-----</v>
      </c>
      <c r="AA329" s="328">
        <f t="shared" ca="1" si="358"/>
        <v>43134</v>
      </c>
      <c r="AB329" s="19"/>
      <c r="AC329" s="331" t="str">
        <f t="shared" ca="1" si="359"/>
        <v>-----</v>
      </c>
      <c r="AD329" s="20"/>
      <c r="AE329" s="22" t="str">
        <f t="shared" ca="1" si="360"/>
        <v>-</v>
      </c>
      <c r="AF329" s="20" t="str">
        <f t="shared" si="361"/>
        <v>-</v>
      </c>
      <c r="AG329" s="94" t="str">
        <f t="shared" si="362"/>
        <v>---------</v>
      </c>
      <c r="AH329" s="21"/>
      <c r="AI329" s="21" t="str">
        <f t="shared" si="363"/>
        <v>-</v>
      </c>
      <c r="AJ329" s="21" t="str">
        <f t="shared" si="364"/>
        <v>-</v>
      </c>
      <c r="AK329" s="85">
        <v>42928</v>
      </c>
      <c r="AL329" s="21" t="s">
        <v>1614</v>
      </c>
      <c r="AM329" s="80">
        <v>50</v>
      </c>
    </row>
    <row r="330" spans="1:39" s="1" customFormat="1" ht="15.95" customHeight="1" x14ac:dyDescent="0.25">
      <c r="A330" s="77">
        <v>328</v>
      </c>
      <c r="B330" s="84">
        <f t="shared" ca="1" si="349"/>
        <v>43134</v>
      </c>
      <c r="C330" s="29" t="s">
        <v>2546</v>
      </c>
      <c r="D330" s="59" t="s">
        <v>1555</v>
      </c>
      <c r="E330" s="22" t="s">
        <v>1557</v>
      </c>
      <c r="F330" s="27" t="s">
        <v>2933</v>
      </c>
      <c r="G330" s="324"/>
      <c r="H330" s="28" t="s">
        <v>603</v>
      </c>
      <c r="I330" s="20">
        <v>42926</v>
      </c>
      <c r="J330" s="35">
        <f t="shared" ca="1" si="350"/>
        <v>0.56986301369863013</v>
      </c>
      <c r="K330" s="35">
        <f t="shared" ca="1" si="351"/>
        <v>6.9333333333333336</v>
      </c>
      <c r="L330" s="299">
        <f t="shared" ca="1" si="352"/>
        <v>208</v>
      </c>
      <c r="M330" s="60"/>
      <c r="N330" s="32"/>
      <c r="O330" s="82" t="str">
        <f t="shared" ca="1" si="353"/>
        <v>-</v>
      </c>
      <c r="P330" s="19"/>
      <c r="Q330" s="68"/>
      <c r="R330" s="118"/>
      <c r="S330" s="21"/>
      <c r="T330" s="20"/>
      <c r="U330" s="20" t="str">
        <f t="shared" si="354"/>
        <v>-</v>
      </c>
      <c r="V330" s="19" t="str">
        <f t="shared" ca="1" si="355"/>
        <v>-</v>
      </c>
      <c r="W330" s="3"/>
      <c r="X330" s="22" t="str">
        <f t="shared" si="356"/>
        <v>-</v>
      </c>
      <c r="Y330" s="22"/>
      <c r="Z330" s="329" t="str">
        <f t="shared" ca="1" si="357"/>
        <v>-----</v>
      </c>
      <c r="AA330" s="328">
        <f t="shared" ca="1" si="358"/>
        <v>43134</v>
      </c>
      <c r="AB330" s="19"/>
      <c r="AC330" s="331" t="str">
        <f t="shared" ca="1" si="359"/>
        <v>-----</v>
      </c>
      <c r="AD330" s="20"/>
      <c r="AE330" s="22" t="str">
        <f t="shared" ca="1" si="360"/>
        <v>-</v>
      </c>
      <c r="AF330" s="20" t="str">
        <f t="shared" si="361"/>
        <v>-</v>
      </c>
      <c r="AG330" s="94" t="str">
        <f t="shared" si="362"/>
        <v>---------</v>
      </c>
      <c r="AH330" s="21"/>
      <c r="AI330" s="21" t="str">
        <f t="shared" si="363"/>
        <v>-</v>
      </c>
      <c r="AJ330" s="21" t="str">
        <f t="shared" si="364"/>
        <v>-</v>
      </c>
      <c r="AK330" s="85">
        <v>42928</v>
      </c>
      <c r="AL330" s="21" t="s">
        <v>1614</v>
      </c>
      <c r="AM330" s="80">
        <v>45</v>
      </c>
    </row>
    <row r="331" spans="1:39" s="1" customFormat="1" ht="15.95" customHeight="1" x14ac:dyDescent="0.25">
      <c r="A331" s="77">
        <v>329</v>
      </c>
      <c r="B331" s="84">
        <f t="shared" ca="1" si="349"/>
        <v>43134</v>
      </c>
      <c r="C331" s="29" t="s">
        <v>2546</v>
      </c>
      <c r="D331" s="59" t="s">
        <v>1555</v>
      </c>
      <c r="E331" s="22" t="s">
        <v>1557</v>
      </c>
      <c r="F331" s="27" t="s">
        <v>2934</v>
      </c>
      <c r="G331" s="324"/>
      <c r="H331" s="28" t="s">
        <v>603</v>
      </c>
      <c r="I331" s="20">
        <v>42926</v>
      </c>
      <c r="J331" s="35">
        <f t="shared" ca="1" si="350"/>
        <v>0.56986301369863013</v>
      </c>
      <c r="K331" s="35">
        <f t="shared" ca="1" si="351"/>
        <v>6.9333333333333336</v>
      </c>
      <c r="L331" s="299">
        <f t="shared" ca="1" si="352"/>
        <v>208</v>
      </c>
      <c r="M331" s="60"/>
      <c r="N331" s="32"/>
      <c r="O331" s="82" t="str">
        <f t="shared" ca="1" si="353"/>
        <v>-</v>
      </c>
      <c r="P331" s="19"/>
      <c r="Q331" s="68"/>
      <c r="R331" s="118"/>
      <c r="S331" s="21"/>
      <c r="T331" s="20"/>
      <c r="U331" s="20" t="str">
        <f t="shared" si="354"/>
        <v>-</v>
      </c>
      <c r="V331" s="19" t="str">
        <f t="shared" ca="1" si="355"/>
        <v>-</v>
      </c>
      <c r="W331" s="3"/>
      <c r="X331" s="22" t="str">
        <f t="shared" si="356"/>
        <v>-</v>
      </c>
      <c r="Y331" s="22"/>
      <c r="Z331" s="329" t="str">
        <f t="shared" ca="1" si="357"/>
        <v>-----</v>
      </c>
      <c r="AA331" s="328">
        <f t="shared" ca="1" si="358"/>
        <v>43134</v>
      </c>
      <c r="AB331" s="19"/>
      <c r="AC331" s="331" t="str">
        <f t="shared" ca="1" si="359"/>
        <v>-----</v>
      </c>
      <c r="AD331" s="20"/>
      <c r="AE331" s="22" t="str">
        <f t="shared" ca="1" si="360"/>
        <v>-</v>
      </c>
      <c r="AF331" s="20" t="str">
        <f t="shared" si="361"/>
        <v>-</v>
      </c>
      <c r="AG331" s="94" t="str">
        <f t="shared" si="362"/>
        <v>---------</v>
      </c>
      <c r="AH331" s="21"/>
      <c r="AI331" s="21" t="str">
        <f t="shared" si="363"/>
        <v>-</v>
      </c>
      <c r="AJ331" s="21" t="str">
        <f t="shared" si="364"/>
        <v>-</v>
      </c>
      <c r="AK331" s="85">
        <v>42928</v>
      </c>
      <c r="AL331" s="21" t="s">
        <v>1614</v>
      </c>
      <c r="AM331" s="80">
        <v>45</v>
      </c>
    </row>
    <row r="332" spans="1:39" s="1" customFormat="1" ht="15.95" customHeight="1" x14ac:dyDescent="0.25">
      <c r="A332" s="77">
        <v>330</v>
      </c>
      <c r="B332" s="84">
        <f t="shared" ca="1" si="349"/>
        <v>43134</v>
      </c>
      <c r="C332" s="29" t="s">
        <v>2585</v>
      </c>
      <c r="D332" s="59" t="s">
        <v>2586</v>
      </c>
      <c r="E332" s="356" t="s">
        <v>1563</v>
      </c>
      <c r="F332" s="357" t="s">
        <v>2424</v>
      </c>
      <c r="G332" s="324"/>
      <c r="H332" s="28" t="s">
        <v>603</v>
      </c>
      <c r="I332" s="20">
        <v>42785</v>
      </c>
      <c r="J332" s="240">
        <f t="shared" ca="1" si="350"/>
        <v>0.95616438356164379</v>
      </c>
      <c r="K332" s="240">
        <f t="shared" ca="1" si="351"/>
        <v>11.633333333333333</v>
      </c>
      <c r="L332" s="298">
        <f t="shared" ca="1" si="352"/>
        <v>349</v>
      </c>
      <c r="M332" s="60"/>
      <c r="N332" s="32"/>
      <c r="O332" s="82" t="str">
        <f t="shared" ca="1" si="353"/>
        <v>-</v>
      </c>
      <c r="P332" s="19"/>
      <c r="Q332" s="68"/>
      <c r="R332" s="118"/>
      <c r="S332" s="21"/>
      <c r="T332" s="20"/>
      <c r="U332" s="20" t="str">
        <f t="shared" si="354"/>
        <v>-</v>
      </c>
      <c r="V332" s="19" t="str">
        <f t="shared" ca="1" si="355"/>
        <v>-</v>
      </c>
      <c r="W332" s="3">
        <v>0</v>
      </c>
      <c r="X332" s="22" t="str">
        <f t="shared" si="356"/>
        <v>-</v>
      </c>
      <c r="Y332" s="22">
        <v>0</v>
      </c>
      <c r="Z332" s="329" t="str">
        <f t="shared" ca="1" si="357"/>
        <v>-----</v>
      </c>
      <c r="AA332" s="328">
        <f t="shared" ca="1" si="358"/>
        <v>43134</v>
      </c>
      <c r="AB332" s="19"/>
      <c r="AC332" s="331" t="str">
        <f t="shared" ca="1" si="359"/>
        <v>-----</v>
      </c>
      <c r="AD332" s="20"/>
      <c r="AE332" s="22" t="str">
        <f t="shared" ca="1" si="360"/>
        <v>-</v>
      </c>
      <c r="AF332" s="20" t="str">
        <f t="shared" si="361"/>
        <v>-</v>
      </c>
      <c r="AG332" s="94" t="str">
        <f t="shared" si="362"/>
        <v>---------</v>
      </c>
      <c r="AH332" s="21"/>
      <c r="AI332" s="21" t="str">
        <f t="shared" si="363"/>
        <v>-</v>
      </c>
      <c r="AJ332" s="21" t="str">
        <f t="shared" si="364"/>
        <v>-</v>
      </c>
      <c r="AK332" s="85">
        <v>42933</v>
      </c>
      <c r="AL332" s="21" t="s">
        <v>2953</v>
      </c>
      <c r="AM332" s="80"/>
    </row>
    <row r="333" spans="1:39" s="1" customFormat="1" ht="15.95" customHeight="1" x14ac:dyDescent="0.25">
      <c r="A333" s="77">
        <v>331</v>
      </c>
      <c r="B333" s="84">
        <f t="shared" ca="1" si="349"/>
        <v>43134</v>
      </c>
      <c r="C333" s="29" t="s">
        <v>2546</v>
      </c>
      <c r="D333" s="59" t="s">
        <v>1555</v>
      </c>
      <c r="E333" s="22" t="s">
        <v>1557</v>
      </c>
      <c r="F333" s="27" t="s">
        <v>2936</v>
      </c>
      <c r="G333" s="324"/>
      <c r="H333" s="28" t="s">
        <v>603</v>
      </c>
      <c r="I333" s="20">
        <v>42928</v>
      </c>
      <c r="J333" s="240">
        <f t="shared" ref="J333:J338" ca="1" si="365">(B333-I333)/365</f>
        <v>0.56438356164383563</v>
      </c>
      <c r="K333" s="240">
        <f t="shared" ref="K333:K338" ca="1" si="366">(B333-I333)/30</f>
        <v>6.8666666666666663</v>
      </c>
      <c r="L333" s="298">
        <f t="shared" ref="L333:L338" ca="1" si="367">B333-I333</f>
        <v>206</v>
      </c>
      <c r="M333" s="60"/>
      <c r="N333" s="32"/>
      <c r="O333" s="82" t="str">
        <f t="shared" ref="O333:O338" ca="1" si="368">IF(AND(B333&gt;0,N333&gt;0),B333-N333,"-")</f>
        <v>-</v>
      </c>
      <c r="P333" s="19"/>
      <c r="Q333" s="68"/>
      <c r="R333" s="118"/>
      <c r="S333" s="21"/>
      <c r="T333" s="20"/>
      <c r="U333" s="20" t="str">
        <f t="shared" ref="U333:U338" si="369">IF(AND(Y333&gt;1,T333&gt;0),T333+18,"-")</f>
        <v>-</v>
      </c>
      <c r="V333" s="19" t="str">
        <f t="shared" ref="V333:V338" ca="1" si="370">IF(AND(U333&gt;0,B333&gt;0,Y333&gt;1),B333-U333,"-")</f>
        <v>-</v>
      </c>
      <c r="W333" s="3">
        <v>0</v>
      </c>
      <c r="X333" s="22" t="str">
        <f t="shared" ref="X333:X338" si="371">IF(AND(N333&gt;0,T333&gt;0),T333-N333,"-")</f>
        <v>-</v>
      </c>
      <c r="Y333" s="22">
        <v>0</v>
      </c>
      <c r="Z333" s="329" t="str">
        <f t="shared" ref="Z333:Z338" ca="1" si="372">IF(AND(Y333=1,AA333&gt;71,OR(ISBLANK(AB333),AB333=2)),"ПОДЛЕЖИТ ПЕРЕПРОВЕРКЕ","-----")</f>
        <v>-----</v>
      </c>
      <c r="AA333" s="328">
        <f t="shared" ref="AA333:AA338" ca="1" si="373">IF(AND(O333&gt;-1,W333&gt;0,Y333=1,AB333=1),"-----",B333-T333)</f>
        <v>43134</v>
      </c>
      <c r="AB333" s="19"/>
      <c r="AC333" s="331" t="str">
        <f t="shared" ref="AC333:AC338" ca="1" si="374">IF(AND(AB333&lt;1,Z333="ПОДЛЕЖИТ ПЕРЕПРОВЕРКЕ",Y333=1),T333+72,"-----")</f>
        <v>-----</v>
      </c>
      <c r="AD333" s="20"/>
      <c r="AE333" s="22" t="str">
        <f t="shared" ref="AE333:AE338" ca="1" si="375">IF(AND(O333&gt;140,Y333=0,N333&gt;0),"яловая","-")</f>
        <v>-</v>
      </c>
      <c r="AF333" s="20" t="str">
        <f t="shared" ref="AF333:AF338" si="376">IF(AND(T333&gt;0,OR(Y333=3,Y333=2)),T333+35,"-")</f>
        <v>-</v>
      </c>
      <c r="AG333" s="94" t="str">
        <f t="shared" ref="AG333:AG338" si="377">IF(AND(T333&gt;0,W333&gt;0,Q333&gt;0,OR(Y333=3,Y333=2)),B333-AF333,"---------")</f>
        <v>---------</v>
      </c>
      <c r="AH333" s="21"/>
      <c r="AI333" s="21" t="str">
        <f t="shared" ref="AI333:AI338" si="378">IF(AND($T333&gt;0,$N333&gt;0,$Y333=1),$T333+280-90,"-")</f>
        <v>-</v>
      </c>
      <c r="AJ333" s="21" t="str">
        <f t="shared" ref="AJ333:AJ338" si="379">IF(AND(T333&gt;0,Y333=1,N333&gt;0),T333+280-60,"-")</f>
        <v>-</v>
      </c>
      <c r="AK333" s="85">
        <v>42935</v>
      </c>
      <c r="AL333" s="21" t="s">
        <v>1614</v>
      </c>
      <c r="AM333" s="80">
        <v>47</v>
      </c>
    </row>
    <row r="334" spans="1:39" s="1" customFormat="1" ht="15.95" customHeight="1" x14ac:dyDescent="0.25">
      <c r="A334" s="77">
        <v>332</v>
      </c>
      <c r="B334" s="84">
        <f t="shared" ca="1" si="349"/>
        <v>43134</v>
      </c>
      <c r="C334" s="29" t="s">
        <v>2546</v>
      </c>
      <c r="D334" s="59" t="s">
        <v>1555</v>
      </c>
      <c r="E334" s="22" t="s">
        <v>1557</v>
      </c>
      <c r="F334" s="27" t="s">
        <v>2940</v>
      </c>
      <c r="G334" s="324"/>
      <c r="H334" s="28" t="s">
        <v>603</v>
      </c>
      <c r="I334" s="20">
        <v>42930</v>
      </c>
      <c r="J334" s="240">
        <f t="shared" ca="1" si="365"/>
        <v>0.55890410958904113</v>
      </c>
      <c r="K334" s="240">
        <f t="shared" ca="1" si="366"/>
        <v>6.8</v>
      </c>
      <c r="L334" s="298">
        <f t="shared" ca="1" si="367"/>
        <v>204</v>
      </c>
      <c r="M334" s="60"/>
      <c r="N334" s="32"/>
      <c r="O334" s="82" t="str">
        <f t="shared" ca="1" si="368"/>
        <v>-</v>
      </c>
      <c r="P334" s="19"/>
      <c r="Q334" s="68"/>
      <c r="R334" s="118"/>
      <c r="S334" s="21"/>
      <c r="T334" s="20"/>
      <c r="U334" s="20" t="str">
        <f t="shared" si="369"/>
        <v>-</v>
      </c>
      <c r="V334" s="19" t="str">
        <f t="shared" ca="1" si="370"/>
        <v>-</v>
      </c>
      <c r="W334" s="3">
        <v>0</v>
      </c>
      <c r="X334" s="22" t="str">
        <f t="shared" si="371"/>
        <v>-</v>
      </c>
      <c r="Y334" s="22">
        <v>0</v>
      </c>
      <c r="Z334" s="329" t="str">
        <f t="shared" ca="1" si="372"/>
        <v>-----</v>
      </c>
      <c r="AA334" s="328">
        <f t="shared" ca="1" si="373"/>
        <v>43134</v>
      </c>
      <c r="AB334" s="19"/>
      <c r="AC334" s="331" t="str">
        <f t="shared" ca="1" si="374"/>
        <v>-----</v>
      </c>
      <c r="AD334" s="20"/>
      <c r="AE334" s="22" t="str">
        <f t="shared" ca="1" si="375"/>
        <v>-</v>
      </c>
      <c r="AF334" s="20" t="str">
        <f t="shared" si="376"/>
        <v>-</v>
      </c>
      <c r="AG334" s="94" t="str">
        <f t="shared" si="377"/>
        <v>---------</v>
      </c>
      <c r="AH334" s="21"/>
      <c r="AI334" s="21" t="str">
        <f t="shared" si="378"/>
        <v>-</v>
      </c>
      <c r="AJ334" s="21" t="str">
        <f t="shared" si="379"/>
        <v>-</v>
      </c>
      <c r="AK334" s="85">
        <v>42935</v>
      </c>
      <c r="AL334" s="21" t="s">
        <v>1614</v>
      </c>
      <c r="AM334" s="80">
        <v>39</v>
      </c>
    </row>
    <row r="335" spans="1:39" s="1" customFormat="1" ht="15.95" customHeight="1" x14ac:dyDescent="0.25">
      <c r="A335" s="77">
        <v>333</v>
      </c>
      <c r="B335" s="84">
        <f t="shared" ca="1" si="349"/>
        <v>43134</v>
      </c>
      <c r="C335" s="29" t="s">
        <v>2546</v>
      </c>
      <c r="D335" s="59" t="s">
        <v>1555</v>
      </c>
      <c r="E335" s="22" t="s">
        <v>1557</v>
      </c>
      <c r="F335" s="27" t="s">
        <v>2942</v>
      </c>
      <c r="G335" s="324"/>
      <c r="H335" s="28" t="s">
        <v>603</v>
      </c>
      <c r="I335" s="20">
        <v>42930</v>
      </c>
      <c r="J335" s="240">
        <f t="shared" ca="1" si="365"/>
        <v>0.55890410958904113</v>
      </c>
      <c r="K335" s="240">
        <f t="shared" ca="1" si="366"/>
        <v>6.8</v>
      </c>
      <c r="L335" s="298">
        <f t="shared" ca="1" si="367"/>
        <v>204</v>
      </c>
      <c r="M335" s="60"/>
      <c r="N335" s="32"/>
      <c r="O335" s="82" t="str">
        <f t="shared" ca="1" si="368"/>
        <v>-</v>
      </c>
      <c r="P335" s="19"/>
      <c r="Q335" s="68"/>
      <c r="R335" s="118"/>
      <c r="S335" s="21"/>
      <c r="T335" s="20"/>
      <c r="U335" s="20" t="str">
        <f t="shared" si="369"/>
        <v>-</v>
      </c>
      <c r="V335" s="19" t="str">
        <f t="shared" ca="1" si="370"/>
        <v>-</v>
      </c>
      <c r="W335" s="3">
        <v>0</v>
      </c>
      <c r="X335" s="22" t="str">
        <f t="shared" si="371"/>
        <v>-</v>
      </c>
      <c r="Y335" s="22">
        <v>0</v>
      </c>
      <c r="Z335" s="329" t="str">
        <f t="shared" ca="1" si="372"/>
        <v>-----</v>
      </c>
      <c r="AA335" s="328">
        <f t="shared" ca="1" si="373"/>
        <v>43134</v>
      </c>
      <c r="AB335" s="19"/>
      <c r="AC335" s="331" t="str">
        <f t="shared" ca="1" si="374"/>
        <v>-----</v>
      </c>
      <c r="AD335" s="20"/>
      <c r="AE335" s="22" t="str">
        <f t="shared" ca="1" si="375"/>
        <v>-</v>
      </c>
      <c r="AF335" s="20" t="str">
        <f t="shared" si="376"/>
        <v>-</v>
      </c>
      <c r="AG335" s="94" t="str">
        <f t="shared" si="377"/>
        <v>---------</v>
      </c>
      <c r="AH335" s="21"/>
      <c r="AI335" s="21" t="str">
        <f t="shared" si="378"/>
        <v>-</v>
      </c>
      <c r="AJ335" s="21" t="str">
        <f t="shared" si="379"/>
        <v>-</v>
      </c>
      <c r="AK335" s="85">
        <v>42935</v>
      </c>
      <c r="AL335" s="21" t="s">
        <v>1614</v>
      </c>
      <c r="AM335" s="80">
        <v>47</v>
      </c>
    </row>
    <row r="336" spans="1:39" s="1" customFormat="1" ht="15.95" customHeight="1" x14ac:dyDescent="0.25">
      <c r="A336" s="77">
        <v>334</v>
      </c>
      <c r="B336" s="84">
        <f t="shared" ca="1" si="349"/>
        <v>43134</v>
      </c>
      <c r="C336" s="29" t="s">
        <v>2546</v>
      </c>
      <c r="D336" s="59" t="s">
        <v>1555</v>
      </c>
      <c r="E336" s="22" t="s">
        <v>1557</v>
      </c>
      <c r="F336" s="27" t="s">
        <v>2944</v>
      </c>
      <c r="G336" s="324"/>
      <c r="H336" s="28" t="s">
        <v>603</v>
      </c>
      <c r="I336" s="20">
        <v>42931</v>
      </c>
      <c r="J336" s="240">
        <f t="shared" ca="1" si="365"/>
        <v>0.55616438356164388</v>
      </c>
      <c r="K336" s="240">
        <f t="shared" ca="1" si="366"/>
        <v>6.7666666666666666</v>
      </c>
      <c r="L336" s="298">
        <f t="shared" ca="1" si="367"/>
        <v>203</v>
      </c>
      <c r="M336" s="60"/>
      <c r="N336" s="32"/>
      <c r="O336" s="82" t="str">
        <f t="shared" ca="1" si="368"/>
        <v>-</v>
      </c>
      <c r="P336" s="19"/>
      <c r="Q336" s="68"/>
      <c r="R336" s="118"/>
      <c r="S336" s="21"/>
      <c r="T336" s="20"/>
      <c r="U336" s="20" t="str">
        <f t="shared" si="369"/>
        <v>-</v>
      </c>
      <c r="V336" s="19" t="str">
        <f t="shared" ca="1" si="370"/>
        <v>-</v>
      </c>
      <c r="W336" s="3">
        <v>0</v>
      </c>
      <c r="X336" s="22" t="str">
        <f t="shared" si="371"/>
        <v>-</v>
      </c>
      <c r="Y336" s="22">
        <v>0</v>
      </c>
      <c r="Z336" s="329" t="str">
        <f t="shared" ca="1" si="372"/>
        <v>-----</v>
      </c>
      <c r="AA336" s="328">
        <f t="shared" ca="1" si="373"/>
        <v>43134</v>
      </c>
      <c r="AB336" s="19"/>
      <c r="AC336" s="331" t="str">
        <f t="shared" ca="1" si="374"/>
        <v>-----</v>
      </c>
      <c r="AD336" s="20"/>
      <c r="AE336" s="22" t="str">
        <f t="shared" ca="1" si="375"/>
        <v>-</v>
      </c>
      <c r="AF336" s="20" t="str">
        <f t="shared" si="376"/>
        <v>-</v>
      </c>
      <c r="AG336" s="94" t="str">
        <f t="shared" si="377"/>
        <v>---------</v>
      </c>
      <c r="AH336" s="21"/>
      <c r="AI336" s="21" t="str">
        <f t="shared" si="378"/>
        <v>-</v>
      </c>
      <c r="AJ336" s="21" t="str">
        <f t="shared" si="379"/>
        <v>-</v>
      </c>
      <c r="AK336" s="85">
        <v>42935</v>
      </c>
      <c r="AL336" s="21" t="s">
        <v>1614</v>
      </c>
      <c r="AM336" s="80">
        <v>41</v>
      </c>
    </row>
    <row r="337" spans="1:39" s="1" customFormat="1" ht="15.95" customHeight="1" x14ac:dyDescent="0.25">
      <c r="A337" s="77">
        <v>335</v>
      </c>
      <c r="B337" s="84">
        <f t="shared" ca="1" si="349"/>
        <v>43134</v>
      </c>
      <c r="C337" s="29" t="s">
        <v>2546</v>
      </c>
      <c r="D337" s="59" t="s">
        <v>1555</v>
      </c>
      <c r="E337" s="22" t="s">
        <v>1557</v>
      </c>
      <c r="F337" s="27" t="s">
        <v>2946</v>
      </c>
      <c r="G337" s="324"/>
      <c r="H337" s="28" t="s">
        <v>603</v>
      </c>
      <c r="I337" s="20">
        <v>42931</v>
      </c>
      <c r="J337" s="240">
        <f t="shared" ca="1" si="365"/>
        <v>0.55616438356164388</v>
      </c>
      <c r="K337" s="240">
        <f t="shared" ca="1" si="366"/>
        <v>6.7666666666666666</v>
      </c>
      <c r="L337" s="298">
        <f t="shared" ca="1" si="367"/>
        <v>203</v>
      </c>
      <c r="M337" s="60"/>
      <c r="N337" s="32"/>
      <c r="O337" s="82" t="str">
        <f t="shared" ca="1" si="368"/>
        <v>-</v>
      </c>
      <c r="P337" s="19"/>
      <c r="Q337" s="68"/>
      <c r="R337" s="118"/>
      <c r="S337" s="21"/>
      <c r="T337" s="20"/>
      <c r="U337" s="20" t="str">
        <f t="shared" si="369"/>
        <v>-</v>
      </c>
      <c r="V337" s="19" t="str">
        <f t="shared" ca="1" si="370"/>
        <v>-</v>
      </c>
      <c r="W337" s="3">
        <v>0</v>
      </c>
      <c r="X337" s="22" t="str">
        <f t="shared" si="371"/>
        <v>-</v>
      </c>
      <c r="Y337" s="22">
        <v>0</v>
      </c>
      <c r="Z337" s="329" t="str">
        <f t="shared" ca="1" si="372"/>
        <v>-----</v>
      </c>
      <c r="AA337" s="328">
        <f t="shared" ca="1" si="373"/>
        <v>43134</v>
      </c>
      <c r="AB337" s="19"/>
      <c r="AC337" s="331" t="str">
        <f t="shared" ca="1" si="374"/>
        <v>-----</v>
      </c>
      <c r="AD337" s="20"/>
      <c r="AE337" s="22" t="str">
        <f t="shared" ca="1" si="375"/>
        <v>-</v>
      </c>
      <c r="AF337" s="20" t="str">
        <f t="shared" si="376"/>
        <v>-</v>
      </c>
      <c r="AG337" s="94" t="str">
        <f t="shared" si="377"/>
        <v>---------</v>
      </c>
      <c r="AH337" s="21"/>
      <c r="AI337" s="21" t="str">
        <f t="shared" si="378"/>
        <v>-</v>
      </c>
      <c r="AJ337" s="21" t="str">
        <f t="shared" si="379"/>
        <v>-</v>
      </c>
      <c r="AK337" s="85">
        <v>42936</v>
      </c>
      <c r="AL337" s="21" t="s">
        <v>1614</v>
      </c>
      <c r="AM337" s="80">
        <v>42</v>
      </c>
    </row>
    <row r="338" spans="1:39" s="1" customFormat="1" ht="15.95" customHeight="1" x14ac:dyDescent="0.25">
      <c r="A338" s="77">
        <v>336</v>
      </c>
      <c r="B338" s="84">
        <f t="shared" ca="1" si="349"/>
        <v>43134</v>
      </c>
      <c r="C338" s="29" t="s">
        <v>2546</v>
      </c>
      <c r="D338" s="59" t="s">
        <v>1555</v>
      </c>
      <c r="E338" s="22" t="s">
        <v>1557</v>
      </c>
      <c r="F338" s="27" t="s">
        <v>2949</v>
      </c>
      <c r="G338" s="324"/>
      <c r="H338" s="28" t="s">
        <v>603</v>
      </c>
      <c r="I338" s="20">
        <v>39278</v>
      </c>
      <c r="J338" s="240">
        <f t="shared" ca="1" si="365"/>
        <v>10.564383561643835</v>
      </c>
      <c r="K338" s="240">
        <f t="shared" ca="1" si="366"/>
        <v>128.53333333333333</v>
      </c>
      <c r="L338" s="298">
        <f t="shared" ca="1" si="367"/>
        <v>3856</v>
      </c>
      <c r="M338" s="60"/>
      <c r="N338" s="32"/>
      <c r="O338" s="82" t="str">
        <f t="shared" ca="1" si="368"/>
        <v>-</v>
      </c>
      <c r="P338" s="19"/>
      <c r="Q338" s="68"/>
      <c r="R338" s="118"/>
      <c r="S338" s="21"/>
      <c r="T338" s="20"/>
      <c r="U338" s="20" t="str">
        <f t="shared" si="369"/>
        <v>-</v>
      </c>
      <c r="V338" s="19" t="str">
        <f t="shared" ca="1" si="370"/>
        <v>-</v>
      </c>
      <c r="W338" s="3"/>
      <c r="X338" s="22" t="str">
        <f t="shared" si="371"/>
        <v>-</v>
      </c>
      <c r="Y338" s="22"/>
      <c r="Z338" s="329" t="str">
        <f t="shared" ca="1" si="372"/>
        <v>-----</v>
      </c>
      <c r="AA338" s="328">
        <f t="shared" ca="1" si="373"/>
        <v>43134</v>
      </c>
      <c r="AB338" s="19"/>
      <c r="AC338" s="331" t="str">
        <f t="shared" ca="1" si="374"/>
        <v>-----</v>
      </c>
      <c r="AD338" s="20"/>
      <c r="AE338" s="22" t="str">
        <f t="shared" ca="1" si="375"/>
        <v>-</v>
      </c>
      <c r="AF338" s="20" t="str">
        <f t="shared" si="376"/>
        <v>-</v>
      </c>
      <c r="AG338" s="94" t="str">
        <f t="shared" si="377"/>
        <v>---------</v>
      </c>
      <c r="AH338" s="21"/>
      <c r="AI338" s="21" t="str">
        <f t="shared" si="378"/>
        <v>-</v>
      </c>
      <c r="AJ338" s="21" t="str">
        <f t="shared" si="379"/>
        <v>-</v>
      </c>
      <c r="AK338" s="85">
        <v>42936</v>
      </c>
      <c r="AL338" s="21" t="s">
        <v>1614</v>
      </c>
      <c r="AM338" s="80">
        <v>40</v>
      </c>
    </row>
    <row r="339" spans="1:39" s="1" customFormat="1" ht="15.95" customHeight="1" x14ac:dyDescent="0.25">
      <c r="A339" s="77">
        <v>337</v>
      </c>
      <c r="B339" s="84">
        <f t="shared" ca="1" si="349"/>
        <v>43134</v>
      </c>
      <c r="C339" s="29" t="s">
        <v>2546</v>
      </c>
      <c r="D339" s="59" t="s">
        <v>1555</v>
      </c>
      <c r="E339" s="22" t="s">
        <v>1557</v>
      </c>
      <c r="F339" s="27" t="s">
        <v>2950</v>
      </c>
      <c r="G339" s="324"/>
      <c r="H339" s="28" t="s">
        <v>603</v>
      </c>
      <c r="I339" s="20">
        <v>42932</v>
      </c>
      <c r="J339" s="240">
        <f t="shared" ref="J339:J346" ca="1" si="380">(B339-I339)/365</f>
        <v>0.55342465753424652</v>
      </c>
      <c r="K339" s="240">
        <f t="shared" ref="K339:K346" ca="1" si="381">(B339-I339)/30</f>
        <v>6.7333333333333334</v>
      </c>
      <c r="L339" s="298">
        <f t="shared" ref="L339:L346" ca="1" si="382">B339-I339</f>
        <v>202</v>
      </c>
      <c r="M339" s="60"/>
      <c r="N339" s="32"/>
      <c r="O339" s="82" t="str">
        <f t="shared" ref="O339:O346" ca="1" si="383">IF(AND(B339&gt;0,N339&gt;0),B339-N339,"-")</f>
        <v>-</v>
      </c>
      <c r="P339" s="19"/>
      <c r="Q339" s="68"/>
      <c r="R339" s="118"/>
      <c r="S339" s="21"/>
      <c r="T339" s="20"/>
      <c r="U339" s="20" t="str">
        <f t="shared" ref="U339:U346" si="384">IF(AND(Y339&gt;1,T339&gt;0),T339+18,"-")</f>
        <v>-</v>
      </c>
      <c r="V339" s="19" t="str">
        <f t="shared" ref="V339:V346" ca="1" si="385">IF(AND(U339&gt;0,B339&gt;0,Y339&gt;1),B339-U339,"-")</f>
        <v>-</v>
      </c>
      <c r="W339" s="3">
        <v>0</v>
      </c>
      <c r="X339" s="22" t="str">
        <f t="shared" ref="X339:X346" si="386">IF(AND(N339&gt;0,T339&gt;0),T339-N339,"-")</f>
        <v>-</v>
      </c>
      <c r="Y339" s="22">
        <v>0</v>
      </c>
      <c r="Z339" s="329" t="str">
        <f t="shared" ref="Z339:Z346" ca="1" si="387">IF(AND(Y339=1,AA339&gt;71,OR(ISBLANK(AB339),AB339=2)),"ПОДЛЕЖИТ ПЕРЕПРОВЕРКЕ","-----")</f>
        <v>-----</v>
      </c>
      <c r="AA339" s="328">
        <f t="shared" ref="AA339:AA346" ca="1" si="388">IF(AND(O339&gt;-1,W339&gt;0,Y339=1,AB339=1),"-----",B339-T339)</f>
        <v>43134</v>
      </c>
      <c r="AB339" s="19"/>
      <c r="AC339" s="331" t="str">
        <f t="shared" ref="AC339:AC346" ca="1" si="389">IF(AND(AB339&lt;1,Z339="ПОДЛЕЖИТ ПЕРЕПРОВЕРКЕ",Y339=1),T339+72,"-----")</f>
        <v>-----</v>
      </c>
      <c r="AD339" s="20"/>
      <c r="AE339" s="22" t="str">
        <f ca="1">IF(AND(O339&gt;140,Y339=0,N339&gt;0),"яловая","-")</f>
        <v>-</v>
      </c>
      <c r="AF339" s="20" t="str">
        <f t="shared" ref="AF339:AF346" si="390">IF(AND(T339&gt;0,OR(Y339=3,Y339=2)),T339+35,"-")</f>
        <v>-</v>
      </c>
      <c r="AG339" s="94" t="str">
        <f t="shared" ref="AG339:AG346" si="391">IF(AND(T339&gt;0,W339&gt;0,Q339&gt;0,OR(Y339=3,Y339=2)),B339-AF339,"---------")</f>
        <v>---------</v>
      </c>
      <c r="AH339" s="21"/>
      <c r="AI339" s="21" t="str">
        <f t="shared" ref="AI339:AI346" si="392">IF(AND($T339&gt;0,$N339&gt;0,$Y339=1),$T339+280-90,"-")</f>
        <v>-</v>
      </c>
      <c r="AJ339" s="21" t="str">
        <f t="shared" ref="AJ339:AJ346" si="393">IF(AND(T339&gt;0,Y339=1,N339&gt;0),T339+280-60,"-")</f>
        <v>-</v>
      </c>
      <c r="AK339" s="85">
        <v>42937</v>
      </c>
      <c r="AL339" s="21" t="s">
        <v>1614</v>
      </c>
      <c r="AM339" s="80">
        <v>42</v>
      </c>
    </row>
    <row r="340" spans="1:39" s="1" customFormat="1" ht="15.95" customHeight="1" x14ac:dyDescent="0.25">
      <c r="A340" s="77">
        <v>338</v>
      </c>
      <c r="B340" s="84">
        <f t="shared" ca="1" si="349"/>
        <v>43134</v>
      </c>
      <c r="C340" s="29" t="s">
        <v>2546</v>
      </c>
      <c r="D340" s="59" t="s">
        <v>1555</v>
      </c>
      <c r="E340" s="22" t="s">
        <v>1557</v>
      </c>
      <c r="F340" s="27" t="s">
        <v>2952</v>
      </c>
      <c r="G340" s="324"/>
      <c r="H340" s="28" t="s">
        <v>603</v>
      </c>
      <c r="I340" s="20">
        <v>42932</v>
      </c>
      <c r="J340" s="240">
        <f t="shared" ca="1" si="380"/>
        <v>0.55342465753424652</v>
      </c>
      <c r="K340" s="240">
        <f t="shared" ca="1" si="381"/>
        <v>6.7333333333333334</v>
      </c>
      <c r="L340" s="298">
        <f t="shared" ca="1" si="382"/>
        <v>202</v>
      </c>
      <c r="M340" s="60"/>
      <c r="N340" s="32"/>
      <c r="O340" s="82" t="str">
        <f t="shared" ca="1" si="383"/>
        <v>-</v>
      </c>
      <c r="P340" s="19"/>
      <c r="Q340" s="68"/>
      <c r="R340" s="118"/>
      <c r="S340" s="21"/>
      <c r="T340" s="20"/>
      <c r="U340" s="20" t="str">
        <f t="shared" si="384"/>
        <v>-</v>
      </c>
      <c r="V340" s="19" t="str">
        <f t="shared" ca="1" si="385"/>
        <v>-</v>
      </c>
      <c r="W340" s="3">
        <v>0</v>
      </c>
      <c r="X340" s="22" t="str">
        <f t="shared" si="386"/>
        <v>-</v>
      </c>
      <c r="Y340" s="22">
        <v>0</v>
      </c>
      <c r="Z340" s="329" t="str">
        <f t="shared" ca="1" si="387"/>
        <v>-----</v>
      </c>
      <c r="AA340" s="328">
        <f t="shared" ca="1" si="388"/>
        <v>43134</v>
      </c>
      <c r="AB340" s="19"/>
      <c r="AC340" s="331" t="str">
        <f t="shared" ca="1" si="389"/>
        <v>-----</v>
      </c>
      <c r="AD340" s="20"/>
      <c r="AE340" s="22" t="str">
        <f ca="1">IF(AND(O340&gt;140,Y340=0,N340&gt;0),"яловая","-")</f>
        <v>-</v>
      </c>
      <c r="AF340" s="20" t="str">
        <f t="shared" si="390"/>
        <v>-</v>
      </c>
      <c r="AG340" s="94" t="str">
        <f t="shared" si="391"/>
        <v>---------</v>
      </c>
      <c r="AH340" s="21"/>
      <c r="AI340" s="21" t="str">
        <f t="shared" si="392"/>
        <v>-</v>
      </c>
      <c r="AJ340" s="21" t="str">
        <f t="shared" si="393"/>
        <v>-</v>
      </c>
      <c r="AK340" s="85">
        <v>42937</v>
      </c>
      <c r="AL340" s="21" t="s">
        <v>1614</v>
      </c>
      <c r="AM340" s="80">
        <v>55</v>
      </c>
    </row>
    <row r="341" spans="1:39" s="1" customFormat="1" ht="15.95" customHeight="1" x14ac:dyDescent="0.25">
      <c r="A341" s="77">
        <v>339</v>
      </c>
      <c r="B341" s="84">
        <f t="shared" ca="1" si="349"/>
        <v>43134</v>
      </c>
      <c r="C341" s="29" t="s">
        <v>2546</v>
      </c>
      <c r="D341" s="59" t="s">
        <v>1555</v>
      </c>
      <c r="E341" s="22" t="s">
        <v>1557</v>
      </c>
      <c r="F341" s="27" t="s">
        <v>2963</v>
      </c>
      <c r="G341" s="323"/>
      <c r="H341" s="28" t="s">
        <v>603</v>
      </c>
      <c r="I341" s="20">
        <v>42937</v>
      </c>
      <c r="J341" s="35">
        <f t="shared" ca="1" si="380"/>
        <v>0.53972602739726028</v>
      </c>
      <c r="K341" s="35">
        <f t="shared" ca="1" si="381"/>
        <v>6.5666666666666664</v>
      </c>
      <c r="L341" s="299">
        <f t="shared" ca="1" si="382"/>
        <v>197</v>
      </c>
      <c r="M341" s="60"/>
      <c r="N341" s="32"/>
      <c r="O341" s="82" t="str">
        <f t="shared" ca="1" si="383"/>
        <v>-</v>
      </c>
      <c r="P341" s="19"/>
      <c r="Q341" s="68"/>
      <c r="R341" s="118"/>
      <c r="S341" s="21"/>
      <c r="T341" s="20"/>
      <c r="U341" s="20" t="str">
        <f t="shared" si="384"/>
        <v>-</v>
      </c>
      <c r="V341" s="19" t="str">
        <f t="shared" ca="1" si="385"/>
        <v>-</v>
      </c>
      <c r="W341" s="3">
        <v>0</v>
      </c>
      <c r="X341" s="22" t="str">
        <f t="shared" si="386"/>
        <v>-</v>
      </c>
      <c r="Y341" s="22">
        <v>0</v>
      </c>
      <c r="Z341" s="329" t="str">
        <f t="shared" ca="1" si="387"/>
        <v>-----</v>
      </c>
      <c r="AA341" s="328">
        <f t="shared" ca="1" si="388"/>
        <v>43134</v>
      </c>
      <c r="AB341" s="19"/>
      <c r="AC341" s="331" t="str">
        <f t="shared" ca="1" si="389"/>
        <v>-----</v>
      </c>
      <c r="AD341" s="20"/>
      <c r="AE341" s="22" t="str">
        <f ca="1">IF(AND(O341&gt;140,Y341=0,N341&gt;0),"яловая","-")</f>
        <v>-</v>
      </c>
      <c r="AF341" s="20" t="str">
        <f t="shared" si="390"/>
        <v>-</v>
      </c>
      <c r="AG341" s="94" t="str">
        <f t="shared" si="391"/>
        <v>---------</v>
      </c>
      <c r="AH341" s="21"/>
      <c r="AI341" s="21" t="str">
        <f t="shared" si="392"/>
        <v>-</v>
      </c>
      <c r="AJ341" s="21" t="str">
        <f t="shared" si="393"/>
        <v>-</v>
      </c>
      <c r="AK341" s="85">
        <v>42940</v>
      </c>
      <c r="AL341" s="21" t="s">
        <v>1614</v>
      </c>
      <c r="AM341" s="80">
        <v>49</v>
      </c>
    </row>
    <row r="342" spans="1:39" s="1" customFormat="1" ht="15.95" customHeight="1" x14ac:dyDescent="0.25">
      <c r="A342" s="77">
        <v>340</v>
      </c>
      <c r="B342" s="84">
        <f t="shared" ca="1" si="349"/>
        <v>43134</v>
      </c>
      <c r="C342" s="29" t="s">
        <v>2546</v>
      </c>
      <c r="D342" s="59" t="s">
        <v>1555</v>
      </c>
      <c r="E342" s="22" t="s">
        <v>1557</v>
      </c>
      <c r="F342" s="27" t="s">
        <v>2968</v>
      </c>
      <c r="G342" s="323"/>
      <c r="H342" s="28" t="s">
        <v>603</v>
      </c>
      <c r="I342" s="20">
        <v>42938</v>
      </c>
      <c r="J342" s="35">
        <f t="shared" ca="1" si="380"/>
        <v>0.53698630136986303</v>
      </c>
      <c r="K342" s="35">
        <f t="shared" ca="1" si="381"/>
        <v>6.5333333333333332</v>
      </c>
      <c r="L342" s="299">
        <f t="shared" ca="1" si="382"/>
        <v>196</v>
      </c>
      <c r="M342" s="60"/>
      <c r="N342" s="32"/>
      <c r="O342" s="82" t="str">
        <f t="shared" ca="1" si="383"/>
        <v>-</v>
      </c>
      <c r="P342" s="19"/>
      <c r="Q342" s="68"/>
      <c r="R342" s="118"/>
      <c r="S342" s="21"/>
      <c r="T342" s="20"/>
      <c r="U342" s="20" t="str">
        <f t="shared" si="384"/>
        <v>-</v>
      </c>
      <c r="V342" s="19" t="str">
        <f t="shared" ca="1" si="385"/>
        <v>-</v>
      </c>
      <c r="W342" s="3"/>
      <c r="X342" s="22" t="str">
        <f t="shared" si="386"/>
        <v>-</v>
      </c>
      <c r="Y342" s="22"/>
      <c r="Z342" s="329" t="str">
        <f t="shared" ca="1" si="387"/>
        <v>-----</v>
      </c>
      <c r="AA342" s="328">
        <f t="shared" ca="1" si="388"/>
        <v>43134</v>
      </c>
      <c r="AB342" s="19"/>
      <c r="AC342" s="331" t="str">
        <f t="shared" ca="1" si="389"/>
        <v>-----</v>
      </c>
      <c r="AD342" s="20"/>
      <c r="AE342" s="22" t="str">
        <f ca="1">IF(AND(O342&gt;140,Y342=0,N342&gt;0),"яловая","-")</f>
        <v>-</v>
      </c>
      <c r="AF342" s="20" t="str">
        <f t="shared" si="390"/>
        <v>-</v>
      </c>
      <c r="AG342" s="94" t="str">
        <f t="shared" si="391"/>
        <v>---------</v>
      </c>
      <c r="AH342" s="21"/>
      <c r="AI342" s="21" t="str">
        <f t="shared" si="392"/>
        <v>-</v>
      </c>
      <c r="AJ342" s="21" t="str">
        <f t="shared" si="393"/>
        <v>-</v>
      </c>
      <c r="AK342" s="85">
        <v>42940</v>
      </c>
      <c r="AL342" s="21" t="s">
        <v>1614</v>
      </c>
      <c r="AM342" s="80">
        <v>42</v>
      </c>
    </row>
    <row r="343" spans="1:39" s="1" customFormat="1" ht="15.95" customHeight="1" x14ac:dyDescent="0.25">
      <c r="A343" s="77">
        <v>341</v>
      </c>
      <c r="B343" s="84">
        <f t="shared" ca="1" si="349"/>
        <v>43134</v>
      </c>
      <c r="C343" s="29" t="s">
        <v>2584</v>
      </c>
      <c r="D343" s="59" t="s">
        <v>2915</v>
      </c>
      <c r="E343" s="22" t="s">
        <v>1530</v>
      </c>
      <c r="F343" s="27" t="s">
        <v>1512</v>
      </c>
      <c r="G343" s="324"/>
      <c r="H343" s="28" t="s">
        <v>603</v>
      </c>
      <c r="I343" s="20">
        <v>42233</v>
      </c>
      <c r="J343" s="240">
        <f t="shared" ca="1" si="380"/>
        <v>2.4684931506849317</v>
      </c>
      <c r="K343" s="240">
        <f t="shared" ca="1" si="381"/>
        <v>30.033333333333335</v>
      </c>
      <c r="L343" s="298">
        <f t="shared" ca="1" si="382"/>
        <v>901</v>
      </c>
      <c r="M343" s="60"/>
      <c r="N343" s="32"/>
      <c r="O343" s="82" t="str">
        <f t="shared" ca="1" si="383"/>
        <v>-</v>
      </c>
      <c r="P343" s="19"/>
      <c r="Q343" s="68" t="s">
        <v>1448</v>
      </c>
      <c r="R343" s="118" t="s">
        <v>1876</v>
      </c>
      <c r="S343" s="21">
        <v>42576</v>
      </c>
      <c r="T343" s="20">
        <v>42644</v>
      </c>
      <c r="U343" s="20" t="str">
        <f t="shared" si="384"/>
        <v>-</v>
      </c>
      <c r="V343" s="19" t="str">
        <f t="shared" ca="1" si="385"/>
        <v>-</v>
      </c>
      <c r="W343" s="3">
        <v>3</v>
      </c>
      <c r="X343" s="22" t="str">
        <f t="shared" si="386"/>
        <v>-</v>
      </c>
      <c r="Y343" s="22">
        <v>0</v>
      </c>
      <c r="Z343" s="329" t="str">
        <f t="shared" ca="1" si="387"/>
        <v>-----</v>
      </c>
      <c r="AA343" s="328">
        <f t="shared" ca="1" si="388"/>
        <v>490</v>
      </c>
      <c r="AB343" s="19">
        <v>0</v>
      </c>
      <c r="AC343" s="331" t="str">
        <f t="shared" ca="1" si="389"/>
        <v>-----</v>
      </c>
      <c r="AD343" s="20">
        <v>42932</v>
      </c>
      <c r="AE343" s="22" t="str">
        <f ca="1">IF(AND(O343&gt;140,Y343=0,N343&gt;0),"яловая","-")</f>
        <v>-</v>
      </c>
      <c r="AF343" s="20" t="str">
        <f t="shared" si="390"/>
        <v>-</v>
      </c>
      <c r="AG343" s="94" t="str">
        <f t="shared" si="391"/>
        <v>---------</v>
      </c>
      <c r="AH343" s="21">
        <v>42691</v>
      </c>
      <c r="AI343" s="21" t="str">
        <f t="shared" si="392"/>
        <v>-</v>
      </c>
      <c r="AJ343" s="21" t="str">
        <f t="shared" si="393"/>
        <v>-</v>
      </c>
      <c r="AK343" s="85">
        <v>42941</v>
      </c>
      <c r="AL343" s="21" t="s">
        <v>2982</v>
      </c>
      <c r="AM343" s="80"/>
    </row>
    <row r="344" spans="1:39" s="1" customFormat="1" ht="15.95" customHeight="1" x14ac:dyDescent="0.25">
      <c r="A344" s="77">
        <v>342</v>
      </c>
      <c r="B344" s="84">
        <f t="shared" ca="1" si="349"/>
        <v>43134</v>
      </c>
      <c r="C344" s="29" t="s">
        <v>2546</v>
      </c>
      <c r="D344" s="59" t="s">
        <v>1555</v>
      </c>
      <c r="E344" s="22" t="s">
        <v>1557</v>
      </c>
      <c r="F344" s="27" t="s">
        <v>2972</v>
      </c>
      <c r="G344" s="324"/>
      <c r="H344" s="28" t="s">
        <v>603</v>
      </c>
      <c r="I344" s="20">
        <v>42940</v>
      </c>
      <c r="J344" s="240">
        <f t="shared" ca="1" si="380"/>
        <v>0.53150684931506853</v>
      </c>
      <c r="K344" s="240">
        <f t="shared" ca="1" si="381"/>
        <v>6.4666666666666668</v>
      </c>
      <c r="L344" s="298">
        <f t="shared" ca="1" si="382"/>
        <v>194</v>
      </c>
      <c r="M344" s="60"/>
      <c r="N344" s="32"/>
      <c r="O344" s="82" t="str">
        <f t="shared" ca="1" si="383"/>
        <v>-</v>
      </c>
      <c r="P344" s="19"/>
      <c r="Q344" s="68"/>
      <c r="R344" s="118"/>
      <c r="S344" s="21"/>
      <c r="T344" s="20"/>
      <c r="U344" s="20" t="str">
        <f t="shared" si="384"/>
        <v>-</v>
      </c>
      <c r="V344" s="19" t="str">
        <f t="shared" ca="1" si="385"/>
        <v>-</v>
      </c>
      <c r="W344" s="3"/>
      <c r="X344" s="22" t="str">
        <f t="shared" si="386"/>
        <v>-</v>
      </c>
      <c r="Y344" s="22"/>
      <c r="Z344" s="329" t="str">
        <f t="shared" ca="1" si="387"/>
        <v>-----</v>
      </c>
      <c r="AA344" s="328">
        <f t="shared" ca="1" si="388"/>
        <v>43134</v>
      </c>
      <c r="AB344" s="19"/>
      <c r="AC344" s="331" t="str">
        <f t="shared" ca="1" si="389"/>
        <v>-----</v>
      </c>
      <c r="AD344" s="20"/>
      <c r="AE344" s="22" t="str">
        <f t="shared" ref="AE344:AE350" ca="1" si="394">IF(AND(O344&gt;120,Y344=0,N344&gt;0),"яловая","-")</f>
        <v>-</v>
      </c>
      <c r="AF344" s="20" t="str">
        <f t="shared" si="390"/>
        <v>-</v>
      </c>
      <c r="AG344" s="94" t="str">
        <f t="shared" si="391"/>
        <v>---------</v>
      </c>
      <c r="AH344" s="21"/>
      <c r="AI344" s="21" t="str">
        <f t="shared" si="392"/>
        <v>-</v>
      </c>
      <c r="AJ344" s="21" t="str">
        <f t="shared" si="393"/>
        <v>-</v>
      </c>
      <c r="AK344" s="85">
        <v>42944</v>
      </c>
      <c r="AL344" s="21" t="s">
        <v>1614</v>
      </c>
      <c r="AM344" s="80">
        <v>47</v>
      </c>
    </row>
    <row r="345" spans="1:39" s="1" customFormat="1" ht="15.95" customHeight="1" x14ac:dyDescent="0.25">
      <c r="A345" s="77">
        <v>343</v>
      </c>
      <c r="B345" s="84">
        <f t="shared" ca="1" si="349"/>
        <v>43134</v>
      </c>
      <c r="C345" s="29" t="s">
        <v>2546</v>
      </c>
      <c r="D345" s="59" t="s">
        <v>1555</v>
      </c>
      <c r="E345" s="22" t="s">
        <v>1557</v>
      </c>
      <c r="F345" s="27" t="s">
        <v>2973</v>
      </c>
      <c r="G345" s="324"/>
      <c r="H345" s="28" t="s">
        <v>603</v>
      </c>
      <c r="I345" s="20">
        <v>42941</v>
      </c>
      <c r="J345" s="240">
        <f t="shared" ca="1" si="380"/>
        <v>0.52876712328767128</v>
      </c>
      <c r="K345" s="240">
        <f t="shared" ca="1" si="381"/>
        <v>6.4333333333333336</v>
      </c>
      <c r="L345" s="298">
        <f t="shared" ca="1" si="382"/>
        <v>193</v>
      </c>
      <c r="M345" s="60"/>
      <c r="N345" s="32"/>
      <c r="O345" s="82" t="str">
        <f t="shared" ca="1" si="383"/>
        <v>-</v>
      </c>
      <c r="P345" s="19"/>
      <c r="Q345" s="68"/>
      <c r="R345" s="118"/>
      <c r="S345" s="21"/>
      <c r="T345" s="20"/>
      <c r="U345" s="20" t="str">
        <f t="shared" si="384"/>
        <v>-</v>
      </c>
      <c r="V345" s="19" t="str">
        <f t="shared" ca="1" si="385"/>
        <v>-</v>
      </c>
      <c r="W345" s="3"/>
      <c r="X345" s="22" t="str">
        <f t="shared" si="386"/>
        <v>-</v>
      </c>
      <c r="Y345" s="22"/>
      <c r="Z345" s="329" t="str">
        <f t="shared" ca="1" si="387"/>
        <v>-----</v>
      </c>
      <c r="AA345" s="328">
        <f t="shared" ca="1" si="388"/>
        <v>43134</v>
      </c>
      <c r="AB345" s="19"/>
      <c r="AC345" s="331" t="str">
        <f t="shared" ca="1" si="389"/>
        <v>-----</v>
      </c>
      <c r="AD345" s="20"/>
      <c r="AE345" s="22" t="str">
        <f t="shared" ca="1" si="394"/>
        <v>-</v>
      </c>
      <c r="AF345" s="20" t="str">
        <f t="shared" si="390"/>
        <v>-</v>
      </c>
      <c r="AG345" s="94" t="str">
        <f t="shared" si="391"/>
        <v>---------</v>
      </c>
      <c r="AH345" s="21"/>
      <c r="AI345" s="21" t="str">
        <f t="shared" si="392"/>
        <v>-</v>
      </c>
      <c r="AJ345" s="21" t="str">
        <f t="shared" si="393"/>
        <v>-</v>
      </c>
      <c r="AK345" s="85">
        <v>42944</v>
      </c>
      <c r="AL345" s="21" t="s">
        <v>1614</v>
      </c>
      <c r="AM345" s="80">
        <v>53</v>
      </c>
    </row>
    <row r="346" spans="1:39" s="1" customFormat="1" ht="15.95" customHeight="1" x14ac:dyDescent="0.25">
      <c r="A346" s="77">
        <v>344</v>
      </c>
      <c r="B346" s="84">
        <f t="shared" ca="1" si="349"/>
        <v>43134</v>
      </c>
      <c r="C346" s="29" t="s">
        <v>2546</v>
      </c>
      <c r="D346" s="59" t="s">
        <v>1555</v>
      </c>
      <c r="E346" s="22" t="s">
        <v>1557</v>
      </c>
      <c r="F346" s="27" t="s">
        <v>2974</v>
      </c>
      <c r="G346" s="324"/>
      <c r="H346" s="28" t="s">
        <v>603</v>
      </c>
      <c r="I346" s="20">
        <v>42941</v>
      </c>
      <c r="J346" s="240">
        <f t="shared" ca="1" si="380"/>
        <v>0.52876712328767128</v>
      </c>
      <c r="K346" s="240">
        <f t="shared" ca="1" si="381"/>
        <v>6.4333333333333336</v>
      </c>
      <c r="L346" s="298">
        <f t="shared" ca="1" si="382"/>
        <v>193</v>
      </c>
      <c r="M346" s="60"/>
      <c r="N346" s="32"/>
      <c r="O346" s="82" t="str">
        <f t="shared" ca="1" si="383"/>
        <v>-</v>
      </c>
      <c r="P346" s="19"/>
      <c r="Q346" s="68"/>
      <c r="R346" s="118"/>
      <c r="S346" s="21"/>
      <c r="T346" s="20"/>
      <c r="U346" s="20" t="str">
        <f t="shared" si="384"/>
        <v>-</v>
      </c>
      <c r="V346" s="19" t="str">
        <f t="shared" ca="1" si="385"/>
        <v>-</v>
      </c>
      <c r="W346" s="3"/>
      <c r="X346" s="22" t="str">
        <f t="shared" si="386"/>
        <v>-</v>
      </c>
      <c r="Y346" s="22"/>
      <c r="Z346" s="329" t="str">
        <f t="shared" ca="1" si="387"/>
        <v>-----</v>
      </c>
      <c r="AA346" s="328">
        <f t="shared" ca="1" si="388"/>
        <v>43134</v>
      </c>
      <c r="AB346" s="19"/>
      <c r="AC346" s="331" t="str">
        <f t="shared" ca="1" si="389"/>
        <v>-----</v>
      </c>
      <c r="AD346" s="20"/>
      <c r="AE346" s="22" t="str">
        <f t="shared" ca="1" si="394"/>
        <v>-</v>
      </c>
      <c r="AF346" s="20" t="str">
        <f t="shared" si="390"/>
        <v>-</v>
      </c>
      <c r="AG346" s="94" t="str">
        <f t="shared" si="391"/>
        <v>---------</v>
      </c>
      <c r="AH346" s="21"/>
      <c r="AI346" s="21" t="str">
        <f t="shared" si="392"/>
        <v>-</v>
      </c>
      <c r="AJ346" s="21" t="str">
        <f t="shared" si="393"/>
        <v>-</v>
      </c>
      <c r="AK346" s="85">
        <v>42944</v>
      </c>
      <c r="AL346" s="21" t="s">
        <v>1614</v>
      </c>
      <c r="AM346" s="80">
        <v>47</v>
      </c>
    </row>
    <row r="347" spans="1:39" s="1" customFormat="1" ht="15.95" customHeight="1" x14ac:dyDescent="0.25">
      <c r="A347" s="77">
        <v>345</v>
      </c>
      <c r="B347" s="84">
        <f t="shared" ca="1" si="349"/>
        <v>43134</v>
      </c>
      <c r="C347" s="29" t="s">
        <v>2547</v>
      </c>
      <c r="D347" s="59" t="s">
        <v>1635</v>
      </c>
      <c r="E347" s="22" t="s">
        <v>1563</v>
      </c>
      <c r="F347" s="27" t="s">
        <v>2323</v>
      </c>
      <c r="G347" s="324"/>
      <c r="H347" s="28" t="s">
        <v>603</v>
      </c>
      <c r="I347" s="20">
        <v>42747</v>
      </c>
      <c r="J347" s="240">
        <f ca="1">(B347-I347)/365</f>
        <v>1.0602739726027397</v>
      </c>
      <c r="K347" s="240">
        <f ca="1">(B347-I347)/30</f>
        <v>12.9</v>
      </c>
      <c r="L347" s="298">
        <f ca="1">B347-I347</f>
        <v>387</v>
      </c>
      <c r="M347" s="60"/>
      <c r="N347" s="32"/>
      <c r="O347" s="82" t="str">
        <f ca="1">IF(AND(B347&gt;0,N347&gt;0),B347-N347,"-")</f>
        <v>-</v>
      </c>
      <c r="P347" s="19"/>
      <c r="Q347" s="68"/>
      <c r="R347" s="118"/>
      <c r="S347" s="21"/>
      <c r="T347" s="20"/>
      <c r="U347" s="20" t="str">
        <f>IF(AND(Y347&gt;1,T347&gt;0),T347+18,"-")</f>
        <v>-</v>
      </c>
      <c r="V347" s="19" t="str">
        <f ca="1">IF(AND(U347&gt;0,B347&gt;0,Y347&gt;1),B347-U347,"-")</f>
        <v>-</v>
      </c>
      <c r="W347" s="3">
        <v>0</v>
      </c>
      <c r="X347" s="22" t="str">
        <f>IF(AND(N347&gt;0,T347&gt;0),T347-N347,"-")</f>
        <v>-</v>
      </c>
      <c r="Y347" s="22">
        <v>0</v>
      </c>
      <c r="Z347" s="329" t="str">
        <f ca="1">IF(AND(Y347=1,AA347&gt;71,OR(ISBLANK(AB347),AB347=2)),"ПОДЛЕЖИТ ПЕРЕПРОВЕРКЕ","-----")</f>
        <v>-----</v>
      </c>
      <c r="AA347" s="328">
        <f ca="1">IF(AND(O347&gt;-1,W347&gt;0,Y347=1,AB347=1),"-----",B347-T347)</f>
        <v>43134</v>
      </c>
      <c r="AB347" s="19"/>
      <c r="AC347" s="331" t="str">
        <f ca="1">IF(AND(AB347&lt;1,Z347="ПОДЛЕЖИТ ПЕРЕПРОВЕРКЕ",Y347=1),T347+72,"-----")</f>
        <v>-----</v>
      </c>
      <c r="AD347" s="20"/>
      <c r="AE347" s="22" t="str">
        <f t="shared" ca="1" si="394"/>
        <v>-</v>
      </c>
      <c r="AF347" s="20" t="str">
        <f>IF(AND(T347&gt;0,OR(Y347=3,Y347=2)),T347+35,"-")</f>
        <v>-</v>
      </c>
      <c r="AG347" s="94" t="str">
        <f>IF(AND(T347&gt;0,W347&gt;0,Q347&gt;0,OR(Y347=3,Y347=2)),B347-AF347,"---------")</f>
        <v>---------</v>
      </c>
      <c r="AH347" s="21"/>
      <c r="AI347" s="21" t="str">
        <f>IF(AND($T347&gt;0,$N347&gt;0,$Y347=1),$T347+280-90,"-")</f>
        <v>-</v>
      </c>
      <c r="AJ347" s="21" t="str">
        <f>IF(AND(T347&gt;0,Y347=1,N347&gt;0),T347+280-60,"-")</f>
        <v>-</v>
      </c>
      <c r="AK347" s="85">
        <v>42948</v>
      </c>
      <c r="AL347" s="21" t="s">
        <v>3026</v>
      </c>
      <c r="AM347" s="80"/>
    </row>
    <row r="348" spans="1:39" s="1" customFormat="1" ht="15.95" customHeight="1" x14ac:dyDescent="0.25">
      <c r="A348" s="77">
        <v>346</v>
      </c>
      <c r="B348" s="84">
        <f t="shared" ca="1" si="349"/>
        <v>43134</v>
      </c>
      <c r="C348" s="271" t="s">
        <v>2584</v>
      </c>
      <c r="D348" s="270" t="s">
        <v>2915</v>
      </c>
      <c r="E348" s="22" t="s">
        <v>1563</v>
      </c>
      <c r="F348" s="27" t="s">
        <v>1673</v>
      </c>
      <c r="G348" s="324"/>
      <c r="H348" s="28" t="s">
        <v>603</v>
      </c>
      <c r="I348" s="20">
        <v>42516</v>
      </c>
      <c r="J348" s="240">
        <f ca="1">(B348-I348)/365</f>
        <v>1.6931506849315068</v>
      </c>
      <c r="K348" s="240">
        <f ca="1">(B348-I348)/30</f>
        <v>20.6</v>
      </c>
      <c r="L348" s="298">
        <f ca="1">B348-I348</f>
        <v>618</v>
      </c>
      <c r="M348" s="60"/>
      <c r="N348" s="32"/>
      <c r="O348" s="82" t="str">
        <f ca="1">IF(AND(B348&gt;0,N348&gt;0),B348-N348,"-")</f>
        <v>-</v>
      </c>
      <c r="P348" s="19"/>
      <c r="Q348" s="68"/>
      <c r="R348" s="118"/>
      <c r="S348" s="21">
        <v>42852</v>
      </c>
      <c r="T348" s="20">
        <v>42852</v>
      </c>
      <c r="U348" s="20">
        <f>IF(AND(Y348&gt;1,T348&gt;0),T348+18,"-")</f>
        <v>42870</v>
      </c>
      <c r="V348" s="19">
        <f ca="1">IF(AND(U348&gt;0,B348&gt;0,Y348&gt;1),B348-U348,"-")</f>
        <v>264</v>
      </c>
      <c r="W348" s="3">
        <v>0</v>
      </c>
      <c r="X348" s="22" t="str">
        <f>IF(AND(N348&gt;0,T348&gt;0),T348-N348,"-")</f>
        <v>-</v>
      </c>
      <c r="Y348" s="22">
        <v>5</v>
      </c>
      <c r="Z348" s="329" t="str">
        <f ca="1">IF(AND(Y348=1,AA348&gt;71,OR(ISBLANK(AB348),AB348=2)),"ПОДЛЕЖИТ ПЕРЕПРОВЕРКЕ","-----")</f>
        <v>-----</v>
      </c>
      <c r="AA348" s="328">
        <f ca="1">IF(AND(O348&gt;-1,W348&gt;0,Y348=1,AB348=1),"-----",B348-T348)</f>
        <v>282</v>
      </c>
      <c r="AB348" s="19"/>
      <c r="AC348" s="331" t="str">
        <f ca="1">IF(AND(AB348&lt;1,Z348="ПОДЛЕЖИТ ПЕРЕПРОВЕРКЕ",Y348=1),T348+72,"-----")</f>
        <v>-----</v>
      </c>
      <c r="AD348" s="20"/>
      <c r="AE348" s="22" t="str">
        <f t="shared" ca="1" si="394"/>
        <v>-</v>
      </c>
      <c r="AF348" s="20" t="str">
        <f>IF(AND(T348&gt;0,OR(Y348=3,Y348=2)),T348+35,"-")</f>
        <v>-</v>
      </c>
      <c r="AG348" s="94" t="str">
        <f>IF(AND(T348&gt;0,W348&gt;0,Q348&gt;0,OR(Y348=3,Y348=2)),B348-AF348,"---------")</f>
        <v>---------</v>
      </c>
      <c r="AH348" s="21"/>
      <c r="AI348" s="21" t="str">
        <f>IF(AND($T348&gt;0,$N348&gt;0,$Y348=1),$T348+280-90,"-")</f>
        <v>-</v>
      </c>
      <c r="AJ348" s="21" t="str">
        <f>IF(AND(T348&gt;0,Y348=1,N348&gt;0),T348+280-60,"-")</f>
        <v>-</v>
      </c>
      <c r="AK348" s="85">
        <v>42948</v>
      </c>
      <c r="AL348" s="21" t="s">
        <v>2892</v>
      </c>
      <c r="AM348" s="80"/>
    </row>
    <row r="349" spans="1:39" s="1" customFormat="1" ht="15.95" customHeight="1" x14ac:dyDescent="0.25">
      <c r="A349" s="77">
        <v>347</v>
      </c>
      <c r="B349" s="84">
        <f t="shared" ca="1" si="349"/>
        <v>43134</v>
      </c>
      <c r="C349" s="29" t="s">
        <v>2546</v>
      </c>
      <c r="D349" s="59" t="s">
        <v>1555</v>
      </c>
      <c r="E349" s="22" t="s">
        <v>1557</v>
      </c>
      <c r="F349" s="27" t="s">
        <v>2935</v>
      </c>
      <c r="G349" s="324"/>
      <c r="H349" s="28" t="s">
        <v>603</v>
      </c>
      <c r="I349" s="20">
        <v>42927</v>
      </c>
      <c r="J349" s="240">
        <f ca="1">(B349-I349)/365</f>
        <v>0.56712328767123288</v>
      </c>
      <c r="K349" s="240">
        <f ca="1">(B349-I349)/30</f>
        <v>6.9</v>
      </c>
      <c r="L349" s="298">
        <f ca="1">B349-I349</f>
        <v>207</v>
      </c>
      <c r="M349" s="60"/>
      <c r="N349" s="32"/>
      <c r="O349" s="82" t="str">
        <f ca="1">IF(AND(B349&gt;0,N349&gt;0),B349-N349,"-")</f>
        <v>-</v>
      </c>
      <c r="P349" s="19"/>
      <c r="Q349" s="68"/>
      <c r="R349" s="118"/>
      <c r="S349" s="21"/>
      <c r="T349" s="20"/>
      <c r="U349" s="20" t="str">
        <f>IF(AND(Y349&gt;1,T349&gt;0),T349+18,"-")</f>
        <v>-</v>
      </c>
      <c r="V349" s="19" t="str">
        <f ca="1">IF(AND(U349&gt;0,B349&gt;0,Y349&gt;1),B349-U349,"-")</f>
        <v>-</v>
      </c>
      <c r="W349" s="3">
        <v>0</v>
      </c>
      <c r="X349" s="22" t="str">
        <f>IF(AND(N349&gt;0,T349&gt;0),T349-N349,"-")</f>
        <v>-</v>
      </c>
      <c r="Y349" s="22">
        <v>0</v>
      </c>
      <c r="Z349" s="329" t="str">
        <f ca="1">IF(AND(Y349=1,AA349&gt;71,OR(ISBLANK(AB349),AB349=2)),"ПОДЛЕЖИТ ПЕРЕПРОВЕРКЕ","-----")</f>
        <v>-----</v>
      </c>
      <c r="AA349" s="328">
        <f ca="1">IF(AND(O349&gt;-1,W349&gt;0,Y349=1,AB349=1),"-----",B349-T349)</f>
        <v>43134</v>
      </c>
      <c r="AB349" s="19"/>
      <c r="AC349" s="331" t="str">
        <f ca="1">IF(AND(AB349&lt;1,Z349="ПОДЛЕЖИТ ПЕРЕПРОВЕРКЕ",Y349=1),T349+72,"-----")</f>
        <v>-----</v>
      </c>
      <c r="AD349" s="20"/>
      <c r="AE349" s="22" t="str">
        <f t="shared" ca="1" si="394"/>
        <v>-</v>
      </c>
      <c r="AF349" s="20" t="str">
        <f>IF(AND(T349&gt;0,OR(Y349=3,Y349=2)),T349+35,"-")</f>
        <v>-</v>
      </c>
      <c r="AG349" s="94" t="str">
        <f>IF(AND(T349&gt;0,W349&gt;0,Q349&gt;0,OR(Y349=3,Y349=2)),B349-AF349,"---------")</f>
        <v>---------</v>
      </c>
      <c r="AH349" s="21"/>
      <c r="AI349" s="21" t="str">
        <f>IF(AND($T349&gt;0,$N349&gt;0,$Y349=1),$T349+280-90,"-")</f>
        <v>-</v>
      </c>
      <c r="AJ349" s="21" t="str">
        <f>IF(AND(T349&gt;0,Y349=1,N349&gt;0),T349+280-60,"-")</f>
        <v>-</v>
      </c>
      <c r="AK349" s="85">
        <v>42948</v>
      </c>
      <c r="AL349" s="21" t="s">
        <v>1614</v>
      </c>
      <c r="AM349" s="80">
        <v>32</v>
      </c>
    </row>
    <row r="350" spans="1:39" s="1" customFormat="1" ht="15.95" customHeight="1" x14ac:dyDescent="0.25">
      <c r="A350" s="77">
        <v>348</v>
      </c>
      <c r="B350" s="84">
        <f t="shared" ca="1" si="349"/>
        <v>43134</v>
      </c>
      <c r="C350" s="29" t="s">
        <v>2546</v>
      </c>
      <c r="D350" s="59" t="s">
        <v>1555</v>
      </c>
      <c r="E350" s="22" t="s">
        <v>1557</v>
      </c>
      <c r="F350" s="27" t="s">
        <v>3016</v>
      </c>
      <c r="G350" s="324"/>
      <c r="H350" s="28" t="s">
        <v>603</v>
      </c>
      <c r="I350" s="20">
        <v>42944</v>
      </c>
      <c r="J350" s="240">
        <f ca="1">(B350-I350)/365</f>
        <v>0.52054794520547942</v>
      </c>
      <c r="K350" s="240">
        <f ca="1">(B350-I350)/30</f>
        <v>6.333333333333333</v>
      </c>
      <c r="L350" s="298">
        <f ca="1">B350-I350</f>
        <v>190</v>
      </c>
      <c r="M350" s="60"/>
      <c r="N350" s="32"/>
      <c r="O350" s="82" t="str">
        <f ca="1">IF(AND(B350&gt;0,N350&gt;0),B350-N350,"-")</f>
        <v>-</v>
      </c>
      <c r="P350" s="19"/>
      <c r="Q350" s="68"/>
      <c r="R350" s="118"/>
      <c r="S350" s="21"/>
      <c r="T350" s="20"/>
      <c r="U350" s="20" t="str">
        <f>IF(AND(Y350&gt;1,T350&gt;0),T350+18,"-")</f>
        <v>-</v>
      </c>
      <c r="V350" s="19" t="str">
        <f ca="1">IF(AND(U350&gt;0,B350&gt;0,Y350&gt;1),B350-U350,"-")</f>
        <v>-</v>
      </c>
      <c r="W350" s="3"/>
      <c r="X350" s="22" t="str">
        <f>IF(AND(N350&gt;0,T350&gt;0),T350-N350,"-")</f>
        <v>-</v>
      </c>
      <c r="Y350" s="22"/>
      <c r="Z350" s="329" t="str">
        <f ca="1">IF(AND(Y350=1,AA350&gt;71,OR(ISBLANK(AB350),AB350=2)),"ПОДЛЕЖИТ ПЕРЕПРОВЕРКЕ","-----")</f>
        <v>-----</v>
      </c>
      <c r="AA350" s="328">
        <f ca="1">IF(AND(O350&gt;-1,W350&gt;0,Y350=1,AB350=1),"-----",B350-T350)</f>
        <v>43134</v>
      </c>
      <c r="AB350" s="19"/>
      <c r="AC350" s="331" t="str">
        <f ca="1">IF(AND(AB350&lt;1,Z350="ПОДЛЕЖИТ ПЕРЕПРОВЕРКЕ",Y350=1),T350+72,"-----")</f>
        <v>-----</v>
      </c>
      <c r="AD350" s="20"/>
      <c r="AE350" s="22" t="str">
        <f t="shared" ca="1" si="394"/>
        <v>-</v>
      </c>
      <c r="AF350" s="20" t="str">
        <f>IF(AND(T350&gt;0,OR(Y350=3,Y350=2)),T350+35,"-")</f>
        <v>-</v>
      </c>
      <c r="AG350" s="94" t="str">
        <f>IF(AND(T350&gt;0,W350&gt;0,Q350&gt;0,OR(Y350=3,Y350=2)),B350-AF350,"---------")</f>
        <v>---------</v>
      </c>
      <c r="AH350" s="21"/>
      <c r="AI350" s="21" t="str">
        <f>IF(AND($T350&gt;0,$N350&gt;0,$Y350=1),$T350+280-90,"-")</f>
        <v>-</v>
      </c>
      <c r="AJ350" s="21" t="str">
        <f>IF(AND(T350&gt;0,Y350=1,N350&gt;0),T350+280-60,"-")</f>
        <v>-</v>
      </c>
      <c r="AK350" s="85">
        <v>42948</v>
      </c>
      <c r="AL350" s="21" t="s">
        <v>1614</v>
      </c>
      <c r="AM350" s="80">
        <v>50</v>
      </c>
    </row>
    <row r="351" spans="1:39" s="1" customFormat="1" ht="15.95" customHeight="1" x14ac:dyDescent="0.25">
      <c r="A351" s="77">
        <v>349</v>
      </c>
      <c r="B351" s="84">
        <f t="shared" ca="1" si="349"/>
        <v>43134</v>
      </c>
      <c r="C351" s="29" t="s">
        <v>2546</v>
      </c>
      <c r="D351" s="59" t="s">
        <v>1555</v>
      </c>
      <c r="E351" s="22" t="s">
        <v>1557</v>
      </c>
      <c r="F351" s="27" t="s">
        <v>3027</v>
      </c>
      <c r="G351" s="324"/>
      <c r="H351" s="28" t="s">
        <v>603</v>
      </c>
      <c r="I351" s="20">
        <v>42948</v>
      </c>
      <c r="J351" s="240">
        <f ca="1">(B351-I351)/365</f>
        <v>0.50958904109589043</v>
      </c>
      <c r="K351" s="240">
        <f ca="1">(B351-I351)/30</f>
        <v>6.2</v>
      </c>
      <c r="L351" s="298">
        <f ca="1">B351-I351</f>
        <v>186</v>
      </c>
      <c r="M351" s="60"/>
      <c r="N351" s="32"/>
      <c r="O351" s="82" t="str">
        <f ca="1">IF(AND(B351&gt;0,N351&gt;0),B351-N351,"-")</f>
        <v>-</v>
      </c>
      <c r="P351" s="19"/>
      <c r="Q351" s="68"/>
      <c r="R351" s="118"/>
      <c r="S351" s="21"/>
      <c r="T351" s="20"/>
      <c r="U351" s="20" t="str">
        <f>IF(AND(Y351&gt;1,T351&gt;0),T351+18,"-")</f>
        <v>-</v>
      </c>
      <c r="V351" s="19" t="str">
        <f ca="1">IF(AND(U351&gt;0,B351&gt;0,Y351&gt;1),B351-U351,"-")</f>
        <v>-</v>
      </c>
      <c r="W351" s="3">
        <v>0</v>
      </c>
      <c r="X351" s="22" t="str">
        <f>IF(AND(N351&gt;0,T351&gt;0),T351-N351,"-")</f>
        <v>-</v>
      </c>
      <c r="Y351" s="22">
        <v>0</v>
      </c>
      <c r="Z351" s="329" t="str">
        <f ca="1">IF(AND(Y351=1,AA351&gt;71,OR(ISBLANK(AB351),AB351=2)),"ПОДЛЕЖИТ ПЕРЕПРОВЕРКЕ","-----")</f>
        <v>-----</v>
      </c>
      <c r="AA351" s="328">
        <f ca="1">IF(AND(O351&gt;-1,W351&gt;0,Y351=1,AB351=1),"-----",B351-T351)</f>
        <v>43134</v>
      </c>
      <c r="AB351" s="19"/>
      <c r="AC351" s="331" t="str">
        <f ca="1">IF(AND(AB351&lt;1,Z351="ПОДЛЕЖИТ ПЕРЕПРОВЕРКЕ",Y351=1),T351+72,"-----")</f>
        <v>-----</v>
      </c>
      <c r="AD351" s="20"/>
      <c r="AE351" s="22" t="str">
        <f ca="1">IF(AND(O351&gt;120,Y351=0,N351&gt;0),"яловая","-")</f>
        <v>-</v>
      </c>
      <c r="AF351" s="20" t="str">
        <f>IF(AND(T351&gt;0,OR(Y351=3,Y351=2)),T351+35,"-")</f>
        <v>-</v>
      </c>
      <c r="AG351" s="94" t="str">
        <f>IF(AND(T351&gt;0,W351&gt;0,Q351&gt;0,OR(Y351=3,Y351=2)),B351-AF351,"---------")</f>
        <v>---------</v>
      </c>
      <c r="AH351" s="21"/>
      <c r="AI351" s="21" t="str">
        <f>IF(AND($T351&gt;0,$N351&gt;0,$Y351=1),$T351+280-90,"-")</f>
        <v>-</v>
      </c>
      <c r="AJ351" s="21" t="str">
        <f>IF(AND(T351&gt;0,Y351=1,N351&gt;0),T351+280-60,"-")</f>
        <v>-</v>
      </c>
      <c r="AK351" s="85">
        <v>42951</v>
      </c>
      <c r="AL351" s="21" t="s">
        <v>1614</v>
      </c>
      <c r="AM351" s="80">
        <v>42</v>
      </c>
    </row>
    <row r="352" spans="1:39" s="1" customFormat="1" ht="15.95" customHeight="1" x14ac:dyDescent="0.25">
      <c r="A352" s="77">
        <v>350</v>
      </c>
      <c r="B352" s="84">
        <f t="shared" ca="1" si="349"/>
        <v>43134</v>
      </c>
      <c r="C352" s="271" t="s">
        <v>2584</v>
      </c>
      <c r="D352" s="59" t="s">
        <v>2915</v>
      </c>
      <c r="E352" s="22" t="s">
        <v>2800</v>
      </c>
      <c r="F352" s="27" t="s">
        <v>1545</v>
      </c>
      <c r="G352" s="324"/>
      <c r="H352" s="28" t="s">
        <v>603</v>
      </c>
      <c r="I352" s="20">
        <v>42236</v>
      </c>
      <c r="J352" s="240">
        <f t="shared" ref="J352" ca="1" si="395">(B352-I352)/365</f>
        <v>2.4602739726027396</v>
      </c>
      <c r="K352" s="240">
        <f t="shared" ref="K352" ca="1" si="396">(B352-I352)/30</f>
        <v>29.933333333333334</v>
      </c>
      <c r="L352" s="298">
        <f t="shared" ref="L352" ca="1" si="397">B352-I352</f>
        <v>898</v>
      </c>
      <c r="M352" s="60"/>
      <c r="N352" s="32"/>
      <c r="O352" s="82" t="str">
        <f t="shared" ref="O352" ca="1" si="398">IF(AND(B352&gt;0,N352&gt;0),B352-N352,"-")</f>
        <v>-</v>
      </c>
      <c r="P352" s="19"/>
      <c r="Q352" s="68" t="s">
        <v>1482</v>
      </c>
      <c r="R352" s="118" t="s">
        <v>1874</v>
      </c>
      <c r="S352" s="21">
        <v>42614</v>
      </c>
      <c r="T352" s="20">
        <v>42775</v>
      </c>
      <c r="U352" s="20" t="str">
        <f t="shared" ref="U352" si="399">IF(AND(Y352&gt;1,T352&gt;0),T352+18,"-")</f>
        <v>-</v>
      </c>
      <c r="V352" s="19" t="str">
        <f t="shared" ref="V352" ca="1" si="400">IF(AND(U352&gt;0,B352&gt;0,Y352&gt;1),B352-U352,"-")</f>
        <v>-</v>
      </c>
      <c r="W352" s="3">
        <v>4</v>
      </c>
      <c r="X352" s="22" t="str">
        <f t="shared" ref="X352" si="401">IF(AND(N352&gt;0,T352&gt;0),T352-N352,"-")</f>
        <v>-</v>
      </c>
      <c r="Y352" s="22">
        <v>0</v>
      </c>
      <c r="Z352" s="329" t="str">
        <f t="shared" ref="Z352" ca="1" si="402">IF(AND(Y352=1,AA352&gt;71,OR(ISBLANK(AB352),AB352=2)),"ПОДЛЕЖИТ ПЕРЕПРОВЕРКЕ","-----")</f>
        <v>-----</v>
      </c>
      <c r="AA352" s="328">
        <f t="shared" ref="AA352" ca="1" si="403">IF(AND(O352&gt;-1,W352&gt;0,Y352=1,AB352=1),"-----",B352-T352)</f>
        <v>359</v>
      </c>
      <c r="AB352" s="19"/>
      <c r="AC352" s="331" t="str">
        <f t="shared" ref="AC352" ca="1" si="404">IF(AND(AB352&lt;1,Z352="ПОДЛЕЖИТ ПЕРЕПРОВЕРКЕ",Y352=1),T352+72,"-----")</f>
        <v>-----</v>
      </c>
      <c r="AD352" s="20"/>
      <c r="AE352" s="22" t="str">
        <f t="shared" ref="AE352" ca="1" si="405">IF(AND(O352&gt;120,Y352=0,N352&gt;0),"яловая","-")</f>
        <v>-</v>
      </c>
      <c r="AF352" s="20" t="str">
        <f t="shared" ref="AF352" si="406">IF(AND(T352&gt;0,OR(Y352=3,Y352=2)),T352+35,"-")</f>
        <v>-</v>
      </c>
      <c r="AG352" s="94" t="str">
        <f t="shared" ref="AG352" si="407">IF(AND(T352&gt;0,W352&gt;0,Q352&gt;0,OR(Y352=3,Y352=2)),B352-AF352,"---------")</f>
        <v>---------</v>
      </c>
      <c r="AH352" s="21">
        <v>42851</v>
      </c>
      <c r="AI352" s="21" t="str">
        <f t="shared" ref="AI352" si="408">IF(AND($T352&gt;0,$N352&gt;0,$Y352=1),$T352+280-90,"-")</f>
        <v>-</v>
      </c>
      <c r="AJ352" s="21" t="str">
        <f t="shared" ref="AJ352" si="409">IF(AND(T352&gt;0,Y352=1,N352&gt;0),T352+280-60,"-")</f>
        <v>-</v>
      </c>
      <c r="AK352" s="85">
        <v>42953</v>
      </c>
      <c r="AL352" s="21" t="s">
        <v>2479</v>
      </c>
      <c r="AM352" s="80"/>
    </row>
    <row r="353" spans="1:39" s="1" customFormat="1" ht="15.95" customHeight="1" x14ac:dyDescent="0.25">
      <c r="A353" s="77">
        <v>351</v>
      </c>
      <c r="B353" s="84">
        <f t="shared" ca="1" si="349"/>
        <v>43134</v>
      </c>
      <c r="C353" s="29" t="s">
        <v>2584</v>
      </c>
      <c r="D353" s="59" t="s">
        <v>2582</v>
      </c>
      <c r="E353" s="22" t="s">
        <v>1563</v>
      </c>
      <c r="F353" s="27" t="s">
        <v>1661</v>
      </c>
      <c r="G353" s="324"/>
      <c r="H353" s="28" t="s">
        <v>603</v>
      </c>
      <c r="I353" s="20">
        <v>42543</v>
      </c>
      <c r="J353" s="240">
        <f t="shared" ref="J353:J367" ca="1" si="410">(B353-I353)/365</f>
        <v>1.6191780821917807</v>
      </c>
      <c r="K353" s="240">
        <f t="shared" ref="K353:K367" ca="1" si="411">(B353-I353)/30</f>
        <v>19.7</v>
      </c>
      <c r="L353" s="298">
        <f t="shared" ref="L353:L367" ca="1" si="412">B353-I353</f>
        <v>591</v>
      </c>
      <c r="M353" s="60"/>
      <c r="N353" s="32"/>
      <c r="O353" s="82" t="str">
        <f t="shared" ref="O353:O362" ca="1" si="413">IF(AND(B353&gt;0,N353&gt;0),B353-N353,"-")</f>
        <v>-</v>
      </c>
      <c r="P353" s="19"/>
      <c r="Q353" s="68" t="s">
        <v>2366</v>
      </c>
      <c r="R353" s="118" t="s">
        <v>2909</v>
      </c>
      <c r="S353" s="21">
        <v>42939</v>
      </c>
      <c r="T353" s="20">
        <v>42939</v>
      </c>
      <c r="U353" s="20">
        <f t="shared" ref="U353:U362" si="414">IF(AND(Y353&gt;1,T353&gt;0),T353+18,"-")</f>
        <v>42957</v>
      </c>
      <c r="V353" s="19">
        <f t="shared" ref="V353:V362" ca="1" si="415">IF(AND(U353&gt;0,B353&gt;0,Y353&gt;1),B353-U353,"-")</f>
        <v>177</v>
      </c>
      <c r="W353" s="3">
        <v>1</v>
      </c>
      <c r="X353" s="22" t="str">
        <f t="shared" ref="X353:X362" si="416">IF(AND(N353&gt;0,T353&gt;0),T353-N353,"-")</f>
        <v>-</v>
      </c>
      <c r="Y353" s="22">
        <v>3</v>
      </c>
      <c r="Z353" s="329" t="str">
        <f t="shared" ref="Z353:Z362" ca="1" si="417">IF(AND(Y353=1,AA353&gt;71,OR(ISBLANK(AB353),AB353=2)),"ПОДЛЕЖИТ ПЕРЕПРОВЕРКЕ","-----")</f>
        <v>-----</v>
      </c>
      <c r="AA353" s="328">
        <f t="shared" ref="AA353:AA362" ca="1" si="418">IF(AND(O353&gt;-1,W353&gt;0,Y353=1,AB353=1),"-----",B353-T353)</f>
        <v>195</v>
      </c>
      <c r="AB353" s="19"/>
      <c r="AC353" s="331" t="str">
        <f t="shared" ref="AC353:AC362" ca="1" si="419">IF(AND(AB353&lt;1,Z353="ПОДЛЕЖИТ ПЕРЕПРОВЕРКЕ",Y353=1),T353+72,"-----")</f>
        <v>-----</v>
      </c>
      <c r="AD353" s="20"/>
      <c r="AE353" s="22" t="str">
        <f t="shared" ref="AE353:AE362" ca="1" si="420">IF(AND(O353&gt;120,Y353=0,N353&gt;0),"яловая","-")</f>
        <v>-</v>
      </c>
      <c r="AF353" s="20">
        <f t="shared" ref="AF353:AF362" si="421">IF(AND(T353&gt;0,OR(Y353=3,Y353=2)),T353+35,"-")</f>
        <v>42974</v>
      </c>
      <c r="AG353" s="94">
        <f t="shared" ref="AG353:AG362" ca="1" si="422">IF(AND(T353&gt;0,W353&gt;0,Q353&gt;0,OR(Y353=3,Y353=2)),B353-AF353,"---------")</f>
        <v>160</v>
      </c>
      <c r="AH353" s="21"/>
      <c r="AI353" s="21" t="str">
        <f t="shared" ref="AI353:AI362" si="423">IF(AND($T353&gt;0,$N353&gt;0,$Y353=1),$T353+280-90,"-")</f>
        <v>-</v>
      </c>
      <c r="AJ353" s="21" t="str">
        <f t="shared" ref="AJ353:AJ362" si="424">IF(AND(T353&gt;0,Y353=1,N353&gt;0),T353+280-60,"-")</f>
        <v>-</v>
      </c>
      <c r="AK353" s="85">
        <v>42956</v>
      </c>
      <c r="AL353" s="21" t="s">
        <v>2223</v>
      </c>
      <c r="AM353" s="80"/>
    </row>
    <row r="354" spans="1:39" s="1" customFormat="1" ht="15.95" customHeight="1" x14ac:dyDescent="0.25">
      <c r="A354" s="77">
        <v>352</v>
      </c>
      <c r="B354" s="84">
        <f t="shared" ca="1" si="349"/>
        <v>43134</v>
      </c>
      <c r="C354" s="29" t="s">
        <v>2546</v>
      </c>
      <c r="D354" s="59" t="s">
        <v>1555</v>
      </c>
      <c r="E354" s="22" t="s">
        <v>1557</v>
      </c>
      <c r="F354" s="27" t="s">
        <v>3048</v>
      </c>
      <c r="G354" s="324"/>
      <c r="H354" s="28" t="s">
        <v>603</v>
      </c>
      <c r="I354" s="20">
        <v>42953</v>
      </c>
      <c r="J354" s="35">
        <f t="shared" ca="1" si="410"/>
        <v>0.49589041095890413</v>
      </c>
      <c r="K354" s="35">
        <f t="shared" ca="1" si="411"/>
        <v>6.0333333333333332</v>
      </c>
      <c r="L354" s="299">
        <f t="shared" ca="1" si="412"/>
        <v>181</v>
      </c>
      <c r="M354" s="60"/>
      <c r="N354" s="32"/>
      <c r="O354" s="82" t="str">
        <f t="shared" ca="1" si="413"/>
        <v>-</v>
      </c>
      <c r="P354" s="19"/>
      <c r="Q354" s="68"/>
      <c r="R354" s="118"/>
      <c r="S354" s="21"/>
      <c r="T354" s="20"/>
      <c r="U354" s="20" t="str">
        <f t="shared" si="414"/>
        <v>-</v>
      </c>
      <c r="V354" s="19" t="str">
        <f t="shared" ca="1" si="415"/>
        <v>-</v>
      </c>
      <c r="W354" s="3"/>
      <c r="X354" s="22" t="str">
        <f t="shared" si="416"/>
        <v>-</v>
      </c>
      <c r="Y354" s="22"/>
      <c r="Z354" s="329" t="str">
        <f t="shared" ca="1" si="417"/>
        <v>-----</v>
      </c>
      <c r="AA354" s="328">
        <f t="shared" ca="1" si="418"/>
        <v>43134</v>
      </c>
      <c r="AB354" s="19"/>
      <c r="AC354" s="331" t="str">
        <f t="shared" ca="1" si="419"/>
        <v>-----</v>
      </c>
      <c r="AD354" s="20"/>
      <c r="AE354" s="22" t="str">
        <f t="shared" ca="1" si="420"/>
        <v>-</v>
      </c>
      <c r="AF354" s="20" t="str">
        <f t="shared" si="421"/>
        <v>-</v>
      </c>
      <c r="AG354" s="94" t="str">
        <f t="shared" si="422"/>
        <v>---------</v>
      </c>
      <c r="AH354" s="21"/>
      <c r="AI354" s="21" t="str">
        <f t="shared" si="423"/>
        <v>-</v>
      </c>
      <c r="AJ354" s="21" t="str">
        <f t="shared" si="424"/>
        <v>-</v>
      </c>
      <c r="AK354" s="85">
        <v>42957</v>
      </c>
      <c r="AL354" s="21" t="s">
        <v>1614</v>
      </c>
      <c r="AM354" s="80">
        <v>49</v>
      </c>
    </row>
    <row r="355" spans="1:39" s="1" customFormat="1" ht="15.95" customHeight="1" x14ac:dyDescent="0.25">
      <c r="A355" s="77">
        <v>353</v>
      </c>
      <c r="B355" s="84">
        <f t="shared" ca="1" si="349"/>
        <v>43134</v>
      </c>
      <c r="C355" s="29" t="s">
        <v>2546</v>
      </c>
      <c r="D355" s="59" t="s">
        <v>1555</v>
      </c>
      <c r="E355" s="22" t="s">
        <v>1557</v>
      </c>
      <c r="F355" s="27" t="s">
        <v>3049</v>
      </c>
      <c r="G355" s="324"/>
      <c r="H355" s="28" t="s">
        <v>603</v>
      </c>
      <c r="I355" s="20">
        <v>42954</v>
      </c>
      <c r="J355" s="35">
        <f t="shared" ca="1" si="410"/>
        <v>0.49315068493150682</v>
      </c>
      <c r="K355" s="35">
        <f t="shared" ca="1" si="411"/>
        <v>6</v>
      </c>
      <c r="L355" s="299">
        <f t="shared" ca="1" si="412"/>
        <v>180</v>
      </c>
      <c r="M355" s="60"/>
      <c r="N355" s="32"/>
      <c r="O355" s="82" t="str">
        <f t="shared" ca="1" si="413"/>
        <v>-</v>
      </c>
      <c r="P355" s="19"/>
      <c r="Q355" s="68"/>
      <c r="R355" s="118"/>
      <c r="S355" s="21"/>
      <c r="T355" s="20"/>
      <c r="U355" s="20" t="str">
        <f t="shared" si="414"/>
        <v>-</v>
      </c>
      <c r="V355" s="19" t="str">
        <f t="shared" ca="1" si="415"/>
        <v>-</v>
      </c>
      <c r="W355" s="3"/>
      <c r="X355" s="22" t="str">
        <f t="shared" si="416"/>
        <v>-</v>
      </c>
      <c r="Y355" s="22"/>
      <c r="Z355" s="329" t="str">
        <f t="shared" ca="1" si="417"/>
        <v>-----</v>
      </c>
      <c r="AA355" s="328">
        <f t="shared" ca="1" si="418"/>
        <v>43134</v>
      </c>
      <c r="AB355" s="19"/>
      <c r="AC355" s="331" t="str">
        <f t="shared" ca="1" si="419"/>
        <v>-----</v>
      </c>
      <c r="AD355" s="20"/>
      <c r="AE355" s="22" t="str">
        <f t="shared" ca="1" si="420"/>
        <v>-</v>
      </c>
      <c r="AF355" s="20" t="str">
        <f t="shared" si="421"/>
        <v>-</v>
      </c>
      <c r="AG355" s="94" t="str">
        <f t="shared" si="422"/>
        <v>---------</v>
      </c>
      <c r="AH355" s="21"/>
      <c r="AI355" s="21" t="str">
        <f t="shared" si="423"/>
        <v>-</v>
      </c>
      <c r="AJ355" s="21" t="str">
        <f t="shared" si="424"/>
        <v>-</v>
      </c>
      <c r="AK355" s="85">
        <v>42957</v>
      </c>
      <c r="AL355" s="21" t="s">
        <v>1614</v>
      </c>
      <c r="AM355" s="80">
        <v>45</v>
      </c>
    </row>
    <row r="356" spans="1:39" s="1" customFormat="1" ht="15.95" customHeight="1" x14ac:dyDescent="0.25">
      <c r="A356" s="77">
        <v>354</v>
      </c>
      <c r="B356" s="84">
        <f t="shared" ca="1" si="349"/>
        <v>43134</v>
      </c>
      <c r="C356" s="29" t="s">
        <v>2546</v>
      </c>
      <c r="D356" s="59" t="s">
        <v>1555</v>
      </c>
      <c r="E356" s="22" t="s">
        <v>1557</v>
      </c>
      <c r="F356" s="27" t="s">
        <v>3052</v>
      </c>
      <c r="G356" s="324"/>
      <c r="H356" s="28" t="s">
        <v>603</v>
      </c>
      <c r="I356" s="20">
        <v>42955</v>
      </c>
      <c r="J356" s="35">
        <f t="shared" ca="1" si="410"/>
        <v>0.49041095890410957</v>
      </c>
      <c r="K356" s="35">
        <f t="shared" ca="1" si="411"/>
        <v>5.9666666666666668</v>
      </c>
      <c r="L356" s="299">
        <f t="shared" ca="1" si="412"/>
        <v>179</v>
      </c>
      <c r="M356" s="60"/>
      <c r="N356" s="32"/>
      <c r="O356" s="82" t="str">
        <f t="shared" ca="1" si="413"/>
        <v>-</v>
      </c>
      <c r="P356" s="19"/>
      <c r="Q356" s="68"/>
      <c r="R356" s="118"/>
      <c r="S356" s="21"/>
      <c r="T356" s="20"/>
      <c r="U356" s="20" t="str">
        <f t="shared" si="414"/>
        <v>-</v>
      </c>
      <c r="V356" s="19" t="str">
        <f t="shared" ca="1" si="415"/>
        <v>-</v>
      </c>
      <c r="W356" s="3"/>
      <c r="X356" s="22" t="str">
        <f t="shared" si="416"/>
        <v>-</v>
      </c>
      <c r="Y356" s="22"/>
      <c r="Z356" s="329" t="str">
        <f t="shared" ca="1" si="417"/>
        <v>-----</v>
      </c>
      <c r="AA356" s="328">
        <f t="shared" ca="1" si="418"/>
        <v>43134</v>
      </c>
      <c r="AB356" s="19"/>
      <c r="AC356" s="331" t="str">
        <f t="shared" ca="1" si="419"/>
        <v>-----</v>
      </c>
      <c r="AD356" s="20"/>
      <c r="AE356" s="22" t="str">
        <f t="shared" ca="1" si="420"/>
        <v>-</v>
      </c>
      <c r="AF356" s="20" t="str">
        <f t="shared" si="421"/>
        <v>-</v>
      </c>
      <c r="AG356" s="94" t="str">
        <f t="shared" si="422"/>
        <v>---------</v>
      </c>
      <c r="AH356" s="21"/>
      <c r="AI356" s="21" t="str">
        <f t="shared" si="423"/>
        <v>-</v>
      </c>
      <c r="AJ356" s="21" t="str">
        <f t="shared" si="424"/>
        <v>-</v>
      </c>
      <c r="AK356" s="85">
        <v>42957</v>
      </c>
      <c r="AL356" s="21" t="s">
        <v>1614</v>
      </c>
      <c r="AM356" s="80">
        <v>53</v>
      </c>
    </row>
    <row r="357" spans="1:39" s="1" customFormat="1" ht="15.95" customHeight="1" x14ac:dyDescent="0.25">
      <c r="A357" s="77">
        <v>355</v>
      </c>
      <c r="B357" s="84">
        <f t="shared" ca="1" si="349"/>
        <v>43134</v>
      </c>
      <c r="C357" s="29" t="s">
        <v>2546</v>
      </c>
      <c r="D357" s="59" t="s">
        <v>1555</v>
      </c>
      <c r="E357" s="22" t="s">
        <v>1557</v>
      </c>
      <c r="F357" s="27" t="s">
        <v>3054</v>
      </c>
      <c r="G357" s="324"/>
      <c r="H357" s="28" t="s">
        <v>603</v>
      </c>
      <c r="I357" s="20">
        <v>42955</v>
      </c>
      <c r="J357" s="35">
        <f t="shared" ca="1" si="410"/>
        <v>0.49041095890410957</v>
      </c>
      <c r="K357" s="35">
        <f t="shared" ca="1" si="411"/>
        <v>5.9666666666666668</v>
      </c>
      <c r="L357" s="299">
        <f t="shared" ca="1" si="412"/>
        <v>179</v>
      </c>
      <c r="M357" s="60"/>
      <c r="N357" s="32"/>
      <c r="O357" s="82" t="str">
        <f t="shared" ca="1" si="413"/>
        <v>-</v>
      </c>
      <c r="P357" s="19"/>
      <c r="Q357" s="68"/>
      <c r="R357" s="118"/>
      <c r="S357" s="21"/>
      <c r="T357" s="20"/>
      <c r="U357" s="20" t="str">
        <f t="shared" si="414"/>
        <v>-</v>
      </c>
      <c r="V357" s="19" t="str">
        <f t="shared" ca="1" si="415"/>
        <v>-</v>
      </c>
      <c r="W357" s="3"/>
      <c r="X357" s="22" t="str">
        <f t="shared" si="416"/>
        <v>-</v>
      </c>
      <c r="Y357" s="22"/>
      <c r="Z357" s="329" t="str">
        <f t="shared" ca="1" si="417"/>
        <v>-----</v>
      </c>
      <c r="AA357" s="328">
        <f t="shared" ca="1" si="418"/>
        <v>43134</v>
      </c>
      <c r="AB357" s="19"/>
      <c r="AC357" s="331" t="str">
        <f t="shared" ca="1" si="419"/>
        <v>-----</v>
      </c>
      <c r="AD357" s="20"/>
      <c r="AE357" s="22" t="str">
        <f t="shared" ca="1" si="420"/>
        <v>-</v>
      </c>
      <c r="AF357" s="20" t="str">
        <f t="shared" si="421"/>
        <v>-</v>
      </c>
      <c r="AG357" s="94" t="str">
        <f t="shared" si="422"/>
        <v>---------</v>
      </c>
      <c r="AH357" s="21"/>
      <c r="AI357" s="21" t="str">
        <f t="shared" si="423"/>
        <v>-</v>
      </c>
      <c r="AJ357" s="21" t="str">
        <f t="shared" si="424"/>
        <v>-</v>
      </c>
      <c r="AK357" s="85">
        <v>42957</v>
      </c>
      <c r="AL357" s="21" t="s">
        <v>1614</v>
      </c>
      <c r="AM357" s="80">
        <v>54</v>
      </c>
    </row>
    <row r="358" spans="1:39" s="1" customFormat="1" ht="15.95" customHeight="1" x14ac:dyDescent="0.25">
      <c r="A358" s="77">
        <v>356</v>
      </c>
      <c r="B358" s="84">
        <f t="shared" ca="1" si="349"/>
        <v>43134</v>
      </c>
      <c r="C358" s="29" t="s">
        <v>2546</v>
      </c>
      <c r="D358" s="59" t="s">
        <v>1555</v>
      </c>
      <c r="E358" s="22" t="s">
        <v>1557</v>
      </c>
      <c r="F358" s="27" t="s">
        <v>3059</v>
      </c>
      <c r="G358" s="324"/>
      <c r="H358" s="28" t="s">
        <v>603</v>
      </c>
      <c r="I358" s="20">
        <v>42956</v>
      </c>
      <c r="J358" s="35">
        <f t="shared" ca="1" si="410"/>
        <v>0.48767123287671232</v>
      </c>
      <c r="K358" s="35">
        <f t="shared" ca="1" si="411"/>
        <v>5.9333333333333336</v>
      </c>
      <c r="L358" s="299">
        <f t="shared" ca="1" si="412"/>
        <v>178</v>
      </c>
      <c r="M358" s="60"/>
      <c r="N358" s="32"/>
      <c r="O358" s="82" t="str">
        <f t="shared" ca="1" si="413"/>
        <v>-</v>
      </c>
      <c r="P358" s="19"/>
      <c r="Q358" s="68"/>
      <c r="R358" s="118"/>
      <c r="S358" s="21"/>
      <c r="T358" s="20"/>
      <c r="U358" s="20" t="str">
        <f t="shared" si="414"/>
        <v>-</v>
      </c>
      <c r="V358" s="19" t="str">
        <f t="shared" ca="1" si="415"/>
        <v>-</v>
      </c>
      <c r="W358" s="3"/>
      <c r="X358" s="22" t="str">
        <f t="shared" si="416"/>
        <v>-</v>
      </c>
      <c r="Y358" s="22"/>
      <c r="Z358" s="329" t="str">
        <f t="shared" ca="1" si="417"/>
        <v>-----</v>
      </c>
      <c r="AA358" s="328">
        <f t="shared" ca="1" si="418"/>
        <v>43134</v>
      </c>
      <c r="AB358" s="19"/>
      <c r="AC358" s="331" t="str">
        <f t="shared" ca="1" si="419"/>
        <v>-----</v>
      </c>
      <c r="AD358" s="20"/>
      <c r="AE358" s="22" t="str">
        <f t="shared" ca="1" si="420"/>
        <v>-</v>
      </c>
      <c r="AF358" s="20" t="str">
        <f t="shared" si="421"/>
        <v>-</v>
      </c>
      <c r="AG358" s="94" t="str">
        <f t="shared" si="422"/>
        <v>---------</v>
      </c>
      <c r="AH358" s="21"/>
      <c r="AI358" s="21" t="str">
        <f t="shared" si="423"/>
        <v>-</v>
      </c>
      <c r="AJ358" s="21" t="str">
        <f t="shared" si="424"/>
        <v>-</v>
      </c>
      <c r="AK358" s="85">
        <v>42957</v>
      </c>
      <c r="AL358" s="21" t="s">
        <v>1614</v>
      </c>
      <c r="AM358" s="80">
        <v>44</v>
      </c>
    </row>
    <row r="359" spans="1:39" s="1" customFormat="1" ht="15.95" customHeight="1" x14ac:dyDescent="0.25">
      <c r="A359" s="77">
        <v>357</v>
      </c>
      <c r="B359" s="84">
        <f t="shared" ca="1" si="349"/>
        <v>43134</v>
      </c>
      <c r="C359" s="29" t="s">
        <v>2546</v>
      </c>
      <c r="D359" s="59" t="s">
        <v>1555</v>
      </c>
      <c r="E359" s="22" t="s">
        <v>1557</v>
      </c>
      <c r="F359" s="27" t="s">
        <v>3062</v>
      </c>
      <c r="G359" s="324"/>
      <c r="H359" s="28" t="s">
        <v>603</v>
      </c>
      <c r="I359" s="20">
        <v>42958</v>
      </c>
      <c r="J359" s="35">
        <f t="shared" ca="1" si="410"/>
        <v>0.48219178082191783</v>
      </c>
      <c r="K359" s="35">
        <f t="shared" ca="1" si="411"/>
        <v>5.8666666666666663</v>
      </c>
      <c r="L359" s="299">
        <f t="shared" ca="1" si="412"/>
        <v>176</v>
      </c>
      <c r="M359" s="60"/>
      <c r="N359" s="32"/>
      <c r="O359" s="82" t="str">
        <f t="shared" ca="1" si="413"/>
        <v>-</v>
      </c>
      <c r="P359" s="19"/>
      <c r="Q359" s="68"/>
      <c r="R359" s="118"/>
      <c r="S359" s="21"/>
      <c r="T359" s="20"/>
      <c r="U359" s="20" t="str">
        <f t="shared" si="414"/>
        <v>-</v>
      </c>
      <c r="V359" s="19" t="str">
        <f t="shared" ca="1" si="415"/>
        <v>-</v>
      </c>
      <c r="W359" s="3"/>
      <c r="X359" s="22" t="str">
        <f t="shared" si="416"/>
        <v>-</v>
      </c>
      <c r="Y359" s="22"/>
      <c r="Z359" s="329" t="str">
        <f t="shared" ca="1" si="417"/>
        <v>-----</v>
      </c>
      <c r="AA359" s="328">
        <f t="shared" ca="1" si="418"/>
        <v>43134</v>
      </c>
      <c r="AB359" s="19"/>
      <c r="AC359" s="331" t="str">
        <f t="shared" ca="1" si="419"/>
        <v>-----</v>
      </c>
      <c r="AD359" s="20"/>
      <c r="AE359" s="22" t="str">
        <f t="shared" ca="1" si="420"/>
        <v>-</v>
      </c>
      <c r="AF359" s="20" t="str">
        <f t="shared" si="421"/>
        <v>-</v>
      </c>
      <c r="AG359" s="94" t="str">
        <f t="shared" si="422"/>
        <v>---------</v>
      </c>
      <c r="AH359" s="21"/>
      <c r="AI359" s="21" t="str">
        <f t="shared" si="423"/>
        <v>-</v>
      </c>
      <c r="AJ359" s="21" t="str">
        <f t="shared" si="424"/>
        <v>-</v>
      </c>
      <c r="AK359" s="85">
        <v>42961</v>
      </c>
      <c r="AL359" s="21" t="s">
        <v>1614</v>
      </c>
      <c r="AM359" s="80">
        <v>41</v>
      </c>
    </row>
    <row r="360" spans="1:39" s="1" customFormat="1" ht="15.95" customHeight="1" x14ac:dyDescent="0.25">
      <c r="A360" s="77">
        <v>358</v>
      </c>
      <c r="B360" s="84">
        <f t="shared" ca="1" si="349"/>
        <v>43134</v>
      </c>
      <c r="C360" s="29" t="s">
        <v>2546</v>
      </c>
      <c r="D360" s="59" t="s">
        <v>1555</v>
      </c>
      <c r="E360" s="22" t="s">
        <v>1557</v>
      </c>
      <c r="F360" s="27" t="s">
        <v>3064</v>
      </c>
      <c r="G360" s="324"/>
      <c r="H360" s="28" t="s">
        <v>603</v>
      </c>
      <c r="I360" s="20">
        <v>42958</v>
      </c>
      <c r="J360" s="35">
        <f t="shared" ca="1" si="410"/>
        <v>0.48219178082191783</v>
      </c>
      <c r="K360" s="35">
        <f t="shared" ca="1" si="411"/>
        <v>5.8666666666666663</v>
      </c>
      <c r="L360" s="299">
        <f t="shared" ca="1" si="412"/>
        <v>176</v>
      </c>
      <c r="M360" s="60"/>
      <c r="N360" s="32"/>
      <c r="O360" s="82" t="str">
        <f t="shared" ca="1" si="413"/>
        <v>-</v>
      </c>
      <c r="P360" s="19"/>
      <c r="Q360" s="68"/>
      <c r="R360" s="118"/>
      <c r="S360" s="21"/>
      <c r="T360" s="20"/>
      <c r="U360" s="20" t="str">
        <f t="shared" si="414"/>
        <v>-</v>
      </c>
      <c r="V360" s="19" t="str">
        <f t="shared" ca="1" si="415"/>
        <v>-</v>
      </c>
      <c r="W360" s="3"/>
      <c r="X360" s="22" t="str">
        <f t="shared" si="416"/>
        <v>-</v>
      </c>
      <c r="Y360" s="22"/>
      <c r="Z360" s="329" t="str">
        <f t="shared" ca="1" si="417"/>
        <v>-----</v>
      </c>
      <c r="AA360" s="328">
        <f t="shared" ca="1" si="418"/>
        <v>43134</v>
      </c>
      <c r="AB360" s="19"/>
      <c r="AC360" s="331" t="str">
        <f t="shared" ca="1" si="419"/>
        <v>-----</v>
      </c>
      <c r="AD360" s="20"/>
      <c r="AE360" s="22" t="str">
        <f t="shared" ca="1" si="420"/>
        <v>-</v>
      </c>
      <c r="AF360" s="20" t="str">
        <f t="shared" si="421"/>
        <v>-</v>
      </c>
      <c r="AG360" s="94" t="str">
        <f t="shared" si="422"/>
        <v>---------</v>
      </c>
      <c r="AH360" s="21"/>
      <c r="AI360" s="21" t="str">
        <f t="shared" si="423"/>
        <v>-</v>
      </c>
      <c r="AJ360" s="21" t="str">
        <f t="shared" si="424"/>
        <v>-</v>
      </c>
      <c r="AK360" s="85">
        <v>42961</v>
      </c>
      <c r="AL360" s="21" t="s">
        <v>1614</v>
      </c>
      <c r="AM360" s="80">
        <v>38</v>
      </c>
    </row>
    <row r="361" spans="1:39" s="1" customFormat="1" ht="15.95" customHeight="1" x14ac:dyDescent="0.25">
      <c r="A361" s="77">
        <v>359</v>
      </c>
      <c r="B361" s="84">
        <f t="shared" ca="1" si="349"/>
        <v>43134</v>
      </c>
      <c r="C361" s="29" t="s">
        <v>2546</v>
      </c>
      <c r="D361" s="59" t="s">
        <v>1555</v>
      </c>
      <c r="E361" s="22" t="s">
        <v>1563</v>
      </c>
      <c r="F361" s="27" t="s">
        <v>3065</v>
      </c>
      <c r="G361" s="324"/>
      <c r="H361" s="28" t="s">
        <v>603</v>
      </c>
      <c r="I361" s="20">
        <v>42958</v>
      </c>
      <c r="J361" s="35">
        <f t="shared" ca="1" si="410"/>
        <v>0.48219178082191783</v>
      </c>
      <c r="K361" s="35">
        <f t="shared" ca="1" si="411"/>
        <v>5.8666666666666663</v>
      </c>
      <c r="L361" s="299">
        <f t="shared" ca="1" si="412"/>
        <v>176</v>
      </c>
      <c r="M361" s="60"/>
      <c r="N361" s="32"/>
      <c r="O361" s="82" t="str">
        <f t="shared" ca="1" si="413"/>
        <v>-</v>
      </c>
      <c r="P361" s="19"/>
      <c r="Q361" s="68"/>
      <c r="R361" s="118"/>
      <c r="S361" s="21"/>
      <c r="T361" s="20"/>
      <c r="U361" s="20" t="str">
        <f t="shared" si="414"/>
        <v>-</v>
      </c>
      <c r="V361" s="19" t="str">
        <f t="shared" ca="1" si="415"/>
        <v>-</v>
      </c>
      <c r="W361" s="3"/>
      <c r="X361" s="22" t="str">
        <f t="shared" si="416"/>
        <v>-</v>
      </c>
      <c r="Y361" s="22"/>
      <c r="Z361" s="329" t="str">
        <f t="shared" ca="1" si="417"/>
        <v>-----</v>
      </c>
      <c r="AA361" s="328">
        <f t="shared" ca="1" si="418"/>
        <v>43134</v>
      </c>
      <c r="AB361" s="19"/>
      <c r="AC361" s="331" t="str">
        <f t="shared" ca="1" si="419"/>
        <v>-----</v>
      </c>
      <c r="AD361" s="20"/>
      <c r="AE361" s="22" t="str">
        <f t="shared" ca="1" si="420"/>
        <v>-</v>
      </c>
      <c r="AF361" s="20" t="str">
        <f t="shared" si="421"/>
        <v>-</v>
      </c>
      <c r="AG361" s="94" t="str">
        <f t="shared" si="422"/>
        <v>---------</v>
      </c>
      <c r="AH361" s="21"/>
      <c r="AI361" s="21" t="str">
        <f t="shared" si="423"/>
        <v>-</v>
      </c>
      <c r="AJ361" s="21" t="str">
        <f t="shared" si="424"/>
        <v>-</v>
      </c>
      <c r="AK361" s="85">
        <v>42961</v>
      </c>
      <c r="AL361" s="21" t="s">
        <v>1614</v>
      </c>
      <c r="AM361" s="80">
        <v>41</v>
      </c>
    </row>
    <row r="362" spans="1:39" s="1" customFormat="1" ht="15.95" customHeight="1" x14ac:dyDescent="0.25">
      <c r="A362" s="77">
        <v>360</v>
      </c>
      <c r="B362" s="84">
        <f t="shared" ca="1" si="349"/>
        <v>43134</v>
      </c>
      <c r="C362" s="29" t="s">
        <v>2546</v>
      </c>
      <c r="D362" s="59" t="s">
        <v>1555</v>
      </c>
      <c r="E362" s="22" t="s">
        <v>1557</v>
      </c>
      <c r="F362" s="27" t="s">
        <v>3066</v>
      </c>
      <c r="G362" s="324"/>
      <c r="H362" s="28" t="s">
        <v>603</v>
      </c>
      <c r="I362" s="20">
        <v>42959</v>
      </c>
      <c r="J362" s="35">
        <f t="shared" ca="1" si="410"/>
        <v>0.47945205479452052</v>
      </c>
      <c r="K362" s="35">
        <f t="shared" ca="1" si="411"/>
        <v>5.833333333333333</v>
      </c>
      <c r="L362" s="299">
        <f t="shared" ca="1" si="412"/>
        <v>175</v>
      </c>
      <c r="M362" s="60"/>
      <c r="N362" s="32"/>
      <c r="O362" s="82" t="str">
        <f t="shared" ca="1" si="413"/>
        <v>-</v>
      </c>
      <c r="P362" s="19"/>
      <c r="Q362" s="68"/>
      <c r="R362" s="118"/>
      <c r="S362" s="21"/>
      <c r="T362" s="20"/>
      <c r="U362" s="20" t="str">
        <f t="shared" si="414"/>
        <v>-</v>
      </c>
      <c r="V362" s="19" t="str">
        <f t="shared" ca="1" si="415"/>
        <v>-</v>
      </c>
      <c r="W362" s="3"/>
      <c r="X362" s="22" t="str">
        <f t="shared" si="416"/>
        <v>-</v>
      </c>
      <c r="Y362" s="22"/>
      <c r="Z362" s="329" t="str">
        <f t="shared" ca="1" si="417"/>
        <v>-----</v>
      </c>
      <c r="AA362" s="328">
        <f t="shared" ca="1" si="418"/>
        <v>43134</v>
      </c>
      <c r="AB362" s="19"/>
      <c r="AC362" s="331" t="str">
        <f t="shared" ca="1" si="419"/>
        <v>-----</v>
      </c>
      <c r="AD362" s="20"/>
      <c r="AE362" s="22" t="str">
        <f t="shared" ca="1" si="420"/>
        <v>-</v>
      </c>
      <c r="AF362" s="20" t="str">
        <f t="shared" si="421"/>
        <v>-</v>
      </c>
      <c r="AG362" s="94" t="str">
        <f t="shared" si="422"/>
        <v>---------</v>
      </c>
      <c r="AH362" s="21"/>
      <c r="AI362" s="21" t="str">
        <f t="shared" si="423"/>
        <v>-</v>
      </c>
      <c r="AJ362" s="21" t="str">
        <f t="shared" si="424"/>
        <v>-</v>
      </c>
      <c r="AK362" s="85">
        <v>42961</v>
      </c>
      <c r="AL362" s="21" t="s">
        <v>1614</v>
      </c>
      <c r="AM362" s="80">
        <v>39</v>
      </c>
    </row>
    <row r="363" spans="1:39" s="1" customFormat="1" ht="15.95" customHeight="1" x14ac:dyDescent="0.25">
      <c r="A363" s="77">
        <v>361</v>
      </c>
      <c r="B363" s="84">
        <f t="shared" ref="B363:B367" ca="1" si="425">TODAY()</f>
        <v>43134</v>
      </c>
      <c r="C363" s="29" t="s">
        <v>2546</v>
      </c>
      <c r="D363" s="59" t="s">
        <v>1555</v>
      </c>
      <c r="E363" s="22" t="s">
        <v>1557</v>
      </c>
      <c r="F363" s="27" t="s">
        <v>3068</v>
      </c>
      <c r="G363" s="324"/>
      <c r="H363" s="28" t="s">
        <v>603</v>
      </c>
      <c r="I363" s="20">
        <v>42960</v>
      </c>
      <c r="J363" s="35">
        <f t="shared" ca="1" si="410"/>
        <v>0.47671232876712327</v>
      </c>
      <c r="K363" s="35">
        <f t="shared" ca="1" si="411"/>
        <v>5.8</v>
      </c>
      <c r="L363" s="299">
        <f t="shared" ca="1" si="412"/>
        <v>174</v>
      </c>
      <c r="M363" s="60"/>
      <c r="N363" s="32"/>
      <c r="O363" s="82"/>
      <c r="P363" s="19"/>
      <c r="Q363" s="68"/>
      <c r="R363" s="118"/>
      <c r="S363" s="21"/>
      <c r="T363" s="20"/>
      <c r="U363" s="20"/>
      <c r="V363" s="19"/>
      <c r="W363" s="3"/>
      <c r="X363" s="22"/>
      <c r="Y363" s="22"/>
      <c r="Z363" s="329"/>
      <c r="AA363" s="328"/>
      <c r="AB363" s="19"/>
      <c r="AC363" s="331"/>
      <c r="AD363" s="20"/>
      <c r="AE363" s="22"/>
      <c r="AF363" s="20"/>
      <c r="AG363" s="94"/>
      <c r="AH363" s="21"/>
      <c r="AI363" s="21"/>
      <c r="AJ363" s="21"/>
      <c r="AK363" s="85">
        <v>42961</v>
      </c>
      <c r="AL363" s="21" t="s">
        <v>1614</v>
      </c>
      <c r="AM363" s="80">
        <v>33</v>
      </c>
    </row>
    <row r="364" spans="1:39" s="1" customFormat="1" ht="15.95" customHeight="1" x14ac:dyDescent="0.25">
      <c r="A364" s="77">
        <v>362</v>
      </c>
      <c r="B364" s="84">
        <f t="shared" ca="1" si="425"/>
        <v>43134</v>
      </c>
      <c r="C364" s="29" t="s">
        <v>2546</v>
      </c>
      <c r="D364" s="59" t="s">
        <v>1555</v>
      </c>
      <c r="E364" s="22" t="s">
        <v>1557</v>
      </c>
      <c r="F364" s="27" t="s">
        <v>3046</v>
      </c>
      <c r="G364" s="324"/>
      <c r="H364" s="28" t="s">
        <v>603</v>
      </c>
      <c r="I364" s="20">
        <v>42951</v>
      </c>
      <c r="J364" s="240">
        <f t="shared" ca="1" si="410"/>
        <v>0.50136986301369868</v>
      </c>
      <c r="K364" s="240">
        <f t="shared" ca="1" si="411"/>
        <v>6.1</v>
      </c>
      <c r="L364" s="298">
        <f t="shared" ca="1" si="412"/>
        <v>183</v>
      </c>
      <c r="M364" s="60"/>
      <c r="N364" s="32"/>
      <c r="O364" s="82" t="str">
        <f t="shared" ref="O364:O367" ca="1" si="426">IF(AND(B364&gt;0,N364&gt;0),B364-N364,"-")</f>
        <v>-</v>
      </c>
      <c r="P364" s="19"/>
      <c r="Q364" s="68"/>
      <c r="R364" s="118"/>
      <c r="S364" s="21"/>
      <c r="T364" s="20"/>
      <c r="U364" s="20" t="str">
        <f t="shared" ref="U364:U367" si="427">IF(AND(Y364&gt;1,T364&gt;0),T364+18,"-")</f>
        <v>-</v>
      </c>
      <c r="V364" s="19" t="str">
        <f t="shared" ref="V364:V367" ca="1" si="428">IF(AND(U364&gt;0,B364&gt;0,Y364&gt;1),B364-U364,"-")</f>
        <v>-</v>
      </c>
      <c r="W364" s="3">
        <v>0</v>
      </c>
      <c r="X364" s="22" t="str">
        <f t="shared" ref="X364:X367" si="429">IF(AND(N364&gt;0,T364&gt;0),T364-N364,"-")</f>
        <v>-</v>
      </c>
      <c r="Y364" s="22">
        <v>0</v>
      </c>
      <c r="Z364" s="329" t="str">
        <f t="shared" ref="Z364:Z367" ca="1" si="430">IF(AND(Y364=1,AA364&gt;71,OR(ISBLANK(AB364),AB364=2)),"ПОДЛЕЖИТ ПЕРЕПРОВЕРКЕ","-----")</f>
        <v>-----</v>
      </c>
      <c r="AA364" s="328">
        <f t="shared" ref="AA364:AA367" ca="1" si="431">IF(AND(O364&gt;-1,W364&gt;0,Y364=1,AB364=1),"-----",B364-T364)</f>
        <v>43134</v>
      </c>
      <c r="AB364" s="19"/>
      <c r="AC364" s="331" t="str">
        <f t="shared" ref="AC364:AC367" ca="1" si="432">IF(AND(AB364&lt;1,Z364="ПОДЛЕЖИТ ПЕРЕПРОВЕРКЕ",Y364=1),T364+72,"-----")</f>
        <v>-----</v>
      </c>
      <c r="AD364" s="20"/>
      <c r="AE364" s="22" t="str">
        <f t="shared" ref="AE364:AE367" ca="1" si="433">IF(AND(O364&gt;120,Y364=0,N364&gt;0),"яловая","-")</f>
        <v>-</v>
      </c>
      <c r="AF364" s="20" t="str">
        <f t="shared" ref="AF364:AF367" si="434">IF(AND(T364&gt;0,OR(Y364=3,Y364=2)),T364+35,"-")</f>
        <v>-</v>
      </c>
      <c r="AG364" s="94" t="str">
        <f t="shared" ref="AG364:AG367" si="435">IF(AND(T364&gt;0,W364&gt;0,Q364&gt;0,OR(Y364=3,Y364=2)),B364-AF364,"---------")</f>
        <v>---------</v>
      </c>
      <c r="AH364" s="21"/>
      <c r="AI364" s="21" t="str">
        <f t="shared" ref="AI364:AI367" si="436">IF(AND($T364&gt;0,$N364&gt;0,$Y364=1),$T364+280-90,"-")</f>
        <v>-</v>
      </c>
      <c r="AJ364" s="21" t="str">
        <f t="shared" ref="AJ364:AJ367" si="437">IF(AND(T364&gt;0,Y364=1,N364&gt;0),T364+280-60,"-")</f>
        <v>-</v>
      </c>
      <c r="AK364" s="85">
        <v>42963</v>
      </c>
      <c r="AL364" s="21" t="s">
        <v>1614</v>
      </c>
      <c r="AM364" s="80">
        <v>37</v>
      </c>
    </row>
    <row r="365" spans="1:39" s="1" customFormat="1" ht="15.95" customHeight="1" x14ac:dyDescent="0.25">
      <c r="A365" s="77">
        <v>363</v>
      </c>
      <c r="B365" s="84">
        <f t="shared" ca="1" si="425"/>
        <v>43134</v>
      </c>
      <c r="C365" s="29" t="s">
        <v>2546</v>
      </c>
      <c r="D365" s="59" t="s">
        <v>1555</v>
      </c>
      <c r="E365" s="22" t="s">
        <v>1557</v>
      </c>
      <c r="F365" s="27" t="s">
        <v>3050</v>
      </c>
      <c r="G365" s="324"/>
      <c r="H365" s="28" t="s">
        <v>603</v>
      </c>
      <c r="I365" s="20">
        <v>42954</v>
      </c>
      <c r="J365" s="240">
        <f t="shared" ca="1" si="410"/>
        <v>0.49315068493150682</v>
      </c>
      <c r="K365" s="240">
        <f t="shared" ca="1" si="411"/>
        <v>6</v>
      </c>
      <c r="L365" s="298">
        <f t="shared" ca="1" si="412"/>
        <v>180</v>
      </c>
      <c r="M365" s="60"/>
      <c r="N365" s="32"/>
      <c r="O365" s="82" t="str">
        <f t="shared" ca="1" si="426"/>
        <v>-</v>
      </c>
      <c r="P365" s="19"/>
      <c r="Q365" s="68"/>
      <c r="R365" s="118"/>
      <c r="S365" s="21"/>
      <c r="T365" s="20"/>
      <c r="U365" s="20" t="str">
        <f t="shared" si="427"/>
        <v>-</v>
      </c>
      <c r="V365" s="19" t="str">
        <f t="shared" ca="1" si="428"/>
        <v>-</v>
      </c>
      <c r="W365" s="3">
        <v>0</v>
      </c>
      <c r="X365" s="22" t="str">
        <f t="shared" si="429"/>
        <v>-</v>
      </c>
      <c r="Y365" s="3">
        <v>0</v>
      </c>
      <c r="Z365" s="329" t="str">
        <f t="shared" ca="1" si="430"/>
        <v>-----</v>
      </c>
      <c r="AA365" s="328">
        <f t="shared" ca="1" si="431"/>
        <v>43134</v>
      </c>
      <c r="AB365" s="19"/>
      <c r="AC365" s="331" t="str">
        <f t="shared" ca="1" si="432"/>
        <v>-----</v>
      </c>
      <c r="AD365" s="20"/>
      <c r="AE365" s="22" t="str">
        <f t="shared" ca="1" si="433"/>
        <v>-</v>
      </c>
      <c r="AF365" s="20" t="str">
        <f t="shared" si="434"/>
        <v>-</v>
      </c>
      <c r="AG365" s="94" t="str">
        <f t="shared" si="435"/>
        <v>---------</v>
      </c>
      <c r="AH365" s="21"/>
      <c r="AI365" s="21" t="str">
        <f t="shared" si="436"/>
        <v>-</v>
      </c>
      <c r="AJ365" s="21" t="str">
        <f t="shared" si="437"/>
        <v>-</v>
      </c>
      <c r="AK365" s="85">
        <v>42963</v>
      </c>
      <c r="AL365" s="21" t="s">
        <v>1614</v>
      </c>
      <c r="AM365" s="80">
        <v>35</v>
      </c>
    </row>
    <row r="366" spans="1:39" s="2" customFormat="1" ht="15.95" customHeight="1" x14ac:dyDescent="0.25">
      <c r="A366" s="77">
        <v>364</v>
      </c>
      <c r="B366" s="84">
        <f t="shared" ca="1" si="425"/>
        <v>43134</v>
      </c>
      <c r="C366" s="29" t="s">
        <v>2585</v>
      </c>
      <c r="D366" s="59" t="s">
        <v>2586</v>
      </c>
      <c r="E366" s="22" t="s">
        <v>1563</v>
      </c>
      <c r="F366" s="27" t="s">
        <v>2433</v>
      </c>
      <c r="G366" s="324"/>
      <c r="H366" s="28" t="s">
        <v>603</v>
      </c>
      <c r="I366" s="20">
        <v>42790</v>
      </c>
      <c r="J366" s="240">
        <f t="shared" ca="1" si="410"/>
        <v>0.94246575342465755</v>
      </c>
      <c r="K366" s="240">
        <f t="shared" ca="1" si="411"/>
        <v>11.466666666666667</v>
      </c>
      <c r="L366" s="298">
        <f t="shared" ca="1" si="412"/>
        <v>344</v>
      </c>
      <c r="M366" s="60"/>
      <c r="N366" s="32"/>
      <c r="O366" s="82" t="str">
        <f t="shared" ca="1" si="426"/>
        <v>-</v>
      </c>
      <c r="P366" s="19"/>
      <c r="Q366" s="68"/>
      <c r="R366" s="118"/>
      <c r="S366" s="21"/>
      <c r="T366" s="20"/>
      <c r="U366" s="20" t="str">
        <f t="shared" si="427"/>
        <v>-</v>
      </c>
      <c r="V366" s="19" t="str">
        <f t="shared" ca="1" si="428"/>
        <v>-</v>
      </c>
      <c r="W366" s="3">
        <v>0</v>
      </c>
      <c r="X366" s="22" t="str">
        <f t="shared" si="429"/>
        <v>-</v>
      </c>
      <c r="Y366" s="22">
        <v>0</v>
      </c>
      <c r="Z366" s="329" t="str">
        <f t="shared" ca="1" si="430"/>
        <v>-----</v>
      </c>
      <c r="AA366" s="328">
        <f t="shared" ca="1" si="431"/>
        <v>43134</v>
      </c>
      <c r="AB366" s="19"/>
      <c r="AC366" s="331" t="str">
        <f t="shared" ca="1" si="432"/>
        <v>-----</v>
      </c>
      <c r="AD366" s="20"/>
      <c r="AE366" s="22" t="str">
        <f t="shared" ca="1" si="433"/>
        <v>-</v>
      </c>
      <c r="AF366" s="20" t="str">
        <f t="shared" si="434"/>
        <v>-</v>
      </c>
      <c r="AG366" s="94" t="str">
        <f t="shared" si="435"/>
        <v>---------</v>
      </c>
      <c r="AH366" s="21"/>
      <c r="AI366" s="21" t="str">
        <f t="shared" si="436"/>
        <v>-</v>
      </c>
      <c r="AJ366" s="21" t="str">
        <f t="shared" si="437"/>
        <v>-</v>
      </c>
      <c r="AK366" s="85">
        <v>42966</v>
      </c>
      <c r="AL366" s="21" t="s">
        <v>3084</v>
      </c>
      <c r="AM366" s="22">
        <v>135</v>
      </c>
    </row>
    <row r="367" spans="1:39" s="2" customFormat="1" ht="15.95" customHeight="1" x14ac:dyDescent="0.25">
      <c r="A367" s="77">
        <v>365</v>
      </c>
      <c r="B367" s="84">
        <f t="shared" ca="1" si="425"/>
        <v>43134</v>
      </c>
      <c r="C367" s="29" t="s">
        <v>2585</v>
      </c>
      <c r="D367" s="59" t="s">
        <v>2586</v>
      </c>
      <c r="E367" s="22" t="s">
        <v>1563</v>
      </c>
      <c r="F367" s="27" t="s">
        <v>2427</v>
      </c>
      <c r="G367" s="324"/>
      <c r="H367" s="28" t="s">
        <v>603</v>
      </c>
      <c r="I367" s="20">
        <v>42786</v>
      </c>
      <c r="J367" s="240">
        <f t="shared" ca="1" si="410"/>
        <v>0.95342465753424654</v>
      </c>
      <c r="K367" s="240">
        <f t="shared" ca="1" si="411"/>
        <v>11.6</v>
      </c>
      <c r="L367" s="298">
        <f t="shared" ca="1" si="412"/>
        <v>348</v>
      </c>
      <c r="M367" s="60"/>
      <c r="N367" s="32"/>
      <c r="O367" s="82" t="str">
        <f t="shared" ca="1" si="426"/>
        <v>-</v>
      </c>
      <c r="P367" s="19"/>
      <c r="Q367" s="68"/>
      <c r="R367" s="118"/>
      <c r="S367" s="21"/>
      <c r="T367" s="20"/>
      <c r="U367" s="20" t="str">
        <f t="shared" si="427"/>
        <v>-</v>
      </c>
      <c r="V367" s="19" t="str">
        <f t="shared" ca="1" si="428"/>
        <v>-</v>
      </c>
      <c r="W367" s="3">
        <v>0</v>
      </c>
      <c r="X367" s="22" t="str">
        <f t="shared" si="429"/>
        <v>-</v>
      </c>
      <c r="Y367" s="22">
        <v>0</v>
      </c>
      <c r="Z367" s="329" t="str">
        <f t="shared" ca="1" si="430"/>
        <v>-----</v>
      </c>
      <c r="AA367" s="328">
        <f t="shared" ca="1" si="431"/>
        <v>43134</v>
      </c>
      <c r="AB367" s="19"/>
      <c r="AC367" s="331" t="str">
        <f t="shared" ca="1" si="432"/>
        <v>-----</v>
      </c>
      <c r="AD367" s="20"/>
      <c r="AE367" s="22" t="str">
        <f t="shared" ca="1" si="433"/>
        <v>-</v>
      </c>
      <c r="AF367" s="20" t="str">
        <f t="shared" si="434"/>
        <v>-</v>
      </c>
      <c r="AG367" s="94" t="str">
        <f t="shared" si="435"/>
        <v>---------</v>
      </c>
      <c r="AH367" s="21"/>
      <c r="AI367" s="21" t="str">
        <f t="shared" si="436"/>
        <v>-</v>
      </c>
      <c r="AJ367" s="21" t="str">
        <f t="shared" si="437"/>
        <v>-</v>
      </c>
      <c r="AK367" s="85">
        <v>42966</v>
      </c>
      <c r="AL367" s="21" t="s">
        <v>3084</v>
      </c>
      <c r="AM367" s="22">
        <v>147</v>
      </c>
    </row>
    <row r="368" spans="1:39" s="1" customFormat="1" ht="15.95" customHeight="1" x14ac:dyDescent="0.25">
      <c r="A368" s="77">
        <v>366</v>
      </c>
      <c r="B368" s="84">
        <f t="shared" ref="B368:B376" ca="1" si="438">TODAY()</f>
        <v>43134</v>
      </c>
      <c r="C368" s="29" t="s">
        <v>2546</v>
      </c>
      <c r="D368" s="59" t="s">
        <v>1555</v>
      </c>
      <c r="E368" s="22" t="s">
        <v>1557</v>
      </c>
      <c r="F368" s="27" t="s">
        <v>3081</v>
      </c>
      <c r="G368" s="324"/>
      <c r="H368" s="28" t="s">
        <v>603</v>
      </c>
      <c r="I368" s="20">
        <v>42965</v>
      </c>
      <c r="J368" s="240">
        <f t="shared" ref="J368:J376" ca="1" si="439">(B368-I368)/365</f>
        <v>0.46301369863013697</v>
      </c>
      <c r="K368" s="240">
        <f t="shared" ref="K368:K376" ca="1" si="440">(B368-I368)/30</f>
        <v>5.6333333333333337</v>
      </c>
      <c r="L368" s="298">
        <f t="shared" ref="L368:L376" ca="1" si="441">B368-I368</f>
        <v>169</v>
      </c>
      <c r="M368" s="60"/>
      <c r="N368" s="32"/>
      <c r="O368" s="82" t="str">
        <f ca="1">IF(AND(B368&gt;0,N368&gt;0),B368-N368,"-")</f>
        <v>-</v>
      </c>
      <c r="P368" s="19"/>
      <c r="Q368" s="68"/>
      <c r="R368" s="118"/>
      <c r="S368" s="21"/>
      <c r="T368" s="20"/>
      <c r="U368" s="20"/>
      <c r="V368" s="19"/>
      <c r="W368" s="3">
        <v>0</v>
      </c>
      <c r="X368" s="22"/>
      <c r="Y368" s="22">
        <v>0</v>
      </c>
      <c r="Z368" s="329"/>
      <c r="AA368" s="328"/>
      <c r="AB368" s="19"/>
      <c r="AC368" s="331"/>
      <c r="AD368" s="20"/>
      <c r="AE368" s="22"/>
      <c r="AF368" s="20"/>
      <c r="AG368" s="94"/>
      <c r="AH368" s="21"/>
      <c r="AI368" s="21"/>
      <c r="AJ368" s="21"/>
      <c r="AK368" s="85">
        <v>42970</v>
      </c>
      <c r="AL368" s="21" t="s">
        <v>1614</v>
      </c>
      <c r="AM368" s="22">
        <v>44</v>
      </c>
    </row>
    <row r="369" spans="1:103" s="1" customFormat="1" ht="15.95" customHeight="1" x14ac:dyDescent="0.25">
      <c r="A369" s="77">
        <v>367</v>
      </c>
      <c r="B369" s="84">
        <f t="shared" ca="1" si="438"/>
        <v>43134</v>
      </c>
      <c r="C369" s="29" t="s">
        <v>2546</v>
      </c>
      <c r="D369" s="59" t="s">
        <v>1555</v>
      </c>
      <c r="E369" s="22" t="s">
        <v>1557</v>
      </c>
      <c r="F369" s="27" t="s">
        <v>3083</v>
      </c>
      <c r="G369" s="324"/>
      <c r="H369" s="28" t="s">
        <v>603</v>
      </c>
      <c r="I369" s="20">
        <v>42968</v>
      </c>
      <c r="J369" s="240">
        <f t="shared" ca="1" si="439"/>
        <v>0.45479452054794522</v>
      </c>
      <c r="K369" s="240">
        <f t="shared" ca="1" si="440"/>
        <v>5.5333333333333332</v>
      </c>
      <c r="L369" s="298">
        <f t="shared" ca="1" si="441"/>
        <v>166</v>
      </c>
      <c r="M369" s="60"/>
      <c r="N369" s="32"/>
      <c r="O369" s="82"/>
      <c r="P369" s="19"/>
      <c r="Q369" s="68"/>
      <c r="R369" s="118"/>
      <c r="S369" s="21"/>
      <c r="T369" s="20"/>
      <c r="U369" s="20"/>
      <c r="V369" s="19"/>
      <c r="W369" s="3">
        <v>0</v>
      </c>
      <c r="X369" s="22"/>
      <c r="Y369" s="22">
        <v>0</v>
      </c>
      <c r="Z369" s="329"/>
      <c r="AA369" s="328"/>
      <c r="AB369" s="19"/>
      <c r="AC369" s="331"/>
      <c r="AD369" s="20"/>
      <c r="AE369" s="22"/>
      <c r="AF369" s="20"/>
      <c r="AG369" s="94"/>
      <c r="AH369" s="21"/>
      <c r="AI369" s="21"/>
      <c r="AJ369" s="21"/>
      <c r="AK369" s="85">
        <v>42970</v>
      </c>
      <c r="AL369" s="21" t="s">
        <v>1614</v>
      </c>
      <c r="AM369" s="22">
        <v>46</v>
      </c>
    </row>
    <row r="370" spans="1:103" s="1" customFormat="1" ht="15.95" customHeight="1" x14ac:dyDescent="0.25">
      <c r="A370" s="77">
        <v>368</v>
      </c>
      <c r="B370" s="84">
        <f t="shared" ca="1" si="438"/>
        <v>43134</v>
      </c>
      <c r="C370" s="29" t="s">
        <v>2546</v>
      </c>
      <c r="D370" s="59" t="s">
        <v>1555</v>
      </c>
      <c r="E370" s="22" t="s">
        <v>1557</v>
      </c>
      <c r="F370" s="27" t="s">
        <v>3087</v>
      </c>
      <c r="G370" s="324"/>
      <c r="H370" s="28" t="s">
        <v>603</v>
      </c>
      <c r="I370" s="20">
        <v>42970</v>
      </c>
      <c r="J370" s="240">
        <f t="shared" ca="1" si="439"/>
        <v>0.44931506849315067</v>
      </c>
      <c r="K370" s="240">
        <f t="shared" ca="1" si="440"/>
        <v>5.4666666666666668</v>
      </c>
      <c r="L370" s="298">
        <f t="shared" ca="1" si="441"/>
        <v>164</v>
      </c>
      <c r="M370" s="60"/>
      <c r="N370" s="32"/>
      <c r="O370" s="82"/>
      <c r="P370" s="19"/>
      <c r="Q370" s="68"/>
      <c r="R370" s="118"/>
      <c r="S370" s="21"/>
      <c r="T370" s="20"/>
      <c r="U370" s="20"/>
      <c r="V370" s="19"/>
      <c r="W370" s="3">
        <v>0</v>
      </c>
      <c r="X370" s="22"/>
      <c r="Y370" s="22">
        <v>0</v>
      </c>
      <c r="Z370" s="329"/>
      <c r="AA370" s="328"/>
      <c r="AB370" s="19"/>
      <c r="AC370" s="331"/>
      <c r="AD370" s="20"/>
      <c r="AE370" s="22"/>
      <c r="AF370" s="20"/>
      <c r="AG370" s="94"/>
      <c r="AH370" s="21"/>
      <c r="AI370" s="21"/>
      <c r="AJ370" s="21"/>
      <c r="AK370" s="85">
        <v>42970</v>
      </c>
      <c r="AL370" s="21" t="s">
        <v>1614</v>
      </c>
      <c r="AM370" s="22">
        <v>45</v>
      </c>
    </row>
    <row r="371" spans="1:103" s="1" customFormat="1" ht="15.95" customHeight="1" x14ac:dyDescent="0.25">
      <c r="A371" s="77">
        <v>369</v>
      </c>
      <c r="B371" s="84">
        <f t="shared" ca="1" si="438"/>
        <v>43134</v>
      </c>
      <c r="C371" s="29" t="s">
        <v>2546</v>
      </c>
      <c r="D371" s="59" t="s">
        <v>1555</v>
      </c>
      <c r="E371" s="22" t="s">
        <v>1557</v>
      </c>
      <c r="F371" s="27" t="s">
        <v>3089</v>
      </c>
      <c r="G371" s="324"/>
      <c r="H371" s="28" t="s">
        <v>603</v>
      </c>
      <c r="I371" s="20">
        <v>42970</v>
      </c>
      <c r="J371" s="240">
        <f t="shared" ca="1" si="439"/>
        <v>0.44931506849315067</v>
      </c>
      <c r="K371" s="240">
        <f t="shared" ca="1" si="440"/>
        <v>5.4666666666666668</v>
      </c>
      <c r="L371" s="298">
        <f t="shared" ca="1" si="441"/>
        <v>164</v>
      </c>
      <c r="M371" s="60"/>
      <c r="N371" s="32"/>
      <c r="O371" s="82"/>
      <c r="P371" s="19"/>
      <c r="Q371" s="68"/>
      <c r="R371" s="118"/>
      <c r="S371" s="21"/>
      <c r="T371" s="20"/>
      <c r="U371" s="20"/>
      <c r="V371" s="19"/>
      <c r="W371" s="3"/>
      <c r="X371" s="22"/>
      <c r="Y371" s="22"/>
      <c r="Z371" s="329"/>
      <c r="AA371" s="328"/>
      <c r="AB371" s="19"/>
      <c r="AC371" s="331"/>
      <c r="AD371" s="20"/>
      <c r="AE371" s="22"/>
      <c r="AF371" s="20"/>
      <c r="AG371" s="94"/>
      <c r="AH371" s="21"/>
      <c r="AI371" s="21"/>
      <c r="AJ371" s="21"/>
      <c r="AK371" s="85">
        <v>42972</v>
      </c>
      <c r="AL371" s="21" t="s">
        <v>1614</v>
      </c>
      <c r="AM371" s="22">
        <v>44</v>
      </c>
    </row>
    <row r="372" spans="1:103" s="1" customFormat="1" ht="15.95" customHeight="1" x14ac:dyDescent="0.25">
      <c r="A372" s="77">
        <v>370</v>
      </c>
      <c r="B372" s="84">
        <f ca="1">TODAY()</f>
        <v>43134</v>
      </c>
      <c r="C372" s="29" t="s">
        <v>2546</v>
      </c>
      <c r="D372" s="59" t="s">
        <v>1555</v>
      </c>
      <c r="E372" s="22" t="s">
        <v>1563</v>
      </c>
      <c r="F372" s="27" t="s">
        <v>3076</v>
      </c>
      <c r="G372" s="324"/>
      <c r="H372" s="28" t="s">
        <v>603</v>
      </c>
      <c r="I372" s="20">
        <v>42963</v>
      </c>
      <c r="J372" s="240">
        <f ca="1">(B372-I372)/365</f>
        <v>0.46849315068493153</v>
      </c>
      <c r="K372" s="240">
        <f ca="1">(B372-I372)/30</f>
        <v>5.7</v>
      </c>
      <c r="L372" s="298">
        <f ca="1">B372-I372</f>
        <v>171</v>
      </c>
      <c r="M372" s="60"/>
      <c r="N372" s="32"/>
      <c r="O372" s="82" t="str">
        <f t="shared" ref="O372:O380" ca="1" si="442">IF(AND(B372&gt;0,N372&gt;0),B372-N372,"-")</f>
        <v>-</v>
      </c>
      <c r="P372" s="19"/>
      <c r="Q372" s="68"/>
      <c r="R372" s="118"/>
      <c r="S372" s="21"/>
      <c r="T372" s="20"/>
      <c r="U372" s="20" t="str">
        <f t="shared" ref="U372:U380" si="443">IF(AND(Y372&gt;1,T372&gt;0),T372+18,"-")</f>
        <v>-</v>
      </c>
      <c r="V372" s="19" t="str">
        <f t="shared" ref="V372:V380" ca="1" si="444">IF(AND(U372&gt;0,B372&gt;0,Y372&gt;1),B372-U372,"-")</f>
        <v>-</v>
      </c>
      <c r="W372" s="3">
        <v>0</v>
      </c>
      <c r="X372" s="22" t="str">
        <f t="shared" ref="X372:X380" si="445">IF(AND(N372&gt;0,T372&gt;0),T372-N372,"-")</f>
        <v>-</v>
      </c>
      <c r="Y372" s="3">
        <v>0</v>
      </c>
      <c r="Z372" s="329" t="str">
        <f t="shared" ref="Z372:Z380" ca="1" si="446">IF(AND(Y372=1,AA372&gt;71,OR(ISBLANK(AB372),AB372=2)),"ПОДЛЕЖИТ ПЕРЕПРОВЕРКЕ","-----")</f>
        <v>-----</v>
      </c>
      <c r="AA372" s="328">
        <f t="shared" ref="AA372:AA380" ca="1" si="447">IF(AND(O372&gt;-1,W372&gt;0,Y372=1,AB372=1),"-----",B372-T372)</f>
        <v>43134</v>
      </c>
      <c r="AB372" s="19"/>
      <c r="AC372" s="331" t="str">
        <f t="shared" ref="AC372:AC380" ca="1" si="448">IF(AND(AB372&lt;1,Z372="ПОДЛЕЖИТ ПЕРЕПРОВЕРКЕ",Y372=1),T372+72,"-----")</f>
        <v>-----</v>
      </c>
      <c r="AD372" s="20"/>
      <c r="AE372" s="22" t="str">
        <f t="shared" ref="AE372:AE380" ca="1" si="449">IF(AND(O372&gt;120,Y372=0,N372&gt;0),"яловая","-")</f>
        <v>-</v>
      </c>
      <c r="AF372" s="20" t="str">
        <f t="shared" ref="AF372:AF380" si="450">IF(AND(T372&gt;0,OR(Y372=3,Y372=2)),T372+35,"-")</f>
        <v>-</v>
      </c>
      <c r="AG372" s="94" t="str">
        <f t="shared" ref="AG372:AG380" si="451">IF(AND(T372&gt;0,W372&gt;0,Q372&gt;0,OR(Y372=3,Y372=2)),B372-AF372,"---------")</f>
        <v>---------</v>
      </c>
      <c r="AH372" s="21"/>
      <c r="AI372" s="21" t="str">
        <f t="shared" ref="AI372:AI380" si="452">IF(AND($T372&gt;0,$N372&gt;0,$Y372=1),$T372+280-90,"-")</f>
        <v>-</v>
      </c>
      <c r="AJ372" s="21" t="str">
        <f t="shared" ref="AJ372:AJ380" si="453">IF(AND(T372&gt;0,Y372=1,N372&gt;0),T372+280-60,"-")</f>
        <v>-</v>
      </c>
      <c r="AK372" s="85">
        <v>42976</v>
      </c>
      <c r="AL372" s="21" t="s">
        <v>3109</v>
      </c>
      <c r="AM372" s="21" t="str">
        <f t="shared" ref="AM372:AM380" si="454">IF(AND(T372&gt;0,Y372=1),T372+280,"-")</f>
        <v>-</v>
      </c>
      <c r="AN372" s="89" t="str">
        <f t="shared" ref="AN372:AN380" ca="1" si="455">IF(AND(B372&gt;0,AM372&gt;0,AH372&gt;0,Y372=1),B372-AM372,"-")</f>
        <v>-</v>
      </c>
      <c r="AO372" s="92"/>
      <c r="AP372" s="80" t="str">
        <f t="shared" ref="AP372:AP380" ca="1" si="456">IF(AND(AE372="яловая",O372&gt;300),"БРАК","-")</f>
        <v>-</v>
      </c>
      <c r="AQ372" s="80"/>
      <c r="AR372" s="22" t="str">
        <f t="shared" ref="AR372:AR380" si="457">IF(AND(Y372=1,P372=0),"НЕТЕЛЬ","-")</f>
        <v>-</v>
      </c>
      <c r="AS372" s="234"/>
      <c r="AT372" s="22" t="str">
        <f t="shared" ref="AT372:AT380" si="458">IF(AND(N372&gt;0,T372&gt;0,W372&gt;0,Y372=1,AH372&gt;0,AK372&gt;0),"DRY COW","-")</f>
        <v>-</v>
      </c>
      <c r="AU372" s="300"/>
      <c r="AV372" s="429"/>
      <c r="AW372" s="431"/>
      <c r="AX372" s="121" t="str">
        <f t="shared" ref="AX372:AX380" si="459">IF(AND(AV372&gt;0,AW372&gt;0),B372-AV372,"-")</f>
        <v>-</v>
      </c>
      <c r="AY372" s="432" t="str">
        <f t="shared" ref="AY372:AY380" si="460">IF(AND(AV372&gt;0,AW372&gt;0),(AV372-I372)/30,"-")</f>
        <v>-</v>
      </c>
      <c r="AZ372" s="428" t="str">
        <f t="shared" ref="AZ372:AZ380" ca="1" si="461">IF(AND(OR(E372="тёлочка",E372="бычок"),L372&gt;0,BB372&lt;2,L372&lt;60),"ПОДЛЕЖИТ ВАКЦИНАЦИИ","-")</f>
        <v>-</v>
      </c>
      <c r="BA372" s="121"/>
      <c r="BB372" s="326"/>
      <c r="BC372" s="330" t="str">
        <f t="shared" ref="BC372:BC380" si="462">IF(AND(BA372&gt;0,BB372=2),BA372-I372,"Ж-Е НЕ ВАКЦ.")</f>
        <v>Ж-Е НЕ ВАКЦ.</v>
      </c>
      <c r="BD372" s="332" t="str">
        <f t="shared" ref="BD372:BD380" si="463">IF(AND(BA372&gt;0,BB372=2),B372-BA372,"-")</f>
        <v>-</v>
      </c>
      <c r="BE372" s="321" t="str">
        <f t="shared" ref="BE372:BE380" ca="1" si="464">IF(AND(L372&gt;60,BG372&lt;5),"ПОДЛЕЖИТ ВАКЦИНАЦИИ","-")</f>
        <v>ПОДЛЕЖИТ ВАКЦИНАЦИИ</v>
      </c>
      <c r="BF372" s="306"/>
      <c r="BG372" s="308"/>
      <c r="BH372" s="309" t="str">
        <f t="shared" ref="BH372:BH380" si="465">IF(AND(BF372&gt;0,BG372=5),B372-BF372,"-")</f>
        <v>-</v>
      </c>
      <c r="BI372" s="310" t="str">
        <f t="shared" ref="BI372:BI380" si="466">IF(AND(BG372=5,BH372&gt;20,BL372&lt;5),"ТРЕБУЕТСЯ БУСТЕРНАЯ ДОЗА","-")</f>
        <v>-</v>
      </c>
      <c r="BJ372" s="313" t="str">
        <f t="shared" ref="BJ372:BJ380" si="467">IF(AND(BF372&gt;0,BG372=5),BF372+21,"-")</f>
        <v>-</v>
      </c>
      <c r="BK372" s="306"/>
      <c r="BL372" s="308"/>
      <c r="BM372" s="309" t="str">
        <f t="shared" ref="BM372:BM380" si="468">IF(AND(BK372&gt;0,BL372=5),B372-BK372,"-")</f>
        <v>-</v>
      </c>
      <c r="BN372" s="309" t="str">
        <f t="shared" ref="BN372:BN380" si="469">IF(AND(BJ372&gt;0,BK372&gt;0,BL372=5),BJ372-BK372,"-")</f>
        <v>-</v>
      </c>
      <c r="BO372" s="311" t="str">
        <f t="shared" ref="BO372:BO380" si="470">IF(AND(BL372=5,BN372=0),"УСПЕШНО","-")</f>
        <v>-</v>
      </c>
      <c r="BP372" s="312" t="str">
        <f t="shared" ref="BP372:BP380" si="471">IF(AND(BF372&gt;0,BG372=5,BK372&gt;0,BL372=5,BM372&gt;240,BR372&lt;5),"НЕОБХОДИМА РЕВАКЦИНАЦИЯ","-")</f>
        <v>-</v>
      </c>
      <c r="BQ372" s="307"/>
      <c r="BR372" s="308"/>
      <c r="BS372" s="309" t="str">
        <f t="shared" ref="BS372:BS380" si="472">IF(AND(BQ372&gt;0,BR372=5),N372-BQ372,"-")</f>
        <v>-</v>
      </c>
      <c r="BT372" s="310" t="str">
        <f t="shared" ref="BT372:BT380" si="473">IF(AND(BQ372&gt;0,BR372=5,BS372&gt;240),"НЕОБХОДИМА РЕВАКЦИНАЦИЯ","-")</f>
        <v>-</v>
      </c>
      <c r="BU372" s="321" t="str">
        <f t="shared" ref="BU372:BU380" ca="1" si="474">IF(AND(Y372=1,AN372&gt;-90,BW372&lt;2),"ТРЕБУЕТСЯ ВАКЦИНАЦИЯ","-")</f>
        <v>-</v>
      </c>
      <c r="BV372" s="306"/>
      <c r="BW372" s="308"/>
      <c r="BX372" s="309" t="str">
        <f t="shared" ref="BX372:BX380" si="475">IF(AND(BV372&gt;0,BW372=2),BV372-T372,"-")</f>
        <v>-</v>
      </c>
      <c r="BY372" s="309" t="str">
        <f t="shared" ref="BY372:BY380" si="476">IF(AND(BV372&gt;0,BW372=2),B372-BV372,"-")</f>
        <v>-</v>
      </c>
      <c r="BZ372" s="310" t="str">
        <f t="shared" ref="BZ372:BZ380" si="477">IF(AND(BW372=2,BY372&gt;20,CC372&lt;2),"ТРЕБУЕТСЯ БУСТЕРНАЯ ДОЗА","-")</f>
        <v>-</v>
      </c>
      <c r="CA372" s="313" t="str">
        <f t="shared" ref="CA372:CA380" si="478">IF(AND(BV372&gt;0,BW372=2),BV372+21,"-")</f>
        <v>-</v>
      </c>
      <c r="CB372" s="306"/>
      <c r="CC372" s="308"/>
      <c r="CD372" s="309" t="str">
        <f t="shared" ref="CD372:CD380" si="479">IF(AND(CA372&gt;0,CB372&gt;0,CC372=2),CB372-CA372,"-")</f>
        <v>-</v>
      </c>
      <c r="CE372" s="311" t="str">
        <f t="shared" ref="CE372:CE380" si="480">IF(AND(CC372=2,CD372=0),"УСПЕШНО","-")</f>
        <v>-</v>
      </c>
      <c r="CF372" s="309" t="str">
        <f t="shared" ref="CF372:CF380" si="481">IF(AND(CB372&gt;0,CC372=2),CB372-T372,"-")</f>
        <v>-</v>
      </c>
      <c r="CG372" s="312" t="str">
        <f t="shared" ref="CG372:CG380" ca="1" si="482">IF(AND(BV372&gt;0,BW372=2,CB372&gt;0,CC372=2,Y372=1,AN372&gt;-50,CI372&lt;2),"ТРЕБУЕТСЯ РЕВАКЦИНАЦИЯ","-")</f>
        <v>-</v>
      </c>
      <c r="CH372" s="78"/>
      <c r="CI372" s="308"/>
      <c r="CJ372" s="384"/>
      <c r="CK372" s="359"/>
      <c r="CL372" s="358"/>
      <c r="CM372" s="361"/>
      <c r="CN372" s="360"/>
      <c r="CO372" s="360"/>
      <c r="CP372" s="360"/>
      <c r="CQ372" s="360"/>
      <c r="CR372" s="384" t="str">
        <f>IF(AND(Y372=1,P372&gt;0),AJ372-14,"----")</f>
        <v>----</v>
      </c>
      <c r="CS372" s="359" t="str">
        <f ca="1">IF(AND(Y372=1,AN372&gt;-205,ISBLANK(CT372),CU372&lt;100),"ПОДЛЕЖИТ ОБРАБОТКЕ","-----")</f>
        <v>-----</v>
      </c>
      <c r="CT372" s="358"/>
      <c r="CU372" s="361" t="str">
        <f>IF(CT372&gt;0,B372-CT372,"-")</f>
        <v>-</v>
      </c>
      <c r="CV372" s="360"/>
      <c r="CW372" s="360"/>
      <c r="CX372" s="360"/>
      <c r="CY372" s="569"/>
    </row>
    <row r="373" spans="1:103" s="1" customFormat="1" ht="15.95" customHeight="1" x14ac:dyDescent="0.25">
      <c r="A373" s="77">
        <v>371</v>
      </c>
      <c r="B373" s="84">
        <f t="shared" ca="1" si="438"/>
        <v>43134</v>
      </c>
      <c r="C373" s="271" t="s">
        <v>2584</v>
      </c>
      <c r="D373" s="270" t="s">
        <v>2915</v>
      </c>
      <c r="E373" s="22" t="s">
        <v>1563</v>
      </c>
      <c r="F373" s="27" t="s">
        <v>1675</v>
      </c>
      <c r="G373" s="324"/>
      <c r="H373" s="28" t="s">
        <v>603</v>
      </c>
      <c r="I373" s="20">
        <v>42507</v>
      </c>
      <c r="J373" s="240">
        <f t="shared" ca="1" si="439"/>
        <v>1.7178082191780821</v>
      </c>
      <c r="K373" s="240">
        <f t="shared" ca="1" si="440"/>
        <v>20.9</v>
      </c>
      <c r="L373" s="298">
        <f t="shared" ca="1" si="441"/>
        <v>627</v>
      </c>
      <c r="M373" s="60"/>
      <c r="N373" s="32"/>
      <c r="O373" s="82" t="str">
        <f t="shared" ca="1" si="442"/>
        <v>-</v>
      </c>
      <c r="P373" s="19"/>
      <c r="Q373" s="68" t="s">
        <v>1451</v>
      </c>
      <c r="R373" s="118" t="s">
        <v>1875</v>
      </c>
      <c r="S373" s="21">
        <v>42867</v>
      </c>
      <c r="T373" s="20">
        <v>42867</v>
      </c>
      <c r="U373" s="20" t="str">
        <f t="shared" si="443"/>
        <v>-</v>
      </c>
      <c r="V373" s="19" t="str">
        <f t="shared" ca="1" si="444"/>
        <v>-</v>
      </c>
      <c r="W373" s="3">
        <v>1</v>
      </c>
      <c r="X373" s="22" t="str">
        <f t="shared" si="445"/>
        <v>-</v>
      </c>
      <c r="Y373" s="22">
        <v>0</v>
      </c>
      <c r="Z373" s="329" t="str">
        <f t="shared" ca="1" si="446"/>
        <v>-----</v>
      </c>
      <c r="AA373" s="328">
        <f t="shared" ca="1" si="447"/>
        <v>267</v>
      </c>
      <c r="AB373" s="19"/>
      <c r="AC373" s="331" t="str">
        <f t="shared" ca="1" si="448"/>
        <v>-----</v>
      </c>
      <c r="AD373" s="20"/>
      <c r="AE373" s="22" t="str">
        <f t="shared" ca="1" si="449"/>
        <v>-</v>
      </c>
      <c r="AF373" s="20" t="str">
        <f t="shared" si="450"/>
        <v>-</v>
      </c>
      <c r="AG373" s="94" t="str">
        <f t="shared" si="451"/>
        <v>---------</v>
      </c>
      <c r="AH373" s="21">
        <v>42931</v>
      </c>
      <c r="AI373" s="21" t="str">
        <f t="shared" si="452"/>
        <v>-</v>
      </c>
      <c r="AJ373" s="21" t="str">
        <f t="shared" si="453"/>
        <v>-</v>
      </c>
      <c r="AK373" s="85">
        <v>42977</v>
      </c>
      <c r="AL373" s="21" t="s">
        <v>617</v>
      </c>
      <c r="AM373" s="21" t="str">
        <f t="shared" si="454"/>
        <v>-</v>
      </c>
      <c r="AN373" s="89" t="str">
        <f t="shared" ca="1" si="455"/>
        <v>-</v>
      </c>
      <c r="AO373" s="92">
        <v>1</v>
      </c>
      <c r="AP373" s="80" t="str">
        <f t="shared" ca="1" si="456"/>
        <v>-</v>
      </c>
      <c r="AQ373" s="80"/>
      <c r="AR373" s="22" t="str">
        <f t="shared" si="457"/>
        <v>-</v>
      </c>
      <c r="AS373" s="234"/>
      <c r="AT373" s="22" t="str">
        <f t="shared" si="458"/>
        <v>-</v>
      </c>
      <c r="AU373" s="300"/>
      <c r="AV373" s="429"/>
      <c r="AW373" s="431"/>
      <c r="AX373" s="121" t="str">
        <f t="shared" si="459"/>
        <v>-</v>
      </c>
      <c r="AY373" s="432" t="str">
        <f t="shared" si="460"/>
        <v>-</v>
      </c>
      <c r="AZ373" s="428" t="str">
        <f t="shared" ca="1" si="461"/>
        <v>-</v>
      </c>
      <c r="BA373" s="121"/>
      <c r="BB373" s="326"/>
      <c r="BC373" s="330" t="str">
        <f t="shared" si="462"/>
        <v>Ж-Е НЕ ВАКЦ.</v>
      </c>
      <c r="BD373" s="332" t="str">
        <f t="shared" si="463"/>
        <v>-</v>
      </c>
      <c r="BE373" s="321" t="str">
        <f t="shared" ca="1" si="464"/>
        <v>-</v>
      </c>
      <c r="BF373" s="307">
        <v>42891</v>
      </c>
      <c r="BG373" s="308">
        <v>5</v>
      </c>
      <c r="BH373" s="309">
        <f t="shared" ca="1" si="465"/>
        <v>243</v>
      </c>
      <c r="BI373" s="310" t="str">
        <f t="shared" ca="1" si="466"/>
        <v>-</v>
      </c>
      <c r="BJ373" s="313">
        <f t="shared" si="467"/>
        <v>42912</v>
      </c>
      <c r="BK373" s="307">
        <v>42912</v>
      </c>
      <c r="BL373" s="308">
        <v>5</v>
      </c>
      <c r="BM373" s="309">
        <f t="shared" ca="1" si="468"/>
        <v>222</v>
      </c>
      <c r="BN373" s="309">
        <f t="shared" si="469"/>
        <v>0</v>
      </c>
      <c r="BO373" s="311" t="str">
        <f t="shared" si="470"/>
        <v>УСПЕШНО</v>
      </c>
      <c r="BP373" s="312" t="str">
        <f t="shared" ca="1" si="471"/>
        <v>-</v>
      </c>
      <c r="BQ373" s="307"/>
      <c r="BR373" s="308"/>
      <c r="BS373" s="309" t="str">
        <f t="shared" si="472"/>
        <v>-</v>
      </c>
      <c r="BT373" s="310" t="str">
        <f t="shared" si="473"/>
        <v>-</v>
      </c>
      <c r="BU373" s="321" t="str">
        <f t="shared" ca="1" si="474"/>
        <v>-</v>
      </c>
      <c r="BV373" s="306"/>
      <c r="BW373" s="308"/>
      <c r="BX373" s="309" t="str">
        <f t="shared" si="475"/>
        <v>-</v>
      </c>
      <c r="BY373" s="309" t="str">
        <f t="shared" si="476"/>
        <v>-</v>
      </c>
      <c r="BZ373" s="310" t="str">
        <f t="shared" si="477"/>
        <v>-</v>
      </c>
      <c r="CA373" s="313" t="str">
        <f t="shared" si="478"/>
        <v>-</v>
      </c>
      <c r="CB373" s="306"/>
      <c r="CC373" s="308"/>
      <c r="CD373" s="309" t="str">
        <f t="shared" si="479"/>
        <v>-</v>
      </c>
      <c r="CE373" s="311" t="str">
        <f t="shared" si="480"/>
        <v>-</v>
      </c>
      <c r="CF373" s="309" t="str">
        <f t="shared" si="481"/>
        <v>-</v>
      </c>
      <c r="CG373" s="312" t="str">
        <f t="shared" ca="1" si="482"/>
        <v>-</v>
      </c>
      <c r="CH373" s="78"/>
      <c r="CI373" s="308"/>
      <c r="CJ373" s="384">
        <f ca="1">IF(O373&gt;90,N373+100,"-----")</f>
        <v>100</v>
      </c>
      <c r="CK373" s="359" t="str">
        <f ca="1">IF(AND(O373&gt;99,ISBLANK(CL373),CM373&lt;100),"ПОДЛЕЖИТ ОБРАБОТКЕ","-----")</f>
        <v>-----</v>
      </c>
      <c r="CL373" s="358"/>
      <c r="CM373" s="361" t="str">
        <f>IF(CL373&gt;0,B373-CL373,"-")</f>
        <v>-</v>
      </c>
      <c r="CN373" s="360"/>
      <c r="CO373" s="360"/>
      <c r="CP373" s="360"/>
      <c r="CQ373" s="360"/>
      <c r="CR373" s="384" t="str">
        <f>IF(AND(Y373=1,P373&gt;0),AJ373-14,"----")</f>
        <v>----</v>
      </c>
      <c r="CS373" s="359" t="str">
        <f ca="1">IF(AND(Y373=1,AN373&gt;-205,ISBLANK(CT373),CU373&lt;100),"ПОДЛЕЖИТ ОБРАБОТКЕ","-----")</f>
        <v>-----</v>
      </c>
      <c r="CT373" s="358"/>
      <c r="CU373" s="361" t="str">
        <f>IF(CT373&gt;0,B373-CT373,"-")</f>
        <v>-</v>
      </c>
      <c r="CV373" s="360"/>
      <c r="CW373" s="360"/>
      <c r="CX373" s="360"/>
      <c r="CY373" s="569"/>
    </row>
    <row r="374" spans="1:103" s="1" customFormat="1" ht="15.95" customHeight="1" x14ac:dyDescent="0.25">
      <c r="A374" s="77">
        <v>372</v>
      </c>
      <c r="B374" s="84">
        <f t="shared" ca="1" si="438"/>
        <v>43134</v>
      </c>
      <c r="C374" s="29" t="s">
        <v>2546</v>
      </c>
      <c r="D374" s="59" t="s">
        <v>1555</v>
      </c>
      <c r="E374" s="22" t="s">
        <v>1557</v>
      </c>
      <c r="F374" s="27" t="s">
        <v>3091</v>
      </c>
      <c r="G374" s="324"/>
      <c r="H374" s="28" t="s">
        <v>603</v>
      </c>
      <c r="I374" s="20">
        <v>42973</v>
      </c>
      <c r="J374" s="240">
        <f t="shared" ca="1" si="439"/>
        <v>0.44109589041095892</v>
      </c>
      <c r="K374" s="240">
        <f t="shared" ca="1" si="440"/>
        <v>5.3666666666666663</v>
      </c>
      <c r="L374" s="298">
        <f t="shared" ca="1" si="441"/>
        <v>161</v>
      </c>
      <c r="M374" s="60"/>
      <c r="N374" s="32"/>
      <c r="O374" s="82" t="str">
        <f t="shared" ca="1" si="442"/>
        <v>-</v>
      </c>
      <c r="P374" s="19"/>
      <c r="Q374" s="68"/>
      <c r="R374" s="118"/>
      <c r="S374" s="21"/>
      <c r="T374" s="20"/>
      <c r="U374" s="20" t="str">
        <f t="shared" si="443"/>
        <v>-</v>
      </c>
      <c r="V374" s="19" t="str">
        <f t="shared" ca="1" si="444"/>
        <v>-</v>
      </c>
      <c r="W374" s="3">
        <v>0</v>
      </c>
      <c r="X374" s="22" t="str">
        <f t="shared" si="445"/>
        <v>-</v>
      </c>
      <c r="Y374" s="22">
        <v>0</v>
      </c>
      <c r="Z374" s="329" t="str">
        <f t="shared" ca="1" si="446"/>
        <v>-----</v>
      </c>
      <c r="AA374" s="328">
        <f t="shared" ca="1" si="447"/>
        <v>43134</v>
      </c>
      <c r="AB374" s="19"/>
      <c r="AC374" s="331" t="str">
        <f t="shared" ca="1" si="448"/>
        <v>-----</v>
      </c>
      <c r="AD374" s="20"/>
      <c r="AE374" s="22" t="str">
        <f t="shared" ca="1" si="449"/>
        <v>-</v>
      </c>
      <c r="AF374" s="20" t="str">
        <f t="shared" si="450"/>
        <v>-</v>
      </c>
      <c r="AG374" s="94" t="str">
        <f t="shared" si="451"/>
        <v>---------</v>
      </c>
      <c r="AH374" s="21"/>
      <c r="AI374" s="21" t="str">
        <f t="shared" si="452"/>
        <v>-</v>
      </c>
      <c r="AJ374" s="21" t="str">
        <f t="shared" si="453"/>
        <v>-</v>
      </c>
      <c r="AK374" s="85">
        <v>42977</v>
      </c>
      <c r="AL374" s="21" t="s">
        <v>1614</v>
      </c>
      <c r="AM374" s="21" t="str">
        <f t="shared" si="454"/>
        <v>-</v>
      </c>
      <c r="AN374" s="89" t="str">
        <f t="shared" ca="1" si="455"/>
        <v>-</v>
      </c>
      <c r="AO374" s="92"/>
      <c r="AP374" s="80" t="str">
        <f t="shared" ca="1" si="456"/>
        <v>-</v>
      </c>
      <c r="AQ374" s="80"/>
      <c r="AR374" s="22" t="str">
        <f t="shared" si="457"/>
        <v>-</v>
      </c>
      <c r="AS374" s="234"/>
      <c r="AT374" s="22" t="str">
        <f t="shared" si="458"/>
        <v>-</v>
      </c>
      <c r="AU374" s="300"/>
      <c r="AV374" s="429"/>
      <c r="AW374" s="431"/>
      <c r="AX374" s="121" t="str">
        <f t="shared" si="459"/>
        <v>-</v>
      </c>
      <c r="AY374" s="432" t="str">
        <f t="shared" si="460"/>
        <v>-</v>
      </c>
      <c r="AZ374" s="428" t="str">
        <f t="shared" ca="1" si="461"/>
        <v>-</v>
      </c>
      <c r="BA374" s="121"/>
      <c r="BB374" s="326"/>
      <c r="BC374" s="330" t="str">
        <f t="shared" si="462"/>
        <v>Ж-Е НЕ ВАКЦ.</v>
      </c>
      <c r="BD374" s="332" t="str">
        <f t="shared" si="463"/>
        <v>-</v>
      </c>
      <c r="BE374" s="321" t="str">
        <f t="shared" ca="1" si="464"/>
        <v>ПОДЛЕЖИТ ВАКЦИНАЦИИ</v>
      </c>
      <c r="BF374" s="306"/>
      <c r="BG374" s="308"/>
      <c r="BH374" s="309" t="str">
        <f t="shared" si="465"/>
        <v>-</v>
      </c>
      <c r="BI374" s="310" t="str">
        <f t="shared" si="466"/>
        <v>-</v>
      </c>
      <c r="BJ374" s="313" t="str">
        <f t="shared" si="467"/>
        <v>-</v>
      </c>
      <c r="BK374" s="306"/>
      <c r="BL374" s="308"/>
      <c r="BM374" s="309" t="str">
        <f t="shared" si="468"/>
        <v>-</v>
      </c>
      <c r="BN374" s="309" t="str">
        <f t="shared" si="469"/>
        <v>-</v>
      </c>
      <c r="BO374" s="311" t="str">
        <f t="shared" si="470"/>
        <v>-</v>
      </c>
      <c r="BP374" s="312" t="str">
        <f t="shared" si="471"/>
        <v>-</v>
      </c>
      <c r="BQ374" s="307"/>
      <c r="BR374" s="308"/>
      <c r="BS374" s="309" t="str">
        <f t="shared" si="472"/>
        <v>-</v>
      </c>
      <c r="BT374" s="310" t="str">
        <f t="shared" si="473"/>
        <v>-</v>
      </c>
      <c r="BU374" s="321" t="str">
        <f t="shared" ca="1" si="474"/>
        <v>-</v>
      </c>
      <c r="BV374" s="306"/>
      <c r="BW374" s="308"/>
      <c r="BX374" s="309" t="str">
        <f t="shared" si="475"/>
        <v>-</v>
      </c>
      <c r="BY374" s="309" t="str">
        <f t="shared" si="476"/>
        <v>-</v>
      </c>
      <c r="BZ374" s="310" t="str">
        <f t="shared" si="477"/>
        <v>-</v>
      </c>
      <c r="CA374" s="313" t="str">
        <f t="shared" si="478"/>
        <v>-</v>
      </c>
      <c r="CB374" s="306"/>
      <c r="CC374" s="308"/>
      <c r="CD374" s="309" t="str">
        <f t="shared" si="479"/>
        <v>-</v>
      </c>
      <c r="CE374" s="311" t="str">
        <f t="shared" si="480"/>
        <v>-</v>
      </c>
      <c r="CF374" s="309" t="str">
        <f t="shared" si="481"/>
        <v>-</v>
      </c>
      <c r="CG374" s="312" t="str">
        <f t="shared" ca="1" si="482"/>
        <v>-</v>
      </c>
      <c r="CH374" s="78"/>
      <c r="CI374" s="308"/>
      <c r="CJ374" s="384"/>
      <c r="CK374" s="359"/>
      <c r="CL374" s="358"/>
      <c r="CM374" s="361"/>
      <c r="CN374" s="360"/>
      <c r="CO374" s="360"/>
      <c r="CP374" s="360"/>
      <c r="CQ374" s="360"/>
      <c r="CR374" s="384"/>
      <c r="CS374" s="359"/>
      <c r="CT374" s="358"/>
      <c r="CU374" s="361"/>
      <c r="CV374" s="360"/>
      <c r="CW374" s="360"/>
      <c r="CX374" s="360"/>
      <c r="CY374" s="569"/>
    </row>
    <row r="375" spans="1:103" s="1" customFormat="1" ht="15.95" customHeight="1" x14ac:dyDescent="0.25">
      <c r="A375" s="77">
        <v>373</v>
      </c>
      <c r="B375" s="84">
        <f t="shared" ca="1" si="438"/>
        <v>43134</v>
      </c>
      <c r="C375" s="29" t="s">
        <v>2546</v>
      </c>
      <c r="D375" s="59" t="s">
        <v>1555</v>
      </c>
      <c r="E375" s="22" t="s">
        <v>1557</v>
      </c>
      <c r="F375" s="27" t="s">
        <v>3096</v>
      </c>
      <c r="G375" s="324"/>
      <c r="H375" s="28" t="s">
        <v>603</v>
      </c>
      <c r="I375" s="20">
        <v>42974</v>
      </c>
      <c r="J375" s="240">
        <f t="shared" ca="1" si="439"/>
        <v>0.43835616438356162</v>
      </c>
      <c r="K375" s="240">
        <f t="shared" ca="1" si="440"/>
        <v>5.333333333333333</v>
      </c>
      <c r="L375" s="298">
        <f t="shared" ca="1" si="441"/>
        <v>160</v>
      </c>
      <c r="M375" s="60"/>
      <c r="N375" s="32"/>
      <c r="O375" s="82" t="str">
        <f t="shared" ca="1" si="442"/>
        <v>-</v>
      </c>
      <c r="P375" s="19"/>
      <c r="Q375" s="68"/>
      <c r="R375" s="118"/>
      <c r="S375" s="21"/>
      <c r="T375" s="20"/>
      <c r="U375" s="20" t="str">
        <f t="shared" si="443"/>
        <v>-</v>
      </c>
      <c r="V375" s="19" t="str">
        <f t="shared" ca="1" si="444"/>
        <v>-</v>
      </c>
      <c r="W375" s="3">
        <v>0</v>
      </c>
      <c r="X375" s="22" t="str">
        <f t="shared" si="445"/>
        <v>-</v>
      </c>
      <c r="Y375" s="22">
        <v>0</v>
      </c>
      <c r="Z375" s="329" t="str">
        <f t="shared" ca="1" si="446"/>
        <v>-----</v>
      </c>
      <c r="AA375" s="328">
        <f t="shared" ca="1" si="447"/>
        <v>43134</v>
      </c>
      <c r="AB375" s="19"/>
      <c r="AC375" s="331" t="str">
        <f t="shared" ca="1" si="448"/>
        <v>-----</v>
      </c>
      <c r="AD375" s="20"/>
      <c r="AE375" s="22" t="str">
        <f t="shared" ca="1" si="449"/>
        <v>-</v>
      </c>
      <c r="AF375" s="20" t="str">
        <f t="shared" si="450"/>
        <v>-</v>
      </c>
      <c r="AG375" s="94" t="str">
        <f t="shared" si="451"/>
        <v>---------</v>
      </c>
      <c r="AH375" s="21"/>
      <c r="AI375" s="21" t="str">
        <f t="shared" si="452"/>
        <v>-</v>
      </c>
      <c r="AJ375" s="21" t="str">
        <f t="shared" si="453"/>
        <v>-</v>
      </c>
      <c r="AK375" s="85">
        <v>42977</v>
      </c>
      <c r="AL375" s="21" t="s">
        <v>1614</v>
      </c>
      <c r="AM375" s="21" t="str">
        <f t="shared" si="454"/>
        <v>-</v>
      </c>
      <c r="AN375" s="89" t="str">
        <f t="shared" ca="1" si="455"/>
        <v>-</v>
      </c>
      <c r="AO375" s="92"/>
      <c r="AP375" s="80" t="str">
        <f t="shared" ca="1" si="456"/>
        <v>-</v>
      </c>
      <c r="AQ375" s="80"/>
      <c r="AR375" s="22" t="str">
        <f t="shared" si="457"/>
        <v>-</v>
      </c>
      <c r="AS375" s="234"/>
      <c r="AT375" s="22" t="str">
        <f t="shared" si="458"/>
        <v>-</v>
      </c>
      <c r="AU375" s="300"/>
      <c r="AV375" s="429"/>
      <c r="AW375" s="431"/>
      <c r="AX375" s="121" t="str">
        <f t="shared" si="459"/>
        <v>-</v>
      </c>
      <c r="AY375" s="432" t="str">
        <f t="shared" si="460"/>
        <v>-</v>
      </c>
      <c r="AZ375" s="428" t="str">
        <f t="shared" ca="1" si="461"/>
        <v>-</v>
      </c>
      <c r="BA375" s="121"/>
      <c r="BB375" s="326"/>
      <c r="BC375" s="330" t="str">
        <f t="shared" si="462"/>
        <v>Ж-Е НЕ ВАКЦ.</v>
      </c>
      <c r="BD375" s="332" t="str">
        <f t="shared" si="463"/>
        <v>-</v>
      </c>
      <c r="BE375" s="321" t="str">
        <f t="shared" ca="1" si="464"/>
        <v>ПОДЛЕЖИТ ВАКЦИНАЦИИ</v>
      </c>
      <c r="BF375" s="306"/>
      <c r="BG375" s="308"/>
      <c r="BH375" s="309" t="str">
        <f t="shared" si="465"/>
        <v>-</v>
      </c>
      <c r="BI375" s="310" t="str">
        <f t="shared" si="466"/>
        <v>-</v>
      </c>
      <c r="BJ375" s="313" t="str">
        <f t="shared" si="467"/>
        <v>-</v>
      </c>
      <c r="BK375" s="306"/>
      <c r="BL375" s="308"/>
      <c r="BM375" s="309" t="str">
        <f t="shared" si="468"/>
        <v>-</v>
      </c>
      <c r="BN375" s="309" t="str">
        <f t="shared" si="469"/>
        <v>-</v>
      </c>
      <c r="BO375" s="311" t="str">
        <f t="shared" si="470"/>
        <v>-</v>
      </c>
      <c r="BP375" s="312" t="str">
        <f t="shared" si="471"/>
        <v>-</v>
      </c>
      <c r="BQ375" s="307"/>
      <c r="BR375" s="308"/>
      <c r="BS375" s="309" t="str">
        <f t="shared" si="472"/>
        <v>-</v>
      </c>
      <c r="BT375" s="310" t="str">
        <f t="shared" si="473"/>
        <v>-</v>
      </c>
      <c r="BU375" s="321" t="str">
        <f t="shared" ca="1" si="474"/>
        <v>-</v>
      </c>
      <c r="BV375" s="306"/>
      <c r="BW375" s="308"/>
      <c r="BX375" s="309" t="str">
        <f t="shared" si="475"/>
        <v>-</v>
      </c>
      <c r="BY375" s="309" t="str">
        <f t="shared" si="476"/>
        <v>-</v>
      </c>
      <c r="BZ375" s="310" t="str">
        <f t="shared" si="477"/>
        <v>-</v>
      </c>
      <c r="CA375" s="313" t="str">
        <f t="shared" si="478"/>
        <v>-</v>
      </c>
      <c r="CB375" s="306"/>
      <c r="CC375" s="308"/>
      <c r="CD375" s="309" t="str">
        <f t="shared" si="479"/>
        <v>-</v>
      </c>
      <c r="CE375" s="311" t="str">
        <f t="shared" si="480"/>
        <v>-</v>
      </c>
      <c r="CF375" s="309" t="str">
        <f t="shared" si="481"/>
        <v>-</v>
      </c>
      <c r="CG375" s="312" t="str">
        <f t="shared" ca="1" si="482"/>
        <v>-</v>
      </c>
      <c r="CH375" s="78"/>
      <c r="CI375" s="308"/>
      <c r="CJ375" s="384"/>
      <c r="CK375" s="359"/>
      <c r="CL375" s="358"/>
      <c r="CM375" s="361"/>
      <c r="CN375" s="360"/>
      <c r="CO375" s="360"/>
      <c r="CP375" s="360"/>
      <c r="CQ375" s="360"/>
      <c r="CR375" s="384"/>
      <c r="CS375" s="359"/>
      <c r="CT375" s="358"/>
      <c r="CU375" s="361"/>
      <c r="CV375" s="360"/>
      <c r="CW375" s="360"/>
      <c r="CX375" s="360"/>
      <c r="CY375" s="569"/>
    </row>
    <row r="376" spans="1:103" s="1" customFormat="1" ht="15.95" customHeight="1" x14ac:dyDescent="0.25">
      <c r="A376" s="77">
        <v>374</v>
      </c>
      <c r="B376" s="84">
        <f t="shared" ca="1" si="438"/>
        <v>43134</v>
      </c>
      <c r="C376" s="29" t="s">
        <v>2546</v>
      </c>
      <c r="D376" s="59" t="s">
        <v>1555</v>
      </c>
      <c r="E376" s="22" t="s">
        <v>1557</v>
      </c>
      <c r="F376" s="27" t="s">
        <v>3097</v>
      </c>
      <c r="G376" s="324"/>
      <c r="H376" s="28" t="s">
        <v>603</v>
      </c>
      <c r="I376" s="20">
        <v>42974</v>
      </c>
      <c r="J376" s="240">
        <f t="shared" ca="1" si="439"/>
        <v>0.43835616438356162</v>
      </c>
      <c r="K376" s="240">
        <f t="shared" ca="1" si="440"/>
        <v>5.333333333333333</v>
      </c>
      <c r="L376" s="298">
        <f t="shared" ca="1" si="441"/>
        <v>160</v>
      </c>
      <c r="M376" s="60"/>
      <c r="N376" s="32"/>
      <c r="O376" s="82" t="str">
        <f t="shared" ca="1" si="442"/>
        <v>-</v>
      </c>
      <c r="P376" s="19"/>
      <c r="Q376" s="68"/>
      <c r="R376" s="118"/>
      <c r="S376" s="21"/>
      <c r="T376" s="20"/>
      <c r="U376" s="20" t="str">
        <f t="shared" si="443"/>
        <v>-</v>
      </c>
      <c r="V376" s="19" t="str">
        <f t="shared" ca="1" si="444"/>
        <v>-</v>
      </c>
      <c r="W376" s="3">
        <v>0</v>
      </c>
      <c r="X376" s="22" t="str">
        <f t="shared" si="445"/>
        <v>-</v>
      </c>
      <c r="Y376" s="3">
        <v>0</v>
      </c>
      <c r="Z376" s="329" t="str">
        <f t="shared" ca="1" si="446"/>
        <v>-----</v>
      </c>
      <c r="AA376" s="328">
        <f t="shared" ca="1" si="447"/>
        <v>43134</v>
      </c>
      <c r="AB376" s="19"/>
      <c r="AC376" s="331" t="str">
        <f t="shared" ca="1" si="448"/>
        <v>-----</v>
      </c>
      <c r="AD376" s="20"/>
      <c r="AE376" s="22" t="str">
        <f t="shared" ca="1" si="449"/>
        <v>-</v>
      </c>
      <c r="AF376" s="20" t="str">
        <f t="shared" si="450"/>
        <v>-</v>
      </c>
      <c r="AG376" s="94" t="str">
        <f t="shared" si="451"/>
        <v>---------</v>
      </c>
      <c r="AH376" s="21"/>
      <c r="AI376" s="21" t="str">
        <f t="shared" si="452"/>
        <v>-</v>
      </c>
      <c r="AJ376" s="21" t="str">
        <f t="shared" si="453"/>
        <v>-</v>
      </c>
      <c r="AK376" s="85">
        <v>42977</v>
      </c>
      <c r="AL376" s="21" t="s">
        <v>1614</v>
      </c>
      <c r="AM376" s="21" t="str">
        <f t="shared" si="454"/>
        <v>-</v>
      </c>
      <c r="AN376" s="89" t="str">
        <f t="shared" ca="1" si="455"/>
        <v>-</v>
      </c>
      <c r="AO376" s="92"/>
      <c r="AP376" s="80" t="str">
        <f t="shared" ca="1" si="456"/>
        <v>-</v>
      </c>
      <c r="AQ376" s="80"/>
      <c r="AR376" s="22" t="str">
        <f t="shared" si="457"/>
        <v>-</v>
      </c>
      <c r="AS376" s="234"/>
      <c r="AT376" s="22" t="str">
        <f t="shared" si="458"/>
        <v>-</v>
      </c>
      <c r="AU376" s="300"/>
      <c r="AV376" s="429"/>
      <c r="AW376" s="431"/>
      <c r="AX376" s="121" t="str">
        <f t="shared" si="459"/>
        <v>-</v>
      </c>
      <c r="AY376" s="432" t="str">
        <f t="shared" si="460"/>
        <v>-</v>
      </c>
      <c r="AZ376" s="428" t="str">
        <f t="shared" ca="1" si="461"/>
        <v>-</v>
      </c>
      <c r="BA376" s="121"/>
      <c r="BB376" s="326"/>
      <c r="BC376" s="330" t="str">
        <f t="shared" si="462"/>
        <v>Ж-Е НЕ ВАКЦ.</v>
      </c>
      <c r="BD376" s="332" t="str">
        <f t="shared" si="463"/>
        <v>-</v>
      </c>
      <c r="BE376" s="321" t="str">
        <f t="shared" ca="1" si="464"/>
        <v>ПОДЛЕЖИТ ВАКЦИНАЦИИ</v>
      </c>
      <c r="BF376" s="306"/>
      <c r="BG376" s="308"/>
      <c r="BH376" s="309" t="str">
        <f t="shared" si="465"/>
        <v>-</v>
      </c>
      <c r="BI376" s="310" t="str">
        <f t="shared" si="466"/>
        <v>-</v>
      </c>
      <c r="BJ376" s="313" t="str">
        <f t="shared" si="467"/>
        <v>-</v>
      </c>
      <c r="BK376" s="306"/>
      <c r="BL376" s="308"/>
      <c r="BM376" s="309" t="str">
        <f t="shared" si="468"/>
        <v>-</v>
      </c>
      <c r="BN376" s="309" t="str">
        <f t="shared" si="469"/>
        <v>-</v>
      </c>
      <c r="BO376" s="311" t="str">
        <f t="shared" si="470"/>
        <v>-</v>
      </c>
      <c r="BP376" s="312" t="str">
        <f t="shared" si="471"/>
        <v>-</v>
      </c>
      <c r="BQ376" s="307"/>
      <c r="BR376" s="308"/>
      <c r="BS376" s="309" t="str">
        <f t="shared" si="472"/>
        <v>-</v>
      </c>
      <c r="BT376" s="310" t="str">
        <f t="shared" si="473"/>
        <v>-</v>
      </c>
      <c r="BU376" s="321" t="str">
        <f t="shared" ca="1" si="474"/>
        <v>-</v>
      </c>
      <c r="BV376" s="306"/>
      <c r="BW376" s="308"/>
      <c r="BX376" s="309" t="str">
        <f t="shared" si="475"/>
        <v>-</v>
      </c>
      <c r="BY376" s="309" t="str">
        <f t="shared" si="476"/>
        <v>-</v>
      </c>
      <c r="BZ376" s="310" t="str">
        <f t="shared" si="477"/>
        <v>-</v>
      </c>
      <c r="CA376" s="313" t="str">
        <f t="shared" si="478"/>
        <v>-</v>
      </c>
      <c r="CB376" s="306"/>
      <c r="CC376" s="308"/>
      <c r="CD376" s="309" t="str">
        <f t="shared" si="479"/>
        <v>-</v>
      </c>
      <c r="CE376" s="311" t="str">
        <f t="shared" si="480"/>
        <v>-</v>
      </c>
      <c r="CF376" s="309" t="str">
        <f t="shared" si="481"/>
        <v>-</v>
      </c>
      <c r="CG376" s="312" t="str">
        <f t="shared" ca="1" si="482"/>
        <v>-</v>
      </c>
      <c r="CH376" s="78"/>
      <c r="CI376" s="308"/>
      <c r="CJ376" s="384"/>
      <c r="CK376" s="359"/>
      <c r="CL376" s="358"/>
      <c r="CM376" s="361"/>
      <c r="CN376" s="360"/>
      <c r="CO376" s="360"/>
      <c r="CP376" s="360"/>
      <c r="CQ376" s="360"/>
      <c r="CR376" s="384"/>
      <c r="CS376" s="359"/>
      <c r="CT376" s="358"/>
      <c r="CU376" s="361"/>
      <c r="CV376" s="360"/>
      <c r="CW376" s="360"/>
      <c r="CX376" s="360"/>
      <c r="CY376" s="569"/>
    </row>
    <row r="377" spans="1:103" s="1" customFormat="1" ht="25.5" x14ac:dyDescent="0.25">
      <c r="A377" s="77">
        <v>375</v>
      </c>
      <c r="B377" s="84">
        <f t="shared" ref="B377:B384" ca="1" si="483">TODAY()</f>
        <v>43134</v>
      </c>
      <c r="C377" s="29" t="s">
        <v>2546</v>
      </c>
      <c r="D377" s="59" t="s">
        <v>1555</v>
      </c>
      <c r="E377" s="22" t="s">
        <v>1557</v>
      </c>
      <c r="F377" s="27" t="s">
        <v>3098</v>
      </c>
      <c r="G377" s="324"/>
      <c r="H377" s="28" t="s">
        <v>603</v>
      </c>
      <c r="I377" s="20">
        <v>42974</v>
      </c>
      <c r="J377" s="240">
        <f t="shared" ref="J377:J384" ca="1" si="484">(B377-I377)/365</f>
        <v>0.43835616438356162</v>
      </c>
      <c r="K377" s="240">
        <f t="shared" ref="K377:K384" ca="1" si="485">(B377-I377)/30</f>
        <v>5.333333333333333</v>
      </c>
      <c r="L377" s="298">
        <f t="shared" ref="L377:L384" ca="1" si="486">B377-I377</f>
        <v>160</v>
      </c>
      <c r="M377" s="60"/>
      <c r="N377" s="32"/>
      <c r="O377" s="82" t="str">
        <f t="shared" ca="1" si="442"/>
        <v>-</v>
      </c>
      <c r="P377" s="19"/>
      <c r="Q377" s="68"/>
      <c r="R377" s="118"/>
      <c r="S377" s="21"/>
      <c r="T377" s="20"/>
      <c r="U377" s="20" t="str">
        <f t="shared" si="443"/>
        <v>-</v>
      </c>
      <c r="V377" s="19" t="str">
        <f t="shared" ca="1" si="444"/>
        <v>-</v>
      </c>
      <c r="W377" s="3">
        <v>0</v>
      </c>
      <c r="X377" s="22" t="str">
        <f t="shared" si="445"/>
        <v>-</v>
      </c>
      <c r="Y377" s="3">
        <v>0</v>
      </c>
      <c r="Z377" s="329" t="str">
        <f t="shared" ca="1" si="446"/>
        <v>-----</v>
      </c>
      <c r="AA377" s="328">
        <f t="shared" ca="1" si="447"/>
        <v>43134</v>
      </c>
      <c r="AB377" s="19"/>
      <c r="AC377" s="331" t="str">
        <f t="shared" ca="1" si="448"/>
        <v>-----</v>
      </c>
      <c r="AD377" s="20"/>
      <c r="AE377" s="22" t="str">
        <f t="shared" ca="1" si="449"/>
        <v>-</v>
      </c>
      <c r="AF377" s="20" t="str">
        <f t="shared" si="450"/>
        <v>-</v>
      </c>
      <c r="AG377" s="94" t="str">
        <f t="shared" si="451"/>
        <v>---------</v>
      </c>
      <c r="AH377" s="21"/>
      <c r="AI377" s="21" t="str">
        <f t="shared" si="452"/>
        <v>-</v>
      </c>
      <c r="AJ377" s="21" t="str">
        <f t="shared" si="453"/>
        <v>-</v>
      </c>
      <c r="AK377" s="85">
        <v>42978</v>
      </c>
      <c r="AL377" s="21" t="s">
        <v>1614</v>
      </c>
      <c r="AM377" s="21" t="str">
        <f t="shared" si="454"/>
        <v>-</v>
      </c>
      <c r="AN377" s="89" t="str">
        <f t="shared" ca="1" si="455"/>
        <v>-</v>
      </c>
      <c r="AO377" s="92"/>
      <c r="AP377" s="80" t="str">
        <f t="shared" ca="1" si="456"/>
        <v>-</v>
      </c>
      <c r="AQ377" s="80"/>
      <c r="AR377" s="22" t="str">
        <f t="shared" si="457"/>
        <v>-</v>
      </c>
      <c r="AS377" s="234"/>
      <c r="AT377" s="22" t="str">
        <f t="shared" si="458"/>
        <v>-</v>
      </c>
      <c r="AU377" s="300"/>
      <c r="AV377" s="429"/>
      <c r="AW377" s="431"/>
      <c r="AX377" s="121" t="str">
        <f t="shared" si="459"/>
        <v>-</v>
      </c>
      <c r="AY377" s="432" t="str">
        <f t="shared" si="460"/>
        <v>-</v>
      </c>
      <c r="AZ377" s="428" t="str">
        <f t="shared" ca="1" si="461"/>
        <v>-</v>
      </c>
      <c r="BA377" s="121"/>
      <c r="BB377" s="326"/>
      <c r="BC377" s="330" t="str">
        <f t="shared" si="462"/>
        <v>Ж-Е НЕ ВАКЦ.</v>
      </c>
      <c r="BD377" s="332" t="str">
        <f t="shared" si="463"/>
        <v>-</v>
      </c>
      <c r="BE377" s="321" t="str">
        <f t="shared" ca="1" si="464"/>
        <v>ПОДЛЕЖИТ ВАКЦИНАЦИИ</v>
      </c>
      <c r="BF377" s="306"/>
      <c r="BG377" s="308"/>
      <c r="BH377" s="309" t="str">
        <f t="shared" si="465"/>
        <v>-</v>
      </c>
      <c r="BI377" s="310" t="str">
        <f t="shared" si="466"/>
        <v>-</v>
      </c>
      <c r="BJ377" s="313" t="str">
        <f t="shared" si="467"/>
        <v>-</v>
      </c>
      <c r="BK377" s="306"/>
      <c r="BL377" s="308"/>
      <c r="BM377" s="309" t="str">
        <f t="shared" si="468"/>
        <v>-</v>
      </c>
      <c r="BN377" s="309" t="str">
        <f t="shared" si="469"/>
        <v>-</v>
      </c>
      <c r="BO377" s="311" t="str">
        <f t="shared" si="470"/>
        <v>-</v>
      </c>
      <c r="BP377" s="312" t="str">
        <f t="shared" si="471"/>
        <v>-</v>
      </c>
      <c r="BQ377" s="307"/>
      <c r="BR377" s="308"/>
      <c r="BS377" s="309" t="str">
        <f t="shared" si="472"/>
        <v>-</v>
      </c>
      <c r="BT377" s="310" t="str">
        <f t="shared" si="473"/>
        <v>-</v>
      </c>
      <c r="BU377" s="321" t="str">
        <f t="shared" ca="1" si="474"/>
        <v>-</v>
      </c>
      <c r="BV377" s="306"/>
      <c r="BW377" s="308"/>
      <c r="BX377" s="309" t="str">
        <f t="shared" si="475"/>
        <v>-</v>
      </c>
      <c r="BY377" s="309" t="str">
        <f t="shared" si="476"/>
        <v>-</v>
      </c>
      <c r="BZ377" s="310" t="str">
        <f t="shared" si="477"/>
        <v>-</v>
      </c>
      <c r="CA377" s="313" t="str">
        <f t="shared" si="478"/>
        <v>-</v>
      </c>
      <c r="CB377" s="306"/>
      <c r="CC377" s="308"/>
      <c r="CD377" s="309" t="str">
        <f t="shared" si="479"/>
        <v>-</v>
      </c>
      <c r="CE377" s="311" t="str">
        <f t="shared" si="480"/>
        <v>-</v>
      </c>
      <c r="CF377" s="309" t="str">
        <f t="shared" si="481"/>
        <v>-</v>
      </c>
      <c r="CG377" s="312" t="str">
        <f t="shared" ca="1" si="482"/>
        <v>-</v>
      </c>
      <c r="CH377" s="78"/>
      <c r="CI377" s="308"/>
      <c r="CJ377" s="384"/>
      <c r="CK377" s="359"/>
      <c r="CL377" s="358"/>
      <c r="CM377" s="361"/>
      <c r="CN377" s="360"/>
      <c r="CO377" s="360"/>
      <c r="CP377" s="360"/>
      <c r="CQ377" s="360"/>
      <c r="CR377" s="384"/>
      <c r="CS377" s="359"/>
      <c r="CT377" s="358"/>
      <c r="CU377" s="361"/>
      <c r="CV377" s="360"/>
      <c r="CW377" s="360"/>
      <c r="CX377" s="360"/>
      <c r="CY377" s="569"/>
    </row>
    <row r="378" spans="1:103" s="1" customFormat="1" ht="25.5" x14ac:dyDescent="0.25">
      <c r="A378" s="77">
        <v>376</v>
      </c>
      <c r="B378" s="84">
        <f t="shared" ca="1" si="483"/>
        <v>43134</v>
      </c>
      <c r="C378" s="29" t="s">
        <v>2546</v>
      </c>
      <c r="D378" s="59" t="s">
        <v>1555</v>
      </c>
      <c r="E378" s="22" t="s">
        <v>1557</v>
      </c>
      <c r="F378" s="27" t="s">
        <v>3099</v>
      </c>
      <c r="G378" s="324"/>
      <c r="H378" s="28" t="s">
        <v>603</v>
      </c>
      <c r="I378" s="20">
        <v>42975</v>
      </c>
      <c r="J378" s="240">
        <f t="shared" ca="1" si="484"/>
        <v>0.43561643835616437</v>
      </c>
      <c r="K378" s="240">
        <f t="shared" ca="1" si="485"/>
        <v>5.3</v>
      </c>
      <c r="L378" s="298">
        <f t="shared" ca="1" si="486"/>
        <v>159</v>
      </c>
      <c r="M378" s="60"/>
      <c r="N378" s="32"/>
      <c r="O378" s="82" t="str">
        <f t="shared" ca="1" si="442"/>
        <v>-</v>
      </c>
      <c r="P378" s="19"/>
      <c r="Q378" s="68"/>
      <c r="R378" s="118"/>
      <c r="S378" s="21"/>
      <c r="T378" s="20"/>
      <c r="U378" s="20" t="str">
        <f t="shared" si="443"/>
        <v>-</v>
      </c>
      <c r="V378" s="19" t="str">
        <f t="shared" ca="1" si="444"/>
        <v>-</v>
      </c>
      <c r="W378" s="3">
        <v>0</v>
      </c>
      <c r="X378" s="22" t="str">
        <f t="shared" si="445"/>
        <v>-</v>
      </c>
      <c r="Y378" s="3">
        <v>0</v>
      </c>
      <c r="Z378" s="329" t="str">
        <f t="shared" ca="1" si="446"/>
        <v>-----</v>
      </c>
      <c r="AA378" s="328">
        <f t="shared" ca="1" si="447"/>
        <v>43134</v>
      </c>
      <c r="AB378" s="19"/>
      <c r="AC378" s="331" t="str">
        <f t="shared" ca="1" si="448"/>
        <v>-----</v>
      </c>
      <c r="AD378" s="20"/>
      <c r="AE378" s="22" t="str">
        <f t="shared" ca="1" si="449"/>
        <v>-</v>
      </c>
      <c r="AF378" s="20" t="str">
        <f t="shared" si="450"/>
        <v>-</v>
      </c>
      <c r="AG378" s="94" t="str">
        <f t="shared" si="451"/>
        <v>---------</v>
      </c>
      <c r="AH378" s="21"/>
      <c r="AI378" s="21" t="str">
        <f t="shared" si="452"/>
        <v>-</v>
      </c>
      <c r="AJ378" s="21" t="str">
        <f t="shared" si="453"/>
        <v>-</v>
      </c>
      <c r="AK378" s="85">
        <v>42978</v>
      </c>
      <c r="AL378" s="21" t="s">
        <v>1614</v>
      </c>
      <c r="AM378" s="21" t="str">
        <f t="shared" si="454"/>
        <v>-</v>
      </c>
      <c r="AN378" s="89" t="str">
        <f t="shared" ca="1" si="455"/>
        <v>-</v>
      </c>
      <c r="AO378" s="92"/>
      <c r="AP378" s="80" t="str">
        <f t="shared" ca="1" si="456"/>
        <v>-</v>
      </c>
      <c r="AQ378" s="80"/>
      <c r="AR378" s="22" t="str">
        <f t="shared" si="457"/>
        <v>-</v>
      </c>
      <c r="AS378" s="234"/>
      <c r="AT378" s="22" t="str">
        <f t="shared" si="458"/>
        <v>-</v>
      </c>
      <c r="AU378" s="300"/>
      <c r="AV378" s="429"/>
      <c r="AW378" s="431"/>
      <c r="AX378" s="121" t="str">
        <f t="shared" si="459"/>
        <v>-</v>
      </c>
      <c r="AY378" s="432" t="str">
        <f t="shared" si="460"/>
        <v>-</v>
      </c>
      <c r="AZ378" s="428" t="str">
        <f t="shared" ca="1" si="461"/>
        <v>-</v>
      </c>
      <c r="BA378" s="121"/>
      <c r="BB378" s="326"/>
      <c r="BC378" s="330" t="str">
        <f t="shared" si="462"/>
        <v>Ж-Е НЕ ВАКЦ.</v>
      </c>
      <c r="BD378" s="332" t="str">
        <f t="shared" si="463"/>
        <v>-</v>
      </c>
      <c r="BE378" s="321" t="str">
        <f t="shared" ca="1" si="464"/>
        <v>ПОДЛЕЖИТ ВАКЦИНАЦИИ</v>
      </c>
      <c r="BF378" s="306"/>
      <c r="BG378" s="308"/>
      <c r="BH378" s="309" t="str">
        <f t="shared" si="465"/>
        <v>-</v>
      </c>
      <c r="BI378" s="310" t="str">
        <f t="shared" si="466"/>
        <v>-</v>
      </c>
      <c r="BJ378" s="313" t="str">
        <f t="shared" si="467"/>
        <v>-</v>
      </c>
      <c r="BK378" s="306"/>
      <c r="BL378" s="308"/>
      <c r="BM378" s="309" t="str">
        <f t="shared" si="468"/>
        <v>-</v>
      </c>
      <c r="BN378" s="309" t="str">
        <f t="shared" si="469"/>
        <v>-</v>
      </c>
      <c r="BO378" s="311" t="str">
        <f t="shared" si="470"/>
        <v>-</v>
      </c>
      <c r="BP378" s="312" t="str">
        <f t="shared" si="471"/>
        <v>-</v>
      </c>
      <c r="BQ378" s="307"/>
      <c r="BR378" s="308"/>
      <c r="BS378" s="309" t="str">
        <f t="shared" si="472"/>
        <v>-</v>
      </c>
      <c r="BT378" s="310" t="str">
        <f t="shared" si="473"/>
        <v>-</v>
      </c>
      <c r="BU378" s="321" t="str">
        <f t="shared" ca="1" si="474"/>
        <v>-</v>
      </c>
      <c r="BV378" s="306"/>
      <c r="BW378" s="308"/>
      <c r="BX378" s="309" t="str">
        <f t="shared" si="475"/>
        <v>-</v>
      </c>
      <c r="BY378" s="309" t="str">
        <f t="shared" si="476"/>
        <v>-</v>
      </c>
      <c r="BZ378" s="310" t="str">
        <f t="shared" si="477"/>
        <v>-</v>
      </c>
      <c r="CA378" s="313" t="str">
        <f t="shared" si="478"/>
        <v>-</v>
      </c>
      <c r="CB378" s="306"/>
      <c r="CC378" s="308"/>
      <c r="CD378" s="309" t="str">
        <f t="shared" si="479"/>
        <v>-</v>
      </c>
      <c r="CE378" s="311" t="str">
        <f t="shared" si="480"/>
        <v>-</v>
      </c>
      <c r="CF378" s="309" t="str">
        <f t="shared" si="481"/>
        <v>-</v>
      </c>
      <c r="CG378" s="312" t="str">
        <f t="shared" ca="1" si="482"/>
        <v>-</v>
      </c>
      <c r="CH378" s="78"/>
      <c r="CI378" s="308"/>
      <c r="CJ378" s="384"/>
      <c r="CK378" s="359"/>
      <c r="CL378" s="358"/>
      <c r="CM378" s="361"/>
      <c r="CN378" s="360"/>
      <c r="CO378" s="360"/>
      <c r="CP378" s="360"/>
      <c r="CQ378" s="360"/>
      <c r="CR378" s="384"/>
      <c r="CS378" s="359"/>
      <c r="CT378" s="358"/>
      <c r="CU378" s="361"/>
      <c r="CV378" s="360"/>
      <c r="CW378" s="360"/>
      <c r="CX378" s="360"/>
      <c r="CY378" s="569"/>
    </row>
    <row r="379" spans="1:103" s="1" customFormat="1" ht="25.5" x14ac:dyDescent="0.25">
      <c r="A379" s="77">
        <v>377</v>
      </c>
      <c r="B379" s="84">
        <f t="shared" ca="1" si="483"/>
        <v>43134</v>
      </c>
      <c r="C379" s="29" t="s">
        <v>2546</v>
      </c>
      <c r="D379" s="59" t="s">
        <v>1555</v>
      </c>
      <c r="E379" s="22" t="s">
        <v>1557</v>
      </c>
      <c r="F379" s="27" t="s">
        <v>3100</v>
      </c>
      <c r="G379" s="324"/>
      <c r="H379" s="28" t="s">
        <v>603</v>
      </c>
      <c r="I379" s="20">
        <v>42975</v>
      </c>
      <c r="J379" s="240">
        <f t="shared" ca="1" si="484"/>
        <v>0.43561643835616437</v>
      </c>
      <c r="K379" s="240">
        <f t="shared" ca="1" si="485"/>
        <v>5.3</v>
      </c>
      <c r="L379" s="298">
        <f t="shared" ca="1" si="486"/>
        <v>159</v>
      </c>
      <c r="M379" s="60"/>
      <c r="N379" s="32"/>
      <c r="O379" s="82" t="str">
        <f t="shared" ca="1" si="442"/>
        <v>-</v>
      </c>
      <c r="P379" s="19"/>
      <c r="Q379" s="68"/>
      <c r="R379" s="118"/>
      <c r="S379" s="21"/>
      <c r="T379" s="20"/>
      <c r="U379" s="20" t="str">
        <f t="shared" si="443"/>
        <v>-</v>
      </c>
      <c r="V379" s="19" t="str">
        <f t="shared" ca="1" si="444"/>
        <v>-</v>
      </c>
      <c r="W379" s="3">
        <v>0</v>
      </c>
      <c r="X379" s="22" t="str">
        <f t="shared" si="445"/>
        <v>-</v>
      </c>
      <c r="Y379" s="22">
        <v>0</v>
      </c>
      <c r="Z379" s="329" t="str">
        <f t="shared" ca="1" si="446"/>
        <v>-----</v>
      </c>
      <c r="AA379" s="328">
        <f t="shared" ca="1" si="447"/>
        <v>43134</v>
      </c>
      <c r="AB379" s="19"/>
      <c r="AC379" s="331" t="str">
        <f t="shared" ca="1" si="448"/>
        <v>-----</v>
      </c>
      <c r="AD379" s="20"/>
      <c r="AE379" s="22" t="str">
        <f t="shared" ca="1" si="449"/>
        <v>-</v>
      </c>
      <c r="AF379" s="20" t="str">
        <f t="shared" si="450"/>
        <v>-</v>
      </c>
      <c r="AG379" s="94" t="str">
        <f t="shared" si="451"/>
        <v>---------</v>
      </c>
      <c r="AH379" s="21"/>
      <c r="AI379" s="21" t="str">
        <f t="shared" si="452"/>
        <v>-</v>
      </c>
      <c r="AJ379" s="21" t="str">
        <f t="shared" si="453"/>
        <v>-</v>
      </c>
      <c r="AK379" s="85">
        <v>42978</v>
      </c>
      <c r="AL379" s="21" t="s">
        <v>1614</v>
      </c>
      <c r="AM379" s="21" t="str">
        <f t="shared" si="454"/>
        <v>-</v>
      </c>
      <c r="AN379" s="89" t="str">
        <f t="shared" ca="1" si="455"/>
        <v>-</v>
      </c>
      <c r="AO379" s="92"/>
      <c r="AP379" s="80" t="str">
        <f t="shared" ca="1" si="456"/>
        <v>-</v>
      </c>
      <c r="AQ379" s="80"/>
      <c r="AR379" s="22" t="str">
        <f t="shared" si="457"/>
        <v>-</v>
      </c>
      <c r="AS379" s="234"/>
      <c r="AT379" s="22" t="str">
        <f t="shared" si="458"/>
        <v>-</v>
      </c>
      <c r="AU379" s="300"/>
      <c r="AV379" s="429"/>
      <c r="AW379" s="431"/>
      <c r="AX379" s="121" t="str">
        <f t="shared" si="459"/>
        <v>-</v>
      </c>
      <c r="AY379" s="432" t="str">
        <f t="shared" si="460"/>
        <v>-</v>
      </c>
      <c r="AZ379" s="428" t="str">
        <f t="shared" ca="1" si="461"/>
        <v>-</v>
      </c>
      <c r="BA379" s="121"/>
      <c r="BB379" s="326"/>
      <c r="BC379" s="330" t="str">
        <f t="shared" si="462"/>
        <v>Ж-Е НЕ ВАКЦ.</v>
      </c>
      <c r="BD379" s="332" t="str">
        <f t="shared" si="463"/>
        <v>-</v>
      </c>
      <c r="BE379" s="321" t="str">
        <f t="shared" ca="1" si="464"/>
        <v>ПОДЛЕЖИТ ВАКЦИНАЦИИ</v>
      </c>
      <c r="BF379" s="306"/>
      <c r="BG379" s="308"/>
      <c r="BH379" s="309" t="str">
        <f t="shared" si="465"/>
        <v>-</v>
      </c>
      <c r="BI379" s="310" t="str">
        <f t="shared" si="466"/>
        <v>-</v>
      </c>
      <c r="BJ379" s="313" t="str">
        <f t="shared" si="467"/>
        <v>-</v>
      </c>
      <c r="BK379" s="306"/>
      <c r="BL379" s="308"/>
      <c r="BM379" s="309" t="str">
        <f t="shared" si="468"/>
        <v>-</v>
      </c>
      <c r="BN379" s="309" t="str">
        <f t="shared" si="469"/>
        <v>-</v>
      </c>
      <c r="BO379" s="311" t="str">
        <f t="shared" si="470"/>
        <v>-</v>
      </c>
      <c r="BP379" s="312" t="str">
        <f t="shared" si="471"/>
        <v>-</v>
      </c>
      <c r="BQ379" s="307"/>
      <c r="BR379" s="308"/>
      <c r="BS379" s="309" t="str">
        <f t="shared" si="472"/>
        <v>-</v>
      </c>
      <c r="BT379" s="310" t="str">
        <f t="shared" si="473"/>
        <v>-</v>
      </c>
      <c r="BU379" s="321" t="str">
        <f t="shared" ca="1" si="474"/>
        <v>-</v>
      </c>
      <c r="BV379" s="306"/>
      <c r="BW379" s="308"/>
      <c r="BX379" s="309" t="str">
        <f t="shared" si="475"/>
        <v>-</v>
      </c>
      <c r="BY379" s="309" t="str">
        <f t="shared" si="476"/>
        <v>-</v>
      </c>
      <c r="BZ379" s="310" t="str">
        <f t="shared" si="477"/>
        <v>-</v>
      </c>
      <c r="CA379" s="313" t="str">
        <f t="shared" si="478"/>
        <v>-</v>
      </c>
      <c r="CB379" s="306"/>
      <c r="CC379" s="308"/>
      <c r="CD379" s="309" t="str">
        <f t="shared" si="479"/>
        <v>-</v>
      </c>
      <c r="CE379" s="311" t="str">
        <f t="shared" si="480"/>
        <v>-</v>
      </c>
      <c r="CF379" s="309" t="str">
        <f t="shared" si="481"/>
        <v>-</v>
      </c>
      <c r="CG379" s="312" t="str">
        <f t="shared" ca="1" si="482"/>
        <v>-</v>
      </c>
      <c r="CH379" s="78"/>
      <c r="CI379" s="308"/>
      <c r="CJ379" s="384">
        <f t="shared" ref="CJ379:CJ384" ca="1" si="487">IF(O379&gt;90,N379+100,"-----")</f>
        <v>100</v>
      </c>
      <c r="CK379" s="359" t="str">
        <f t="shared" ref="CK379:CK384" ca="1" si="488">IF(AND(O379&gt;99,ISBLANK(CL379),CM379&lt;100),"ПОДЛЕЖИТ ОБРАБОТКЕ","-----")</f>
        <v>-----</v>
      </c>
      <c r="CL379" s="358"/>
      <c r="CM379" s="361" t="str">
        <f t="shared" ref="CM379:CM384" si="489">IF(CL379&gt;0,B379-CL379,"-")</f>
        <v>-</v>
      </c>
      <c r="CN379" s="360"/>
      <c r="CO379" s="360"/>
      <c r="CP379" s="360"/>
      <c r="CQ379" s="360"/>
      <c r="CR379" s="384"/>
      <c r="CS379" s="359"/>
      <c r="CT379" s="358"/>
      <c r="CU379" s="361"/>
      <c r="CV379" s="360"/>
      <c r="CW379" s="360"/>
      <c r="CX379" s="360"/>
      <c r="CY379" s="569"/>
    </row>
    <row r="380" spans="1:103" s="1" customFormat="1" ht="25.5" x14ac:dyDescent="0.25">
      <c r="A380" s="77">
        <v>378</v>
      </c>
      <c r="B380" s="84">
        <f t="shared" ca="1" si="483"/>
        <v>43134</v>
      </c>
      <c r="C380" s="29" t="s">
        <v>2546</v>
      </c>
      <c r="D380" s="59" t="s">
        <v>1555</v>
      </c>
      <c r="E380" s="22" t="s">
        <v>1557</v>
      </c>
      <c r="F380" s="27" t="s">
        <v>3101</v>
      </c>
      <c r="G380" s="324"/>
      <c r="H380" s="28" t="s">
        <v>603</v>
      </c>
      <c r="I380" s="20">
        <v>42975</v>
      </c>
      <c r="J380" s="240">
        <f t="shared" ca="1" si="484"/>
        <v>0.43561643835616437</v>
      </c>
      <c r="K380" s="240">
        <f t="shared" ca="1" si="485"/>
        <v>5.3</v>
      </c>
      <c r="L380" s="298">
        <f t="shared" ca="1" si="486"/>
        <v>159</v>
      </c>
      <c r="M380" s="60"/>
      <c r="N380" s="32"/>
      <c r="O380" s="82" t="str">
        <f t="shared" ca="1" si="442"/>
        <v>-</v>
      </c>
      <c r="P380" s="19"/>
      <c r="Q380" s="68"/>
      <c r="R380" s="118"/>
      <c r="S380" s="21"/>
      <c r="T380" s="20"/>
      <c r="U380" s="20" t="str">
        <f t="shared" si="443"/>
        <v>-</v>
      </c>
      <c r="V380" s="19" t="str">
        <f t="shared" ca="1" si="444"/>
        <v>-</v>
      </c>
      <c r="W380" s="3">
        <v>0</v>
      </c>
      <c r="X380" s="22" t="str">
        <f t="shared" si="445"/>
        <v>-</v>
      </c>
      <c r="Y380" s="22">
        <v>0</v>
      </c>
      <c r="Z380" s="329" t="str">
        <f t="shared" ca="1" si="446"/>
        <v>-----</v>
      </c>
      <c r="AA380" s="328">
        <f t="shared" ca="1" si="447"/>
        <v>43134</v>
      </c>
      <c r="AB380" s="19"/>
      <c r="AC380" s="331" t="str">
        <f t="shared" ca="1" si="448"/>
        <v>-----</v>
      </c>
      <c r="AD380" s="20"/>
      <c r="AE380" s="22" t="str">
        <f t="shared" ca="1" si="449"/>
        <v>-</v>
      </c>
      <c r="AF380" s="20" t="str">
        <f t="shared" si="450"/>
        <v>-</v>
      </c>
      <c r="AG380" s="94" t="str">
        <f t="shared" si="451"/>
        <v>---------</v>
      </c>
      <c r="AH380" s="21"/>
      <c r="AI380" s="21" t="str">
        <f t="shared" si="452"/>
        <v>-</v>
      </c>
      <c r="AJ380" s="21" t="str">
        <f t="shared" si="453"/>
        <v>-</v>
      </c>
      <c r="AK380" s="85">
        <v>42978</v>
      </c>
      <c r="AL380" s="21" t="s">
        <v>1614</v>
      </c>
      <c r="AM380" s="21" t="str">
        <f t="shared" si="454"/>
        <v>-</v>
      </c>
      <c r="AN380" s="89" t="str">
        <f t="shared" ca="1" si="455"/>
        <v>-</v>
      </c>
      <c r="AO380" s="92"/>
      <c r="AP380" s="80" t="str">
        <f t="shared" ca="1" si="456"/>
        <v>-</v>
      </c>
      <c r="AQ380" s="80"/>
      <c r="AR380" s="22" t="str">
        <f t="shared" si="457"/>
        <v>-</v>
      </c>
      <c r="AS380" s="234"/>
      <c r="AT380" s="22" t="str">
        <f t="shared" si="458"/>
        <v>-</v>
      </c>
      <c r="AU380" s="300"/>
      <c r="AV380" s="429"/>
      <c r="AW380" s="431"/>
      <c r="AX380" s="121" t="str">
        <f t="shared" si="459"/>
        <v>-</v>
      </c>
      <c r="AY380" s="432" t="str">
        <f t="shared" si="460"/>
        <v>-</v>
      </c>
      <c r="AZ380" s="428" t="str">
        <f t="shared" ca="1" si="461"/>
        <v>-</v>
      </c>
      <c r="BA380" s="121"/>
      <c r="BB380" s="326"/>
      <c r="BC380" s="330" t="str">
        <f t="shared" si="462"/>
        <v>Ж-Е НЕ ВАКЦ.</v>
      </c>
      <c r="BD380" s="332" t="str">
        <f t="shared" si="463"/>
        <v>-</v>
      </c>
      <c r="BE380" s="321" t="str">
        <f t="shared" ca="1" si="464"/>
        <v>ПОДЛЕЖИТ ВАКЦИНАЦИИ</v>
      </c>
      <c r="BF380" s="306"/>
      <c r="BG380" s="308"/>
      <c r="BH380" s="309" t="str">
        <f t="shared" si="465"/>
        <v>-</v>
      </c>
      <c r="BI380" s="310" t="str">
        <f t="shared" si="466"/>
        <v>-</v>
      </c>
      <c r="BJ380" s="313" t="str">
        <f t="shared" si="467"/>
        <v>-</v>
      </c>
      <c r="BK380" s="306"/>
      <c r="BL380" s="308"/>
      <c r="BM380" s="309" t="str">
        <f t="shared" si="468"/>
        <v>-</v>
      </c>
      <c r="BN380" s="309" t="str">
        <f t="shared" si="469"/>
        <v>-</v>
      </c>
      <c r="BO380" s="311" t="str">
        <f t="shared" si="470"/>
        <v>-</v>
      </c>
      <c r="BP380" s="312" t="str">
        <f t="shared" si="471"/>
        <v>-</v>
      </c>
      <c r="BQ380" s="307"/>
      <c r="BR380" s="308"/>
      <c r="BS380" s="309" t="str">
        <f t="shared" si="472"/>
        <v>-</v>
      </c>
      <c r="BT380" s="310" t="str">
        <f t="shared" si="473"/>
        <v>-</v>
      </c>
      <c r="BU380" s="321" t="str">
        <f t="shared" ca="1" si="474"/>
        <v>-</v>
      </c>
      <c r="BV380" s="306"/>
      <c r="BW380" s="308"/>
      <c r="BX380" s="309" t="str">
        <f t="shared" si="475"/>
        <v>-</v>
      </c>
      <c r="BY380" s="309" t="str">
        <f t="shared" si="476"/>
        <v>-</v>
      </c>
      <c r="BZ380" s="310" t="str">
        <f t="shared" si="477"/>
        <v>-</v>
      </c>
      <c r="CA380" s="313" t="str">
        <f t="shared" si="478"/>
        <v>-</v>
      </c>
      <c r="CB380" s="306"/>
      <c r="CC380" s="308"/>
      <c r="CD380" s="309" t="str">
        <f t="shared" si="479"/>
        <v>-</v>
      </c>
      <c r="CE380" s="311" t="str">
        <f t="shared" si="480"/>
        <v>-</v>
      </c>
      <c r="CF380" s="309" t="str">
        <f t="shared" si="481"/>
        <v>-</v>
      </c>
      <c r="CG380" s="312" t="str">
        <f t="shared" ca="1" si="482"/>
        <v>-</v>
      </c>
      <c r="CH380" s="78"/>
      <c r="CI380" s="308"/>
      <c r="CJ380" s="384">
        <f t="shared" ca="1" si="487"/>
        <v>100</v>
      </c>
      <c r="CK380" s="359" t="str">
        <f t="shared" ca="1" si="488"/>
        <v>-----</v>
      </c>
      <c r="CL380" s="358"/>
      <c r="CM380" s="361" t="str">
        <f t="shared" si="489"/>
        <v>-</v>
      </c>
      <c r="CN380" s="360"/>
      <c r="CO380" s="360"/>
      <c r="CP380" s="360"/>
      <c r="CQ380" s="360"/>
      <c r="CR380" s="384"/>
      <c r="CS380" s="359"/>
      <c r="CT380" s="358"/>
      <c r="CU380" s="361"/>
      <c r="CV380" s="360"/>
      <c r="CW380" s="360"/>
      <c r="CX380" s="360"/>
      <c r="CY380" s="569"/>
    </row>
    <row r="381" spans="1:103" s="1" customFormat="1" ht="25.5" x14ac:dyDescent="0.25">
      <c r="A381" s="77">
        <v>379</v>
      </c>
      <c r="B381" s="84">
        <f t="shared" ca="1" si="483"/>
        <v>43134</v>
      </c>
      <c r="C381" s="29" t="s">
        <v>2546</v>
      </c>
      <c r="D381" s="59" t="s">
        <v>1555</v>
      </c>
      <c r="E381" s="22" t="s">
        <v>1557</v>
      </c>
      <c r="F381" s="27" t="s">
        <v>3114</v>
      </c>
      <c r="G381" s="323"/>
      <c r="H381" s="28" t="s">
        <v>603</v>
      </c>
      <c r="I381" s="20">
        <v>42979</v>
      </c>
      <c r="J381" s="240">
        <f t="shared" ca="1" si="484"/>
        <v>0.42465753424657532</v>
      </c>
      <c r="K381" s="240">
        <f t="shared" ca="1" si="485"/>
        <v>5.166666666666667</v>
      </c>
      <c r="L381" s="298">
        <f t="shared" ca="1" si="486"/>
        <v>155</v>
      </c>
      <c r="M381" s="60"/>
      <c r="N381" s="32"/>
      <c r="O381" s="82" t="str">
        <f t="shared" ref="O381:O389" ca="1" si="490">IF(AND(B381&gt;0,N381&gt;0),B381-N381,"-")</f>
        <v>-</v>
      </c>
      <c r="P381" s="19"/>
      <c r="Q381" s="68"/>
      <c r="R381" s="118"/>
      <c r="S381" s="21"/>
      <c r="T381" s="20"/>
      <c r="U381" s="20" t="str">
        <f t="shared" ref="U381:U389" si="491">IF(AND(Y381&gt;1,T381&gt;0),T381+18,"-")</f>
        <v>-</v>
      </c>
      <c r="V381" s="19" t="str">
        <f t="shared" ref="V381:V389" ca="1" si="492">IF(AND(U381&gt;0,B381&gt;0,Y381&gt;1),B381-U381,"-")</f>
        <v>-</v>
      </c>
      <c r="W381" s="3"/>
      <c r="X381" s="22" t="str">
        <f t="shared" ref="X381:X389" si="493">IF(AND(N381&gt;0,T381&gt;0),T381-N381,"-")</f>
        <v>-</v>
      </c>
      <c r="Y381" s="22"/>
      <c r="Z381" s="329" t="str">
        <f t="shared" ref="Z381:Z389" ca="1" si="494">IF(AND(Y381=1,AA381&gt;71,OR(ISBLANK(AB381),AB381=2)),"ПОДЛЕЖИТ ПЕРЕПРОВЕРКЕ","-----")</f>
        <v>-----</v>
      </c>
      <c r="AA381" s="328">
        <f t="shared" ref="AA381:AA389" ca="1" si="495">IF(AND(O381&gt;-1,W381&gt;0,Y381=1,AB381=1),"-----",B381-T381)</f>
        <v>43134</v>
      </c>
      <c r="AB381" s="19"/>
      <c r="AC381" s="331" t="str">
        <f t="shared" ref="AC381:AC389" ca="1" si="496">IF(AND(AB381&lt;1,Z381="ПОДЛЕЖИТ ПЕРЕПРОВЕРКЕ",Y381=1),T381+72,"-----")</f>
        <v>-----</v>
      </c>
      <c r="AD381" s="20"/>
      <c r="AE381" s="22" t="str">
        <f t="shared" ref="AE381:AE389" ca="1" si="497">IF(AND(O381&gt;120,Y381=0,N381&gt;0),"яловая","-")</f>
        <v>-</v>
      </c>
      <c r="AF381" s="20" t="str">
        <f t="shared" ref="AF381:AF389" si="498">IF(AND(T381&gt;0,OR(Y381=3,Y381=2)),T381+35,"-")</f>
        <v>-</v>
      </c>
      <c r="AG381" s="94" t="str">
        <f t="shared" ref="AG381:AG389" si="499">IF(AND(T381&gt;0,W381&gt;0,Q381&gt;0,OR(Y381=3,Y381=2)),B381-AF381,"---------")</f>
        <v>---------</v>
      </c>
      <c r="AH381" s="21"/>
      <c r="AI381" s="21" t="str">
        <f t="shared" ref="AI381:AI389" si="500">IF(AND($T381&gt;0,$N381&gt;0,$Y381=1),$T381+280-90,"-")</f>
        <v>-</v>
      </c>
      <c r="AJ381" s="21" t="str">
        <f t="shared" ref="AJ381:AJ389" si="501">IF(AND(T381&gt;0,Y381=1,N381&gt;0),T381+280-60,"-")</f>
        <v>-</v>
      </c>
      <c r="AK381" s="909">
        <v>42982</v>
      </c>
      <c r="AL381" s="21" t="s">
        <v>1614</v>
      </c>
      <c r="AM381" s="21" t="str">
        <f t="shared" ref="AM381:AM389" si="502">IF(AND(T381&gt;0,Y381=1),T381+280,"-")</f>
        <v>-</v>
      </c>
      <c r="AN381" s="89" t="str">
        <f t="shared" ref="AN381:AN389" ca="1" si="503">IF(AND(B381&gt;0,AM381&gt;0,AH381&gt;0,Y381=1),B381-AM381,"-")</f>
        <v>-</v>
      </c>
      <c r="AO381" s="92"/>
      <c r="AP381" s="80" t="str">
        <f t="shared" ref="AP381:AP389" ca="1" si="504">IF(AND(AE381="яловая",O381&gt;300),"БРАК","-")</f>
        <v>-</v>
      </c>
      <c r="AQ381" s="80"/>
      <c r="AR381" s="22" t="str">
        <f t="shared" ref="AR381:AR389" si="505">IF(AND(Y381=1,P381=0),"НЕТЕЛЬ","-")</f>
        <v>-</v>
      </c>
      <c r="AS381" s="234"/>
      <c r="AT381" s="22" t="str">
        <f t="shared" ref="AT381:AT389" si="506">IF(AND(N381&gt;0,T381&gt;0,W381&gt;0,Y381=1,AH381&gt;0,AK381&gt;0),"DRY COW","-")</f>
        <v>-</v>
      </c>
      <c r="AU381" s="300"/>
      <c r="AV381" s="429"/>
      <c r="AW381" s="431"/>
      <c r="AX381" s="121" t="str">
        <f t="shared" ref="AX381:AX389" si="507">IF(AND(AV381&gt;0,AW381&gt;0),B381-AV381,"-")</f>
        <v>-</v>
      </c>
      <c r="AY381" s="432" t="str">
        <f t="shared" ref="AY381:AY389" si="508">IF(AND(AV381&gt;0,AW381&gt;0),(AV381-I381)/30,"-")</f>
        <v>-</v>
      </c>
      <c r="AZ381" s="428" t="str">
        <f t="shared" ref="AZ381:AZ389" ca="1" si="509">IF(AND(OR(E381="тёлочка",E381="бычок"),L381&gt;0,BB381&lt;2,L381&lt;60),"ПОДЛЕЖИТ ВАКЦИНАЦИИ","-")</f>
        <v>-</v>
      </c>
      <c r="BA381" s="121"/>
      <c r="BB381" s="326"/>
      <c r="BC381" s="330" t="str">
        <f t="shared" ref="BC381:BC389" si="510">IF(AND(BA381&gt;0,BB381=2),BA381-I381,"Ж-Е НЕ ВАКЦ.")</f>
        <v>Ж-Е НЕ ВАКЦ.</v>
      </c>
      <c r="BD381" s="332" t="str">
        <f t="shared" ref="BD381:BD389" si="511">IF(AND(BA381&gt;0,BB381=2),B381-BA381,"-")</f>
        <v>-</v>
      </c>
      <c r="BE381" s="321" t="str">
        <f t="shared" ref="BE381:BE389" ca="1" si="512">IF(AND(L381&gt;60,BG381&lt;5),"ПОДЛЕЖИТ ВАКЦИНАЦИИ","-")</f>
        <v>ПОДЛЕЖИТ ВАКЦИНАЦИИ</v>
      </c>
      <c r="BF381" s="306"/>
      <c r="BG381" s="308"/>
      <c r="BH381" s="309" t="str">
        <f t="shared" ref="BH381:BH389" si="513">IF(AND(BF381&gt;0,BG381=5),B381-BF381,"-")</f>
        <v>-</v>
      </c>
      <c r="BI381" s="310" t="str">
        <f t="shared" ref="BI381:BI389" si="514">IF(AND(BG381=5,BH381&gt;20,BL381&lt;5),"ТРЕБУЕТСЯ БУСТЕРНАЯ ДОЗА","-")</f>
        <v>-</v>
      </c>
      <c r="BJ381" s="313" t="str">
        <f t="shared" ref="BJ381:BJ389" si="515">IF(AND(BF381&gt;0,BG381=5),BF381+21,"-")</f>
        <v>-</v>
      </c>
      <c r="BK381" s="306"/>
      <c r="BL381" s="308"/>
      <c r="BM381" s="309" t="str">
        <f t="shared" ref="BM381:BM389" si="516">IF(AND(BK381&gt;0,BL381=5),B381-BK381,"-")</f>
        <v>-</v>
      </c>
      <c r="BN381" s="309" t="str">
        <f t="shared" ref="BN381:BN389" si="517">IF(AND(BJ381&gt;0,BK381&gt;0,BL381=5),BJ381-BK381,"-")</f>
        <v>-</v>
      </c>
      <c r="BO381" s="311" t="str">
        <f t="shared" ref="BO381:BO389" si="518">IF(AND(BL381=5,BN381=0),"УСПЕШНО","-")</f>
        <v>-</v>
      </c>
      <c r="BP381" s="312" t="str">
        <f t="shared" ref="BP381:BP389" si="519">IF(AND(BF381&gt;0,BG381=5,BK381&gt;0,BL381=5,BM381&gt;240,BR381&lt;5),"НЕОБХОДИМА РЕВАКЦИНАЦИЯ","-")</f>
        <v>-</v>
      </c>
      <c r="BQ381" s="307"/>
      <c r="BR381" s="308"/>
      <c r="BS381" s="309" t="str">
        <f t="shared" ref="BS381:BS389" si="520">IF(AND(BQ381&gt;0,BR381=5),N381-BQ381,"-")</f>
        <v>-</v>
      </c>
      <c r="BT381" s="310" t="str">
        <f t="shared" ref="BT381:BT389" si="521">IF(AND(BQ381&gt;0,BR381=5,BS381&gt;240),"НЕОБХОДИМА РЕВАКЦИНАЦИЯ","-")</f>
        <v>-</v>
      </c>
      <c r="BU381" s="321" t="str">
        <f t="shared" ref="BU381:BU389" ca="1" si="522">IF(AND(Y381=1,AN381&gt;-90,BW381&lt;2),"ТРЕБУЕТСЯ ВАКЦИНАЦИЯ","-")</f>
        <v>-</v>
      </c>
      <c r="BV381" s="306"/>
      <c r="BW381" s="308"/>
      <c r="BX381" s="309" t="str">
        <f t="shared" ref="BX381:BX389" si="523">IF(AND(BV381&gt;0,BW381=2),BV381-T381,"-")</f>
        <v>-</v>
      </c>
      <c r="BY381" s="309" t="str">
        <f t="shared" ref="BY381:BY389" si="524">IF(AND(BV381&gt;0,BW381=2),B381-BV381,"-")</f>
        <v>-</v>
      </c>
      <c r="BZ381" s="310" t="str">
        <f t="shared" ref="BZ381:BZ389" si="525">IF(AND(BW381=2,BY381&gt;20,CC381&lt;2),"ТРЕБУЕТСЯ БУСТЕРНАЯ ДОЗА","-")</f>
        <v>-</v>
      </c>
      <c r="CA381" s="313" t="str">
        <f t="shared" ref="CA381:CA389" si="526">IF(AND(BV381&gt;0,BW381=2),BV381+21,"-")</f>
        <v>-</v>
      </c>
      <c r="CB381" s="306"/>
      <c r="CC381" s="308"/>
      <c r="CD381" s="309" t="str">
        <f t="shared" ref="CD381:CD389" si="527">IF(AND(CA381&gt;0,CB381&gt;0,CC381=2),CB381-CA381,"-")</f>
        <v>-</v>
      </c>
      <c r="CE381" s="311" t="str">
        <f t="shared" ref="CE381:CE389" si="528">IF(AND(CC381=2,CD381=0),"УСПЕШНО","-")</f>
        <v>-</v>
      </c>
      <c r="CF381" s="309" t="str">
        <f t="shared" ref="CF381:CF389" si="529">IF(AND(CB381&gt;0,CC381=2),CB381-T381,"-")</f>
        <v>-</v>
      </c>
      <c r="CG381" s="312" t="str">
        <f t="shared" ref="CG381:CG389" ca="1" si="530">IF(AND(BV381&gt;0,BW381=2,CB381&gt;0,CC381=2,Y381=1,AN381&gt;-50,CI381&lt;2),"ТРЕБУЕТСЯ РЕВАКЦИНАЦИЯ","-")</f>
        <v>-</v>
      </c>
      <c r="CH381" s="78"/>
      <c r="CI381" s="308"/>
      <c r="CJ381" s="384">
        <f t="shared" ca="1" si="487"/>
        <v>100</v>
      </c>
      <c r="CK381" s="359" t="str">
        <f t="shared" ca="1" si="488"/>
        <v>-----</v>
      </c>
      <c r="CL381" s="358"/>
      <c r="CM381" s="361" t="str">
        <f t="shared" si="489"/>
        <v>-</v>
      </c>
      <c r="CN381" s="360"/>
      <c r="CO381" s="360"/>
      <c r="CP381" s="360"/>
      <c r="CQ381" s="360"/>
      <c r="CR381" s="384" t="str">
        <f>IF(AND(Y381=1,P381&gt;0),AJ381-14,"----")</f>
        <v>----</v>
      </c>
      <c r="CS381" s="359" t="str">
        <f ca="1">IF(AND(Y381=1,AN381&gt;-205,ISBLANK(CT381),CU381&lt;100),"ПОДЛЕЖИТ ОБРАБОТКЕ","-----")</f>
        <v>-----</v>
      </c>
      <c r="CT381" s="358"/>
      <c r="CU381" s="361" t="str">
        <f>IF(CT381&gt;0,B381-CT381,"-")</f>
        <v>-</v>
      </c>
      <c r="CV381" s="360"/>
      <c r="CW381" s="360"/>
      <c r="CX381" s="360"/>
      <c r="CY381" s="569"/>
    </row>
    <row r="382" spans="1:103" s="1" customFormat="1" ht="25.5" x14ac:dyDescent="0.25">
      <c r="A382" s="77">
        <v>380</v>
      </c>
      <c r="B382" s="84">
        <f t="shared" ca="1" si="483"/>
        <v>43134</v>
      </c>
      <c r="C382" s="29" t="s">
        <v>2546</v>
      </c>
      <c r="D382" s="59" t="s">
        <v>1555</v>
      </c>
      <c r="E382" s="22" t="s">
        <v>1557</v>
      </c>
      <c r="F382" s="27" t="s">
        <v>3112</v>
      </c>
      <c r="G382" s="323"/>
      <c r="H382" s="28" t="s">
        <v>603</v>
      </c>
      <c r="I382" s="20">
        <v>42976</v>
      </c>
      <c r="J382" s="240">
        <f t="shared" ca="1" si="484"/>
        <v>0.43287671232876712</v>
      </c>
      <c r="K382" s="240">
        <f t="shared" ca="1" si="485"/>
        <v>5.2666666666666666</v>
      </c>
      <c r="L382" s="298">
        <f t="shared" ca="1" si="486"/>
        <v>158</v>
      </c>
      <c r="M382" s="60"/>
      <c r="N382" s="32"/>
      <c r="O382" s="82" t="str">
        <f t="shared" ca="1" si="490"/>
        <v>-</v>
      </c>
      <c r="P382" s="19"/>
      <c r="Q382" s="68"/>
      <c r="R382" s="118"/>
      <c r="S382" s="21"/>
      <c r="T382" s="20"/>
      <c r="U382" s="20" t="str">
        <f t="shared" si="491"/>
        <v>-</v>
      </c>
      <c r="V382" s="19" t="str">
        <f t="shared" ca="1" si="492"/>
        <v>-</v>
      </c>
      <c r="W382" s="3"/>
      <c r="X382" s="22" t="str">
        <f t="shared" si="493"/>
        <v>-</v>
      </c>
      <c r="Y382" s="22"/>
      <c r="Z382" s="329" t="str">
        <f t="shared" ca="1" si="494"/>
        <v>-----</v>
      </c>
      <c r="AA382" s="328">
        <f t="shared" ca="1" si="495"/>
        <v>43134</v>
      </c>
      <c r="AB382" s="19"/>
      <c r="AC382" s="331" t="str">
        <f t="shared" ca="1" si="496"/>
        <v>-----</v>
      </c>
      <c r="AD382" s="20"/>
      <c r="AE382" s="22" t="str">
        <f t="shared" ca="1" si="497"/>
        <v>-</v>
      </c>
      <c r="AF382" s="20" t="str">
        <f t="shared" si="498"/>
        <v>-</v>
      </c>
      <c r="AG382" s="94" t="str">
        <f t="shared" si="499"/>
        <v>---------</v>
      </c>
      <c r="AH382" s="21"/>
      <c r="AI382" s="21" t="str">
        <f t="shared" si="500"/>
        <v>-</v>
      </c>
      <c r="AJ382" s="21" t="str">
        <f t="shared" si="501"/>
        <v>-</v>
      </c>
      <c r="AK382" s="909">
        <v>42982</v>
      </c>
      <c r="AL382" s="21" t="s">
        <v>1614</v>
      </c>
      <c r="AM382" s="21" t="str">
        <f t="shared" si="502"/>
        <v>-</v>
      </c>
      <c r="AN382" s="89" t="str">
        <f t="shared" ca="1" si="503"/>
        <v>-</v>
      </c>
      <c r="AO382" s="92"/>
      <c r="AP382" s="80" t="str">
        <f t="shared" ca="1" si="504"/>
        <v>-</v>
      </c>
      <c r="AQ382" s="80"/>
      <c r="AR382" s="22" t="str">
        <f t="shared" si="505"/>
        <v>-</v>
      </c>
      <c r="AS382" s="234"/>
      <c r="AT382" s="22" t="str">
        <f t="shared" si="506"/>
        <v>-</v>
      </c>
      <c r="AU382" s="300"/>
      <c r="AV382" s="429"/>
      <c r="AW382" s="431"/>
      <c r="AX382" s="121" t="str">
        <f t="shared" si="507"/>
        <v>-</v>
      </c>
      <c r="AY382" s="432" t="str">
        <f t="shared" si="508"/>
        <v>-</v>
      </c>
      <c r="AZ382" s="428" t="str">
        <f t="shared" ca="1" si="509"/>
        <v>-</v>
      </c>
      <c r="BA382" s="121"/>
      <c r="BB382" s="326"/>
      <c r="BC382" s="330" t="str">
        <f t="shared" si="510"/>
        <v>Ж-Е НЕ ВАКЦ.</v>
      </c>
      <c r="BD382" s="332" t="str">
        <f t="shared" si="511"/>
        <v>-</v>
      </c>
      <c r="BE382" s="321" t="str">
        <f t="shared" ca="1" si="512"/>
        <v>ПОДЛЕЖИТ ВАКЦИНАЦИИ</v>
      </c>
      <c r="BF382" s="306"/>
      <c r="BG382" s="308"/>
      <c r="BH382" s="309" t="str">
        <f t="shared" si="513"/>
        <v>-</v>
      </c>
      <c r="BI382" s="310" t="str">
        <f t="shared" si="514"/>
        <v>-</v>
      </c>
      <c r="BJ382" s="313" t="str">
        <f t="shared" si="515"/>
        <v>-</v>
      </c>
      <c r="BK382" s="306"/>
      <c r="BL382" s="308"/>
      <c r="BM382" s="309" t="str">
        <f t="shared" si="516"/>
        <v>-</v>
      </c>
      <c r="BN382" s="309" t="str">
        <f t="shared" si="517"/>
        <v>-</v>
      </c>
      <c r="BO382" s="311" t="str">
        <f t="shared" si="518"/>
        <v>-</v>
      </c>
      <c r="BP382" s="312" t="str">
        <f t="shared" si="519"/>
        <v>-</v>
      </c>
      <c r="BQ382" s="307"/>
      <c r="BR382" s="308"/>
      <c r="BS382" s="309" t="str">
        <f t="shared" si="520"/>
        <v>-</v>
      </c>
      <c r="BT382" s="310" t="str">
        <f t="shared" si="521"/>
        <v>-</v>
      </c>
      <c r="BU382" s="321" t="str">
        <f t="shared" ca="1" si="522"/>
        <v>-</v>
      </c>
      <c r="BV382" s="306"/>
      <c r="BW382" s="308"/>
      <c r="BX382" s="309" t="str">
        <f t="shared" si="523"/>
        <v>-</v>
      </c>
      <c r="BY382" s="309" t="str">
        <f t="shared" si="524"/>
        <v>-</v>
      </c>
      <c r="BZ382" s="310" t="str">
        <f t="shared" si="525"/>
        <v>-</v>
      </c>
      <c r="CA382" s="313" t="str">
        <f t="shared" si="526"/>
        <v>-</v>
      </c>
      <c r="CB382" s="306"/>
      <c r="CC382" s="308"/>
      <c r="CD382" s="309" t="str">
        <f t="shared" si="527"/>
        <v>-</v>
      </c>
      <c r="CE382" s="311" t="str">
        <f t="shared" si="528"/>
        <v>-</v>
      </c>
      <c r="CF382" s="309" t="str">
        <f t="shared" si="529"/>
        <v>-</v>
      </c>
      <c r="CG382" s="312" t="str">
        <f t="shared" ca="1" si="530"/>
        <v>-</v>
      </c>
      <c r="CH382" s="78"/>
      <c r="CI382" s="308"/>
      <c r="CJ382" s="384">
        <f t="shared" ca="1" si="487"/>
        <v>100</v>
      </c>
      <c r="CK382" s="359" t="str">
        <f t="shared" ca="1" si="488"/>
        <v>-----</v>
      </c>
      <c r="CL382" s="358"/>
      <c r="CM382" s="361" t="str">
        <f t="shared" si="489"/>
        <v>-</v>
      </c>
      <c r="CN382" s="360"/>
      <c r="CO382" s="360"/>
      <c r="CP382" s="360"/>
      <c r="CQ382" s="360"/>
      <c r="CR382" s="384"/>
      <c r="CS382" s="359"/>
      <c r="CT382" s="358"/>
      <c r="CU382" s="361"/>
      <c r="CV382" s="360"/>
      <c r="CW382" s="360"/>
      <c r="CX382" s="360"/>
      <c r="CY382" s="569"/>
    </row>
    <row r="383" spans="1:103" s="1" customFormat="1" ht="25.5" x14ac:dyDescent="0.25">
      <c r="A383" s="77">
        <v>381</v>
      </c>
      <c r="B383" s="84">
        <f t="shared" ca="1" si="483"/>
        <v>43134</v>
      </c>
      <c r="C383" s="29" t="s">
        <v>2546</v>
      </c>
      <c r="D383" s="59" t="s">
        <v>1555</v>
      </c>
      <c r="E383" s="22" t="s">
        <v>1557</v>
      </c>
      <c r="F383" s="27" t="s">
        <v>3113</v>
      </c>
      <c r="G383" s="323"/>
      <c r="H383" s="28" t="s">
        <v>603</v>
      </c>
      <c r="I383" s="20">
        <v>42977</v>
      </c>
      <c r="J383" s="240">
        <f t="shared" ca="1" si="484"/>
        <v>0.43013698630136987</v>
      </c>
      <c r="K383" s="240">
        <f t="shared" ca="1" si="485"/>
        <v>5.2333333333333334</v>
      </c>
      <c r="L383" s="298">
        <f t="shared" ca="1" si="486"/>
        <v>157</v>
      </c>
      <c r="M383" s="60"/>
      <c r="N383" s="32"/>
      <c r="O383" s="82" t="str">
        <f t="shared" ca="1" si="490"/>
        <v>-</v>
      </c>
      <c r="P383" s="19"/>
      <c r="Q383" s="68"/>
      <c r="R383" s="118"/>
      <c r="S383" s="21"/>
      <c r="T383" s="20"/>
      <c r="U383" s="20" t="str">
        <f t="shared" si="491"/>
        <v>-</v>
      </c>
      <c r="V383" s="19" t="str">
        <f t="shared" ca="1" si="492"/>
        <v>-</v>
      </c>
      <c r="W383" s="3"/>
      <c r="X383" s="22" t="str">
        <f t="shared" si="493"/>
        <v>-</v>
      </c>
      <c r="Y383" s="22"/>
      <c r="Z383" s="329" t="str">
        <f t="shared" ca="1" si="494"/>
        <v>-----</v>
      </c>
      <c r="AA383" s="328">
        <f t="shared" ca="1" si="495"/>
        <v>43134</v>
      </c>
      <c r="AB383" s="19"/>
      <c r="AC383" s="331" t="str">
        <f t="shared" ca="1" si="496"/>
        <v>-----</v>
      </c>
      <c r="AD383" s="20"/>
      <c r="AE383" s="22" t="str">
        <f t="shared" ca="1" si="497"/>
        <v>-</v>
      </c>
      <c r="AF383" s="20" t="str">
        <f t="shared" si="498"/>
        <v>-</v>
      </c>
      <c r="AG383" s="94" t="str">
        <f t="shared" si="499"/>
        <v>---------</v>
      </c>
      <c r="AH383" s="21"/>
      <c r="AI383" s="21" t="str">
        <f t="shared" si="500"/>
        <v>-</v>
      </c>
      <c r="AJ383" s="21" t="str">
        <f t="shared" si="501"/>
        <v>-</v>
      </c>
      <c r="AK383" s="909">
        <v>42982</v>
      </c>
      <c r="AL383" s="21" t="s">
        <v>1614</v>
      </c>
      <c r="AM383" s="21" t="str">
        <f t="shared" si="502"/>
        <v>-</v>
      </c>
      <c r="AN383" s="89" t="str">
        <f t="shared" ca="1" si="503"/>
        <v>-</v>
      </c>
      <c r="AO383" s="92"/>
      <c r="AP383" s="80" t="str">
        <f t="shared" ca="1" si="504"/>
        <v>-</v>
      </c>
      <c r="AQ383" s="80"/>
      <c r="AR383" s="22" t="str">
        <f t="shared" si="505"/>
        <v>-</v>
      </c>
      <c r="AS383" s="234"/>
      <c r="AT383" s="22" t="str">
        <f t="shared" si="506"/>
        <v>-</v>
      </c>
      <c r="AU383" s="300"/>
      <c r="AV383" s="429"/>
      <c r="AW383" s="431"/>
      <c r="AX383" s="121" t="str">
        <f t="shared" si="507"/>
        <v>-</v>
      </c>
      <c r="AY383" s="432" t="str">
        <f t="shared" si="508"/>
        <v>-</v>
      </c>
      <c r="AZ383" s="428" t="str">
        <f t="shared" ca="1" si="509"/>
        <v>-</v>
      </c>
      <c r="BA383" s="121"/>
      <c r="BB383" s="326"/>
      <c r="BC383" s="330" t="str">
        <f t="shared" si="510"/>
        <v>Ж-Е НЕ ВАКЦ.</v>
      </c>
      <c r="BD383" s="332" t="str">
        <f t="shared" si="511"/>
        <v>-</v>
      </c>
      <c r="BE383" s="321" t="str">
        <f t="shared" ca="1" si="512"/>
        <v>ПОДЛЕЖИТ ВАКЦИНАЦИИ</v>
      </c>
      <c r="BF383" s="306"/>
      <c r="BG383" s="308"/>
      <c r="BH383" s="309" t="str">
        <f t="shared" si="513"/>
        <v>-</v>
      </c>
      <c r="BI383" s="310" t="str">
        <f t="shared" si="514"/>
        <v>-</v>
      </c>
      <c r="BJ383" s="313" t="str">
        <f t="shared" si="515"/>
        <v>-</v>
      </c>
      <c r="BK383" s="306"/>
      <c r="BL383" s="308"/>
      <c r="BM383" s="309" t="str">
        <f t="shared" si="516"/>
        <v>-</v>
      </c>
      <c r="BN383" s="309" t="str">
        <f t="shared" si="517"/>
        <v>-</v>
      </c>
      <c r="BO383" s="311" t="str">
        <f t="shared" si="518"/>
        <v>-</v>
      </c>
      <c r="BP383" s="312" t="str">
        <f t="shared" si="519"/>
        <v>-</v>
      </c>
      <c r="BQ383" s="307"/>
      <c r="BR383" s="308"/>
      <c r="BS383" s="309" t="str">
        <f t="shared" si="520"/>
        <v>-</v>
      </c>
      <c r="BT383" s="310" t="str">
        <f t="shared" si="521"/>
        <v>-</v>
      </c>
      <c r="BU383" s="321" t="str">
        <f t="shared" ca="1" si="522"/>
        <v>-</v>
      </c>
      <c r="BV383" s="306"/>
      <c r="BW383" s="308"/>
      <c r="BX383" s="309" t="str">
        <f t="shared" si="523"/>
        <v>-</v>
      </c>
      <c r="BY383" s="309" t="str">
        <f t="shared" si="524"/>
        <v>-</v>
      </c>
      <c r="BZ383" s="310" t="str">
        <f t="shared" si="525"/>
        <v>-</v>
      </c>
      <c r="CA383" s="313" t="str">
        <f t="shared" si="526"/>
        <v>-</v>
      </c>
      <c r="CB383" s="306"/>
      <c r="CC383" s="308"/>
      <c r="CD383" s="309" t="str">
        <f t="shared" si="527"/>
        <v>-</v>
      </c>
      <c r="CE383" s="311" t="str">
        <f t="shared" si="528"/>
        <v>-</v>
      </c>
      <c r="CF383" s="309" t="str">
        <f t="shared" si="529"/>
        <v>-</v>
      </c>
      <c r="CG383" s="312" t="str">
        <f t="shared" ca="1" si="530"/>
        <v>-</v>
      </c>
      <c r="CH383" s="78"/>
      <c r="CI383" s="308"/>
      <c r="CJ383" s="384">
        <f t="shared" ca="1" si="487"/>
        <v>100</v>
      </c>
      <c r="CK383" s="359" t="str">
        <f t="shared" ca="1" si="488"/>
        <v>-----</v>
      </c>
      <c r="CL383" s="358"/>
      <c r="CM383" s="361" t="str">
        <f t="shared" si="489"/>
        <v>-</v>
      </c>
      <c r="CN383" s="360"/>
      <c r="CO383" s="360"/>
      <c r="CP383" s="360"/>
      <c r="CQ383" s="360"/>
      <c r="CR383" s="384" t="str">
        <f>IF(AND(Y383=1,P383&gt;0),AJ383-14,"----")</f>
        <v>----</v>
      </c>
      <c r="CS383" s="359" t="str">
        <f ca="1">IF(AND(Y383=1,AN383&gt;-205,ISBLANK(CT383),CU383&lt;100),"ПОДЛЕЖИТ ОБРАБОТКЕ","-----")</f>
        <v>-----</v>
      </c>
      <c r="CT383" s="358"/>
      <c r="CU383" s="361" t="str">
        <f>IF(CT383&gt;0,B383-CT383,"-")</f>
        <v>-</v>
      </c>
      <c r="CV383" s="360"/>
      <c r="CW383" s="360"/>
      <c r="CX383" s="360"/>
      <c r="CY383" s="569"/>
    </row>
    <row r="384" spans="1:103" s="1" customFormat="1" ht="25.5" x14ac:dyDescent="0.25">
      <c r="A384" s="77">
        <v>382</v>
      </c>
      <c r="B384" s="84">
        <f t="shared" ca="1" si="483"/>
        <v>43134</v>
      </c>
      <c r="C384" s="29" t="s">
        <v>2546</v>
      </c>
      <c r="D384" s="59" t="s">
        <v>1555</v>
      </c>
      <c r="E384" s="22" t="s">
        <v>1557</v>
      </c>
      <c r="F384" s="27" t="s">
        <v>3122</v>
      </c>
      <c r="G384" s="323"/>
      <c r="H384" s="28" t="s">
        <v>603</v>
      </c>
      <c r="I384" s="20">
        <v>42981</v>
      </c>
      <c r="J384" s="35">
        <f t="shared" ca="1" si="484"/>
        <v>0.41917808219178082</v>
      </c>
      <c r="K384" s="35">
        <f t="shared" ca="1" si="485"/>
        <v>5.0999999999999996</v>
      </c>
      <c r="L384" s="299">
        <f t="shared" ca="1" si="486"/>
        <v>153</v>
      </c>
      <c r="M384" s="60"/>
      <c r="N384" s="32"/>
      <c r="O384" s="82" t="str">
        <f t="shared" ca="1" si="490"/>
        <v>-</v>
      </c>
      <c r="P384" s="19"/>
      <c r="Q384" s="68"/>
      <c r="R384" s="118"/>
      <c r="S384" s="21"/>
      <c r="T384" s="20"/>
      <c r="U384" s="20" t="str">
        <f t="shared" si="491"/>
        <v>-</v>
      </c>
      <c r="V384" s="19" t="str">
        <f t="shared" ca="1" si="492"/>
        <v>-</v>
      </c>
      <c r="W384" s="3"/>
      <c r="X384" s="22" t="str">
        <f t="shared" si="493"/>
        <v>-</v>
      </c>
      <c r="Y384" s="22"/>
      <c r="Z384" s="329" t="str">
        <f t="shared" ca="1" si="494"/>
        <v>-----</v>
      </c>
      <c r="AA384" s="328">
        <f t="shared" ca="1" si="495"/>
        <v>43134</v>
      </c>
      <c r="AB384" s="19"/>
      <c r="AC384" s="331" t="str">
        <f t="shared" ca="1" si="496"/>
        <v>-----</v>
      </c>
      <c r="AD384" s="20"/>
      <c r="AE384" s="22" t="str">
        <f t="shared" ca="1" si="497"/>
        <v>-</v>
      </c>
      <c r="AF384" s="20" t="str">
        <f t="shared" si="498"/>
        <v>-</v>
      </c>
      <c r="AG384" s="94" t="str">
        <f t="shared" si="499"/>
        <v>---------</v>
      </c>
      <c r="AH384" s="21"/>
      <c r="AI384" s="21" t="str">
        <f t="shared" si="500"/>
        <v>-</v>
      </c>
      <c r="AJ384" s="21" t="str">
        <f t="shared" si="501"/>
        <v>-</v>
      </c>
      <c r="AK384" s="909">
        <v>42982</v>
      </c>
      <c r="AL384" s="21" t="s">
        <v>1614</v>
      </c>
      <c r="AM384" s="21" t="str">
        <f t="shared" si="502"/>
        <v>-</v>
      </c>
      <c r="AN384" s="89" t="str">
        <f t="shared" ca="1" si="503"/>
        <v>-</v>
      </c>
      <c r="AO384" s="92"/>
      <c r="AP384" s="80" t="str">
        <f t="shared" ca="1" si="504"/>
        <v>-</v>
      </c>
      <c r="AQ384" s="80"/>
      <c r="AR384" s="22" t="str">
        <f t="shared" si="505"/>
        <v>-</v>
      </c>
      <c r="AS384" s="234"/>
      <c r="AT384" s="22" t="str">
        <f t="shared" si="506"/>
        <v>-</v>
      </c>
      <c r="AU384" s="300"/>
      <c r="AV384" s="429"/>
      <c r="AW384" s="431"/>
      <c r="AX384" s="121" t="str">
        <f t="shared" si="507"/>
        <v>-</v>
      </c>
      <c r="AY384" s="432" t="str">
        <f t="shared" si="508"/>
        <v>-</v>
      </c>
      <c r="AZ384" s="428" t="str">
        <f t="shared" ca="1" si="509"/>
        <v>-</v>
      </c>
      <c r="BA384" s="121"/>
      <c r="BB384" s="326"/>
      <c r="BC384" s="330" t="str">
        <f t="shared" si="510"/>
        <v>Ж-Е НЕ ВАКЦ.</v>
      </c>
      <c r="BD384" s="332" t="str">
        <f t="shared" si="511"/>
        <v>-</v>
      </c>
      <c r="BE384" s="321" t="str">
        <f t="shared" ca="1" si="512"/>
        <v>ПОДЛЕЖИТ ВАКЦИНАЦИИ</v>
      </c>
      <c r="BF384" s="306"/>
      <c r="BG384" s="308"/>
      <c r="BH384" s="309" t="str">
        <f t="shared" si="513"/>
        <v>-</v>
      </c>
      <c r="BI384" s="310" t="str">
        <f t="shared" si="514"/>
        <v>-</v>
      </c>
      <c r="BJ384" s="313" t="str">
        <f t="shared" si="515"/>
        <v>-</v>
      </c>
      <c r="BK384" s="306"/>
      <c r="BL384" s="308"/>
      <c r="BM384" s="309" t="str">
        <f t="shared" si="516"/>
        <v>-</v>
      </c>
      <c r="BN384" s="309" t="str">
        <f t="shared" si="517"/>
        <v>-</v>
      </c>
      <c r="BO384" s="311" t="str">
        <f t="shared" si="518"/>
        <v>-</v>
      </c>
      <c r="BP384" s="312" t="str">
        <f t="shared" si="519"/>
        <v>-</v>
      </c>
      <c r="BQ384" s="307"/>
      <c r="BR384" s="308"/>
      <c r="BS384" s="309" t="str">
        <f t="shared" si="520"/>
        <v>-</v>
      </c>
      <c r="BT384" s="310" t="str">
        <f t="shared" si="521"/>
        <v>-</v>
      </c>
      <c r="BU384" s="321" t="str">
        <f t="shared" ca="1" si="522"/>
        <v>-</v>
      </c>
      <c r="BV384" s="306"/>
      <c r="BW384" s="308"/>
      <c r="BX384" s="309" t="str">
        <f t="shared" si="523"/>
        <v>-</v>
      </c>
      <c r="BY384" s="309" t="str">
        <f t="shared" si="524"/>
        <v>-</v>
      </c>
      <c r="BZ384" s="310" t="str">
        <f t="shared" si="525"/>
        <v>-</v>
      </c>
      <c r="CA384" s="313" t="str">
        <f t="shared" si="526"/>
        <v>-</v>
      </c>
      <c r="CB384" s="306"/>
      <c r="CC384" s="308"/>
      <c r="CD384" s="309" t="str">
        <f t="shared" si="527"/>
        <v>-</v>
      </c>
      <c r="CE384" s="311" t="str">
        <f t="shared" si="528"/>
        <v>-</v>
      </c>
      <c r="CF384" s="309" t="str">
        <f t="shared" si="529"/>
        <v>-</v>
      </c>
      <c r="CG384" s="312" t="str">
        <f t="shared" ca="1" si="530"/>
        <v>-</v>
      </c>
      <c r="CH384" s="78"/>
      <c r="CI384" s="308"/>
      <c r="CJ384" s="384">
        <f t="shared" ca="1" si="487"/>
        <v>100</v>
      </c>
      <c r="CK384" s="359" t="str">
        <f t="shared" ca="1" si="488"/>
        <v>-----</v>
      </c>
      <c r="CL384" s="358"/>
      <c r="CM384" s="361" t="str">
        <f t="shared" si="489"/>
        <v>-</v>
      </c>
      <c r="CN384" s="360"/>
      <c r="CO384" s="360"/>
      <c r="CP384" s="360"/>
      <c r="CQ384" s="360"/>
      <c r="CR384" s="384" t="str">
        <f>IF(AND(Y384=1,P384&gt;0),AJ384-14,"----")</f>
        <v>----</v>
      </c>
      <c r="CS384" s="359" t="str">
        <f ca="1">IF(AND(Y384=1,AN384&gt;-205,ISBLANK(CT384),CU384&lt;100),"ПОДЛЕЖИТ ОБРАБОТКЕ","-----")</f>
        <v>-----</v>
      </c>
      <c r="CT384" s="358"/>
      <c r="CU384" s="361" t="str">
        <f>IF(CT384&gt;0,B384-CT384,"-")</f>
        <v>-</v>
      </c>
      <c r="CV384" s="360"/>
      <c r="CW384" s="360"/>
      <c r="CX384" s="360"/>
      <c r="CY384" s="569"/>
    </row>
    <row r="385" spans="1:103" s="1" customFormat="1" ht="25.5" x14ac:dyDescent="0.25">
      <c r="A385" s="77">
        <v>383</v>
      </c>
      <c r="B385" s="84">
        <f ca="1">TODAY()</f>
        <v>43134</v>
      </c>
      <c r="C385" s="29" t="s">
        <v>2546</v>
      </c>
      <c r="D385" s="59" t="s">
        <v>1555</v>
      </c>
      <c r="E385" s="22" t="s">
        <v>1557</v>
      </c>
      <c r="F385" s="27" t="s">
        <v>3121</v>
      </c>
      <c r="G385" s="323"/>
      <c r="H385" s="28" t="s">
        <v>603</v>
      </c>
      <c r="I385" s="20">
        <v>42981</v>
      </c>
      <c r="J385" s="35">
        <f ca="1">(B385-I385)/365</f>
        <v>0.41917808219178082</v>
      </c>
      <c r="K385" s="35">
        <f ca="1">(B385-I385)/30</f>
        <v>5.0999999999999996</v>
      </c>
      <c r="L385" s="299">
        <f ca="1">B385-I385</f>
        <v>153</v>
      </c>
      <c r="M385" s="60"/>
      <c r="N385" s="32"/>
      <c r="O385" s="82" t="str">
        <f t="shared" ca="1" si="490"/>
        <v>-</v>
      </c>
      <c r="P385" s="19"/>
      <c r="Q385" s="68"/>
      <c r="R385" s="118"/>
      <c r="S385" s="21"/>
      <c r="T385" s="20"/>
      <c r="U385" s="20" t="str">
        <f t="shared" si="491"/>
        <v>-</v>
      </c>
      <c r="V385" s="19" t="str">
        <f t="shared" ca="1" si="492"/>
        <v>-</v>
      </c>
      <c r="W385" s="3"/>
      <c r="X385" s="22" t="str">
        <f t="shared" si="493"/>
        <v>-</v>
      </c>
      <c r="Y385" s="22"/>
      <c r="Z385" s="329" t="str">
        <f t="shared" ca="1" si="494"/>
        <v>-----</v>
      </c>
      <c r="AA385" s="328">
        <f t="shared" ca="1" si="495"/>
        <v>43134</v>
      </c>
      <c r="AB385" s="19"/>
      <c r="AC385" s="331" t="str">
        <f t="shared" ca="1" si="496"/>
        <v>-----</v>
      </c>
      <c r="AD385" s="20"/>
      <c r="AE385" s="22" t="str">
        <f t="shared" ca="1" si="497"/>
        <v>-</v>
      </c>
      <c r="AF385" s="20" t="str">
        <f t="shared" si="498"/>
        <v>-</v>
      </c>
      <c r="AG385" s="94" t="str">
        <f t="shared" si="499"/>
        <v>---------</v>
      </c>
      <c r="AH385" s="21"/>
      <c r="AI385" s="21" t="str">
        <f t="shared" si="500"/>
        <v>-</v>
      </c>
      <c r="AJ385" s="21" t="str">
        <f t="shared" si="501"/>
        <v>-</v>
      </c>
      <c r="AK385" s="909">
        <v>42985</v>
      </c>
      <c r="AL385" s="21" t="s">
        <v>1614</v>
      </c>
      <c r="AM385" s="21" t="str">
        <f t="shared" si="502"/>
        <v>-</v>
      </c>
      <c r="AN385" s="89" t="str">
        <f t="shared" ca="1" si="503"/>
        <v>-</v>
      </c>
      <c r="AO385" s="92"/>
      <c r="AP385" s="80" t="str">
        <f t="shared" ca="1" si="504"/>
        <v>-</v>
      </c>
      <c r="AQ385" s="80"/>
      <c r="AR385" s="22" t="str">
        <f t="shared" si="505"/>
        <v>-</v>
      </c>
      <c r="AS385" s="234"/>
      <c r="AT385" s="22" t="str">
        <f t="shared" si="506"/>
        <v>-</v>
      </c>
      <c r="AU385" s="300"/>
      <c r="AV385" s="429"/>
      <c r="AW385" s="431"/>
      <c r="AX385" s="121" t="str">
        <f t="shared" si="507"/>
        <v>-</v>
      </c>
      <c r="AY385" s="432" t="str">
        <f t="shared" si="508"/>
        <v>-</v>
      </c>
      <c r="AZ385" s="428" t="str">
        <f t="shared" ca="1" si="509"/>
        <v>-</v>
      </c>
      <c r="BA385" s="121"/>
      <c r="BB385" s="326"/>
      <c r="BC385" s="330" t="str">
        <f t="shared" si="510"/>
        <v>Ж-Е НЕ ВАКЦ.</v>
      </c>
      <c r="BD385" s="332" t="str">
        <f t="shared" si="511"/>
        <v>-</v>
      </c>
      <c r="BE385" s="321" t="str">
        <f t="shared" ca="1" si="512"/>
        <v>ПОДЛЕЖИТ ВАКЦИНАЦИИ</v>
      </c>
      <c r="BF385" s="306"/>
      <c r="BG385" s="308"/>
      <c r="BH385" s="309" t="str">
        <f t="shared" si="513"/>
        <v>-</v>
      </c>
      <c r="BI385" s="310" t="str">
        <f t="shared" si="514"/>
        <v>-</v>
      </c>
      <c r="BJ385" s="313" t="str">
        <f t="shared" si="515"/>
        <v>-</v>
      </c>
      <c r="BK385" s="306"/>
      <c r="BL385" s="308"/>
      <c r="BM385" s="309" t="str">
        <f t="shared" si="516"/>
        <v>-</v>
      </c>
      <c r="BN385" s="309" t="str">
        <f t="shared" si="517"/>
        <v>-</v>
      </c>
      <c r="BO385" s="311" t="str">
        <f t="shared" si="518"/>
        <v>-</v>
      </c>
      <c r="BP385" s="312" t="str">
        <f t="shared" si="519"/>
        <v>-</v>
      </c>
      <c r="BQ385" s="307"/>
      <c r="BR385" s="308"/>
      <c r="BS385" s="309" t="str">
        <f t="shared" si="520"/>
        <v>-</v>
      </c>
      <c r="BT385" s="310" t="str">
        <f t="shared" si="521"/>
        <v>-</v>
      </c>
      <c r="BU385" s="321" t="str">
        <f t="shared" ca="1" si="522"/>
        <v>-</v>
      </c>
      <c r="BV385" s="306"/>
      <c r="BW385" s="308"/>
      <c r="BX385" s="309" t="str">
        <f t="shared" si="523"/>
        <v>-</v>
      </c>
      <c r="BY385" s="309" t="str">
        <f t="shared" si="524"/>
        <v>-</v>
      </c>
      <c r="BZ385" s="310" t="str">
        <f t="shared" si="525"/>
        <v>-</v>
      </c>
      <c r="CA385" s="313" t="str">
        <f t="shared" si="526"/>
        <v>-</v>
      </c>
      <c r="CB385" s="306"/>
      <c r="CC385" s="308"/>
      <c r="CD385" s="309" t="str">
        <f t="shared" si="527"/>
        <v>-</v>
      </c>
      <c r="CE385" s="311" t="str">
        <f t="shared" si="528"/>
        <v>-</v>
      </c>
      <c r="CF385" s="309" t="str">
        <f t="shared" si="529"/>
        <v>-</v>
      </c>
      <c r="CG385" s="312" t="str">
        <f t="shared" ca="1" si="530"/>
        <v>-</v>
      </c>
      <c r="CH385" s="78"/>
      <c r="CI385" s="308"/>
      <c r="CJ385" s="384">
        <f ca="1">IF(O385&gt;90,N385+100,"-----")</f>
        <v>100</v>
      </c>
      <c r="CK385" s="359" t="str">
        <f ca="1">IF(AND(O385&gt;99,ISBLANK(CL385),CM385&lt;100),"ПОДЛЕЖИТ ОБРАБОТКЕ","-----")</f>
        <v>-----</v>
      </c>
      <c r="CL385" s="358"/>
      <c r="CM385" s="361" t="str">
        <f>IF(CL385&gt;0,B385-CL385,"-")</f>
        <v>-</v>
      </c>
      <c r="CN385" s="360"/>
      <c r="CO385" s="360"/>
      <c r="CP385" s="360"/>
      <c r="CQ385" s="360"/>
      <c r="CR385" s="384" t="str">
        <f>IF(AND(Y385=1,P385&gt;0),AJ385-14,"----")</f>
        <v>----</v>
      </c>
      <c r="CS385" s="359" t="str">
        <f ca="1">IF(AND(Y385=1,AN385&gt;-205,ISBLANK(CT385),CU385&lt;100),"ПОДЛЕЖИТ ОБРАБОТКЕ","-----")</f>
        <v>-----</v>
      </c>
      <c r="CT385" s="358"/>
      <c r="CU385" s="361" t="str">
        <f>IF(CT385&gt;0,B385-CT385,"-")</f>
        <v>-</v>
      </c>
      <c r="CV385" s="360"/>
      <c r="CW385" s="360"/>
      <c r="CX385" s="360"/>
      <c r="CY385" s="569"/>
    </row>
    <row r="386" spans="1:103" s="1" customFormat="1" ht="25.5" x14ac:dyDescent="0.25">
      <c r="A386" s="77">
        <v>384</v>
      </c>
      <c r="B386" s="84">
        <f ca="1">TODAY()</f>
        <v>43134</v>
      </c>
      <c r="C386" s="29" t="s">
        <v>2546</v>
      </c>
      <c r="D386" s="59" t="s">
        <v>1555</v>
      </c>
      <c r="E386" s="22" t="s">
        <v>1557</v>
      </c>
      <c r="F386" s="27" t="s">
        <v>3125</v>
      </c>
      <c r="G386" s="323"/>
      <c r="H386" s="28" t="s">
        <v>603</v>
      </c>
      <c r="I386" s="20">
        <v>42983</v>
      </c>
      <c r="J386" s="35">
        <f ca="1">(B386-I386)/365</f>
        <v>0.41369863013698632</v>
      </c>
      <c r="K386" s="35">
        <f ca="1">(B386-I386)/30</f>
        <v>5.0333333333333332</v>
      </c>
      <c r="L386" s="299">
        <f ca="1">B386-I386</f>
        <v>151</v>
      </c>
      <c r="M386" s="60"/>
      <c r="N386" s="32"/>
      <c r="O386" s="82" t="str">
        <f t="shared" ca="1" si="490"/>
        <v>-</v>
      </c>
      <c r="P386" s="19"/>
      <c r="Q386" s="68"/>
      <c r="R386" s="118"/>
      <c r="S386" s="21"/>
      <c r="T386" s="20"/>
      <c r="U386" s="20" t="str">
        <f t="shared" si="491"/>
        <v>-</v>
      </c>
      <c r="V386" s="19" t="str">
        <f t="shared" ca="1" si="492"/>
        <v>-</v>
      </c>
      <c r="W386" s="3"/>
      <c r="X386" s="22" t="str">
        <f t="shared" si="493"/>
        <v>-</v>
      </c>
      <c r="Y386" s="22"/>
      <c r="Z386" s="329" t="str">
        <f t="shared" ca="1" si="494"/>
        <v>-----</v>
      </c>
      <c r="AA386" s="328">
        <f t="shared" ca="1" si="495"/>
        <v>43134</v>
      </c>
      <c r="AB386" s="19"/>
      <c r="AC386" s="331" t="str">
        <f t="shared" ca="1" si="496"/>
        <v>-----</v>
      </c>
      <c r="AD386" s="20"/>
      <c r="AE386" s="22" t="str">
        <f t="shared" ca="1" si="497"/>
        <v>-</v>
      </c>
      <c r="AF386" s="20" t="str">
        <f t="shared" si="498"/>
        <v>-</v>
      </c>
      <c r="AG386" s="94" t="str">
        <f t="shared" si="499"/>
        <v>---------</v>
      </c>
      <c r="AH386" s="21"/>
      <c r="AI386" s="21" t="str">
        <f t="shared" si="500"/>
        <v>-</v>
      </c>
      <c r="AJ386" s="21" t="str">
        <f t="shared" si="501"/>
        <v>-</v>
      </c>
      <c r="AK386" s="909">
        <v>42985</v>
      </c>
      <c r="AL386" s="21" t="s">
        <v>1614</v>
      </c>
      <c r="AM386" s="21" t="str">
        <f t="shared" si="502"/>
        <v>-</v>
      </c>
      <c r="AN386" s="89" t="str">
        <f t="shared" ca="1" si="503"/>
        <v>-</v>
      </c>
      <c r="AO386" s="92"/>
      <c r="AP386" s="80" t="str">
        <f t="shared" ca="1" si="504"/>
        <v>-</v>
      </c>
      <c r="AQ386" s="80"/>
      <c r="AR386" s="22" t="str">
        <f t="shared" si="505"/>
        <v>-</v>
      </c>
      <c r="AS386" s="234"/>
      <c r="AT386" s="22" t="str">
        <f t="shared" si="506"/>
        <v>-</v>
      </c>
      <c r="AU386" s="300"/>
      <c r="AV386" s="429"/>
      <c r="AW386" s="431"/>
      <c r="AX386" s="121" t="str">
        <f t="shared" si="507"/>
        <v>-</v>
      </c>
      <c r="AY386" s="432" t="str">
        <f t="shared" si="508"/>
        <v>-</v>
      </c>
      <c r="AZ386" s="428" t="str">
        <f t="shared" ca="1" si="509"/>
        <v>-</v>
      </c>
      <c r="BA386" s="121"/>
      <c r="BB386" s="326"/>
      <c r="BC386" s="330" t="str">
        <f t="shared" si="510"/>
        <v>Ж-Е НЕ ВАКЦ.</v>
      </c>
      <c r="BD386" s="332" t="str">
        <f t="shared" si="511"/>
        <v>-</v>
      </c>
      <c r="BE386" s="321" t="str">
        <f t="shared" ca="1" si="512"/>
        <v>ПОДЛЕЖИТ ВАКЦИНАЦИИ</v>
      </c>
      <c r="BF386" s="306"/>
      <c r="BG386" s="308"/>
      <c r="BH386" s="309" t="str">
        <f t="shared" si="513"/>
        <v>-</v>
      </c>
      <c r="BI386" s="310" t="str">
        <f t="shared" si="514"/>
        <v>-</v>
      </c>
      <c r="BJ386" s="313" t="str">
        <f t="shared" si="515"/>
        <v>-</v>
      </c>
      <c r="BK386" s="306"/>
      <c r="BL386" s="308"/>
      <c r="BM386" s="309" t="str">
        <f t="shared" si="516"/>
        <v>-</v>
      </c>
      <c r="BN386" s="309" t="str">
        <f t="shared" si="517"/>
        <v>-</v>
      </c>
      <c r="BO386" s="311" t="str">
        <f t="shared" si="518"/>
        <v>-</v>
      </c>
      <c r="BP386" s="312" t="str">
        <f t="shared" si="519"/>
        <v>-</v>
      </c>
      <c r="BQ386" s="307"/>
      <c r="BR386" s="308"/>
      <c r="BS386" s="309" t="str">
        <f t="shared" si="520"/>
        <v>-</v>
      </c>
      <c r="BT386" s="310" t="str">
        <f t="shared" si="521"/>
        <v>-</v>
      </c>
      <c r="BU386" s="321" t="str">
        <f t="shared" ca="1" si="522"/>
        <v>-</v>
      </c>
      <c r="BV386" s="306"/>
      <c r="BW386" s="308"/>
      <c r="BX386" s="309" t="str">
        <f t="shared" si="523"/>
        <v>-</v>
      </c>
      <c r="BY386" s="309" t="str">
        <f t="shared" si="524"/>
        <v>-</v>
      </c>
      <c r="BZ386" s="310" t="str">
        <f t="shared" si="525"/>
        <v>-</v>
      </c>
      <c r="CA386" s="313" t="str">
        <f t="shared" si="526"/>
        <v>-</v>
      </c>
      <c r="CB386" s="306"/>
      <c r="CC386" s="308"/>
      <c r="CD386" s="309" t="str">
        <f t="shared" si="527"/>
        <v>-</v>
      </c>
      <c r="CE386" s="311" t="str">
        <f t="shared" si="528"/>
        <v>-</v>
      </c>
      <c r="CF386" s="309" t="str">
        <f t="shared" si="529"/>
        <v>-</v>
      </c>
      <c r="CG386" s="312" t="str">
        <f t="shared" ca="1" si="530"/>
        <v>-</v>
      </c>
      <c r="CH386" s="78"/>
      <c r="CI386" s="308"/>
      <c r="CJ386" s="384">
        <f ca="1">IF(O386&gt;90,N386+100,"-----")</f>
        <v>100</v>
      </c>
      <c r="CK386" s="359" t="str">
        <f ca="1">IF(AND(O386&gt;99,ISBLANK(CL386),CM386&lt;100),"ПОДЛЕЖИТ ОБРАБОТКЕ","-----")</f>
        <v>-----</v>
      </c>
      <c r="CL386" s="358"/>
      <c r="CM386" s="361" t="str">
        <f>IF(CL386&gt;0,B386-CL386,"-")</f>
        <v>-</v>
      </c>
      <c r="CN386" s="360"/>
      <c r="CO386" s="360"/>
      <c r="CP386" s="360"/>
      <c r="CQ386" s="360"/>
      <c r="CR386" s="384"/>
      <c r="CS386" s="359"/>
      <c r="CT386" s="358"/>
      <c r="CU386" s="361"/>
      <c r="CV386" s="360"/>
      <c r="CW386" s="360"/>
      <c r="CX386" s="360"/>
      <c r="CY386" s="569"/>
    </row>
    <row r="387" spans="1:103" s="1" customFormat="1" ht="15.75" x14ac:dyDescent="0.25">
      <c r="A387" s="77">
        <v>385</v>
      </c>
      <c r="B387" s="84">
        <f t="shared" ref="B387:B389" ca="1" si="531">TODAY()</f>
        <v>43134</v>
      </c>
      <c r="C387" s="29" t="s">
        <v>2546</v>
      </c>
      <c r="D387" s="59" t="s">
        <v>1555</v>
      </c>
      <c r="E387" s="22" t="s">
        <v>1557</v>
      </c>
      <c r="F387" s="27" t="s">
        <v>3123</v>
      </c>
      <c r="G387" s="324"/>
      <c r="H387" s="28" t="s">
        <v>603</v>
      </c>
      <c r="I387" s="20">
        <v>42983</v>
      </c>
      <c r="J387" s="240">
        <f t="shared" ref="J387:J389" ca="1" si="532">(B387-I387)/365</f>
        <v>0.41369863013698632</v>
      </c>
      <c r="K387" s="240">
        <f t="shared" ref="K387:K389" ca="1" si="533">(B387-I387)/30</f>
        <v>5.0333333333333332</v>
      </c>
      <c r="L387" s="298">
        <f t="shared" ref="L387:L389" ca="1" si="534">B387-I387</f>
        <v>151</v>
      </c>
      <c r="M387" s="60"/>
      <c r="N387" s="32"/>
      <c r="O387" s="82" t="str">
        <f t="shared" ca="1" si="490"/>
        <v>-</v>
      </c>
      <c r="P387" s="19"/>
      <c r="Q387" s="68"/>
      <c r="R387" s="118"/>
      <c r="S387" s="21"/>
      <c r="T387" s="20"/>
      <c r="U387" s="20" t="str">
        <f t="shared" si="491"/>
        <v>-</v>
      </c>
      <c r="V387" s="19" t="str">
        <f t="shared" ca="1" si="492"/>
        <v>-</v>
      </c>
      <c r="W387" s="3"/>
      <c r="X387" s="22" t="str">
        <f t="shared" si="493"/>
        <v>-</v>
      </c>
      <c r="Y387" s="22"/>
      <c r="Z387" s="329" t="str">
        <f t="shared" ca="1" si="494"/>
        <v>-----</v>
      </c>
      <c r="AA387" s="328">
        <f t="shared" ca="1" si="495"/>
        <v>43134</v>
      </c>
      <c r="AB387" s="19"/>
      <c r="AC387" s="331" t="str">
        <f t="shared" ca="1" si="496"/>
        <v>-----</v>
      </c>
      <c r="AD387" s="20"/>
      <c r="AE387" s="22" t="str">
        <f t="shared" ca="1" si="497"/>
        <v>-</v>
      </c>
      <c r="AF387" s="20" t="str">
        <f t="shared" si="498"/>
        <v>-</v>
      </c>
      <c r="AG387" s="94" t="str">
        <f t="shared" si="499"/>
        <v>---------</v>
      </c>
      <c r="AH387" s="21"/>
      <c r="AI387" s="21" t="str">
        <f t="shared" si="500"/>
        <v>-</v>
      </c>
      <c r="AJ387" s="21" t="str">
        <f t="shared" si="501"/>
        <v>-</v>
      </c>
      <c r="AK387" s="909">
        <v>42989</v>
      </c>
      <c r="AL387" s="21" t="s">
        <v>1614</v>
      </c>
      <c r="AM387" s="21" t="str">
        <f t="shared" si="502"/>
        <v>-</v>
      </c>
      <c r="AN387" s="89" t="str">
        <f t="shared" ca="1" si="503"/>
        <v>-</v>
      </c>
      <c r="AO387" s="92"/>
      <c r="AP387" s="80" t="str">
        <f t="shared" ca="1" si="504"/>
        <v>-</v>
      </c>
      <c r="AQ387" s="441"/>
      <c r="AR387" s="22" t="str">
        <f t="shared" si="505"/>
        <v>-</v>
      </c>
      <c r="AS387" s="234"/>
      <c r="AT387" s="22" t="str">
        <f t="shared" si="506"/>
        <v>-</v>
      </c>
      <c r="AU387" s="300"/>
      <c r="AV387" s="429"/>
      <c r="AW387" s="431"/>
      <c r="AX387" s="121" t="str">
        <f t="shared" si="507"/>
        <v>-</v>
      </c>
      <c r="AY387" s="432" t="str">
        <f t="shared" si="508"/>
        <v>-</v>
      </c>
      <c r="AZ387" s="428" t="str">
        <f t="shared" ca="1" si="509"/>
        <v>-</v>
      </c>
      <c r="BA387" s="302">
        <v>42988</v>
      </c>
      <c r="BB387" s="326">
        <v>2</v>
      </c>
      <c r="BC387" s="330">
        <f t="shared" si="510"/>
        <v>5</v>
      </c>
      <c r="BD387" s="332">
        <f t="shared" ca="1" si="511"/>
        <v>146</v>
      </c>
      <c r="BE387" s="321" t="str">
        <f t="shared" ca="1" si="512"/>
        <v>ПОДЛЕЖИТ ВАКЦИНАЦИИ</v>
      </c>
      <c r="BF387" s="306"/>
      <c r="BG387" s="308"/>
      <c r="BH387" s="309" t="str">
        <f t="shared" si="513"/>
        <v>-</v>
      </c>
      <c r="BI387" s="310" t="str">
        <f t="shared" si="514"/>
        <v>-</v>
      </c>
      <c r="BJ387" s="313" t="str">
        <f t="shared" si="515"/>
        <v>-</v>
      </c>
      <c r="BK387" s="306"/>
      <c r="BL387" s="308"/>
      <c r="BM387" s="309" t="str">
        <f t="shared" si="516"/>
        <v>-</v>
      </c>
      <c r="BN387" s="309" t="str">
        <f t="shared" si="517"/>
        <v>-</v>
      </c>
      <c r="BO387" s="311" t="str">
        <f t="shared" si="518"/>
        <v>-</v>
      </c>
      <c r="BP387" s="312" t="str">
        <f t="shared" si="519"/>
        <v>-</v>
      </c>
      <c r="BQ387" s="307"/>
      <c r="BR387" s="308"/>
      <c r="BS387" s="309" t="str">
        <f t="shared" si="520"/>
        <v>-</v>
      </c>
      <c r="BT387" s="310" t="str">
        <f t="shared" si="521"/>
        <v>-</v>
      </c>
      <c r="BU387" s="321" t="str">
        <f t="shared" ca="1" si="522"/>
        <v>-</v>
      </c>
      <c r="BV387" s="306"/>
      <c r="BW387" s="308"/>
      <c r="BX387" s="309" t="str">
        <f t="shared" si="523"/>
        <v>-</v>
      </c>
      <c r="BY387" s="309" t="str">
        <f t="shared" si="524"/>
        <v>-</v>
      </c>
      <c r="BZ387" s="310" t="str">
        <f t="shared" si="525"/>
        <v>-</v>
      </c>
      <c r="CA387" s="313" t="str">
        <f t="shared" si="526"/>
        <v>-</v>
      </c>
      <c r="CB387" s="306"/>
      <c r="CC387" s="308"/>
      <c r="CD387" s="309" t="str">
        <f t="shared" si="527"/>
        <v>-</v>
      </c>
      <c r="CE387" s="311" t="str">
        <f t="shared" si="528"/>
        <v>-</v>
      </c>
      <c r="CF387" s="309" t="str">
        <f t="shared" si="529"/>
        <v>-</v>
      </c>
      <c r="CG387" s="312" t="str">
        <f t="shared" ca="1" si="530"/>
        <v>-</v>
      </c>
      <c r="CH387" s="78"/>
      <c r="CI387" s="308"/>
      <c r="CJ387" s="384">
        <f t="shared" ref="CJ387:CJ389" ca="1" si="535">IF(O387&gt;90,N387+100,"-----")</f>
        <v>100</v>
      </c>
      <c r="CK387" s="359" t="str">
        <f t="shared" ref="CK387:CK389" ca="1" si="536">IF(AND(O387&gt;99,ISBLANK(CL387),CM387&lt;100),"ПОДЛЕЖИТ ОБРАБОТКЕ","-----")</f>
        <v>-----</v>
      </c>
      <c r="CL387" s="358"/>
      <c r="CM387" s="361" t="str">
        <f t="shared" ref="CM387:CM389" si="537">IF(CL387&gt;0,B387-CL387,"-")</f>
        <v>-</v>
      </c>
      <c r="CN387" s="360"/>
      <c r="CO387" s="360"/>
      <c r="CP387" s="360"/>
      <c r="CQ387" s="360"/>
      <c r="CR387" s="384" t="str">
        <f>IF(AND(Y387=1,P387&gt;0),AJ387-14,"----")</f>
        <v>----</v>
      </c>
      <c r="CS387" s="359" t="str">
        <f t="shared" ref="CS387:CS389" ca="1" si="538">IF(AND(Y387=1,AN387&gt;-205,ISBLANK(CT387),CU387&lt;100),"ПОДЛЕЖИТ ОБРАБОТКЕ","-----")</f>
        <v>-----</v>
      </c>
      <c r="CT387" s="358"/>
      <c r="CU387" s="361" t="str">
        <f>IF(CT387&gt;0,B387-CT387,"-")</f>
        <v>-</v>
      </c>
      <c r="CV387" s="360"/>
      <c r="CW387" s="360"/>
      <c r="CX387" s="360"/>
      <c r="CY387" s="569"/>
    </row>
    <row r="388" spans="1:103" s="1" customFormat="1" ht="15.75" x14ac:dyDescent="0.25">
      <c r="A388" s="77">
        <v>386</v>
      </c>
      <c r="B388" s="84">
        <f t="shared" ca="1" si="531"/>
        <v>43134</v>
      </c>
      <c r="C388" s="29" t="s">
        <v>2546</v>
      </c>
      <c r="D388" s="59" t="s">
        <v>1555</v>
      </c>
      <c r="E388" s="22" t="s">
        <v>1557</v>
      </c>
      <c r="F388" s="27" t="s">
        <v>3124</v>
      </c>
      <c r="G388" s="324"/>
      <c r="H388" s="28" t="s">
        <v>603</v>
      </c>
      <c r="I388" s="20">
        <v>42983</v>
      </c>
      <c r="J388" s="240">
        <f t="shared" ca="1" si="532"/>
        <v>0.41369863013698632</v>
      </c>
      <c r="K388" s="240">
        <f t="shared" ca="1" si="533"/>
        <v>5.0333333333333332</v>
      </c>
      <c r="L388" s="298">
        <f t="shared" ca="1" si="534"/>
        <v>151</v>
      </c>
      <c r="M388" s="60"/>
      <c r="N388" s="32"/>
      <c r="O388" s="82" t="str">
        <f t="shared" ca="1" si="490"/>
        <v>-</v>
      </c>
      <c r="P388" s="19"/>
      <c r="Q388" s="68"/>
      <c r="R388" s="118"/>
      <c r="S388" s="21"/>
      <c r="T388" s="20"/>
      <c r="U388" s="20" t="str">
        <f t="shared" si="491"/>
        <v>-</v>
      </c>
      <c r="V388" s="19" t="str">
        <f t="shared" ca="1" si="492"/>
        <v>-</v>
      </c>
      <c r="W388" s="3"/>
      <c r="X388" s="22" t="str">
        <f t="shared" si="493"/>
        <v>-</v>
      </c>
      <c r="Y388" s="22"/>
      <c r="Z388" s="329" t="str">
        <f t="shared" ca="1" si="494"/>
        <v>-----</v>
      </c>
      <c r="AA388" s="328">
        <f t="shared" ca="1" si="495"/>
        <v>43134</v>
      </c>
      <c r="AB388" s="19"/>
      <c r="AC388" s="331" t="str">
        <f t="shared" ca="1" si="496"/>
        <v>-----</v>
      </c>
      <c r="AD388" s="20"/>
      <c r="AE388" s="22" t="str">
        <f t="shared" ca="1" si="497"/>
        <v>-</v>
      </c>
      <c r="AF388" s="20" t="str">
        <f t="shared" si="498"/>
        <v>-</v>
      </c>
      <c r="AG388" s="94" t="str">
        <f t="shared" si="499"/>
        <v>---------</v>
      </c>
      <c r="AH388" s="21"/>
      <c r="AI388" s="21" t="str">
        <f t="shared" si="500"/>
        <v>-</v>
      </c>
      <c r="AJ388" s="21" t="str">
        <f t="shared" si="501"/>
        <v>-</v>
      </c>
      <c r="AK388" s="909">
        <v>42986</v>
      </c>
      <c r="AL388" s="21" t="s">
        <v>1614</v>
      </c>
      <c r="AM388" s="21" t="str">
        <f t="shared" si="502"/>
        <v>-</v>
      </c>
      <c r="AN388" s="89" t="str">
        <f t="shared" ca="1" si="503"/>
        <v>-</v>
      </c>
      <c r="AO388" s="92"/>
      <c r="AP388" s="80" t="str">
        <f t="shared" ca="1" si="504"/>
        <v>-</v>
      </c>
      <c r="AQ388" s="441"/>
      <c r="AR388" s="22" t="str">
        <f t="shared" si="505"/>
        <v>-</v>
      </c>
      <c r="AS388" s="234"/>
      <c r="AT388" s="22" t="str">
        <f t="shared" si="506"/>
        <v>-</v>
      </c>
      <c r="AU388" s="300"/>
      <c r="AV388" s="429"/>
      <c r="AW388" s="431"/>
      <c r="AX388" s="121" t="str">
        <f t="shared" si="507"/>
        <v>-</v>
      </c>
      <c r="AY388" s="432" t="str">
        <f t="shared" si="508"/>
        <v>-</v>
      </c>
      <c r="AZ388" s="428" t="str">
        <f t="shared" ca="1" si="509"/>
        <v>-</v>
      </c>
      <c r="BA388" s="302">
        <v>42988</v>
      </c>
      <c r="BB388" s="326">
        <v>2</v>
      </c>
      <c r="BC388" s="330">
        <f t="shared" si="510"/>
        <v>5</v>
      </c>
      <c r="BD388" s="332">
        <f t="shared" ca="1" si="511"/>
        <v>146</v>
      </c>
      <c r="BE388" s="321" t="str">
        <f t="shared" ca="1" si="512"/>
        <v>ПОДЛЕЖИТ ВАКЦИНАЦИИ</v>
      </c>
      <c r="BF388" s="306"/>
      <c r="BG388" s="308"/>
      <c r="BH388" s="309" t="str">
        <f t="shared" si="513"/>
        <v>-</v>
      </c>
      <c r="BI388" s="310" t="str">
        <f t="shared" si="514"/>
        <v>-</v>
      </c>
      <c r="BJ388" s="313" t="str">
        <f t="shared" si="515"/>
        <v>-</v>
      </c>
      <c r="BK388" s="306"/>
      <c r="BL388" s="308"/>
      <c r="BM388" s="309" t="str">
        <f t="shared" si="516"/>
        <v>-</v>
      </c>
      <c r="BN388" s="309" t="str">
        <f t="shared" si="517"/>
        <v>-</v>
      </c>
      <c r="BO388" s="311" t="str">
        <f t="shared" si="518"/>
        <v>-</v>
      </c>
      <c r="BP388" s="312" t="str">
        <f t="shared" si="519"/>
        <v>-</v>
      </c>
      <c r="BQ388" s="307"/>
      <c r="BR388" s="308"/>
      <c r="BS388" s="309" t="str">
        <f t="shared" si="520"/>
        <v>-</v>
      </c>
      <c r="BT388" s="310" t="str">
        <f t="shared" si="521"/>
        <v>-</v>
      </c>
      <c r="BU388" s="321" t="str">
        <f t="shared" ca="1" si="522"/>
        <v>-</v>
      </c>
      <c r="BV388" s="306"/>
      <c r="BW388" s="308"/>
      <c r="BX388" s="309" t="str">
        <f t="shared" si="523"/>
        <v>-</v>
      </c>
      <c r="BY388" s="309" t="str">
        <f t="shared" si="524"/>
        <v>-</v>
      </c>
      <c r="BZ388" s="310" t="str">
        <f t="shared" si="525"/>
        <v>-</v>
      </c>
      <c r="CA388" s="313" t="str">
        <f t="shared" si="526"/>
        <v>-</v>
      </c>
      <c r="CB388" s="306"/>
      <c r="CC388" s="308"/>
      <c r="CD388" s="309" t="str">
        <f t="shared" si="527"/>
        <v>-</v>
      </c>
      <c r="CE388" s="311" t="str">
        <f t="shared" si="528"/>
        <v>-</v>
      </c>
      <c r="CF388" s="309" t="str">
        <f t="shared" si="529"/>
        <v>-</v>
      </c>
      <c r="CG388" s="312" t="str">
        <f t="shared" ca="1" si="530"/>
        <v>-</v>
      </c>
      <c r="CH388" s="78"/>
      <c r="CI388" s="308"/>
      <c r="CJ388" s="384">
        <f t="shared" ca="1" si="535"/>
        <v>100</v>
      </c>
      <c r="CK388" s="359" t="str">
        <f t="shared" ca="1" si="536"/>
        <v>-----</v>
      </c>
      <c r="CL388" s="358"/>
      <c r="CM388" s="361" t="str">
        <f t="shared" si="537"/>
        <v>-</v>
      </c>
      <c r="CN388" s="360"/>
      <c r="CO388" s="360"/>
      <c r="CP388" s="360"/>
      <c r="CQ388" s="360"/>
      <c r="CR388" s="384" t="str">
        <f>IF(AND(Y388=1,P388&gt;0),AJ388-14,"----")</f>
        <v>----</v>
      </c>
      <c r="CS388" s="359" t="str">
        <f t="shared" ca="1" si="538"/>
        <v>-----</v>
      </c>
      <c r="CT388" s="358"/>
      <c r="CU388" s="361" t="str">
        <f>IF(CT388&gt;0,B388-CT388,"-")</f>
        <v>-</v>
      </c>
      <c r="CV388" s="360"/>
      <c r="CW388" s="360"/>
      <c r="CX388" s="360"/>
      <c r="CY388" s="569"/>
    </row>
    <row r="389" spans="1:103" s="1" customFormat="1" ht="15.75" x14ac:dyDescent="0.25">
      <c r="A389" s="77">
        <v>387</v>
      </c>
      <c r="B389" s="84">
        <f t="shared" ca="1" si="531"/>
        <v>43134</v>
      </c>
      <c r="C389" s="29" t="s">
        <v>2546</v>
      </c>
      <c r="D389" s="59" t="s">
        <v>1555</v>
      </c>
      <c r="E389" s="22" t="s">
        <v>1557</v>
      </c>
      <c r="F389" s="27" t="s">
        <v>3131</v>
      </c>
      <c r="G389" s="324"/>
      <c r="H389" s="28" t="s">
        <v>603</v>
      </c>
      <c r="I389" s="20">
        <v>42986</v>
      </c>
      <c r="J389" s="240">
        <f t="shared" ca="1" si="532"/>
        <v>0.40547945205479452</v>
      </c>
      <c r="K389" s="240">
        <f t="shared" ca="1" si="533"/>
        <v>4.9333333333333336</v>
      </c>
      <c r="L389" s="298">
        <f t="shared" ca="1" si="534"/>
        <v>148</v>
      </c>
      <c r="M389" s="60"/>
      <c r="N389" s="32"/>
      <c r="O389" s="82" t="str">
        <f t="shared" ca="1" si="490"/>
        <v>-</v>
      </c>
      <c r="P389" s="19"/>
      <c r="Q389" s="68"/>
      <c r="R389" s="118"/>
      <c r="S389" s="21"/>
      <c r="T389" s="20"/>
      <c r="U389" s="20" t="str">
        <f t="shared" si="491"/>
        <v>-</v>
      </c>
      <c r="V389" s="19" t="str">
        <f t="shared" ca="1" si="492"/>
        <v>-</v>
      </c>
      <c r="W389" s="3"/>
      <c r="X389" s="22" t="str">
        <f t="shared" si="493"/>
        <v>-</v>
      </c>
      <c r="Y389" s="22"/>
      <c r="Z389" s="329" t="str">
        <f t="shared" ca="1" si="494"/>
        <v>-----</v>
      </c>
      <c r="AA389" s="328">
        <f t="shared" ca="1" si="495"/>
        <v>43134</v>
      </c>
      <c r="AB389" s="19"/>
      <c r="AC389" s="331" t="str">
        <f t="shared" ca="1" si="496"/>
        <v>-----</v>
      </c>
      <c r="AD389" s="20"/>
      <c r="AE389" s="22" t="str">
        <f t="shared" ca="1" si="497"/>
        <v>-</v>
      </c>
      <c r="AF389" s="20" t="str">
        <f t="shared" si="498"/>
        <v>-</v>
      </c>
      <c r="AG389" s="94" t="str">
        <f t="shared" si="499"/>
        <v>---------</v>
      </c>
      <c r="AH389" s="21"/>
      <c r="AI389" s="21" t="str">
        <f t="shared" si="500"/>
        <v>-</v>
      </c>
      <c r="AJ389" s="21" t="str">
        <f t="shared" si="501"/>
        <v>-</v>
      </c>
      <c r="AK389" s="909">
        <v>42989</v>
      </c>
      <c r="AL389" s="21" t="s">
        <v>1614</v>
      </c>
      <c r="AM389" s="21" t="str">
        <f t="shared" si="502"/>
        <v>-</v>
      </c>
      <c r="AN389" s="89" t="str">
        <f t="shared" ca="1" si="503"/>
        <v>-</v>
      </c>
      <c r="AO389" s="92"/>
      <c r="AP389" s="80" t="str">
        <f t="shared" ca="1" si="504"/>
        <v>-</v>
      </c>
      <c r="AQ389" s="441"/>
      <c r="AR389" s="22" t="str">
        <f t="shared" si="505"/>
        <v>-</v>
      </c>
      <c r="AS389" s="234"/>
      <c r="AT389" s="22" t="str">
        <f t="shared" si="506"/>
        <v>-</v>
      </c>
      <c r="AU389" s="300"/>
      <c r="AV389" s="429"/>
      <c r="AW389" s="431"/>
      <c r="AX389" s="121" t="str">
        <f t="shared" si="507"/>
        <v>-</v>
      </c>
      <c r="AY389" s="432" t="str">
        <f t="shared" si="508"/>
        <v>-</v>
      </c>
      <c r="AZ389" s="428" t="str">
        <f t="shared" ca="1" si="509"/>
        <v>-</v>
      </c>
      <c r="BA389" s="302">
        <v>42988</v>
      </c>
      <c r="BB389" s="326">
        <v>2</v>
      </c>
      <c r="BC389" s="330">
        <f t="shared" si="510"/>
        <v>2</v>
      </c>
      <c r="BD389" s="332">
        <f t="shared" ca="1" si="511"/>
        <v>146</v>
      </c>
      <c r="BE389" s="321" t="str">
        <f t="shared" ca="1" si="512"/>
        <v>ПОДЛЕЖИТ ВАКЦИНАЦИИ</v>
      </c>
      <c r="BF389" s="306"/>
      <c r="BG389" s="308"/>
      <c r="BH389" s="309" t="str">
        <f t="shared" si="513"/>
        <v>-</v>
      </c>
      <c r="BI389" s="310" t="str">
        <f t="shared" si="514"/>
        <v>-</v>
      </c>
      <c r="BJ389" s="313" t="str">
        <f t="shared" si="515"/>
        <v>-</v>
      </c>
      <c r="BK389" s="306"/>
      <c r="BL389" s="308"/>
      <c r="BM389" s="309" t="str">
        <f t="shared" si="516"/>
        <v>-</v>
      </c>
      <c r="BN389" s="309" t="str">
        <f t="shared" si="517"/>
        <v>-</v>
      </c>
      <c r="BO389" s="311" t="str">
        <f t="shared" si="518"/>
        <v>-</v>
      </c>
      <c r="BP389" s="312" t="str">
        <f t="shared" si="519"/>
        <v>-</v>
      </c>
      <c r="BQ389" s="307"/>
      <c r="BR389" s="308"/>
      <c r="BS389" s="309" t="str">
        <f t="shared" si="520"/>
        <v>-</v>
      </c>
      <c r="BT389" s="310" t="str">
        <f t="shared" si="521"/>
        <v>-</v>
      </c>
      <c r="BU389" s="321" t="str">
        <f t="shared" ca="1" si="522"/>
        <v>-</v>
      </c>
      <c r="BV389" s="306"/>
      <c r="BW389" s="308"/>
      <c r="BX389" s="309" t="str">
        <f t="shared" si="523"/>
        <v>-</v>
      </c>
      <c r="BY389" s="309" t="str">
        <f t="shared" si="524"/>
        <v>-</v>
      </c>
      <c r="BZ389" s="310" t="str">
        <f t="shared" si="525"/>
        <v>-</v>
      </c>
      <c r="CA389" s="313" t="str">
        <f t="shared" si="526"/>
        <v>-</v>
      </c>
      <c r="CB389" s="306"/>
      <c r="CC389" s="308"/>
      <c r="CD389" s="309" t="str">
        <f t="shared" si="527"/>
        <v>-</v>
      </c>
      <c r="CE389" s="311" t="str">
        <f t="shared" si="528"/>
        <v>-</v>
      </c>
      <c r="CF389" s="309" t="str">
        <f t="shared" si="529"/>
        <v>-</v>
      </c>
      <c r="CG389" s="312" t="str">
        <f t="shared" ca="1" si="530"/>
        <v>-</v>
      </c>
      <c r="CH389" s="78"/>
      <c r="CI389" s="308"/>
      <c r="CJ389" s="384">
        <f t="shared" ca="1" si="535"/>
        <v>100</v>
      </c>
      <c r="CK389" s="359" t="str">
        <f t="shared" ca="1" si="536"/>
        <v>-----</v>
      </c>
      <c r="CL389" s="358"/>
      <c r="CM389" s="361" t="str">
        <f t="shared" si="537"/>
        <v>-</v>
      </c>
      <c r="CN389" s="360"/>
      <c r="CO389" s="360"/>
      <c r="CP389" s="360"/>
      <c r="CQ389" s="360"/>
      <c r="CR389" s="384" t="str">
        <f t="shared" ref="CR389" si="539">IF(AND(Y389=1,P389&gt;0),AJ389-14,"----")</f>
        <v>----</v>
      </c>
      <c r="CS389" s="359" t="str">
        <f t="shared" ca="1" si="538"/>
        <v>-----</v>
      </c>
      <c r="CT389" s="358"/>
      <c r="CU389" s="361" t="str">
        <f t="shared" ref="CU389" si="540">IF(CT389&gt;0,B389-CT389,"-")</f>
        <v>-</v>
      </c>
      <c r="CV389" s="360"/>
      <c r="CW389" s="360"/>
      <c r="CX389" s="360"/>
      <c r="CY389" s="569"/>
    </row>
    <row r="390" spans="1:103" s="2" customFormat="1" ht="15.95" customHeight="1" x14ac:dyDescent="0.25">
      <c r="A390" s="77">
        <v>388</v>
      </c>
      <c r="B390" s="84">
        <f ca="1">TODAY()</f>
        <v>43134</v>
      </c>
      <c r="C390" s="29" t="s">
        <v>2547</v>
      </c>
      <c r="D390" s="59" t="s">
        <v>1635</v>
      </c>
      <c r="E390" s="22" t="s">
        <v>1563</v>
      </c>
      <c r="F390" s="27" t="s">
        <v>2713</v>
      </c>
      <c r="G390" s="324"/>
      <c r="H390" s="28" t="s">
        <v>603</v>
      </c>
      <c r="I390" s="20">
        <v>42864</v>
      </c>
      <c r="J390" s="240">
        <f ca="1">(B390-I390)/365</f>
        <v>0.73972602739726023</v>
      </c>
      <c r="K390" s="240">
        <f ca="1">(B390-I390)/30</f>
        <v>9</v>
      </c>
      <c r="L390" s="298">
        <f ca="1">B390-I390</f>
        <v>270</v>
      </c>
      <c r="M390" s="60"/>
      <c r="N390" s="32"/>
      <c r="O390" s="82" t="str">
        <f ca="1">IF(AND(B390&gt;0,N390&gt;0),B390-N390,"-")</f>
        <v>-</v>
      </c>
      <c r="P390" s="19"/>
      <c r="Q390" s="68"/>
      <c r="R390" s="118"/>
      <c r="S390" s="21"/>
      <c r="T390" s="20"/>
      <c r="U390" s="20" t="str">
        <f>IF(AND(Y390&gt;1,T390&gt;0),T390+18,"-")</f>
        <v>-</v>
      </c>
      <c r="V390" s="19" t="str">
        <f ca="1">IF(AND(U390&gt;0,B390&gt;0,Y390&gt;1),B390-U390,"-")</f>
        <v>-</v>
      </c>
      <c r="W390" s="3">
        <v>0</v>
      </c>
      <c r="X390" s="22" t="str">
        <f>IF(AND(N390&gt;0,T390&gt;0),T390-N390,"-")</f>
        <v>-</v>
      </c>
      <c r="Y390" s="22">
        <v>0</v>
      </c>
      <c r="Z390" s="329" t="str">
        <f ca="1">IF(AND(Y390=1,AA390&gt;71,OR(ISBLANK(AB390),AB390=2)),"ПОДЛЕЖИТ ПЕРЕПРОВЕРКЕ","-----")</f>
        <v>-----</v>
      </c>
      <c r="AA390" s="328">
        <f ca="1">IF(AND(O390&gt;-1,W390&gt;0,Y390=1,AB390=1),"-----",B390-T390)</f>
        <v>43134</v>
      </c>
      <c r="AB390" s="19"/>
      <c r="AC390" s="331" t="str">
        <f ca="1">IF(AND(AB390&lt;1,Z390="ПОДЛЕЖИТ ПЕРЕПРОВЕРКЕ",Y390=1),T390+72,"-----")</f>
        <v>-----</v>
      </c>
      <c r="AD390" s="20"/>
      <c r="AE390" s="22" t="str">
        <f ca="1">IF(AND(O390&gt;120,Y390=0,N390&gt;0),"яловая","-")</f>
        <v>-</v>
      </c>
      <c r="AF390" s="20" t="str">
        <f>IF(AND(T390&gt;0,OR(Y390=3,Y390=2)),T390+35,"-")</f>
        <v>-</v>
      </c>
      <c r="AG390" s="94" t="str">
        <f>IF(AND(T390&gt;0,W390&gt;0,Q390&gt;0,OR(Y390=3,Y390=2)),B390-AF390,"---------")</f>
        <v>---------</v>
      </c>
      <c r="AH390" s="21"/>
      <c r="AI390" s="21" t="str">
        <f>IF(AND($T390&gt;0,$N390&gt;0,$Y390=1),$T390+280-90,"-")</f>
        <v>-</v>
      </c>
      <c r="AJ390" s="21" t="str">
        <f>IF(AND(T390&gt;0,Y390=1,N390&gt;0),T390+280-60,"-")</f>
        <v>-</v>
      </c>
      <c r="AK390" s="909">
        <v>42991</v>
      </c>
      <c r="AL390" s="21" t="s">
        <v>617</v>
      </c>
      <c r="AM390" s="21" t="str">
        <f>IF(AND(T390&gt;0,Y390=1),T390+280,"-")</f>
        <v>-</v>
      </c>
      <c r="AN390" s="89" t="str">
        <f ca="1">IF(AND(B390&gt;0,AM390&gt;0,AH390&gt;0,Y390=1),B390-AM390,"-")</f>
        <v>-</v>
      </c>
      <c r="AO390" s="92">
        <v>1</v>
      </c>
      <c r="AP390" s="80" t="str">
        <f ca="1">IF(AND(AE390="яловая",O390&gt;300),"БРАК","-")</f>
        <v>-</v>
      </c>
      <c r="AQ390" s="441"/>
      <c r="AR390" s="22" t="str">
        <f>IF(AND(Y390=1,P390=0),"НЕТЕЛЬ","-")</f>
        <v>-</v>
      </c>
      <c r="AS390" s="234"/>
      <c r="AT390" s="22" t="str">
        <f>IF(AND(N390&gt;0,T390&gt;0,W390&gt;0,Y390=1,AH390&gt;0,AK390&gt;0),"DRY COW","-")</f>
        <v>-</v>
      </c>
      <c r="AU390" s="300"/>
      <c r="AV390" s="429"/>
      <c r="AW390" s="431"/>
      <c r="AX390" s="121" t="str">
        <f>IF(AND(AV390&gt;0,AW390&gt;0),B390-AV390,"-")</f>
        <v>-</v>
      </c>
      <c r="AY390" s="432" t="str">
        <f>IF(AND(AV390&gt;0,AW390&gt;0),(AV390-I390)/30,"-")</f>
        <v>-</v>
      </c>
      <c r="AZ390" s="428" t="str">
        <f ca="1">IF(AND(OR(E390="тёлочка",E390="бычок"),L390&gt;0,BB390&lt;2,L390&lt;60),"ПОДЛЕЖИТ ВАКЦИНАЦИИ","-")</f>
        <v>-</v>
      </c>
      <c r="BA390" s="302">
        <v>42886</v>
      </c>
      <c r="BB390" s="326">
        <v>2</v>
      </c>
      <c r="BC390" s="330">
        <f>IF(AND(BA390&gt;0,BB390=2),BA390-I390,"Ж-Е НЕ ВАКЦ.")</f>
        <v>22</v>
      </c>
      <c r="BD390" s="332">
        <f ca="1">IF(AND(BA390&gt;0,BB390=2),B390-BA390,"-")</f>
        <v>248</v>
      </c>
      <c r="BE390" s="321" t="str">
        <f ca="1">IF(AND(L390&gt;60,BG390&lt;5),"ПОДЛЕЖИТ ВАКЦИНАЦИИ","-")</f>
        <v>-</v>
      </c>
      <c r="BF390" s="307">
        <v>42931</v>
      </c>
      <c r="BG390" s="308">
        <v>5</v>
      </c>
      <c r="BH390" s="309">
        <f ca="1">IF(AND(BF390&gt;0,BG390=5),B390-BF390,"-")</f>
        <v>203</v>
      </c>
      <c r="BI390" s="310" t="str">
        <f ca="1">IF(AND(BG390=5,BH390&gt;20,BL390&lt;5),"ТРЕБУЕТСЯ БУСТЕРНАЯ ДОЗА","-")</f>
        <v>-</v>
      </c>
      <c r="BJ390" s="313">
        <f>IF(AND(BF390&gt;0,BG390=5),BF390+21,"-")</f>
        <v>42952</v>
      </c>
      <c r="BK390" s="307">
        <v>42954</v>
      </c>
      <c r="BL390" s="308">
        <v>5</v>
      </c>
      <c r="BM390" s="309">
        <f ca="1">IF(AND(BK390&gt;0,BL390=5),B390-BK390,"-")</f>
        <v>180</v>
      </c>
      <c r="BN390" s="309">
        <f>IF(AND(BJ390&gt;0,BK390&gt;0,BL390=5),BJ390-BK390,"-")</f>
        <v>-2</v>
      </c>
      <c r="BO390" s="311" t="str">
        <f>IF(AND(BL390=5,BN390=0),"УСПЕШНО","-")</f>
        <v>-</v>
      </c>
      <c r="BP390" s="312" t="str">
        <f ca="1">IF(AND(BF390&gt;0,BG390=5,BK390&gt;0,BL390=5,BM390&gt;240,BR390&lt;5),"НЕОБХОДИМА РЕВАКЦИНАЦИЯ","-")</f>
        <v>-</v>
      </c>
      <c r="BQ390" s="307"/>
      <c r="BR390" s="308"/>
      <c r="BS390" s="309" t="str">
        <f>IF(AND(BQ390&gt;0,BR390=5),N390-BQ390,"-")</f>
        <v>-</v>
      </c>
      <c r="BT390" s="310" t="str">
        <f>IF(AND(BQ390&gt;0,BR390=5,BS390&gt;240),"НЕОБХОДИМА РЕВАКЦИНАЦИЯ","-")</f>
        <v>-</v>
      </c>
      <c r="BU390" s="321" t="str">
        <f ca="1">IF(AND(Y390=1,AN390&gt;-90,BW390&lt;2),"ТРЕБУЕТСЯ ВАКЦИНАЦИЯ","-")</f>
        <v>-</v>
      </c>
      <c r="BV390" s="306"/>
      <c r="BW390" s="308"/>
      <c r="BX390" s="309" t="str">
        <f>IF(AND(BV390&gt;0,BW390=2),BV390-T390,"-")</f>
        <v>-</v>
      </c>
      <c r="BY390" s="309" t="str">
        <f>IF(AND(BV390&gt;0,BW390=2),B390-BV390,"-")</f>
        <v>-</v>
      </c>
      <c r="BZ390" s="310" t="str">
        <f>IF(AND(BW390=2,BY390&gt;20,CC390&lt;2),"ТРЕБУЕТСЯ БУСТЕРНАЯ ДОЗА","-")</f>
        <v>-</v>
      </c>
      <c r="CA390" s="313" t="str">
        <f>IF(AND(BV390&gt;0,BW390=2),BV390+21,"-")</f>
        <v>-</v>
      </c>
      <c r="CB390" s="306"/>
      <c r="CC390" s="308"/>
      <c r="CD390" s="309" t="str">
        <f>IF(AND(CA390&gt;0,CB390&gt;0,CC390=2),CB390-CA390,"-")</f>
        <v>-</v>
      </c>
      <c r="CE390" s="311" t="str">
        <f>IF(AND(CC390=2,CD390=0),"УСПЕШНО","-")</f>
        <v>-</v>
      </c>
      <c r="CF390" s="309" t="str">
        <f>IF(AND(CB390&gt;0,CC390=2),CB390-T390,"-")</f>
        <v>-</v>
      </c>
      <c r="CG390" s="312" t="str">
        <f ca="1">IF(AND(BV390&gt;0,BW390=2,CB390&gt;0,CC390=2,Y390=1,AN390&gt;-50,CI390&lt;2),"ТРЕБУЕТСЯ РЕВАКЦИНАЦИЯ","-")</f>
        <v>-</v>
      </c>
      <c r="CH390" s="78"/>
      <c r="CI390" s="308"/>
      <c r="CJ390" s="384">
        <f ca="1">IF(O390&gt;90,N390+100,"-----")</f>
        <v>100</v>
      </c>
      <c r="CK390" s="359" t="str">
        <f ca="1">IF(AND(O390&gt;99,ISBLANK(CL390),CM390&lt;100),"ПОДЛЕЖИТ ОБРАБОТКЕ","-----")</f>
        <v>-----</v>
      </c>
      <c r="CL390" s="358"/>
      <c r="CM390" s="361" t="str">
        <f>IF(CL390&gt;0,B390-CL390,"-")</f>
        <v>-</v>
      </c>
      <c r="CN390" s="360"/>
      <c r="CO390" s="360"/>
      <c r="CP390" s="360"/>
      <c r="CQ390" s="360"/>
      <c r="CR390" s="384" t="str">
        <f>IF(AND(Y390=1,P390&gt;0),AJ390-14,"----")</f>
        <v>----</v>
      </c>
      <c r="CS390" s="359" t="str">
        <f ca="1">IF(AND(Y390=1,AN390&gt;-205,ISBLANK(CT390),CU390&lt;100),"ПОДЛЕЖИТ ОБРАБОТКЕ","-----")</f>
        <v>-----</v>
      </c>
      <c r="CT390" s="358"/>
      <c r="CU390" s="361" t="str">
        <f>IF(CT390&gt;0,B390-CT390,"-")</f>
        <v>-</v>
      </c>
      <c r="CV390" s="360"/>
      <c r="CW390" s="360"/>
      <c r="CX390" s="360"/>
      <c r="CY390" s="569"/>
    </row>
    <row r="391" spans="1:103" s="1" customFormat="1" ht="25.5" x14ac:dyDescent="0.25">
      <c r="A391" s="77">
        <v>389</v>
      </c>
      <c r="B391" s="84">
        <f ca="1">TODAY()</f>
        <v>43134</v>
      </c>
      <c r="C391" s="29" t="s">
        <v>2584</v>
      </c>
      <c r="D391" s="59" t="s">
        <v>2915</v>
      </c>
      <c r="E391" s="22" t="s">
        <v>1563</v>
      </c>
      <c r="F391" s="27" t="s">
        <v>1796</v>
      </c>
      <c r="G391" s="324"/>
      <c r="H391" s="28" t="s">
        <v>603</v>
      </c>
      <c r="I391" s="20">
        <v>42407</v>
      </c>
      <c r="J391" s="240">
        <f ca="1">(B391-I391)/365</f>
        <v>1.9917808219178081</v>
      </c>
      <c r="K391" s="240">
        <f ca="1">(B391-I391)/30</f>
        <v>24.233333333333334</v>
      </c>
      <c r="L391" s="298">
        <f ca="1">B391-I391</f>
        <v>727</v>
      </c>
      <c r="M391" s="60"/>
      <c r="N391" s="32"/>
      <c r="O391" s="82" t="str">
        <f ca="1">IF(AND(B391&gt;0,N391&gt;0),B391-N391,"-")</f>
        <v>-</v>
      </c>
      <c r="P391" s="19"/>
      <c r="Q391" s="68"/>
      <c r="R391" s="118"/>
      <c r="S391" s="21"/>
      <c r="T391" s="20"/>
      <c r="U391" s="20" t="str">
        <f>IF(AND(Y391&gt;1,T391&gt;0),T391+18,"-")</f>
        <v>-</v>
      </c>
      <c r="V391" s="19" t="str">
        <f ca="1">IF(AND(U391&gt;0,B391&gt;0,Y391&gt;1),B391-U391,"-")</f>
        <v>-</v>
      </c>
      <c r="W391" s="3">
        <v>0</v>
      </c>
      <c r="X391" s="22" t="str">
        <f>IF(AND(N391&gt;0,T391&gt;0),T391-N391,"-")</f>
        <v>-</v>
      </c>
      <c r="Y391" s="22">
        <v>0</v>
      </c>
      <c r="Z391" s="329" t="str">
        <f ca="1">IF(AND(Y391=1,AA391&gt;71,OR(ISBLANK(AB391),AB391=2)),"ПОДЛЕЖИТ ПЕРЕПРОВЕРКЕ","-----")</f>
        <v>-----</v>
      </c>
      <c r="AA391" s="328">
        <f ca="1">IF(AND(O391&gt;-1,W391&gt;0,Y391=1,AB391=1),"-----",B391-T391)</f>
        <v>43134</v>
      </c>
      <c r="AB391" s="19"/>
      <c r="AC391" s="331" t="str">
        <f ca="1">IF(AND(AB391&lt;1,Z391="ПОДЛЕЖИТ ПЕРЕПРОВЕРКЕ",Y391=1),T391+72,"-----")</f>
        <v>-----</v>
      </c>
      <c r="AD391" s="20"/>
      <c r="AE391" s="22" t="str">
        <f ca="1">IF(AND(O391&gt;120,Y391=0,N391&gt;0),"яловая","-")</f>
        <v>-</v>
      </c>
      <c r="AF391" s="20" t="str">
        <f>IF(AND(T391&gt;0,OR(Y391=3,Y391=2)),T391+35,"-")</f>
        <v>-</v>
      </c>
      <c r="AG391" s="94" t="str">
        <f>IF(AND(T391&gt;0,W391&gt;0,Q391&gt;0,OR(Y391=3,Y391=2)),B391-AF391,"---------")</f>
        <v>---------</v>
      </c>
      <c r="AH391" s="21"/>
      <c r="AI391" s="21" t="str">
        <f>IF(AND($T391&gt;0,$N391&gt;0,$Y391=1),$T391+280-90,"-")</f>
        <v>-</v>
      </c>
      <c r="AJ391" s="21" t="str">
        <f>IF(AND(T391&gt;0,Y391=1,N391&gt;0),T391+280-60,"-")</f>
        <v>-</v>
      </c>
      <c r="AK391" s="909">
        <v>42991</v>
      </c>
      <c r="AL391" s="21" t="s">
        <v>3139</v>
      </c>
      <c r="AM391" s="21" t="str">
        <f>IF(AND(T391&gt;0,Y391=1),T391+280,"-")</f>
        <v>-</v>
      </c>
      <c r="AN391" s="89" t="str">
        <f ca="1">IF(AND(B391&gt;0,AM391&gt;0,AH391&gt;0,Y391=1),B391-AM391,"-")</f>
        <v>-</v>
      </c>
      <c r="AO391" s="92">
        <v>1</v>
      </c>
      <c r="AP391" s="80" t="str">
        <f ca="1">IF(AND(AE391="яловая",O391&gt;300),"БРАК","-")</f>
        <v>-</v>
      </c>
      <c r="AQ391" s="441" t="s">
        <v>3035</v>
      </c>
      <c r="AR391" s="22" t="str">
        <f>IF(AND(Y391=1,P391=0),"НЕТЕЛЬ","-")</f>
        <v>-</v>
      </c>
      <c r="AS391" s="234"/>
      <c r="AT391" s="22" t="str">
        <f>IF(AND(N391&gt;0,T391&gt;0,W391&gt;0,Y391=1,AH391&gt;0,AK391&gt;0),"DRY COW","-")</f>
        <v>-</v>
      </c>
      <c r="AU391" s="300"/>
      <c r="AV391" s="429"/>
      <c r="AW391" s="431"/>
      <c r="AX391" s="121" t="str">
        <f>IF(AND(AV391&gt;0,AW391&gt;0),B391-AV391,"-")</f>
        <v>-</v>
      </c>
      <c r="AY391" s="432" t="str">
        <f>IF(AND(AV391&gt;0,AW391&gt;0),(AV391-I391)/30,"-")</f>
        <v>-</v>
      </c>
      <c r="AZ391" s="428" t="str">
        <f ca="1">IF(AND(OR(E391="тёлочка",E391="бычок"),L391&gt;0,BB391&lt;2,L391&lt;60),"ПОДЛЕЖИТ ВАКЦИНАЦИИ","-")</f>
        <v>-</v>
      </c>
      <c r="BA391" s="121"/>
      <c r="BB391" s="326"/>
      <c r="BC391" s="330" t="str">
        <f>IF(AND(BA391&gt;0,BB391=2),BA391-I391,"Ж-Е НЕ ВАКЦ.")</f>
        <v>Ж-Е НЕ ВАКЦ.</v>
      </c>
      <c r="BD391" s="332" t="str">
        <f>IF(AND(BA391&gt;0,BB391=2),B391-BA391,"-")</f>
        <v>-</v>
      </c>
      <c r="BE391" s="321" t="str">
        <f ca="1">IF(AND(L391&gt;60,BG391&lt;5),"ПОДЛЕЖИТ ВАКЦИНАЦИИ","-")</f>
        <v>-</v>
      </c>
      <c r="BF391" s="307">
        <v>42891</v>
      </c>
      <c r="BG391" s="308">
        <v>5</v>
      </c>
      <c r="BH391" s="309">
        <f ca="1">IF(AND(BF391&gt;0,BG391=5),B391-BF391,"-")</f>
        <v>243</v>
      </c>
      <c r="BI391" s="310" t="str">
        <f ca="1">IF(AND(BG391=5,BH391&gt;20,BL391&lt;5),"ТРЕБУЕТСЯ БУСТЕРНАЯ ДОЗА","-")</f>
        <v>-</v>
      </c>
      <c r="BJ391" s="313">
        <f>IF(AND(BF391&gt;0,BG391=5),BF391+21,"-")</f>
        <v>42912</v>
      </c>
      <c r="BK391" s="307">
        <v>42912</v>
      </c>
      <c r="BL391" s="308">
        <v>5</v>
      </c>
      <c r="BM391" s="309">
        <f ca="1">IF(AND(BK391&gt;0,BL391=5),B391-BK391,"-")</f>
        <v>222</v>
      </c>
      <c r="BN391" s="309">
        <f>IF(AND(BJ391&gt;0,BK391&gt;0,BL391=5),BJ391-BK391,"-")</f>
        <v>0</v>
      </c>
      <c r="BO391" s="311" t="str">
        <f>IF(AND(BL391=5,BN391=0),"УСПЕШНО","-")</f>
        <v>УСПЕШНО</v>
      </c>
      <c r="BP391" s="312" t="str">
        <f ca="1">IF(AND(BF391&gt;0,BG391=5,BK391&gt;0,BL391=5,BM391&gt;240,BR391&lt;5),"НЕОБХОДИМА РЕВАКЦИНАЦИЯ","-")</f>
        <v>-</v>
      </c>
      <c r="BQ391" s="307"/>
      <c r="BR391" s="308"/>
      <c r="BS391" s="309" t="str">
        <f>IF(AND(BQ391&gt;0,BR391=5),N391-BQ391,"-")</f>
        <v>-</v>
      </c>
      <c r="BT391" s="310" t="str">
        <f>IF(AND(BQ391&gt;0,BR391=5,BS391&gt;240),"НЕОБХОДИМА РЕВАКЦИНАЦИЯ","-")</f>
        <v>-</v>
      </c>
      <c r="BU391" s="321" t="str">
        <f ca="1">IF(AND(Y391=1,AN391&gt;-90,BW391&lt;2),"ТРЕБУЕТСЯ ВАКЦИНАЦИЯ","-")</f>
        <v>-</v>
      </c>
      <c r="BV391" s="306"/>
      <c r="BW391" s="308"/>
      <c r="BX391" s="309" t="str">
        <f>IF(AND(BV391&gt;0,BW391=2),BV391-T391,"-")</f>
        <v>-</v>
      </c>
      <c r="BY391" s="309" t="str">
        <f>IF(AND(BV391&gt;0,BW391=2),B391-BV391,"-")</f>
        <v>-</v>
      </c>
      <c r="BZ391" s="310" t="str">
        <f>IF(AND(BW391=2,BY391&gt;20,CC391&lt;2),"ТРЕБУЕТСЯ БУСТЕРНАЯ ДОЗА","-")</f>
        <v>-</v>
      </c>
      <c r="CA391" s="313" t="str">
        <f>IF(AND(BV391&gt;0,BW391=2),BV391+21,"-")</f>
        <v>-</v>
      </c>
      <c r="CB391" s="306"/>
      <c r="CC391" s="308"/>
      <c r="CD391" s="309" t="str">
        <f>IF(AND(CA391&gt;0,CB391&gt;0,CC391=2),CB391-CA391,"-")</f>
        <v>-</v>
      </c>
      <c r="CE391" s="311" t="str">
        <f>IF(AND(CC391=2,CD391=0),"УСПЕШНО","-")</f>
        <v>-</v>
      </c>
      <c r="CF391" s="309" t="str">
        <f>IF(AND(CB391&gt;0,CC391=2),CB391-T391,"-")</f>
        <v>-</v>
      </c>
      <c r="CG391" s="312" t="str">
        <f ca="1">IF(AND(BV391&gt;0,BW391=2,CB391&gt;0,CC391=2,Y391=1,AN391&gt;-50,CI391&lt;2),"ТРЕБУЕТСЯ РЕВАКЦИНАЦИЯ","-")</f>
        <v>-</v>
      </c>
      <c r="CH391" s="78"/>
      <c r="CI391" s="308"/>
      <c r="CJ391" s="384">
        <f ca="1">IF(O391&gt;90,N391+100,"-----")</f>
        <v>100</v>
      </c>
      <c r="CK391" s="359" t="str">
        <f ca="1">IF(AND(O391&gt;99,ISBLANK(CL391),CM391&lt;100),"ПОДЛЕЖИТ ОБРАБОТКЕ","-----")</f>
        <v>-----</v>
      </c>
      <c r="CL391" s="358"/>
      <c r="CM391" s="361" t="str">
        <f>IF(CL391&gt;0,B391-CL391,"-")</f>
        <v>-</v>
      </c>
      <c r="CN391" s="360"/>
      <c r="CO391" s="360"/>
      <c r="CP391" s="360"/>
      <c r="CQ391" s="360"/>
      <c r="CR391" s="384" t="str">
        <f>IF(AND(Y391=1,P391&gt;0),AJ391-14,"----")</f>
        <v>----</v>
      </c>
      <c r="CS391" s="359" t="str">
        <f ca="1">IF(AND(Y391=1,AN391&gt;-205,ISBLANK(CT391),CU391&lt;100),"ПОДЛЕЖИТ ОБРАБОТКЕ","-----")</f>
        <v>-----</v>
      </c>
      <c r="CT391" s="358"/>
      <c r="CU391" s="361" t="str">
        <f>IF(CT391&gt;0,B391-CT391,"-")</f>
        <v>-</v>
      </c>
      <c r="CV391" s="360"/>
      <c r="CW391" s="360"/>
      <c r="CX391" s="360"/>
      <c r="CY391" s="569"/>
    </row>
    <row r="392" spans="1:103" s="1" customFormat="1" ht="25.5" x14ac:dyDescent="0.25">
      <c r="A392" s="77">
        <v>390</v>
      </c>
      <c r="B392" s="84">
        <f t="shared" ref="B392" ca="1" si="541">TODAY()</f>
        <v>43134</v>
      </c>
      <c r="C392" s="29" t="s">
        <v>2546</v>
      </c>
      <c r="D392" s="59" t="s">
        <v>1555</v>
      </c>
      <c r="E392" s="22" t="s">
        <v>1557</v>
      </c>
      <c r="F392" s="27" t="s">
        <v>3138</v>
      </c>
      <c r="G392" s="323"/>
      <c r="H392" s="28" t="s">
        <v>603</v>
      </c>
      <c r="I392" s="20">
        <v>42990</v>
      </c>
      <c r="J392" s="35">
        <f t="shared" ref="J392" ca="1" si="542">(B392-I392)/365</f>
        <v>0.39452054794520547</v>
      </c>
      <c r="K392" s="35">
        <f t="shared" ref="K392" ca="1" si="543">(B392-I392)/30</f>
        <v>4.8</v>
      </c>
      <c r="L392" s="299">
        <f t="shared" ref="L392" ca="1" si="544">B392-I392</f>
        <v>144</v>
      </c>
      <c r="M392" s="60"/>
      <c r="N392" s="32"/>
      <c r="O392" s="82" t="str">
        <f t="shared" ref="O392" ca="1" si="545">IF(AND(B392&gt;0,N392&gt;0),B392-N392,"-")</f>
        <v>-</v>
      </c>
      <c r="P392" s="19"/>
      <c r="Q392" s="68"/>
      <c r="R392" s="118"/>
      <c r="S392" s="21"/>
      <c r="T392" s="20"/>
      <c r="U392" s="20" t="str">
        <f t="shared" ref="U392" si="546">IF(AND(Y392&gt;1,T392&gt;0),T392+18,"-")</f>
        <v>-</v>
      </c>
      <c r="V392" s="19" t="str">
        <f t="shared" ref="V392" ca="1" si="547">IF(AND(U392&gt;0,B392&gt;0,Y392&gt;1),B392-U392,"-")</f>
        <v>-</v>
      </c>
      <c r="W392" s="3"/>
      <c r="X392" s="22" t="str">
        <f t="shared" ref="X392" si="548">IF(AND(N392&gt;0,T392&gt;0),T392-N392,"-")</f>
        <v>-</v>
      </c>
      <c r="Y392" s="22"/>
      <c r="Z392" s="329" t="str">
        <f t="shared" ref="Z392" ca="1" si="549">IF(AND(Y392=1,AA392&gt;71,OR(ISBLANK(AB392),AB392=2)),"ПОДЛЕЖИТ ПЕРЕПРОВЕРКЕ","-----")</f>
        <v>-----</v>
      </c>
      <c r="AA392" s="328">
        <f t="shared" ref="AA392" ca="1" si="550">IF(AND(O392&gt;-1,W392&gt;0,Y392=1,AB392=1),"-----",B392-T392)</f>
        <v>43134</v>
      </c>
      <c r="AB392" s="19"/>
      <c r="AC392" s="331" t="str">
        <f t="shared" ref="AC392" ca="1" si="551">IF(AND(AB392&lt;1,Z392="ПОДЛЕЖИТ ПЕРЕПРОВЕРКЕ",Y392=1),T392+72,"-----")</f>
        <v>-----</v>
      </c>
      <c r="AD392" s="20"/>
      <c r="AE392" s="22" t="str">
        <f t="shared" ref="AE392" ca="1" si="552">IF(AND(O392&gt;120,Y392=0,N392&gt;0),"яловая","-")</f>
        <v>-</v>
      </c>
      <c r="AF392" s="20" t="str">
        <f t="shared" ref="AF392" si="553">IF(AND(T392&gt;0,OR(Y392=3,Y392=2)),T392+35,"-")</f>
        <v>-</v>
      </c>
      <c r="AG392" s="94" t="str">
        <f t="shared" ref="AG392" si="554">IF(AND(T392&gt;0,W392&gt;0,Q392&gt;0,OR(Y392=3,Y392=2)),B392-AF392,"---------")</f>
        <v>---------</v>
      </c>
      <c r="AH392" s="21"/>
      <c r="AI392" s="21" t="str">
        <f t="shared" ref="AI392" si="555">IF(AND($T392&gt;0,$N392&gt;0,$Y392=1),$T392+280-90,"-")</f>
        <v>-</v>
      </c>
      <c r="AJ392" s="21" t="str">
        <f t="shared" ref="AJ392" si="556">IF(AND(T392&gt;0,Y392=1,N392&gt;0),T392+280-60,"-")</f>
        <v>-</v>
      </c>
      <c r="AK392" s="909">
        <v>42992</v>
      </c>
      <c r="AL392" s="21" t="s">
        <v>1614</v>
      </c>
      <c r="AM392" s="21" t="str">
        <f t="shared" ref="AM392" si="557">IF(AND(T392&gt;0,Y392=1),T392+280,"-")</f>
        <v>-</v>
      </c>
      <c r="AN392" s="89" t="str">
        <f t="shared" ref="AN392" ca="1" si="558">IF(AND(B392&gt;0,AM392&gt;0,AH392&gt;0,Y392=1),B392-AM392,"-")</f>
        <v>-</v>
      </c>
      <c r="AO392" s="92"/>
      <c r="AP392" s="80" t="str">
        <f t="shared" ref="AP392" ca="1" si="559">IF(AND(AE392="яловая",O392&gt;300),"БРАК","-")</f>
        <v>-</v>
      </c>
      <c r="AQ392" s="441"/>
      <c r="AR392" s="22" t="str">
        <f t="shared" ref="AR392" si="560">IF(AND(Y392=1,P392=0),"НЕТЕЛЬ","-")</f>
        <v>-</v>
      </c>
      <c r="AS392" s="234"/>
      <c r="AT392" s="22" t="str">
        <f t="shared" ref="AT392" si="561">IF(AND(N392&gt;0,T392&gt;0,W392&gt;0,Y392=1,AH392&gt;0,AK392&gt;0),"DRY COW","-")</f>
        <v>-</v>
      </c>
      <c r="AU392" s="300"/>
      <c r="AV392" s="429"/>
      <c r="AW392" s="431"/>
      <c r="AX392" s="121" t="str">
        <f t="shared" ref="AX392" si="562">IF(AND(AV392&gt;0,AW392&gt;0),B392-AV392,"-")</f>
        <v>-</v>
      </c>
      <c r="AY392" s="432" t="str">
        <f t="shared" ref="AY392" si="563">IF(AND(AV392&gt;0,AW392&gt;0),(AV392-I392)/30,"-")</f>
        <v>-</v>
      </c>
      <c r="AZ392" s="428" t="str">
        <f t="shared" ref="AZ392" ca="1" si="564">IF(AND(OR(E392="тёлочка",E392="бычок"),L392&gt;0,BB392&lt;2,L392&lt;60),"ПОДЛЕЖИТ ВАКЦИНАЦИИ","-")</f>
        <v>-</v>
      </c>
      <c r="BA392" s="121"/>
      <c r="BB392" s="326"/>
      <c r="BC392" s="330" t="str">
        <f t="shared" ref="BC392" si="565">IF(AND(BA392&gt;0,BB392=2),BA392-I392,"Ж-Е НЕ ВАКЦ.")</f>
        <v>Ж-Е НЕ ВАКЦ.</v>
      </c>
      <c r="BD392" s="332" t="str">
        <f t="shared" ref="BD392" si="566">IF(AND(BA392&gt;0,BB392=2),B392-BA392,"-")</f>
        <v>-</v>
      </c>
      <c r="BE392" s="321" t="str">
        <f t="shared" ref="BE392" ca="1" si="567">IF(AND(L392&gt;60,BG392&lt;5),"ПОДЛЕЖИТ ВАКЦИНАЦИИ","-")</f>
        <v>ПОДЛЕЖИТ ВАКЦИНАЦИИ</v>
      </c>
      <c r="BF392" s="306"/>
      <c r="BG392" s="308"/>
      <c r="BH392" s="309" t="str">
        <f t="shared" ref="BH392" si="568">IF(AND(BF392&gt;0,BG392=5),B392-BF392,"-")</f>
        <v>-</v>
      </c>
      <c r="BI392" s="310" t="str">
        <f t="shared" ref="BI392" si="569">IF(AND(BG392=5,BH392&gt;20,BL392&lt;5),"ТРЕБУЕТСЯ БУСТЕРНАЯ ДОЗА","-")</f>
        <v>-</v>
      </c>
      <c r="BJ392" s="313" t="str">
        <f t="shared" ref="BJ392" si="570">IF(AND(BF392&gt;0,BG392=5),BF392+21,"-")</f>
        <v>-</v>
      </c>
      <c r="BK392" s="306"/>
      <c r="BL392" s="308"/>
      <c r="BM392" s="309" t="str">
        <f t="shared" ref="BM392" si="571">IF(AND(BK392&gt;0,BL392=5),B392-BK392,"-")</f>
        <v>-</v>
      </c>
      <c r="BN392" s="309" t="str">
        <f t="shared" ref="BN392" si="572">IF(AND(BJ392&gt;0,BK392&gt;0,BL392=5),BJ392-BK392,"-")</f>
        <v>-</v>
      </c>
      <c r="BO392" s="311" t="str">
        <f t="shared" ref="BO392" si="573">IF(AND(BL392=5,BN392=0),"УСПЕШНО","-")</f>
        <v>-</v>
      </c>
      <c r="BP392" s="312" t="str">
        <f t="shared" ref="BP392" si="574">IF(AND(BF392&gt;0,BG392=5,BK392&gt;0,BL392=5,BM392&gt;240,BR392&lt;5),"НЕОБХОДИМА РЕВАКЦИНАЦИЯ","-")</f>
        <v>-</v>
      </c>
      <c r="BQ392" s="307"/>
      <c r="BR392" s="308"/>
      <c r="BS392" s="309" t="str">
        <f t="shared" ref="BS392" si="575">IF(AND(BQ392&gt;0,BR392=5),N392-BQ392,"-")</f>
        <v>-</v>
      </c>
      <c r="BT392" s="310" t="str">
        <f t="shared" ref="BT392" si="576">IF(AND(BQ392&gt;0,BR392=5,BS392&gt;240),"НЕОБХОДИМА РЕВАКЦИНАЦИЯ","-")</f>
        <v>-</v>
      </c>
      <c r="BU392" s="321" t="str">
        <f t="shared" ref="BU392" ca="1" si="577">IF(AND(Y392=1,AN392&gt;-90,BW392&lt;2),"ТРЕБУЕТСЯ ВАКЦИНАЦИЯ","-")</f>
        <v>-</v>
      </c>
      <c r="BV392" s="306"/>
      <c r="BW392" s="308"/>
      <c r="BX392" s="309" t="str">
        <f t="shared" ref="BX392" si="578">IF(AND(BV392&gt;0,BW392=2),BV392-T392,"-")</f>
        <v>-</v>
      </c>
      <c r="BY392" s="309" t="str">
        <f t="shared" ref="BY392" si="579">IF(AND(BV392&gt;0,BW392=2),B392-BV392,"-")</f>
        <v>-</v>
      </c>
      <c r="BZ392" s="310" t="str">
        <f t="shared" ref="BZ392" si="580">IF(AND(BW392=2,BY392&gt;20,CC392&lt;2),"ТРЕБУЕТСЯ БУСТЕРНАЯ ДОЗА","-")</f>
        <v>-</v>
      </c>
      <c r="CA392" s="313" t="str">
        <f t="shared" ref="CA392" si="581">IF(AND(BV392&gt;0,BW392=2),BV392+21,"-")</f>
        <v>-</v>
      </c>
      <c r="CB392" s="306"/>
      <c r="CC392" s="308"/>
      <c r="CD392" s="309" t="str">
        <f t="shared" ref="CD392" si="582">IF(AND(CA392&gt;0,CB392&gt;0,CC392=2),CB392-CA392,"-")</f>
        <v>-</v>
      </c>
      <c r="CE392" s="311" t="str">
        <f t="shared" ref="CE392" si="583">IF(AND(CC392=2,CD392=0),"УСПЕШНО","-")</f>
        <v>-</v>
      </c>
      <c r="CF392" s="309" t="str">
        <f t="shared" ref="CF392" si="584">IF(AND(CB392&gt;0,CC392=2),CB392-T392,"-")</f>
        <v>-</v>
      </c>
      <c r="CG392" s="312" t="str">
        <f t="shared" ref="CG392" ca="1" si="585">IF(AND(BV392&gt;0,BW392=2,CB392&gt;0,CC392=2,Y392=1,AN392&gt;-50,CI392&lt;2),"ТРЕБУЕТСЯ РЕВАКЦИНАЦИЯ","-")</f>
        <v>-</v>
      </c>
      <c r="CH392" s="78"/>
      <c r="CI392" s="308"/>
      <c r="CJ392" s="384">
        <f t="shared" ref="CJ392" ca="1" si="586">IF(O392&gt;90,N392+100,"-----")</f>
        <v>100</v>
      </c>
      <c r="CK392" s="359" t="str">
        <f t="shared" ref="CK392" ca="1" si="587">IF(AND(O392&gt;99,ISBLANK(CL392),CM392&lt;100),"ПОДЛЕЖИТ ОБРАБОТКЕ","-----")</f>
        <v>-----</v>
      </c>
      <c r="CL392" s="358"/>
      <c r="CM392" s="361" t="str">
        <f t="shared" ref="CM392" si="588">IF(CL392&gt;0,B392-CL392,"-")</f>
        <v>-</v>
      </c>
      <c r="CN392" s="360"/>
      <c r="CO392" s="360"/>
      <c r="CP392" s="360"/>
      <c r="CQ392" s="360"/>
      <c r="CR392" s="384" t="str">
        <f t="shared" ref="CR392" si="589">IF(AND(Y392=1,P392&gt;0),AJ392-14,"----")</f>
        <v>----</v>
      </c>
      <c r="CS392" s="359" t="str">
        <f t="shared" ref="CS392" ca="1" si="590">IF(AND(Y392=1,AN392&gt;-205,ISBLANK(CT392),CU392&lt;100),"ПОДЛЕЖИТ ОБРАБОТКЕ","-----")</f>
        <v>-----</v>
      </c>
      <c r="CT392" s="358"/>
      <c r="CU392" s="361" t="str">
        <f t="shared" ref="CU392" si="591">IF(CT392&gt;0,B392-CT392,"-")</f>
        <v>-</v>
      </c>
      <c r="CV392" s="360"/>
      <c r="CW392" s="360"/>
      <c r="CX392" s="360"/>
      <c r="CY392" s="569"/>
    </row>
    <row r="393" spans="1:103" s="1" customFormat="1" ht="25.5" x14ac:dyDescent="0.25">
      <c r="A393" s="77">
        <v>391</v>
      </c>
      <c r="B393" s="84">
        <f t="shared" ref="B393:B402" ca="1" si="592">TODAY()</f>
        <v>43134</v>
      </c>
      <c r="C393" s="29" t="s">
        <v>2546</v>
      </c>
      <c r="D393" s="59" t="s">
        <v>1555</v>
      </c>
      <c r="E393" s="22" t="s">
        <v>1557</v>
      </c>
      <c r="F393" s="27" t="s">
        <v>3142</v>
      </c>
      <c r="G393" s="323"/>
      <c r="H393" s="28" t="s">
        <v>603</v>
      </c>
      <c r="I393" s="20">
        <v>42992</v>
      </c>
      <c r="J393" s="35">
        <f t="shared" ref="J393:J402" ca="1" si="593">(B393-I393)/365</f>
        <v>0.38904109589041097</v>
      </c>
      <c r="K393" s="35">
        <f t="shared" ref="K393:K402" ca="1" si="594">(B393-I393)/30</f>
        <v>4.7333333333333334</v>
      </c>
      <c r="L393" s="299">
        <f t="shared" ref="L393:L402" ca="1" si="595">B393-I393</f>
        <v>142</v>
      </c>
      <c r="M393" s="60"/>
      <c r="N393" s="32"/>
      <c r="O393" s="82" t="str">
        <f t="shared" ref="O393:O402" ca="1" si="596">IF(AND(B393&gt;0,N393&gt;0),B393-N393,"-")</f>
        <v>-</v>
      </c>
      <c r="P393" s="19"/>
      <c r="Q393" s="68"/>
      <c r="R393" s="118"/>
      <c r="S393" s="21"/>
      <c r="T393" s="20"/>
      <c r="U393" s="20" t="str">
        <f t="shared" ref="U393:U402" si="597">IF(AND(Y393&gt;1,T393&gt;0),T393+18,"-")</f>
        <v>-</v>
      </c>
      <c r="V393" s="19" t="str">
        <f t="shared" ref="V393:V402" ca="1" si="598">IF(AND(U393&gt;0,B393&gt;0,Y393&gt;1),B393-U393,"-")</f>
        <v>-</v>
      </c>
      <c r="W393" s="3"/>
      <c r="X393" s="22" t="str">
        <f t="shared" ref="X393:X402" si="599">IF(AND(N393&gt;0,T393&gt;0),T393-N393,"-")</f>
        <v>-</v>
      </c>
      <c r="Y393" s="22"/>
      <c r="Z393" s="329" t="str">
        <f t="shared" ref="Z393:Z402" ca="1" si="600">IF(AND(Y393=1,AA393&gt;71,OR(ISBLANK(AB393),AB393=2)),"ПОДЛЕЖИТ ПЕРЕПРОВЕРКЕ","-----")</f>
        <v>-----</v>
      </c>
      <c r="AA393" s="328">
        <f t="shared" ref="AA393:AA402" ca="1" si="601">IF(AND(O393&gt;-1,W393&gt;0,Y393=1,AB393=1),"-----",B393-T393)</f>
        <v>43134</v>
      </c>
      <c r="AB393" s="19"/>
      <c r="AC393" s="331" t="str">
        <f t="shared" ref="AC393:AC402" ca="1" si="602">IF(AND(AB393&lt;1,Z393="ПОДЛЕЖИТ ПЕРЕПРОВЕРКЕ",Y393=1),T393+72,"-----")</f>
        <v>-----</v>
      </c>
      <c r="AD393" s="20"/>
      <c r="AE393" s="22" t="str">
        <f t="shared" ref="AE393:AE402" ca="1" si="603">IF(AND(O393&gt;120,Y393=0,N393&gt;0),"яловая","-")</f>
        <v>-</v>
      </c>
      <c r="AF393" s="20" t="str">
        <f t="shared" ref="AF393:AF402" si="604">IF(AND(T393&gt;0,OR(Y393=3,Y393=2)),T393+35,"-")</f>
        <v>-</v>
      </c>
      <c r="AG393" s="94" t="str">
        <f t="shared" ref="AG393:AG402" si="605">IF(AND(T393&gt;0,W393&gt;0,Q393&gt;0,OR(Y393=3,Y393=2)),B393-AF393,"---------")</f>
        <v>---------</v>
      </c>
      <c r="AH393" s="21"/>
      <c r="AI393" s="21" t="str">
        <f t="shared" ref="AI393:AI402" si="606">IF(AND($T393&gt;0,$N393&gt;0,$Y393=1),$T393+280-90,"-")</f>
        <v>-</v>
      </c>
      <c r="AJ393" s="21" t="str">
        <f t="shared" ref="AJ393:AJ402" si="607">IF(AND(T393&gt;0,Y393=1,N393&gt;0),T393+280-60,"-")</f>
        <v>-</v>
      </c>
      <c r="AK393" s="909">
        <v>42996</v>
      </c>
      <c r="AL393" s="21" t="s">
        <v>1614</v>
      </c>
      <c r="AM393" s="21" t="str">
        <f t="shared" ref="AM393:AM402" si="608">IF(AND(T393&gt;0,Y393=1),T393+280,"-")</f>
        <v>-</v>
      </c>
      <c r="AN393" s="89" t="str">
        <f t="shared" ref="AN393:AN402" ca="1" si="609">IF(AND(B393&gt;0,AM393&gt;0,AH393&gt;0,Y393=1),B393-AM393,"-")</f>
        <v>-</v>
      </c>
      <c r="AO393" s="92"/>
      <c r="AP393" s="80" t="str">
        <f t="shared" ref="AP393:AP402" ca="1" si="610">IF(AND(AE393="яловая",O393&gt;300),"БРАК","-")</f>
        <v>-</v>
      </c>
      <c r="AQ393" s="441"/>
      <c r="AR393" s="22" t="str">
        <f t="shared" ref="AR393:AR402" si="611">IF(AND(Y393=1,P393=0),"НЕТЕЛЬ","-")</f>
        <v>-</v>
      </c>
      <c r="AS393" s="234"/>
      <c r="AT393" s="22" t="str">
        <f t="shared" ref="AT393:AT402" si="612">IF(AND(N393&gt;0,T393&gt;0,W393&gt;0,Y393=1,AH393&gt;0,AK393&gt;0),"DRY COW","-")</f>
        <v>-</v>
      </c>
      <c r="AU393" s="300"/>
      <c r="AV393" s="429"/>
      <c r="AW393" s="431"/>
      <c r="AX393" s="121" t="str">
        <f t="shared" ref="AX393:AX402" si="613">IF(AND(AV393&gt;0,AW393&gt;0),B393-AV393,"-")</f>
        <v>-</v>
      </c>
      <c r="AY393" s="432" t="str">
        <f t="shared" ref="AY393:AY402" si="614">IF(AND(AV393&gt;0,AW393&gt;0),(AV393-I393)/30,"-")</f>
        <v>-</v>
      </c>
      <c r="AZ393" s="428" t="str">
        <f t="shared" ref="AZ393:AZ402" ca="1" si="615">IF(AND(OR(E393="тёлочка",E393="бычок"),L393&gt;0,BB393&lt;2,L393&lt;60),"ПОДЛЕЖИТ ВАКЦИНАЦИИ","-")</f>
        <v>-</v>
      </c>
      <c r="BA393" s="121"/>
      <c r="BB393" s="326"/>
      <c r="BC393" s="330" t="str">
        <f t="shared" ref="BC393:BC402" si="616">IF(AND(BA393&gt;0,BB393=2),BA393-I393,"Ж-Е НЕ ВАКЦ.")</f>
        <v>Ж-Е НЕ ВАКЦ.</v>
      </c>
      <c r="BD393" s="332" t="str">
        <f t="shared" ref="BD393:BD402" si="617">IF(AND(BA393&gt;0,BB393=2),B393-BA393,"-")</f>
        <v>-</v>
      </c>
      <c r="BE393" s="321" t="str">
        <f t="shared" ref="BE393:BE402" ca="1" si="618">IF(AND(L393&gt;60,BG393&lt;5),"ПОДЛЕЖИТ ВАКЦИНАЦИИ","-")</f>
        <v>ПОДЛЕЖИТ ВАКЦИНАЦИИ</v>
      </c>
      <c r="BF393" s="306"/>
      <c r="BG393" s="308"/>
      <c r="BH393" s="309" t="str">
        <f t="shared" ref="BH393:BH402" si="619">IF(AND(BF393&gt;0,BG393=5),B393-BF393,"-")</f>
        <v>-</v>
      </c>
      <c r="BI393" s="310" t="str">
        <f t="shared" ref="BI393:BI402" si="620">IF(AND(BG393=5,BH393&gt;20,BL393&lt;5),"ТРЕБУЕТСЯ БУСТЕРНАЯ ДОЗА","-")</f>
        <v>-</v>
      </c>
      <c r="BJ393" s="313" t="str">
        <f t="shared" ref="BJ393:BJ402" si="621">IF(AND(BF393&gt;0,BG393=5),BF393+21,"-")</f>
        <v>-</v>
      </c>
      <c r="BK393" s="306"/>
      <c r="BL393" s="308"/>
      <c r="BM393" s="309" t="str">
        <f t="shared" ref="BM393:BM402" si="622">IF(AND(BK393&gt;0,BL393=5),B393-BK393,"-")</f>
        <v>-</v>
      </c>
      <c r="BN393" s="309" t="str">
        <f t="shared" ref="BN393:BN402" si="623">IF(AND(BJ393&gt;0,BK393&gt;0,BL393=5),BJ393-BK393,"-")</f>
        <v>-</v>
      </c>
      <c r="BO393" s="311" t="str">
        <f t="shared" ref="BO393:BO402" si="624">IF(AND(BL393=5,BN393=0),"УСПЕШНО","-")</f>
        <v>-</v>
      </c>
      <c r="BP393" s="312" t="str">
        <f t="shared" ref="BP393:BP402" si="625">IF(AND(BF393&gt;0,BG393=5,BK393&gt;0,BL393=5,BM393&gt;240,BR393&lt;5),"НЕОБХОДИМА РЕВАКЦИНАЦИЯ","-")</f>
        <v>-</v>
      </c>
      <c r="BQ393" s="307"/>
      <c r="BR393" s="308"/>
      <c r="BS393" s="309" t="str">
        <f t="shared" ref="BS393:BS402" si="626">IF(AND(BQ393&gt;0,BR393=5),N393-BQ393,"-")</f>
        <v>-</v>
      </c>
      <c r="BT393" s="310" t="str">
        <f t="shared" ref="BT393:BT402" si="627">IF(AND(BQ393&gt;0,BR393=5,BS393&gt;240),"НЕОБХОДИМА РЕВАКЦИНАЦИЯ","-")</f>
        <v>-</v>
      </c>
      <c r="BU393" s="321" t="str">
        <f t="shared" ref="BU393:BU402" ca="1" si="628">IF(AND(Y393=1,AN393&gt;-90,BW393&lt;2),"ТРЕБУЕТСЯ ВАКЦИНАЦИЯ","-")</f>
        <v>-</v>
      </c>
      <c r="BV393" s="306"/>
      <c r="BW393" s="308"/>
      <c r="BX393" s="309" t="str">
        <f t="shared" ref="BX393:BX402" si="629">IF(AND(BV393&gt;0,BW393=2),BV393-T393,"-")</f>
        <v>-</v>
      </c>
      <c r="BY393" s="309" t="str">
        <f t="shared" ref="BY393:BY402" si="630">IF(AND(BV393&gt;0,BW393=2),B393-BV393,"-")</f>
        <v>-</v>
      </c>
      <c r="BZ393" s="310" t="str">
        <f t="shared" ref="BZ393:BZ402" si="631">IF(AND(BW393=2,BY393&gt;20,CC393&lt;2),"ТРЕБУЕТСЯ БУСТЕРНАЯ ДОЗА","-")</f>
        <v>-</v>
      </c>
      <c r="CA393" s="313" t="str">
        <f t="shared" ref="CA393:CA402" si="632">IF(AND(BV393&gt;0,BW393=2),BV393+21,"-")</f>
        <v>-</v>
      </c>
      <c r="CB393" s="306"/>
      <c r="CC393" s="308"/>
      <c r="CD393" s="309" t="str">
        <f t="shared" ref="CD393:CD402" si="633">IF(AND(CA393&gt;0,CB393&gt;0,CC393=2),CB393-CA393,"-")</f>
        <v>-</v>
      </c>
      <c r="CE393" s="311" t="str">
        <f t="shared" ref="CE393:CE402" si="634">IF(AND(CC393=2,CD393=0),"УСПЕШНО","-")</f>
        <v>-</v>
      </c>
      <c r="CF393" s="309" t="str">
        <f t="shared" ref="CF393:CF402" si="635">IF(AND(CB393&gt;0,CC393=2),CB393-T393,"-")</f>
        <v>-</v>
      </c>
      <c r="CG393" s="312" t="str">
        <f t="shared" ref="CG393:CG402" ca="1" si="636">IF(AND(BV393&gt;0,BW393=2,CB393&gt;0,CC393=2,Y393=1,AN393&gt;-50,CI393&lt;2),"ТРЕБУЕТСЯ РЕВАКЦИНАЦИЯ","-")</f>
        <v>-</v>
      </c>
      <c r="CH393" s="78"/>
      <c r="CI393" s="308"/>
      <c r="CJ393" s="384">
        <f t="shared" ref="CJ393:CJ402" ca="1" si="637">IF(O393&gt;90,N393+100,"-----")</f>
        <v>100</v>
      </c>
      <c r="CK393" s="359" t="str">
        <f t="shared" ref="CK393:CK402" ca="1" si="638">IF(AND(O393&gt;99,ISBLANK(CL393),CM393&lt;100),"ПОДЛЕЖИТ ОБРАБОТКЕ","-----")</f>
        <v>-----</v>
      </c>
      <c r="CL393" s="358"/>
      <c r="CM393" s="361" t="str">
        <f t="shared" ref="CM393:CM402" si="639">IF(CL393&gt;0,B393-CL393,"-")</f>
        <v>-</v>
      </c>
      <c r="CN393" s="360"/>
      <c r="CO393" s="360"/>
      <c r="CP393" s="360"/>
      <c r="CQ393" s="360"/>
      <c r="CR393" s="384" t="str">
        <f t="shared" ref="CR393:CR402" si="640">IF(AND(Y393=1,P393&gt;0),AJ393-14,"----")</f>
        <v>----</v>
      </c>
      <c r="CS393" s="359" t="str">
        <f t="shared" ref="CS393:CS402" ca="1" si="641">IF(AND(Y393=1,AN393&gt;-205,ISBLANK(CT393),CU393&lt;100),"ПОДЛЕЖИТ ОБРАБОТКЕ","-----")</f>
        <v>-----</v>
      </c>
      <c r="CT393" s="358"/>
      <c r="CU393" s="361" t="str">
        <f t="shared" ref="CU393:CU402" si="642">IF(CT393&gt;0,B393-CT393,"-")</f>
        <v>-</v>
      </c>
      <c r="CV393" s="360"/>
      <c r="CW393" s="360"/>
      <c r="CX393" s="360"/>
      <c r="CY393" s="569"/>
    </row>
    <row r="394" spans="1:103" s="1" customFormat="1" ht="25.5" x14ac:dyDescent="0.25">
      <c r="A394" s="77">
        <v>392</v>
      </c>
      <c r="B394" s="84">
        <f t="shared" ca="1" si="592"/>
        <v>43134</v>
      </c>
      <c r="C394" s="29" t="s">
        <v>2546</v>
      </c>
      <c r="D394" s="59" t="s">
        <v>1555</v>
      </c>
      <c r="E394" s="22" t="s">
        <v>1557</v>
      </c>
      <c r="F394" s="27" t="s">
        <v>3148</v>
      </c>
      <c r="G394" s="323"/>
      <c r="H394" s="28" t="s">
        <v>603</v>
      </c>
      <c r="I394" s="20">
        <v>42994</v>
      </c>
      <c r="J394" s="35">
        <f t="shared" ca="1" si="593"/>
        <v>0.38356164383561642</v>
      </c>
      <c r="K394" s="35">
        <f t="shared" ca="1" si="594"/>
        <v>4.666666666666667</v>
      </c>
      <c r="L394" s="299">
        <f t="shared" ca="1" si="595"/>
        <v>140</v>
      </c>
      <c r="M394" s="60"/>
      <c r="N394" s="32"/>
      <c r="O394" s="82" t="str">
        <f t="shared" ca="1" si="596"/>
        <v>-</v>
      </c>
      <c r="P394" s="19"/>
      <c r="Q394" s="68"/>
      <c r="R394" s="118"/>
      <c r="S394" s="21"/>
      <c r="T394" s="20"/>
      <c r="U394" s="20" t="str">
        <f t="shared" si="597"/>
        <v>-</v>
      </c>
      <c r="V394" s="19" t="str">
        <f t="shared" ca="1" si="598"/>
        <v>-</v>
      </c>
      <c r="W394" s="3"/>
      <c r="X394" s="22" t="str">
        <f t="shared" si="599"/>
        <v>-</v>
      </c>
      <c r="Y394" s="22"/>
      <c r="Z394" s="329" t="str">
        <f t="shared" ca="1" si="600"/>
        <v>-----</v>
      </c>
      <c r="AA394" s="328">
        <f t="shared" ca="1" si="601"/>
        <v>43134</v>
      </c>
      <c r="AB394" s="19"/>
      <c r="AC394" s="331" t="str">
        <f t="shared" ca="1" si="602"/>
        <v>-----</v>
      </c>
      <c r="AD394" s="20"/>
      <c r="AE394" s="22" t="str">
        <f t="shared" ca="1" si="603"/>
        <v>-</v>
      </c>
      <c r="AF394" s="20" t="str">
        <f t="shared" si="604"/>
        <v>-</v>
      </c>
      <c r="AG394" s="94" t="str">
        <f t="shared" si="605"/>
        <v>---------</v>
      </c>
      <c r="AH394" s="21"/>
      <c r="AI394" s="21" t="str">
        <f t="shared" si="606"/>
        <v>-</v>
      </c>
      <c r="AJ394" s="21" t="str">
        <f t="shared" si="607"/>
        <v>-</v>
      </c>
      <c r="AK394" s="909">
        <v>42996</v>
      </c>
      <c r="AL394" s="21" t="s">
        <v>1614</v>
      </c>
      <c r="AM394" s="21" t="str">
        <f t="shared" si="608"/>
        <v>-</v>
      </c>
      <c r="AN394" s="89" t="str">
        <f t="shared" ca="1" si="609"/>
        <v>-</v>
      </c>
      <c r="AO394" s="92"/>
      <c r="AP394" s="80" t="str">
        <f t="shared" ca="1" si="610"/>
        <v>-</v>
      </c>
      <c r="AQ394" s="441"/>
      <c r="AR394" s="22" t="str">
        <f t="shared" si="611"/>
        <v>-</v>
      </c>
      <c r="AS394" s="234"/>
      <c r="AT394" s="22" t="str">
        <f t="shared" si="612"/>
        <v>-</v>
      </c>
      <c r="AU394" s="300"/>
      <c r="AV394" s="429"/>
      <c r="AW394" s="431"/>
      <c r="AX394" s="121" t="str">
        <f t="shared" si="613"/>
        <v>-</v>
      </c>
      <c r="AY394" s="432" t="str">
        <f t="shared" si="614"/>
        <v>-</v>
      </c>
      <c r="AZ394" s="428" t="str">
        <f t="shared" ca="1" si="615"/>
        <v>-</v>
      </c>
      <c r="BA394" s="121"/>
      <c r="BB394" s="326"/>
      <c r="BC394" s="330" t="str">
        <f t="shared" si="616"/>
        <v>Ж-Е НЕ ВАКЦ.</v>
      </c>
      <c r="BD394" s="332" t="str">
        <f t="shared" si="617"/>
        <v>-</v>
      </c>
      <c r="BE394" s="321" t="str">
        <f t="shared" ca="1" si="618"/>
        <v>ПОДЛЕЖИТ ВАКЦИНАЦИИ</v>
      </c>
      <c r="BF394" s="306"/>
      <c r="BG394" s="308"/>
      <c r="BH394" s="309" t="str">
        <f t="shared" si="619"/>
        <v>-</v>
      </c>
      <c r="BI394" s="310" t="str">
        <f t="shared" si="620"/>
        <v>-</v>
      </c>
      <c r="BJ394" s="313" t="str">
        <f t="shared" si="621"/>
        <v>-</v>
      </c>
      <c r="BK394" s="306"/>
      <c r="BL394" s="308"/>
      <c r="BM394" s="309" t="str">
        <f t="shared" si="622"/>
        <v>-</v>
      </c>
      <c r="BN394" s="309" t="str">
        <f t="shared" si="623"/>
        <v>-</v>
      </c>
      <c r="BO394" s="311" t="str">
        <f t="shared" si="624"/>
        <v>-</v>
      </c>
      <c r="BP394" s="312" t="str">
        <f t="shared" si="625"/>
        <v>-</v>
      </c>
      <c r="BQ394" s="307"/>
      <c r="BR394" s="308"/>
      <c r="BS394" s="309" t="str">
        <f t="shared" si="626"/>
        <v>-</v>
      </c>
      <c r="BT394" s="310" t="str">
        <f t="shared" si="627"/>
        <v>-</v>
      </c>
      <c r="BU394" s="321" t="str">
        <f t="shared" ca="1" si="628"/>
        <v>-</v>
      </c>
      <c r="BV394" s="306"/>
      <c r="BW394" s="308"/>
      <c r="BX394" s="309" t="str">
        <f t="shared" si="629"/>
        <v>-</v>
      </c>
      <c r="BY394" s="309" t="str">
        <f t="shared" si="630"/>
        <v>-</v>
      </c>
      <c r="BZ394" s="310" t="str">
        <f t="shared" si="631"/>
        <v>-</v>
      </c>
      <c r="CA394" s="313" t="str">
        <f t="shared" si="632"/>
        <v>-</v>
      </c>
      <c r="CB394" s="306"/>
      <c r="CC394" s="308"/>
      <c r="CD394" s="309" t="str">
        <f t="shared" si="633"/>
        <v>-</v>
      </c>
      <c r="CE394" s="311" t="str">
        <f t="shared" si="634"/>
        <v>-</v>
      </c>
      <c r="CF394" s="309" t="str">
        <f t="shared" si="635"/>
        <v>-</v>
      </c>
      <c r="CG394" s="312" t="str">
        <f t="shared" ca="1" si="636"/>
        <v>-</v>
      </c>
      <c r="CH394" s="78"/>
      <c r="CI394" s="308"/>
      <c r="CJ394" s="384">
        <f t="shared" ca="1" si="637"/>
        <v>100</v>
      </c>
      <c r="CK394" s="359" t="str">
        <f t="shared" ca="1" si="638"/>
        <v>-----</v>
      </c>
      <c r="CL394" s="358"/>
      <c r="CM394" s="361" t="str">
        <f t="shared" si="639"/>
        <v>-</v>
      </c>
      <c r="CN394" s="360"/>
      <c r="CO394" s="360"/>
      <c r="CP394" s="360"/>
      <c r="CQ394" s="360"/>
      <c r="CR394" s="384" t="str">
        <f t="shared" si="640"/>
        <v>----</v>
      </c>
      <c r="CS394" s="359" t="str">
        <f t="shared" ca="1" si="641"/>
        <v>-----</v>
      </c>
      <c r="CT394" s="358"/>
      <c r="CU394" s="361" t="str">
        <f t="shared" si="642"/>
        <v>-</v>
      </c>
      <c r="CV394" s="360"/>
      <c r="CW394" s="360"/>
      <c r="CX394" s="360"/>
      <c r="CY394" s="569"/>
    </row>
    <row r="395" spans="1:103" s="1" customFormat="1" ht="25.5" x14ac:dyDescent="0.25">
      <c r="A395" s="77">
        <v>393</v>
      </c>
      <c r="B395" s="84">
        <f t="shared" ca="1" si="592"/>
        <v>43134</v>
      </c>
      <c r="C395" s="29" t="s">
        <v>2546</v>
      </c>
      <c r="D395" s="59" t="s">
        <v>1555</v>
      </c>
      <c r="E395" s="22" t="s">
        <v>1557</v>
      </c>
      <c r="F395" s="27" t="s">
        <v>3144</v>
      </c>
      <c r="G395" s="323"/>
      <c r="H395" s="28" t="s">
        <v>603</v>
      </c>
      <c r="I395" s="20">
        <v>42994</v>
      </c>
      <c r="J395" s="35">
        <f t="shared" ca="1" si="593"/>
        <v>0.38356164383561642</v>
      </c>
      <c r="K395" s="35">
        <f t="shared" ca="1" si="594"/>
        <v>4.666666666666667</v>
      </c>
      <c r="L395" s="299">
        <f t="shared" ca="1" si="595"/>
        <v>140</v>
      </c>
      <c r="M395" s="60"/>
      <c r="N395" s="32"/>
      <c r="O395" s="82" t="str">
        <f t="shared" ca="1" si="596"/>
        <v>-</v>
      </c>
      <c r="P395" s="19"/>
      <c r="Q395" s="68"/>
      <c r="R395" s="118"/>
      <c r="S395" s="21"/>
      <c r="T395" s="20"/>
      <c r="U395" s="20" t="str">
        <f t="shared" si="597"/>
        <v>-</v>
      </c>
      <c r="V395" s="19" t="str">
        <f t="shared" ca="1" si="598"/>
        <v>-</v>
      </c>
      <c r="W395" s="3"/>
      <c r="X395" s="22" t="str">
        <f t="shared" si="599"/>
        <v>-</v>
      </c>
      <c r="Y395" s="22"/>
      <c r="Z395" s="329" t="str">
        <f t="shared" ca="1" si="600"/>
        <v>-----</v>
      </c>
      <c r="AA395" s="328">
        <f t="shared" ca="1" si="601"/>
        <v>43134</v>
      </c>
      <c r="AB395" s="19"/>
      <c r="AC395" s="331" t="str">
        <f t="shared" ca="1" si="602"/>
        <v>-----</v>
      </c>
      <c r="AD395" s="20"/>
      <c r="AE395" s="22" t="str">
        <f t="shared" ca="1" si="603"/>
        <v>-</v>
      </c>
      <c r="AF395" s="20" t="str">
        <f t="shared" si="604"/>
        <v>-</v>
      </c>
      <c r="AG395" s="94" t="str">
        <f t="shared" si="605"/>
        <v>---------</v>
      </c>
      <c r="AH395" s="21"/>
      <c r="AI395" s="21" t="str">
        <f t="shared" si="606"/>
        <v>-</v>
      </c>
      <c r="AJ395" s="21" t="str">
        <f t="shared" si="607"/>
        <v>-</v>
      </c>
      <c r="AK395" s="909">
        <v>42998</v>
      </c>
      <c r="AL395" s="21" t="s">
        <v>1614</v>
      </c>
      <c r="AM395" s="21" t="str">
        <f t="shared" si="608"/>
        <v>-</v>
      </c>
      <c r="AN395" s="89" t="str">
        <f t="shared" ca="1" si="609"/>
        <v>-</v>
      </c>
      <c r="AO395" s="92"/>
      <c r="AP395" s="80" t="str">
        <f t="shared" ca="1" si="610"/>
        <v>-</v>
      </c>
      <c r="AQ395" s="441"/>
      <c r="AR395" s="22" t="str">
        <f t="shared" si="611"/>
        <v>-</v>
      </c>
      <c r="AS395" s="234"/>
      <c r="AT395" s="22" t="str">
        <f t="shared" si="612"/>
        <v>-</v>
      </c>
      <c r="AU395" s="300"/>
      <c r="AV395" s="429"/>
      <c r="AW395" s="431"/>
      <c r="AX395" s="121" t="str">
        <f t="shared" si="613"/>
        <v>-</v>
      </c>
      <c r="AY395" s="432" t="str">
        <f t="shared" si="614"/>
        <v>-</v>
      </c>
      <c r="AZ395" s="428" t="str">
        <f t="shared" ca="1" si="615"/>
        <v>-</v>
      </c>
      <c r="BA395" s="121"/>
      <c r="BB395" s="326"/>
      <c r="BC395" s="330" t="str">
        <f t="shared" si="616"/>
        <v>Ж-Е НЕ ВАКЦ.</v>
      </c>
      <c r="BD395" s="332" t="str">
        <f t="shared" si="617"/>
        <v>-</v>
      </c>
      <c r="BE395" s="321" t="str">
        <f t="shared" ca="1" si="618"/>
        <v>ПОДЛЕЖИТ ВАКЦИНАЦИИ</v>
      </c>
      <c r="BF395" s="306"/>
      <c r="BG395" s="308"/>
      <c r="BH395" s="309" t="str">
        <f t="shared" si="619"/>
        <v>-</v>
      </c>
      <c r="BI395" s="310" t="str">
        <f t="shared" si="620"/>
        <v>-</v>
      </c>
      <c r="BJ395" s="313" t="str">
        <f t="shared" si="621"/>
        <v>-</v>
      </c>
      <c r="BK395" s="306"/>
      <c r="BL395" s="308"/>
      <c r="BM395" s="309" t="str">
        <f t="shared" si="622"/>
        <v>-</v>
      </c>
      <c r="BN395" s="309" t="str">
        <f t="shared" si="623"/>
        <v>-</v>
      </c>
      <c r="BO395" s="311" t="str">
        <f t="shared" si="624"/>
        <v>-</v>
      </c>
      <c r="BP395" s="312" t="str">
        <f t="shared" si="625"/>
        <v>-</v>
      </c>
      <c r="BQ395" s="307"/>
      <c r="BR395" s="308"/>
      <c r="BS395" s="309" t="str">
        <f t="shared" si="626"/>
        <v>-</v>
      </c>
      <c r="BT395" s="310" t="str">
        <f t="shared" si="627"/>
        <v>-</v>
      </c>
      <c r="BU395" s="321" t="str">
        <f t="shared" ca="1" si="628"/>
        <v>-</v>
      </c>
      <c r="BV395" s="306"/>
      <c r="BW395" s="308"/>
      <c r="BX395" s="309" t="str">
        <f t="shared" si="629"/>
        <v>-</v>
      </c>
      <c r="BY395" s="309" t="str">
        <f t="shared" si="630"/>
        <v>-</v>
      </c>
      <c r="BZ395" s="310" t="str">
        <f t="shared" si="631"/>
        <v>-</v>
      </c>
      <c r="CA395" s="313" t="str">
        <f t="shared" si="632"/>
        <v>-</v>
      </c>
      <c r="CB395" s="306"/>
      <c r="CC395" s="308"/>
      <c r="CD395" s="309" t="str">
        <f t="shared" si="633"/>
        <v>-</v>
      </c>
      <c r="CE395" s="311" t="str">
        <f t="shared" si="634"/>
        <v>-</v>
      </c>
      <c r="CF395" s="309" t="str">
        <f t="shared" si="635"/>
        <v>-</v>
      </c>
      <c r="CG395" s="312" t="str">
        <f t="shared" ca="1" si="636"/>
        <v>-</v>
      </c>
      <c r="CH395" s="78"/>
      <c r="CI395" s="308"/>
      <c r="CJ395" s="384">
        <f t="shared" ca="1" si="637"/>
        <v>100</v>
      </c>
      <c r="CK395" s="359" t="str">
        <f t="shared" ca="1" si="638"/>
        <v>-----</v>
      </c>
      <c r="CL395" s="358"/>
      <c r="CM395" s="361" t="str">
        <f t="shared" si="639"/>
        <v>-</v>
      </c>
      <c r="CN395" s="360"/>
      <c r="CO395" s="360"/>
      <c r="CP395" s="360"/>
      <c r="CQ395" s="360"/>
      <c r="CR395" s="384" t="str">
        <f t="shared" si="640"/>
        <v>----</v>
      </c>
      <c r="CS395" s="359" t="str">
        <f t="shared" ca="1" si="641"/>
        <v>-----</v>
      </c>
      <c r="CT395" s="358"/>
      <c r="CU395" s="361" t="str">
        <f t="shared" si="642"/>
        <v>-</v>
      </c>
      <c r="CV395" s="360"/>
      <c r="CW395" s="360"/>
      <c r="CX395" s="360"/>
      <c r="CY395" s="569"/>
    </row>
    <row r="396" spans="1:103" s="1" customFormat="1" ht="25.5" x14ac:dyDescent="0.25">
      <c r="A396" s="77">
        <v>394</v>
      </c>
      <c r="B396" s="84">
        <f t="shared" ca="1" si="592"/>
        <v>43134</v>
      </c>
      <c r="C396" s="29" t="s">
        <v>2546</v>
      </c>
      <c r="D396" s="59" t="s">
        <v>1555</v>
      </c>
      <c r="E396" s="22" t="s">
        <v>1557</v>
      </c>
      <c r="F396" s="27" t="s">
        <v>3145</v>
      </c>
      <c r="G396" s="323"/>
      <c r="H396" s="28" t="s">
        <v>603</v>
      </c>
      <c r="I396" s="20">
        <v>42994</v>
      </c>
      <c r="J396" s="35">
        <f t="shared" ca="1" si="593"/>
        <v>0.38356164383561642</v>
      </c>
      <c r="K396" s="35">
        <f t="shared" ca="1" si="594"/>
        <v>4.666666666666667</v>
      </c>
      <c r="L396" s="299">
        <f t="shared" ca="1" si="595"/>
        <v>140</v>
      </c>
      <c r="M396" s="60"/>
      <c r="N396" s="32"/>
      <c r="O396" s="82" t="str">
        <f t="shared" ca="1" si="596"/>
        <v>-</v>
      </c>
      <c r="P396" s="19"/>
      <c r="Q396" s="68"/>
      <c r="R396" s="118"/>
      <c r="S396" s="21"/>
      <c r="T396" s="20"/>
      <c r="U396" s="20" t="str">
        <f t="shared" si="597"/>
        <v>-</v>
      </c>
      <c r="V396" s="19" t="str">
        <f t="shared" ca="1" si="598"/>
        <v>-</v>
      </c>
      <c r="W396" s="3"/>
      <c r="X396" s="22" t="str">
        <f t="shared" si="599"/>
        <v>-</v>
      </c>
      <c r="Y396" s="22"/>
      <c r="Z396" s="329" t="str">
        <f t="shared" ca="1" si="600"/>
        <v>-----</v>
      </c>
      <c r="AA396" s="328">
        <f t="shared" ca="1" si="601"/>
        <v>43134</v>
      </c>
      <c r="AB396" s="19"/>
      <c r="AC396" s="331" t="str">
        <f t="shared" ca="1" si="602"/>
        <v>-----</v>
      </c>
      <c r="AD396" s="20"/>
      <c r="AE396" s="22" t="str">
        <f t="shared" ca="1" si="603"/>
        <v>-</v>
      </c>
      <c r="AF396" s="20" t="str">
        <f t="shared" si="604"/>
        <v>-</v>
      </c>
      <c r="AG396" s="94" t="str">
        <f t="shared" si="605"/>
        <v>---------</v>
      </c>
      <c r="AH396" s="21"/>
      <c r="AI396" s="21" t="str">
        <f t="shared" si="606"/>
        <v>-</v>
      </c>
      <c r="AJ396" s="21" t="str">
        <f t="shared" si="607"/>
        <v>-</v>
      </c>
      <c r="AK396" s="909">
        <v>42998</v>
      </c>
      <c r="AL396" s="21" t="s">
        <v>1614</v>
      </c>
      <c r="AM396" s="21" t="str">
        <f t="shared" si="608"/>
        <v>-</v>
      </c>
      <c r="AN396" s="89" t="str">
        <f t="shared" ca="1" si="609"/>
        <v>-</v>
      </c>
      <c r="AO396" s="92"/>
      <c r="AP396" s="80" t="str">
        <f t="shared" ca="1" si="610"/>
        <v>-</v>
      </c>
      <c r="AQ396" s="441"/>
      <c r="AR396" s="22" t="str">
        <f t="shared" si="611"/>
        <v>-</v>
      </c>
      <c r="AS396" s="234"/>
      <c r="AT396" s="22" t="str">
        <f t="shared" si="612"/>
        <v>-</v>
      </c>
      <c r="AU396" s="300"/>
      <c r="AV396" s="429"/>
      <c r="AW396" s="431"/>
      <c r="AX396" s="121" t="str">
        <f t="shared" si="613"/>
        <v>-</v>
      </c>
      <c r="AY396" s="432" t="str">
        <f t="shared" si="614"/>
        <v>-</v>
      </c>
      <c r="AZ396" s="428" t="str">
        <f t="shared" ca="1" si="615"/>
        <v>-</v>
      </c>
      <c r="BA396" s="121"/>
      <c r="BB396" s="326"/>
      <c r="BC396" s="330" t="str">
        <f t="shared" si="616"/>
        <v>Ж-Е НЕ ВАКЦ.</v>
      </c>
      <c r="BD396" s="332" t="str">
        <f t="shared" si="617"/>
        <v>-</v>
      </c>
      <c r="BE396" s="321" t="str">
        <f t="shared" ca="1" si="618"/>
        <v>ПОДЛЕЖИТ ВАКЦИНАЦИИ</v>
      </c>
      <c r="BF396" s="306"/>
      <c r="BG396" s="308"/>
      <c r="BH396" s="309" t="str">
        <f t="shared" si="619"/>
        <v>-</v>
      </c>
      <c r="BI396" s="310" t="str">
        <f t="shared" si="620"/>
        <v>-</v>
      </c>
      <c r="BJ396" s="313" t="str">
        <f t="shared" si="621"/>
        <v>-</v>
      </c>
      <c r="BK396" s="306"/>
      <c r="BL396" s="308"/>
      <c r="BM396" s="309" t="str">
        <f t="shared" si="622"/>
        <v>-</v>
      </c>
      <c r="BN396" s="309" t="str">
        <f t="shared" si="623"/>
        <v>-</v>
      </c>
      <c r="BO396" s="311" t="str">
        <f t="shared" si="624"/>
        <v>-</v>
      </c>
      <c r="BP396" s="312" t="str">
        <f t="shared" si="625"/>
        <v>-</v>
      </c>
      <c r="BQ396" s="307"/>
      <c r="BR396" s="308"/>
      <c r="BS396" s="309" t="str">
        <f t="shared" si="626"/>
        <v>-</v>
      </c>
      <c r="BT396" s="310" t="str">
        <f t="shared" si="627"/>
        <v>-</v>
      </c>
      <c r="BU396" s="321" t="str">
        <f t="shared" ca="1" si="628"/>
        <v>-</v>
      </c>
      <c r="BV396" s="306"/>
      <c r="BW396" s="308"/>
      <c r="BX396" s="309" t="str">
        <f t="shared" si="629"/>
        <v>-</v>
      </c>
      <c r="BY396" s="309" t="str">
        <f t="shared" si="630"/>
        <v>-</v>
      </c>
      <c r="BZ396" s="310" t="str">
        <f t="shared" si="631"/>
        <v>-</v>
      </c>
      <c r="CA396" s="313" t="str">
        <f t="shared" si="632"/>
        <v>-</v>
      </c>
      <c r="CB396" s="306"/>
      <c r="CC396" s="308"/>
      <c r="CD396" s="309" t="str">
        <f t="shared" si="633"/>
        <v>-</v>
      </c>
      <c r="CE396" s="311" t="str">
        <f t="shared" si="634"/>
        <v>-</v>
      </c>
      <c r="CF396" s="309" t="str">
        <f t="shared" si="635"/>
        <v>-</v>
      </c>
      <c r="CG396" s="312" t="str">
        <f t="shared" ca="1" si="636"/>
        <v>-</v>
      </c>
      <c r="CH396" s="78"/>
      <c r="CI396" s="308"/>
      <c r="CJ396" s="384">
        <f t="shared" ca="1" si="637"/>
        <v>100</v>
      </c>
      <c r="CK396" s="359" t="str">
        <f t="shared" ca="1" si="638"/>
        <v>-----</v>
      </c>
      <c r="CL396" s="358"/>
      <c r="CM396" s="361" t="str">
        <f t="shared" si="639"/>
        <v>-</v>
      </c>
      <c r="CN396" s="360"/>
      <c r="CO396" s="360"/>
      <c r="CP396" s="360"/>
      <c r="CQ396" s="360"/>
      <c r="CR396" s="384" t="str">
        <f t="shared" si="640"/>
        <v>----</v>
      </c>
      <c r="CS396" s="359" t="str">
        <f t="shared" ca="1" si="641"/>
        <v>-----</v>
      </c>
      <c r="CT396" s="358"/>
      <c r="CU396" s="361" t="str">
        <f t="shared" si="642"/>
        <v>-</v>
      </c>
      <c r="CV396" s="360"/>
      <c r="CW396" s="360"/>
      <c r="CX396" s="360"/>
      <c r="CY396" s="569"/>
    </row>
    <row r="397" spans="1:103" s="1" customFormat="1" ht="25.5" x14ac:dyDescent="0.25">
      <c r="A397" s="77">
        <v>395</v>
      </c>
      <c r="B397" s="84">
        <f t="shared" ca="1" si="592"/>
        <v>43134</v>
      </c>
      <c r="C397" s="29" t="s">
        <v>2546</v>
      </c>
      <c r="D397" s="59" t="s">
        <v>1555</v>
      </c>
      <c r="E397" s="22" t="s">
        <v>1557</v>
      </c>
      <c r="F397" s="27" t="s">
        <v>3147</v>
      </c>
      <c r="G397" s="323"/>
      <c r="H397" s="28" t="s">
        <v>603</v>
      </c>
      <c r="I397" s="20">
        <v>42994</v>
      </c>
      <c r="J397" s="35">
        <f t="shared" ca="1" si="593"/>
        <v>0.38356164383561642</v>
      </c>
      <c r="K397" s="35">
        <f t="shared" ca="1" si="594"/>
        <v>4.666666666666667</v>
      </c>
      <c r="L397" s="299">
        <f t="shared" ca="1" si="595"/>
        <v>140</v>
      </c>
      <c r="M397" s="60"/>
      <c r="N397" s="32"/>
      <c r="O397" s="82" t="str">
        <f t="shared" ca="1" si="596"/>
        <v>-</v>
      </c>
      <c r="P397" s="19"/>
      <c r="Q397" s="68"/>
      <c r="R397" s="118"/>
      <c r="S397" s="21"/>
      <c r="T397" s="20"/>
      <c r="U397" s="20" t="str">
        <f t="shared" si="597"/>
        <v>-</v>
      </c>
      <c r="V397" s="19" t="str">
        <f t="shared" ca="1" si="598"/>
        <v>-</v>
      </c>
      <c r="W397" s="3"/>
      <c r="X397" s="22" t="str">
        <f t="shared" si="599"/>
        <v>-</v>
      </c>
      <c r="Y397" s="22"/>
      <c r="Z397" s="329" t="str">
        <f t="shared" ca="1" si="600"/>
        <v>-----</v>
      </c>
      <c r="AA397" s="328">
        <f t="shared" ca="1" si="601"/>
        <v>43134</v>
      </c>
      <c r="AB397" s="19"/>
      <c r="AC397" s="331" t="str">
        <f t="shared" ca="1" si="602"/>
        <v>-----</v>
      </c>
      <c r="AD397" s="20"/>
      <c r="AE397" s="22" t="str">
        <f t="shared" ca="1" si="603"/>
        <v>-</v>
      </c>
      <c r="AF397" s="20" t="str">
        <f t="shared" si="604"/>
        <v>-</v>
      </c>
      <c r="AG397" s="94" t="str">
        <f t="shared" si="605"/>
        <v>---------</v>
      </c>
      <c r="AH397" s="21"/>
      <c r="AI397" s="21" t="str">
        <f t="shared" si="606"/>
        <v>-</v>
      </c>
      <c r="AJ397" s="21" t="str">
        <f t="shared" si="607"/>
        <v>-</v>
      </c>
      <c r="AK397" s="909">
        <v>42998</v>
      </c>
      <c r="AL397" s="21" t="s">
        <v>1614</v>
      </c>
      <c r="AM397" s="21" t="str">
        <f t="shared" si="608"/>
        <v>-</v>
      </c>
      <c r="AN397" s="89" t="str">
        <f t="shared" ca="1" si="609"/>
        <v>-</v>
      </c>
      <c r="AO397" s="92"/>
      <c r="AP397" s="80" t="str">
        <f t="shared" ca="1" si="610"/>
        <v>-</v>
      </c>
      <c r="AQ397" s="441"/>
      <c r="AR397" s="22" t="str">
        <f t="shared" si="611"/>
        <v>-</v>
      </c>
      <c r="AS397" s="234"/>
      <c r="AT397" s="22" t="str">
        <f t="shared" si="612"/>
        <v>-</v>
      </c>
      <c r="AU397" s="300"/>
      <c r="AV397" s="429"/>
      <c r="AW397" s="431"/>
      <c r="AX397" s="121" t="str">
        <f t="shared" si="613"/>
        <v>-</v>
      </c>
      <c r="AY397" s="432" t="str">
        <f t="shared" si="614"/>
        <v>-</v>
      </c>
      <c r="AZ397" s="428" t="str">
        <f t="shared" ca="1" si="615"/>
        <v>-</v>
      </c>
      <c r="BA397" s="121"/>
      <c r="BB397" s="326"/>
      <c r="BC397" s="330" t="str">
        <f t="shared" si="616"/>
        <v>Ж-Е НЕ ВАКЦ.</v>
      </c>
      <c r="BD397" s="332" t="str">
        <f t="shared" si="617"/>
        <v>-</v>
      </c>
      <c r="BE397" s="321" t="str">
        <f t="shared" ca="1" si="618"/>
        <v>ПОДЛЕЖИТ ВАКЦИНАЦИИ</v>
      </c>
      <c r="BF397" s="306"/>
      <c r="BG397" s="308"/>
      <c r="BH397" s="309" t="str">
        <f t="shared" si="619"/>
        <v>-</v>
      </c>
      <c r="BI397" s="310" t="str">
        <f t="shared" si="620"/>
        <v>-</v>
      </c>
      <c r="BJ397" s="313" t="str">
        <f t="shared" si="621"/>
        <v>-</v>
      </c>
      <c r="BK397" s="306"/>
      <c r="BL397" s="308"/>
      <c r="BM397" s="309" t="str">
        <f t="shared" si="622"/>
        <v>-</v>
      </c>
      <c r="BN397" s="309" t="str">
        <f t="shared" si="623"/>
        <v>-</v>
      </c>
      <c r="BO397" s="311" t="str">
        <f t="shared" si="624"/>
        <v>-</v>
      </c>
      <c r="BP397" s="312" t="str">
        <f t="shared" si="625"/>
        <v>-</v>
      </c>
      <c r="BQ397" s="307"/>
      <c r="BR397" s="308"/>
      <c r="BS397" s="309" t="str">
        <f t="shared" si="626"/>
        <v>-</v>
      </c>
      <c r="BT397" s="310" t="str">
        <f t="shared" si="627"/>
        <v>-</v>
      </c>
      <c r="BU397" s="321" t="str">
        <f t="shared" ca="1" si="628"/>
        <v>-</v>
      </c>
      <c r="BV397" s="306"/>
      <c r="BW397" s="308"/>
      <c r="BX397" s="309" t="str">
        <f t="shared" si="629"/>
        <v>-</v>
      </c>
      <c r="BY397" s="309" t="str">
        <f t="shared" si="630"/>
        <v>-</v>
      </c>
      <c r="BZ397" s="310" t="str">
        <f t="shared" si="631"/>
        <v>-</v>
      </c>
      <c r="CA397" s="313" t="str">
        <f t="shared" si="632"/>
        <v>-</v>
      </c>
      <c r="CB397" s="306"/>
      <c r="CC397" s="308"/>
      <c r="CD397" s="309" t="str">
        <f t="shared" si="633"/>
        <v>-</v>
      </c>
      <c r="CE397" s="311" t="str">
        <f t="shared" si="634"/>
        <v>-</v>
      </c>
      <c r="CF397" s="309" t="str">
        <f t="shared" si="635"/>
        <v>-</v>
      </c>
      <c r="CG397" s="312" t="str">
        <f t="shared" ca="1" si="636"/>
        <v>-</v>
      </c>
      <c r="CH397" s="78"/>
      <c r="CI397" s="308"/>
      <c r="CJ397" s="384">
        <f t="shared" ca="1" si="637"/>
        <v>100</v>
      </c>
      <c r="CK397" s="359" t="str">
        <f t="shared" ca="1" si="638"/>
        <v>-----</v>
      </c>
      <c r="CL397" s="358"/>
      <c r="CM397" s="361" t="str">
        <f t="shared" si="639"/>
        <v>-</v>
      </c>
      <c r="CN397" s="360"/>
      <c r="CO397" s="360"/>
      <c r="CP397" s="360"/>
      <c r="CQ397" s="360"/>
      <c r="CR397" s="384" t="str">
        <f t="shared" si="640"/>
        <v>----</v>
      </c>
      <c r="CS397" s="359" t="str">
        <f t="shared" ca="1" si="641"/>
        <v>-----</v>
      </c>
      <c r="CT397" s="358"/>
      <c r="CU397" s="361" t="str">
        <f t="shared" si="642"/>
        <v>-</v>
      </c>
      <c r="CV397" s="360"/>
      <c r="CW397" s="360"/>
      <c r="CX397" s="360"/>
      <c r="CY397" s="569"/>
    </row>
    <row r="398" spans="1:103" s="1" customFormat="1" ht="25.5" x14ac:dyDescent="0.25">
      <c r="A398" s="77">
        <v>396</v>
      </c>
      <c r="B398" s="84">
        <f t="shared" ca="1" si="592"/>
        <v>43134</v>
      </c>
      <c r="C398" s="29" t="s">
        <v>2546</v>
      </c>
      <c r="D398" s="59" t="s">
        <v>1555</v>
      </c>
      <c r="E398" s="22" t="s">
        <v>1557</v>
      </c>
      <c r="F398" s="27" t="s">
        <v>3155</v>
      </c>
      <c r="G398" s="323"/>
      <c r="H398" s="28" t="s">
        <v>603</v>
      </c>
      <c r="I398" s="20">
        <v>42996</v>
      </c>
      <c r="J398" s="35">
        <f t="shared" ca="1" si="593"/>
        <v>0.37808219178082192</v>
      </c>
      <c r="K398" s="35">
        <f t="shared" ca="1" si="594"/>
        <v>4.5999999999999996</v>
      </c>
      <c r="L398" s="299">
        <f t="shared" ca="1" si="595"/>
        <v>138</v>
      </c>
      <c r="M398" s="60"/>
      <c r="N398" s="32"/>
      <c r="O398" s="82" t="str">
        <f t="shared" ca="1" si="596"/>
        <v>-</v>
      </c>
      <c r="P398" s="19"/>
      <c r="Q398" s="68"/>
      <c r="R398" s="118"/>
      <c r="S398" s="21"/>
      <c r="T398" s="20"/>
      <c r="U398" s="20" t="str">
        <f t="shared" si="597"/>
        <v>-</v>
      </c>
      <c r="V398" s="19" t="str">
        <f t="shared" ca="1" si="598"/>
        <v>-</v>
      </c>
      <c r="W398" s="3"/>
      <c r="X398" s="22" t="str">
        <f t="shared" si="599"/>
        <v>-</v>
      </c>
      <c r="Y398" s="22"/>
      <c r="Z398" s="329" t="str">
        <f t="shared" ca="1" si="600"/>
        <v>-----</v>
      </c>
      <c r="AA398" s="328">
        <f t="shared" ca="1" si="601"/>
        <v>43134</v>
      </c>
      <c r="AB398" s="19"/>
      <c r="AC398" s="331" t="str">
        <f t="shared" ca="1" si="602"/>
        <v>-----</v>
      </c>
      <c r="AD398" s="20"/>
      <c r="AE398" s="22" t="str">
        <f t="shared" ca="1" si="603"/>
        <v>-</v>
      </c>
      <c r="AF398" s="20" t="str">
        <f t="shared" si="604"/>
        <v>-</v>
      </c>
      <c r="AG398" s="94" t="str">
        <f t="shared" si="605"/>
        <v>---------</v>
      </c>
      <c r="AH398" s="21"/>
      <c r="AI398" s="21" t="str">
        <f t="shared" si="606"/>
        <v>-</v>
      </c>
      <c r="AJ398" s="21" t="str">
        <f t="shared" si="607"/>
        <v>-</v>
      </c>
      <c r="AK398" s="909">
        <v>42998</v>
      </c>
      <c r="AL398" s="21" t="s">
        <v>1614</v>
      </c>
      <c r="AM398" s="21" t="str">
        <f t="shared" si="608"/>
        <v>-</v>
      </c>
      <c r="AN398" s="89" t="str">
        <f t="shared" ca="1" si="609"/>
        <v>-</v>
      </c>
      <c r="AO398" s="92"/>
      <c r="AP398" s="80" t="str">
        <f t="shared" ca="1" si="610"/>
        <v>-</v>
      </c>
      <c r="AQ398" s="441"/>
      <c r="AR398" s="22" t="str">
        <f t="shared" si="611"/>
        <v>-</v>
      </c>
      <c r="AS398" s="234"/>
      <c r="AT398" s="22" t="str">
        <f t="shared" si="612"/>
        <v>-</v>
      </c>
      <c r="AU398" s="300"/>
      <c r="AV398" s="429"/>
      <c r="AW398" s="431"/>
      <c r="AX398" s="121" t="str">
        <f t="shared" si="613"/>
        <v>-</v>
      </c>
      <c r="AY398" s="432" t="str">
        <f t="shared" si="614"/>
        <v>-</v>
      </c>
      <c r="AZ398" s="428" t="str">
        <f t="shared" ca="1" si="615"/>
        <v>-</v>
      </c>
      <c r="BA398" s="121"/>
      <c r="BB398" s="326"/>
      <c r="BC398" s="330" t="str">
        <f t="shared" si="616"/>
        <v>Ж-Е НЕ ВАКЦ.</v>
      </c>
      <c r="BD398" s="332" t="str">
        <f t="shared" si="617"/>
        <v>-</v>
      </c>
      <c r="BE398" s="321" t="str">
        <f t="shared" ca="1" si="618"/>
        <v>ПОДЛЕЖИТ ВАКЦИНАЦИИ</v>
      </c>
      <c r="BF398" s="306"/>
      <c r="BG398" s="308"/>
      <c r="BH398" s="309" t="str">
        <f t="shared" si="619"/>
        <v>-</v>
      </c>
      <c r="BI398" s="310" t="str">
        <f t="shared" si="620"/>
        <v>-</v>
      </c>
      <c r="BJ398" s="313" t="str">
        <f t="shared" si="621"/>
        <v>-</v>
      </c>
      <c r="BK398" s="306"/>
      <c r="BL398" s="308"/>
      <c r="BM398" s="309" t="str">
        <f t="shared" si="622"/>
        <v>-</v>
      </c>
      <c r="BN398" s="309" t="str">
        <f t="shared" si="623"/>
        <v>-</v>
      </c>
      <c r="BO398" s="311" t="str">
        <f t="shared" si="624"/>
        <v>-</v>
      </c>
      <c r="BP398" s="312" t="str">
        <f t="shared" si="625"/>
        <v>-</v>
      </c>
      <c r="BQ398" s="307"/>
      <c r="BR398" s="308"/>
      <c r="BS398" s="309" t="str">
        <f t="shared" si="626"/>
        <v>-</v>
      </c>
      <c r="BT398" s="310" t="str">
        <f t="shared" si="627"/>
        <v>-</v>
      </c>
      <c r="BU398" s="321" t="str">
        <f t="shared" ca="1" si="628"/>
        <v>-</v>
      </c>
      <c r="BV398" s="306"/>
      <c r="BW398" s="308"/>
      <c r="BX398" s="309" t="str">
        <f t="shared" si="629"/>
        <v>-</v>
      </c>
      <c r="BY398" s="309" t="str">
        <f t="shared" si="630"/>
        <v>-</v>
      </c>
      <c r="BZ398" s="310" t="str">
        <f t="shared" si="631"/>
        <v>-</v>
      </c>
      <c r="CA398" s="313" t="str">
        <f t="shared" si="632"/>
        <v>-</v>
      </c>
      <c r="CB398" s="306"/>
      <c r="CC398" s="308"/>
      <c r="CD398" s="309" t="str">
        <f t="shared" si="633"/>
        <v>-</v>
      </c>
      <c r="CE398" s="311" t="str">
        <f t="shared" si="634"/>
        <v>-</v>
      </c>
      <c r="CF398" s="309" t="str">
        <f t="shared" si="635"/>
        <v>-</v>
      </c>
      <c r="CG398" s="312" t="str">
        <f t="shared" ca="1" si="636"/>
        <v>-</v>
      </c>
      <c r="CH398" s="78"/>
      <c r="CI398" s="308"/>
      <c r="CJ398" s="384">
        <f t="shared" ca="1" si="637"/>
        <v>100</v>
      </c>
      <c r="CK398" s="359" t="str">
        <f t="shared" ca="1" si="638"/>
        <v>-----</v>
      </c>
      <c r="CL398" s="358"/>
      <c r="CM398" s="361" t="str">
        <f t="shared" si="639"/>
        <v>-</v>
      </c>
      <c r="CN398" s="360"/>
      <c r="CO398" s="360"/>
      <c r="CP398" s="360"/>
      <c r="CQ398" s="360"/>
      <c r="CR398" s="384" t="str">
        <f t="shared" si="640"/>
        <v>----</v>
      </c>
      <c r="CS398" s="359" t="str">
        <f t="shared" ca="1" si="641"/>
        <v>-----</v>
      </c>
      <c r="CT398" s="358"/>
      <c r="CU398" s="361" t="str">
        <f t="shared" si="642"/>
        <v>-</v>
      </c>
      <c r="CV398" s="360"/>
      <c r="CW398" s="360"/>
      <c r="CX398" s="360"/>
      <c r="CY398" s="569"/>
    </row>
    <row r="399" spans="1:103" s="1" customFormat="1" ht="25.5" x14ac:dyDescent="0.25">
      <c r="A399" s="77">
        <v>397</v>
      </c>
      <c r="B399" s="84">
        <f t="shared" ca="1" si="592"/>
        <v>43134</v>
      </c>
      <c r="C399" s="29" t="s">
        <v>2546</v>
      </c>
      <c r="D399" s="59" t="s">
        <v>1555</v>
      </c>
      <c r="E399" s="22" t="s">
        <v>1557</v>
      </c>
      <c r="F399" s="27" t="s">
        <v>3154</v>
      </c>
      <c r="G399" s="323"/>
      <c r="H399" s="28" t="s">
        <v>603</v>
      </c>
      <c r="I399" s="20">
        <v>42996</v>
      </c>
      <c r="J399" s="35">
        <f t="shared" ca="1" si="593"/>
        <v>0.37808219178082192</v>
      </c>
      <c r="K399" s="35">
        <f t="shared" ca="1" si="594"/>
        <v>4.5999999999999996</v>
      </c>
      <c r="L399" s="299">
        <f t="shared" ca="1" si="595"/>
        <v>138</v>
      </c>
      <c r="M399" s="60"/>
      <c r="N399" s="32"/>
      <c r="O399" s="82" t="str">
        <f t="shared" ca="1" si="596"/>
        <v>-</v>
      </c>
      <c r="P399" s="19"/>
      <c r="Q399" s="68"/>
      <c r="R399" s="118"/>
      <c r="S399" s="21"/>
      <c r="T399" s="20"/>
      <c r="U399" s="20" t="str">
        <f t="shared" si="597"/>
        <v>-</v>
      </c>
      <c r="V399" s="19" t="str">
        <f t="shared" ca="1" si="598"/>
        <v>-</v>
      </c>
      <c r="W399" s="3"/>
      <c r="X399" s="22" t="str">
        <f t="shared" si="599"/>
        <v>-</v>
      </c>
      <c r="Y399" s="22"/>
      <c r="Z399" s="329" t="str">
        <f t="shared" ca="1" si="600"/>
        <v>-----</v>
      </c>
      <c r="AA399" s="328">
        <f t="shared" ca="1" si="601"/>
        <v>43134</v>
      </c>
      <c r="AB399" s="19"/>
      <c r="AC399" s="331" t="str">
        <f t="shared" ca="1" si="602"/>
        <v>-----</v>
      </c>
      <c r="AD399" s="20"/>
      <c r="AE399" s="22" t="str">
        <f t="shared" ca="1" si="603"/>
        <v>-</v>
      </c>
      <c r="AF399" s="20" t="str">
        <f t="shared" si="604"/>
        <v>-</v>
      </c>
      <c r="AG399" s="94" t="str">
        <f t="shared" si="605"/>
        <v>---------</v>
      </c>
      <c r="AH399" s="21"/>
      <c r="AI399" s="21" t="str">
        <f t="shared" si="606"/>
        <v>-</v>
      </c>
      <c r="AJ399" s="21" t="str">
        <f t="shared" si="607"/>
        <v>-</v>
      </c>
      <c r="AK399" s="909">
        <v>42998</v>
      </c>
      <c r="AL399" s="21" t="s">
        <v>1614</v>
      </c>
      <c r="AM399" s="21" t="str">
        <f t="shared" si="608"/>
        <v>-</v>
      </c>
      <c r="AN399" s="89" t="str">
        <f t="shared" ca="1" si="609"/>
        <v>-</v>
      </c>
      <c r="AO399" s="92"/>
      <c r="AP399" s="80" t="str">
        <f t="shared" ca="1" si="610"/>
        <v>-</v>
      </c>
      <c r="AQ399" s="441"/>
      <c r="AR399" s="22" t="str">
        <f t="shared" si="611"/>
        <v>-</v>
      </c>
      <c r="AS399" s="234"/>
      <c r="AT399" s="22" t="str">
        <f t="shared" si="612"/>
        <v>-</v>
      </c>
      <c r="AU399" s="300"/>
      <c r="AV399" s="429"/>
      <c r="AW399" s="431"/>
      <c r="AX399" s="121" t="str">
        <f t="shared" si="613"/>
        <v>-</v>
      </c>
      <c r="AY399" s="432" t="str">
        <f t="shared" si="614"/>
        <v>-</v>
      </c>
      <c r="AZ399" s="428" t="str">
        <f t="shared" ca="1" si="615"/>
        <v>-</v>
      </c>
      <c r="BA399" s="121"/>
      <c r="BB399" s="326"/>
      <c r="BC399" s="330" t="str">
        <f t="shared" si="616"/>
        <v>Ж-Е НЕ ВАКЦ.</v>
      </c>
      <c r="BD399" s="332" t="str">
        <f t="shared" si="617"/>
        <v>-</v>
      </c>
      <c r="BE399" s="321" t="str">
        <f t="shared" ca="1" si="618"/>
        <v>ПОДЛЕЖИТ ВАКЦИНАЦИИ</v>
      </c>
      <c r="BF399" s="306"/>
      <c r="BG399" s="308"/>
      <c r="BH399" s="309" t="str">
        <f t="shared" si="619"/>
        <v>-</v>
      </c>
      <c r="BI399" s="310" t="str">
        <f t="shared" si="620"/>
        <v>-</v>
      </c>
      <c r="BJ399" s="313" t="str">
        <f t="shared" si="621"/>
        <v>-</v>
      </c>
      <c r="BK399" s="306"/>
      <c r="BL399" s="308"/>
      <c r="BM399" s="309" t="str">
        <f t="shared" si="622"/>
        <v>-</v>
      </c>
      <c r="BN399" s="309" t="str">
        <f t="shared" si="623"/>
        <v>-</v>
      </c>
      <c r="BO399" s="311" t="str">
        <f t="shared" si="624"/>
        <v>-</v>
      </c>
      <c r="BP399" s="312" t="str">
        <f t="shared" si="625"/>
        <v>-</v>
      </c>
      <c r="BQ399" s="307"/>
      <c r="BR399" s="308"/>
      <c r="BS399" s="309" t="str">
        <f t="shared" si="626"/>
        <v>-</v>
      </c>
      <c r="BT399" s="310" t="str">
        <f t="shared" si="627"/>
        <v>-</v>
      </c>
      <c r="BU399" s="321" t="str">
        <f t="shared" ca="1" si="628"/>
        <v>-</v>
      </c>
      <c r="BV399" s="306"/>
      <c r="BW399" s="308"/>
      <c r="BX399" s="309" t="str">
        <f t="shared" si="629"/>
        <v>-</v>
      </c>
      <c r="BY399" s="309" t="str">
        <f t="shared" si="630"/>
        <v>-</v>
      </c>
      <c r="BZ399" s="310" t="str">
        <f t="shared" si="631"/>
        <v>-</v>
      </c>
      <c r="CA399" s="313" t="str">
        <f t="shared" si="632"/>
        <v>-</v>
      </c>
      <c r="CB399" s="306"/>
      <c r="CC399" s="308"/>
      <c r="CD399" s="309" t="str">
        <f t="shared" si="633"/>
        <v>-</v>
      </c>
      <c r="CE399" s="311" t="str">
        <f t="shared" si="634"/>
        <v>-</v>
      </c>
      <c r="CF399" s="309" t="str">
        <f t="shared" si="635"/>
        <v>-</v>
      </c>
      <c r="CG399" s="312" t="str">
        <f t="shared" ca="1" si="636"/>
        <v>-</v>
      </c>
      <c r="CH399" s="78"/>
      <c r="CI399" s="308"/>
      <c r="CJ399" s="384">
        <f t="shared" ca="1" si="637"/>
        <v>100</v>
      </c>
      <c r="CK399" s="359" t="str">
        <f t="shared" ca="1" si="638"/>
        <v>-----</v>
      </c>
      <c r="CL399" s="358"/>
      <c r="CM399" s="361" t="str">
        <f t="shared" si="639"/>
        <v>-</v>
      </c>
      <c r="CN399" s="360"/>
      <c r="CO399" s="360"/>
      <c r="CP399" s="360"/>
      <c r="CQ399" s="360"/>
      <c r="CR399" s="384" t="str">
        <f t="shared" si="640"/>
        <v>----</v>
      </c>
      <c r="CS399" s="359" t="str">
        <f t="shared" ca="1" si="641"/>
        <v>-----</v>
      </c>
      <c r="CT399" s="358"/>
      <c r="CU399" s="361" t="str">
        <f t="shared" si="642"/>
        <v>-</v>
      </c>
      <c r="CV399" s="360"/>
      <c r="CW399" s="360"/>
      <c r="CX399" s="360"/>
      <c r="CY399" s="569"/>
    </row>
    <row r="400" spans="1:103" s="1" customFormat="1" ht="25.5" x14ac:dyDescent="0.25">
      <c r="A400" s="77">
        <v>398</v>
      </c>
      <c r="B400" s="84">
        <f t="shared" ca="1" si="592"/>
        <v>43134</v>
      </c>
      <c r="C400" s="29" t="s">
        <v>2546</v>
      </c>
      <c r="D400" s="59" t="s">
        <v>1555</v>
      </c>
      <c r="E400" s="22" t="s">
        <v>1557</v>
      </c>
      <c r="F400" s="27" t="s">
        <v>3156</v>
      </c>
      <c r="G400" s="323"/>
      <c r="H400" s="28" t="s">
        <v>603</v>
      </c>
      <c r="I400" s="20">
        <v>42997</v>
      </c>
      <c r="J400" s="35">
        <f t="shared" ca="1" si="593"/>
        <v>0.37534246575342467</v>
      </c>
      <c r="K400" s="35">
        <f t="shared" ca="1" si="594"/>
        <v>4.5666666666666664</v>
      </c>
      <c r="L400" s="299">
        <f t="shared" ca="1" si="595"/>
        <v>137</v>
      </c>
      <c r="M400" s="60"/>
      <c r="N400" s="32"/>
      <c r="O400" s="82" t="str">
        <f t="shared" ca="1" si="596"/>
        <v>-</v>
      </c>
      <c r="P400" s="19"/>
      <c r="Q400" s="68"/>
      <c r="R400" s="118"/>
      <c r="S400" s="21"/>
      <c r="T400" s="20"/>
      <c r="U400" s="20" t="str">
        <f t="shared" si="597"/>
        <v>-</v>
      </c>
      <c r="V400" s="19" t="str">
        <f t="shared" ca="1" si="598"/>
        <v>-</v>
      </c>
      <c r="W400" s="3"/>
      <c r="X400" s="22" t="str">
        <f t="shared" si="599"/>
        <v>-</v>
      </c>
      <c r="Y400" s="22"/>
      <c r="Z400" s="329" t="str">
        <f t="shared" ca="1" si="600"/>
        <v>-----</v>
      </c>
      <c r="AA400" s="328">
        <f t="shared" ca="1" si="601"/>
        <v>43134</v>
      </c>
      <c r="AB400" s="19"/>
      <c r="AC400" s="331" t="str">
        <f t="shared" ca="1" si="602"/>
        <v>-----</v>
      </c>
      <c r="AD400" s="20"/>
      <c r="AE400" s="22" t="str">
        <f t="shared" ca="1" si="603"/>
        <v>-</v>
      </c>
      <c r="AF400" s="20" t="str">
        <f t="shared" si="604"/>
        <v>-</v>
      </c>
      <c r="AG400" s="94" t="str">
        <f t="shared" si="605"/>
        <v>---------</v>
      </c>
      <c r="AH400" s="21"/>
      <c r="AI400" s="21" t="str">
        <f t="shared" si="606"/>
        <v>-</v>
      </c>
      <c r="AJ400" s="21" t="str">
        <f t="shared" si="607"/>
        <v>-</v>
      </c>
      <c r="AK400" s="909">
        <v>42998</v>
      </c>
      <c r="AL400" s="21" t="s">
        <v>1614</v>
      </c>
      <c r="AM400" s="21" t="str">
        <f t="shared" si="608"/>
        <v>-</v>
      </c>
      <c r="AN400" s="89" t="str">
        <f t="shared" ca="1" si="609"/>
        <v>-</v>
      </c>
      <c r="AO400" s="92"/>
      <c r="AP400" s="80" t="str">
        <f t="shared" ca="1" si="610"/>
        <v>-</v>
      </c>
      <c r="AQ400" s="441"/>
      <c r="AR400" s="22" t="str">
        <f t="shared" si="611"/>
        <v>-</v>
      </c>
      <c r="AS400" s="234"/>
      <c r="AT400" s="22" t="str">
        <f t="shared" si="612"/>
        <v>-</v>
      </c>
      <c r="AU400" s="300"/>
      <c r="AV400" s="429"/>
      <c r="AW400" s="431"/>
      <c r="AX400" s="121" t="str">
        <f t="shared" si="613"/>
        <v>-</v>
      </c>
      <c r="AY400" s="432" t="str">
        <f t="shared" si="614"/>
        <v>-</v>
      </c>
      <c r="AZ400" s="428" t="str">
        <f t="shared" ca="1" si="615"/>
        <v>-</v>
      </c>
      <c r="BA400" s="121"/>
      <c r="BB400" s="326"/>
      <c r="BC400" s="330" t="str">
        <f t="shared" si="616"/>
        <v>Ж-Е НЕ ВАКЦ.</v>
      </c>
      <c r="BD400" s="332" t="str">
        <f t="shared" si="617"/>
        <v>-</v>
      </c>
      <c r="BE400" s="321" t="str">
        <f t="shared" ca="1" si="618"/>
        <v>ПОДЛЕЖИТ ВАКЦИНАЦИИ</v>
      </c>
      <c r="BF400" s="306"/>
      <c r="BG400" s="308"/>
      <c r="BH400" s="309" t="str">
        <f t="shared" si="619"/>
        <v>-</v>
      </c>
      <c r="BI400" s="310" t="str">
        <f t="shared" si="620"/>
        <v>-</v>
      </c>
      <c r="BJ400" s="313" t="str">
        <f t="shared" si="621"/>
        <v>-</v>
      </c>
      <c r="BK400" s="306"/>
      <c r="BL400" s="308"/>
      <c r="BM400" s="309" t="str">
        <f t="shared" si="622"/>
        <v>-</v>
      </c>
      <c r="BN400" s="309" t="str">
        <f t="shared" si="623"/>
        <v>-</v>
      </c>
      <c r="BO400" s="311" t="str">
        <f t="shared" si="624"/>
        <v>-</v>
      </c>
      <c r="BP400" s="312" t="str">
        <f t="shared" si="625"/>
        <v>-</v>
      </c>
      <c r="BQ400" s="307"/>
      <c r="BR400" s="308"/>
      <c r="BS400" s="309" t="str">
        <f t="shared" si="626"/>
        <v>-</v>
      </c>
      <c r="BT400" s="310" t="str">
        <f t="shared" si="627"/>
        <v>-</v>
      </c>
      <c r="BU400" s="321" t="str">
        <f t="shared" ca="1" si="628"/>
        <v>-</v>
      </c>
      <c r="BV400" s="306"/>
      <c r="BW400" s="308"/>
      <c r="BX400" s="309" t="str">
        <f t="shared" si="629"/>
        <v>-</v>
      </c>
      <c r="BY400" s="309" t="str">
        <f t="shared" si="630"/>
        <v>-</v>
      </c>
      <c r="BZ400" s="310" t="str">
        <f t="shared" si="631"/>
        <v>-</v>
      </c>
      <c r="CA400" s="313" t="str">
        <f t="shared" si="632"/>
        <v>-</v>
      </c>
      <c r="CB400" s="306"/>
      <c r="CC400" s="308"/>
      <c r="CD400" s="309" t="str">
        <f t="shared" si="633"/>
        <v>-</v>
      </c>
      <c r="CE400" s="311" t="str">
        <f t="shared" si="634"/>
        <v>-</v>
      </c>
      <c r="CF400" s="309" t="str">
        <f t="shared" si="635"/>
        <v>-</v>
      </c>
      <c r="CG400" s="312" t="str">
        <f t="shared" ca="1" si="636"/>
        <v>-</v>
      </c>
      <c r="CH400" s="78"/>
      <c r="CI400" s="308"/>
      <c r="CJ400" s="384">
        <f t="shared" ca="1" si="637"/>
        <v>100</v>
      </c>
      <c r="CK400" s="359" t="str">
        <f t="shared" ca="1" si="638"/>
        <v>-----</v>
      </c>
      <c r="CL400" s="358"/>
      <c r="CM400" s="361" t="str">
        <f t="shared" si="639"/>
        <v>-</v>
      </c>
      <c r="CN400" s="360"/>
      <c r="CO400" s="360"/>
      <c r="CP400" s="360"/>
      <c r="CQ400" s="360"/>
      <c r="CR400" s="384" t="str">
        <f t="shared" si="640"/>
        <v>----</v>
      </c>
      <c r="CS400" s="359" t="str">
        <f t="shared" ca="1" si="641"/>
        <v>-----</v>
      </c>
      <c r="CT400" s="358"/>
      <c r="CU400" s="361" t="str">
        <f t="shared" si="642"/>
        <v>-</v>
      </c>
      <c r="CV400" s="360"/>
      <c r="CW400" s="360"/>
      <c r="CX400" s="360"/>
      <c r="CY400" s="569"/>
    </row>
    <row r="401" spans="1:103" s="2" customFormat="1" ht="15.95" customHeight="1" x14ac:dyDescent="0.25">
      <c r="A401" s="77">
        <v>399</v>
      </c>
      <c r="B401" s="84">
        <f t="shared" ca="1" si="592"/>
        <v>43134</v>
      </c>
      <c r="C401" s="29" t="s">
        <v>2546</v>
      </c>
      <c r="D401" s="59" t="s">
        <v>1555</v>
      </c>
      <c r="E401" s="22" t="s">
        <v>1557</v>
      </c>
      <c r="F401" s="27" t="s">
        <v>3161</v>
      </c>
      <c r="G401" s="323"/>
      <c r="H401" s="28" t="s">
        <v>603</v>
      </c>
      <c r="I401" s="20">
        <v>42998</v>
      </c>
      <c r="J401" s="35">
        <f t="shared" ca="1" si="593"/>
        <v>0.37260273972602742</v>
      </c>
      <c r="K401" s="35">
        <f t="shared" ca="1" si="594"/>
        <v>4.5333333333333332</v>
      </c>
      <c r="L401" s="299">
        <f t="shared" ca="1" si="595"/>
        <v>136</v>
      </c>
      <c r="M401" s="60"/>
      <c r="N401" s="32"/>
      <c r="O401" s="82" t="str">
        <f t="shared" ca="1" si="596"/>
        <v>-</v>
      </c>
      <c r="P401" s="19"/>
      <c r="Q401" s="68"/>
      <c r="R401" s="118"/>
      <c r="S401" s="21"/>
      <c r="T401" s="20"/>
      <c r="U401" s="20" t="str">
        <f t="shared" si="597"/>
        <v>-</v>
      </c>
      <c r="V401" s="19" t="str">
        <f t="shared" ca="1" si="598"/>
        <v>-</v>
      </c>
      <c r="W401" s="3"/>
      <c r="X401" s="22" t="str">
        <f t="shared" si="599"/>
        <v>-</v>
      </c>
      <c r="Y401" s="22"/>
      <c r="Z401" s="329" t="str">
        <f t="shared" ca="1" si="600"/>
        <v>-----</v>
      </c>
      <c r="AA401" s="328">
        <f t="shared" ca="1" si="601"/>
        <v>43134</v>
      </c>
      <c r="AB401" s="19"/>
      <c r="AC401" s="331" t="str">
        <f t="shared" ca="1" si="602"/>
        <v>-----</v>
      </c>
      <c r="AD401" s="20"/>
      <c r="AE401" s="22" t="str">
        <f t="shared" ca="1" si="603"/>
        <v>-</v>
      </c>
      <c r="AF401" s="20" t="str">
        <f t="shared" si="604"/>
        <v>-</v>
      </c>
      <c r="AG401" s="94" t="str">
        <f t="shared" si="605"/>
        <v>---------</v>
      </c>
      <c r="AH401" s="21"/>
      <c r="AI401" s="21" t="str">
        <f t="shared" si="606"/>
        <v>-</v>
      </c>
      <c r="AJ401" s="21" t="str">
        <f t="shared" si="607"/>
        <v>-</v>
      </c>
      <c r="AK401" s="909">
        <v>42998</v>
      </c>
      <c r="AL401" s="21" t="s">
        <v>1614</v>
      </c>
      <c r="AM401" s="21" t="str">
        <f t="shared" si="608"/>
        <v>-</v>
      </c>
      <c r="AN401" s="89" t="str">
        <f t="shared" ca="1" si="609"/>
        <v>-</v>
      </c>
      <c r="AO401" s="92"/>
      <c r="AP401" s="80" t="str">
        <f t="shared" ca="1" si="610"/>
        <v>-</v>
      </c>
      <c r="AQ401" s="441"/>
      <c r="AR401" s="22" t="str">
        <f t="shared" si="611"/>
        <v>-</v>
      </c>
      <c r="AS401" s="234"/>
      <c r="AT401" s="22" t="str">
        <f t="shared" si="612"/>
        <v>-</v>
      </c>
      <c r="AU401" s="300"/>
      <c r="AV401" s="429"/>
      <c r="AW401" s="431"/>
      <c r="AX401" s="121" t="str">
        <f t="shared" si="613"/>
        <v>-</v>
      </c>
      <c r="AY401" s="432" t="str">
        <f t="shared" si="614"/>
        <v>-</v>
      </c>
      <c r="AZ401" s="428" t="str">
        <f t="shared" ca="1" si="615"/>
        <v>-</v>
      </c>
      <c r="BA401" s="121"/>
      <c r="BB401" s="326"/>
      <c r="BC401" s="330" t="str">
        <f t="shared" si="616"/>
        <v>Ж-Е НЕ ВАКЦ.</v>
      </c>
      <c r="BD401" s="332" t="str">
        <f t="shared" si="617"/>
        <v>-</v>
      </c>
      <c r="BE401" s="321" t="str">
        <f t="shared" ca="1" si="618"/>
        <v>ПОДЛЕЖИТ ВАКЦИНАЦИИ</v>
      </c>
      <c r="BF401" s="306"/>
      <c r="BG401" s="308"/>
      <c r="BH401" s="309" t="str">
        <f t="shared" si="619"/>
        <v>-</v>
      </c>
      <c r="BI401" s="310" t="str">
        <f t="shared" si="620"/>
        <v>-</v>
      </c>
      <c r="BJ401" s="313" t="str">
        <f t="shared" si="621"/>
        <v>-</v>
      </c>
      <c r="BK401" s="306"/>
      <c r="BL401" s="308"/>
      <c r="BM401" s="309" t="str">
        <f t="shared" si="622"/>
        <v>-</v>
      </c>
      <c r="BN401" s="309" t="str">
        <f t="shared" si="623"/>
        <v>-</v>
      </c>
      <c r="BO401" s="311" t="str">
        <f t="shared" si="624"/>
        <v>-</v>
      </c>
      <c r="BP401" s="312" t="str">
        <f t="shared" si="625"/>
        <v>-</v>
      </c>
      <c r="BQ401" s="307"/>
      <c r="BR401" s="308"/>
      <c r="BS401" s="309" t="str">
        <f t="shared" si="626"/>
        <v>-</v>
      </c>
      <c r="BT401" s="310" t="str">
        <f t="shared" si="627"/>
        <v>-</v>
      </c>
      <c r="BU401" s="321" t="str">
        <f t="shared" ca="1" si="628"/>
        <v>-</v>
      </c>
      <c r="BV401" s="306"/>
      <c r="BW401" s="308"/>
      <c r="BX401" s="309" t="str">
        <f t="shared" si="629"/>
        <v>-</v>
      </c>
      <c r="BY401" s="309" t="str">
        <f t="shared" si="630"/>
        <v>-</v>
      </c>
      <c r="BZ401" s="310" t="str">
        <f t="shared" si="631"/>
        <v>-</v>
      </c>
      <c r="CA401" s="313" t="str">
        <f t="shared" si="632"/>
        <v>-</v>
      </c>
      <c r="CB401" s="306"/>
      <c r="CC401" s="308"/>
      <c r="CD401" s="309" t="str">
        <f t="shared" si="633"/>
        <v>-</v>
      </c>
      <c r="CE401" s="311" t="str">
        <f t="shared" si="634"/>
        <v>-</v>
      </c>
      <c r="CF401" s="309" t="str">
        <f t="shared" si="635"/>
        <v>-</v>
      </c>
      <c r="CG401" s="312" t="str">
        <f t="shared" ca="1" si="636"/>
        <v>-</v>
      </c>
      <c r="CH401" s="78"/>
      <c r="CI401" s="308"/>
      <c r="CJ401" s="384">
        <f t="shared" ca="1" si="637"/>
        <v>100</v>
      </c>
      <c r="CK401" s="359" t="str">
        <f t="shared" ca="1" si="638"/>
        <v>-----</v>
      </c>
      <c r="CL401" s="358"/>
      <c r="CM401" s="361" t="str">
        <f t="shared" si="639"/>
        <v>-</v>
      </c>
      <c r="CN401" s="360"/>
      <c r="CO401" s="360"/>
      <c r="CP401" s="360"/>
      <c r="CQ401" s="360"/>
      <c r="CR401" s="384" t="str">
        <f t="shared" si="640"/>
        <v>----</v>
      </c>
      <c r="CS401" s="359" t="str">
        <f t="shared" ca="1" si="641"/>
        <v>-----</v>
      </c>
      <c r="CT401" s="358"/>
      <c r="CU401" s="361" t="str">
        <f t="shared" si="642"/>
        <v>-</v>
      </c>
      <c r="CV401" s="360"/>
      <c r="CW401" s="360"/>
      <c r="CX401" s="360"/>
      <c r="CY401" s="569"/>
    </row>
    <row r="402" spans="1:103" s="2" customFormat="1" ht="15.95" customHeight="1" x14ac:dyDescent="0.25">
      <c r="A402" s="77">
        <v>400</v>
      </c>
      <c r="B402" s="84">
        <f t="shared" ca="1" si="592"/>
        <v>43134</v>
      </c>
      <c r="C402" s="29" t="s">
        <v>2546</v>
      </c>
      <c r="D402" s="59" t="s">
        <v>1555</v>
      </c>
      <c r="E402" s="22" t="s">
        <v>1557</v>
      </c>
      <c r="F402" s="27" t="s">
        <v>3163</v>
      </c>
      <c r="G402" s="323"/>
      <c r="H402" s="28" t="s">
        <v>603</v>
      </c>
      <c r="I402" s="20">
        <v>42998</v>
      </c>
      <c r="J402" s="35">
        <f t="shared" ca="1" si="593"/>
        <v>0.37260273972602742</v>
      </c>
      <c r="K402" s="35">
        <f t="shared" ca="1" si="594"/>
        <v>4.5333333333333332</v>
      </c>
      <c r="L402" s="299">
        <f t="shared" ca="1" si="595"/>
        <v>136</v>
      </c>
      <c r="M402" s="60"/>
      <c r="N402" s="32"/>
      <c r="O402" s="82" t="str">
        <f t="shared" ca="1" si="596"/>
        <v>-</v>
      </c>
      <c r="P402" s="19"/>
      <c r="Q402" s="68"/>
      <c r="R402" s="118"/>
      <c r="S402" s="21"/>
      <c r="T402" s="20"/>
      <c r="U402" s="20" t="str">
        <f t="shared" si="597"/>
        <v>-</v>
      </c>
      <c r="V402" s="19" t="str">
        <f t="shared" ca="1" si="598"/>
        <v>-</v>
      </c>
      <c r="W402" s="3"/>
      <c r="X402" s="22" t="str">
        <f t="shared" si="599"/>
        <v>-</v>
      </c>
      <c r="Y402" s="22"/>
      <c r="Z402" s="329" t="str">
        <f t="shared" ca="1" si="600"/>
        <v>-----</v>
      </c>
      <c r="AA402" s="328">
        <f t="shared" ca="1" si="601"/>
        <v>43134</v>
      </c>
      <c r="AB402" s="19"/>
      <c r="AC402" s="331" t="str">
        <f t="shared" ca="1" si="602"/>
        <v>-----</v>
      </c>
      <c r="AD402" s="20"/>
      <c r="AE402" s="22" t="str">
        <f t="shared" ca="1" si="603"/>
        <v>-</v>
      </c>
      <c r="AF402" s="20" t="str">
        <f t="shared" si="604"/>
        <v>-</v>
      </c>
      <c r="AG402" s="94" t="str">
        <f t="shared" si="605"/>
        <v>---------</v>
      </c>
      <c r="AH402" s="21"/>
      <c r="AI402" s="21" t="str">
        <f t="shared" si="606"/>
        <v>-</v>
      </c>
      <c r="AJ402" s="21" t="str">
        <f t="shared" si="607"/>
        <v>-</v>
      </c>
      <c r="AK402" s="909">
        <v>42998</v>
      </c>
      <c r="AL402" s="21" t="s">
        <v>1614</v>
      </c>
      <c r="AM402" s="21" t="str">
        <f t="shared" si="608"/>
        <v>-</v>
      </c>
      <c r="AN402" s="89" t="str">
        <f t="shared" ca="1" si="609"/>
        <v>-</v>
      </c>
      <c r="AO402" s="92"/>
      <c r="AP402" s="80" t="str">
        <f t="shared" ca="1" si="610"/>
        <v>-</v>
      </c>
      <c r="AQ402" s="441"/>
      <c r="AR402" s="22" t="str">
        <f t="shared" si="611"/>
        <v>-</v>
      </c>
      <c r="AS402" s="234"/>
      <c r="AT402" s="22" t="str">
        <f t="shared" si="612"/>
        <v>-</v>
      </c>
      <c r="AU402" s="300"/>
      <c r="AV402" s="429"/>
      <c r="AW402" s="431"/>
      <c r="AX402" s="121" t="str">
        <f t="shared" si="613"/>
        <v>-</v>
      </c>
      <c r="AY402" s="432" t="str">
        <f t="shared" si="614"/>
        <v>-</v>
      </c>
      <c r="AZ402" s="428" t="str">
        <f t="shared" ca="1" si="615"/>
        <v>-</v>
      </c>
      <c r="BA402" s="121"/>
      <c r="BB402" s="326"/>
      <c r="BC402" s="330" t="str">
        <f t="shared" si="616"/>
        <v>Ж-Е НЕ ВАКЦ.</v>
      </c>
      <c r="BD402" s="332" t="str">
        <f t="shared" si="617"/>
        <v>-</v>
      </c>
      <c r="BE402" s="321" t="str">
        <f t="shared" ca="1" si="618"/>
        <v>ПОДЛЕЖИТ ВАКЦИНАЦИИ</v>
      </c>
      <c r="BF402" s="306"/>
      <c r="BG402" s="308"/>
      <c r="BH402" s="309" t="str">
        <f t="shared" si="619"/>
        <v>-</v>
      </c>
      <c r="BI402" s="310" t="str">
        <f t="shared" si="620"/>
        <v>-</v>
      </c>
      <c r="BJ402" s="313" t="str">
        <f t="shared" si="621"/>
        <v>-</v>
      </c>
      <c r="BK402" s="306"/>
      <c r="BL402" s="308"/>
      <c r="BM402" s="309" t="str">
        <f t="shared" si="622"/>
        <v>-</v>
      </c>
      <c r="BN402" s="309" t="str">
        <f t="shared" si="623"/>
        <v>-</v>
      </c>
      <c r="BO402" s="311" t="str">
        <f t="shared" si="624"/>
        <v>-</v>
      </c>
      <c r="BP402" s="312" t="str">
        <f t="shared" si="625"/>
        <v>-</v>
      </c>
      <c r="BQ402" s="307"/>
      <c r="BR402" s="308"/>
      <c r="BS402" s="309" t="str">
        <f t="shared" si="626"/>
        <v>-</v>
      </c>
      <c r="BT402" s="310" t="str">
        <f t="shared" si="627"/>
        <v>-</v>
      </c>
      <c r="BU402" s="321" t="str">
        <f t="shared" ca="1" si="628"/>
        <v>-</v>
      </c>
      <c r="BV402" s="306"/>
      <c r="BW402" s="308"/>
      <c r="BX402" s="309" t="str">
        <f t="shared" si="629"/>
        <v>-</v>
      </c>
      <c r="BY402" s="309" t="str">
        <f t="shared" si="630"/>
        <v>-</v>
      </c>
      <c r="BZ402" s="310" t="str">
        <f t="shared" si="631"/>
        <v>-</v>
      </c>
      <c r="CA402" s="313" t="str">
        <f t="shared" si="632"/>
        <v>-</v>
      </c>
      <c r="CB402" s="306"/>
      <c r="CC402" s="308"/>
      <c r="CD402" s="309" t="str">
        <f t="shared" si="633"/>
        <v>-</v>
      </c>
      <c r="CE402" s="311" t="str">
        <f t="shared" si="634"/>
        <v>-</v>
      </c>
      <c r="CF402" s="309" t="str">
        <f t="shared" si="635"/>
        <v>-</v>
      </c>
      <c r="CG402" s="312" t="str">
        <f t="shared" ca="1" si="636"/>
        <v>-</v>
      </c>
      <c r="CH402" s="78"/>
      <c r="CI402" s="308"/>
      <c r="CJ402" s="384">
        <f t="shared" ca="1" si="637"/>
        <v>100</v>
      </c>
      <c r="CK402" s="359" t="str">
        <f t="shared" ca="1" si="638"/>
        <v>-----</v>
      </c>
      <c r="CL402" s="358"/>
      <c r="CM402" s="361" t="str">
        <f t="shared" si="639"/>
        <v>-</v>
      </c>
      <c r="CN402" s="360"/>
      <c r="CO402" s="360"/>
      <c r="CP402" s="360"/>
      <c r="CQ402" s="360"/>
      <c r="CR402" s="384" t="str">
        <f t="shared" si="640"/>
        <v>----</v>
      </c>
      <c r="CS402" s="359" t="str">
        <f t="shared" ca="1" si="641"/>
        <v>-----</v>
      </c>
      <c r="CT402" s="358"/>
      <c r="CU402" s="361" t="str">
        <f t="shared" si="642"/>
        <v>-</v>
      </c>
      <c r="CV402" s="360"/>
      <c r="CW402" s="360"/>
      <c r="CX402" s="360"/>
      <c r="CY402" s="569"/>
    </row>
    <row r="403" spans="1:103" s="1" customFormat="1" ht="15.75" x14ac:dyDescent="0.25">
      <c r="A403" s="77">
        <v>401</v>
      </c>
      <c r="B403" s="84">
        <f t="shared" ref="B403:B412" ca="1" si="643">TODAY()</f>
        <v>43134</v>
      </c>
      <c r="C403" s="29" t="s">
        <v>2547</v>
      </c>
      <c r="D403" s="59" t="s">
        <v>1635</v>
      </c>
      <c r="E403" s="22" t="s">
        <v>1563</v>
      </c>
      <c r="F403" s="27" t="s">
        <v>2682</v>
      </c>
      <c r="G403" s="324"/>
      <c r="H403" s="28" t="s">
        <v>603</v>
      </c>
      <c r="I403" s="20">
        <v>42854</v>
      </c>
      <c r="J403" s="240">
        <f t="shared" ref="J403:J412" ca="1" si="644">(B403-I403)/365</f>
        <v>0.76712328767123283</v>
      </c>
      <c r="K403" s="240">
        <f t="shared" ref="K403:K412" ca="1" si="645">(B403-I403)/30</f>
        <v>9.3333333333333339</v>
      </c>
      <c r="L403" s="298">
        <f t="shared" ref="L403:L412" ca="1" si="646">B403-I403</f>
        <v>280</v>
      </c>
      <c r="M403" s="60"/>
      <c r="N403" s="32"/>
      <c r="O403" s="82" t="str">
        <f t="shared" ref="O403:O412" ca="1" si="647">IF(AND(B403&gt;0,N403&gt;0),B403-N403,"-")</f>
        <v>-</v>
      </c>
      <c r="P403" s="19"/>
      <c r="Q403" s="68"/>
      <c r="R403" s="118"/>
      <c r="S403" s="21"/>
      <c r="T403" s="20"/>
      <c r="U403" s="20" t="str">
        <f t="shared" ref="U403:U412" si="648">IF(AND(Y403&gt;1,T403&gt;0),T403+18,"-")</f>
        <v>-</v>
      </c>
      <c r="V403" s="19" t="str">
        <f t="shared" ref="V403:V412" ca="1" si="649">IF(AND(U403&gt;0,B403&gt;0,Y403&gt;1),B403-U403,"-")</f>
        <v>-</v>
      </c>
      <c r="W403" s="3">
        <v>0</v>
      </c>
      <c r="X403" s="22" t="str">
        <f t="shared" ref="X403:X412" si="650">IF(AND(N403&gt;0,T403&gt;0),T403-N403,"-")</f>
        <v>-</v>
      </c>
      <c r="Y403" s="22">
        <v>0</v>
      </c>
      <c r="Z403" s="329" t="str">
        <f t="shared" ref="Z403:Z412" ca="1" si="651">IF(AND(Y403=1,AA403&gt;71,OR(ISBLANK(AB403),AB403=2)),"ПОДЛЕЖИТ ПЕРЕПРОВЕРКЕ","-----")</f>
        <v>-----</v>
      </c>
      <c r="AA403" s="328">
        <f t="shared" ref="AA403:AA412" ca="1" si="652">IF(AND(O403&gt;-1,W403&gt;0,Y403=1,AB403=1),"-----",B403-T403)</f>
        <v>43134</v>
      </c>
      <c r="AB403" s="19"/>
      <c r="AC403" s="331" t="str">
        <f t="shared" ref="AC403:AC412" ca="1" si="653">IF(AND(AB403&lt;1,Z403="ПОДЛЕЖИТ ПЕРЕПРОВЕРКЕ",Y403=1),T403+72,"-----")</f>
        <v>-----</v>
      </c>
      <c r="AD403" s="20"/>
      <c r="AE403" s="22" t="str">
        <f t="shared" ref="AE403:AE412" ca="1" si="654">IF(AND(O403&gt;120,Y403=0,N403&gt;0),"яловая","-")</f>
        <v>-</v>
      </c>
      <c r="AF403" s="20" t="str">
        <f t="shared" ref="AF403:AF412" si="655">IF(AND(T403&gt;0,OR(Y403=3,Y403=2)),T403+35,"-")</f>
        <v>-</v>
      </c>
      <c r="AG403" s="94" t="str">
        <f t="shared" ref="AG403:AG412" si="656">IF(AND(T403&gt;0,W403&gt;0,Q403&gt;0,OR(Y403=3,Y403=2)),B403-AF403,"---------")</f>
        <v>---------</v>
      </c>
      <c r="AH403" s="21"/>
      <c r="AI403" s="21" t="str">
        <f t="shared" ref="AI403:AI412" si="657">IF(AND($T403&gt;0,$N403&gt;0,$Y403=1),$T403+280-90,"-")</f>
        <v>-</v>
      </c>
      <c r="AJ403" s="21" t="str">
        <f t="shared" ref="AJ403:AJ412" si="658">IF(AND(T403&gt;0,Y403=1,N403&gt;0),T403+280-60,"-")</f>
        <v>-</v>
      </c>
      <c r="AK403" s="909">
        <v>43000</v>
      </c>
      <c r="AL403" s="21" t="s">
        <v>3166</v>
      </c>
      <c r="AM403" s="21" t="str">
        <f t="shared" ref="AM403:AM412" si="659">IF(AND(T403&gt;0,Y403=1),T403+280,"-")</f>
        <v>-</v>
      </c>
      <c r="AN403" s="89" t="str">
        <f t="shared" ref="AN403:AN412" ca="1" si="660">IF(AND(B403&gt;0,AM403&gt;0,AH403&gt;0,Y403=1),B403-AM403,"-")</f>
        <v>-</v>
      </c>
      <c r="AO403" s="92">
        <v>1</v>
      </c>
      <c r="AP403" s="80" t="str">
        <f t="shared" ref="AP403:AP412" ca="1" si="661">IF(AND(AE403="яловая",O403&gt;300),"БРАК","-")</f>
        <v>-</v>
      </c>
      <c r="AQ403" s="441"/>
      <c r="AR403" s="22" t="str">
        <f t="shared" ref="AR403:AR412" si="662">IF(AND(Y403=1,P403=0),"НЕТЕЛЬ","-")</f>
        <v>-</v>
      </c>
      <c r="AS403" s="234"/>
      <c r="AT403" s="22" t="str">
        <f t="shared" ref="AT403:AT412" si="663">IF(AND(N403&gt;0,T403&gt;0,W403&gt;0,Y403=1,AH403&gt;0,AK403&gt;0),"DRY COW","-")</f>
        <v>-</v>
      </c>
      <c r="AU403" s="300"/>
      <c r="AV403" s="429"/>
      <c r="AW403" s="431"/>
      <c r="AX403" s="121" t="str">
        <f t="shared" ref="AX403:AX412" si="664">IF(AND(AV403&gt;0,AW403&gt;0),B403-AV403,"-")</f>
        <v>-</v>
      </c>
      <c r="AY403" s="432" t="str">
        <f t="shared" ref="AY403:AY412" si="665">IF(AND(AV403&gt;0,AW403&gt;0),(AV403-I403)/30,"-")</f>
        <v>-</v>
      </c>
      <c r="AZ403" s="428" t="str">
        <f ca="1">IF(AND(OR(E403="тёлочка",E403="бычок"),L403&gt;0,BB403&lt;2,L403&lt;60),"ПОДЛЕЖИТ ВАКЦИНАЦИИ","-")</f>
        <v>-</v>
      </c>
      <c r="BA403" s="302">
        <v>42886</v>
      </c>
      <c r="BB403" s="326">
        <v>2</v>
      </c>
      <c r="BC403" s="330">
        <f>IF(AND(BA403&gt;0,BB403=2),BA403-I403,"Ж-Е НЕ ВАКЦ.")</f>
        <v>32</v>
      </c>
      <c r="BD403" s="332">
        <f ca="1">IF(AND(BA403&gt;0,BB403=2),B403-BA403,"-")</f>
        <v>248</v>
      </c>
      <c r="BE403" s="321" t="str">
        <f ca="1">IF(AND(L403&gt;60,BG403&lt;5),"ПОДЛЕЖИТ ВАКЦИНАЦИИ","-")</f>
        <v>-</v>
      </c>
      <c r="BF403" s="307">
        <v>42931</v>
      </c>
      <c r="BG403" s="308">
        <v>5</v>
      </c>
      <c r="BH403" s="309">
        <f ca="1">IF(AND(BF403&gt;0,BG403=5),B403-BF403,"-")</f>
        <v>203</v>
      </c>
      <c r="BI403" s="310" t="str">
        <f ca="1">IF(AND(BG403=5,BH403&gt;20,BL403&lt;5),"ТРЕБУЕТСЯ БУСТЕРНАЯ ДОЗА","-")</f>
        <v>-</v>
      </c>
      <c r="BJ403" s="313">
        <f>IF(AND(BF403&gt;0,BG403=5),BF403+21,"-")</f>
        <v>42952</v>
      </c>
      <c r="BK403" s="307">
        <v>42954</v>
      </c>
      <c r="BL403" s="308">
        <v>5</v>
      </c>
      <c r="BM403" s="309">
        <f ca="1">IF(AND(BK403&gt;0,BL403=5),B403-BK403,"-")</f>
        <v>180</v>
      </c>
      <c r="BN403" s="309">
        <f>IF(AND(BJ403&gt;0,BK403&gt;0,BL403=5),BJ403-BK403,"-")</f>
        <v>-2</v>
      </c>
      <c r="BO403" s="311" t="str">
        <f>IF(AND(BL403=5,BN403=0),"УСПЕШНО","-")</f>
        <v>-</v>
      </c>
      <c r="BP403" s="312" t="str">
        <f ca="1">IF(AND(BF403&gt;0,BG403=5,BK403&gt;0,BL403=5,BM403&gt;240,BR403&lt;5),"НЕОБХОДИМА РЕВАКЦИНАЦИЯ","-")</f>
        <v>-</v>
      </c>
      <c r="BQ403" s="307"/>
      <c r="BR403" s="308"/>
      <c r="BS403" s="309" t="str">
        <f>IF(AND(BQ403&gt;0,BR403=5),N403-BQ403,"-")</f>
        <v>-</v>
      </c>
      <c r="BT403" s="310" t="str">
        <f>IF(AND(BQ403&gt;0,BR403=5,BS403&gt;240),"НЕОБХОДИМА РЕВАКЦИНАЦИЯ","-")</f>
        <v>-</v>
      </c>
      <c r="BU403" s="321" t="str">
        <f ca="1">IF(AND(Y403=1,AN403&gt;-90,BW403&lt;2),"ТРЕБУЕТСЯ ВАКЦИНАЦИЯ","-")</f>
        <v>-</v>
      </c>
      <c r="BV403" s="306"/>
      <c r="BW403" s="308"/>
      <c r="BX403" s="309" t="str">
        <f>IF(AND(BV403&gt;0,BW403=2),BV403-T403,"-")</f>
        <v>-</v>
      </c>
      <c r="BY403" s="309" t="str">
        <f>IF(AND(BV403&gt;0,BW403=2),B403-BV403,"-")</f>
        <v>-</v>
      </c>
      <c r="BZ403" s="310" t="str">
        <f>IF(AND(BW403=2,BY403&gt;20,CC403&lt;2),"ТРЕБУЕТСЯ БУСТЕРНАЯ ДОЗА","-")</f>
        <v>-</v>
      </c>
      <c r="CA403" s="313" t="str">
        <f>IF(AND(BV403&gt;0,BW403=2),BV403+21,"-")</f>
        <v>-</v>
      </c>
      <c r="CB403" s="306"/>
      <c r="CC403" s="308"/>
      <c r="CD403" s="309" t="str">
        <f>IF(AND(CA403&gt;0,CB403&gt;0,CC403=2),CB403-CA403,"-")</f>
        <v>-</v>
      </c>
      <c r="CE403" s="311" t="str">
        <f>IF(AND(CC403=2,CD403=0),"УСПЕШНО","-")</f>
        <v>-</v>
      </c>
      <c r="CF403" s="309" t="str">
        <f>IF(AND(CB403&gt;0,CC403=2),CB403-T403,"-")</f>
        <v>-</v>
      </c>
      <c r="CG403" s="312" t="str">
        <f ca="1">IF(AND(BV403&gt;0,BW403=2,CB403&gt;0,CC403=2,Y403=1,AN403&gt;-50,CI403&lt;2),"ТРЕБУЕТСЯ РЕВАКЦИНАЦИЯ","-")</f>
        <v>-</v>
      </c>
      <c r="CH403" s="78"/>
      <c r="CI403" s="308"/>
      <c r="CJ403" s="384">
        <f ca="1">IF(O403&gt;90,N403+100,"-----")</f>
        <v>100</v>
      </c>
      <c r="CK403" s="359" t="str">
        <f ca="1">IF(AND(O403&gt;99,ISBLANK(CL403),CM403&lt;100),"ПОДЛЕЖИТ ОБРАБОТКЕ","-----")</f>
        <v>-----</v>
      </c>
      <c r="CL403" s="358"/>
      <c r="CM403" s="361" t="str">
        <f>IF(CL403&gt;0,B403-CL403,"-")</f>
        <v>-</v>
      </c>
      <c r="CN403" s="360"/>
      <c r="CO403" s="360"/>
      <c r="CP403" s="360"/>
      <c r="CQ403" s="360"/>
      <c r="CR403" s="384" t="str">
        <f>IF(AND(Y403=1,P403&gt;0),AJ403-14,"----")</f>
        <v>----</v>
      </c>
      <c r="CS403" s="359" t="str">
        <f ca="1">IF(AND(Y403=1,AN403&gt;-205,ISBLANK(CT403),CU403&lt;100),"ПОДЛЕЖИТ ОБРАБОТКЕ","-----")</f>
        <v>-----</v>
      </c>
      <c r="CT403" s="358"/>
      <c r="CU403" s="361" t="str">
        <f>IF(CT403&gt;0,B403-CT403,"-")</f>
        <v>-</v>
      </c>
      <c r="CV403" s="360"/>
      <c r="CW403" s="360"/>
      <c r="CX403" s="360"/>
      <c r="CY403" s="569"/>
    </row>
    <row r="404" spans="1:103" s="2" customFormat="1" ht="15.95" customHeight="1" x14ac:dyDescent="0.25">
      <c r="A404" s="77">
        <v>402</v>
      </c>
      <c r="B404" s="84">
        <f t="shared" ca="1" si="643"/>
        <v>43134</v>
      </c>
      <c r="C404" s="29" t="s">
        <v>2546</v>
      </c>
      <c r="D404" s="59" t="s">
        <v>1555</v>
      </c>
      <c r="E404" s="22" t="s">
        <v>1557</v>
      </c>
      <c r="F404" s="27" t="s">
        <v>3158</v>
      </c>
      <c r="G404" s="323"/>
      <c r="H404" s="28" t="s">
        <v>603</v>
      </c>
      <c r="I404" s="20">
        <v>42997</v>
      </c>
      <c r="J404" s="35">
        <f t="shared" ca="1" si="644"/>
        <v>0.37534246575342467</v>
      </c>
      <c r="K404" s="35">
        <f t="shared" ca="1" si="645"/>
        <v>4.5666666666666664</v>
      </c>
      <c r="L404" s="299">
        <f t="shared" ca="1" si="646"/>
        <v>137</v>
      </c>
      <c r="M404" s="60"/>
      <c r="N404" s="32"/>
      <c r="O404" s="82" t="str">
        <f t="shared" ca="1" si="647"/>
        <v>-</v>
      </c>
      <c r="P404" s="19"/>
      <c r="Q404" s="68"/>
      <c r="R404" s="118"/>
      <c r="S404" s="21"/>
      <c r="T404" s="20"/>
      <c r="U404" s="20" t="str">
        <f t="shared" si="648"/>
        <v>-</v>
      </c>
      <c r="V404" s="19" t="str">
        <f t="shared" ca="1" si="649"/>
        <v>-</v>
      </c>
      <c r="W404" s="3"/>
      <c r="X404" s="22" t="str">
        <f t="shared" si="650"/>
        <v>-</v>
      </c>
      <c r="Y404" s="22"/>
      <c r="Z404" s="329" t="str">
        <f t="shared" ca="1" si="651"/>
        <v>-----</v>
      </c>
      <c r="AA404" s="328">
        <f t="shared" ca="1" si="652"/>
        <v>43134</v>
      </c>
      <c r="AB404" s="19"/>
      <c r="AC404" s="331" t="str">
        <f t="shared" ca="1" si="653"/>
        <v>-----</v>
      </c>
      <c r="AD404" s="20"/>
      <c r="AE404" s="22" t="str">
        <f t="shared" ca="1" si="654"/>
        <v>-</v>
      </c>
      <c r="AF404" s="20" t="str">
        <f t="shared" si="655"/>
        <v>-</v>
      </c>
      <c r="AG404" s="94" t="str">
        <f t="shared" si="656"/>
        <v>---------</v>
      </c>
      <c r="AH404" s="21"/>
      <c r="AI404" s="21" t="str">
        <f t="shared" si="657"/>
        <v>-</v>
      </c>
      <c r="AJ404" s="21" t="str">
        <f t="shared" si="658"/>
        <v>-</v>
      </c>
      <c r="AK404" s="909">
        <v>43000</v>
      </c>
      <c r="AL404" s="21" t="s">
        <v>1614</v>
      </c>
      <c r="AM404" s="21" t="str">
        <f t="shared" si="659"/>
        <v>-</v>
      </c>
      <c r="AN404" s="89" t="str">
        <f t="shared" ca="1" si="660"/>
        <v>-</v>
      </c>
      <c r="AO404" s="92"/>
      <c r="AP404" s="80" t="str">
        <f t="shared" ca="1" si="661"/>
        <v>-</v>
      </c>
      <c r="AQ404" s="441"/>
      <c r="AR404" s="22" t="str">
        <f t="shared" si="662"/>
        <v>-</v>
      </c>
      <c r="AS404" s="234"/>
      <c r="AT404" s="22" t="str">
        <f t="shared" si="663"/>
        <v>-</v>
      </c>
      <c r="AU404" s="300"/>
      <c r="AV404" s="429"/>
      <c r="AW404" s="431"/>
      <c r="AX404" s="121" t="str">
        <f t="shared" si="664"/>
        <v>-</v>
      </c>
      <c r="AY404" s="432" t="str">
        <f t="shared" si="665"/>
        <v>-</v>
      </c>
      <c r="AZ404" s="428" t="str">
        <f ca="1">IF(AND(OR(E404="тёлочка",E404="бычок"),L404&gt;0,BB404&lt;2,L404&lt;60),"ПОДЛЕЖИТ ВАКЦИНАЦИИ","-")</f>
        <v>-</v>
      </c>
      <c r="BA404" s="121"/>
      <c r="BB404" s="326"/>
      <c r="BC404" s="330" t="str">
        <f>IF(AND(BA404&gt;0,BB404=2),BA404-I404,"Ж-Е НЕ ВАКЦ.")</f>
        <v>Ж-Е НЕ ВАКЦ.</v>
      </c>
      <c r="BD404" s="332" t="str">
        <f>IF(AND(BA404&gt;0,BB404=2),B404-BA404,"-")</f>
        <v>-</v>
      </c>
      <c r="BE404" s="321" t="str">
        <f ca="1">IF(AND(L404&gt;60,BG404&lt;5),"ПОДЛЕЖИТ ВАКЦИНАЦИИ","-")</f>
        <v>ПОДЛЕЖИТ ВАКЦИНАЦИИ</v>
      </c>
      <c r="BF404" s="306"/>
      <c r="BG404" s="308"/>
      <c r="BH404" s="309" t="str">
        <f>IF(AND(BF404&gt;0,BG404=5),B404-BF404,"-")</f>
        <v>-</v>
      </c>
      <c r="BI404" s="310" t="str">
        <f>IF(AND(BG404=5,BH404&gt;20,BL404&lt;5),"ТРЕБУЕТСЯ БУСТЕРНАЯ ДОЗА","-")</f>
        <v>-</v>
      </c>
      <c r="BJ404" s="313" t="str">
        <f>IF(AND(BF404&gt;0,BG404=5),BF404+21,"-")</f>
        <v>-</v>
      </c>
      <c r="BK404" s="306"/>
      <c r="BL404" s="308"/>
      <c r="BM404" s="309" t="str">
        <f>IF(AND(BK404&gt;0,BL404=5),B404-BK404,"-")</f>
        <v>-</v>
      </c>
      <c r="BN404" s="309" t="str">
        <f>IF(AND(BJ404&gt;0,BK404&gt;0,BL404=5),BJ404-BK404,"-")</f>
        <v>-</v>
      </c>
      <c r="BO404" s="311" t="str">
        <f>IF(AND(BL404=5,BN404=0),"УСПЕШНО","-")</f>
        <v>-</v>
      </c>
      <c r="BP404" s="312" t="str">
        <f>IF(AND(BF404&gt;0,BG404=5,BK404&gt;0,BL404=5,BM404&gt;240,BR404&lt;5),"НЕОБХОДИМА РЕВАКЦИНАЦИЯ","-")</f>
        <v>-</v>
      </c>
      <c r="BQ404" s="307"/>
      <c r="BR404" s="308"/>
      <c r="BS404" s="309" t="str">
        <f>IF(AND(BQ404&gt;0,BR404=5),N404-BQ404,"-")</f>
        <v>-</v>
      </c>
      <c r="BT404" s="310" t="str">
        <f>IF(AND(BQ404&gt;0,BR404=5,BS404&gt;240),"НЕОБХОДИМА РЕВАКЦИНАЦИЯ","-")</f>
        <v>-</v>
      </c>
      <c r="BU404" s="321" t="str">
        <f ca="1">IF(AND(Y404=1,AN404&gt;-90,BW404&lt;2),"ТРЕБУЕТСЯ ВАКЦИНАЦИЯ","-")</f>
        <v>-</v>
      </c>
      <c r="BV404" s="306"/>
      <c r="BW404" s="308"/>
      <c r="BX404" s="309" t="str">
        <f>IF(AND(BV404&gt;0,BW404=2),BV404-T404,"-")</f>
        <v>-</v>
      </c>
      <c r="BY404" s="309" t="str">
        <f>IF(AND(BV404&gt;0,BW404=2),B404-BV404,"-")</f>
        <v>-</v>
      </c>
      <c r="BZ404" s="310" t="str">
        <f>IF(AND(BW404=2,BY404&gt;20,CC404&lt;2),"ТРЕБУЕТСЯ БУСТЕРНАЯ ДОЗА","-")</f>
        <v>-</v>
      </c>
      <c r="CA404" s="313" t="str">
        <f>IF(AND(BV404&gt;0,BW404=2),BV404+21,"-")</f>
        <v>-</v>
      </c>
      <c r="CB404" s="306"/>
      <c r="CC404" s="308"/>
      <c r="CD404" s="309" t="str">
        <f>IF(AND(CA404&gt;0,CB404&gt;0,CC404=2),CB404-CA404,"-")</f>
        <v>-</v>
      </c>
      <c r="CE404" s="311" t="str">
        <f>IF(AND(CC404=2,CD404=0),"УСПЕШНО","-")</f>
        <v>-</v>
      </c>
      <c r="CF404" s="309" t="str">
        <f>IF(AND(CB404&gt;0,CC404=2),CB404-T404,"-")</f>
        <v>-</v>
      </c>
      <c r="CG404" s="312" t="str">
        <f ca="1">IF(AND(BV404&gt;0,BW404=2,CB404&gt;0,CC404=2,Y404=1,AN404&gt;-50,CI404&lt;2),"ТРЕБУЕТСЯ РЕВАКЦИНАЦИЯ","-")</f>
        <v>-</v>
      </c>
      <c r="CH404" s="78"/>
      <c r="CI404" s="308"/>
      <c r="CJ404" s="384">
        <f ca="1">IF(O404&gt;90,N404+100,"-----")</f>
        <v>100</v>
      </c>
      <c r="CK404" s="359" t="str">
        <f ca="1">IF(AND(O404&gt;99,ISBLANK(CL404),CM404&lt;100),"ПОДЛЕЖИТ ОБРАБОТКЕ","-----")</f>
        <v>-----</v>
      </c>
      <c r="CL404" s="358"/>
      <c r="CM404" s="361" t="str">
        <f>IF(CL404&gt;0,B404-CL404,"-")</f>
        <v>-</v>
      </c>
      <c r="CN404" s="360"/>
      <c r="CO404" s="360"/>
      <c r="CP404" s="360"/>
      <c r="CQ404" s="360"/>
      <c r="CR404" s="384" t="str">
        <f>IF(AND(Y404=1,P404&gt;0),AJ404-14,"----")</f>
        <v>----</v>
      </c>
      <c r="CS404" s="359" t="str">
        <f ca="1">IF(AND(Y404=1,AN404&gt;-205,ISBLANK(CT404),CU404&lt;100),"ПОДЛЕЖИТ ОБРАБОТКЕ","-----")</f>
        <v>-----</v>
      </c>
      <c r="CT404" s="358"/>
      <c r="CU404" s="361" t="str">
        <f>IF(CT404&gt;0,B404-CT404,"-")</f>
        <v>-</v>
      </c>
      <c r="CV404" s="360"/>
      <c r="CW404" s="360"/>
      <c r="CX404" s="360"/>
      <c r="CY404" s="569"/>
    </row>
    <row r="405" spans="1:103" s="1" customFormat="1" ht="25.5" x14ac:dyDescent="0.25">
      <c r="A405" s="77">
        <v>403</v>
      </c>
      <c r="B405" s="84">
        <f t="shared" ca="1" si="643"/>
        <v>43134</v>
      </c>
      <c r="C405" s="29" t="s">
        <v>2546</v>
      </c>
      <c r="D405" s="59" t="s">
        <v>1555</v>
      </c>
      <c r="E405" s="22" t="s">
        <v>1557</v>
      </c>
      <c r="F405" s="27" t="s">
        <v>3151</v>
      </c>
      <c r="G405" s="323"/>
      <c r="H405" s="28" t="s">
        <v>603</v>
      </c>
      <c r="I405" s="20">
        <v>42996</v>
      </c>
      <c r="J405" s="35">
        <f t="shared" ca="1" si="644"/>
        <v>0.37808219178082192</v>
      </c>
      <c r="K405" s="35">
        <f t="shared" ca="1" si="645"/>
        <v>4.5999999999999996</v>
      </c>
      <c r="L405" s="299">
        <f t="shared" ca="1" si="646"/>
        <v>138</v>
      </c>
      <c r="M405" s="60"/>
      <c r="N405" s="32"/>
      <c r="O405" s="82" t="str">
        <f t="shared" ca="1" si="647"/>
        <v>-</v>
      </c>
      <c r="P405" s="19"/>
      <c r="Q405" s="68"/>
      <c r="R405" s="118"/>
      <c r="S405" s="21"/>
      <c r="T405" s="20"/>
      <c r="U405" s="20" t="str">
        <f t="shared" si="648"/>
        <v>-</v>
      </c>
      <c r="V405" s="19" t="str">
        <f t="shared" ca="1" si="649"/>
        <v>-</v>
      </c>
      <c r="W405" s="3"/>
      <c r="X405" s="22" t="str">
        <f t="shared" si="650"/>
        <v>-</v>
      </c>
      <c r="Y405" s="22"/>
      <c r="Z405" s="329" t="str">
        <f t="shared" ca="1" si="651"/>
        <v>-----</v>
      </c>
      <c r="AA405" s="328">
        <f t="shared" ca="1" si="652"/>
        <v>43134</v>
      </c>
      <c r="AB405" s="19"/>
      <c r="AC405" s="331" t="str">
        <f t="shared" ca="1" si="653"/>
        <v>-----</v>
      </c>
      <c r="AD405" s="20"/>
      <c r="AE405" s="22" t="str">
        <f t="shared" ca="1" si="654"/>
        <v>-</v>
      </c>
      <c r="AF405" s="20" t="str">
        <f t="shared" si="655"/>
        <v>-</v>
      </c>
      <c r="AG405" s="94" t="str">
        <f t="shared" si="656"/>
        <v>---------</v>
      </c>
      <c r="AH405" s="21"/>
      <c r="AI405" s="21" t="str">
        <f t="shared" si="657"/>
        <v>-</v>
      </c>
      <c r="AJ405" s="21" t="str">
        <f t="shared" si="658"/>
        <v>-</v>
      </c>
      <c r="AK405" s="909">
        <v>43000</v>
      </c>
      <c r="AL405" s="21" t="s">
        <v>1614</v>
      </c>
      <c r="AM405" s="21" t="str">
        <f t="shared" si="659"/>
        <v>-</v>
      </c>
      <c r="AN405" s="89" t="str">
        <f t="shared" ca="1" si="660"/>
        <v>-</v>
      </c>
      <c r="AO405" s="92"/>
      <c r="AP405" s="80" t="str">
        <f t="shared" ca="1" si="661"/>
        <v>-</v>
      </c>
      <c r="AQ405" s="441"/>
      <c r="AR405" s="22" t="str">
        <f t="shared" si="662"/>
        <v>-</v>
      </c>
      <c r="AS405" s="234"/>
      <c r="AT405" s="22" t="str">
        <f t="shared" si="663"/>
        <v>-</v>
      </c>
      <c r="AU405" s="300"/>
      <c r="AV405" s="429"/>
      <c r="AW405" s="431"/>
      <c r="AX405" s="121" t="str">
        <f t="shared" si="664"/>
        <v>-</v>
      </c>
      <c r="AY405" s="432" t="str">
        <f t="shared" si="665"/>
        <v>-</v>
      </c>
      <c r="AZ405" s="428" t="str">
        <f ca="1">IF(AND(OR(E405="тёлочка",E405="бычок"),L405&gt;0,BB405&lt;2,L405&lt;60),"ПОДЛЕЖИТ ВАКЦИНАЦИИ","-")</f>
        <v>-</v>
      </c>
      <c r="BA405" s="121"/>
      <c r="BB405" s="326"/>
      <c r="BC405" s="330" t="str">
        <f>IF(AND(BA405&gt;0,BB405=2),BA405-I405,"Ж-Е НЕ ВАКЦ.")</f>
        <v>Ж-Е НЕ ВАКЦ.</v>
      </c>
      <c r="BD405" s="332" t="str">
        <f>IF(AND(BA405&gt;0,BB405=2),B405-BA405,"-")</f>
        <v>-</v>
      </c>
      <c r="BE405" s="321" t="str">
        <f ca="1">IF(AND(L405&gt;60,BG405&lt;5),"ПОДЛЕЖИТ ВАКЦИНАЦИИ","-")</f>
        <v>ПОДЛЕЖИТ ВАКЦИНАЦИИ</v>
      </c>
      <c r="BF405" s="306"/>
      <c r="BG405" s="308"/>
      <c r="BH405" s="309" t="str">
        <f>IF(AND(BF405&gt;0,BG405=5),B405-BF405,"-")</f>
        <v>-</v>
      </c>
      <c r="BI405" s="310" t="str">
        <f>IF(AND(BG405=5,BH405&gt;20,BL405&lt;5),"ТРЕБУЕТСЯ БУСТЕРНАЯ ДОЗА","-")</f>
        <v>-</v>
      </c>
      <c r="BJ405" s="313" t="str">
        <f>IF(AND(BF405&gt;0,BG405=5),BF405+21,"-")</f>
        <v>-</v>
      </c>
      <c r="BK405" s="306"/>
      <c r="BL405" s="308"/>
      <c r="BM405" s="309" t="str">
        <f>IF(AND(BK405&gt;0,BL405=5),B405-BK405,"-")</f>
        <v>-</v>
      </c>
      <c r="BN405" s="309" t="str">
        <f>IF(AND(BJ405&gt;0,BK405&gt;0,BL405=5),BJ405-BK405,"-")</f>
        <v>-</v>
      </c>
      <c r="BO405" s="311" t="str">
        <f>IF(AND(BL405=5,BN405=0),"УСПЕШНО","-")</f>
        <v>-</v>
      </c>
      <c r="BP405" s="312" t="str">
        <f>IF(AND(BF405&gt;0,BG405=5,BK405&gt;0,BL405=5,BM405&gt;240,BR405&lt;5),"НЕОБХОДИМА РЕВАКЦИНАЦИЯ","-")</f>
        <v>-</v>
      </c>
      <c r="BQ405" s="307"/>
      <c r="BR405" s="308"/>
      <c r="BS405" s="309" t="str">
        <f>IF(AND(BQ405&gt;0,BR405=5),N405-BQ405,"-")</f>
        <v>-</v>
      </c>
      <c r="BT405" s="310" t="str">
        <f>IF(AND(BQ405&gt;0,BR405=5,BS405&gt;240),"НЕОБХОДИМА РЕВАКЦИНАЦИЯ","-")</f>
        <v>-</v>
      </c>
      <c r="BU405" s="321" t="str">
        <f ca="1">IF(AND(Y405=1,AN405&gt;-90,BW405&lt;2),"ТРЕБУЕТСЯ ВАКЦИНАЦИЯ","-")</f>
        <v>-</v>
      </c>
      <c r="BV405" s="306"/>
      <c r="BW405" s="308"/>
      <c r="BX405" s="309" t="str">
        <f>IF(AND(BV405&gt;0,BW405=2),BV405-T405,"-")</f>
        <v>-</v>
      </c>
      <c r="BY405" s="309" t="str">
        <f>IF(AND(BV405&gt;0,BW405=2),B405-BV405,"-")</f>
        <v>-</v>
      </c>
      <c r="BZ405" s="310" t="str">
        <f>IF(AND(BW405=2,BY405&gt;20,CC405&lt;2),"ТРЕБУЕТСЯ БУСТЕРНАЯ ДОЗА","-")</f>
        <v>-</v>
      </c>
      <c r="CA405" s="313" t="str">
        <f>IF(AND(BV405&gt;0,BW405=2),BV405+21,"-")</f>
        <v>-</v>
      </c>
      <c r="CB405" s="306"/>
      <c r="CC405" s="308"/>
      <c r="CD405" s="309" t="str">
        <f>IF(AND(CA405&gt;0,CB405&gt;0,CC405=2),CB405-CA405,"-")</f>
        <v>-</v>
      </c>
      <c r="CE405" s="311" t="str">
        <f>IF(AND(CC405=2,CD405=0),"УСПЕШНО","-")</f>
        <v>-</v>
      </c>
      <c r="CF405" s="309" t="str">
        <f>IF(AND(CB405&gt;0,CC405=2),CB405-T405,"-")</f>
        <v>-</v>
      </c>
      <c r="CG405" s="312" t="str">
        <f ca="1">IF(AND(BV405&gt;0,BW405=2,CB405&gt;0,CC405=2,Y405=1,AN405&gt;-50,CI405&lt;2),"ТРЕБУЕТСЯ РЕВАКЦИНАЦИЯ","-")</f>
        <v>-</v>
      </c>
      <c r="CH405" s="78"/>
      <c r="CI405" s="308"/>
      <c r="CJ405" s="384">
        <f ca="1">IF(O405&gt;90,N405+100,"-----")</f>
        <v>100</v>
      </c>
      <c r="CK405" s="359" t="str">
        <f ca="1">IF(AND(O405&gt;99,ISBLANK(CL405),CM405&lt;100),"ПОДЛЕЖИТ ОБРАБОТКЕ","-----")</f>
        <v>-----</v>
      </c>
      <c r="CL405" s="358"/>
      <c r="CM405" s="361" t="str">
        <f>IF(CL405&gt;0,B405-CL405,"-")</f>
        <v>-</v>
      </c>
      <c r="CN405" s="360"/>
      <c r="CO405" s="360"/>
      <c r="CP405" s="360"/>
      <c r="CQ405" s="360"/>
      <c r="CR405" s="384" t="str">
        <f>IF(AND(Y405=1,P405&gt;0),AJ405-14,"----")</f>
        <v>----</v>
      </c>
      <c r="CS405" s="359" t="str">
        <f ca="1">IF(AND(Y405=1,AN405&gt;-205,ISBLANK(CT405),CU405&lt;100),"ПОДЛЕЖИТ ОБРАБОТКЕ","-----")</f>
        <v>-----</v>
      </c>
      <c r="CT405" s="358"/>
      <c r="CU405" s="361" t="str">
        <f>IF(CT405&gt;0,B405-CT405,"-")</f>
        <v>-</v>
      </c>
      <c r="CV405" s="360"/>
      <c r="CW405" s="360"/>
      <c r="CX405" s="360"/>
      <c r="CY405" s="569"/>
    </row>
    <row r="406" spans="1:103" s="1" customFormat="1" ht="25.5" x14ac:dyDescent="0.25">
      <c r="A406" s="77">
        <v>404</v>
      </c>
      <c r="B406" s="84">
        <f t="shared" ca="1" si="643"/>
        <v>43134</v>
      </c>
      <c r="C406" s="271" t="s">
        <v>2584</v>
      </c>
      <c r="D406" s="270" t="s">
        <v>2915</v>
      </c>
      <c r="E406" s="22" t="s">
        <v>1563</v>
      </c>
      <c r="F406" s="27" t="s">
        <v>1650</v>
      </c>
      <c r="G406" s="324"/>
      <c r="H406" s="28" t="s">
        <v>603</v>
      </c>
      <c r="I406" s="20">
        <v>42527</v>
      </c>
      <c r="J406" s="240">
        <f t="shared" ca="1" si="644"/>
        <v>1.6630136986301369</v>
      </c>
      <c r="K406" s="240">
        <f t="shared" ca="1" si="645"/>
        <v>20.233333333333334</v>
      </c>
      <c r="L406" s="298">
        <f t="shared" ca="1" si="646"/>
        <v>607</v>
      </c>
      <c r="M406" s="60"/>
      <c r="N406" s="32"/>
      <c r="O406" s="82" t="str">
        <f t="shared" ca="1" si="647"/>
        <v>-</v>
      </c>
      <c r="P406" s="19"/>
      <c r="Q406" s="68"/>
      <c r="R406" s="118"/>
      <c r="S406" s="21"/>
      <c r="T406" s="20"/>
      <c r="U406" s="20" t="str">
        <f t="shared" si="648"/>
        <v>-</v>
      </c>
      <c r="V406" s="19" t="str">
        <f t="shared" ca="1" si="649"/>
        <v>-</v>
      </c>
      <c r="W406" s="3">
        <v>0</v>
      </c>
      <c r="X406" s="22" t="str">
        <f t="shared" si="650"/>
        <v>-</v>
      </c>
      <c r="Y406" s="22">
        <v>0</v>
      </c>
      <c r="Z406" s="329" t="str">
        <f t="shared" ca="1" si="651"/>
        <v>-----</v>
      </c>
      <c r="AA406" s="328">
        <f t="shared" ca="1" si="652"/>
        <v>43134</v>
      </c>
      <c r="AB406" s="19"/>
      <c r="AC406" s="331" t="str">
        <f t="shared" ca="1" si="653"/>
        <v>-----</v>
      </c>
      <c r="AD406" s="20"/>
      <c r="AE406" s="22" t="str">
        <f t="shared" ca="1" si="654"/>
        <v>-</v>
      </c>
      <c r="AF406" s="20" t="str">
        <f t="shared" si="655"/>
        <v>-</v>
      </c>
      <c r="AG406" s="94" t="str">
        <f t="shared" si="656"/>
        <v>---------</v>
      </c>
      <c r="AH406" s="21"/>
      <c r="AI406" s="21" t="str">
        <f t="shared" si="657"/>
        <v>-</v>
      </c>
      <c r="AJ406" s="21" t="str">
        <f t="shared" si="658"/>
        <v>-</v>
      </c>
      <c r="AK406" s="909">
        <v>43000</v>
      </c>
      <c r="AL406" s="21" t="s">
        <v>2892</v>
      </c>
      <c r="AM406" s="21" t="str">
        <f t="shared" si="659"/>
        <v>-</v>
      </c>
      <c r="AN406" s="89" t="str">
        <f t="shared" ca="1" si="660"/>
        <v>-</v>
      </c>
      <c r="AO406" s="92">
        <v>1</v>
      </c>
      <c r="AP406" s="80" t="str">
        <f t="shared" ca="1" si="661"/>
        <v>-</v>
      </c>
      <c r="AQ406" s="441"/>
      <c r="AR406" s="22" t="str">
        <f t="shared" si="662"/>
        <v>-</v>
      </c>
      <c r="AS406" s="234"/>
      <c r="AT406" s="22" t="str">
        <f t="shared" si="663"/>
        <v>-</v>
      </c>
      <c r="AU406" s="300"/>
      <c r="AV406" s="429"/>
      <c r="AW406" s="431"/>
      <c r="AX406" s="121" t="str">
        <f t="shared" si="664"/>
        <v>-</v>
      </c>
      <c r="AY406" s="432" t="str">
        <f t="shared" si="665"/>
        <v>-</v>
      </c>
      <c r="AZ406" s="428" t="str">
        <f ca="1">IF(AND(OR(E406="тёлочка",E406="бычок"),L406&gt;0,BB406&lt;2,L406&lt;60),"ПОДЛЕЖИТ ВАКЦИНАЦИИ","-")</f>
        <v>-</v>
      </c>
      <c r="BA406" s="121"/>
      <c r="BB406" s="326"/>
      <c r="BC406" s="330" t="str">
        <f>IF(AND(BA406&gt;0,BB406=2),BA406-I406,"Ж-Е НЕ ВАКЦ.")</f>
        <v>Ж-Е НЕ ВАКЦ.</v>
      </c>
      <c r="BD406" s="332" t="str">
        <f>IF(AND(BA406&gt;0,BB406=2),B406-BA406,"-")</f>
        <v>-</v>
      </c>
      <c r="BE406" s="321" t="str">
        <f ca="1">IF(AND(L406&gt;60,BG406&lt;5),"ПОДЛЕЖИТ ВАКЦИНАЦИИ","-")</f>
        <v>-</v>
      </c>
      <c r="BF406" s="307">
        <v>42891</v>
      </c>
      <c r="BG406" s="308">
        <v>5</v>
      </c>
      <c r="BH406" s="309">
        <f ca="1">IF(AND(BF406&gt;0,BG406=5),B406-BF406,"-")</f>
        <v>243</v>
      </c>
      <c r="BI406" s="310" t="str">
        <f ca="1">IF(AND(BG406=5,BH406&gt;20,BL406&lt;5),"ТРЕБУЕТСЯ БУСТЕРНАЯ ДОЗА","-")</f>
        <v>ТРЕБУЕТСЯ БУСТЕРНАЯ ДОЗА</v>
      </c>
      <c r="BJ406" s="313">
        <f>IF(AND(BF406&gt;0,BG406=5),BF406+21,"-")</f>
        <v>42912</v>
      </c>
      <c r="BK406" s="307" t="s">
        <v>2886</v>
      </c>
      <c r="BL406" s="308"/>
      <c r="BM406" s="309" t="str">
        <f>IF(AND(BK406&gt;0,BL406=5),B406-BK406,"-")</f>
        <v>-</v>
      </c>
      <c r="BN406" s="309" t="str">
        <f>IF(AND(BJ406&gt;0,BK406&gt;0,BL406=5),BJ406-BK406,"-")</f>
        <v>-</v>
      </c>
      <c r="BO406" s="311" t="str">
        <f>IF(AND(BL406=5,BN406=0),"УСПЕШНО","-")</f>
        <v>-</v>
      </c>
      <c r="BP406" s="312" t="str">
        <f>IF(AND(BF406&gt;0,BG406=5,BK406&gt;0,BL406=5,BM406&gt;240,BR406&lt;5),"НЕОБХОДИМА РЕВАКЦИНАЦИЯ","-")</f>
        <v>-</v>
      </c>
      <c r="BQ406" s="307"/>
      <c r="BR406" s="308"/>
      <c r="BS406" s="309" t="str">
        <f>IF(AND(BQ406&gt;0,BR406=5),N406-BQ406,"-")</f>
        <v>-</v>
      </c>
      <c r="BT406" s="310" t="str">
        <f>IF(AND(BQ406&gt;0,BR406=5,BS406&gt;240),"НЕОБХОДИМА РЕВАКЦИНАЦИЯ","-")</f>
        <v>-</v>
      </c>
      <c r="BU406" s="321" t="str">
        <f ca="1">IF(AND(Y406=1,AN406&gt;-90,BW406&lt;2),"ТРЕБУЕТСЯ ВАКЦИНАЦИЯ","-")</f>
        <v>-</v>
      </c>
      <c r="BV406" s="306"/>
      <c r="BW406" s="308"/>
      <c r="BX406" s="309" t="str">
        <f>IF(AND(BV406&gt;0,BW406=2),BV406-T406,"-")</f>
        <v>-</v>
      </c>
      <c r="BY406" s="309" t="str">
        <f>IF(AND(BV406&gt;0,BW406=2),B406-BV406,"-")</f>
        <v>-</v>
      </c>
      <c r="BZ406" s="310" t="str">
        <f>IF(AND(BW406=2,BY406&gt;20,CC406&lt;2),"ТРЕБУЕТСЯ БУСТЕРНАЯ ДОЗА","-")</f>
        <v>-</v>
      </c>
      <c r="CA406" s="313" t="str">
        <f>IF(AND(BV406&gt;0,BW406=2),BV406+21,"-")</f>
        <v>-</v>
      </c>
      <c r="CB406" s="306"/>
      <c r="CC406" s="308"/>
      <c r="CD406" s="309" t="str">
        <f>IF(AND(CA406&gt;0,CB406&gt;0,CC406=2),CB406-CA406,"-")</f>
        <v>-</v>
      </c>
      <c r="CE406" s="311" t="str">
        <f>IF(AND(CC406=2,CD406=0),"УСПЕШНО","-")</f>
        <v>-</v>
      </c>
      <c r="CF406" s="309" t="str">
        <f>IF(AND(CB406&gt;0,CC406=2),CB406-T406,"-")</f>
        <v>-</v>
      </c>
      <c r="CG406" s="312" t="str">
        <f ca="1">IF(AND(BV406&gt;0,BW406=2,CB406&gt;0,CC406=2,Y406=1,AN406&gt;-50,CI406&lt;2),"ТРЕБУЕТСЯ РЕВАКЦИНАЦИЯ","-")</f>
        <v>-</v>
      </c>
      <c r="CH406" s="78"/>
      <c r="CI406" s="308"/>
      <c r="CJ406" s="384">
        <f ca="1">IF(O406&gt;90,N406+100,"-----")</f>
        <v>100</v>
      </c>
      <c r="CK406" s="359" t="str">
        <f ca="1">IF(AND(O406&gt;99,ISBLANK(CL406),CM406&lt;100),"ПОДЛЕЖИТ ОБРАБОТКЕ","-----")</f>
        <v>-----</v>
      </c>
      <c r="CL406" s="358"/>
      <c r="CM406" s="361" t="str">
        <f>IF(CL406&gt;0,B406-CL406,"-")</f>
        <v>-</v>
      </c>
      <c r="CN406" s="360"/>
      <c r="CO406" s="360"/>
      <c r="CP406" s="360"/>
      <c r="CQ406" s="360"/>
      <c r="CR406" s="384" t="str">
        <f>IF(AND(Y406=1,P406&gt;0),AJ406-14,"----")</f>
        <v>----</v>
      </c>
      <c r="CS406" s="359" t="str">
        <f ca="1">IF(AND(Y406=1,AN406&gt;-205,ISBLANK(CT406),CU406&lt;100),"ПОДЛЕЖИТ ОБРАБОТКЕ","-----")</f>
        <v>-----</v>
      </c>
      <c r="CT406" s="358"/>
      <c r="CU406" s="361" t="str">
        <f>IF(CT406&gt;0,B406-CT406,"-")</f>
        <v>-</v>
      </c>
      <c r="CV406" s="360"/>
      <c r="CW406" s="360"/>
      <c r="CX406" s="360"/>
      <c r="CY406" s="569"/>
    </row>
    <row r="407" spans="1:103" s="1" customFormat="1" ht="25.5" x14ac:dyDescent="0.25">
      <c r="A407" s="77">
        <v>945</v>
      </c>
      <c r="B407" s="84">
        <f t="shared" ca="1" si="643"/>
        <v>43134</v>
      </c>
      <c r="C407" s="29" t="s">
        <v>2546</v>
      </c>
      <c r="D407" s="59" t="s">
        <v>1555</v>
      </c>
      <c r="E407" s="22" t="s">
        <v>1557</v>
      </c>
      <c r="F407" s="27" t="s">
        <v>3164</v>
      </c>
      <c r="G407" s="323"/>
      <c r="H407" s="28" t="s">
        <v>603</v>
      </c>
      <c r="I407" s="20">
        <v>42998</v>
      </c>
      <c r="J407" s="240">
        <f t="shared" ca="1" si="644"/>
        <v>0.37260273972602742</v>
      </c>
      <c r="K407" s="240">
        <f t="shared" ca="1" si="645"/>
        <v>4.5333333333333332</v>
      </c>
      <c r="L407" s="298">
        <f t="shared" ca="1" si="646"/>
        <v>136</v>
      </c>
      <c r="M407" s="60"/>
      <c r="N407" s="32"/>
      <c r="O407" s="82" t="str">
        <f t="shared" ca="1" si="647"/>
        <v>-</v>
      </c>
      <c r="P407" s="19"/>
      <c r="Q407" s="68"/>
      <c r="R407" s="118"/>
      <c r="S407" s="21"/>
      <c r="T407" s="20"/>
      <c r="U407" s="20" t="str">
        <f t="shared" si="648"/>
        <v>-</v>
      </c>
      <c r="V407" s="19" t="str">
        <f t="shared" ca="1" si="649"/>
        <v>-</v>
      </c>
      <c r="W407" s="3">
        <v>0</v>
      </c>
      <c r="X407" s="22" t="str">
        <f t="shared" si="650"/>
        <v>-</v>
      </c>
      <c r="Y407" s="22">
        <v>0</v>
      </c>
      <c r="Z407" s="329" t="str">
        <f t="shared" ca="1" si="651"/>
        <v>-----</v>
      </c>
      <c r="AA407" s="328">
        <f t="shared" ca="1" si="652"/>
        <v>43134</v>
      </c>
      <c r="AB407" s="19"/>
      <c r="AC407" s="331" t="str">
        <f t="shared" ca="1" si="653"/>
        <v>-----</v>
      </c>
      <c r="AD407" s="20"/>
      <c r="AE407" s="22" t="str">
        <f t="shared" ca="1" si="654"/>
        <v>-</v>
      </c>
      <c r="AF407" s="20" t="str">
        <f t="shared" si="655"/>
        <v>-</v>
      </c>
      <c r="AG407" s="94" t="str">
        <f t="shared" si="656"/>
        <v>---------</v>
      </c>
      <c r="AH407" s="21"/>
      <c r="AI407" s="21" t="str">
        <f t="shared" si="657"/>
        <v>-</v>
      </c>
      <c r="AJ407" s="21" t="str">
        <f t="shared" si="658"/>
        <v>-</v>
      </c>
      <c r="AK407" s="909">
        <v>43005</v>
      </c>
      <c r="AL407" s="21" t="s">
        <v>1614</v>
      </c>
      <c r="AM407" s="21" t="str">
        <f t="shared" si="659"/>
        <v>-</v>
      </c>
      <c r="AN407" s="89" t="str">
        <f t="shared" ca="1" si="660"/>
        <v>-</v>
      </c>
      <c r="AO407" s="92"/>
      <c r="AP407" s="80" t="str">
        <f t="shared" ca="1" si="661"/>
        <v>-</v>
      </c>
      <c r="AQ407" s="441"/>
      <c r="AR407" s="22" t="str">
        <f t="shared" si="662"/>
        <v>-</v>
      </c>
      <c r="AS407" s="234"/>
      <c r="AT407" s="22" t="str">
        <f t="shared" si="663"/>
        <v>-</v>
      </c>
      <c r="AU407" s="300"/>
      <c r="AV407" s="429"/>
      <c r="AW407" s="431"/>
      <c r="AX407" s="121" t="str">
        <f t="shared" si="664"/>
        <v>-</v>
      </c>
      <c r="AY407" s="432" t="str">
        <f t="shared" si="665"/>
        <v>-</v>
      </c>
      <c r="AZ407" s="446"/>
      <c r="BA407" s="431"/>
      <c r="BB407" s="121" t="str">
        <f t="shared" ref="BB407:BB412" si="666">IF(AND(AZ407&gt;0,BA407&gt;0),B407-AZ407,"-")</f>
        <v>-</v>
      </c>
      <c r="BC407" s="432" t="str">
        <f t="shared" ref="BC407:BC412" si="667">IF(AND(AZ407&gt;0,BA407&gt;0),(AZ407-M407)/30,"-")</f>
        <v>-</v>
      </c>
      <c r="BD407" s="428" t="str">
        <f t="shared" ref="BD407:BD412" ca="1" si="668">IF(AND(OR(E407="тёлочка",E407="бычок"),L407&gt;0,BF407&lt;2,L407&lt;60),"ПОДЛЕЖИТ ВАКЦИНАЦИИ","-")</f>
        <v>-</v>
      </c>
      <c r="BE407" s="121"/>
      <c r="BF407" s="326"/>
      <c r="BG407" s="330" t="str">
        <f t="shared" ref="BG407:BG412" si="669">IF(AND(BE407&gt;0,BF407=2),BE407-I407,"Ж-Е НЕ ВАКЦ.")</f>
        <v>Ж-Е НЕ ВАКЦ.</v>
      </c>
      <c r="BH407" s="332" t="str">
        <f t="shared" ref="BH407:BH412" si="670">IF(AND(BE407&gt;0,BF407=2),B407-BE407,"-")</f>
        <v>-</v>
      </c>
      <c r="BI407" s="321" t="str">
        <f t="shared" ref="BI407:BI412" ca="1" si="671">IF(AND(L407&gt;60,BK407&lt;5),"ПОДЛЕЖИТ ВАКЦИНАЦИИ","-")</f>
        <v>ПОДЛЕЖИТ ВАКЦИНАЦИИ</v>
      </c>
      <c r="BJ407" s="306"/>
      <c r="BK407" s="308"/>
      <c r="BL407" s="309" t="str">
        <f t="shared" ref="BL407:BL412" si="672">IF(AND(BJ407&gt;0,BK407=5),B407-BJ407,"-")</f>
        <v>-</v>
      </c>
      <c r="BM407" s="310" t="str">
        <f t="shared" ref="BM407:BM412" si="673">IF(AND(BK407=5,BL407&gt;20,BP407&lt;5),"ТРЕБУЕТСЯ БУСТЕРНАЯ ДОЗА","-")</f>
        <v>-</v>
      </c>
      <c r="BN407" s="313" t="str">
        <f t="shared" ref="BN407:BN412" si="674">IF(AND(BJ407&gt;0,BK407=5),BJ407+21,"-")</f>
        <v>-</v>
      </c>
      <c r="BO407" s="306"/>
      <c r="BP407" s="308"/>
      <c r="BQ407" s="309" t="str">
        <f t="shared" ref="BQ407:BQ412" si="675">IF(AND(BO407&gt;0,BP407=5),B407-BO407,"-")</f>
        <v>-</v>
      </c>
      <c r="BR407" s="309" t="str">
        <f t="shared" ref="BR407:BR412" si="676">IF(AND(BN407&gt;0,BO407&gt;0,BP407=5),BN407-BO407,"-")</f>
        <v>-</v>
      </c>
      <c r="BS407" s="311" t="str">
        <f t="shared" ref="BS407:BS412" si="677">IF(AND(BP407=5,BR407=0),"УСПЕШНО","-")</f>
        <v>-</v>
      </c>
      <c r="BT407" s="312" t="str">
        <f t="shared" ref="BT407:BT412" si="678">IF(AND(BJ407&gt;0,BK407=5,BO407&gt;0,BP407=5,BQ407&gt;240,BV407&lt;5),"НЕОБХОДИМА РЕВАКЦИНАЦИЯ","-")</f>
        <v>-</v>
      </c>
      <c r="BU407" s="307"/>
      <c r="BV407" s="308"/>
      <c r="BW407" s="309" t="str">
        <f t="shared" ref="BW407:BW412" si="679">IF(AND(BU407&gt;0,BV407=5),N407-BU407,"-")</f>
        <v>-</v>
      </c>
      <c r="BX407" s="310" t="str">
        <f t="shared" ref="BX407:BX412" si="680">IF(AND(BU407&gt;0,BV407=5,BW407&gt;240),"НЕОБХОДИМА РЕВАКЦИНАЦИЯ","-")</f>
        <v>-</v>
      </c>
      <c r="BY407" s="321" t="str">
        <f t="shared" ref="BY407:BY412" ca="1" si="681">IF(AND(Y407=1,AN407&gt;-90,CA407&lt;2),"ТРЕБУЕТСЯ ВАКЦИНАЦИЯ","-")</f>
        <v>-</v>
      </c>
      <c r="BZ407" s="306"/>
      <c r="CA407" s="308"/>
      <c r="CB407" s="309" t="str">
        <f t="shared" ref="CB407:CB412" si="682">IF(AND(BZ407&gt;0,CA407=2),BZ407-T407,"-")</f>
        <v>-</v>
      </c>
      <c r="CC407" s="309" t="str">
        <f t="shared" ref="CC407:CC412" si="683">IF(AND(BZ407&gt;0,CA407=2),B407-BZ407,"-")</f>
        <v>-</v>
      </c>
      <c r="CD407" s="310" t="str">
        <f t="shared" ref="CD407:CD412" si="684">IF(AND(CA407=2,CC407&gt;20,CG407&lt;2),"ТРЕБУЕТСЯ БУСТЕРНАЯ ДОЗА","-")</f>
        <v>-</v>
      </c>
      <c r="CE407" s="313" t="str">
        <f t="shared" ref="CE407:CE412" si="685">IF(AND(BZ407&gt;0,CA407=2),BZ407+21,"-")</f>
        <v>-</v>
      </c>
      <c r="CF407" s="306"/>
      <c r="CG407" s="308"/>
      <c r="CH407" s="309" t="str">
        <f t="shared" ref="CH407:CH412" si="686">IF(AND(CE407&gt;0,CF407&gt;0,CG407=2),CF407-CE407,"-")</f>
        <v>-</v>
      </c>
      <c r="CI407" s="311" t="str">
        <f t="shared" ref="CI407:CI412" si="687">IF(AND(CG407=2,CH407=0),"УСПЕШНО","-")</f>
        <v>-</v>
      </c>
      <c r="CJ407" s="309" t="str">
        <f t="shared" ref="CJ407:CJ412" si="688">IF(AND(CF407&gt;0,CG407=2),CF407-T407,"-")</f>
        <v>-</v>
      </c>
      <c r="CK407" s="312" t="str">
        <f t="shared" ref="CK407:CK412" ca="1" si="689">IF(AND(BZ407&gt;0,CA407=2,CF407&gt;0,CG407=2,Y407=1,AN407&gt;-50,CM407&lt;2),"ТРЕБУЕТСЯ РЕВАКЦИНАЦИЯ","-")</f>
        <v>-</v>
      </c>
      <c r="CL407" s="78"/>
      <c r="CM407" s="308"/>
      <c r="CN407" s="384">
        <f t="shared" ref="CN407:CN412" ca="1" si="690">IF(O407&gt;90,N407+100,"-----")</f>
        <v>100</v>
      </c>
      <c r="CO407" s="359" t="str">
        <f t="shared" ref="CO407:CO412" ca="1" si="691">IF(AND(O407&gt;99,ISBLANK(CP407),CQ407&lt;100),"ПОДЛЕЖИТ ОБРАБОТКЕ","-----")</f>
        <v>-----</v>
      </c>
      <c r="CP407" s="358"/>
      <c r="CQ407" s="361" t="str">
        <f t="shared" ref="CQ407:CQ412" si="692">IF(CP407&gt;0,B407-CP407,"-")</f>
        <v>-</v>
      </c>
      <c r="CR407" s="360"/>
      <c r="CS407" s="360"/>
      <c r="CT407" s="360"/>
      <c r="CU407" s="360"/>
      <c r="CV407" s="384" t="str">
        <f t="shared" ref="CV407:CV412" si="693">IF(AND(Y407=1,P407&gt;0),AJ407-14,"----")</f>
        <v>----</v>
      </c>
      <c r="CW407" s="359" t="str">
        <f t="shared" ref="CW407:CW412" ca="1" si="694">IF(AND(Y407=1,AN407&gt;-205,ISBLANK(CX407),CY407&lt;100),"ПОДЛЕЖИТ ОБРАБОТКЕ","-----")</f>
        <v>-----</v>
      </c>
      <c r="CX407" s="358"/>
      <c r="CY407" s="570" t="str">
        <f t="shared" ref="CY407:CY412" si="695">IF(CX407&gt;0,B407-CX407,"-")</f>
        <v>-</v>
      </c>
    </row>
    <row r="408" spans="1:103" s="1" customFormat="1" ht="15.75" x14ac:dyDescent="0.25">
      <c r="A408" s="77">
        <v>678</v>
      </c>
      <c r="B408" s="84">
        <f t="shared" ca="1" si="643"/>
        <v>43134</v>
      </c>
      <c r="C408" s="29" t="s">
        <v>2546</v>
      </c>
      <c r="D408" s="59" t="s">
        <v>1555</v>
      </c>
      <c r="E408" s="22" t="s">
        <v>1557</v>
      </c>
      <c r="F408" s="27" t="s">
        <v>3152</v>
      </c>
      <c r="G408" s="324"/>
      <c r="H408" s="28" t="s">
        <v>603</v>
      </c>
      <c r="I408" s="20">
        <v>42996</v>
      </c>
      <c r="J408" s="240">
        <f t="shared" ca="1" si="644"/>
        <v>0.37808219178082192</v>
      </c>
      <c r="K408" s="240">
        <f t="shared" ca="1" si="645"/>
        <v>4.5999999999999996</v>
      </c>
      <c r="L408" s="298">
        <f t="shared" ca="1" si="646"/>
        <v>138</v>
      </c>
      <c r="M408" s="60"/>
      <c r="N408" s="32"/>
      <c r="O408" s="82" t="str">
        <f t="shared" ca="1" si="647"/>
        <v>-</v>
      </c>
      <c r="P408" s="19"/>
      <c r="Q408" s="68"/>
      <c r="R408" s="118"/>
      <c r="S408" s="21"/>
      <c r="T408" s="20"/>
      <c r="U408" s="20" t="str">
        <f t="shared" si="648"/>
        <v>-</v>
      </c>
      <c r="V408" s="19" t="str">
        <f t="shared" ca="1" si="649"/>
        <v>-</v>
      </c>
      <c r="W408" s="3">
        <v>0</v>
      </c>
      <c r="X408" s="22" t="str">
        <f t="shared" si="650"/>
        <v>-</v>
      </c>
      <c r="Y408" s="3">
        <v>0</v>
      </c>
      <c r="Z408" s="329" t="str">
        <f t="shared" ca="1" si="651"/>
        <v>-----</v>
      </c>
      <c r="AA408" s="328">
        <f t="shared" ca="1" si="652"/>
        <v>43134</v>
      </c>
      <c r="AB408" s="19"/>
      <c r="AC408" s="331" t="str">
        <f t="shared" ca="1" si="653"/>
        <v>-----</v>
      </c>
      <c r="AD408" s="20"/>
      <c r="AE408" s="22" t="str">
        <f t="shared" ca="1" si="654"/>
        <v>-</v>
      </c>
      <c r="AF408" s="20" t="str">
        <f t="shared" si="655"/>
        <v>-</v>
      </c>
      <c r="AG408" s="94" t="str">
        <f t="shared" si="656"/>
        <v>---------</v>
      </c>
      <c r="AH408" s="21"/>
      <c r="AI408" s="21" t="str">
        <f t="shared" si="657"/>
        <v>-</v>
      </c>
      <c r="AJ408" s="21" t="str">
        <f t="shared" si="658"/>
        <v>-</v>
      </c>
      <c r="AK408" s="909">
        <v>43005</v>
      </c>
      <c r="AL408" s="21" t="s">
        <v>1614</v>
      </c>
      <c r="AM408" s="21" t="str">
        <f t="shared" si="659"/>
        <v>-</v>
      </c>
      <c r="AN408" s="89" t="str">
        <f t="shared" ca="1" si="660"/>
        <v>-</v>
      </c>
      <c r="AO408" s="92"/>
      <c r="AP408" s="80" t="str">
        <f t="shared" ca="1" si="661"/>
        <v>-</v>
      </c>
      <c r="AQ408" s="441"/>
      <c r="AR408" s="22" t="str">
        <f t="shared" si="662"/>
        <v>-</v>
      </c>
      <c r="AS408" s="234"/>
      <c r="AT408" s="22" t="str">
        <f t="shared" si="663"/>
        <v>-</v>
      </c>
      <c r="AU408" s="300"/>
      <c r="AV408" s="429"/>
      <c r="AW408" s="431"/>
      <c r="AX408" s="121" t="str">
        <f t="shared" si="664"/>
        <v>-</v>
      </c>
      <c r="AY408" s="432" t="str">
        <f t="shared" si="665"/>
        <v>-</v>
      </c>
      <c r="AZ408" s="446"/>
      <c r="BA408" s="431"/>
      <c r="BB408" s="121" t="str">
        <f t="shared" si="666"/>
        <v>-</v>
      </c>
      <c r="BC408" s="432" t="str">
        <f t="shared" si="667"/>
        <v>-</v>
      </c>
      <c r="BD408" s="428" t="str">
        <f t="shared" ca="1" si="668"/>
        <v>-</v>
      </c>
      <c r="BE408" s="302">
        <v>43003</v>
      </c>
      <c r="BF408" s="326">
        <v>2</v>
      </c>
      <c r="BG408" s="330">
        <f t="shared" si="669"/>
        <v>7</v>
      </c>
      <c r="BH408" s="332">
        <f t="shared" ca="1" si="670"/>
        <v>131</v>
      </c>
      <c r="BI408" s="321" t="str">
        <f t="shared" ca="1" si="671"/>
        <v>ПОДЛЕЖИТ ВАКЦИНАЦИИ</v>
      </c>
      <c r="BJ408" s="306"/>
      <c r="BK408" s="308"/>
      <c r="BL408" s="309" t="str">
        <f t="shared" si="672"/>
        <v>-</v>
      </c>
      <c r="BM408" s="310" t="str">
        <f t="shared" si="673"/>
        <v>-</v>
      </c>
      <c r="BN408" s="313" t="str">
        <f t="shared" si="674"/>
        <v>-</v>
      </c>
      <c r="BO408" s="306"/>
      <c r="BP408" s="308"/>
      <c r="BQ408" s="309" t="str">
        <f t="shared" si="675"/>
        <v>-</v>
      </c>
      <c r="BR408" s="309" t="str">
        <f t="shared" si="676"/>
        <v>-</v>
      </c>
      <c r="BS408" s="311" t="str">
        <f t="shared" si="677"/>
        <v>-</v>
      </c>
      <c r="BT408" s="312" t="str">
        <f t="shared" si="678"/>
        <v>-</v>
      </c>
      <c r="BU408" s="307"/>
      <c r="BV408" s="308"/>
      <c r="BW408" s="309" t="str">
        <f t="shared" si="679"/>
        <v>-</v>
      </c>
      <c r="BX408" s="310" t="str">
        <f t="shared" si="680"/>
        <v>-</v>
      </c>
      <c r="BY408" s="321" t="str">
        <f t="shared" ca="1" si="681"/>
        <v>-</v>
      </c>
      <c r="BZ408" s="306"/>
      <c r="CA408" s="308"/>
      <c r="CB408" s="309" t="str">
        <f t="shared" si="682"/>
        <v>-</v>
      </c>
      <c r="CC408" s="309" t="str">
        <f t="shared" si="683"/>
        <v>-</v>
      </c>
      <c r="CD408" s="310" t="str">
        <f t="shared" si="684"/>
        <v>-</v>
      </c>
      <c r="CE408" s="313" t="str">
        <f t="shared" si="685"/>
        <v>-</v>
      </c>
      <c r="CF408" s="306"/>
      <c r="CG408" s="308"/>
      <c r="CH408" s="309" t="str">
        <f t="shared" si="686"/>
        <v>-</v>
      </c>
      <c r="CI408" s="311" t="str">
        <f t="shared" si="687"/>
        <v>-</v>
      </c>
      <c r="CJ408" s="309" t="str">
        <f t="shared" si="688"/>
        <v>-</v>
      </c>
      <c r="CK408" s="312" t="str">
        <f t="shared" ca="1" si="689"/>
        <v>-</v>
      </c>
      <c r="CL408" s="78"/>
      <c r="CM408" s="308"/>
      <c r="CN408" s="384">
        <f t="shared" ca="1" si="690"/>
        <v>100</v>
      </c>
      <c r="CO408" s="359" t="str">
        <f t="shared" ca="1" si="691"/>
        <v>-----</v>
      </c>
      <c r="CP408" s="358"/>
      <c r="CQ408" s="361" t="str">
        <f t="shared" si="692"/>
        <v>-</v>
      </c>
      <c r="CR408" s="360"/>
      <c r="CS408" s="360"/>
      <c r="CT408" s="360"/>
      <c r="CU408" s="360"/>
      <c r="CV408" s="384" t="str">
        <f t="shared" si="693"/>
        <v>----</v>
      </c>
      <c r="CW408" s="359" t="str">
        <f t="shared" ca="1" si="694"/>
        <v>-----</v>
      </c>
      <c r="CX408" s="358"/>
      <c r="CY408" s="570" t="str">
        <f t="shared" si="695"/>
        <v>-</v>
      </c>
    </row>
    <row r="409" spans="1:103" s="2" customFormat="1" ht="15.95" customHeight="1" x14ac:dyDescent="0.25">
      <c r="A409" s="77">
        <v>679</v>
      </c>
      <c r="B409" s="84">
        <f t="shared" ca="1" si="643"/>
        <v>43134</v>
      </c>
      <c r="C409" s="29" t="s">
        <v>2546</v>
      </c>
      <c r="D409" s="59" t="s">
        <v>1555</v>
      </c>
      <c r="E409" s="22" t="s">
        <v>1557</v>
      </c>
      <c r="F409" s="27" t="s">
        <v>3169</v>
      </c>
      <c r="G409" s="324"/>
      <c r="H409" s="28" t="s">
        <v>603</v>
      </c>
      <c r="I409" s="20">
        <v>43001</v>
      </c>
      <c r="J409" s="240">
        <f t="shared" ca="1" si="644"/>
        <v>0.36438356164383562</v>
      </c>
      <c r="K409" s="240">
        <f t="shared" ca="1" si="645"/>
        <v>4.4333333333333336</v>
      </c>
      <c r="L409" s="298">
        <f t="shared" ca="1" si="646"/>
        <v>133</v>
      </c>
      <c r="M409" s="60"/>
      <c r="N409" s="32"/>
      <c r="O409" s="82" t="str">
        <f t="shared" ca="1" si="647"/>
        <v>-</v>
      </c>
      <c r="P409" s="19"/>
      <c r="Q409" s="68"/>
      <c r="R409" s="118"/>
      <c r="S409" s="21"/>
      <c r="T409" s="20"/>
      <c r="U409" s="20" t="str">
        <f t="shared" si="648"/>
        <v>-</v>
      </c>
      <c r="V409" s="19" t="str">
        <f t="shared" ca="1" si="649"/>
        <v>-</v>
      </c>
      <c r="W409" s="3">
        <v>0</v>
      </c>
      <c r="X409" s="22" t="str">
        <f t="shared" si="650"/>
        <v>-</v>
      </c>
      <c r="Y409" s="3">
        <v>0</v>
      </c>
      <c r="Z409" s="329" t="str">
        <f t="shared" ca="1" si="651"/>
        <v>-----</v>
      </c>
      <c r="AA409" s="328">
        <f t="shared" ca="1" si="652"/>
        <v>43134</v>
      </c>
      <c r="AB409" s="19"/>
      <c r="AC409" s="331" t="str">
        <f t="shared" ca="1" si="653"/>
        <v>-----</v>
      </c>
      <c r="AD409" s="20"/>
      <c r="AE409" s="22" t="str">
        <f t="shared" ca="1" si="654"/>
        <v>-</v>
      </c>
      <c r="AF409" s="20" t="str">
        <f t="shared" si="655"/>
        <v>-</v>
      </c>
      <c r="AG409" s="94" t="str">
        <f t="shared" si="656"/>
        <v>---------</v>
      </c>
      <c r="AH409" s="21"/>
      <c r="AI409" s="21" t="str">
        <f t="shared" si="657"/>
        <v>-</v>
      </c>
      <c r="AJ409" s="21" t="str">
        <f t="shared" si="658"/>
        <v>-</v>
      </c>
      <c r="AK409" s="909">
        <v>43005</v>
      </c>
      <c r="AL409" s="21" t="s">
        <v>1614</v>
      </c>
      <c r="AM409" s="21" t="str">
        <f t="shared" si="659"/>
        <v>-</v>
      </c>
      <c r="AN409" s="89" t="str">
        <f t="shared" ca="1" si="660"/>
        <v>-</v>
      </c>
      <c r="AO409" s="92"/>
      <c r="AP409" s="80" t="str">
        <f t="shared" ca="1" si="661"/>
        <v>-</v>
      </c>
      <c r="AQ409" s="441"/>
      <c r="AR409" s="22" t="str">
        <f t="shared" si="662"/>
        <v>-</v>
      </c>
      <c r="AS409" s="234"/>
      <c r="AT409" s="22" t="str">
        <f t="shared" si="663"/>
        <v>-</v>
      </c>
      <c r="AU409" s="300"/>
      <c r="AV409" s="429"/>
      <c r="AW409" s="431"/>
      <c r="AX409" s="121" t="str">
        <f t="shared" si="664"/>
        <v>-</v>
      </c>
      <c r="AY409" s="432" t="str">
        <f t="shared" si="665"/>
        <v>-</v>
      </c>
      <c r="AZ409" s="446"/>
      <c r="BA409" s="431"/>
      <c r="BB409" s="121" t="str">
        <f t="shared" si="666"/>
        <v>-</v>
      </c>
      <c r="BC409" s="432" t="str">
        <f t="shared" si="667"/>
        <v>-</v>
      </c>
      <c r="BD409" s="428" t="str">
        <f t="shared" ca="1" si="668"/>
        <v>-</v>
      </c>
      <c r="BE409" s="121"/>
      <c r="BF409" s="326"/>
      <c r="BG409" s="330" t="str">
        <f t="shared" si="669"/>
        <v>Ж-Е НЕ ВАКЦ.</v>
      </c>
      <c r="BH409" s="332" t="str">
        <f t="shared" si="670"/>
        <v>-</v>
      </c>
      <c r="BI409" s="321" t="str">
        <f t="shared" ca="1" si="671"/>
        <v>ПОДЛЕЖИТ ВАКЦИНАЦИИ</v>
      </c>
      <c r="BJ409" s="306"/>
      <c r="BK409" s="308"/>
      <c r="BL409" s="309" t="str">
        <f t="shared" si="672"/>
        <v>-</v>
      </c>
      <c r="BM409" s="310" t="str">
        <f t="shared" si="673"/>
        <v>-</v>
      </c>
      <c r="BN409" s="313" t="str">
        <f t="shared" si="674"/>
        <v>-</v>
      </c>
      <c r="BO409" s="306"/>
      <c r="BP409" s="308"/>
      <c r="BQ409" s="309" t="str">
        <f t="shared" si="675"/>
        <v>-</v>
      </c>
      <c r="BR409" s="309" t="str">
        <f t="shared" si="676"/>
        <v>-</v>
      </c>
      <c r="BS409" s="311" t="str">
        <f t="shared" si="677"/>
        <v>-</v>
      </c>
      <c r="BT409" s="312" t="str">
        <f t="shared" si="678"/>
        <v>-</v>
      </c>
      <c r="BU409" s="307"/>
      <c r="BV409" s="308"/>
      <c r="BW409" s="309" t="str">
        <f t="shared" si="679"/>
        <v>-</v>
      </c>
      <c r="BX409" s="310" t="str">
        <f t="shared" si="680"/>
        <v>-</v>
      </c>
      <c r="BY409" s="321" t="str">
        <f t="shared" ca="1" si="681"/>
        <v>-</v>
      </c>
      <c r="BZ409" s="306"/>
      <c r="CA409" s="308"/>
      <c r="CB409" s="309" t="str">
        <f t="shared" si="682"/>
        <v>-</v>
      </c>
      <c r="CC409" s="309" t="str">
        <f t="shared" si="683"/>
        <v>-</v>
      </c>
      <c r="CD409" s="310" t="str">
        <f t="shared" si="684"/>
        <v>-</v>
      </c>
      <c r="CE409" s="313" t="str">
        <f t="shared" si="685"/>
        <v>-</v>
      </c>
      <c r="CF409" s="306"/>
      <c r="CG409" s="308"/>
      <c r="CH409" s="309" t="str">
        <f t="shared" si="686"/>
        <v>-</v>
      </c>
      <c r="CI409" s="311" t="str">
        <f t="shared" si="687"/>
        <v>-</v>
      </c>
      <c r="CJ409" s="309" t="str">
        <f t="shared" si="688"/>
        <v>-</v>
      </c>
      <c r="CK409" s="312" t="str">
        <f t="shared" ca="1" si="689"/>
        <v>-</v>
      </c>
      <c r="CL409" s="78"/>
      <c r="CM409" s="308"/>
      <c r="CN409" s="384">
        <f t="shared" ca="1" si="690"/>
        <v>100</v>
      </c>
      <c r="CO409" s="359" t="str">
        <f t="shared" ca="1" si="691"/>
        <v>-----</v>
      </c>
      <c r="CP409" s="358"/>
      <c r="CQ409" s="361" t="str">
        <f t="shared" si="692"/>
        <v>-</v>
      </c>
      <c r="CR409" s="360"/>
      <c r="CS409" s="360"/>
      <c r="CT409" s="360"/>
      <c r="CU409" s="360"/>
      <c r="CV409" s="384" t="str">
        <f t="shared" si="693"/>
        <v>----</v>
      </c>
      <c r="CW409" s="359" t="str">
        <f t="shared" ca="1" si="694"/>
        <v>-----</v>
      </c>
      <c r="CX409" s="358"/>
      <c r="CY409" s="570" t="str">
        <f t="shared" si="695"/>
        <v>-</v>
      </c>
    </row>
    <row r="410" spans="1:103" s="2" customFormat="1" ht="15.95" customHeight="1" x14ac:dyDescent="0.25">
      <c r="A410" s="77">
        <v>680</v>
      </c>
      <c r="B410" s="84">
        <f t="shared" ca="1" si="643"/>
        <v>43134</v>
      </c>
      <c r="C410" s="29" t="s">
        <v>2546</v>
      </c>
      <c r="D410" s="59" t="s">
        <v>1555</v>
      </c>
      <c r="E410" s="22" t="s">
        <v>1557</v>
      </c>
      <c r="F410" s="27" t="s">
        <v>3175</v>
      </c>
      <c r="G410" s="324"/>
      <c r="H410" s="28" t="s">
        <v>603</v>
      </c>
      <c r="I410" s="20">
        <v>43003</v>
      </c>
      <c r="J410" s="240">
        <f t="shared" ca="1" si="644"/>
        <v>0.35890410958904112</v>
      </c>
      <c r="K410" s="240">
        <f t="shared" ca="1" si="645"/>
        <v>4.3666666666666663</v>
      </c>
      <c r="L410" s="298">
        <f t="shared" ca="1" si="646"/>
        <v>131</v>
      </c>
      <c r="M410" s="60"/>
      <c r="N410" s="32"/>
      <c r="O410" s="82" t="str">
        <f t="shared" ca="1" si="647"/>
        <v>-</v>
      </c>
      <c r="P410" s="19"/>
      <c r="Q410" s="68"/>
      <c r="R410" s="118"/>
      <c r="S410" s="21"/>
      <c r="T410" s="20"/>
      <c r="U410" s="20" t="str">
        <f t="shared" si="648"/>
        <v>-</v>
      </c>
      <c r="V410" s="19" t="str">
        <f t="shared" ca="1" si="649"/>
        <v>-</v>
      </c>
      <c r="W410" s="3">
        <v>0</v>
      </c>
      <c r="X410" s="22" t="str">
        <f t="shared" si="650"/>
        <v>-</v>
      </c>
      <c r="Y410" s="3">
        <v>0</v>
      </c>
      <c r="Z410" s="329" t="str">
        <f t="shared" ca="1" si="651"/>
        <v>-----</v>
      </c>
      <c r="AA410" s="328">
        <f t="shared" ca="1" si="652"/>
        <v>43134</v>
      </c>
      <c r="AB410" s="19"/>
      <c r="AC410" s="331" t="str">
        <f t="shared" ca="1" si="653"/>
        <v>-----</v>
      </c>
      <c r="AD410" s="20"/>
      <c r="AE410" s="22" t="str">
        <f t="shared" ca="1" si="654"/>
        <v>-</v>
      </c>
      <c r="AF410" s="20" t="str">
        <f t="shared" si="655"/>
        <v>-</v>
      </c>
      <c r="AG410" s="94" t="str">
        <f t="shared" si="656"/>
        <v>---------</v>
      </c>
      <c r="AH410" s="21"/>
      <c r="AI410" s="21" t="str">
        <f t="shared" si="657"/>
        <v>-</v>
      </c>
      <c r="AJ410" s="21" t="str">
        <f t="shared" si="658"/>
        <v>-</v>
      </c>
      <c r="AK410" s="909">
        <v>43005</v>
      </c>
      <c r="AL410" s="21" t="s">
        <v>1614</v>
      </c>
      <c r="AM410" s="21" t="str">
        <f t="shared" si="659"/>
        <v>-</v>
      </c>
      <c r="AN410" s="89" t="str">
        <f t="shared" ca="1" si="660"/>
        <v>-</v>
      </c>
      <c r="AO410" s="92"/>
      <c r="AP410" s="80" t="str">
        <f t="shared" ca="1" si="661"/>
        <v>-</v>
      </c>
      <c r="AQ410" s="441"/>
      <c r="AR410" s="22" t="str">
        <f t="shared" si="662"/>
        <v>-</v>
      </c>
      <c r="AS410" s="234"/>
      <c r="AT410" s="22" t="str">
        <f t="shared" si="663"/>
        <v>-</v>
      </c>
      <c r="AU410" s="300"/>
      <c r="AV410" s="429"/>
      <c r="AW410" s="431"/>
      <c r="AX410" s="121" t="str">
        <f t="shared" si="664"/>
        <v>-</v>
      </c>
      <c r="AY410" s="432" t="str">
        <f t="shared" si="665"/>
        <v>-</v>
      </c>
      <c r="AZ410" s="446"/>
      <c r="BA410" s="431"/>
      <c r="BB410" s="121" t="str">
        <f t="shared" si="666"/>
        <v>-</v>
      </c>
      <c r="BC410" s="432" t="str">
        <f t="shared" si="667"/>
        <v>-</v>
      </c>
      <c r="BD410" s="428" t="str">
        <f t="shared" ca="1" si="668"/>
        <v>-</v>
      </c>
      <c r="BE410" s="121"/>
      <c r="BF410" s="326"/>
      <c r="BG410" s="330" t="str">
        <f t="shared" si="669"/>
        <v>Ж-Е НЕ ВАКЦ.</v>
      </c>
      <c r="BH410" s="332" t="str">
        <f t="shared" si="670"/>
        <v>-</v>
      </c>
      <c r="BI410" s="321" t="str">
        <f t="shared" ca="1" si="671"/>
        <v>ПОДЛЕЖИТ ВАКЦИНАЦИИ</v>
      </c>
      <c r="BJ410" s="306"/>
      <c r="BK410" s="308"/>
      <c r="BL410" s="309" t="str">
        <f t="shared" si="672"/>
        <v>-</v>
      </c>
      <c r="BM410" s="310" t="str">
        <f t="shared" si="673"/>
        <v>-</v>
      </c>
      <c r="BN410" s="313" t="str">
        <f t="shared" si="674"/>
        <v>-</v>
      </c>
      <c r="BO410" s="306"/>
      <c r="BP410" s="308"/>
      <c r="BQ410" s="309" t="str">
        <f t="shared" si="675"/>
        <v>-</v>
      </c>
      <c r="BR410" s="309" t="str">
        <f t="shared" si="676"/>
        <v>-</v>
      </c>
      <c r="BS410" s="311" t="str">
        <f t="shared" si="677"/>
        <v>-</v>
      </c>
      <c r="BT410" s="312" t="str">
        <f t="shared" si="678"/>
        <v>-</v>
      </c>
      <c r="BU410" s="307"/>
      <c r="BV410" s="308"/>
      <c r="BW410" s="309" t="str">
        <f t="shared" si="679"/>
        <v>-</v>
      </c>
      <c r="BX410" s="310" t="str">
        <f t="shared" si="680"/>
        <v>-</v>
      </c>
      <c r="BY410" s="321" t="str">
        <f t="shared" ca="1" si="681"/>
        <v>-</v>
      </c>
      <c r="BZ410" s="306"/>
      <c r="CA410" s="308"/>
      <c r="CB410" s="309" t="str">
        <f t="shared" si="682"/>
        <v>-</v>
      </c>
      <c r="CC410" s="309" t="str">
        <f t="shared" si="683"/>
        <v>-</v>
      </c>
      <c r="CD410" s="310" t="str">
        <f t="shared" si="684"/>
        <v>-</v>
      </c>
      <c r="CE410" s="313" t="str">
        <f t="shared" si="685"/>
        <v>-</v>
      </c>
      <c r="CF410" s="306"/>
      <c r="CG410" s="308"/>
      <c r="CH410" s="309" t="str">
        <f t="shared" si="686"/>
        <v>-</v>
      </c>
      <c r="CI410" s="311" t="str">
        <f t="shared" si="687"/>
        <v>-</v>
      </c>
      <c r="CJ410" s="309" t="str">
        <f t="shared" si="688"/>
        <v>-</v>
      </c>
      <c r="CK410" s="312" t="str">
        <f t="shared" ca="1" si="689"/>
        <v>-</v>
      </c>
      <c r="CL410" s="78"/>
      <c r="CM410" s="308"/>
      <c r="CN410" s="384">
        <f t="shared" ca="1" si="690"/>
        <v>100</v>
      </c>
      <c r="CO410" s="359" t="str">
        <f t="shared" ca="1" si="691"/>
        <v>-----</v>
      </c>
      <c r="CP410" s="358"/>
      <c r="CQ410" s="361" t="str">
        <f t="shared" si="692"/>
        <v>-</v>
      </c>
      <c r="CR410" s="360"/>
      <c r="CS410" s="360"/>
      <c r="CT410" s="360"/>
      <c r="CU410" s="360"/>
      <c r="CV410" s="384" t="str">
        <f t="shared" si="693"/>
        <v>----</v>
      </c>
      <c r="CW410" s="359" t="str">
        <f t="shared" ca="1" si="694"/>
        <v>-----</v>
      </c>
      <c r="CX410" s="358"/>
      <c r="CY410" s="570" t="str">
        <f t="shared" si="695"/>
        <v>-</v>
      </c>
    </row>
    <row r="411" spans="1:103" s="1" customFormat="1" ht="25.5" x14ac:dyDescent="0.25">
      <c r="A411" s="77">
        <v>681</v>
      </c>
      <c r="B411" s="84">
        <f t="shared" ca="1" si="643"/>
        <v>43134</v>
      </c>
      <c r="C411" s="29" t="s">
        <v>2546</v>
      </c>
      <c r="D411" s="59" t="s">
        <v>1555</v>
      </c>
      <c r="E411" s="22" t="s">
        <v>1557</v>
      </c>
      <c r="F411" s="27" t="s">
        <v>3182</v>
      </c>
      <c r="G411" s="323"/>
      <c r="H411" s="28" t="s">
        <v>603</v>
      </c>
      <c r="I411" s="20">
        <v>43003</v>
      </c>
      <c r="J411" s="35">
        <f t="shared" ca="1" si="644"/>
        <v>0.35890410958904112</v>
      </c>
      <c r="K411" s="35">
        <f t="shared" ca="1" si="645"/>
        <v>4.3666666666666663</v>
      </c>
      <c r="L411" s="299">
        <f t="shared" ca="1" si="646"/>
        <v>131</v>
      </c>
      <c r="M411" s="60"/>
      <c r="N411" s="32"/>
      <c r="O411" s="82" t="str">
        <f t="shared" ca="1" si="647"/>
        <v>-</v>
      </c>
      <c r="P411" s="19"/>
      <c r="Q411" s="68"/>
      <c r="R411" s="118"/>
      <c r="S411" s="21"/>
      <c r="T411" s="20"/>
      <c r="U411" s="20" t="str">
        <f t="shared" si="648"/>
        <v>-</v>
      </c>
      <c r="V411" s="19" t="str">
        <f t="shared" ca="1" si="649"/>
        <v>-</v>
      </c>
      <c r="W411" s="3">
        <v>0</v>
      </c>
      <c r="X411" s="22" t="str">
        <f t="shared" si="650"/>
        <v>-</v>
      </c>
      <c r="Y411" s="3">
        <v>0</v>
      </c>
      <c r="Z411" s="329" t="str">
        <f t="shared" ca="1" si="651"/>
        <v>-----</v>
      </c>
      <c r="AA411" s="328">
        <f t="shared" ca="1" si="652"/>
        <v>43134</v>
      </c>
      <c r="AB411" s="19"/>
      <c r="AC411" s="331" t="str">
        <f t="shared" ca="1" si="653"/>
        <v>-----</v>
      </c>
      <c r="AD411" s="20"/>
      <c r="AE411" s="22" t="str">
        <f t="shared" ca="1" si="654"/>
        <v>-</v>
      </c>
      <c r="AF411" s="20" t="str">
        <f t="shared" si="655"/>
        <v>-</v>
      </c>
      <c r="AG411" s="94" t="str">
        <f t="shared" si="656"/>
        <v>---------</v>
      </c>
      <c r="AH411" s="21"/>
      <c r="AI411" s="21" t="str">
        <f t="shared" si="657"/>
        <v>-</v>
      </c>
      <c r="AJ411" s="21" t="str">
        <f t="shared" si="658"/>
        <v>-</v>
      </c>
      <c r="AK411" s="909">
        <v>43005</v>
      </c>
      <c r="AL411" s="21" t="s">
        <v>1614</v>
      </c>
      <c r="AM411" s="21" t="str">
        <f t="shared" si="659"/>
        <v>-</v>
      </c>
      <c r="AN411" s="89" t="str">
        <f t="shared" ca="1" si="660"/>
        <v>-</v>
      </c>
      <c r="AO411" s="92"/>
      <c r="AP411" s="80" t="str">
        <f t="shared" ca="1" si="661"/>
        <v>-</v>
      </c>
      <c r="AQ411" s="441"/>
      <c r="AR411" s="22" t="str">
        <f t="shared" si="662"/>
        <v>-</v>
      </c>
      <c r="AS411" s="234"/>
      <c r="AT411" s="22" t="str">
        <f t="shared" si="663"/>
        <v>-</v>
      </c>
      <c r="AU411" s="300"/>
      <c r="AV411" s="429"/>
      <c r="AW411" s="431"/>
      <c r="AX411" s="121" t="str">
        <f t="shared" si="664"/>
        <v>-</v>
      </c>
      <c r="AY411" s="432" t="str">
        <f t="shared" si="665"/>
        <v>-</v>
      </c>
      <c r="AZ411" s="446"/>
      <c r="BA411" s="431"/>
      <c r="BB411" s="121" t="str">
        <f t="shared" si="666"/>
        <v>-</v>
      </c>
      <c r="BC411" s="432" t="str">
        <f t="shared" si="667"/>
        <v>-</v>
      </c>
      <c r="BD411" s="428" t="str">
        <f t="shared" ca="1" si="668"/>
        <v>-</v>
      </c>
      <c r="BE411" s="121"/>
      <c r="BF411" s="326"/>
      <c r="BG411" s="330" t="str">
        <f t="shared" si="669"/>
        <v>Ж-Е НЕ ВАКЦ.</v>
      </c>
      <c r="BH411" s="332" t="str">
        <f t="shared" si="670"/>
        <v>-</v>
      </c>
      <c r="BI411" s="321" t="str">
        <f t="shared" ca="1" si="671"/>
        <v>ПОДЛЕЖИТ ВАКЦИНАЦИИ</v>
      </c>
      <c r="BJ411" s="306"/>
      <c r="BK411" s="308"/>
      <c r="BL411" s="309" t="str">
        <f t="shared" si="672"/>
        <v>-</v>
      </c>
      <c r="BM411" s="310" t="str">
        <f t="shared" si="673"/>
        <v>-</v>
      </c>
      <c r="BN411" s="313" t="str">
        <f t="shared" si="674"/>
        <v>-</v>
      </c>
      <c r="BO411" s="306"/>
      <c r="BP411" s="308"/>
      <c r="BQ411" s="309" t="str">
        <f t="shared" si="675"/>
        <v>-</v>
      </c>
      <c r="BR411" s="309" t="str">
        <f t="shared" si="676"/>
        <v>-</v>
      </c>
      <c r="BS411" s="311" t="str">
        <f t="shared" si="677"/>
        <v>-</v>
      </c>
      <c r="BT411" s="312" t="str">
        <f t="shared" si="678"/>
        <v>-</v>
      </c>
      <c r="BU411" s="307"/>
      <c r="BV411" s="308"/>
      <c r="BW411" s="309" t="str">
        <f t="shared" si="679"/>
        <v>-</v>
      </c>
      <c r="BX411" s="310" t="str">
        <f t="shared" si="680"/>
        <v>-</v>
      </c>
      <c r="BY411" s="321" t="str">
        <f t="shared" ca="1" si="681"/>
        <v>-</v>
      </c>
      <c r="BZ411" s="306"/>
      <c r="CA411" s="308"/>
      <c r="CB411" s="309" t="str">
        <f t="shared" si="682"/>
        <v>-</v>
      </c>
      <c r="CC411" s="309" t="str">
        <f t="shared" si="683"/>
        <v>-</v>
      </c>
      <c r="CD411" s="310" t="str">
        <f t="shared" si="684"/>
        <v>-</v>
      </c>
      <c r="CE411" s="313" t="str">
        <f t="shared" si="685"/>
        <v>-</v>
      </c>
      <c r="CF411" s="306"/>
      <c r="CG411" s="308"/>
      <c r="CH411" s="309" t="str">
        <f t="shared" si="686"/>
        <v>-</v>
      </c>
      <c r="CI411" s="311" t="str">
        <f t="shared" si="687"/>
        <v>-</v>
      </c>
      <c r="CJ411" s="309" t="str">
        <f t="shared" si="688"/>
        <v>-</v>
      </c>
      <c r="CK411" s="312" t="str">
        <f t="shared" ca="1" si="689"/>
        <v>-</v>
      </c>
      <c r="CL411" s="78"/>
      <c r="CM411" s="308"/>
      <c r="CN411" s="384">
        <f t="shared" ca="1" si="690"/>
        <v>100</v>
      </c>
      <c r="CO411" s="359" t="str">
        <f t="shared" ca="1" si="691"/>
        <v>-----</v>
      </c>
      <c r="CP411" s="358"/>
      <c r="CQ411" s="361" t="str">
        <f t="shared" si="692"/>
        <v>-</v>
      </c>
      <c r="CR411" s="360"/>
      <c r="CS411" s="360"/>
      <c r="CT411" s="360"/>
      <c r="CU411" s="360"/>
      <c r="CV411" s="384" t="str">
        <f t="shared" si="693"/>
        <v>----</v>
      </c>
      <c r="CW411" s="359" t="str">
        <f t="shared" ca="1" si="694"/>
        <v>-----</v>
      </c>
      <c r="CX411" s="358"/>
      <c r="CY411" s="570" t="str">
        <f t="shared" si="695"/>
        <v>-</v>
      </c>
    </row>
    <row r="412" spans="1:103" s="1" customFormat="1" ht="17.25" customHeight="1" x14ac:dyDescent="0.25">
      <c r="A412" s="77">
        <v>682</v>
      </c>
      <c r="B412" s="84">
        <f t="shared" ca="1" si="643"/>
        <v>43134</v>
      </c>
      <c r="C412" s="29" t="s">
        <v>2546</v>
      </c>
      <c r="D412" s="59" t="s">
        <v>1555</v>
      </c>
      <c r="E412" s="22" t="s">
        <v>1557</v>
      </c>
      <c r="F412" s="27" t="s">
        <v>3183</v>
      </c>
      <c r="G412" s="323"/>
      <c r="H412" s="28" t="s">
        <v>603</v>
      </c>
      <c r="I412" s="20">
        <v>43003</v>
      </c>
      <c r="J412" s="35">
        <f t="shared" ca="1" si="644"/>
        <v>0.35890410958904112</v>
      </c>
      <c r="K412" s="35">
        <f t="shared" ca="1" si="645"/>
        <v>4.3666666666666663</v>
      </c>
      <c r="L412" s="299">
        <f t="shared" ca="1" si="646"/>
        <v>131</v>
      </c>
      <c r="M412" s="60"/>
      <c r="N412" s="32"/>
      <c r="O412" s="82" t="str">
        <f t="shared" ca="1" si="647"/>
        <v>-</v>
      </c>
      <c r="P412" s="19"/>
      <c r="Q412" s="68"/>
      <c r="R412" s="118"/>
      <c r="S412" s="21"/>
      <c r="T412" s="20"/>
      <c r="U412" s="20" t="str">
        <f t="shared" si="648"/>
        <v>-</v>
      </c>
      <c r="V412" s="19" t="str">
        <f t="shared" ca="1" si="649"/>
        <v>-</v>
      </c>
      <c r="W412" s="3">
        <v>0</v>
      </c>
      <c r="X412" s="22" t="str">
        <f t="shared" si="650"/>
        <v>-</v>
      </c>
      <c r="Y412" s="3">
        <v>0</v>
      </c>
      <c r="Z412" s="329" t="str">
        <f t="shared" ca="1" si="651"/>
        <v>-----</v>
      </c>
      <c r="AA412" s="328">
        <f t="shared" ca="1" si="652"/>
        <v>43134</v>
      </c>
      <c r="AB412" s="19"/>
      <c r="AC412" s="331" t="str">
        <f t="shared" ca="1" si="653"/>
        <v>-----</v>
      </c>
      <c r="AD412" s="20"/>
      <c r="AE412" s="22" t="str">
        <f t="shared" ca="1" si="654"/>
        <v>-</v>
      </c>
      <c r="AF412" s="20" t="str">
        <f t="shared" si="655"/>
        <v>-</v>
      </c>
      <c r="AG412" s="94" t="str">
        <f t="shared" si="656"/>
        <v>---------</v>
      </c>
      <c r="AH412" s="21"/>
      <c r="AI412" s="21" t="str">
        <f t="shared" si="657"/>
        <v>-</v>
      </c>
      <c r="AJ412" s="21" t="str">
        <f t="shared" si="658"/>
        <v>-</v>
      </c>
      <c r="AK412" s="909">
        <v>43005</v>
      </c>
      <c r="AL412" s="21" t="s">
        <v>1614</v>
      </c>
      <c r="AM412" s="21" t="str">
        <f t="shared" si="659"/>
        <v>-</v>
      </c>
      <c r="AN412" s="89" t="str">
        <f t="shared" ca="1" si="660"/>
        <v>-</v>
      </c>
      <c r="AO412" s="92"/>
      <c r="AP412" s="80" t="str">
        <f t="shared" ca="1" si="661"/>
        <v>-</v>
      </c>
      <c r="AQ412" s="441"/>
      <c r="AR412" s="22" t="str">
        <f t="shared" si="662"/>
        <v>-</v>
      </c>
      <c r="AS412" s="234"/>
      <c r="AT412" s="22" t="str">
        <f t="shared" si="663"/>
        <v>-</v>
      </c>
      <c r="AU412" s="300"/>
      <c r="AV412" s="429"/>
      <c r="AW412" s="431"/>
      <c r="AX412" s="121" t="str">
        <f t="shared" si="664"/>
        <v>-</v>
      </c>
      <c r="AY412" s="432" t="str">
        <f t="shared" si="665"/>
        <v>-</v>
      </c>
      <c r="AZ412" s="446"/>
      <c r="BA412" s="431"/>
      <c r="BB412" s="121" t="str">
        <f t="shared" si="666"/>
        <v>-</v>
      </c>
      <c r="BC412" s="432" t="str">
        <f t="shared" si="667"/>
        <v>-</v>
      </c>
      <c r="BD412" s="428" t="str">
        <f t="shared" ca="1" si="668"/>
        <v>-</v>
      </c>
      <c r="BE412" s="121"/>
      <c r="BF412" s="326"/>
      <c r="BG412" s="330" t="str">
        <f t="shared" si="669"/>
        <v>Ж-Е НЕ ВАКЦ.</v>
      </c>
      <c r="BH412" s="332" t="str">
        <f t="shared" si="670"/>
        <v>-</v>
      </c>
      <c r="BI412" s="321" t="str">
        <f t="shared" ca="1" si="671"/>
        <v>ПОДЛЕЖИТ ВАКЦИНАЦИИ</v>
      </c>
      <c r="BJ412" s="306"/>
      <c r="BK412" s="308"/>
      <c r="BL412" s="309" t="str">
        <f t="shared" si="672"/>
        <v>-</v>
      </c>
      <c r="BM412" s="310" t="str">
        <f t="shared" si="673"/>
        <v>-</v>
      </c>
      <c r="BN412" s="313" t="str">
        <f t="shared" si="674"/>
        <v>-</v>
      </c>
      <c r="BO412" s="306"/>
      <c r="BP412" s="308"/>
      <c r="BQ412" s="309" t="str">
        <f t="shared" si="675"/>
        <v>-</v>
      </c>
      <c r="BR412" s="309" t="str">
        <f t="shared" si="676"/>
        <v>-</v>
      </c>
      <c r="BS412" s="311" t="str">
        <f t="shared" si="677"/>
        <v>-</v>
      </c>
      <c r="BT412" s="312" t="str">
        <f t="shared" si="678"/>
        <v>-</v>
      </c>
      <c r="BU412" s="307"/>
      <c r="BV412" s="308"/>
      <c r="BW412" s="309" t="str">
        <f t="shared" si="679"/>
        <v>-</v>
      </c>
      <c r="BX412" s="310" t="str">
        <f t="shared" si="680"/>
        <v>-</v>
      </c>
      <c r="BY412" s="321" t="str">
        <f t="shared" ca="1" si="681"/>
        <v>-</v>
      </c>
      <c r="BZ412" s="306"/>
      <c r="CA412" s="308"/>
      <c r="CB412" s="309" t="str">
        <f t="shared" si="682"/>
        <v>-</v>
      </c>
      <c r="CC412" s="309" t="str">
        <f t="shared" si="683"/>
        <v>-</v>
      </c>
      <c r="CD412" s="310" t="str">
        <f t="shared" si="684"/>
        <v>-</v>
      </c>
      <c r="CE412" s="313" t="str">
        <f t="shared" si="685"/>
        <v>-</v>
      </c>
      <c r="CF412" s="306"/>
      <c r="CG412" s="308"/>
      <c r="CH412" s="309" t="str">
        <f t="shared" si="686"/>
        <v>-</v>
      </c>
      <c r="CI412" s="311" t="str">
        <f t="shared" si="687"/>
        <v>-</v>
      </c>
      <c r="CJ412" s="309" t="str">
        <f t="shared" si="688"/>
        <v>-</v>
      </c>
      <c r="CK412" s="312" t="str">
        <f t="shared" ca="1" si="689"/>
        <v>-</v>
      </c>
      <c r="CL412" s="78"/>
      <c r="CM412" s="308"/>
      <c r="CN412" s="384">
        <f t="shared" ca="1" si="690"/>
        <v>100</v>
      </c>
      <c r="CO412" s="359" t="str">
        <f t="shared" ca="1" si="691"/>
        <v>-----</v>
      </c>
      <c r="CP412" s="358"/>
      <c r="CQ412" s="361" t="str">
        <f t="shared" si="692"/>
        <v>-</v>
      </c>
      <c r="CR412" s="360"/>
      <c r="CS412" s="360"/>
      <c r="CT412" s="360"/>
      <c r="CU412" s="360"/>
      <c r="CV412" s="384" t="str">
        <f t="shared" si="693"/>
        <v>----</v>
      </c>
      <c r="CW412" s="359" t="str">
        <f t="shared" ca="1" si="694"/>
        <v>-----</v>
      </c>
      <c r="CX412" s="358"/>
      <c r="CY412" s="570" t="str">
        <f t="shared" si="695"/>
        <v>-</v>
      </c>
    </row>
    <row r="413" spans="1:103" s="1" customFormat="1" ht="17.25" customHeight="1" x14ac:dyDescent="0.25">
      <c r="A413" s="77">
        <v>683</v>
      </c>
      <c r="B413" s="84">
        <f ca="1">TODAY()</f>
        <v>43134</v>
      </c>
      <c r="C413" s="29" t="s">
        <v>2546</v>
      </c>
      <c r="D413" s="59" t="s">
        <v>1555</v>
      </c>
      <c r="E413" s="22" t="s">
        <v>1557</v>
      </c>
      <c r="F413" s="27" t="s">
        <v>3184</v>
      </c>
      <c r="G413" s="323"/>
      <c r="H413" s="28" t="s">
        <v>603</v>
      </c>
      <c r="I413" s="20">
        <v>43005</v>
      </c>
      <c r="J413" s="35">
        <f ca="1">(B413-I413)/365</f>
        <v>0.35342465753424657</v>
      </c>
      <c r="K413" s="35">
        <f ca="1">(B413-I413)/30</f>
        <v>4.3</v>
      </c>
      <c r="L413" s="299">
        <f ca="1">B413-I413</f>
        <v>129</v>
      </c>
      <c r="M413" s="60"/>
      <c r="N413" s="32"/>
      <c r="O413" s="82" t="str">
        <f ca="1">IF(AND(B413&gt;0,N413&gt;0),B413-N413,"-")</f>
        <v>-</v>
      </c>
      <c r="P413" s="19"/>
      <c r="Q413" s="68"/>
      <c r="R413" s="118"/>
      <c r="S413" s="21"/>
      <c r="T413" s="20"/>
      <c r="U413" s="20" t="str">
        <f>IF(AND(Y413&gt;1,T413&gt;0),T413+18,"-")</f>
        <v>-</v>
      </c>
      <c r="V413" s="19" t="str">
        <f ca="1">IF(AND(U413&gt;0,B413&gt;0,Y413&gt;1),B413-U413,"-")</f>
        <v>-</v>
      </c>
      <c r="W413" s="3"/>
      <c r="X413" s="22" t="str">
        <f>IF(AND(N413&gt;0,T413&gt;0),T413-N413,"-")</f>
        <v>-</v>
      </c>
      <c r="Y413" s="22"/>
      <c r="Z413" s="329" t="str">
        <f ca="1">IF(AND(Y413=1,AA413&gt;71,OR(ISBLANK(AB413),AB413=2)),"ПОДЛЕЖИТ ПЕРЕПРОВЕРКЕ","-----")</f>
        <v>-----</v>
      </c>
      <c r="AA413" s="328">
        <f ca="1">IF(AND(O413&gt;-1,W413&gt;0,Y413=1,AB413=1),"-----",B413-T413)</f>
        <v>43134</v>
      </c>
      <c r="AB413" s="19"/>
      <c r="AC413" s="331" t="str">
        <f ca="1">IF(AND(AB413&lt;1,Z413="ПОДЛЕЖИТ ПЕРЕПРОВЕРКЕ",Y413=1),T413+72,"-----")</f>
        <v>-----</v>
      </c>
      <c r="AD413" s="20"/>
      <c r="AE413" s="22" t="str">
        <f ca="1">IF(AND(O413&gt;120,Y413=0,N413&gt;0),"яловая","-")</f>
        <v>-</v>
      </c>
      <c r="AF413" s="20" t="str">
        <f>IF(AND(T413&gt;0,OR(Y413=3,Y413=2)),T413+35,"-")</f>
        <v>-</v>
      </c>
      <c r="AG413" s="94" t="str">
        <f>IF(AND(T413&gt;0,W413&gt;0,Q413&gt;0,OR(Y413=3,Y413=2)),B413-AF413,"---------")</f>
        <v>---------</v>
      </c>
      <c r="AH413" s="21"/>
      <c r="AI413" s="21" t="str">
        <f>IF(AND($T413&gt;0,$N413&gt;0,$Y413=1),$T413+280-90,"-")</f>
        <v>-</v>
      </c>
      <c r="AJ413" s="21" t="str">
        <f>IF(AND(T413&gt;0,Y413=1,N413&gt;0),T413+280-60,"-")</f>
        <v>-</v>
      </c>
      <c r="AK413" s="909">
        <v>43007</v>
      </c>
      <c r="AL413" s="21" t="s">
        <v>1614</v>
      </c>
      <c r="AM413" s="21" t="str">
        <f>IF(AND(T413&gt;0,Y413=1),T413+280,"-")</f>
        <v>-</v>
      </c>
      <c r="AN413" s="89" t="str">
        <f ca="1">IF(AND(B413&gt;0,AM413&gt;0,AH413&gt;0,Y413=1),B413-AM413,"-")</f>
        <v>-</v>
      </c>
      <c r="AO413" s="92"/>
      <c r="AP413" s="80" t="str">
        <f ca="1">IF(AND(AE413="яловая",O413&gt;300),"БРАК","-")</f>
        <v>-</v>
      </c>
      <c r="AQ413" s="441"/>
      <c r="AR413" s="22" t="str">
        <f>IF(AND(Y413=1,P413=0),"НЕТЕЛЬ","-")</f>
        <v>-</v>
      </c>
      <c r="AS413" s="234"/>
      <c r="AT413" s="22" t="str">
        <f>IF(AND(N413&gt;0,T413&gt;0,W413&gt;0,Y413=1,AH413&gt;0,AK413&gt;0),"DRY COW","-")</f>
        <v>-</v>
      </c>
      <c r="AU413" s="300"/>
      <c r="AV413" s="429"/>
      <c r="AW413" s="431"/>
      <c r="AX413" s="121" t="str">
        <f>IF(AND(AV413&gt;0,AW413&gt;0),B413-AV413,"-")</f>
        <v>-</v>
      </c>
      <c r="AY413" s="432" t="str">
        <f>IF(AND(AV413&gt;0,AW413&gt;0),(AV413-I413)/30,"-")</f>
        <v>-</v>
      </c>
      <c r="AZ413" s="446"/>
      <c r="BA413" s="431"/>
      <c r="BB413" s="121" t="str">
        <f>IF(AND(AZ413&gt;0,BA413&gt;0),B413-AZ413,"-")</f>
        <v>-</v>
      </c>
      <c r="BC413" s="432" t="str">
        <f>IF(AND(AZ413&gt;0,BA413&gt;0),(AZ413-M413)/30,"-")</f>
        <v>-</v>
      </c>
      <c r="BD413" s="428" t="str">
        <f ca="1">IF(AND(OR(E413="тёлочка",E413="бычок"),L413&gt;0,BF413&lt;2,L413&lt;60),"ПОДЛЕЖИТ ВАКЦИНАЦИИ","-")</f>
        <v>-</v>
      </c>
      <c r="BE413" s="121"/>
      <c r="BF413" s="326"/>
      <c r="BG413" s="330" t="str">
        <f>IF(AND(BE413&gt;0,BF413=2),BE413-I413,"Ж-Е НЕ ВАКЦ.")</f>
        <v>Ж-Е НЕ ВАКЦ.</v>
      </c>
      <c r="BH413" s="332" t="str">
        <f>IF(AND(BE413&gt;0,BF413=2),B413-BE413,"-")</f>
        <v>-</v>
      </c>
      <c r="BI413" s="321" t="str">
        <f ca="1">IF(AND(L413&gt;60,BK413&lt;5),"ПОДЛЕЖИТ ВАКЦИНАЦИИ","-")</f>
        <v>ПОДЛЕЖИТ ВАКЦИНАЦИИ</v>
      </c>
      <c r="BJ413" s="306"/>
      <c r="BK413" s="308"/>
      <c r="BL413" s="309" t="str">
        <f>IF(AND(BJ413&gt;0,BK413=5),B413-BJ413,"-")</f>
        <v>-</v>
      </c>
      <c r="BM413" s="310" t="str">
        <f>IF(AND(BK413=5,BL413&gt;20,BP413&lt;5),"ТРЕБУЕТСЯ БУСТЕРНАЯ ДОЗА","-")</f>
        <v>-</v>
      </c>
      <c r="BN413" s="313" t="str">
        <f>IF(AND(BJ413&gt;0,BK413=5),BJ413+21,"-")</f>
        <v>-</v>
      </c>
      <c r="BO413" s="306"/>
      <c r="BP413" s="308"/>
      <c r="BQ413" s="309" t="str">
        <f>IF(AND(BO413&gt;0,BP413=5),B413-BO413,"-")</f>
        <v>-</v>
      </c>
      <c r="BR413" s="309" t="str">
        <f>IF(AND(BN413&gt;0,BO413&gt;0,BP413=5),BN413-BO413,"-")</f>
        <v>-</v>
      </c>
      <c r="BS413" s="311" t="str">
        <f>IF(AND(BP413=5,BR413=0),"УСПЕШНО","-")</f>
        <v>-</v>
      </c>
      <c r="BT413" s="312" t="str">
        <f>IF(AND(BJ413&gt;0,BK413=5,BO413&gt;0,BP413=5,BQ413&gt;240,BV413&lt;5),"НЕОБХОДИМА РЕВАКЦИНАЦИЯ","-")</f>
        <v>-</v>
      </c>
      <c r="BU413" s="307"/>
      <c r="BV413" s="308"/>
      <c r="BW413" s="309" t="str">
        <f>IF(AND(BU413&gt;0,BV413=5),N413-BU413,"-")</f>
        <v>-</v>
      </c>
      <c r="BX413" s="310" t="str">
        <f>IF(AND(BU413&gt;0,BV413=5,BW413&gt;240),"НЕОБХОДИМА РЕВАКЦИНАЦИЯ","-")</f>
        <v>-</v>
      </c>
      <c r="BY413" s="321" t="str">
        <f ca="1">IF(AND(Y413=1,AN413&gt;-90,CA413&lt;2),"ТРЕБУЕТСЯ ВАКЦИНАЦИЯ","-")</f>
        <v>-</v>
      </c>
      <c r="BZ413" s="306"/>
      <c r="CA413" s="308"/>
      <c r="CB413" s="309" t="str">
        <f>IF(AND(BZ413&gt;0,CA413=2),BZ413-T413,"-")</f>
        <v>-</v>
      </c>
      <c r="CC413" s="309" t="str">
        <f>IF(AND(BZ413&gt;0,CA413=2),B413-BZ413,"-")</f>
        <v>-</v>
      </c>
      <c r="CD413" s="310" t="str">
        <f>IF(AND(CA413=2,CC413&gt;20,CG413&lt;2),"ТРЕБУЕТСЯ БУСТЕРНАЯ ДОЗА","-")</f>
        <v>-</v>
      </c>
      <c r="CE413" s="313" t="str">
        <f>IF(AND(BZ413&gt;0,CA413=2),BZ413+21,"-")</f>
        <v>-</v>
      </c>
      <c r="CF413" s="306"/>
      <c r="CG413" s="308"/>
      <c r="CH413" s="309" t="str">
        <f>IF(AND(CE413&gt;0,CF413&gt;0,CG413=2),CF413-CE413,"-")</f>
        <v>-</v>
      </c>
      <c r="CI413" s="311" t="str">
        <f>IF(AND(CG413=2,CH413=0),"УСПЕШНО","-")</f>
        <v>-</v>
      </c>
      <c r="CJ413" s="309" t="str">
        <f>IF(AND(CF413&gt;0,CG413=2),CF413-T413,"-")</f>
        <v>-</v>
      </c>
      <c r="CK413" s="312" t="str">
        <f ca="1">IF(AND(BZ413&gt;0,CA413=2,CF413&gt;0,CG413=2,Y413=1,AN413&gt;-50,CM413&lt;2),"ТРЕБУЕТСЯ РЕВАКЦИНАЦИЯ","-")</f>
        <v>-</v>
      </c>
      <c r="CL413" s="78"/>
      <c r="CM413" s="308"/>
      <c r="CN413" s="384">
        <f ca="1">IF(O413&gt;90,N413+100,"-----")</f>
        <v>100</v>
      </c>
      <c r="CO413" s="359" t="str">
        <f ca="1">IF(AND(O413&gt;99,ISBLANK(CP413),CQ413&lt;100),"ПОДЛЕЖИТ ОБРАБОТКЕ","-----")</f>
        <v>-----</v>
      </c>
      <c r="CP413" s="358"/>
      <c r="CQ413" s="361" t="str">
        <f>IF(CP413&gt;0,B413-CP413,"-")</f>
        <v>-</v>
      </c>
      <c r="CR413" s="360"/>
      <c r="CS413" s="360"/>
      <c r="CT413" s="360"/>
      <c r="CU413" s="360"/>
      <c r="CV413" s="384" t="str">
        <f>IF(AND(Y413=1,P413&gt;0),AJ413-14,"----")</f>
        <v>----</v>
      </c>
      <c r="CW413" s="359" t="str">
        <f ca="1">IF(AND(Y413=1,AN413&gt;-205,ISBLANK(CX413),CY413&lt;100),"ПОДЛЕЖИТ ОБРАБОТКЕ","-----")</f>
        <v>-----</v>
      </c>
      <c r="CX413" s="358"/>
      <c r="CY413" s="570" t="str">
        <f>IF(CX413&gt;0,B413-CX413,"-")</f>
        <v>-</v>
      </c>
    </row>
    <row r="414" spans="1:103" s="560" customFormat="1" ht="25.5" x14ac:dyDescent="0.25">
      <c r="A414" s="504">
        <v>937</v>
      </c>
      <c r="B414" s="505">
        <f ca="1">TODAY()</f>
        <v>43134</v>
      </c>
      <c r="C414" s="556" t="s">
        <v>2584</v>
      </c>
      <c r="D414" s="563" t="s">
        <v>2915</v>
      </c>
      <c r="E414" s="508" t="s">
        <v>1563</v>
      </c>
      <c r="F414" s="557" t="s">
        <v>1695</v>
      </c>
      <c r="G414" s="559"/>
      <c r="H414" s="510" t="s">
        <v>603</v>
      </c>
      <c r="I414" s="511">
        <v>42517</v>
      </c>
      <c r="J414" s="512">
        <f ca="1">(B414-I414)/365</f>
        <v>1.6904109589041096</v>
      </c>
      <c r="K414" s="512">
        <f ca="1">(B414-I414)/30</f>
        <v>20.566666666666666</v>
      </c>
      <c r="L414" s="513">
        <f ca="1">B414-I414</f>
        <v>617</v>
      </c>
      <c r="M414" s="514"/>
      <c r="N414" s="515"/>
      <c r="O414" s="516" t="str">
        <f ca="1">IF(AND(B414&gt;0,N414&gt;0),B414-N414,"-")</f>
        <v>-</v>
      </c>
      <c r="P414" s="517"/>
      <c r="Q414" s="518" t="s">
        <v>2366</v>
      </c>
      <c r="R414" s="519" t="s">
        <v>2967</v>
      </c>
      <c r="S414" s="520">
        <v>42960</v>
      </c>
      <c r="T414" s="511">
        <v>42960</v>
      </c>
      <c r="U414" s="511" t="str">
        <f>IF(AND(Y414&gt;1,T414&gt;0),T414+18,"-")</f>
        <v>-</v>
      </c>
      <c r="V414" s="517" t="str">
        <f ca="1">IF(AND(U414&gt;0,B414&gt;0,Y414&gt;1),B414-U414,"-")</f>
        <v>-</v>
      </c>
      <c r="W414" s="521">
        <v>1</v>
      </c>
      <c r="X414" s="508" t="str">
        <f>IF(AND(N414&gt;0,T414&gt;0),T414-N414,"-")</f>
        <v>-</v>
      </c>
      <c r="Y414" s="508">
        <v>0</v>
      </c>
      <c r="Z414" s="522" t="str">
        <f ca="1">IF(AND(Y414=1,AA414&gt;71,OR(ISBLANK(AB414),AB414=2)),"ПОДЛЕЖИТ ПЕРЕПРОВЕРКЕ","-----")</f>
        <v>-----</v>
      </c>
      <c r="AA414" s="523">
        <f ca="1">IF(AND(O414&gt;-1,W414&gt;0,Y414=1,AB414=1),"-----",B414-T414)</f>
        <v>174</v>
      </c>
      <c r="AB414" s="517"/>
      <c r="AC414" s="524" t="str">
        <f ca="1">IF(AND(AB414&lt;1,Z414="ПОДЛЕЖИТ ПЕРЕПРОВЕРКЕ",Y414=1),T414+72,"-----")</f>
        <v>-----</v>
      </c>
      <c r="AD414" s="511"/>
      <c r="AE414" s="508" t="str">
        <f ca="1">IF(AND(O414&gt;120,Y414=0,N414&gt;0),"яловая","-")</f>
        <v>-</v>
      </c>
      <c r="AF414" s="511" t="str">
        <f>IF(AND(T414&gt;0,OR(Y414=3,Y414=2)),T414+35,"-")</f>
        <v>-</v>
      </c>
      <c r="AG414" s="525" t="str">
        <f>IF(AND(T414&gt;0,W414&gt;0,Q414&gt;0,OR(Y414=3,Y414=2)),B414-AF414,"---------")</f>
        <v>---------</v>
      </c>
      <c r="AH414" s="520">
        <v>43001</v>
      </c>
      <c r="AI414" s="520" t="str">
        <f>IF(AND($T414&gt;0,$N414&gt;0,$Y414=1),$T414+280-90,"-")</f>
        <v>-</v>
      </c>
      <c r="AJ414" s="520" t="str">
        <f>IF(AND(T414&gt;0,Y414=1,N414&gt;0),T414+280-60,"-")</f>
        <v>-</v>
      </c>
      <c r="AK414" s="526">
        <v>43014</v>
      </c>
      <c r="AL414" s="21" t="s">
        <v>3217</v>
      </c>
      <c r="AM414" s="520" t="str">
        <f>IF(AND(T414&gt;0,Y414=1),T414+280,"-")</f>
        <v>-</v>
      </c>
      <c r="AN414" s="527" t="str">
        <f ca="1">IF(AND(B414&gt;0,AM414&gt;0,AH414&gt;0,Y414=1),B414-AM414,"-")</f>
        <v>-</v>
      </c>
      <c r="AO414" s="528">
        <v>1</v>
      </c>
      <c r="AP414" s="529" t="str">
        <f ca="1">IF(AND(AE414="яловая",O414&gt;300),"БРАК","-")</f>
        <v>-</v>
      </c>
      <c r="AQ414" s="530"/>
      <c r="AR414" s="508" t="str">
        <f>IF(AND(Y414=1,P414=0),"НЕТЕЛЬ","-")</f>
        <v>-</v>
      </c>
      <c r="AS414" s="531"/>
      <c r="AT414" s="508" t="str">
        <f>IF(AND(N414&gt;0,T414&gt;0,W414&gt;0,Y414=1,AH414&gt;0,AK414&gt;0),"DRY COW","-")</f>
        <v>-</v>
      </c>
      <c r="AU414" s="532">
        <v>1</v>
      </c>
      <c r="AV414" s="561"/>
      <c r="AW414" s="533"/>
      <c r="AX414" s="534" t="str">
        <f>IF(AND(AV414&gt;0,AW414&gt;0),B414-AV414,"-")</f>
        <v>-</v>
      </c>
      <c r="AY414" s="535" t="str">
        <f>IF(AND(AV414&gt;0,AW414&gt;0),(AV414-I414)/30,"-")</f>
        <v>-</v>
      </c>
      <c r="AZ414" s="562"/>
      <c r="BA414" s="533"/>
      <c r="BB414" s="534" t="str">
        <f>IF(AND(AZ414&gt;0,BA414&gt;0),B414-AZ414,"-")</f>
        <v>-</v>
      </c>
      <c r="BC414" s="535" t="str">
        <f>IF(AND(AZ414&gt;0,BA414&gt;0),(AZ414-M414)/30,"-")</f>
        <v>-</v>
      </c>
      <c r="BD414" s="536" t="str">
        <f ca="1">IF(AND(OR(E414="тёлочка",E414="бычок"),L414&gt;0,BF414&lt;2,L414&lt;60),"ПОДЛЕЖИТ ВАКЦИНАЦИИ","-")</f>
        <v>-</v>
      </c>
      <c r="BE414" s="534"/>
      <c r="BF414" s="537"/>
      <c r="BG414" s="538" t="str">
        <f>IF(AND(BE414&gt;0,BF414=2),BE414-I414,"Ж-Е НЕ ВАКЦ.")</f>
        <v>Ж-Е НЕ ВАКЦ.</v>
      </c>
      <c r="BH414" s="539" t="str">
        <f>IF(AND(BE414&gt;0,BF414=2),B414-BE414,"-")</f>
        <v>-</v>
      </c>
      <c r="BI414" s="540" t="str">
        <f ca="1">IF(AND(L414&gt;40,BK414&lt;5),"ПОДЛЕЖИТ ВАКЦИНАЦИИ","-")</f>
        <v>-</v>
      </c>
      <c r="BJ414" s="541">
        <v>42894</v>
      </c>
      <c r="BK414" s="542">
        <v>5</v>
      </c>
      <c r="BL414" s="543">
        <f ca="1">IF(AND(BJ414&gt;0,BK414=5),B414-BJ414,"-")</f>
        <v>240</v>
      </c>
      <c r="BM414" s="544" t="str">
        <f ca="1">IF(AND(BK414=5,BL414&gt;20,BP414&lt;5),"ТРЕБУЕТСЯ БУСТЕРНАЯ ДОЗА","-")</f>
        <v>ТРЕБУЕТСЯ БУСТЕРНАЯ ДОЗА</v>
      </c>
      <c r="BN414" s="545">
        <f>IF(AND(BJ414&gt;0,BK414=5),BJ414+21,"-")</f>
        <v>42915</v>
      </c>
      <c r="BO414" s="548" t="s">
        <v>2893</v>
      </c>
      <c r="BP414" s="542"/>
      <c r="BQ414" s="543" t="str">
        <f>IF(AND(BO414&gt;0,BP414=5),B414-BO414,"-")</f>
        <v>-</v>
      </c>
      <c r="BR414" s="543" t="str">
        <f>IF(AND(BN414&gt;0,BO414&gt;0,BP414=5),BN414-BO414,"-")</f>
        <v>-</v>
      </c>
      <c r="BS414" s="546" t="str">
        <f>IF(AND(BP414=5,BR414=0),"УСПЕШНО","-")</f>
        <v>-</v>
      </c>
      <c r="BT414" s="547" t="str">
        <f>IF(AND(BJ414&gt;0,BK414=5,BO414&gt;0,BP414=5,BQ414&gt;240,BV414&lt;5),"НЕОБХОДИМА РЕВАКЦИНАЦИЯ","-")</f>
        <v>-</v>
      </c>
      <c r="BU414" s="541"/>
      <c r="BV414" s="542"/>
      <c r="BW414" s="543" t="str">
        <f>IF(AND(BU414&gt;0,BV414=5),N414-BU414,"-")</f>
        <v>-</v>
      </c>
      <c r="BX414" s="544" t="str">
        <f>IF(AND(BU414&gt;0,BV414=5,BW414&gt;240),"НЕОБХОДИМА РЕВАКЦИНАЦИЯ","-")</f>
        <v>-</v>
      </c>
      <c r="BY414" s="540" t="str">
        <f ca="1">IF(AND(Y414=1,AN414&gt;-90,CA414&lt;2),"ТРЕБУЕТСЯ ВАКЦИНАЦИЯ","-")</f>
        <v>-</v>
      </c>
      <c r="BZ414" s="548"/>
      <c r="CA414" s="542"/>
      <c r="CB414" s="543" t="str">
        <f>IF(AND(BZ414&gt;0,CA414=2),BZ414-T414,"-")</f>
        <v>-</v>
      </c>
      <c r="CC414" s="543" t="str">
        <f>IF(AND(BZ414&gt;0,CA414=2),B414-BZ414,"-")</f>
        <v>-</v>
      </c>
      <c r="CD414" s="544" t="str">
        <f>IF(AND(CA414=2,CC414&gt;20,CG414&lt;2),"ТРЕБУЕТСЯ БУСТЕРНАЯ ДОЗА","-")</f>
        <v>-</v>
      </c>
      <c r="CE414" s="545" t="str">
        <f>IF(AND(BZ414&gt;0,CA414=2),BZ414+21,"-")</f>
        <v>-</v>
      </c>
      <c r="CF414" s="548"/>
      <c r="CG414" s="542"/>
      <c r="CH414" s="543" t="str">
        <f>IF(AND(CE414&gt;0,CF414&gt;0,CG414=2),CF414-CE414,"-")</f>
        <v>-</v>
      </c>
      <c r="CI414" s="546" t="str">
        <f>IF(AND(CG414=2,CH414=0),"УСПЕШНО","-")</f>
        <v>-</v>
      </c>
      <c r="CJ414" s="543" t="str">
        <f>IF(AND(CF414&gt;0,CG414=2),CF414-T414,"-")</f>
        <v>-</v>
      </c>
      <c r="CK414" s="547" t="str">
        <f ca="1">IF(AND(BZ414&gt;0,CA414=2,CF414&gt;0,CG414=2,Y414=1,AN414&gt;-50,CM414&lt;2),"ТРЕБУЕТСЯ РЕВАКЦИНАЦИЯ","-")</f>
        <v>-</v>
      </c>
      <c r="CL414" s="549"/>
      <c r="CM414" s="542"/>
      <c r="CN414" s="550">
        <f ca="1">IF(O414&gt;90,N414+100,"-----")</f>
        <v>100</v>
      </c>
      <c r="CO414" s="551" t="str">
        <f ca="1">IF(AND(O414&gt;99,ISBLANK(CP414),CQ414&lt;100),"ПОДЛЕЖИТ ОБРАБОТКЕ","-----")</f>
        <v>-----</v>
      </c>
      <c r="CP414" s="552"/>
      <c r="CQ414" s="553" t="str">
        <f>IF(CP414&gt;0,B414-CP414,"-")</f>
        <v>-</v>
      </c>
      <c r="CR414" s="554"/>
      <c r="CS414" s="554"/>
      <c r="CT414" s="554"/>
      <c r="CU414" s="554"/>
      <c r="CV414" s="550" t="str">
        <f>IF(AND(Y414=1,P414&gt;0),AJ414-14,"----")</f>
        <v>----</v>
      </c>
      <c r="CW414" s="551" t="str">
        <f ca="1">IF(AND(Y414=1,AN414&gt;-205,ISBLANK(CX414),CY414&lt;100),"ПОДЛЕЖИТ ОБРАБОТКЕ","-----")</f>
        <v>-----</v>
      </c>
      <c r="CX414" s="552"/>
      <c r="CY414" s="571" t="str">
        <f>IF(CX414&gt;0,B414-CX414,"-")</f>
        <v>-</v>
      </c>
    </row>
    <row r="415" spans="1:103" s="560" customFormat="1" ht="25.5" x14ac:dyDescent="0.25">
      <c r="A415" s="504">
        <v>675</v>
      </c>
      <c r="B415" s="505">
        <f ca="1">TODAY()</f>
        <v>43134</v>
      </c>
      <c r="C415" s="506" t="s">
        <v>2546</v>
      </c>
      <c r="D415" s="507" t="s">
        <v>1555</v>
      </c>
      <c r="E415" s="508" t="s">
        <v>1557</v>
      </c>
      <c r="F415" s="509" t="s">
        <v>3196</v>
      </c>
      <c r="G415" s="564"/>
      <c r="H415" s="510" t="s">
        <v>603</v>
      </c>
      <c r="I415" s="511">
        <v>43011</v>
      </c>
      <c r="J415" s="512">
        <f ca="1">(B415-I415)/365</f>
        <v>0.33698630136986302</v>
      </c>
      <c r="K415" s="512">
        <f ca="1">(B415-I415)/30</f>
        <v>4.0999999999999996</v>
      </c>
      <c r="L415" s="513">
        <f ca="1">B415-I415</f>
        <v>123</v>
      </c>
      <c r="M415" s="514"/>
      <c r="N415" s="515"/>
      <c r="O415" s="516" t="str">
        <f ca="1">IF(AND(B415&gt;0,N415&gt;0),B415-N415,"-")</f>
        <v>-</v>
      </c>
      <c r="P415" s="517"/>
      <c r="Q415" s="518"/>
      <c r="R415" s="519"/>
      <c r="S415" s="520"/>
      <c r="T415" s="511"/>
      <c r="U415" s="511" t="str">
        <f>IF(AND(Y415&gt;1,T415&gt;0),T415+18,"-")</f>
        <v>-</v>
      </c>
      <c r="V415" s="517" t="str">
        <f ca="1">IF(AND(U415&gt;0,B415&gt;0,Y415&gt;1),B415-U415,"-")</f>
        <v>-</v>
      </c>
      <c r="W415" s="521"/>
      <c r="X415" s="508" t="str">
        <f>IF(AND(N415&gt;0,T415&gt;0),T415-N415,"-")</f>
        <v>-</v>
      </c>
      <c r="Y415" s="508"/>
      <c r="Z415" s="522" t="str">
        <f ca="1">IF(AND(Y415=1,AA415&gt;71,OR(ISBLANK(AB415),AB415=2)),"ПОДЛЕЖИТ ПЕРЕПРОВЕРКЕ","-----")</f>
        <v>-----</v>
      </c>
      <c r="AA415" s="523">
        <f ca="1">IF(AND(O415&gt;-1,W415&gt;0,Y415=1,AB415=1),"-----",B415-T415)</f>
        <v>43134</v>
      </c>
      <c r="AB415" s="517"/>
      <c r="AC415" s="524" t="str">
        <f ca="1">IF(AND(AB415&lt;1,Z415="ПОДЛЕЖИТ ПЕРЕПРОВЕРКЕ",Y415=1),T415+72,"-----")</f>
        <v>-----</v>
      </c>
      <c r="AD415" s="511"/>
      <c r="AE415" s="508" t="str">
        <f ca="1">IF(AND(O415&gt;120,Y415=0,N415&gt;0),"яловая","-")</f>
        <v>-</v>
      </c>
      <c r="AF415" s="511" t="str">
        <f>IF(AND(T415&gt;0,OR(Y415=3,Y415=2)),T415+35,"-")</f>
        <v>-</v>
      </c>
      <c r="AG415" s="525" t="str">
        <f>IF(AND(T415&gt;0,W415&gt;0,Q415&gt;0,OR(Y415=3,Y415=2)),B415-AF415,"---------")</f>
        <v>---------</v>
      </c>
      <c r="AH415" s="520"/>
      <c r="AI415" s="520" t="str">
        <f>IF(AND($T415&gt;0,$N415&gt;0,$Y415=1),$T415+280-90,"-")</f>
        <v>-</v>
      </c>
      <c r="AJ415" s="520" t="str">
        <f>IF(AND(T415&gt;0,Y415=1,N415&gt;0),T415+280-60,"-")</f>
        <v>-</v>
      </c>
      <c r="AK415" s="526">
        <v>43014</v>
      </c>
      <c r="AL415" s="21" t="s">
        <v>1614</v>
      </c>
      <c r="AM415" s="520" t="str">
        <f>IF(AND(T415&gt;0,Y415=1),T415+280,"-")</f>
        <v>-</v>
      </c>
      <c r="AN415" s="527" t="str">
        <f ca="1">IF(AND(B415&gt;0,AM415&gt;0,AH415&gt;0,Y415=1),B415-AM415,"-")</f>
        <v>-</v>
      </c>
      <c r="AO415" s="528"/>
      <c r="AP415" s="529" t="str">
        <f ca="1">IF(AND(AE415="яловая",O415&gt;300),"БРАК","-")</f>
        <v>-</v>
      </c>
      <c r="AQ415" s="530"/>
      <c r="AR415" s="508" t="str">
        <f>IF(AND(Y415=1,P415=0),"НЕТЕЛЬ","-")</f>
        <v>-</v>
      </c>
      <c r="AS415" s="531"/>
      <c r="AT415" s="508" t="str">
        <f>IF(AND(N415&gt;0,T415&gt;0,W415&gt;0,Y415=1,AH415&gt;0,AK415&gt;0),"DRY COW","-")</f>
        <v>-</v>
      </c>
      <c r="AU415" s="532"/>
      <c r="AV415" s="561"/>
      <c r="AW415" s="533"/>
      <c r="AX415" s="534" t="str">
        <f>IF(AND(AV415&gt;0,AW415&gt;0),B415-AV415,"-")</f>
        <v>-</v>
      </c>
      <c r="AY415" s="535" t="str">
        <f>IF(AND(AV415&gt;0,AW415&gt;0),(AV415-I415)/30,"-")</f>
        <v>-</v>
      </c>
      <c r="AZ415" s="562"/>
      <c r="BA415" s="533"/>
      <c r="BB415" s="534" t="str">
        <f>IF(AND(AZ415&gt;0,BA415&gt;0),B415-AZ415,"-")</f>
        <v>-</v>
      </c>
      <c r="BC415" s="535" t="str">
        <f>IF(AND(AZ415&gt;0,BA415&gt;0),(AZ415-M415)/30,"-")</f>
        <v>-</v>
      </c>
      <c r="BD415" s="536" t="str">
        <f ca="1">IF(AND(OR(E415="тёлочка",E415="бычок"),L415&gt;0,BF415&lt;2,L415&lt;60),"ПОДЛЕЖИТ ВАКЦИНАЦИИ","-")</f>
        <v>-</v>
      </c>
      <c r="BE415" s="534"/>
      <c r="BF415" s="537"/>
      <c r="BG415" s="538" t="str">
        <f>IF(AND(BE415&gt;0,BF415=2),BE415-I415,"Ж-Е НЕ ВАКЦ.")</f>
        <v>Ж-Е НЕ ВАКЦ.</v>
      </c>
      <c r="BH415" s="539" t="str">
        <f>IF(AND(BE415&gt;0,BF415=2),B415-BE415,"-")</f>
        <v>-</v>
      </c>
      <c r="BI415" s="540" t="str">
        <f ca="1">IF(AND(L415&gt;40,BK415&lt;5),"ПОДЛЕЖИТ ВАКЦИНАЦИИ","-")</f>
        <v>ПОДЛЕЖИТ ВАКЦИНАЦИИ</v>
      </c>
      <c r="BJ415" s="548"/>
      <c r="BK415" s="542"/>
      <c r="BL415" s="543" t="str">
        <f>IF(AND(BJ415&gt;0,BK415=5),B415-BJ415,"-")</f>
        <v>-</v>
      </c>
      <c r="BM415" s="544" t="str">
        <f>IF(AND(BK415=5,BL415&gt;20,BP415&lt;5),"ТРЕБУЕТСЯ БУСТЕРНАЯ ДОЗА","-")</f>
        <v>-</v>
      </c>
      <c r="BN415" s="545" t="str">
        <f>IF(AND(BJ415&gt;0,BK415=5),BJ415+21,"-")</f>
        <v>-</v>
      </c>
      <c r="BO415" s="548"/>
      <c r="BP415" s="542"/>
      <c r="BQ415" s="543" t="str">
        <f>IF(AND(BO415&gt;0,BP415=5),B415-BO415,"-")</f>
        <v>-</v>
      </c>
      <c r="BR415" s="543" t="str">
        <f>IF(AND(BN415&gt;0,BO415&gt;0,BP415=5),BN415-BO415,"-")</f>
        <v>-</v>
      </c>
      <c r="BS415" s="546" t="str">
        <f>IF(AND(BP415=5,BR415=0),"УСПЕШНО","-")</f>
        <v>-</v>
      </c>
      <c r="BT415" s="547" t="str">
        <f>IF(AND(BJ415&gt;0,BK415=5,BO415&gt;0,BP415=5,BQ415&gt;240,BV415&lt;5),"НЕОБХОДИМА РЕВАКЦИНАЦИЯ","-")</f>
        <v>-</v>
      </c>
      <c r="BU415" s="541"/>
      <c r="BV415" s="542"/>
      <c r="BW415" s="543" t="str">
        <f>IF(AND(BU415&gt;0,BV415=5),N415-BU415,"-")</f>
        <v>-</v>
      </c>
      <c r="BX415" s="544" t="str">
        <f>IF(AND(BU415&gt;0,BV415=5,BW415&gt;240),"НЕОБХОДИМА РЕВАКЦИНАЦИЯ","-")</f>
        <v>-</v>
      </c>
      <c r="BY415" s="540" t="str">
        <f ca="1">IF(AND(Y415=1,AN415&gt;-90,CA415&lt;2),"ТРЕБУЕТСЯ ВАКЦИНАЦИЯ","-")</f>
        <v>-</v>
      </c>
      <c r="BZ415" s="548"/>
      <c r="CA415" s="542"/>
      <c r="CB415" s="543" t="str">
        <f>IF(AND(BZ415&gt;0,CA415=2),BZ415-T415,"-")</f>
        <v>-</v>
      </c>
      <c r="CC415" s="543" t="str">
        <f>IF(AND(BZ415&gt;0,CA415=2),B415-BZ415,"-")</f>
        <v>-</v>
      </c>
      <c r="CD415" s="544" t="str">
        <f>IF(AND(CA415=2,CC415&gt;20,CG415&lt;2),"ТРЕБУЕТСЯ БУСТЕРНАЯ ДОЗА","-")</f>
        <v>-</v>
      </c>
      <c r="CE415" s="545" t="str">
        <f>IF(AND(BZ415&gt;0,CA415=2),BZ415+21,"-")</f>
        <v>-</v>
      </c>
      <c r="CF415" s="548"/>
      <c r="CG415" s="542"/>
      <c r="CH415" s="543" t="str">
        <f>IF(AND(CE415&gt;0,CF415&gt;0,CG415=2),CF415-CE415,"-")</f>
        <v>-</v>
      </c>
      <c r="CI415" s="546" t="str">
        <f>IF(AND(CG415=2,CH415=0),"УСПЕШНО","-")</f>
        <v>-</v>
      </c>
      <c r="CJ415" s="543" t="str">
        <f>IF(AND(CF415&gt;0,CG415=2),CF415-T415,"-")</f>
        <v>-</v>
      </c>
      <c r="CK415" s="547" t="str">
        <f ca="1">IF(AND(BZ415&gt;0,CA415=2,CF415&gt;0,CG415=2,Y415=1,AN415&gt;-50,CM415&lt;2),"ТРЕБУЕТСЯ РЕВАКЦИНАЦИЯ","-")</f>
        <v>-</v>
      </c>
      <c r="CL415" s="549"/>
      <c r="CM415" s="542"/>
      <c r="CN415" s="550">
        <f ca="1">IF(O415&gt;90,N415+100,"-----")</f>
        <v>100</v>
      </c>
      <c r="CO415" s="551" t="str">
        <f ca="1">IF(AND(O415&gt;99,ISBLANK(CP415),CQ415&lt;100),"ПОДЛЕЖИТ ОБРАБОТКЕ","-----")</f>
        <v>-----</v>
      </c>
      <c r="CP415" s="552"/>
      <c r="CQ415" s="553" t="str">
        <f>IF(CP415&gt;0,B415-CP415,"-")</f>
        <v>-</v>
      </c>
      <c r="CR415" s="554"/>
      <c r="CS415" s="554"/>
      <c r="CT415" s="554"/>
      <c r="CU415" s="554"/>
      <c r="CV415" s="550" t="str">
        <f>IF(AND(Y415=1,P415&gt;0),AJ415-14,"----")</f>
        <v>----</v>
      </c>
      <c r="CW415" s="551" t="str">
        <f ca="1">IF(AND(Y415=1,AN415&gt;-205,ISBLANK(CX415),CY415&lt;100),"ПОДЛЕЖИТ ОБРАБОТКЕ","-----")</f>
        <v>-----</v>
      </c>
      <c r="CX415" s="552"/>
      <c r="CY415" s="571" t="str">
        <f>IF(CX415&gt;0,B415-CX415,"-")</f>
        <v>-</v>
      </c>
    </row>
    <row r="416" spans="1:103" s="555" customFormat="1" ht="15.95" customHeight="1" x14ac:dyDescent="0.25">
      <c r="A416" s="504">
        <v>676</v>
      </c>
      <c r="B416" s="505">
        <f ca="1">TODAY()</f>
        <v>43134</v>
      </c>
      <c r="C416" s="506" t="s">
        <v>2546</v>
      </c>
      <c r="D416" s="507" t="s">
        <v>1555</v>
      </c>
      <c r="E416" s="508" t="s">
        <v>1557</v>
      </c>
      <c r="F416" s="509" t="s">
        <v>3205</v>
      </c>
      <c r="G416" s="564"/>
      <c r="H416" s="510" t="s">
        <v>603</v>
      </c>
      <c r="I416" s="511">
        <v>43012</v>
      </c>
      <c r="J416" s="565">
        <f ca="1">(B416-I416)/365</f>
        <v>0.33424657534246577</v>
      </c>
      <c r="K416" s="565">
        <f ca="1">(B416-I416)/30</f>
        <v>4.0666666666666664</v>
      </c>
      <c r="L416" s="566">
        <f ca="1">B416-I416</f>
        <v>122</v>
      </c>
      <c r="M416" s="514"/>
      <c r="N416" s="515"/>
      <c r="O416" s="516" t="str">
        <f ca="1">IF(AND(B416&gt;0,N416&gt;0),B416-N416,"-")</f>
        <v>-</v>
      </c>
      <c r="P416" s="517"/>
      <c r="Q416" s="518"/>
      <c r="R416" s="519"/>
      <c r="S416" s="520"/>
      <c r="T416" s="511"/>
      <c r="U416" s="511" t="str">
        <f>IF(AND(Y416&gt;1,T416&gt;0),T416+18,"-")</f>
        <v>-</v>
      </c>
      <c r="V416" s="517" t="str">
        <f ca="1">IF(AND(U416&gt;0,B416&gt;0,Y416&gt;1),B416-U416,"-")</f>
        <v>-</v>
      </c>
      <c r="W416" s="521"/>
      <c r="X416" s="508" t="str">
        <f>IF(AND(N416&gt;0,T416&gt;0),T416-N416,"-")</f>
        <v>-</v>
      </c>
      <c r="Y416" s="508"/>
      <c r="Z416" s="522" t="str">
        <f ca="1">IF(AND(Y416=1,AA416&gt;71,OR(ISBLANK(AB416),AB416=2)),"ПОДЛЕЖИТ ПЕРЕПРОВЕРКЕ","-----")</f>
        <v>-----</v>
      </c>
      <c r="AA416" s="523">
        <f ca="1">IF(AND(O416&gt;-1,W416&gt;0,Y416=1,AB416=1),"-----",B416-T416)</f>
        <v>43134</v>
      </c>
      <c r="AB416" s="517"/>
      <c r="AC416" s="524" t="str">
        <f ca="1">IF(AND(AB416&lt;1,Z416="ПОДЛЕЖИТ ПЕРЕПРОВЕРКЕ",Y416=1),T416+72,"-----")</f>
        <v>-----</v>
      </c>
      <c r="AD416" s="511"/>
      <c r="AE416" s="508" t="str">
        <f ca="1">IF(AND(O416&gt;120,Y416=0,N416&gt;0),"яловая","-")</f>
        <v>-</v>
      </c>
      <c r="AF416" s="511" t="str">
        <f>IF(AND(T416&gt;0,OR(Y416=3,Y416=2)),T416+35,"-")</f>
        <v>-</v>
      </c>
      <c r="AG416" s="525" t="str">
        <f>IF(AND(T416&gt;0,W416&gt;0,Q416&gt;0,OR(Y416=3,Y416=2)),B416-AF416,"---------")</f>
        <v>---------</v>
      </c>
      <c r="AH416" s="520"/>
      <c r="AI416" s="520" t="str">
        <f>IF(AND($T416&gt;0,$N416&gt;0,$Y416=1),$T416+280-90,"-")</f>
        <v>-</v>
      </c>
      <c r="AJ416" s="520" t="str">
        <f>IF(AND(T416&gt;0,Y416=1,N416&gt;0),T416+280-60,"-")</f>
        <v>-</v>
      </c>
      <c r="AK416" s="526">
        <v>43014</v>
      </c>
      <c r="AL416" s="21" t="s">
        <v>1614</v>
      </c>
      <c r="AM416" s="520" t="str">
        <f>IF(AND(T416&gt;0,Y416=1),T416+280,"-")</f>
        <v>-</v>
      </c>
      <c r="AN416" s="527" t="str">
        <f ca="1">IF(AND(B416&gt;0,AM416&gt;0,AH416&gt;0,Y416=1),B416-AM416,"-")</f>
        <v>-</v>
      </c>
      <c r="AO416" s="528"/>
      <c r="AP416" s="529" t="str">
        <f ca="1">IF(AND(AE416="яловая",O416&gt;300),"БРАК","-")</f>
        <v>-</v>
      </c>
      <c r="AQ416" s="530"/>
      <c r="AR416" s="508" t="str">
        <f>IF(AND(Y416=1,P416=0),"НЕТЕЛЬ","-")</f>
        <v>-</v>
      </c>
      <c r="AS416" s="531"/>
      <c r="AT416" s="508" t="str">
        <f>IF(AND(N416&gt;0,T416&gt;0,W416&gt;0,Y416=1,AH416&gt;0,AK416&gt;0),"DRY COW","-")</f>
        <v>-</v>
      </c>
      <c r="AU416" s="532"/>
      <c r="AV416" s="561"/>
      <c r="AW416" s="533"/>
      <c r="AX416" s="534" t="str">
        <f>IF(AND(AV416&gt;0,AW416&gt;0),B416-AV416,"-")</f>
        <v>-</v>
      </c>
      <c r="AY416" s="535" t="str">
        <f>IF(AND(AV416&gt;0,AW416&gt;0),(AV416-I416)/30,"-")</f>
        <v>-</v>
      </c>
      <c r="AZ416" s="562"/>
      <c r="BA416" s="533"/>
      <c r="BB416" s="534" t="str">
        <f>IF(AND(AZ416&gt;0,BA416&gt;0),B416-AZ416,"-")</f>
        <v>-</v>
      </c>
      <c r="BC416" s="535" t="str">
        <f>IF(AND(AZ416&gt;0,BA416&gt;0),(AZ416-M416)/30,"-")</f>
        <v>-</v>
      </c>
      <c r="BD416" s="536" t="str">
        <f ca="1">IF(AND(OR(E416="тёлочка",E416="бычок"),L416&gt;0,BF416&lt;2,L416&lt;60),"ПОДЛЕЖИТ ВАКЦИНАЦИИ","-")</f>
        <v>-</v>
      </c>
      <c r="BE416" s="534"/>
      <c r="BF416" s="537"/>
      <c r="BG416" s="538" t="str">
        <f>IF(AND(BE416&gt;0,BF416=2),BE416-I416,"Ж-Е НЕ ВАКЦ.")</f>
        <v>Ж-Е НЕ ВАКЦ.</v>
      </c>
      <c r="BH416" s="539" t="str">
        <f>IF(AND(BE416&gt;0,BF416=2),B416-BE416,"-")</f>
        <v>-</v>
      </c>
      <c r="BI416" s="540" t="str">
        <f ca="1">IF(AND(L416&gt;40,BK416&lt;5),"ПОДЛЕЖИТ ВАКЦИНАЦИИ","-")</f>
        <v>ПОДЛЕЖИТ ВАКЦИНАЦИИ</v>
      </c>
      <c r="BJ416" s="548"/>
      <c r="BK416" s="542"/>
      <c r="BL416" s="543" t="str">
        <f>IF(AND(BJ416&gt;0,BK416=5),B416-BJ416,"-")</f>
        <v>-</v>
      </c>
      <c r="BM416" s="544" t="str">
        <f>IF(AND(BK416=5,BL416&gt;20,BP416&lt;5),"ТРЕБУЕТСЯ БУСТЕРНАЯ ДОЗА","-")</f>
        <v>-</v>
      </c>
      <c r="BN416" s="545" t="str">
        <f>IF(AND(BJ416&gt;0,BK416=5),BJ416+21,"-")</f>
        <v>-</v>
      </c>
      <c r="BO416" s="548"/>
      <c r="BP416" s="542"/>
      <c r="BQ416" s="543" t="str">
        <f>IF(AND(BO416&gt;0,BP416=5),B416-BO416,"-")</f>
        <v>-</v>
      </c>
      <c r="BR416" s="543" t="str">
        <f>IF(AND(BN416&gt;0,BO416&gt;0,BP416=5),BN416-BO416,"-")</f>
        <v>-</v>
      </c>
      <c r="BS416" s="546" t="str">
        <f>IF(AND(BP416=5,BR416=0),"УСПЕШНО","-")</f>
        <v>-</v>
      </c>
      <c r="BT416" s="547" t="str">
        <f>IF(AND(BJ416&gt;0,BK416=5,BO416&gt;0,BP416=5,BQ416&gt;240,BV416&lt;5),"НЕОБХОДИМА РЕВАКЦИНАЦИЯ","-")</f>
        <v>-</v>
      </c>
      <c r="BU416" s="541"/>
      <c r="BV416" s="542"/>
      <c r="BW416" s="543" t="str">
        <f>IF(AND(BU416&gt;0,BV416=5),N416-BU416,"-")</f>
        <v>-</v>
      </c>
      <c r="BX416" s="544" t="str">
        <f>IF(AND(BU416&gt;0,BV416=5,BW416&gt;240),"НЕОБХОДИМА РЕВАКЦИНАЦИЯ","-")</f>
        <v>-</v>
      </c>
      <c r="BY416" s="540" t="str">
        <f ca="1">IF(AND(Y416=1,AN416&gt;-90,CA416&lt;2),"ТРЕБУЕТСЯ ВАКЦИНАЦИЯ","-")</f>
        <v>-</v>
      </c>
      <c r="BZ416" s="548"/>
      <c r="CA416" s="542"/>
      <c r="CB416" s="543" t="str">
        <f>IF(AND(BZ416&gt;0,CA416=2),BZ416-T416,"-")</f>
        <v>-</v>
      </c>
      <c r="CC416" s="543" t="str">
        <f>IF(AND(BZ416&gt;0,CA416=2),B416-BZ416,"-")</f>
        <v>-</v>
      </c>
      <c r="CD416" s="544" t="str">
        <f>IF(AND(CA416=2,CC416&gt;20,CG416&lt;2),"ТРЕБУЕТСЯ БУСТЕРНАЯ ДОЗА","-")</f>
        <v>-</v>
      </c>
      <c r="CE416" s="545" t="str">
        <f>IF(AND(BZ416&gt;0,CA416=2),BZ416+21,"-")</f>
        <v>-</v>
      </c>
      <c r="CF416" s="548"/>
      <c r="CG416" s="542"/>
      <c r="CH416" s="543" t="str">
        <f>IF(AND(CE416&gt;0,CF416&gt;0,CG416=2),CF416-CE416,"-")</f>
        <v>-</v>
      </c>
      <c r="CI416" s="546" t="str">
        <f>IF(AND(CG416=2,CH416=0),"УСПЕШНО","-")</f>
        <v>-</v>
      </c>
      <c r="CJ416" s="543" t="str">
        <f>IF(AND(CF416&gt;0,CG416=2),CF416-T416,"-")</f>
        <v>-</v>
      </c>
      <c r="CK416" s="547" t="str">
        <f ca="1">IF(AND(BZ416&gt;0,CA416=2,CF416&gt;0,CG416=2,Y416=1,AN416&gt;-50,CM416&lt;2),"ТРЕБУЕТСЯ РЕВАКЦИНАЦИЯ","-")</f>
        <v>-</v>
      </c>
      <c r="CL416" s="549"/>
      <c r="CM416" s="542"/>
      <c r="CN416" s="550">
        <f ca="1">IF(O416&gt;90,N416+100,"-----")</f>
        <v>100</v>
      </c>
      <c r="CO416" s="551" t="str">
        <f ca="1">IF(AND(O416&gt;99,ISBLANK(CP416),CQ416&lt;100),"ПОДЛЕЖИТ ОБРАБОТКЕ","-----")</f>
        <v>-----</v>
      </c>
      <c r="CP416" s="552"/>
      <c r="CQ416" s="553" t="str">
        <f>IF(CP416&gt;0,B416-CP416,"-")</f>
        <v>-</v>
      </c>
      <c r="CR416" s="554"/>
      <c r="CS416" s="554"/>
      <c r="CT416" s="554"/>
      <c r="CU416" s="554"/>
      <c r="CV416" s="550" t="str">
        <f>IF(AND(Y416=1,P416&gt;0),AJ416-14,"----")</f>
        <v>----</v>
      </c>
      <c r="CW416" s="551" t="str">
        <f ca="1">IF(AND(Y416=1,AN416&gt;-205,ISBLANK(CX416),CY416&lt;100),"ПОДЛЕЖИТ ОБРАБОТКЕ","-----")</f>
        <v>-----</v>
      </c>
      <c r="CX416" s="552"/>
      <c r="CY416" s="571" t="str">
        <f>IF(CX416&gt;0,B416-CX416,"-")</f>
        <v>-</v>
      </c>
    </row>
    <row r="417" spans="1:103" s="555" customFormat="1" ht="15.95" customHeight="1" x14ac:dyDescent="0.25">
      <c r="A417" s="504">
        <v>702</v>
      </c>
      <c r="B417" s="505">
        <f t="shared" ref="B417:B420" ca="1" si="696">TODAY()</f>
        <v>43134</v>
      </c>
      <c r="C417" s="506" t="s">
        <v>2547</v>
      </c>
      <c r="D417" s="507" t="s">
        <v>1635</v>
      </c>
      <c r="E417" s="508" t="s">
        <v>1563</v>
      </c>
      <c r="F417" s="509" t="s">
        <v>2647</v>
      </c>
      <c r="G417" s="559"/>
      <c r="H417" s="510" t="s">
        <v>603</v>
      </c>
      <c r="I417" s="511">
        <v>42838</v>
      </c>
      <c r="J417" s="512">
        <f t="shared" ref="J417:J418" ca="1" si="697">(B417-I417)/365</f>
        <v>0.81095890410958904</v>
      </c>
      <c r="K417" s="512">
        <f t="shared" ref="K417:K418" ca="1" si="698">(B417-I417)/30</f>
        <v>9.8666666666666671</v>
      </c>
      <c r="L417" s="513">
        <f t="shared" ref="L417:L418" ca="1" si="699">B417-I417</f>
        <v>296</v>
      </c>
      <c r="M417" s="514"/>
      <c r="N417" s="515"/>
      <c r="O417" s="516" t="str">
        <f t="shared" ref="O417:O420" ca="1" si="700">IF(AND(B417&gt;0,N417&gt;0),B417-N417,"-")</f>
        <v>-</v>
      </c>
      <c r="P417" s="517"/>
      <c r="Q417" s="518"/>
      <c r="R417" s="519"/>
      <c r="S417" s="520"/>
      <c r="T417" s="511"/>
      <c r="U417" s="511" t="str">
        <f t="shared" ref="U417:U420" si="701">IF(AND(Y417&gt;1,T417&gt;0),T417+18,"-")</f>
        <v>-</v>
      </c>
      <c r="V417" s="517" t="str">
        <f t="shared" ref="V417:V420" ca="1" si="702">IF(AND(U417&gt;0,B417&gt;0,Y417&gt;1),B417-U417,"-")</f>
        <v>-</v>
      </c>
      <c r="W417" s="521">
        <v>0</v>
      </c>
      <c r="X417" s="508" t="str">
        <f t="shared" ref="X417:X420" si="703">IF(AND(N417&gt;0,T417&gt;0),T417-N417,"-")</f>
        <v>-</v>
      </c>
      <c r="Y417" s="508">
        <v>0</v>
      </c>
      <c r="Z417" s="522" t="str">
        <f t="shared" ref="Z417:Z420" ca="1" si="704">IF(AND(Y417=1,AA417&gt;71,OR(ISBLANK(AB417),AB417=2)),"ПОДЛЕЖИТ ПЕРЕПРОВЕРКЕ","-----")</f>
        <v>-----</v>
      </c>
      <c r="AA417" s="523">
        <f t="shared" ref="AA417:AA420" ca="1" si="705">IF(AND(O417&gt;-1,W417&gt;0,Y417=1,AB417=1),"-----",B417-T417)</f>
        <v>43134</v>
      </c>
      <c r="AB417" s="517"/>
      <c r="AC417" s="524" t="str">
        <f t="shared" ref="AC417:AC420" ca="1" si="706">IF(AND(AB417&lt;1,Z417="ПОДЛЕЖИТ ПЕРЕПРОВЕРКЕ",Y417=1),T417+72,"-----")</f>
        <v>-----</v>
      </c>
      <c r="AD417" s="511"/>
      <c r="AE417" s="508" t="str">
        <f t="shared" ref="AE417:AE420" ca="1" si="707">IF(AND(O417&gt;120,Y417=0,N417&gt;0),"яловая","-")</f>
        <v>-</v>
      </c>
      <c r="AF417" s="511" t="str">
        <f t="shared" ref="AF417:AF420" si="708">IF(AND(T417&gt;0,OR(Y417=3,Y417=2)),T417+35,"-")</f>
        <v>-</v>
      </c>
      <c r="AG417" s="525" t="str">
        <f t="shared" ref="AG417:AG420" si="709">IF(AND(T417&gt;0,W417&gt;0,Q417&gt;0,OR(Y417=3,Y417=2)),B417-AF417,"---------")</f>
        <v>---------</v>
      </c>
      <c r="AH417" s="520"/>
      <c r="AI417" s="520" t="str">
        <f t="shared" ref="AI417:AI420" si="710">IF(AND($T417&gt;0,$N417&gt;0,$Y417=1),$T417+280-90,"-")</f>
        <v>-</v>
      </c>
      <c r="AJ417" s="520" t="str">
        <f t="shared" ref="AJ417:AJ420" si="711">IF(AND(T417&gt;0,Y417=1,N417&gt;0),T417+280-60,"-")</f>
        <v>-</v>
      </c>
      <c r="AK417" s="526">
        <v>43015</v>
      </c>
      <c r="AL417" s="21" t="s">
        <v>3228</v>
      </c>
      <c r="AM417" s="520" t="str">
        <f t="shared" ref="AM417:AM420" si="712">IF(AND(T417&gt;0,Y417=1),T417+280,"-")</f>
        <v>-</v>
      </c>
      <c r="AN417" s="527" t="str">
        <f t="shared" ref="AN417:AN420" ca="1" si="713">IF(AND(B417&gt;0,AM417&gt;0,AH417&gt;0,Y417=1),B417-AM417,"-")</f>
        <v>-</v>
      </c>
      <c r="AO417" s="528">
        <v>1</v>
      </c>
      <c r="AP417" s="529" t="str">
        <f t="shared" ref="AP417:AP420" ca="1" si="714">IF(AND(AE417="яловая",O417&gt;300),"БРАК","-")</f>
        <v>-</v>
      </c>
      <c r="AQ417" s="530"/>
      <c r="AR417" s="508" t="str">
        <f t="shared" ref="AR417:AR420" si="715">IF(AND(Y417=1,P417=0),"НЕТЕЛЬ","-")</f>
        <v>-</v>
      </c>
      <c r="AS417" s="531"/>
      <c r="AT417" s="508" t="str">
        <f t="shared" ref="AT417:AT420" si="716">IF(AND(N417&gt;0,T417&gt;0,W417&gt;0,Y417=1,AH417&gt;0,AK417&gt;0),"DRY COW","-")</f>
        <v>-</v>
      </c>
      <c r="AU417" s="532"/>
      <c r="AV417" s="561"/>
      <c r="AW417" s="533"/>
      <c r="AX417" s="534" t="str">
        <f t="shared" ref="AX417:AX420" si="717">IF(AND(AV417&gt;0,AW417&gt;0),B417-AV417,"-")</f>
        <v>-</v>
      </c>
      <c r="AY417" s="535" t="str">
        <f t="shared" ref="AY417:AY420" si="718">IF(AND(AV417&gt;0,AW417&gt;0),(AV417-I417)/30,"-")</f>
        <v>-</v>
      </c>
      <c r="AZ417" s="562"/>
      <c r="BA417" s="533"/>
      <c r="BB417" s="534" t="str">
        <f t="shared" ref="BB417:BB420" si="719">IF(AND(AZ417&gt;0,BA417&gt;0),B417-AZ417,"-")</f>
        <v>-</v>
      </c>
      <c r="BC417" s="535" t="str">
        <f t="shared" ref="BC417:BC420" si="720">IF(AND(AZ417&gt;0,BA417&gt;0),(AZ417-M417)/30,"-")</f>
        <v>-</v>
      </c>
      <c r="BD417" s="536" t="str">
        <f t="shared" ref="BD417:BD420" ca="1" si="721">IF(AND(OR(E417="тёлочка",E417="бычок"),L417&gt;0,BF417&lt;2,L417&lt;60),"ПОДЛЕЖИТ ВАКЦИНАЦИИ","-")</f>
        <v>-</v>
      </c>
      <c r="BE417" s="558">
        <v>42886</v>
      </c>
      <c r="BF417" s="537">
        <v>2</v>
      </c>
      <c r="BG417" s="538">
        <f t="shared" ref="BG417:BG420" si="722">IF(AND(BE417&gt;0,BF417=2),BE417-I417,"Ж-Е НЕ ВАКЦ.")</f>
        <v>48</v>
      </c>
      <c r="BH417" s="539">
        <f t="shared" ref="BH417:BH420" ca="1" si="723">IF(AND(BE417&gt;0,BF417=2),B417-BE417,"-")</f>
        <v>248</v>
      </c>
      <c r="BI417" s="540" t="str">
        <f t="shared" ref="BI417:BI420" ca="1" si="724">IF(AND(L417&gt;40,BK417&lt;5),"ПОДЛЕЖИТ ВАКЦИНАЦИИ","-")</f>
        <v>-</v>
      </c>
      <c r="BJ417" s="541">
        <v>42915</v>
      </c>
      <c r="BK417" s="542">
        <v>5</v>
      </c>
      <c r="BL417" s="543">
        <f t="shared" ref="BL417:BL420" ca="1" si="725">IF(AND(BJ417&gt;0,BK417=5),B417-BJ417,"-")</f>
        <v>219</v>
      </c>
      <c r="BM417" s="544" t="str">
        <f t="shared" ref="BM417:BM420" ca="1" si="726">IF(AND(BK417=5,BL417&gt;20,BP417&lt;5),"ТРЕБУЕТСЯ БУСТЕРНАЯ ДОЗА","-")</f>
        <v>-</v>
      </c>
      <c r="BN417" s="545">
        <f t="shared" ref="BN417:BN420" si="727">IF(AND(BJ417&gt;0,BK417=5),BJ417+21,"-")</f>
        <v>42936</v>
      </c>
      <c r="BO417" s="541">
        <v>42936</v>
      </c>
      <c r="BP417" s="542">
        <v>5</v>
      </c>
      <c r="BQ417" s="543">
        <f t="shared" ref="BQ417:BQ420" ca="1" si="728">IF(AND(BO417&gt;0,BP417=5),B417-BO417,"-")</f>
        <v>198</v>
      </c>
      <c r="BR417" s="543">
        <f t="shared" ref="BR417:BR420" si="729">IF(AND(BN417&gt;0,BO417&gt;0,BP417=5),BN417-BO417,"-")</f>
        <v>0</v>
      </c>
      <c r="BS417" s="546" t="str">
        <f t="shared" ref="BS417:BS420" si="730">IF(AND(BP417=5,BR417=0),"УСПЕШНО","-")</f>
        <v>УСПЕШНО</v>
      </c>
      <c r="BT417" s="547" t="str">
        <f t="shared" ref="BT417:BT420" ca="1" si="731">IF(AND(BJ417&gt;0,BK417=5,BO417&gt;0,BP417=5,BQ417&gt;240,BV417&lt;5),"НЕОБХОДИМА РЕВАКЦИНАЦИЯ","-")</f>
        <v>-</v>
      </c>
      <c r="BU417" s="541"/>
      <c r="BV417" s="542"/>
      <c r="BW417" s="543" t="str">
        <f t="shared" ref="BW417:BW420" si="732">IF(AND(BU417&gt;0,BV417=5),N417-BU417,"-")</f>
        <v>-</v>
      </c>
      <c r="BX417" s="544" t="str">
        <f t="shared" ref="BX417:BX420" si="733">IF(AND(BU417&gt;0,BV417=5,BW417&gt;240),"НЕОБХОДИМА РЕВАКЦИНАЦИЯ","-")</f>
        <v>-</v>
      </c>
      <c r="BY417" s="540" t="str">
        <f t="shared" ref="BY417:BY420" ca="1" si="734">IF(AND(Y417=1,AN417&gt;-90,CA417&lt;2),"ТРЕБУЕТСЯ ВАКЦИНАЦИЯ","-")</f>
        <v>-</v>
      </c>
      <c r="BZ417" s="548"/>
      <c r="CA417" s="542"/>
      <c r="CB417" s="543" t="str">
        <f t="shared" ref="CB417:CB420" si="735">IF(AND(BZ417&gt;0,CA417=2),BZ417-T417,"-")</f>
        <v>-</v>
      </c>
      <c r="CC417" s="543" t="str">
        <f t="shared" ref="CC417:CC420" si="736">IF(AND(BZ417&gt;0,CA417=2),B417-BZ417,"-")</f>
        <v>-</v>
      </c>
      <c r="CD417" s="544" t="str">
        <f t="shared" ref="CD417:CD420" si="737">IF(AND(CA417=2,CC417&gt;20,CG417&lt;2),"ТРЕБУЕТСЯ БУСТЕРНАЯ ДОЗА","-")</f>
        <v>-</v>
      </c>
      <c r="CE417" s="545" t="str">
        <f t="shared" ref="CE417:CE420" si="738">IF(AND(BZ417&gt;0,CA417=2),BZ417+21,"-")</f>
        <v>-</v>
      </c>
      <c r="CF417" s="548"/>
      <c r="CG417" s="542"/>
      <c r="CH417" s="543" t="str">
        <f t="shared" ref="CH417:CH420" si="739">IF(AND(CE417&gt;0,CF417&gt;0,CG417=2),CF417-CE417,"-")</f>
        <v>-</v>
      </c>
      <c r="CI417" s="546" t="str">
        <f t="shared" ref="CI417:CI420" si="740">IF(AND(CG417=2,CH417=0),"УСПЕШНО","-")</f>
        <v>-</v>
      </c>
      <c r="CJ417" s="543" t="str">
        <f t="shared" ref="CJ417:CJ420" si="741">IF(AND(CF417&gt;0,CG417=2),CF417-T417,"-")</f>
        <v>-</v>
      </c>
      <c r="CK417" s="547" t="str">
        <f t="shared" ref="CK417:CK420" ca="1" si="742">IF(AND(BZ417&gt;0,CA417=2,CF417&gt;0,CG417=2,Y417=1,AN417&gt;-50,CM417&lt;2),"ТРЕБУЕТСЯ РЕВАКЦИНАЦИЯ","-")</f>
        <v>-</v>
      </c>
      <c r="CL417" s="549"/>
      <c r="CM417" s="542"/>
      <c r="CN417" s="550">
        <f t="shared" ref="CN417:CN420" ca="1" si="743">IF(O417&gt;90,N417+100,"-----")</f>
        <v>100</v>
      </c>
      <c r="CO417" s="551" t="str">
        <f t="shared" ref="CO417:CO420" ca="1" si="744">IF(AND(O417&gt;99,ISBLANK(CP417),CQ417&lt;100),"ПОДЛЕЖИТ ОБРАБОТКЕ","-----")</f>
        <v>-----</v>
      </c>
      <c r="CP417" s="552"/>
      <c r="CQ417" s="553" t="str">
        <f t="shared" ref="CQ417:CQ420" si="745">IF(CP417&gt;0,B417-CP417,"-")</f>
        <v>-</v>
      </c>
      <c r="CR417" s="554"/>
      <c r="CS417" s="554"/>
      <c r="CT417" s="554"/>
      <c r="CU417" s="554"/>
      <c r="CV417" s="550" t="str">
        <f t="shared" ref="CV417:CV420" si="746">IF(AND(Y417=1,P417&gt;0),AJ417-14,"----")</f>
        <v>----</v>
      </c>
      <c r="CW417" s="551" t="str">
        <f t="shared" ref="CW417:CW420" ca="1" si="747">IF(AND(Y417=1,AN417&gt;-205,ISBLANK(CX417),CY417&lt;100),"ПОДЛЕЖИТ ОБРАБОТКЕ","-----")</f>
        <v>-----</v>
      </c>
      <c r="CX417" s="552"/>
      <c r="CY417" s="553" t="str">
        <f t="shared" ref="CY417:CY420" si="748">IF(CX417&gt;0,B417-CX417,"-")</f>
        <v>-</v>
      </c>
    </row>
    <row r="418" spans="1:103" s="555" customFormat="1" ht="15.95" customHeight="1" x14ac:dyDescent="0.25">
      <c r="A418" s="504">
        <v>732</v>
      </c>
      <c r="B418" s="505">
        <f t="shared" ca="1" si="696"/>
        <v>43134</v>
      </c>
      <c r="C418" s="506" t="s">
        <v>2547</v>
      </c>
      <c r="D418" s="507" t="s">
        <v>1635</v>
      </c>
      <c r="E418" s="508" t="s">
        <v>1563</v>
      </c>
      <c r="F418" s="509" t="s">
        <v>2888</v>
      </c>
      <c r="G418" s="559"/>
      <c r="H418" s="510" t="s">
        <v>603</v>
      </c>
      <c r="I418" s="511">
        <v>42914</v>
      </c>
      <c r="J418" s="512">
        <f t="shared" ca="1" si="697"/>
        <v>0.60273972602739723</v>
      </c>
      <c r="K418" s="512">
        <f t="shared" ca="1" si="698"/>
        <v>7.333333333333333</v>
      </c>
      <c r="L418" s="513">
        <f t="shared" ca="1" si="699"/>
        <v>220</v>
      </c>
      <c r="M418" s="514"/>
      <c r="N418" s="515"/>
      <c r="O418" s="516" t="str">
        <f t="shared" ca="1" si="700"/>
        <v>-</v>
      </c>
      <c r="P418" s="517"/>
      <c r="Q418" s="518"/>
      <c r="R418" s="519"/>
      <c r="S418" s="520"/>
      <c r="T418" s="511"/>
      <c r="U418" s="511" t="str">
        <f t="shared" si="701"/>
        <v>-</v>
      </c>
      <c r="V418" s="517" t="str">
        <f t="shared" ca="1" si="702"/>
        <v>-</v>
      </c>
      <c r="W418" s="521">
        <v>0</v>
      </c>
      <c r="X418" s="508" t="str">
        <f t="shared" si="703"/>
        <v>-</v>
      </c>
      <c r="Y418" s="508">
        <v>0</v>
      </c>
      <c r="Z418" s="522" t="str">
        <f t="shared" ca="1" si="704"/>
        <v>-----</v>
      </c>
      <c r="AA418" s="523">
        <f t="shared" ca="1" si="705"/>
        <v>43134</v>
      </c>
      <c r="AB418" s="517"/>
      <c r="AC418" s="524" t="str">
        <f t="shared" ca="1" si="706"/>
        <v>-----</v>
      </c>
      <c r="AD418" s="511"/>
      <c r="AE418" s="508" t="str">
        <f t="shared" ca="1" si="707"/>
        <v>-</v>
      </c>
      <c r="AF418" s="511" t="str">
        <f t="shared" si="708"/>
        <v>-</v>
      </c>
      <c r="AG418" s="525" t="str">
        <f t="shared" si="709"/>
        <v>---------</v>
      </c>
      <c r="AH418" s="520"/>
      <c r="AI418" s="520" t="str">
        <f t="shared" si="710"/>
        <v>-</v>
      </c>
      <c r="AJ418" s="520" t="str">
        <f t="shared" si="711"/>
        <v>-</v>
      </c>
      <c r="AK418" s="526">
        <v>43015</v>
      </c>
      <c r="AL418" s="21" t="s">
        <v>3228</v>
      </c>
      <c r="AM418" s="520" t="str">
        <f t="shared" si="712"/>
        <v>-</v>
      </c>
      <c r="AN418" s="527" t="str">
        <f t="shared" ca="1" si="713"/>
        <v>-</v>
      </c>
      <c r="AO418" s="528">
        <v>1</v>
      </c>
      <c r="AP418" s="529" t="str">
        <f t="shared" ca="1" si="714"/>
        <v>-</v>
      </c>
      <c r="AQ418" s="530"/>
      <c r="AR418" s="508" t="str">
        <f t="shared" si="715"/>
        <v>-</v>
      </c>
      <c r="AS418" s="531"/>
      <c r="AT418" s="508" t="str">
        <f t="shared" si="716"/>
        <v>-</v>
      </c>
      <c r="AU418" s="532"/>
      <c r="AV418" s="561"/>
      <c r="AW418" s="533"/>
      <c r="AX418" s="534" t="str">
        <f t="shared" si="717"/>
        <v>-</v>
      </c>
      <c r="AY418" s="535" t="str">
        <f t="shared" si="718"/>
        <v>-</v>
      </c>
      <c r="AZ418" s="562"/>
      <c r="BA418" s="533"/>
      <c r="BB418" s="534" t="str">
        <f t="shared" si="719"/>
        <v>-</v>
      </c>
      <c r="BC418" s="535" t="str">
        <f t="shared" si="720"/>
        <v>-</v>
      </c>
      <c r="BD418" s="536" t="str">
        <f t="shared" ca="1" si="721"/>
        <v>-</v>
      </c>
      <c r="BE418" s="558">
        <v>42920</v>
      </c>
      <c r="BF418" s="537">
        <v>2</v>
      </c>
      <c r="BG418" s="538">
        <f t="shared" si="722"/>
        <v>6</v>
      </c>
      <c r="BH418" s="539">
        <f t="shared" ca="1" si="723"/>
        <v>214</v>
      </c>
      <c r="BI418" s="540" t="str">
        <f t="shared" ca="1" si="724"/>
        <v>-</v>
      </c>
      <c r="BJ418" s="541">
        <v>42988</v>
      </c>
      <c r="BK418" s="542">
        <v>5</v>
      </c>
      <c r="BL418" s="543">
        <f t="shared" ca="1" si="725"/>
        <v>146</v>
      </c>
      <c r="BM418" s="544" t="str">
        <f t="shared" ca="1" si="726"/>
        <v>-</v>
      </c>
      <c r="BN418" s="545">
        <f t="shared" si="727"/>
        <v>43009</v>
      </c>
      <c r="BO418" s="541">
        <v>43009</v>
      </c>
      <c r="BP418" s="542">
        <v>5</v>
      </c>
      <c r="BQ418" s="543">
        <f t="shared" ca="1" si="728"/>
        <v>125</v>
      </c>
      <c r="BR418" s="543">
        <f t="shared" si="729"/>
        <v>0</v>
      </c>
      <c r="BS418" s="546" t="str">
        <f t="shared" si="730"/>
        <v>УСПЕШНО</v>
      </c>
      <c r="BT418" s="547" t="str">
        <f t="shared" ca="1" si="731"/>
        <v>-</v>
      </c>
      <c r="BU418" s="541"/>
      <c r="BV418" s="542"/>
      <c r="BW418" s="543" t="str">
        <f t="shared" si="732"/>
        <v>-</v>
      </c>
      <c r="BX418" s="544" t="str">
        <f t="shared" si="733"/>
        <v>-</v>
      </c>
      <c r="BY418" s="540" t="str">
        <f t="shared" ca="1" si="734"/>
        <v>-</v>
      </c>
      <c r="BZ418" s="548"/>
      <c r="CA418" s="542"/>
      <c r="CB418" s="543" t="str">
        <f t="shared" si="735"/>
        <v>-</v>
      </c>
      <c r="CC418" s="543" t="str">
        <f t="shared" si="736"/>
        <v>-</v>
      </c>
      <c r="CD418" s="544" t="str">
        <f t="shared" si="737"/>
        <v>-</v>
      </c>
      <c r="CE418" s="545" t="str">
        <f t="shared" si="738"/>
        <v>-</v>
      </c>
      <c r="CF418" s="548"/>
      <c r="CG418" s="542"/>
      <c r="CH418" s="543" t="str">
        <f t="shared" si="739"/>
        <v>-</v>
      </c>
      <c r="CI418" s="546" t="str">
        <f t="shared" si="740"/>
        <v>-</v>
      </c>
      <c r="CJ418" s="543" t="str">
        <f t="shared" si="741"/>
        <v>-</v>
      </c>
      <c r="CK418" s="547" t="str">
        <f t="shared" ca="1" si="742"/>
        <v>-</v>
      </c>
      <c r="CL418" s="549"/>
      <c r="CM418" s="542"/>
      <c r="CN418" s="550">
        <f t="shared" ca="1" si="743"/>
        <v>100</v>
      </c>
      <c r="CO418" s="551" t="str">
        <f t="shared" ca="1" si="744"/>
        <v>-----</v>
      </c>
      <c r="CP418" s="552"/>
      <c r="CQ418" s="553" t="str">
        <f t="shared" si="745"/>
        <v>-</v>
      </c>
      <c r="CR418" s="554"/>
      <c r="CS418" s="554"/>
      <c r="CT418" s="554"/>
      <c r="CU418" s="554"/>
      <c r="CV418" s="550" t="str">
        <f t="shared" si="746"/>
        <v>----</v>
      </c>
      <c r="CW418" s="551" t="str">
        <f t="shared" ca="1" si="747"/>
        <v>-----</v>
      </c>
      <c r="CX418" s="552"/>
      <c r="CY418" s="553" t="str">
        <f t="shared" si="748"/>
        <v>-</v>
      </c>
    </row>
    <row r="419" spans="1:103" s="560" customFormat="1" ht="25.5" x14ac:dyDescent="0.25">
      <c r="A419" s="504">
        <v>1055</v>
      </c>
      <c r="B419" s="505">
        <f t="shared" ca="1" si="696"/>
        <v>43134</v>
      </c>
      <c r="C419" s="506" t="s">
        <v>2546</v>
      </c>
      <c r="D419" s="507" t="s">
        <v>1555</v>
      </c>
      <c r="E419" s="508" t="s">
        <v>1557</v>
      </c>
      <c r="F419" s="509" t="s">
        <v>3210</v>
      </c>
      <c r="G419" s="564"/>
      <c r="H419" s="510" t="s">
        <v>603</v>
      </c>
      <c r="I419" s="511">
        <v>43013</v>
      </c>
      <c r="J419" s="565"/>
      <c r="K419" s="565"/>
      <c r="L419" s="566"/>
      <c r="M419" s="514"/>
      <c r="N419" s="515"/>
      <c r="O419" s="516" t="str">
        <f t="shared" ca="1" si="700"/>
        <v>-</v>
      </c>
      <c r="P419" s="517"/>
      <c r="Q419" s="518"/>
      <c r="R419" s="519"/>
      <c r="S419" s="520"/>
      <c r="T419" s="511"/>
      <c r="U419" s="511" t="str">
        <f t="shared" si="701"/>
        <v>-</v>
      </c>
      <c r="V419" s="517" t="str">
        <f t="shared" ca="1" si="702"/>
        <v>-</v>
      </c>
      <c r="W419" s="521">
        <v>0</v>
      </c>
      <c r="X419" s="508" t="str">
        <f t="shared" si="703"/>
        <v>-</v>
      </c>
      <c r="Y419" s="508">
        <v>0</v>
      </c>
      <c r="Z419" s="522" t="str">
        <f t="shared" ca="1" si="704"/>
        <v>-----</v>
      </c>
      <c r="AA419" s="523">
        <f t="shared" ca="1" si="705"/>
        <v>43134</v>
      </c>
      <c r="AB419" s="517"/>
      <c r="AC419" s="524" t="str">
        <f t="shared" ca="1" si="706"/>
        <v>-----</v>
      </c>
      <c r="AD419" s="511"/>
      <c r="AE419" s="508" t="str">
        <f t="shared" ca="1" si="707"/>
        <v>-</v>
      </c>
      <c r="AF419" s="511" t="str">
        <f t="shared" si="708"/>
        <v>-</v>
      </c>
      <c r="AG419" s="525" t="str">
        <f t="shared" si="709"/>
        <v>---------</v>
      </c>
      <c r="AH419" s="520"/>
      <c r="AI419" s="520" t="str">
        <f t="shared" si="710"/>
        <v>-</v>
      </c>
      <c r="AJ419" s="520" t="str">
        <f t="shared" si="711"/>
        <v>-</v>
      </c>
      <c r="AK419" s="526">
        <v>43017</v>
      </c>
      <c r="AL419" s="21" t="s">
        <v>1614</v>
      </c>
      <c r="AM419" s="520" t="str">
        <f t="shared" si="712"/>
        <v>-</v>
      </c>
      <c r="AN419" s="527" t="str">
        <f t="shared" ca="1" si="713"/>
        <v>-</v>
      </c>
      <c r="AO419" s="528"/>
      <c r="AP419" s="529" t="str">
        <f t="shared" ca="1" si="714"/>
        <v>-</v>
      </c>
      <c r="AQ419" s="530"/>
      <c r="AR419" s="508" t="str">
        <f t="shared" si="715"/>
        <v>-</v>
      </c>
      <c r="AS419" s="531"/>
      <c r="AT419" s="508" t="str">
        <f t="shared" si="716"/>
        <v>-</v>
      </c>
      <c r="AU419" s="532"/>
      <c r="AV419" s="561"/>
      <c r="AW419" s="533"/>
      <c r="AX419" s="534" t="str">
        <f t="shared" si="717"/>
        <v>-</v>
      </c>
      <c r="AY419" s="535" t="str">
        <f t="shared" si="718"/>
        <v>-</v>
      </c>
      <c r="AZ419" s="562"/>
      <c r="BA419" s="533"/>
      <c r="BB419" s="534" t="str">
        <f t="shared" si="719"/>
        <v>-</v>
      </c>
      <c r="BC419" s="535" t="str">
        <f t="shared" si="720"/>
        <v>-</v>
      </c>
      <c r="BD419" s="536" t="str">
        <f t="shared" si="721"/>
        <v>-</v>
      </c>
      <c r="BE419" s="534"/>
      <c r="BF419" s="537"/>
      <c r="BG419" s="538" t="str">
        <f t="shared" si="722"/>
        <v>Ж-Е НЕ ВАКЦ.</v>
      </c>
      <c r="BH419" s="539" t="str">
        <f t="shared" si="723"/>
        <v>-</v>
      </c>
      <c r="BI419" s="540" t="str">
        <f t="shared" si="724"/>
        <v>-</v>
      </c>
      <c r="BJ419" s="548"/>
      <c r="BK419" s="542"/>
      <c r="BL419" s="543" t="str">
        <f t="shared" si="725"/>
        <v>-</v>
      </c>
      <c r="BM419" s="544" t="str">
        <f t="shared" si="726"/>
        <v>-</v>
      </c>
      <c r="BN419" s="545" t="str">
        <f t="shared" si="727"/>
        <v>-</v>
      </c>
      <c r="BO419" s="548"/>
      <c r="BP419" s="542"/>
      <c r="BQ419" s="543" t="str">
        <f t="shared" si="728"/>
        <v>-</v>
      </c>
      <c r="BR419" s="543" t="str">
        <f t="shared" si="729"/>
        <v>-</v>
      </c>
      <c r="BS419" s="546" t="str">
        <f t="shared" si="730"/>
        <v>-</v>
      </c>
      <c r="BT419" s="547" t="str">
        <f t="shared" si="731"/>
        <v>-</v>
      </c>
      <c r="BU419" s="541"/>
      <c r="BV419" s="542"/>
      <c r="BW419" s="543" t="str">
        <f t="shared" si="732"/>
        <v>-</v>
      </c>
      <c r="BX419" s="544" t="str">
        <f t="shared" si="733"/>
        <v>-</v>
      </c>
      <c r="BY419" s="540" t="str">
        <f t="shared" ca="1" si="734"/>
        <v>-</v>
      </c>
      <c r="BZ419" s="548"/>
      <c r="CA419" s="542"/>
      <c r="CB419" s="543" t="str">
        <f t="shared" si="735"/>
        <v>-</v>
      </c>
      <c r="CC419" s="543" t="str">
        <f t="shared" si="736"/>
        <v>-</v>
      </c>
      <c r="CD419" s="544" t="str">
        <f t="shared" si="737"/>
        <v>-</v>
      </c>
      <c r="CE419" s="545" t="str">
        <f t="shared" si="738"/>
        <v>-</v>
      </c>
      <c r="CF419" s="548"/>
      <c r="CG419" s="542"/>
      <c r="CH419" s="543" t="str">
        <f t="shared" si="739"/>
        <v>-</v>
      </c>
      <c r="CI419" s="546" t="str">
        <f t="shared" si="740"/>
        <v>-</v>
      </c>
      <c r="CJ419" s="543" t="str">
        <f t="shared" si="741"/>
        <v>-</v>
      </c>
      <c r="CK419" s="547" t="str">
        <f t="shared" ca="1" si="742"/>
        <v>-</v>
      </c>
      <c r="CL419" s="549"/>
      <c r="CM419" s="542"/>
      <c r="CN419" s="550">
        <f t="shared" ca="1" si="743"/>
        <v>100</v>
      </c>
      <c r="CO419" s="551" t="str">
        <f t="shared" ca="1" si="744"/>
        <v>-----</v>
      </c>
      <c r="CP419" s="552"/>
      <c r="CQ419" s="553" t="str">
        <f t="shared" si="745"/>
        <v>-</v>
      </c>
      <c r="CR419" s="554"/>
      <c r="CS419" s="554"/>
      <c r="CT419" s="554"/>
      <c r="CU419" s="554"/>
      <c r="CV419" s="550" t="str">
        <f t="shared" si="746"/>
        <v>----</v>
      </c>
      <c r="CW419" s="551" t="str">
        <f t="shared" ca="1" si="747"/>
        <v>-----</v>
      </c>
      <c r="CX419" s="552"/>
      <c r="CY419" s="553" t="str">
        <f t="shared" si="748"/>
        <v>-</v>
      </c>
    </row>
    <row r="420" spans="1:103" s="560" customFormat="1" ht="25.5" x14ac:dyDescent="0.25">
      <c r="A420" s="504">
        <v>1058</v>
      </c>
      <c r="B420" s="505">
        <f t="shared" ca="1" si="696"/>
        <v>43134</v>
      </c>
      <c r="C420" s="506" t="s">
        <v>2546</v>
      </c>
      <c r="D420" s="507" t="s">
        <v>1555</v>
      </c>
      <c r="E420" s="508" t="s">
        <v>1557</v>
      </c>
      <c r="F420" s="509" t="s">
        <v>3215</v>
      </c>
      <c r="G420" s="564"/>
      <c r="H420" s="510" t="s">
        <v>603</v>
      </c>
      <c r="I420" s="511">
        <v>43014</v>
      </c>
      <c r="J420" s="565"/>
      <c r="K420" s="565"/>
      <c r="L420" s="566"/>
      <c r="M420" s="514"/>
      <c r="N420" s="515"/>
      <c r="O420" s="516" t="str">
        <f t="shared" ca="1" si="700"/>
        <v>-</v>
      </c>
      <c r="P420" s="517"/>
      <c r="Q420" s="518"/>
      <c r="R420" s="519"/>
      <c r="S420" s="520"/>
      <c r="T420" s="511"/>
      <c r="U420" s="511" t="str">
        <f t="shared" si="701"/>
        <v>-</v>
      </c>
      <c r="V420" s="517" t="str">
        <f t="shared" ca="1" si="702"/>
        <v>-</v>
      </c>
      <c r="W420" s="521">
        <v>0</v>
      </c>
      <c r="X420" s="508" t="str">
        <f t="shared" si="703"/>
        <v>-</v>
      </c>
      <c r="Y420" s="508">
        <v>0</v>
      </c>
      <c r="Z420" s="522" t="str">
        <f t="shared" ca="1" si="704"/>
        <v>-----</v>
      </c>
      <c r="AA420" s="523">
        <f t="shared" ca="1" si="705"/>
        <v>43134</v>
      </c>
      <c r="AB420" s="517"/>
      <c r="AC420" s="524" t="str">
        <f t="shared" ca="1" si="706"/>
        <v>-----</v>
      </c>
      <c r="AD420" s="511"/>
      <c r="AE420" s="508" t="str">
        <f t="shared" ca="1" si="707"/>
        <v>-</v>
      </c>
      <c r="AF420" s="511" t="str">
        <f t="shared" si="708"/>
        <v>-</v>
      </c>
      <c r="AG420" s="525" t="str">
        <f t="shared" si="709"/>
        <v>---------</v>
      </c>
      <c r="AH420" s="520"/>
      <c r="AI420" s="520" t="str">
        <f t="shared" si="710"/>
        <v>-</v>
      </c>
      <c r="AJ420" s="520" t="str">
        <f t="shared" si="711"/>
        <v>-</v>
      </c>
      <c r="AK420" s="526">
        <v>43017</v>
      </c>
      <c r="AL420" s="21" t="s">
        <v>1614</v>
      </c>
      <c r="AM420" s="520" t="str">
        <f t="shared" si="712"/>
        <v>-</v>
      </c>
      <c r="AN420" s="527" t="str">
        <f t="shared" ca="1" si="713"/>
        <v>-</v>
      </c>
      <c r="AO420" s="528"/>
      <c r="AP420" s="529" t="str">
        <f t="shared" ca="1" si="714"/>
        <v>-</v>
      </c>
      <c r="AQ420" s="530"/>
      <c r="AR420" s="508" t="str">
        <f t="shared" si="715"/>
        <v>-</v>
      </c>
      <c r="AS420" s="531"/>
      <c r="AT420" s="508" t="str">
        <f t="shared" si="716"/>
        <v>-</v>
      </c>
      <c r="AU420" s="532"/>
      <c r="AV420" s="561"/>
      <c r="AW420" s="533"/>
      <c r="AX420" s="534" t="str">
        <f t="shared" si="717"/>
        <v>-</v>
      </c>
      <c r="AY420" s="535" t="str">
        <f t="shared" si="718"/>
        <v>-</v>
      </c>
      <c r="AZ420" s="562"/>
      <c r="BA420" s="533"/>
      <c r="BB420" s="534" t="str">
        <f t="shared" si="719"/>
        <v>-</v>
      </c>
      <c r="BC420" s="535" t="str">
        <f t="shared" si="720"/>
        <v>-</v>
      </c>
      <c r="BD420" s="536" t="str">
        <f t="shared" si="721"/>
        <v>-</v>
      </c>
      <c r="BE420" s="534"/>
      <c r="BF420" s="537"/>
      <c r="BG420" s="538" t="str">
        <f t="shared" si="722"/>
        <v>Ж-Е НЕ ВАКЦ.</v>
      </c>
      <c r="BH420" s="539" t="str">
        <f t="shared" si="723"/>
        <v>-</v>
      </c>
      <c r="BI420" s="540" t="str">
        <f t="shared" si="724"/>
        <v>-</v>
      </c>
      <c r="BJ420" s="548"/>
      <c r="BK420" s="542"/>
      <c r="BL420" s="543" t="str">
        <f t="shared" si="725"/>
        <v>-</v>
      </c>
      <c r="BM420" s="544" t="str">
        <f t="shared" si="726"/>
        <v>-</v>
      </c>
      <c r="BN420" s="545" t="str">
        <f t="shared" si="727"/>
        <v>-</v>
      </c>
      <c r="BO420" s="548"/>
      <c r="BP420" s="542"/>
      <c r="BQ420" s="543" t="str">
        <f t="shared" si="728"/>
        <v>-</v>
      </c>
      <c r="BR420" s="543" t="str">
        <f t="shared" si="729"/>
        <v>-</v>
      </c>
      <c r="BS420" s="546" t="str">
        <f t="shared" si="730"/>
        <v>-</v>
      </c>
      <c r="BT420" s="547" t="str">
        <f t="shared" si="731"/>
        <v>-</v>
      </c>
      <c r="BU420" s="541"/>
      <c r="BV420" s="542"/>
      <c r="BW420" s="543" t="str">
        <f t="shared" si="732"/>
        <v>-</v>
      </c>
      <c r="BX420" s="544" t="str">
        <f t="shared" si="733"/>
        <v>-</v>
      </c>
      <c r="BY420" s="540" t="str">
        <f t="shared" ca="1" si="734"/>
        <v>-</v>
      </c>
      <c r="BZ420" s="548"/>
      <c r="CA420" s="542"/>
      <c r="CB420" s="543" t="str">
        <f t="shared" si="735"/>
        <v>-</v>
      </c>
      <c r="CC420" s="543" t="str">
        <f t="shared" si="736"/>
        <v>-</v>
      </c>
      <c r="CD420" s="544" t="str">
        <f t="shared" si="737"/>
        <v>-</v>
      </c>
      <c r="CE420" s="545" t="str">
        <f t="shared" si="738"/>
        <v>-</v>
      </c>
      <c r="CF420" s="548"/>
      <c r="CG420" s="542"/>
      <c r="CH420" s="543" t="str">
        <f t="shared" si="739"/>
        <v>-</v>
      </c>
      <c r="CI420" s="546" t="str">
        <f t="shared" si="740"/>
        <v>-</v>
      </c>
      <c r="CJ420" s="543" t="str">
        <f t="shared" si="741"/>
        <v>-</v>
      </c>
      <c r="CK420" s="547" t="str">
        <f t="shared" ca="1" si="742"/>
        <v>-</v>
      </c>
      <c r="CL420" s="549"/>
      <c r="CM420" s="542"/>
      <c r="CN420" s="550">
        <f t="shared" ca="1" si="743"/>
        <v>100</v>
      </c>
      <c r="CO420" s="551" t="str">
        <f t="shared" ca="1" si="744"/>
        <v>-----</v>
      </c>
      <c r="CP420" s="552"/>
      <c r="CQ420" s="553" t="str">
        <f t="shared" si="745"/>
        <v>-</v>
      </c>
      <c r="CR420" s="554"/>
      <c r="CS420" s="554"/>
      <c r="CT420" s="554"/>
      <c r="CU420" s="554"/>
      <c r="CV420" s="550" t="str">
        <f t="shared" si="746"/>
        <v>----</v>
      </c>
      <c r="CW420" s="551" t="str">
        <f t="shared" ca="1" si="747"/>
        <v>-----</v>
      </c>
      <c r="CX420" s="552"/>
      <c r="CY420" s="553" t="str">
        <f t="shared" si="748"/>
        <v>-</v>
      </c>
    </row>
    <row r="421" spans="1:103" s="864" customFormat="1" ht="25.5" x14ac:dyDescent="0.25">
      <c r="A421" s="790">
        <v>1000</v>
      </c>
      <c r="B421" s="791">
        <f ca="1">TODAY()</f>
        <v>43134</v>
      </c>
      <c r="C421" s="847" t="s">
        <v>2584</v>
      </c>
      <c r="D421" s="793" t="s">
        <v>2915</v>
      </c>
      <c r="E421" s="794" t="s">
        <v>1563</v>
      </c>
      <c r="F421" s="795" t="s">
        <v>1723</v>
      </c>
      <c r="G421" s="845"/>
      <c r="H421" s="797" t="s">
        <v>603</v>
      </c>
      <c r="I421" s="798">
        <v>42422</v>
      </c>
      <c r="J421" s="799">
        <f ca="1">(B421-I421)/365</f>
        <v>1.9506849315068493</v>
      </c>
      <c r="K421" s="799">
        <f ca="1">(B421-I421)/30</f>
        <v>23.733333333333334</v>
      </c>
      <c r="L421" s="800">
        <f ca="1">B421-I421</f>
        <v>712</v>
      </c>
      <c r="M421" s="801"/>
      <c r="N421" s="802"/>
      <c r="O421" s="803" t="str">
        <f ca="1">IF(AND(B421&gt;0,N421&gt;0),B421-N421,"-")</f>
        <v>-</v>
      </c>
      <c r="P421" s="804"/>
      <c r="Q421" s="805" t="s">
        <v>1451</v>
      </c>
      <c r="R421" s="806" t="s">
        <v>1820</v>
      </c>
      <c r="S421" s="807">
        <v>42790</v>
      </c>
      <c r="T421" s="798">
        <v>42896</v>
      </c>
      <c r="U421" s="798" t="str">
        <f>IF(AND(Y421&gt;1,T421&gt;0),T421+18,"-")</f>
        <v>-</v>
      </c>
      <c r="V421" s="804" t="str">
        <f ca="1">IF(AND(U421&gt;0,B421&gt;0,Y421&gt;1),B421-U421,"-")</f>
        <v>-</v>
      </c>
      <c r="W421" s="808">
        <v>3</v>
      </c>
      <c r="X421" s="794" t="str">
        <f>IF(AND(N421&gt;0,T421&gt;0),T421-N421,"-")</f>
        <v>-</v>
      </c>
      <c r="Y421" s="794">
        <v>0</v>
      </c>
      <c r="Z421" s="809" t="str">
        <f ca="1">IF(AND(Y421=1,AA421&gt;71,OR(ISBLANK(AB421),AB421=2)),"ПОДЛЕЖИТ ПЕРЕПРОВЕРКЕ","-----")</f>
        <v>-----</v>
      </c>
      <c r="AA421" s="810">
        <f ca="1">IF(AND(O421&gt;-1,W421&gt;0,Y421=1,AB421=1),"-----",B421-T421)</f>
        <v>238</v>
      </c>
      <c r="AB421" s="804"/>
      <c r="AC421" s="811" t="str">
        <f ca="1">IF(AND(AB421&lt;1,Z421="ПОДЛЕЖИТ ПЕРЕПРОВЕРКЕ",Y421=1),T421+72,"-----")</f>
        <v>-----</v>
      </c>
      <c r="AD421" s="798"/>
      <c r="AE421" s="794" t="str">
        <f ca="1">IF(AND(O421&gt;120,Y421=0,N421&gt;0),"яловая","-")</f>
        <v>-</v>
      </c>
      <c r="AF421" s="798" t="str">
        <f>IF(AND(T421&gt;0,OR(Y421=3,Y421=2)),T421+35,"-")</f>
        <v>-</v>
      </c>
      <c r="AG421" s="812" t="str">
        <f>IF(AND(T421&gt;0,W421&gt;0,Q421&gt;0,OR(Y421=3,Y421=2)),B421-AF421,"---------")</f>
        <v>---------</v>
      </c>
      <c r="AH421" s="807">
        <v>42955</v>
      </c>
      <c r="AI421" s="807" t="str">
        <f>IF(AND($T421&gt;0,$N421&gt;0,$Y421=1),$T421+280-90,"-")</f>
        <v>-</v>
      </c>
      <c r="AJ421" s="807" t="str">
        <f>IF(AND(T421&gt;0,Y421=1,N421&gt;0),T421+280-60,"-")</f>
        <v>-</v>
      </c>
      <c r="AK421" s="813">
        <v>43025</v>
      </c>
      <c r="AL421" s="21" t="s">
        <v>3139</v>
      </c>
      <c r="AM421" s="807" t="str">
        <f>IF(AND(T421&gt;0,Y421=1),T421+280,"-")</f>
        <v>-</v>
      </c>
      <c r="AN421" s="814" t="str">
        <f ca="1">IF(AND(B421&gt;0,AM421&gt;0,AH421&gt;0,Y421=1),B421-AM421,"-")</f>
        <v>-</v>
      </c>
      <c r="AO421" s="815">
        <v>1</v>
      </c>
      <c r="AP421" s="816" t="str">
        <f ca="1">IF(AND(AE421="яловая",O421&gt;300),"БРАК","-")</f>
        <v>-</v>
      </c>
      <c r="AQ421" s="817"/>
      <c r="AR421" s="794" t="str">
        <f>IF(AND(Y421=1,P421=0),"НЕТЕЛЬ","-")</f>
        <v>-</v>
      </c>
      <c r="AS421" s="818"/>
      <c r="AT421" s="794" t="str">
        <f>IF(AND(N421&gt;0,T421&gt;0,W421&gt;0,Y421=1,AH421&gt;0,AK421&gt;0),"DRY COW","-")</f>
        <v>-</v>
      </c>
      <c r="AU421" s="819"/>
      <c r="AV421" s="820">
        <v>42977</v>
      </c>
      <c r="AW421" s="821">
        <v>5</v>
      </c>
      <c r="AX421" s="822">
        <f ca="1">IF(AND(AV421&gt;0,AW421&gt;0),B421-AV421,"-")</f>
        <v>157</v>
      </c>
      <c r="AY421" s="823">
        <f>IF(AND(AV421&gt;0,AW421&gt;0),(AV421-I421)/30,"-")</f>
        <v>18.5</v>
      </c>
      <c r="AZ421" s="824"/>
      <c r="BA421" s="821"/>
      <c r="BB421" s="822" t="str">
        <f>IF(AND(AZ421&gt;0,BA421&gt;0),B421-AZ421,"-")</f>
        <v>-</v>
      </c>
      <c r="BC421" s="823" t="str">
        <f>IF(AND(AZ421&gt;0,BA421&gt;0),(AZ421-M421)/30,"-")</f>
        <v>-</v>
      </c>
      <c r="BD421" s="825" t="str">
        <f ca="1">IF(AND(OR(E421="тёлочка",E421="бычок"),L421&gt;0,BF421&lt;2,L421&lt;60),"ПОДЛЕЖИТ ВАКЦИНАЦИИ","-")</f>
        <v>-</v>
      </c>
      <c r="BE421" s="826"/>
      <c r="BF421" s="827"/>
      <c r="BG421" s="828" t="str">
        <f>IF(AND(BE421&gt;0,BF421=2),BE421-I421,"Ж-Е НЕ ВАКЦ.")</f>
        <v>Ж-Е НЕ ВАКЦ.</v>
      </c>
      <c r="BH421" s="829" t="str">
        <f>IF(AND(BE421&gt;0,BF421=2),B421-BE421,"-")</f>
        <v>-</v>
      </c>
      <c r="BI421" s="830" t="str">
        <f ca="1">IF(AND(L421&gt;42,BK421&lt;5),"ПОДЛЕЖИТ ВАКЦИНАЦИИ","-")</f>
        <v>-</v>
      </c>
      <c r="BJ421" s="831">
        <v>42891</v>
      </c>
      <c r="BK421" s="832">
        <v>5</v>
      </c>
      <c r="BL421" s="833">
        <f ca="1">IF(AND(BJ421&gt;0,BK421=5),B421-BJ421,"-")</f>
        <v>243</v>
      </c>
      <c r="BM421" s="834" t="str">
        <f ca="1">IF(AND(BK421=5,BL421&gt;20,BP421&lt;5),"ТРЕБУЕТСЯ БУСТЕРНАЯ ДОЗА","-")</f>
        <v>-</v>
      </c>
      <c r="BN421" s="835">
        <f>IF(AND(BJ421&gt;0,BK421=5),BJ421+21,"-")</f>
        <v>42912</v>
      </c>
      <c r="BO421" s="831">
        <v>42912</v>
      </c>
      <c r="BP421" s="832">
        <v>5</v>
      </c>
      <c r="BQ421" s="833">
        <f ca="1">IF(AND(BO421&gt;0,BP421=5),B421-BO421,"-")</f>
        <v>222</v>
      </c>
      <c r="BR421" s="836">
        <f>IF(AND(BN421&gt;0,BO421&gt;0,BP421=5),BN421-BO421,"-")</f>
        <v>0</v>
      </c>
      <c r="BS421" s="837" t="str">
        <f>IF(AND(BP421=5,BR421=0),"УСПЕШНО","-")</f>
        <v>УСПЕШНО</v>
      </c>
      <c r="BT421" s="838" t="str">
        <f ca="1">IF(AND(BJ421&gt;0,BK421=5,BO421&gt;0,BP421=5,BQ421&gt;240,BV421&lt;5),"НЕОБХОДИМА РЕВАКЦИНАЦИЯ","-")</f>
        <v>-</v>
      </c>
      <c r="BU421" s="831"/>
      <c r="BV421" s="832"/>
      <c r="BW421" s="833" t="str">
        <f>IF(AND(BU421&gt;0,BV421=5),N421-BU421,"-")</f>
        <v>-</v>
      </c>
      <c r="BX421" s="834" t="str">
        <f>IF(AND(BU421&gt;0,BV421=5,BW421&gt;240),"НЕОБХОДИМА РЕВАКЦИНАЦИЯ","-")</f>
        <v>-</v>
      </c>
      <c r="BY421" s="830" t="str">
        <f ca="1">IF(AND(Y421=1,AN421&gt;-70,CA421&lt;2),"ТРЕБУЕТСЯ ВАКЦИНАЦИЯ","-")</f>
        <v>-</v>
      </c>
      <c r="BZ421" s="839"/>
      <c r="CA421" s="832"/>
      <c r="CB421" s="833" t="str">
        <f>IF(AND(BZ421&gt;0,CA421=2),BZ421-T421,"-")</f>
        <v>-</v>
      </c>
      <c r="CC421" s="833" t="str">
        <f>IF(AND(BZ421&gt;0,CA421=2),B421-BZ421,"-")</f>
        <v>-</v>
      </c>
      <c r="CD421" s="834" t="str">
        <f>IF(AND(CA421=2,CC421&gt;20,CG421&lt;2),"ТРЕБУЕТСЯ БУСТЕРНАЯ ДОЗА","-")</f>
        <v>-</v>
      </c>
      <c r="CE421" s="835" t="str">
        <f>IF(AND(BZ421&gt;0,CA421=2),BZ421+21,"-")</f>
        <v>-</v>
      </c>
      <c r="CF421" s="839"/>
      <c r="CG421" s="832"/>
      <c r="CH421" s="833" t="str">
        <f>IF(AND(CE421&gt;0,CF421&gt;0,CG421=2),CF421-CE421,"-")</f>
        <v>-</v>
      </c>
      <c r="CI421" s="840" t="str">
        <f>IF(AND(CG421=2,CH421=0),"УСПЕШНО","-")</f>
        <v>-</v>
      </c>
      <c r="CJ421" s="833" t="str">
        <f>IF(AND(CF421&gt;0,CG421=2),CF421-T421,"-")</f>
        <v>-</v>
      </c>
      <c r="CK421" s="838" t="str">
        <f ca="1">IF(AND(BZ421&gt;0,CA421=2,CF421&gt;0,CG421=2,Y421=1,AN421&gt;-50,CM421&lt;2),"ТРЕБУЕТСЯ РЕВАКЦИНАЦИЯ","-")</f>
        <v>-</v>
      </c>
      <c r="CL421" s="841"/>
      <c r="CM421" s="832"/>
    </row>
    <row r="422" spans="1:103" s="864" customFormat="1" ht="25.5" x14ac:dyDescent="0.25">
      <c r="A422" s="790">
        <v>917</v>
      </c>
      <c r="B422" s="791">
        <f t="shared" ref="B422:B423" ca="1" si="749">TODAY()</f>
        <v>43134</v>
      </c>
      <c r="C422" s="792" t="s">
        <v>2583</v>
      </c>
      <c r="D422" s="793" t="s">
        <v>2582</v>
      </c>
      <c r="E422" s="794" t="s">
        <v>1563</v>
      </c>
      <c r="F422" s="795" t="s">
        <v>1703</v>
      </c>
      <c r="G422" s="845"/>
      <c r="H422" s="797" t="s">
        <v>603</v>
      </c>
      <c r="I422" s="798">
        <v>42582</v>
      </c>
      <c r="J422" s="799">
        <f t="shared" ref="J422:J423" ca="1" si="750">(B422-I422)/365</f>
        <v>1.5123287671232877</v>
      </c>
      <c r="K422" s="799">
        <f t="shared" ref="K422:K423" ca="1" si="751">(B422-I422)/30</f>
        <v>18.399999999999999</v>
      </c>
      <c r="L422" s="800">
        <f t="shared" ref="L422:L423" ca="1" si="752">B422-I422</f>
        <v>552</v>
      </c>
      <c r="M422" s="801"/>
      <c r="N422" s="802"/>
      <c r="O422" s="803" t="str">
        <f t="shared" ref="O422:O423" ca="1" si="753">IF(AND(B422&gt;0,N422&gt;0),B422-N422,"-")</f>
        <v>-</v>
      </c>
      <c r="P422" s="804"/>
      <c r="Q422" s="805"/>
      <c r="R422" s="806"/>
      <c r="S422" s="807"/>
      <c r="T422" s="798"/>
      <c r="U422" s="798" t="str">
        <f t="shared" ref="U422:U423" si="754">IF(AND(Y422&gt;1,T422&gt;0),T422+18,"-")</f>
        <v>-</v>
      </c>
      <c r="V422" s="804" t="str">
        <f t="shared" ref="V422:V423" ca="1" si="755">IF(AND(U422&gt;0,B422&gt;0,Y422&gt;1),B422-U422,"-")</f>
        <v>-</v>
      </c>
      <c r="W422" s="808">
        <v>0</v>
      </c>
      <c r="X422" s="794" t="str">
        <f t="shared" ref="X422:X423" si="756">IF(AND(N422&gt;0,T422&gt;0),T422-N422,"-")</f>
        <v>-</v>
      </c>
      <c r="Y422" s="794">
        <v>0</v>
      </c>
      <c r="Z422" s="809" t="str">
        <f t="shared" ref="Z422:Z423" ca="1" si="757">IF(AND(Y422=1,AA422&gt;71,OR(ISBLANK(AB422),AB422=2)),"ПОДЛЕЖИТ ПЕРЕПРОВЕРКЕ","-----")</f>
        <v>-----</v>
      </c>
      <c r="AA422" s="810">
        <f t="shared" ref="AA422:AA423" ca="1" si="758">IF(AND(O422&gt;-1,W422&gt;0,Y422=1,AB422=1),"-----",B422-T422)</f>
        <v>43134</v>
      </c>
      <c r="AB422" s="804"/>
      <c r="AC422" s="811" t="str">
        <f t="shared" ref="AC422:AC423" ca="1" si="759">IF(AND(AB422&lt;1,Z422="ПОДЛЕЖИТ ПЕРЕПРОВЕРКЕ",Y422=1),T422+72,"-----")</f>
        <v>-----</v>
      </c>
      <c r="AD422" s="798"/>
      <c r="AE422" s="794" t="str">
        <f t="shared" ref="AE422:AE423" ca="1" si="760">IF(AND(O422&gt;120,Y422=0,N422&gt;0),"яловая","-")</f>
        <v>-</v>
      </c>
      <c r="AF422" s="798" t="str">
        <f t="shared" ref="AF422:AF423" si="761">IF(AND(T422&gt;0,OR(Y422=3,Y422=2)),T422+35,"-")</f>
        <v>-</v>
      </c>
      <c r="AG422" s="812" t="str">
        <f t="shared" ref="AG422:AG423" si="762">IF(AND(T422&gt;0,W422&gt;0,Q422&gt;0,OR(Y422=3,Y422=2)),B422-AF422,"---------")</f>
        <v>---------</v>
      </c>
      <c r="AH422" s="807"/>
      <c r="AI422" s="807" t="str">
        <f t="shared" ref="AI422:AI423" si="763">IF(AND($T422&gt;0,$N422&gt;0,$Y422=1),$T422+280-90,"-")</f>
        <v>-</v>
      </c>
      <c r="AJ422" s="807" t="str">
        <f t="shared" ref="AJ422:AJ423" si="764">IF(AND(T422&gt;0,Y422=1,N422&gt;0),T422+280-60,"-")</f>
        <v>-</v>
      </c>
      <c r="AK422" s="813">
        <v>43026</v>
      </c>
      <c r="AL422" s="21" t="s">
        <v>1902</v>
      </c>
      <c r="AM422" s="807" t="str">
        <f t="shared" ref="AM422:AM423" si="765">IF(AND(T422&gt;0,Y422=1),T422+280,"-")</f>
        <v>-</v>
      </c>
      <c r="AN422" s="814" t="str">
        <f t="shared" ref="AN422:AN423" ca="1" si="766">IF(AND(B422&gt;0,AM422&gt;0,AH422&gt;0,Y422=1),B422-AM422,"-")</f>
        <v>-</v>
      </c>
      <c r="AO422" s="815">
        <v>1</v>
      </c>
      <c r="AP422" s="816" t="str">
        <f t="shared" ref="AP422:AP423" ca="1" si="767">IF(AND(AE422="яловая",O422&gt;300),"БРАК","-")</f>
        <v>-</v>
      </c>
      <c r="AQ422" s="817"/>
      <c r="AR422" s="794" t="str">
        <f t="shared" ref="AR422:AR423" si="768">IF(AND(Y422=1,P422=0),"НЕТЕЛЬ","-")</f>
        <v>-</v>
      </c>
      <c r="AS422" s="818"/>
      <c r="AT422" s="794" t="str">
        <f t="shared" ref="AT422:AT423" si="769">IF(AND(N422&gt;0,T422&gt;0,W422&gt;0,Y422=1,AH422&gt;0,AK422&gt;0),"DRY COW","-")</f>
        <v>-</v>
      </c>
      <c r="AU422" s="819"/>
      <c r="AV422" s="820">
        <v>42977</v>
      </c>
      <c r="AW422" s="821">
        <v>5</v>
      </c>
      <c r="AX422" s="822">
        <f t="shared" ref="AX422:AX423" ca="1" si="770">IF(AND(AV422&gt;0,AW422&gt;0),B422-AV422,"-")</f>
        <v>157</v>
      </c>
      <c r="AY422" s="823">
        <f t="shared" ref="AY422:AY423" si="771">IF(AND(AV422&gt;0,AW422&gt;0),(AV422-I422)/30,"-")</f>
        <v>13.166666666666666</v>
      </c>
      <c r="AZ422" s="824"/>
      <c r="BA422" s="821"/>
      <c r="BB422" s="822" t="str">
        <f t="shared" ref="BB422:BB423" si="772">IF(AND(AZ422&gt;0,BA422&gt;0),B422-AZ422,"-")</f>
        <v>-</v>
      </c>
      <c r="BC422" s="823" t="str">
        <f t="shared" ref="BC422:BC423" si="773">IF(AND(AZ422&gt;0,BA422&gt;0),(AZ422-M422)/30,"-")</f>
        <v>-</v>
      </c>
      <c r="BD422" s="825" t="str">
        <f t="shared" ref="BD422:BD423" ca="1" si="774">IF(AND(OR(E422="тёлочка",E422="бычок"),L422&gt;0,BF422&lt;2,L422&lt;60),"ПОДЛЕЖИТ ВАКЦИНАЦИИ","-")</f>
        <v>-</v>
      </c>
      <c r="BE422" s="826"/>
      <c r="BF422" s="827"/>
      <c r="BG422" s="828" t="str">
        <f t="shared" ref="BG422:BG423" si="775">IF(AND(BE422&gt;0,BF422=2),BE422-I422,"Ж-Е НЕ ВАКЦ.")</f>
        <v>Ж-Е НЕ ВАКЦ.</v>
      </c>
      <c r="BH422" s="829" t="str">
        <f t="shared" ref="BH422:BH423" si="776">IF(AND(BE422&gt;0,BF422=2),B422-BE422,"-")</f>
        <v>-</v>
      </c>
      <c r="BI422" s="830" t="str">
        <f t="shared" ref="BI422:BI423" ca="1" si="777">IF(AND(L422&gt;42,BK422&lt;5),"ПОДЛЕЖИТ ВАКЦИНАЦИИ","-")</f>
        <v>-</v>
      </c>
      <c r="BJ422" s="831">
        <v>42892</v>
      </c>
      <c r="BK422" s="832">
        <v>5</v>
      </c>
      <c r="BL422" s="833">
        <f t="shared" ref="BL422:BL423" ca="1" si="778">IF(AND(BJ422&gt;0,BK422=5),B422-BJ422,"-")</f>
        <v>242</v>
      </c>
      <c r="BM422" s="834" t="str">
        <f t="shared" ref="BM422:BM423" ca="1" si="779">IF(AND(BK422=5,BL422&gt;20,BP422&lt;5),"ТРЕБУЕТСЯ БУСТЕРНАЯ ДОЗА","-")</f>
        <v>-</v>
      </c>
      <c r="BN422" s="835">
        <f t="shared" ref="BN422:BN423" si="780">IF(AND(BJ422&gt;0,BK422=5),BJ422+21,"-")</f>
        <v>42913</v>
      </c>
      <c r="BO422" s="831">
        <v>42913</v>
      </c>
      <c r="BP422" s="832">
        <v>5</v>
      </c>
      <c r="BQ422" s="833">
        <f t="shared" ref="BQ422:BQ423" ca="1" si="781">IF(AND(BO422&gt;0,BP422=5),B422-BO422,"-")</f>
        <v>221</v>
      </c>
      <c r="BR422" s="836">
        <f t="shared" ref="BR422:BR423" si="782">IF(AND(BN422&gt;0,BO422&gt;0,BP422=5),BN422-BO422,"-")</f>
        <v>0</v>
      </c>
      <c r="BS422" s="837" t="str">
        <f t="shared" ref="BS422:BS423" si="783">IF(AND(BP422=5,BR422=0),"УСПЕШНО","-")</f>
        <v>УСПЕШНО</v>
      </c>
      <c r="BT422" s="838" t="str">
        <f t="shared" ref="BT422:BT423" ca="1" si="784">IF(AND(BJ422&gt;0,BK422=5,BO422&gt;0,BP422=5,BQ422&gt;240,BV422&lt;5),"НЕОБХОДИМА РЕВАКЦИНАЦИЯ","-")</f>
        <v>-</v>
      </c>
      <c r="BU422" s="831"/>
      <c r="BV422" s="832"/>
      <c r="BW422" s="833" t="str">
        <f t="shared" ref="BW422:BW423" si="785">IF(AND(BU422&gt;0,BV422=5),N422-BU422,"-")</f>
        <v>-</v>
      </c>
      <c r="BX422" s="834" t="str">
        <f t="shared" ref="BX422:BX423" si="786">IF(AND(BU422&gt;0,BV422=5,BW422&gt;240),"НЕОБХОДИМА РЕВАКЦИНАЦИЯ","-")</f>
        <v>-</v>
      </c>
      <c r="BY422" s="830" t="str">
        <f t="shared" ref="BY422:BY423" ca="1" si="787">IF(AND(Y422=1,AN422&gt;-70,CA422&lt;2),"ТРЕБУЕТСЯ ВАКЦИНАЦИЯ","-")</f>
        <v>-</v>
      </c>
      <c r="BZ422" s="839"/>
      <c r="CA422" s="832"/>
      <c r="CB422" s="833" t="str">
        <f t="shared" ref="CB422:CB423" si="788">IF(AND(BZ422&gt;0,CA422=2),BZ422-T422,"-")</f>
        <v>-</v>
      </c>
      <c r="CC422" s="833" t="str">
        <f t="shared" ref="CC422:CC423" si="789">IF(AND(BZ422&gt;0,CA422=2),B422-BZ422,"-")</f>
        <v>-</v>
      </c>
      <c r="CD422" s="834" t="str">
        <f t="shared" ref="CD422:CD423" si="790">IF(AND(CA422=2,CC422&gt;20,CG422&lt;2),"ТРЕБУЕТСЯ БУСТЕРНАЯ ДОЗА","-")</f>
        <v>-</v>
      </c>
      <c r="CE422" s="835" t="str">
        <f t="shared" ref="CE422:CE423" si="791">IF(AND(BZ422&gt;0,CA422=2),BZ422+21,"-")</f>
        <v>-</v>
      </c>
      <c r="CF422" s="839"/>
      <c r="CG422" s="832"/>
      <c r="CH422" s="833" t="str">
        <f t="shared" ref="CH422:CH423" si="792">IF(AND(CE422&gt;0,CF422&gt;0,CG422=2),CF422-CE422,"-")</f>
        <v>-</v>
      </c>
      <c r="CI422" s="840" t="str">
        <f t="shared" ref="CI422:CI423" si="793">IF(AND(CG422=2,CH422=0),"УСПЕШНО","-")</f>
        <v>-</v>
      </c>
      <c r="CJ422" s="833" t="str">
        <f t="shared" ref="CJ422:CJ423" si="794">IF(AND(CF422&gt;0,CG422=2),CF422-T422,"-")</f>
        <v>-</v>
      </c>
      <c r="CK422" s="838" t="str">
        <f t="shared" ref="CK422:CK423" ca="1" si="795">IF(AND(BZ422&gt;0,CA422=2,CF422&gt;0,CG422=2,Y422=1,AN422&gt;-50,CM422&lt;2),"ТРЕБУЕТСЯ РЕВАКЦИНАЦИЯ","-")</f>
        <v>-</v>
      </c>
      <c r="CL422" s="841"/>
      <c r="CM422" s="832"/>
    </row>
    <row r="423" spans="1:103" s="864" customFormat="1" ht="15.75" x14ac:dyDescent="0.25">
      <c r="A423" s="790">
        <v>790</v>
      </c>
      <c r="B423" s="791">
        <f t="shared" ca="1" si="749"/>
        <v>43134</v>
      </c>
      <c r="C423" s="792" t="s">
        <v>2547</v>
      </c>
      <c r="D423" s="793" t="s">
        <v>1635</v>
      </c>
      <c r="E423" s="794" t="s">
        <v>1563</v>
      </c>
      <c r="F423" s="795" t="s">
        <v>2719</v>
      </c>
      <c r="G423" s="845"/>
      <c r="H423" s="797" t="s">
        <v>603</v>
      </c>
      <c r="I423" s="798">
        <v>42865</v>
      </c>
      <c r="J423" s="799">
        <f t="shared" ca="1" si="750"/>
        <v>0.73698630136986298</v>
      </c>
      <c r="K423" s="799">
        <f t="shared" ca="1" si="751"/>
        <v>8.9666666666666668</v>
      </c>
      <c r="L423" s="800">
        <f t="shared" ca="1" si="752"/>
        <v>269</v>
      </c>
      <c r="M423" s="801"/>
      <c r="N423" s="802"/>
      <c r="O423" s="803" t="str">
        <f t="shared" ca="1" si="753"/>
        <v>-</v>
      </c>
      <c r="P423" s="804"/>
      <c r="Q423" s="805"/>
      <c r="R423" s="806"/>
      <c r="S423" s="807"/>
      <c r="T423" s="798"/>
      <c r="U423" s="798" t="str">
        <f t="shared" si="754"/>
        <v>-</v>
      </c>
      <c r="V423" s="804" t="str">
        <f t="shared" ca="1" si="755"/>
        <v>-</v>
      </c>
      <c r="W423" s="808">
        <v>0</v>
      </c>
      <c r="X423" s="794" t="str">
        <f t="shared" si="756"/>
        <v>-</v>
      </c>
      <c r="Y423" s="794">
        <v>0</v>
      </c>
      <c r="Z423" s="809" t="str">
        <f t="shared" ca="1" si="757"/>
        <v>-----</v>
      </c>
      <c r="AA423" s="810">
        <f t="shared" ca="1" si="758"/>
        <v>43134</v>
      </c>
      <c r="AB423" s="804"/>
      <c r="AC423" s="811" t="str">
        <f t="shared" ca="1" si="759"/>
        <v>-----</v>
      </c>
      <c r="AD423" s="798"/>
      <c r="AE423" s="794" t="str">
        <f t="shared" ca="1" si="760"/>
        <v>-</v>
      </c>
      <c r="AF423" s="798" t="str">
        <f t="shared" si="761"/>
        <v>-</v>
      </c>
      <c r="AG423" s="812" t="str">
        <f t="shared" si="762"/>
        <v>---------</v>
      </c>
      <c r="AH423" s="807"/>
      <c r="AI423" s="807" t="str">
        <f t="shared" si="763"/>
        <v>-</v>
      </c>
      <c r="AJ423" s="807" t="str">
        <f t="shared" si="764"/>
        <v>-</v>
      </c>
      <c r="AK423" s="813">
        <v>43021</v>
      </c>
      <c r="AL423" s="21" t="s">
        <v>1630</v>
      </c>
      <c r="AM423" s="807" t="str">
        <f t="shared" si="765"/>
        <v>-</v>
      </c>
      <c r="AN423" s="814" t="str">
        <f t="shared" ca="1" si="766"/>
        <v>-</v>
      </c>
      <c r="AO423" s="815">
        <v>1</v>
      </c>
      <c r="AP423" s="816" t="str">
        <f t="shared" ca="1" si="767"/>
        <v>-</v>
      </c>
      <c r="AQ423" s="817"/>
      <c r="AR423" s="794" t="str">
        <f t="shared" si="768"/>
        <v>-</v>
      </c>
      <c r="AS423" s="818"/>
      <c r="AT423" s="794" t="str">
        <f t="shared" si="769"/>
        <v>-</v>
      </c>
      <c r="AU423" s="819"/>
      <c r="AV423" s="865"/>
      <c r="AW423" s="821"/>
      <c r="AX423" s="822" t="str">
        <f t="shared" si="770"/>
        <v>-</v>
      </c>
      <c r="AY423" s="823" t="str">
        <f t="shared" si="771"/>
        <v>-</v>
      </c>
      <c r="AZ423" s="868"/>
      <c r="BA423" s="821"/>
      <c r="BB423" s="822" t="str">
        <f t="shared" si="772"/>
        <v>-</v>
      </c>
      <c r="BC423" s="823" t="str">
        <f t="shared" si="773"/>
        <v>-</v>
      </c>
      <c r="BD423" s="825" t="str">
        <f t="shared" ca="1" si="774"/>
        <v>-</v>
      </c>
      <c r="BE423" s="860">
        <v>42886</v>
      </c>
      <c r="BF423" s="827">
        <v>2</v>
      </c>
      <c r="BG423" s="828">
        <f t="shared" si="775"/>
        <v>21</v>
      </c>
      <c r="BH423" s="829">
        <f t="shared" ca="1" si="776"/>
        <v>248</v>
      </c>
      <c r="BI423" s="830" t="str">
        <f t="shared" ca="1" si="777"/>
        <v>-</v>
      </c>
      <c r="BJ423" s="831">
        <v>42931</v>
      </c>
      <c r="BK423" s="832">
        <v>5</v>
      </c>
      <c r="BL423" s="833">
        <f t="shared" ca="1" si="778"/>
        <v>203</v>
      </c>
      <c r="BM423" s="834" t="str">
        <f t="shared" ca="1" si="779"/>
        <v>-</v>
      </c>
      <c r="BN423" s="835">
        <f t="shared" si="780"/>
        <v>42952</v>
      </c>
      <c r="BO423" s="831">
        <v>42954</v>
      </c>
      <c r="BP423" s="832">
        <v>5</v>
      </c>
      <c r="BQ423" s="833">
        <f t="shared" ca="1" si="781"/>
        <v>180</v>
      </c>
      <c r="BR423" s="836">
        <f t="shared" si="782"/>
        <v>-2</v>
      </c>
      <c r="BS423" s="837" t="str">
        <f t="shared" si="783"/>
        <v>-</v>
      </c>
      <c r="BT423" s="838" t="str">
        <f t="shared" ca="1" si="784"/>
        <v>-</v>
      </c>
      <c r="BU423" s="831"/>
      <c r="BV423" s="832"/>
      <c r="BW423" s="833" t="str">
        <f t="shared" si="785"/>
        <v>-</v>
      </c>
      <c r="BX423" s="834" t="str">
        <f t="shared" si="786"/>
        <v>-</v>
      </c>
      <c r="BY423" s="830" t="str">
        <f t="shared" ca="1" si="787"/>
        <v>-</v>
      </c>
      <c r="BZ423" s="839"/>
      <c r="CA423" s="832"/>
      <c r="CB423" s="833" t="str">
        <f t="shared" si="788"/>
        <v>-</v>
      </c>
      <c r="CC423" s="833" t="str">
        <f t="shared" si="789"/>
        <v>-</v>
      </c>
      <c r="CD423" s="834" t="str">
        <f t="shared" si="790"/>
        <v>-</v>
      </c>
      <c r="CE423" s="835" t="str">
        <f t="shared" si="791"/>
        <v>-</v>
      </c>
      <c r="CF423" s="839"/>
      <c r="CG423" s="832"/>
      <c r="CH423" s="833" t="str">
        <f t="shared" si="792"/>
        <v>-</v>
      </c>
      <c r="CI423" s="840" t="str">
        <f t="shared" si="793"/>
        <v>-</v>
      </c>
      <c r="CJ423" s="833" t="str">
        <f t="shared" si="794"/>
        <v>-</v>
      </c>
      <c r="CK423" s="838" t="str">
        <f t="shared" ca="1" si="795"/>
        <v>-</v>
      </c>
      <c r="CL423" s="841"/>
      <c r="CM423" s="832"/>
    </row>
    <row r="424" spans="1:103" s="864" customFormat="1" ht="25.5" x14ac:dyDescent="0.25">
      <c r="A424" s="790">
        <v>744</v>
      </c>
      <c r="B424" s="791">
        <f t="shared" ref="B424:B432" ca="1" si="796">TODAY()</f>
        <v>43134</v>
      </c>
      <c r="C424" s="29" t="s">
        <v>2546</v>
      </c>
      <c r="D424" s="59" t="s">
        <v>1555</v>
      </c>
      <c r="E424" s="22" t="s">
        <v>1557</v>
      </c>
      <c r="F424" s="27" t="s">
        <v>3320</v>
      </c>
      <c r="G424" s="871"/>
      <c r="H424" s="797" t="s">
        <v>603</v>
      </c>
      <c r="I424" s="798">
        <v>43025</v>
      </c>
      <c r="J424" s="799">
        <f t="shared" ref="J424:J432" ca="1" si="797">(B424-I424)/365</f>
        <v>0.29863013698630136</v>
      </c>
      <c r="K424" s="799">
        <f t="shared" ref="K424:K432" ca="1" si="798">(B424-I424)/30</f>
        <v>3.6333333333333333</v>
      </c>
      <c r="L424" s="800">
        <f t="shared" ref="L424:L432" ca="1" si="799">B424-I424</f>
        <v>109</v>
      </c>
      <c r="M424" s="801"/>
      <c r="N424" s="802"/>
      <c r="O424" s="803" t="str">
        <f t="shared" ref="O424:O432" ca="1" si="800">IF(AND(B424&gt;0,N424&gt;0),B424-N424,"-")</f>
        <v>-</v>
      </c>
      <c r="P424" s="804"/>
      <c r="Q424" s="805"/>
      <c r="R424" s="806"/>
      <c r="S424" s="807"/>
      <c r="T424" s="798"/>
      <c r="U424" s="798" t="str">
        <f t="shared" ref="U424:U432" si="801">IF(AND(Y424&gt;1,T424&gt;0),T424+18,"-")</f>
        <v>-</v>
      </c>
      <c r="V424" s="804" t="str">
        <f t="shared" ref="V424:V432" ca="1" si="802">IF(AND(U424&gt;0,B424&gt;0,Y424&gt;1),B424-U424,"-")</f>
        <v>-</v>
      </c>
      <c r="W424" s="808">
        <v>0</v>
      </c>
      <c r="X424" s="794" t="str">
        <f t="shared" ref="X424:X432" si="803">IF(AND(N424&gt;0,T424&gt;0),T424-N424,"-")</f>
        <v>-</v>
      </c>
      <c r="Y424" s="794">
        <v>0</v>
      </c>
      <c r="Z424" s="809" t="str">
        <f t="shared" ref="Z424:Z432" ca="1" si="804">IF(AND(Y424=1,AA424&gt;71,OR(ISBLANK(AB424),AB424=2)),"ПОДЛЕЖИТ ПЕРЕПРОВЕРКЕ","-----")</f>
        <v>-----</v>
      </c>
      <c r="AA424" s="810">
        <f t="shared" ref="AA424:AA432" ca="1" si="805">IF(AND(O424&gt;-1,W424&gt;0,Y424=1,AB424=1),"-----",B424-T424)</f>
        <v>43134</v>
      </c>
      <c r="AB424" s="804"/>
      <c r="AC424" s="811" t="str">
        <f t="shared" ref="AC424:AC432" ca="1" si="806">IF(AND(AB424&lt;1,Z424="ПОДЛЕЖИТ ПЕРЕПРОВЕРКЕ",Y424=1),T424+72,"-----")</f>
        <v>-----</v>
      </c>
      <c r="AD424" s="798"/>
      <c r="AE424" s="794" t="str">
        <f t="shared" ref="AE424:AE432" ca="1" si="807">IF(AND(O424&gt;120,Y424=0,N424&gt;0),"яловая","-")</f>
        <v>-</v>
      </c>
      <c r="AF424" s="798" t="str">
        <f t="shared" ref="AF424:AF432" si="808">IF(AND(T424&gt;0,OR(Y424=3,Y424=2)),T424+35,"-")</f>
        <v>-</v>
      </c>
      <c r="AG424" s="812" t="str">
        <f t="shared" ref="AG424:AG432" si="809">IF(AND(T424&gt;0,W424&gt;0,Q424&gt;0,OR(Y424=3,Y424=2)),B424-AF424,"---------")</f>
        <v>---------</v>
      </c>
      <c r="AH424" s="807"/>
      <c r="AI424" s="807" t="str">
        <f t="shared" ref="AI424:AI432" si="810">IF(AND($T424&gt;0,$N424&gt;0,$Y424=1),$T424+280-90,"-")</f>
        <v>-</v>
      </c>
      <c r="AJ424" s="807" t="str">
        <f t="shared" ref="AJ424:AJ432" si="811">IF(AND(T424&gt;0,Y424=1,N424&gt;0),T424+280-60,"-")</f>
        <v>-</v>
      </c>
      <c r="AK424" s="813">
        <v>43031</v>
      </c>
      <c r="AL424" s="21" t="s">
        <v>1614</v>
      </c>
      <c r="AM424" s="807" t="str">
        <f t="shared" ref="AM424:AM432" si="812">IF(AND(T424&gt;0,Y424=1),T424+280,"-")</f>
        <v>-</v>
      </c>
      <c r="AN424" s="814" t="str">
        <f t="shared" ref="AN424:AN432" ca="1" si="813">IF(AND(B424&gt;0,AM424&gt;0,AH424&gt;0,Y424=1),B424-AM424,"-")</f>
        <v>-</v>
      </c>
      <c r="AO424" s="815"/>
      <c r="AP424" s="816" t="str">
        <f t="shared" ref="AP424:AP432" ca="1" si="814">IF(AND(AE424="яловая",O424&gt;300),"БРАК","-")</f>
        <v>-</v>
      </c>
      <c r="AQ424" s="817"/>
      <c r="AR424" s="794" t="str">
        <f t="shared" ref="AR424:AR432" si="815">IF(AND(Y424=1,P424=0),"НЕТЕЛЬ","-")</f>
        <v>-</v>
      </c>
      <c r="AS424" s="818"/>
      <c r="AT424" s="794" t="str">
        <f t="shared" ref="AT424:AT432" si="816">IF(AND(N424&gt;0,T424&gt;0,W424&gt;0,Y424=1,AH424&gt;0,AK424&gt;0),"DRY COW","-")</f>
        <v>-</v>
      </c>
      <c r="AU424" s="819"/>
      <c r="AV424" s="865"/>
      <c r="AW424" s="821"/>
      <c r="AX424" s="822" t="str">
        <f t="shared" ref="AX424:AX432" si="817">IF(AND(AV424&gt;0,AW424&gt;0),B424-AV424,"-")</f>
        <v>-</v>
      </c>
      <c r="AY424" s="823" t="str">
        <f t="shared" ref="AY424:AY432" si="818">IF(AND(AV424&gt;0,AW424&gt;0),(AV424-I424)/30,"-")</f>
        <v>-</v>
      </c>
      <c r="AZ424" s="868"/>
      <c r="BA424" s="821"/>
      <c r="BB424" s="822" t="str">
        <f t="shared" ref="BB424:BB432" si="819">IF(AND(AZ424&gt;0,BA424&gt;0),B424-AZ424,"-")</f>
        <v>-</v>
      </c>
      <c r="BC424" s="823" t="str">
        <f t="shared" ref="BC424:BC432" si="820">IF(AND(AZ424&gt;0,BA424&gt;0),(AZ424-M424)/30,"-")</f>
        <v>-</v>
      </c>
      <c r="BD424" s="825" t="str">
        <f t="shared" ref="BD424:BD432" ca="1" si="821">IF(AND(OR(E424="тёлочка",E424="бычок"),L424&gt;0,BF424&lt;2,L424&lt;60),"ПОДЛЕЖИТ ВАКЦИНАЦИИ","-")</f>
        <v>-</v>
      </c>
      <c r="BE424" s="826"/>
      <c r="BF424" s="827"/>
      <c r="BG424" s="828" t="str">
        <f t="shared" ref="BG424:BG432" si="822">IF(AND(BE424&gt;0,BF424=2),BE424-I424,"Ж-Е НЕ ВАКЦ.")</f>
        <v>Ж-Е НЕ ВАКЦ.</v>
      </c>
      <c r="BH424" s="829" t="str">
        <f t="shared" ref="BH424:BH432" si="823">IF(AND(BE424&gt;0,BF424=2),B424-BE424,"-")</f>
        <v>-</v>
      </c>
      <c r="BI424" s="830" t="str">
        <f t="shared" ref="BI424:BI432" ca="1" si="824">IF(AND(L424&gt;42,BK424&lt;5),"ПОДЛЕЖИТ ВАКЦИНАЦИИ","-")</f>
        <v>ПОДЛЕЖИТ ВАКЦИНАЦИИ</v>
      </c>
      <c r="BJ424" s="839"/>
      <c r="BK424" s="832"/>
      <c r="BL424" s="833" t="str">
        <f t="shared" ref="BL424:BL432" si="825">IF(AND(BJ424&gt;0,BK424=5),B424-BJ424,"-")</f>
        <v>-</v>
      </c>
      <c r="BM424" s="834" t="str">
        <f t="shared" ref="BM424:BM432" si="826">IF(AND(BK424=5,BL424&gt;20,BP424&lt;5),"ТРЕБУЕТСЯ БУСТЕРНАЯ ДОЗА","-")</f>
        <v>-</v>
      </c>
      <c r="BN424" s="835" t="str">
        <f t="shared" ref="BN424:BN432" si="827">IF(AND(BJ424&gt;0,BK424=5),BJ424+21,"-")</f>
        <v>-</v>
      </c>
      <c r="BO424" s="839"/>
      <c r="BP424" s="832"/>
      <c r="BQ424" s="833" t="str">
        <f t="shared" ref="BQ424:BQ432" si="828">IF(AND(BO424&gt;0,BP424=5),B424-BO424,"-")</f>
        <v>-</v>
      </c>
      <c r="BR424" s="836" t="str">
        <f t="shared" ref="BR424:BR432" si="829">IF(AND(BN424&gt;0,BO424&gt;0,BP424=5),BN424-BO424,"-")</f>
        <v>-</v>
      </c>
      <c r="BS424" s="837" t="str">
        <f t="shared" ref="BS424:BS432" si="830">IF(AND(BP424=5,BR424=0),"УСПЕШНО","-")</f>
        <v>-</v>
      </c>
      <c r="BT424" s="838" t="str">
        <f t="shared" ref="BT424:BT432" si="831">IF(AND(BJ424&gt;0,BK424=5,BO424&gt;0,BP424=5,BQ424&gt;240,BV424&lt;5),"НЕОБХОДИМА РЕВАКЦИНАЦИЯ","-")</f>
        <v>-</v>
      </c>
      <c r="BU424" s="831"/>
      <c r="BV424" s="832"/>
      <c r="BW424" s="833" t="str">
        <f t="shared" ref="BW424:BW432" si="832">IF(AND(BU424&gt;0,BV424=5),N424-BU424,"-")</f>
        <v>-</v>
      </c>
      <c r="BX424" s="834" t="str">
        <f t="shared" ref="BX424:BX432" si="833">IF(AND(BU424&gt;0,BV424=5,BW424&gt;240),"НЕОБХОДИМА РЕВАКЦИНАЦИЯ","-")</f>
        <v>-</v>
      </c>
      <c r="BY424" s="830" t="str">
        <f t="shared" ref="BY424:BY432" ca="1" si="834">IF(AND(Y424=1,AN424&gt;-70,CA424&lt;2),"ТРЕБУЕТСЯ ВАКЦИНАЦИЯ","-")</f>
        <v>-</v>
      </c>
      <c r="BZ424" s="839"/>
      <c r="CA424" s="832"/>
      <c r="CB424" s="833" t="str">
        <f t="shared" ref="CB424:CB432" si="835">IF(AND(BZ424&gt;0,CA424=2),BZ424-T424,"-")</f>
        <v>-</v>
      </c>
      <c r="CC424" s="833" t="str">
        <f t="shared" ref="CC424:CC432" si="836">IF(AND(BZ424&gt;0,CA424=2),B424-BZ424,"-")</f>
        <v>-</v>
      </c>
      <c r="CD424" s="834" t="str">
        <f t="shared" ref="CD424:CD432" si="837">IF(AND(CA424=2,CC424&gt;20,CG424&lt;2),"ТРЕБУЕТСЯ БУСТЕРНАЯ ДОЗА","-")</f>
        <v>-</v>
      </c>
      <c r="CE424" s="835" t="str">
        <f t="shared" ref="CE424:CE432" si="838">IF(AND(BZ424&gt;0,CA424=2),BZ424+21,"-")</f>
        <v>-</v>
      </c>
      <c r="CF424" s="839"/>
      <c r="CG424" s="832"/>
      <c r="CH424" s="833" t="str">
        <f t="shared" ref="CH424:CH432" si="839">IF(AND(CE424&gt;0,CF424&gt;0,CG424=2),CF424-CE424,"-")</f>
        <v>-</v>
      </c>
      <c r="CI424" s="840" t="str">
        <f t="shared" ref="CI424:CI432" si="840">IF(AND(CG424=2,CH424=0),"УСПЕШНО","-")</f>
        <v>-</v>
      </c>
      <c r="CJ424" s="833" t="str">
        <f t="shared" ref="CJ424:CJ432" si="841">IF(AND(CF424&gt;0,CG424=2),CF424-T424,"-")</f>
        <v>-</v>
      </c>
      <c r="CK424" s="838" t="str">
        <f t="shared" ref="CK424:CK432" ca="1" si="842">IF(AND(BZ424&gt;0,CA424=2,CF424&gt;0,CG424=2,Y424=1,AN424&gt;-50,CM424&lt;2),"ТРЕБУЕТСЯ РЕВАКЦИНАЦИЯ","-")</f>
        <v>-</v>
      </c>
      <c r="CL424" s="841"/>
      <c r="CM424" s="832"/>
    </row>
    <row r="425" spans="1:103" s="864" customFormat="1" ht="25.5" x14ac:dyDescent="0.25">
      <c r="A425" s="790">
        <v>745</v>
      </c>
      <c r="B425" s="791">
        <f t="shared" ca="1" si="796"/>
        <v>43134</v>
      </c>
      <c r="C425" s="792" t="s">
        <v>2546</v>
      </c>
      <c r="D425" s="793" t="s">
        <v>1555</v>
      </c>
      <c r="E425" s="794" t="s">
        <v>1557</v>
      </c>
      <c r="F425" s="27" t="s">
        <v>3328</v>
      </c>
      <c r="G425" s="845"/>
      <c r="H425" s="28" t="s">
        <v>603</v>
      </c>
      <c r="I425" s="798">
        <v>43029</v>
      </c>
      <c r="J425" s="799">
        <f t="shared" ca="1" si="797"/>
        <v>0.28767123287671231</v>
      </c>
      <c r="K425" s="799">
        <f t="shared" ca="1" si="798"/>
        <v>3.5</v>
      </c>
      <c r="L425" s="800">
        <f t="shared" ca="1" si="799"/>
        <v>105</v>
      </c>
      <c r="M425" s="801"/>
      <c r="N425" s="802"/>
      <c r="O425" s="803" t="str">
        <f t="shared" ca="1" si="800"/>
        <v>-</v>
      </c>
      <c r="P425" s="804"/>
      <c r="Q425" s="805"/>
      <c r="R425" s="806"/>
      <c r="S425" s="807"/>
      <c r="T425" s="798"/>
      <c r="U425" s="798" t="str">
        <f t="shared" si="801"/>
        <v>-</v>
      </c>
      <c r="V425" s="804" t="str">
        <f t="shared" ca="1" si="802"/>
        <v>-</v>
      </c>
      <c r="W425" s="808">
        <v>0</v>
      </c>
      <c r="X425" s="794" t="str">
        <f t="shared" si="803"/>
        <v>-</v>
      </c>
      <c r="Y425" s="794">
        <v>0</v>
      </c>
      <c r="Z425" s="809" t="str">
        <f t="shared" ca="1" si="804"/>
        <v>-----</v>
      </c>
      <c r="AA425" s="810">
        <f t="shared" ca="1" si="805"/>
        <v>43134</v>
      </c>
      <c r="AB425" s="804"/>
      <c r="AC425" s="811" t="str">
        <f t="shared" ca="1" si="806"/>
        <v>-----</v>
      </c>
      <c r="AD425" s="798"/>
      <c r="AE425" s="794" t="str">
        <f t="shared" ca="1" si="807"/>
        <v>-</v>
      </c>
      <c r="AF425" s="798" t="str">
        <f t="shared" si="808"/>
        <v>-</v>
      </c>
      <c r="AG425" s="812" t="str">
        <f t="shared" si="809"/>
        <v>---------</v>
      </c>
      <c r="AH425" s="807"/>
      <c r="AI425" s="807" t="str">
        <f t="shared" si="810"/>
        <v>-</v>
      </c>
      <c r="AJ425" s="807" t="str">
        <f t="shared" si="811"/>
        <v>-</v>
      </c>
      <c r="AK425" s="813">
        <v>43031</v>
      </c>
      <c r="AL425" s="21" t="s">
        <v>1614</v>
      </c>
      <c r="AM425" s="807" t="str">
        <f t="shared" si="812"/>
        <v>-</v>
      </c>
      <c r="AN425" s="814" t="str">
        <f t="shared" ca="1" si="813"/>
        <v>-</v>
      </c>
      <c r="AO425" s="815"/>
      <c r="AP425" s="816" t="str">
        <f t="shared" ca="1" si="814"/>
        <v>-</v>
      </c>
      <c r="AQ425" s="817"/>
      <c r="AR425" s="794" t="str">
        <f t="shared" si="815"/>
        <v>-</v>
      </c>
      <c r="AS425" s="818"/>
      <c r="AT425" s="794" t="str">
        <f t="shared" si="816"/>
        <v>-</v>
      </c>
      <c r="AU425" s="819"/>
      <c r="AV425" s="865"/>
      <c r="AW425" s="821"/>
      <c r="AX425" s="822" t="str">
        <f t="shared" si="817"/>
        <v>-</v>
      </c>
      <c r="AY425" s="823" t="str">
        <f t="shared" si="818"/>
        <v>-</v>
      </c>
      <c r="AZ425" s="868"/>
      <c r="BA425" s="821"/>
      <c r="BB425" s="822" t="str">
        <f t="shared" si="819"/>
        <v>-</v>
      </c>
      <c r="BC425" s="823" t="str">
        <f t="shared" si="820"/>
        <v>-</v>
      </c>
      <c r="BD425" s="825" t="str">
        <f t="shared" ca="1" si="821"/>
        <v>-</v>
      </c>
      <c r="BE425" s="826"/>
      <c r="BF425" s="827"/>
      <c r="BG425" s="828" t="str">
        <f t="shared" si="822"/>
        <v>Ж-Е НЕ ВАКЦ.</v>
      </c>
      <c r="BH425" s="829" t="str">
        <f t="shared" si="823"/>
        <v>-</v>
      </c>
      <c r="BI425" s="830" t="str">
        <f t="shared" ca="1" si="824"/>
        <v>ПОДЛЕЖИТ ВАКЦИНАЦИИ</v>
      </c>
      <c r="BJ425" s="839"/>
      <c r="BK425" s="832"/>
      <c r="BL425" s="833" t="str">
        <f t="shared" si="825"/>
        <v>-</v>
      </c>
      <c r="BM425" s="834" t="str">
        <f t="shared" si="826"/>
        <v>-</v>
      </c>
      <c r="BN425" s="835" t="str">
        <f t="shared" si="827"/>
        <v>-</v>
      </c>
      <c r="BO425" s="839"/>
      <c r="BP425" s="832"/>
      <c r="BQ425" s="833" t="str">
        <f t="shared" si="828"/>
        <v>-</v>
      </c>
      <c r="BR425" s="836" t="str">
        <f t="shared" si="829"/>
        <v>-</v>
      </c>
      <c r="BS425" s="837" t="str">
        <f t="shared" si="830"/>
        <v>-</v>
      </c>
      <c r="BT425" s="838" t="str">
        <f t="shared" si="831"/>
        <v>-</v>
      </c>
      <c r="BU425" s="831"/>
      <c r="BV425" s="832"/>
      <c r="BW425" s="833" t="str">
        <f t="shared" si="832"/>
        <v>-</v>
      </c>
      <c r="BX425" s="834" t="str">
        <f t="shared" si="833"/>
        <v>-</v>
      </c>
      <c r="BY425" s="830" t="str">
        <f t="shared" ca="1" si="834"/>
        <v>-</v>
      </c>
      <c r="BZ425" s="839"/>
      <c r="CA425" s="832"/>
      <c r="CB425" s="833" t="str">
        <f t="shared" si="835"/>
        <v>-</v>
      </c>
      <c r="CC425" s="833" t="str">
        <f t="shared" si="836"/>
        <v>-</v>
      </c>
      <c r="CD425" s="834" t="str">
        <f t="shared" si="837"/>
        <v>-</v>
      </c>
      <c r="CE425" s="835" t="str">
        <f t="shared" si="838"/>
        <v>-</v>
      </c>
      <c r="CF425" s="839"/>
      <c r="CG425" s="832"/>
      <c r="CH425" s="833" t="str">
        <f t="shared" si="839"/>
        <v>-</v>
      </c>
      <c r="CI425" s="840" t="str">
        <f t="shared" si="840"/>
        <v>-</v>
      </c>
      <c r="CJ425" s="833" t="str">
        <f t="shared" si="841"/>
        <v>-</v>
      </c>
      <c r="CK425" s="838" t="str">
        <f t="shared" ca="1" si="842"/>
        <v>-</v>
      </c>
      <c r="CL425" s="841"/>
      <c r="CM425" s="832"/>
    </row>
    <row r="426" spans="1:103" s="864" customFormat="1" ht="25.5" x14ac:dyDescent="0.25">
      <c r="A426" s="790">
        <v>737</v>
      </c>
      <c r="B426" s="791">
        <f t="shared" ca="1" si="796"/>
        <v>43134</v>
      </c>
      <c r="C426" s="792" t="s">
        <v>2546</v>
      </c>
      <c r="D426" s="793" t="s">
        <v>1555</v>
      </c>
      <c r="E426" s="22" t="s">
        <v>1557</v>
      </c>
      <c r="F426" s="795" t="s">
        <v>3225</v>
      </c>
      <c r="G426" s="845"/>
      <c r="H426" s="797" t="s">
        <v>603</v>
      </c>
      <c r="I426" s="798">
        <v>43015</v>
      </c>
      <c r="J426" s="799">
        <f t="shared" ca="1" si="797"/>
        <v>0.32602739726027397</v>
      </c>
      <c r="K426" s="799">
        <f t="shared" ca="1" si="798"/>
        <v>3.9666666666666668</v>
      </c>
      <c r="L426" s="800">
        <f t="shared" ca="1" si="799"/>
        <v>119</v>
      </c>
      <c r="M426" s="801"/>
      <c r="N426" s="802"/>
      <c r="O426" s="803" t="str">
        <f t="shared" ca="1" si="800"/>
        <v>-</v>
      </c>
      <c r="P426" s="804"/>
      <c r="Q426" s="805"/>
      <c r="R426" s="806"/>
      <c r="S426" s="807"/>
      <c r="T426" s="798"/>
      <c r="U426" s="798" t="str">
        <f t="shared" si="801"/>
        <v>-</v>
      </c>
      <c r="V426" s="804" t="str">
        <f t="shared" ca="1" si="802"/>
        <v>-</v>
      </c>
      <c r="W426" s="808">
        <v>0</v>
      </c>
      <c r="X426" s="794" t="str">
        <f t="shared" si="803"/>
        <v>-</v>
      </c>
      <c r="Y426" s="794">
        <v>0</v>
      </c>
      <c r="Z426" s="809" t="str">
        <f t="shared" ca="1" si="804"/>
        <v>-----</v>
      </c>
      <c r="AA426" s="810">
        <f t="shared" ca="1" si="805"/>
        <v>43134</v>
      </c>
      <c r="AB426" s="804"/>
      <c r="AC426" s="811" t="str">
        <f t="shared" ca="1" si="806"/>
        <v>-----</v>
      </c>
      <c r="AD426" s="798"/>
      <c r="AE426" s="794" t="str">
        <f t="shared" ca="1" si="807"/>
        <v>-</v>
      </c>
      <c r="AF426" s="798" t="str">
        <f t="shared" si="808"/>
        <v>-</v>
      </c>
      <c r="AG426" s="812" t="str">
        <f t="shared" si="809"/>
        <v>---------</v>
      </c>
      <c r="AH426" s="807"/>
      <c r="AI426" s="807" t="str">
        <f t="shared" si="810"/>
        <v>-</v>
      </c>
      <c r="AJ426" s="807" t="str">
        <f t="shared" si="811"/>
        <v>-</v>
      </c>
      <c r="AK426" s="813">
        <v>43033</v>
      </c>
      <c r="AL426" s="21" t="s">
        <v>1614</v>
      </c>
      <c r="AM426" s="807" t="str">
        <f t="shared" si="812"/>
        <v>-</v>
      </c>
      <c r="AN426" s="814" t="str">
        <f t="shared" ca="1" si="813"/>
        <v>-</v>
      </c>
      <c r="AO426" s="815">
        <v>1</v>
      </c>
      <c r="AP426" s="816" t="str">
        <f t="shared" ca="1" si="814"/>
        <v>-</v>
      </c>
      <c r="AQ426" s="817"/>
      <c r="AR426" s="794" t="str">
        <f t="shared" si="815"/>
        <v>-</v>
      </c>
      <c r="AS426" s="818"/>
      <c r="AT426" s="794" t="str">
        <f t="shared" si="816"/>
        <v>-</v>
      </c>
      <c r="AU426" s="819"/>
      <c r="AV426" s="865"/>
      <c r="AW426" s="821"/>
      <c r="AX426" s="822" t="str">
        <f t="shared" si="817"/>
        <v>-</v>
      </c>
      <c r="AY426" s="823" t="str">
        <f t="shared" si="818"/>
        <v>-</v>
      </c>
      <c r="AZ426" s="868"/>
      <c r="BA426" s="821"/>
      <c r="BB426" s="822" t="str">
        <f t="shared" si="819"/>
        <v>-</v>
      </c>
      <c r="BC426" s="823" t="str">
        <f t="shared" si="820"/>
        <v>-</v>
      </c>
      <c r="BD426" s="825" t="str">
        <f t="shared" ca="1" si="821"/>
        <v>-</v>
      </c>
      <c r="BE426" s="826"/>
      <c r="BF426" s="827"/>
      <c r="BG426" s="828" t="str">
        <f t="shared" si="822"/>
        <v>Ж-Е НЕ ВАКЦ.</v>
      </c>
      <c r="BH426" s="829" t="str">
        <f t="shared" si="823"/>
        <v>-</v>
      </c>
      <c r="BI426" s="830" t="str">
        <f t="shared" ca="1" si="824"/>
        <v>ПОДЛЕЖИТ ВАКЦИНАЦИИ</v>
      </c>
      <c r="BJ426" s="839"/>
      <c r="BK426" s="832"/>
      <c r="BL426" s="833" t="str">
        <f t="shared" si="825"/>
        <v>-</v>
      </c>
      <c r="BM426" s="834" t="str">
        <f t="shared" si="826"/>
        <v>-</v>
      </c>
      <c r="BN426" s="835" t="str">
        <f t="shared" si="827"/>
        <v>-</v>
      </c>
      <c r="BO426" s="839"/>
      <c r="BP426" s="832"/>
      <c r="BQ426" s="833" t="str">
        <f t="shared" si="828"/>
        <v>-</v>
      </c>
      <c r="BR426" s="836" t="str">
        <f t="shared" si="829"/>
        <v>-</v>
      </c>
      <c r="BS426" s="837" t="str">
        <f t="shared" si="830"/>
        <v>-</v>
      </c>
      <c r="BT426" s="838" t="str">
        <f t="shared" si="831"/>
        <v>-</v>
      </c>
      <c r="BU426" s="831"/>
      <c r="BV426" s="832"/>
      <c r="BW426" s="833" t="str">
        <f t="shared" si="832"/>
        <v>-</v>
      </c>
      <c r="BX426" s="834" t="str">
        <f t="shared" si="833"/>
        <v>-</v>
      </c>
      <c r="BY426" s="830" t="str">
        <f t="shared" ca="1" si="834"/>
        <v>-</v>
      </c>
      <c r="BZ426" s="839"/>
      <c r="CA426" s="832"/>
      <c r="CB426" s="833" t="str">
        <f t="shared" si="835"/>
        <v>-</v>
      </c>
      <c r="CC426" s="833" t="str">
        <f t="shared" si="836"/>
        <v>-</v>
      </c>
      <c r="CD426" s="834" t="str">
        <f t="shared" si="837"/>
        <v>-</v>
      </c>
      <c r="CE426" s="835" t="str">
        <f t="shared" si="838"/>
        <v>-</v>
      </c>
      <c r="CF426" s="839"/>
      <c r="CG426" s="832"/>
      <c r="CH426" s="833" t="str">
        <f t="shared" si="839"/>
        <v>-</v>
      </c>
      <c r="CI426" s="840" t="str">
        <f t="shared" si="840"/>
        <v>-</v>
      </c>
      <c r="CJ426" s="833" t="str">
        <f t="shared" si="841"/>
        <v>-</v>
      </c>
      <c r="CK426" s="838" t="str">
        <f t="shared" ca="1" si="842"/>
        <v>-</v>
      </c>
      <c r="CL426" s="841"/>
      <c r="CM426" s="832"/>
    </row>
    <row r="427" spans="1:103" s="864" customFormat="1" ht="25.5" x14ac:dyDescent="0.25">
      <c r="A427" s="790">
        <v>738</v>
      </c>
      <c r="B427" s="791">
        <f t="shared" ca="1" si="796"/>
        <v>43134</v>
      </c>
      <c r="C427" s="792" t="s">
        <v>2546</v>
      </c>
      <c r="D427" s="793" t="s">
        <v>1555</v>
      </c>
      <c r="E427" s="794" t="s">
        <v>1557</v>
      </c>
      <c r="F427" s="795" t="s">
        <v>3227</v>
      </c>
      <c r="G427" s="845"/>
      <c r="H427" s="797" t="s">
        <v>603</v>
      </c>
      <c r="I427" s="798">
        <v>43015</v>
      </c>
      <c r="J427" s="799">
        <f t="shared" ca="1" si="797"/>
        <v>0.32602739726027397</v>
      </c>
      <c r="K427" s="799">
        <f t="shared" ca="1" si="798"/>
        <v>3.9666666666666668</v>
      </c>
      <c r="L427" s="800">
        <f t="shared" ca="1" si="799"/>
        <v>119</v>
      </c>
      <c r="M427" s="801"/>
      <c r="N427" s="802"/>
      <c r="O427" s="803" t="str">
        <f t="shared" ca="1" si="800"/>
        <v>-</v>
      </c>
      <c r="P427" s="804"/>
      <c r="Q427" s="805"/>
      <c r="R427" s="806"/>
      <c r="S427" s="807"/>
      <c r="T427" s="798"/>
      <c r="U427" s="798" t="str">
        <f t="shared" si="801"/>
        <v>-</v>
      </c>
      <c r="V427" s="804" t="str">
        <f t="shared" ca="1" si="802"/>
        <v>-</v>
      </c>
      <c r="W427" s="808">
        <v>0</v>
      </c>
      <c r="X427" s="794" t="str">
        <f t="shared" si="803"/>
        <v>-</v>
      </c>
      <c r="Y427" s="794">
        <v>0</v>
      </c>
      <c r="Z427" s="809" t="str">
        <f t="shared" ca="1" si="804"/>
        <v>-----</v>
      </c>
      <c r="AA427" s="810">
        <f t="shared" ca="1" si="805"/>
        <v>43134</v>
      </c>
      <c r="AB427" s="804"/>
      <c r="AC427" s="811" t="str">
        <f t="shared" ca="1" si="806"/>
        <v>-----</v>
      </c>
      <c r="AD427" s="798"/>
      <c r="AE427" s="794" t="str">
        <f t="shared" ca="1" si="807"/>
        <v>-</v>
      </c>
      <c r="AF427" s="798" t="str">
        <f t="shared" si="808"/>
        <v>-</v>
      </c>
      <c r="AG427" s="812" t="str">
        <f t="shared" si="809"/>
        <v>---------</v>
      </c>
      <c r="AH427" s="807"/>
      <c r="AI427" s="807" t="str">
        <f t="shared" si="810"/>
        <v>-</v>
      </c>
      <c r="AJ427" s="807" t="str">
        <f t="shared" si="811"/>
        <v>-</v>
      </c>
      <c r="AK427" s="813">
        <v>43033</v>
      </c>
      <c r="AL427" s="21" t="s">
        <v>1614</v>
      </c>
      <c r="AM427" s="807" t="str">
        <f t="shared" si="812"/>
        <v>-</v>
      </c>
      <c r="AN427" s="814" t="str">
        <f t="shared" ca="1" si="813"/>
        <v>-</v>
      </c>
      <c r="AO427" s="815">
        <v>1</v>
      </c>
      <c r="AP427" s="816" t="str">
        <f t="shared" ca="1" si="814"/>
        <v>-</v>
      </c>
      <c r="AQ427" s="817"/>
      <c r="AR427" s="794" t="str">
        <f t="shared" si="815"/>
        <v>-</v>
      </c>
      <c r="AS427" s="818"/>
      <c r="AT427" s="794" t="str">
        <f t="shared" si="816"/>
        <v>-</v>
      </c>
      <c r="AU427" s="819"/>
      <c r="AV427" s="865"/>
      <c r="AW427" s="821"/>
      <c r="AX427" s="822" t="str">
        <f t="shared" si="817"/>
        <v>-</v>
      </c>
      <c r="AY427" s="823" t="str">
        <f t="shared" si="818"/>
        <v>-</v>
      </c>
      <c r="AZ427" s="868"/>
      <c r="BA427" s="821"/>
      <c r="BB427" s="822" t="str">
        <f t="shared" si="819"/>
        <v>-</v>
      </c>
      <c r="BC427" s="823" t="str">
        <f t="shared" si="820"/>
        <v>-</v>
      </c>
      <c r="BD427" s="825" t="str">
        <f t="shared" ca="1" si="821"/>
        <v>-</v>
      </c>
      <c r="BE427" s="826"/>
      <c r="BF427" s="827"/>
      <c r="BG427" s="828" t="str">
        <f t="shared" si="822"/>
        <v>Ж-Е НЕ ВАКЦ.</v>
      </c>
      <c r="BH427" s="829" t="str">
        <f t="shared" si="823"/>
        <v>-</v>
      </c>
      <c r="BI427" s="830" t="str">
        <f t="shared" ca="1" si="824"/>
        <v>ПОДЛЕЖИТ ВАКЦИНАЦИИ</v>
      </c>
      <c r="BJ427" s="839"/>
      <c r="BK427" s="832"/>
      <c r="BL427" s="833" t="str">
        <f t="shared" si="825"/>
        <v>-</v>
      </c>
      <c r="BM427" s="834" t="str">
        <f t="shared" si="826"/>
        <v>-</v>
      </c>
      <c r="BN427" s="835" t="str">
        <f t="shared" si="827"/>
        <v>-</v>
      </c>
      <c r="BO427" s="839"/>
      <c r="BP427" s="832"/>
      <c r="BQ427" s="833" t="str">
        <f t="shared" si="828"/>
        <v>-</v>
      </c>
      <c r="BR427" s="836" t="str">
        <f t="shared" si="829"/>
        <v>-</v>
      </c>
      <c r="BS427" s="837" t="str">
        <f t="shared" si="830"/>
        <v>-</v>
      </c>
      <c r="BT427" s="838" t="str">
        <f t="shared" si="831"/>
        <v>-</v>
      </c>
      <c r="BU427" s="831"/>
      <c r="BV427" s="832"/>
      <c r="BW427" s="833" t="str">
        <f t="shared" si="832"/>
        <v>-</v>
      </c>
      <c r="BX427" s="834" t="str">
        <f t="shared" si="833"/>
        <v>-</v>
      </c>
      <c r="BY427" s="830" t="str">
        <f t="shared" ca="1" si="834"/>
        <v>-</v>
      </c>
      <c r="BZ427" s="839"/>
      <c r="CA427" s="832"/>
      <c r="CB427" s="833" t="str">
        <f t="shared" si="835"/>
        <v>-</v>
      </c>
      <c r="CC427" s="833" t="str">
        <f t="shared" si="836"/>
        <v>-</v>
      </c>
      <c r="CD427" s="834" t="str">
        <f t="shared" si="837"/>
        <v>-</v>
      </c>
      <c r="CE427" s="835" t="str">
        <f t="shared" si="838"/>
        <v>-</v>
      </c>
      <c r="CF427" s="839"/>
      <c r="CG427" s="832"/>
      <c r="CH427" s="833" t="str">
        <f t="shared" si="839"/>
        <v>-</v>
      </c>
      <c r="CI427" s="840" t="str">
        <f t="shared" si="840"/>
        <v>-</v>
      </c>
      <c r="CJ427" s="833" t="str">
        <f t="shared" si="841"/>
        <v>-</v>
      </c>
      <c r="CK427" s="838" t="str">
        <f t="shared" ca="1" si="842"/>
        <v>-</v>
      </c>
      <c r="CL427" s="841"/>
      <c r="CM427" s="832"/>
    </row>
    <row r="428" spans="1:103" s="864" customFormat="1" ht="25.5" x14ac:dyDescent="0.25">
      <c r="A428" s="790">
        <v>739</v>
      </c>
      <c r="B428" s="791">
        <f t="shared" ca="1" si="796"/>
        <v>43134</v>
      </c>
      <c r="C428" s="792" t="s">
        <v>2546</v>
      </c>
      <c r="D428" s="793" t="s">
        <v>1555</v>
      </c>
      <c r="E428" s="794" t="s">
        <v>1557</v>
      </c>
      <c r="F428" s="795" t="s">
        <v>3312</v>
      </c>
      <c r="G428" s="845"/>
      <c r="H428" s="797" t="s">
        <v>603</v>
      </c>
      <c r="I428" s="798">
        <v>43021</v>
      </c>
      <c r="J428" s="799">
        <f t="shared" ca="1" si="797"/>
        <v>0.30958904109589042</v>
      </c>
      <c r="K428" s="799">
        <f t="shared" ca="1" si="798"/>
        <v>3.7666666666666666</v>
      </c>
      <c r="L428" s="800">
        <f t="shared" ca="1" si="799"/>
        <v>113</v>
      </c>
      <c r="M428" s="801"/>
      <c r="N428" s="802"/>
      <c r="O428" s="803" t="str">
        <f t="shared" ca="1" si="800"/>
        <v>-</v>
      </c>
      <c r="P428" s="804"/>
      <c r="Q428" s="805"/>
      <c r="R428" s="806"/>
      <c r="S428" s="807"/>
      <c r="T428" s="798"/>
      <c r="U428" s="798" t="str">
        <f t="shared" si="801"/>
        <v>-</v>
      </c>
      <c r="V428" s="804" t="str">
        <f t="shared" ca="1" si="802"/>
        <v>-</v>
      </c>
      <c r="W428" s="808"/>
      <c r="X428" s="794" t="str">
        <f t="shared" si="803"/>
        <v>-</v>
      </c>
      <c r="Y428" s="794"/>
      <c r="Z428" s="809" t="str">
        <f t="shared" ca="1" si="804"/>
        <v>-----</v>
      </c>
      <c r="AA428" s="810">
        <f t="shared" ca="1" si="805"/>
        <v>43134</v>
      </c>
      <c r="AB428" s="804"/>
      <c r="AC428" s="811" t="str">
        <f t="shared" ca="1" si="806"/>
        <v>-----</v>
      </c>
      <c r="AD428" s="798"/>
      <c r="AE428" s="794" t="str">
        <f t="shared" ca="1" si="807"/>
        <v>-</v>
      </c>
      <c r="AF428" s="798" t="str">
        <f t="shared" si="808"/>
        <v>-</v>
      </c>
      <c r="AG428" s="812" t="str">
        <f t="shared" si="809"/>
        <v>---------</v>
      </c>
      <c r="AH428" s="807"/>
      <c r="AI428" s="807" t="str">
        <f t="shared" si="810"/>
        <v>-</v>
      </c>
      <c r="AJ428" s="807" t="str">
        <f t="shared" si="811"/>
        <v>-</v>
      </c>
      <c r="AK428" s="813">
        <v>43033</v>
      </c>
      <c r="AL428" s="21" t="s">
        <v>1614</v>
      </c>
      <c r="AM428" s="807" t="str">
        <f t="shared" si="812"/>
        <v>-</v>
      </c>
      <c r="AN428" s="814" t="str">
        <f t="shared" ca="1" si="813"/>
        <v>-</v>
      </c>
      <c r="AO428" s="815">
        <v>1</v>
      </c>
      <c r="AP428" s="816" t="str">
        <f t="shared" ca="1" si="814"/>
        <v>-</v>
      </c>
      <c r="AQ428" s="817"/>
      <c r="AR428" s="794" t="str">
        <f t="shared" si="815"/>
        <v>-</v>
      </c>
      <c r="AS428" s="818"/>
      <c r="AT428" s="794" t="str">
        <f t="shared" si="816"/>
        <v>-</v>
      </c>
      <c r="AU428" s="819"/>
      <c r="AV428" s="865"/>
      <c r="AW428" s="821"/>
      <c r="AX428" s="822" t="str">
        <f t="shared" si="817"/>
        <v>-</v>
      </c>
      <c r="AY428" s="823" t="str">
        <f t="shared" si="818"/>
        <v>-</v>
      </c>
      <c r="AZ428" s="868"/>
      <c r="BA428" s="821"/>
      <c r="BB428" s="822" t="str">
        <f t="shared" si="819"/>
        <v>-</v>
      </c>
      <c r="BC428" s="823" t="str">
        <f t="shared" si="820"/>
        <v>-</v>
      </c>
      <c r="BD428" s="825" t="str">
        <f t="shared" ca="1" si="821"/>
        <v>-</v>
      </c>
      <c r="BE428" s="826"/>
      <c r="BF428" s="827"/>
      <c r="BG428" s="828" t="str">
        <f t="shared" si="822"/>
        <v>Ж-Е НЕ ВАКЦ.</v>
      </c>
      <c r="BH428" s="829" t="str">
        <f t="shared" si="823"/>
        <v>-</v>
      </c>
      <c r="BI428" s="830" t="str">
        <f t="shared" ca="1" si="824"/>
        <v>ПОДЛЕЖИТ ВАКЦИНАЦИИ</v>
      </c>
      <c r="BJ428" s="839"/>
      <c r="BK428" s="832"/>
      <c r="BL428" s="833" t="str">
        <f t="shared" si="825"/>
        <v>-</v>
      </c>
      <c r="BM428" s="834" t="str">
        <f t="shared" si="826"/>
        <v>-</v>
      </c>
      <c r="BN428" s="835" t="str">
        <f t="shared" si="827"/>
        <v>-</v>
      </c>
      <c r="BO428" s="839"/>
      <c r="BP428" s="832"/>
      <c r="BQ428" s="833" t="str">
        <f t="shared" si="828"/>
        <v>-</v>
      </c>
      <c r="BR428" s="836" t="str">
        <f t="shared" si="829"/>
        <v>-</v>
      </c>
      <c r="BS428" s="837" t="str">
        <f t="shared" si="830"/>
        <v>-</v>
      </c>
      <c r="BT428" s="838" t="str">
        <f t="shared" si="831"/>
        <v>-</v>
      </c>
      <c r="BU428" s="831"/>
      <c r="BV428" s="832"/>
      <c r="BW428" s="833" t="str">
        <f t="shared" si="832"/>
        <v>-</v>
      </c>
      <c r="BX428" s="834" t="str">
        <f t="shared" si="833"/>
        <v>-</v>
      </c>
      <c r="BY428" s="830" t="str">
        <f t="shared" ca="1" si="834"/>
        <v>-</v>
      </c>
      <c r="BZ428" s="839"/>
      <c r="CA428" s="832"/>
      <c r="CB428" s="833" t="str">
        <f t="shared" si="835"/>
        <v>-</v>
      </c>
      <c r="CC428" s="833" t="str">
        <f t="shared" si="836"/>
        <v>-</v>
      </c>
      <c r="CD428" s="834" t="str">
        <f t="shared" si="837"/>
        <v>-</v>
      </c>
      <c r="CE428" s="835" t="str">
        <f t="shared" si="838"/>
        <v>-</v>
      </c>
      <c r="CF428" s="839"/>
      <c r="CG428" s="832"/>
      <c r="CH428" s="833" t="str">
        <f t="shared" si="839"/>
        <v>-</v>
      </c>
      <c r="CI428" s="840" t="str">
        <f t="shared" si="840"/>
        <v>-</v>
      </c>
      <c r="CJ428" s="833" t="str">
        <f t="shared" si="841"/>
        <v>-</v>
      </c>
      <c r="CK428" s="838" t="str">
        <f t="shared" ca="1" si="842"/>
        <v>-</v>
      </c>
      <c r="CL428" s="841"/>
      <c r="CM428" s="832"/>
    </row>
    <row r="429" spans="1:103" s="864" customFormat="1" ht="25.5" x14ac:dyDescent="0.25">
      <c r="A429" s="790">
        <v>740</v>
      </c>
      <c r="B429" s="791">
        <f t="shared" ca="1" si="796"/>
        <v>43134</v>
      </c>
      <c r="C429" s="792" t="s">
        <v>2546</v>
      </c>
      <c r="D429" s="793" t="s">
        <v>1555</v>
      </c>
      <c r="E429" s="794" t="s">
        <v>1557</v>
      </c>
      <c r="F429" s="795" t="s">
        <v>3313</v>
      </c>
      <c r="G429" s="845"/>
      <c r="H429" s="797" t="s">
        <v>603</v>
      </c>
      <c r="I429" s="798">
        <v>43023</v>
      </c>
      <c r="J429" s="799">
        <f t="shared" ca="1" si="797"/>
        <v>0.30410958904109592</v>
      </c>
      <c r="K429" s="799">
        <f t="shared" ca="1" si="798"/>
        <v>3.7</v>
      </c>
      <c r="L429" s="800">
        <f t="shared" ca="1" si="799"/>
        <v>111</v>
      </c>
      <c r="M429" s="801"/>
      <c r="N429" s="802"/>
      <c r="O429" s="803" t="str">
        <f t="shared" ca="1" si="800"/>
        <v>-</v>
      </c>
      <c r="P429" s="804"/>
      <c r="Q429" s="805"/>
      <c r="R429" s="806"/>
      <c r="S429" s="807"/>
      <c r="T429" s="798"/>
      <c r="U429" s="798" t="str">
        <f t="shared" si="801"/>
        <v>-</v>
      </c>
      <c r="V429" s="804" t="str">
        <f t="shared" ca="1" si="802"/>
        <v>-</v>
      </c>
      <c r="W429" s="808"/>
      <c r="X429" s="794" t="str">
        <f t="shared" si="803"/>
        <v>-</v>
      </c>
      <c r="Y429" s="794"/>
      <c r="Z429" s="809" t="str">
        <f t="shared" ca="1" si="804"/>
        <v>-----</v>
      </c>
      <c r="AA429" s="810">
        <f t="shared" ca="1" si="805"/>
        <v>43134</v>
      </c>
      <c r="AB429" s="804"/>
      <c r="AC429" s="811" t="str">
        <f t="shared" ca="1" si="806"/>
        <v>-----</v>
      </c>
      <c r="AD429" s="798"/>
      <c r="AE429" s="794" t="str">
        <f t="shared" ca="1" si="807"/>
        <v>-</v>
      </c>
      <c r="AF429" s="798" t="str">
        <f t="shared" si="808"/>
        <v>-</v>
      </c>
      <c r="AG429" s="812" t="str">
        <f t="shared" si="809"/>
        <v>---------</v>
      </c>
      <c r="AH429" s="807"/>
      <c r="AI429" s="807" t="str">
        <f t="shared" si="810"/>
        <v>-</v>
      </c>
      <c r="AJ429" s="807" t="str">
        <f t="shared" si="811"/>
        <v>-</v>
      </c>
      <c r="AK429" s="813">
        <v>43033</v>
      </c>
      <c r="AL429" s="21" t="s">
        <v>1614</v>
      </c>
      <c r="AM429" s="807" t="str">
        <f t="shared" si="812"/>
        <v>-</v>
      </c>
      <c r="AN429" s="814" t="str">
        <f t="shared" ca="1" si="813"/>
        <v>-</v>
      </c>
      <c r="AO429" s="815">
        <v>1</v>
      </c>
      <c r="AP429" s="816" t="str">
        <f t="shared" ca="1" si="814"/>
        <v>-</v>
      </c>
      <c r="AQ429" s="817"/>
      <c r="AR429" s="794" t="str">
        <f t="shared" si="815"/>
        <v>-</v>
      </c>
      <c r="AS429" s="818"/>
      <c r="AT429" s="794" t="str">
        <f t="shared" si="816"/>
        <v>-</v>
      </c>
      <c r="AU429" s="819"/>
      <c r="AV429" s="865"/>
      <c r="AW429" s="821"/>
      <c r="AX429" s="822" t="str">
        <f t="shared" si="817"/>
        <v>-</v>
      </c>
      <c r="AY429" s="823" t="str">
        <f t="shared" si="818"/>
        <v>-</v>
      </c>
      <c r="AZ429" s="868"/>
      <c r="BA429" s="821"/>
      <c r="BB429" s="822" t="str">
        <f t="shared" si="819"/>
        <v>-</v>
      </c>
      <c r="BC429" s="823" t="str">
        <f t="shared" si="820"/>
        <v>-</v>
      </c>
      <c r="BD429" s="825" t="str">
        <f t="shared" ca="1" si="821"/>
        <v>-</v>
      </c>
      <c r="BE429" s="826"/>
      <c r="BF429" s="827"/>
      <c r="BG429" s="828" t="str">
        <f t="shared" si="822"/>
        <v>Ж-Е НЕ ВАКЦ.</v>
      </c>
      <c r="BH429" s="829" t="str">
        <f t="shared" si="823"/>
        <v>-</v>
      </c>
      <c r="BI429" s="830" t="str">
        <f t="shared" ca="1" si="824"/>
        <v>ПОДЛЕЖИТ ВАКЦИНАЦИИ</v>
      </c>
      <c r="BJ429" s="839"/>
      <c r="BK429" s="832"/>
      <c r="BL429" s="833" t="str">
        <f t="shared" si="825"/>
        <v>-</v>
      </c>
      <c r="BM429" s="834" t="str">
        <f t="shared" si="826"/>
        <v>-</v>
      </c>
      <c r="BN429" s="835" t="str">
        <f t="shared" si="827"/>
        <v>-</v>
      </c>
      <c r="BO429" s="839"/>
      <c r="BP429" s="832"/>
      <c r="BQ429" s="833" t="str">
        <f t="shared" si="828"/>
        <v>-</v>
      </c>
      <c r="BR429" s="836" t="str">
        <f t="shared" si="829"/>
        <v>-</v>
      </c>
      <c r="BS429" s="837" t="str">
        <f t="shared" si="830"/>
        <v>-</v>
      </c>
      <c r="BT429" s="838" t="str">
        <f t="shared" si="831"/>
        <v>-</v>
      </c>
      <c r="BU429" s="831"/>
      <c r="BV429" s="832"/>
      <c r="BW429" s="833" t="str">
        <f t="shared" si="832"/>
        <v>-</v>
      </c>
      <c r="BX429" s="834" t="str">
        <f t="shared" si="833"/>
        <v>-</v>
      </c>
      <c r="BY429" s="830" t="str">
        <f t="shared" ca="1" si="834"/>
        <v>-</v>
      </c>
      <c r="BZ429" s="839"/>
      <c r="CA429" s="832"/>
      <c r="CB429" s="833" t="str">
        <f t="shared" si="835"/>
        <v>-</v>
      </c>
      <c r="CC429" s="833" t="str">
        <f t="shared" si="836"/>
        <v>-</v>
      </c>
      <c r="CD429" s="834" t="str">
        <f t="shared" si="837"/>
        <v>-</v>
      </c>
      <c r="CE429" s="835" t="str">
        <f t="shared" si="838"/>
        <v>-</v>
      </c>
      <c r="CF429" s="839"/>
      <c r="CG429" s="832"/>
      <c r="CH429" s="833" t="str">
        <f t="shared" si="839"/>
        <v>-</v>
      </c>
      <c r="CI429" s="840" t="str">
        <f t="shared" si="840"/>
        <v>-</v>
      </c>
      <c r="CJ429" s="833" t="str">
        <f t="shared" si="841"/>
        <v>-</v>
      </c>
      <c r="CK429" s="838" t="str">
        <f t="shared" ca="1" si="842"/>
        <v>-</v>
      </c>
      <c r="CL429" s="841"/>
      <c r="CM429" s="832"/>
    </row>
    <row r="430" spans="1:103" s="864" customFormat="1" ht="25.5" x14ac:dyDescent="0.25">
      <c r="A430" s="790">
        <v>741</v>
      </c>
      <c r="B430" s="791">
        <f t="shared" ca="1" si="796"/>
        <v>43134</v>
      </c>
      <c r="C430" s="792" t="s">
        <v>2546</v>
      </c>
      <c r="D430" s="793" t="s">
        <v>1555</v>
      </c>
      <c r="E430" s="794" t="s">
        <v>1557</v>
      </c>
      <c r="F430" s="795" t="s">
        <v>3316</v>
      </c>
      <c r="G430" s="871"/>
      <c r="H430" s="797" t="s">
        <v>603</v>
      </c>
      <c r="I430" s="798">
        <v>43024</v>
      </c>
      <c r="J430" s="799">
        <f t="shared" ca="1" si="797"/>
        <v>0.30136986301369861</v>
      </c>
      <c r="K430" s="799">
        <f t="shared" ca="1" si="798"/>
        <v>3.6666666666666665</v>
      </c>
      <c r="L430" s="800">
        <f t="shared" ca="1" si="799"/>
        <v>110</v>
      </c>
      <c r="M430" s="801"/>
      <c r="N430" s="802"/>
      <c r="O430" s="803" t="str">
        <f t="shared" ca="1" si="800"/>
        <v>-</v>
      </c>
      <c r="P430" s="804"/>
      <c r="Q430" s="805"/>
      <c r="R430" s="806"/>
      <c r="S430" s="807"/>
      <c r="T430" s="798"/>
      <c r="U430" s="798" t="str">
        <f t="shared" si="801"/>
        <v>-</v>
      </c>
      <c r="V430" s="804" t="str">
        <f t="shared" ca="1" si="802"/>
        <v>-</v>
      </c>
      <c r="W430" s="808">
        <v>0</v>
      </c>
      <c r="X430" s="794" t="str">
        <f t="shared" si="803"/>
        <v>-</v>
      </c>
      <c r="Y430" s="794">
        <v>0</v>
      </c>
      <c r="Z430" s="809" t="str">
        <f t="shared" ca="1" si="804"/>
        <v>-----</v>
      </c>
      <c r="AA430" s="810">
        <f t="shared" ca="1" si="805"/>
        <v>43134</v>
      </c>
      <c r="AB430" s="804"/>
      <c r="AC430" s="811" t="str">
        <f t="shared" ca="1" si="806"/>
        <v>-----</v>
      </c>
      <c r="AD430" s="798"/>
      <c r="AE430" s="794" t="str">
        <f t="shared" ca="1" si="807"/>
        <v>-</v>
      </c>
      <c r="AF430" s="798" t="str">
        <f t="shared" si="808"/>
        <v>-</v>
      </c>
      <c r="AG430" s="812" t="str">
        <f t="shared" si="809"/>
        <v>---------</v>
      </c>
      <c r="AH430" s="807"/>
      <c r="AI430" s="807" t="str">
        <f t="shared" si="810"/>
        <v>-</v>
      </c>
      <c r="AJ430" s="807" t="str">
        <f t="shared" si="811"/>
        <v>-</v>
      </c>
      <c r="AK430" s="813">
        <v>43033</v>
      </c>
      <c r="AL430" s="21" t="s">
        <v>1614</v>
      </c>
      <c r="AM430" s="807" t="str">
        <f t="shared" si="812"/>
        <v>-</v>
      </c>
      <c r="AN430" s="814" t="str">
        <f t="shared" ca="1" si="813"/>
        <v>-</v>
      </c>
      <c r="AO430" s="815">
        <v>1</v>
      </c>
      <c r="AP430" s="816" t="str">
        <f t="shared" ca="1" si="814"/>
        <v>-</v>
      </c>
      <c r="AQ430" s="817"/>
      <c r="AR430" s="794" t="str">
        <f t="shared" si="815"/>
        <v>-</v>
      </c>
      <c r="AS430" s="818"/>
      <c r="AT430" s="794" t="str">
        <f t="shared" si="816"/>
        <v>-</v>
      </c>
      <c r="AU430" s="819"/>
      <c r="AV430" s="865"/>
      <c r="AW430" s="821"/>
      <c r="AX430" s="822" t="str">
        <f t="shared" si="817"/>
        <v>-</v>
      </c>
      <c r="AY430" s="823" t="str">
        <f t="shared" si="818"/>
        <v>-</v>
      </c>
      <c r="AZ430" s="868"/>
      <c r="BA430" s="821"/>
      <c r="BB430" s="822" t="str">
        <f t="shared" si="819"/>
        <v>-</v>
      </c>
      <c r="BC430" s="823" t="str">
        <f t="shared" si="820"/>
        <v>-</v>
      </c>
      <c r="BD430" s="825" t="str">
        <f t="shared" ca="1" si="821"/>
        <v>-</v>
      </c>
      <c r="BE430" s="826"/>
      <c r="BF430" s="827"/>
      <c r="BG430" s="828" t="str">
        <f t="shared" si="822"/>
        <v>Ж-Е НЕ ВАКЦ.</v>
      </c>
      <c r="BH430" s="829" t="str">
        <f t="shared" si="823"/>
        <v>-</v>
      </c>
      <c r="BI430" s="830" t="str">
        <f t="shared" ca="1" si="824"/>
        <v>ПОДЛЕЖИТ ВАКЦИНАЦИИ</v>
      </c>
      <c r="BJ430" s="839"/>
      <c r="BK430" s="832"/>
      <c r="BL430" s="833" t="str">
        <f t="shared" si="825"/>
        <v>-</v>
      </c>
      <c r="BM430" s="834" t="str">
        <f t="shared" si="826"/>
        <v>-</v>
      </c>
      <c r="BN430" s="835" t="str">
        <f t="shared" si="827"/>
        <v>-</v>
      </c>
      <c r="BO430" s="839"/>
      <c r="BP430" s="832"/>
      <c r="BQ430" s="833" t="str">
        <f t="shared" si="828"/>
        <v>-</v>
      </c>
      <c r="BR430" s="836" t="str">
        <f t="shared" si="829"/>
        <v>-</v>
      </c>
      <c r="BS430" s="837" t="str">
        <f t="shared" si="830"/>
        <v>-</v>
      </c>
      <c r="BT430" s="838" t="str">
        <f t="shared" si="831"/>
        <v>-</v>
      </c>
      <c r="BU430" s="831"/>
      <c r="BV430" s="832"/>
      <c r="BW430" s="833" t="str">
        <f t="shared" si="832"/>
        <v>-</v>
      </c>
      <c r="BX430" s="834" t="str">
        <f t="shared" si="833"/>
        <v>-</v>
      </c>
      <c r="BY430" s="830" t="str">
        <f t="shared" ca="1" si="834"/>
        <v>-</v>
      </c>
      <c r="BZ430" s="839"/>
      <c r="CA430" s="832"/>
      <c r="CB430" s="833" t="str">
        <f t="shared" si="835"/>
        <v>-</v>
      </c>
      <c r="CC430" s="833" t="str">
        <f t="shared" si="836"/>
        <v>-</v>
      </c>
      <c r="CD430" s="834" t="str">
        <f t="shared" si="837"/>
        <v>-</v>
      </c>
      <c r="CE430" s="835" t="str">
        <f t="shared" si="838"/>
        <v>-</v>
      </c>
      <c r="CF430" s="839"/>
      <c r="CG430" s="832"/>
      <c r="CH430" s="833" t="str">
        <f t="shared" si="839"/>
        <v>-</v>
      </c>
      <c r="CI430" s="840" t="str">
        <f t="shared" si="840"/>
        <v>-</v>
      </c>
      <c r="CJ430" s="833" t="str">
        <f t="shared" si="841"/>
        <v>-</v>
      </c>
      <c r="CK430" s="838" t="str">
        <f t="shared" ca="1" si="842"/>
        <v>-</v>
      </c>
      <c r="CL430" s="841"/>
      <c r="CM430" s="832"/>
    </row>
    <row r="431" spans="1:103" s="864" customFormat="1" ht="25.5" x14ac:dyDescent="0.25">
      <c r="A431" s="790">
        <v>742</v>
      </c>
      <c r="B431" s="791">
        <f t="shared" ca="1" si="796"/>
        <v>43134</v>
      </c>
      <c r="C431" s="29" t="s">
        <v>2546</v>
      </c>
      <c r="D431" s="59" t="s">
        <v>1555</v>
      </c>
      <c r="E431" s="22" t="s">
        <v>1557</v>
      </c>
      <c r="F431" s="27" t="s">
        <v>3318</v>
      </c>
      <c r="G431" s="871"/>
      <c r="H431" s="797" t="s">
        <v>603</v>
      </c>
      <c r="I431" s="798">
        <v>43025</v>
      </c>
      <c r="J431" s="799">
        <f t="shared" ca="1" si="797"/>
        <v>0.29863013698630136</v>
      </c>
      <c r="K431" s="799">
        <f t="shared" ca="1" si="798"/>
        <v>3.6333333333333333</v>
      </c>
      <c r="L431" s="800">
        <f t="shared" ca="1" si="799"/>
        <v>109</v>
      </c>
      <c r="M431" s="801"/>
      <c r="N431" s="802"/>
      <c r="O431" s="803" t="str">
        <f t="shared" ca="1" si="800"/>
        <v>-</v>
      </c>
      <c r="P431" s="804"/>
      <c r="Q431" s="805"/>
      <c r="R431" s="806"/>
      <c r="S431" s="807"/>
      <c r="T431" s="798"/>
      <c r="U431" s="798" t="str">
        <f t="shared" si="801"/>
        <v>-</v>
      </c>
      <c r="V431" s="804" t="str">
        <f t="shared" ca="1" si="802"/>
        <v>-</v>
      </c>
      <c r="W431" s="808"/>
      <c r="X431" s="794" t="str">
        <f t="shared" si="803"/>
        <v>-</v>
      </c>
      <c r="Y431" s="794"/>
      <c r="Z431" s="809" t="str">
        <f t="shared" ca="1" si="804"/>
        <v>-----</v>
      </c>
      <c r="AA431" s="810">
        <f t="shared" ca="1" si="805"/>
        <v>43134</v>
      </c>
      <c r="AB431" s="804"/>
      <c r="AC431" s="811" t="str">
        <f t="shared" ca="1" si="806"/>
        <v>-----</v>
      </c>
      <c r="AD431" s="798"/>
      <c r="AE431" s="794" t="str">
        <f t="shared" ca="1" si="807"/>
        <v>-</v>
      </c>
      <c r="AF431" s="798" t="str">
        <f t="shared" si="808"/>
        <v>-</v>
      </c>
      <c r="AG431" s="812" t="str">
        <f t="shared" si="809"/>
        <v>---------</v>
      </c>
      <c r="AH431" s="807"/>
      <c r="AI431" s="807" t="str">
        <f t="shared" si="810"/>
        <v>-</v>
      </c>
      <c r="AJ431" s="807" t="str">
        <f t="shared" si="811"/>
        <v>-</v>
      </c>
      <c r="AK431" s="813">
        <v>43033</v>
      </c>
      <c r="AL431" s="21" t="s">
        <v>1614</v>
      </c>
      <c r="AM431" s="807" t="str">
        <f t="shared" si="812"/>
        <v>-</v>
      </c>
      <c r="AN431" s="814" t="str">
        <f t="shared" ca="1" si="813"/>
        <v>-</v>
      </c>
      <c r="AO431" s="815">
        <v>1</v>
      </c>
      <c r="AP431" s="816" t="str">
        <f t="shared" ca="1" si="814"/>
        <v>-</v>
      </c>
      <c r="AQ431" s="817"/>
      <c r="AR431" s="794" t="str">
        <f t="shared" si="815"/>
        <v>-</v>
      </c>
      <c r="AS431" s="818"/>
      <c r="AT431" s="794" t="str">
        <f t="shared" si="816"/>
        <v>-</v>
      </c>
      <c r="AU431" s="819"/>
      <c r="AV431" s="865"/>
      <c r="AW431" s="821"/>
      <c r="AX431" s="822" t="str">
        <f t="shared" si="817"/>
        <v>-</v>
      </c>
      <c r="AY431" s="823" t="str">
        <f t="shared" si="818"/>
        <v>-</v>
      </c>
      <c r="AZ431" s="868"/>
      <c r="BA431" s="821"/>
      <c r="BB431" s="822" t="str">
        <f t="shared" si="819"/>
        <v>-</v>
      </c>
      <c r="BC431" s="823" t="str">
        <f t="shared" si="820"/>
        <v>-</v>
      </c>
      <c r="BD431" s="825" t="str">
        <f t="shared" ca="1" si="821"/>
        <v>-</v>
      </c>
      <c r="BE431" s="826"/>
      <c r="BF431" s="827"/>
      <c r="BG431" s="828" t="str">
        <f t="shared" si="822"/>
        <v>Ж-Е НЕ ВАКЦ.</v>
      </c>
      <c r="BH431" s="829" t="str">
        <f t="shared" si="823"/>
        <v>-</v>
      </c>
      <c r="BI431" s="830" t="str">
        <f t="shared" ca="1" si="824"/>
        <v>ПОДЛЕЖИТ ВАКЦИНАЦИИ</v>
      </c>
      <c r="BJ431" s="839"/>
      <c r="BK431" s="832"/>
      <c r="BL431" s="833" t="str">
        <f t="shared" si="825"/>
        <v>-</v>
      </c>
      <c r="BM431" s="834" t="str">
        <f t="shared" si="826"/>
        <v>-</v>
      </c>
      <c r="BN431" s="835" t="str">
        <f t="shared" si="827"/>
        <v>-</v>
      </c>
      <c r="BO431" s="839"/>
      <c r="BP431" s="832"/>
      <c r="BQ431" s="833" t="str">
        <f t="shared" si="828"/>
        <v>-</v>
      </c>
      <c r="BR431" s="836" t="str">
        <f t="shared" si="829"/>
        <v>-</v>
      </c>
      <c r="BS431" s="837" t="str">
        <f t="shared" si="830"/>
        <v>-</v>
      </c>
      <c r="BT431" s="838" t="str">
        <f t="shared" si="831"/>
        <v>-</v>
      </c>
      <c r="BU431" s="831"/>
      <c r="BV431" s="832"/>
      <c r="BW431" s="833" t="str">
        <f t="shared" si="832"/>
        <v>-</v>
      </c>
      <c r="BX431" s="834" t="str">
        <f t="shared" si="833"/>
        <v>-</v>
      </c>
      <c r="BY431" s="830" t="str">
        <f t="shared" ca="1" si="834"/>
        <v>-</v>
      </c>
      <c r="BZ431" s="839"/>
      <c r="CA431" s="832"/>
      <c r="CB431" s="833" t="str">
        <f t="shared" si="835"/>
        <v>-</v>
      </c>
      <c r="CC431" s="833" t="str">
        <f t="shared" si="836"/>
        <v>-</v>
      </c>
      <c r="CD431" s="834" t="str">
        <f t="shared" si="837"/>
        <v>-</v>
      </c>
      <c r="CE431" s="835" t="str">
        <f t="shared" si="838"/>
        <v>-</v>
      </c>
      <c r="CF431" s="839"/>
      <c r="CG431" s="832"/>
      <c r="CH431" s="833" t="str">
        <f t="shared" si="839"/>
        <v>-</v>
      </c>
      <c r="CI431" s="840" t="str">
        <f t="shared" si="840"/>
        <v>-</v>
      </c>
      <c r="CJ431" s="833" t="str">
        <f t="shared" si="841"/>
        <v>-</v>
      </c>
      <c r="CK431" s="838" t="str">
        <f t="shared" ca="1" si="842"/>
        <v>-</v>
      </c>
      <c r="CL431" s="841"/>
      <c r="CM431" s="832"/>
    </row>
    <row r="432" spans="1:103" s="864" customFormat="1" ht="25.5" x14ac:dyDescent="0.25">
      <c r="A432" s="790">
        <v>743</v>
      </c>
      <c r="B432" s="791">
        <f t="shared" ca="1" si="796"/>
        <v>43134</v>
      </c>
      <c r="C432" s="29" t="s">
        <v>2546</v>
      </c>
      <c r="D432" s="59" t="s">
        <v>1555</v>
      </c>
      <c r="E432" s="22" t="s">
        <v>1557</v>
      </c>
      <c r="F432" s="27" t="s">
        <v>3319</v>
      </c>
      <c r="G432" s="871"/>
      <c r="H432" s="797" t="s">
        <v>603</v>
      </c>
      <c r="I432" s="798">
        <v>43025</v>
      </c>
      <c r="J432" s="799">
        <f t="shared" ca="1" si="797"/>
        <v>0.29863013698630136</v>
      </c>
      <c r="K432" s="799">
        <f t="shared" ca="1" si="798"/>
        <v>3.6333333333333333</v>
      </c>
      <c r="L432" s="800">
        <f t="shared" ca="1" si="799"/>
        <v>109</v>
      </c>
      <c r="M432" s="801"/>
      <c r="N432" s="802"/>
      <c r="O432" s="803" t="str">
        <f t="shared" ca="1" si="800"/>
        <v>-</v>
      </c>
      <c r="P432" s="804"/>
      <c r="Q432" s="805"/>
      <c r="R432" s="806"/>
      <c r="S432" s="807"/>
      <c r="T432" s="798"/>
      <c r="U432" s="798" t="str">
        <f t="shared" si="801"/>
        <v>-</v>
      </c>
      <c r="V432" s="804" t="str">
        <f t="shared" ca="1" si="802"/>
        <v>-</v>
      </c>
      <c r="W432" s="808"/>
      <c r="X432" s="794" t="str">
        <f t="shared" si="803"/>
        <v>-</v>
      </c>
      <c r="Y432" s="794"/>
      <c r="Z432" s="809" t="str">
        <f t="shared" ca="1" si="804"/>
        <v>-----</v>
      </c>
      <c r="AA432" s="810">
        <f t="shared" ca="1" si="805"/>
        <v>43134</v>
      </c>
      <c r="AB432" s="804"/>
      <c r="AC432" s="811" t="str">
        <f t="shared" ca="1" si="806"/>
        <v>-----</v>
      </c>
      <c r="AD432" s="798"/>
      <c r="AE432" s="794" t="str">
        <f t="shared" ca="1" si="807"/>
        <v>-</v>
      </c>
      <c r="AF432" s="798" t="str">
        <f t="shared" si="808"/>
        <v>-</v>
      </c>
      <c r="AG432" s="812" t="str">
        <f t="shared" si="809"/>
        <v>---------</v>
      </c>
      <c r="AH432" s="807"/>
      <c r="AI432" s="807" t="str">
        <f t="shared" si="810"/>
        <v>-</v>
      </c>
      <c r="AJ432" s="807" t="str">
        <f t="shared" si="811"/>
        <v>-</v>
      </c>
      <c r="AK432" s="813">
        <v>43033</v>
      </c>
      <c r="AL432" s="21" t="s">
        <v>1614</v>
      </c>
      <c r="AM432" s="807" t="str">
        <f t="shared" si="812"/>
        <v>-</v>
      </c>
      <c r="AN432" s="814" t="str">
        <f t="shared" ca="1" si="813"/>
        <v>-</v>
      </c>
      <c r="AO432" s="815">
        <v>1</v>
      </c>
      <c r="AP432" s="816" t="str">
        <f t="shared" ca="1" si="814"/>
        <v>-</v>
      </c>
      <c r="AQ432" s="817"/>
      <c r="AR432" s="794" t="str">
        <f t="shared" si="815"/>
        <v>-</v>
      </c>
      <c r="AS432" s="818"/>
      <c r="AT432" s="794" t="str">
        <f t="shared" si="816"/>
        <v>-</v>
      </c>
      <c r="AU432" s="819"/>
      <c r="AV432" s="865"/>
      <c r="AW432" s="821"/>
      <c r="AX432" s="822" t="str">
        <f t="shared" si="817"/>
        <v>-</v>
      </c>
      <c r="AY432" s="823" t="str">
        <f t="shared" si="818"/>
        <v>-</v>
      </c>
      <c r="AZ432" s="868"/>
      <c r="BA432" s="821"/>
      <c r="BB432" s="822" t="str">
        <f t="shared" si="819"/>
        <v>-</v>
      </c>
      <c r="BC432" s="823" t="str">
        <f t="shared" si="820"/>
        <v>-</v>
      </c>
      <c r="BD432" s="825" t="str">
        <f t="shared" ca="1" si="821"/>
        <v>-</v>
      </c>
      <c r="BE432" s="826"/>
      <c r="BF432" s="827"/>
      <c r="BG432" s="828" t="str">
        <f t="shared" si="822"/>
        <v>Ж-Е НЕ ВАКЦ.</v>
      </c>
      <c r="BH432" s="829" t="str">
        <f t="shared" si="823"/>
        <v>-</v>
      </c>
      <c r="BI432" s="830" t="str">
        <f t="shared" ca="1" si="824"/>
        <v>ПОДЛЕЖИТ ВАКЦИНАЦИИ</v>
      </c>
      <c r="BJ432" s="839"/>
      <c r="BK432" s="832"/>
      <c r="BL432" s="833" t="str">
        <f t="shared" si="825"/>
        <v>-</v>
      </c>
      <c r="BM432" s="834" t="str">
        <f t="shared" si="826"/>
        <v>-</v>
      </c>
      <c r="BN432" s="835" t="str">
        <f t="shared" si="827"/>
        <v>-</v>
      </c>
      <c r="BO432" s="839"/>
      <c r="BP432" s="832"/>
      <c r="BQ432" s="833" t="str">
        <f t="shared" si="828"/>
        <v>-</v>
      </c>
      <c r="BR432" s="836" t="str">
        <f t="shared" si="829"/>
        <v>-</v>
      </c>
      <c r="BS432" s="837" t="str">
        <f t="shared" si="830"/>
        <v>-</v>
      </c>
      <c r="BT432" s="838" t="str">
        <f t="shared" si="831"/>
        <v>-</v>
      </c>
      <c r="BU432" s="831"/>
      <c r="BV432" s="832"/>
      <c r="BW432" s="833" t="str">
        <f t="shared" si="832"/>
        <v>-</v>
      </c>
      <c r="BX432" s="834" t="str">
        <f t="shared" si="833"/>
        <v>-</v>
      </c>
      <c r="BY432" s="830" t="str">
        <f t="shared" ca="1" si="834"/>
        <v>-</v>
      </c>
      <c r="BZ432" s="839"/>
      <c r="CA432" s="832"/>
      <c r="CB432" s="833" t="str">
        <f t="shared" si="835"/>
        <v>-</v>
      </c>
      <c r="CC432" s="833" t="str">
        <f t="shared" si="836"/>
        <v>-</v>
      </c>
      <c r="CD432" s="834" t="str">
        <f t="shared" si="837"/>
        <v>-</v>
      </c>
      <c r="CE432" s="835" t="str">
        <f t="shared" si="838"/>
        <v>-</v>
      </c>
      <c r="CF432" s="839"/>
      <c r="CG432" s="832"/>
      <c r="CH432" s="833" t="str">
        <f t="shared" si="839"/>
        <v>-</v>
      </c>
      <c r="CI432" s="840" t="str">
        <f t="shared" si="840"/>
        <v>-</v>
      </c>
      <c r="CJ432" s="833" t="str">
        <f t="shared" si="841"/>
        <v>-</v>
      </c>
      <c r="CK432" s="838" t="str">
        <f t="shared" ca="1" si="842"/>
        <v>-</v>
      </c>
      <c r="CL432" s="841"/>
      <c r="CM432" s="832"/>
    </row>
    <row r="433" spans="1:103" s="864" customFormat="1" ht="25.5" x14ac:dyDescent="0.25">
      <c r="A433" s="790">
        <v>776</v>
      </c>
      <c r="B433" s="791">
        <f t="shared" ref="B433:B438" ca="1" si="843">TODAY()</f>
        <v>43134</v>
      </c>
      <c r="C433" s="29" t="s">
        <v>2546</v>
      </c>
      <c r="D433" s="59" t="s">
        <v>1555</v>
      </c>
      <c r="E433" s="22" t="s">
        <v>1557</v>
      </c>
      <c r="F433" s="27" t="s">
        <v>3333</v>
      </c>
      <c r="G433" s="871"/>
      <c r="H433" s="797" t="s">
        <v>603</v>
      </c>
      <c r="I433" s="798">
        <v>43030</v>
      </c>
      <c r="J433" s="799">
        <f t="shared" ref="J433:J438" ca="1" si="844">(B433-I433)/365</f>
        <v>0.28493150684931506</v>
      </c>
      <c r="K433" s="799">
        <f t="shared" ref="K433:K438" ca="1" si="845">(B433-I433)/30</f>
        <v>3.4666666666666668</v>
      </c>
      <c r="L433" s="800">
        <f t="shared" ref="L433:L438" ca="1" si="846">B433-I433</f>
        <v>104</v>
      </c>
      <c r="M433" s="801"/>
      <c r="N433" s="802"/>
      <c r="O433" s="803" t="str">
        <f t="shared" ref="O433:O438" ca="1" si="847">IF(AND(B433&gt;0,N433&gt;0),B433-N433,"-")</f>
        <v>-</v>
      </c>
      <c r="P433" s="804"/>
      <c r="Q433" s="805"/>
      <c r="R433" s="806"/>
      <c r="S433" s="807"/>
      <c r="T433" s="798"/>
      <c r="U433" s="798" t="str">
        <f t="shared" ref="U433:U438" si="848">IF(AND(Y433&gt;1,T433&gt;0),T433+18,"-")</f>
        <v>-</v>
      </c>
      <c r="V433" s="804" t="str">
        <f t="shared" ref="V433:V438" ca="1" si="849">IF(AND(U433&gt;0,B433&gt;0,Y433&gt;1),B433-U433,"-")</f>
        <v>-</v>
      </c>
      <c r="W433" s="808"/>
      <c r="X433" s="794" t="str">
        <f t="shared" ref="X433:X438" si="850">IF(AND(N433&gt;0,T433&gt;0),T433-N433,"-")</f>
        <v>-</v>
      </c>
      <c r="Y433" s="794"/>
      <c r="Z433" s="809" t="str">
        <f t="shared" ref="Z433:Z438" ca="1" si="851">IF(AND(Y433=1,AA433&gt;71,OR(ISBLANK(AB433),AB433=2)),"ПОДЛЕЖИТ ПЕРЕПРОВЕРКЕ","-----")</f>
        <v>-----</v>
      </c>
      <c r="AA433" s="810">
        <f t="shared" ref="AA433:AA438" ca="1" si="852">IF(AND(O433&gt;-1,W433&gt;0,Y433=1,AB433=1),"-----",B433-T433)</f>
        <v>43134</v>
      </c>
      <c r="AB433" s="804"/>
      <c r="AC433" s="811" t="str">
        <f t="shared" ref="AC433:AC438" ca="1" si="853">IF(AND(AB433&lt;1,Z433="ПОДЛЕЖИТ ПЕРЕПРОВЕРКЕ",Y433=1),T433+72,"-----")</f>
        <v>-----</v>
      </c>
      <c r="AD433" s="798"/>
      <c r="AE433" s="794" t="str">
        <f t="shared" ref="AE433:AE438" ca="1" si="854">IF(AND(O433&gt;120,Y433=0,N433&gt;0),"яловая","-")</f>
        <v>-</v>
      </c>
      <c r="AF433" s="798" t="str">
        <f t="shared" ref="AF433:AF438" si="855">IF(AND(T433&gt;0,OR(Y433=3,Y433=2)),T433+35,"-")</f>
        <v>-</v>
      </c>
      <c r="AG433" s="812" t="str">
        <f t="shared" ref="AG433:AG438" si="856">IF(AND(T433&gt;0,W433&gt;0,Q433&gt;0,OR(Y433=3,Y433=2)),B433-AF433,"---------")</f>
        <v>---------</v>
      </c>
      <c r="AH433" s="807"/>
      <c r="AI433" s="807" t="str">
        <f t="shared" ref="AI433:AI438" si="857">IF(AND($T433&gt;0,$N433&gt;0,$Y433=1),$T433+280-90,"-")</f>
        <v>-</v>
      </c>
      <c r="AJ433" s="807" t="str">
        <f t="shared" ref="AJ433:AJ438" si="858">IF(AND(T433&gt;0,Y433=1,N433&gt;0),T433+280-60,"-")</f>
        <v>-</v>
      </c>
      <c r="AK433" s="813">
        <v>43034</v>
      </c>
      <c r="AL433" s="21" t="s">
        <v>1614</v>
      </c>
      <c r="AM433" s="807" t="str">
        <f t="shared" ref="AM433:AM438" si="859">IF(AND(T433&gt;0,Y433=1),T433+280,"-")</f>
        <v>-</v>
      </c>
      <c r="AN433" s="814" t="str">
        <f t="shared" ref="AN433:AN438" ca="1" si="860">IF(AND(B433&gt;0,AM433&gt;0,AH433&gt;0,Y433=1),B433-AM433,"-")</f>
        <v>-</v>
      </c>
      <c r="AO433" s="815">
        <v>1</v>
      </c>
      <c r="AP433" s="816" t="str">
        <f t="shared" ref="AP433:AP438" ca="1" si="861">IF(AND(AE433="яловая",O433&gt;300),"БРАК","-")</f>
        <v>-</v>
      </c>
      <c r="AQ433" s="817"/>
      <c r="AR433" s="794" t="str">
        <f t="shared" ref="AR433:AR438" si="862">IF(AND(Y433=1,P433=0),"НЕТЕЛЬ","-")</f>
        <v>-</v>
      </c>
      <c r="AS433" s="818"/>
      <c r="AT433" s="794" t="str">
        <f t="shared" ref="AT433:AT438" si="863">IF(AND(N433&gt;0,T433&gt;0,W433&gt;0,Y433=1,AH433&gt;0,AK433&gt;0),"DRY COW","-")</f>
        <v>-</v>
      </c>
      <c r="AU433" s="819"/>
      <c r="AV433" s="865"/>
      <c r="AW433" s="821"/>
      <c r="AX433" s="822" t="str">
        <f>IF(AND(AV433&gt;0,AW433&gt;0),B433-AV433,"-")</f>
        <v>-</v>
      </c>
      <c r="AY433" s="823" t="str">
        <f>IF(AND(AV433&gt;0,AW433&gt;0),(AV433-I433)/30,"-")</f>
        <v>-</v>
      </c>
      <c r="AZ433" s="868"/>
      <c r="BA433" s="821"/>
      <c r="BB433" s="822" t="str">
        <f>IF(AND(AZ433&gt;0,BA433&gt;0),B433-AZ433,"-")</f>
        <v>-</v>
      </c>
      <c r="BC433" s="823" t="str">
        <f>IF(AND(AZ433&gt;0,BA433&gt;0),(AZ433-M433)/30,"-")</f>
        <v>-</v>
      </c>
      <c r="BD433" s="825" t="str">
        <f ca="1">IF(AND(OR(E433="тёлочка",E433="бычок"),L433&gt;0,BF433&lt;2,L433&lt;60),"ПОДЛЕЖИТ ВАКЦИНАЦИИ","-")</f>
        <v>-</v>
      </c>
      <c r="BE433" s="826"/>
      <c r="BF433" s="827"/>
      <c r="BG433" s="828" t="str">
        <f>IF(AND(BE433&gt;0,BF433=2),BE433-I433,"Ж-Е НЕ ВАКЦ.")</f>
        <v>Ж-Е НЕ ВАКЦ.</v>
      </c>
      <c r="BH433" s="829" t="str">
        <f>IF(AND(BE433&gt;0,BF433=2),B433-BE433,"-")</f>
        <v>-</v>
      </c>
      <c r="BI433" s="830" t="str">
        <f ca="1">IF(AND(L433&gt;42,BK433&lt;5),"ПОДЛЕЖИТ ВАКЦИНАЦИИ","-")</f>
        <v>ПОДЛЕЖИТ ВАКЦИНАЦИИ</v>
      </c>
      <c r="BJ433" s="839"/>
      <c r="BK433" s="832"/>
      <c r="BL433" s="833" t="str">
        <f>IF(AND(BJ433&gt;0,BK433=5),B433-BJ433,"-")</f>
        <v>-</v>
      </c>
      <c r="BM433" s="834" t="str">
        <f>IF(AND(BK433=5,BL433&gt;20,BP433&lt;5),"ТРЕБУЕТСЯ БУСТЕРНАЯ ДОЗА","-")</f>
        <v>-</v>
      </c>
      <c r="BN433" s="835" t="str">
        <f>IF(AND(BJ433&gt;0,BK433=5),BJ433+21,"-")</f>
        <v>-</v>
      </c>
      <c r="BO433" s="839"/>
      <c r="BP433" s="832"/>
      <c r="BQ433" s="833" t="str">
        <f>IF(AND(BO433&gt;0,BP433=5),B433-BO433,"-")</f>
        <v>-</v>
      </c>
      <c r="BR433" s="836" t="str">
        <f>IF(AND(BN433&gt;0,BO433&gt;0,BP433=5),BN433-BO433,"-")</f>
        <v>-</v>
      </c>
      <c r="BS433" s="837" t="str">
        <f>IF(AND(BP433=5,BR433=0),"УСПЕШНО","-")</f>
        <v>-</v>
      </c>
      <c r="BT433" s="838" t="str">
        <f>IF(AND(BJ433&gt;0,BK433=5,BO433&gt;0,BP433=5,BQ433&gt;240,BV433&lt;5),"НЕОБХОДИМА РЕВАКЦИНАЦИЯ","-")</f>
        <v>-</v>
      </c>
      <c r="BU433" s="831"/>
      <c r="BV433" s="832"/>
      <c r="BW433" s="833" t="str">
        <f>IF(AND(BU433&gt;0,BV433=5),N433-BU433,"-")</f>
        <v>-</v>
      </c>
      <c r="BX433" s="834" t="str">
        <f>IF(AND(BU433&gt;0,BV433=5,BW433&gt;240),"НЕОБХОДИМА РЕВАКЦИНАЦИЯ","-")</f>
        <v>-</v>
      </c>
      <c r="BY433" s="830" t="str">
        <f ca="1">IF(AND(Y433=1,AN433&gt;-70,CA433&lt;2),"ТРЕБУЕТСЯ ВАКЦИНАЦИЯ","-")</f>
        <v>-</v>
      </c>
      <c r="BZ433" s="839"/>
      <c r="CA433" s="832"/>
      <c r="CB433" s="833" t="str">
        <f>IF(AND(BZ433&gt;0,CA433=2),BZ433-T433,"-")</f>
        <v>-</v>
      </c>
      <c r="CC433" s="833" t="str">
        <f>IF(AND(BZ433&gt;0,CA433=2),B433-BZ433,"-")</f>
        <v>-</v>
      </c>
      <c r="CD433" s="834" t="str">
        <f>IF(AND(CA433=2,CC433&gt;20,CG433&lt;2),"ТРЕБУЕТСЯ БУСТЕРНАЯ ДОЗА","-")</f>
        <v>-</v>
      </c>
      <c r="CE433" s="835" t="str">
        <f>IF(AND(BZ433&gt;0,CA433=2),BZ433+21,"-")</f>
        <v>-</v>
      </c>
      <c r="CF433" s="839"/>
      <c r="CG433" s="832"/>
      <c r="CH433" s="833" t="str">
        <f>IF(AND(CE433&gt;0,CF433&gt;0,CG433=2),CF433-CE433,"-")</f>
        <v>-</v>
      </c>
      <c r="CI433" s="840" t="str">
        <f>IF(AND(CG433=2,CH433=0),"УСПЕШНО","-")</f>
        <v>-</v>
      </c>
      <c r="CJ433" s="833" t="str">
        <f>IF(AND(CF433&gt;0,CG433=2),CF433-T433,"-")</f>
        <v>-</v>
      </c>
      <c r="CK433" s="838" t="str">
        <f ca="1">IF(AND(BZ433&gt;0,CA433=2,CF433&gt;0,CG433=2,Y433=1,AN433&gt;-50,CM433&lt;2),"ТРЕБУЕТСЯ РЕВАКЦИНАЦИЯ","-")</f>
        <v>-</v>
      </c>
      <c r="CL433" s="841"/>
      <c r="CM433" s="832"/>
    </row>
    <row r="434" spans="1:103" s="864" customFormat="1" ht="25.5" x14ac:dyDescent="0.25">
      <c r="A434" s="790">
        <v>777</v>
      </c>
      <c r="B434" s="791">
        <f t="shared" ca="1" si="843"/>
        <v>43134</v>
      </c>
      <c r="C434" s="29" t="s">
        <v>2546</v>
      </c>
      <c r="D434" s="59" t="s">
        <v>1555</v>
      </c>
      <c r="E434" s="22" t="s">
        <v>1557</v>
      </c>
      <c r="F434" s="27" t="s">
        <v>3335</v>
      </c>
      <c r="G434" s="871"/>
      <c r="H434" s="797" t="s">
        <v>603</v>
      </c>
      <c r="I434" s="798">
        <v>43030</v>
      </c>
      <c r="J434" s="799">
        <f t="shared" ca="1" si="844"/>
        <v>0.28493150684931506</v>
      </c>
      <c r="K434" s="799">
        <f t="shared" ca="1" si="845"/>
        <v>3.4666666666666668</v>
      </c>
      <c r="L434" s="800">
        <f t="shared" ca="1" si="846"/>
        <v>104</v>
      </c>
      <c r="M434" s="801"/>
      <c r="N434" s="802"/>
      <c r="O434" s="803" t="str">
        <f t="shared" ca="1" si="847"/>
        <v>-</v>
      </c>
      <c r="P434" s="804"/>
      <c r="Q434" s="805"/>
      <c r="R434" s="806"/>
      <c r="S434" s="807"/>
      <c r="T434" s="798"/>
      <c r="U434" s="798" t="str">
        <f t="shared" si="848"/>
        <v>-</v>
      </c>
      <c r="V434" s="804" t="str">
        <f t="shared" ca="1" si="849"/>
        <v>-</v>
      </c>
      <c r="W434" s="808"/>
      <c r="X434" s="794" t="str">
        <f t="shared" si="850"/>
        <v>-</v>
      </c>
      <c r="Y434" s="794"/>
      <c r="Z434" s="809" t="str">
        <f t="shared" ca="1" si="851"/>
        <v>-----</v>
      </c>
      <c r="AA434" s="810">
        <f t="shared" ca="1" si="852"/>
        <v>43134</v>
      </c>
      <c r="AB434" s="804"/>
      <c r="AC434" s="811" t="str">
        <f t="shared" ca="1" si="853"/>
        <v>-----</v>
      </c>
      <c r="AD434" s="798"/>
      <c r="AE434" s="794" t="str">
        <f t="shared" ca="1" si="854"/>
        <v>-</v>
      </c>
      <c r="AF434" s="798" t="str">
        <f t="shared" si="855"/>
        <v>-</v>
      </c>
      <c r="AG434" s="812" t="str">
        <f t="shared" si="856"/>
        <v>---------</v>
      </c>
      <c r="AH434" s="807"/>
      <c r="AI434" s="807" t="str">
        <f t="shared" si="857"/>
        <v>-</v>
      </c>
      <c r="AJ434" s="807" t="str">
        <f t="shared" si="858"/>
        <v>-</v>
      </c>
      <c r="AK434" s="813">
        <v>43034</v>
      </c>
      <c r="AL434" s="21" t="s">
        <v>1614</v>
      </c>
      <c r="AM434" s="807" t="str">
        <f t="shared" si="859"/>
        <v>-</v>
      </c>
      <c r="AN434" s="814" t="str">
        <f t="shared" ca="1" si="860"/>
        <v>-</v>
      </c>
      <c r="AO434" s="815">
        <v>1</v>
      </c>
      <c r="AP434" s="816" t="str">
        <f t="shared" ca="1" si="861"/>
        <v>-</v>
      </c>
      <c r="AQ434" s="817"/>
      <c r="AR434" s="794" t="str">
        <f t="shared" si="862"/>
        <v>-</v>
      </c>
      <c r="AS434" s="818"/>
      <c r="AT434" s="794" t="str">
        <f t="shared" si="863"/>
        <v>-</v>
      </c>
      <c r="AU434" s="819"/>
      <c r="AV434" s="865"/>
      <c r="AW434" s="821"/>
      <c r="AX434" s="822" t="str">
        <f>IF(AND(AV434&gt;0,AW434&gt;0),B434-AV434,"-")</f>
        <v>-</v>
      </c>
      <c r="AY434" s="823" t="str">
        <f>IF(AND(AV434&gt;0,AW434&gt;0),(AV434-I434)/30,"-")</f>
        <v>-</v>
      </c>
      <c r="AZ434" s="868"/>
      <c r="BA434" s="821"/>
      <c r="BB434" s="822" t="str">
        <f>IF(AND(AZ434&gt;0,BA434&gt;0),B434-AZ434,"-")</f>
        <v>-</v>
      </c>
      <c r="BC434" s="823" t="str">
        <f>IF(AND(AZ434&gt;0,BA434&gt;0),(AZ434-M434)/30,"-")</f>
        <v>-</v>
      </c>
      <c r="BD434" s="825" t="str">
        <f ca="1">IF(AND(OR(E434="тёлочка",E434="бычок"),L434&gt;0,BF434&lt;2,L434&lt;60),"ПОДЛЕЖИТ ВАКЦИНАЦИИ","-")</f>
        <v>-</v>
      </c>
      <c r="BE434" s="826"/>
      <c r="BF434" s="827"/>
      <c r="BG434" s="828" t="str">
        <f>IF(AND(BE434&gt;0,BF434=2),BE434-I434,"Ж-Е НЕ ВАКЦ.")</f>
        <v>Ж-Е НЕ ВАКЦ.</v>
      </c>
      <c r="BH434" s="829" t="str">
        <f>IF(AND(BE434&gt;0,BF434=2),B434-BE434,"-")</f>
        <v>-</v>
      </c>
      <c r="BI434" s="830" t="str">
        <f ca="1">IF(AND(L434&gt;42,BK434&lt;5),"ПОДЛЕЖИТ ВАКЦИНАЦИИ","-")</f>
        <v>ПОДЛЕЖИТ ВАКЦИНАЦИИ</v>
      </c>
      <c r="BJ434" s="839"/>
      <c r="BK434" s="832"/>
      <c r="BL434" s="833" t="str">
        <f>IF(AND(BJ434&gt;0,BK434=5),B434-BJ434,"-")</f>
        <v>-</v>
      </c>
      <c r="BM434" s="834" t="str">
        <f>IF(AND(BK434=5,BL434&gt;20,BP434&lt;5),"ТРЕБУЕТСЯ БУСТЕРНАЯ ДОЗА","-")</f>
        <v>-</v>
      </c>
      <c r="BN434" s="835" t="str">
        <f>IF(AND(BJ434&gt;0,BK434=5),BJ434+21,"-")</f>
        <v>-</v>
      </c>
      <c r="BO434" s="839"/>
      <c r="BP434" s="832"/>
      <c r="BQ434" s="833" t="str">
        <f>IF(AND(BO434&gt;0,BP434=5),B434-BO434,"-")</f>
        <v>-</v>
      </c>
      <c r="BR434" s="836" t="str">
        <f>IF(AND(BN434&gt;0,BO434&gt;0,BP434=5),BN434-BO434,"-")</f>
        <v>-</v>
      </c>
      <c r="BS434" s="837" t="str">
        <f>IF(AND(BP434=5,BR434=0),"УСПЕШНО","-")</f>
        <v>-</v>
      </c>
      <c r="BT434" s="838" t="str">
        <f>IF(AND(BJ434&gt;0,BK434=5,BO434&gt;0,BP434=5,BQ434&gt;240,BV434&lt;5),"НЕОБХОДИМА РЕВАКЦИНАЦИЯ","-")</f>
        <v>-</v>
      </c>
      <c r="BU434" s="831"/>
      <c r="BV434" s="832"/>
      <c r="BW434" s="833" t="str">
        <f>IF(AND(BU434&gt;0,BV434=5),N434-BU434,"-")</f>
        <v>-</v>
      </c>
      <c r="BX434" s="834" t="str">
        <f>IF(AND(BU434&gt;0,BV434=5,BW434&gt;240),"НЕОБХОДИМА РЕВАКЦИНАЦИЯ","-")</f>
        <v>-</v>
      </c>
      <c r="BY434" s="830" t="str">
        <f ca="1">IF(AND(Y434=1,AN434&gt;-70,CA434&lt;2),"ТРЕБУЕТСЯ ВАКЦИНАЦИЯ","-")</f>
        <v>-</v>
      </c>
      <c r="BZ434" s="839"/>
      <c r="CA434" s="832"/>
      <c r="CB434" s="833" t="str">
        <f>IF(AND(BZ434&gt;0,CA434=2),BZ434-T434,"-")</f>
        <v>-</v>
      </c>
      <c r="CC434" s="833" t="str">
        <f>IF(AND(BZ434&gt;0,CA434=2),B434-BZ434,"-")</f>
        <v>-</v>
      </c>
      <c r="CD434" s="834" t="str">
        <f>IF(AND(CA434=2,CC434&gt;20,CG434&lt;2),"ТРЕБУЕТСЯ БУСТЕРНАЯ ДОЗА","-")</f>
        <v>-</v>
      </c>
      <c r="CE434" s="835" t="str">
        <f>IF(AND(BZ434&gt;0,CA434=2),BZ434+21,"-")</f>
        <v>-</v>
      </c>
      <c r="CF434" s="839"/>
      <c r="CG434" s="832"/>
      <c r="CH434" s="833" t="str">
        <f>IF(AND(CE434&gt;0,CF434&gt;0,CG434=2),CF434-CE434,"-")</f>
        <v>-</v>
      </c>
      <c r="CI434" s="840" t="str">
        <f>IF(AND(CG434=2,CH434=0),"УСПЕШНО","-")</f>
        <v>-</v>
      </c>
      <c r="CJ434" s="833" t="str">
        <f>IF(AND(CF434&gt;0,CG434=2),CF434-T434,"-")</f>
        <v>-</v>
      </c>
      <c r="CK434" s="838" t="str">
        <f ca="1">IF(AND(BZ434&gt;0,CA434=2,CF434&gt;0,CG434=2,Y434=1,AN434&gt;-50,CM434&lt;2),"ТРЕБУЕТСЯ РЕВАКЦИНАЦИЯ","-")</f>
        <v>-</v>
      </c>
      <c r="CL434" s="841"/>
      <c r="CM434" s="832"/>
    </row>
    <row r="435" spans="1:103" s="864" customFormat="1" ht="25.5" x14ac:dyDescent="0.25">
      <c r="A435" s="790">
        <v>1061</v>
      </c>
      <c r="B435" s="791">
        <f t="shared" ca="1" si="843"/>
        <v>43134</v>
      </c>
      <c r="C435" s="847" t="s">
        <v>2584</v>
      </c>
      <c r="D435" s="870" t="s">
        <v>2915</v>
      </c>
      <c r="E435" s="794" t="s">
        <v>1563</v>
      </c>
      <c r="F435" s="795" t="s">
        <v>1785</v>
      </c>
      <c r="G435" s="845"/>
      <c r="H435" s="797" t="s">
        <v>603</v>
      </c>
      <c r="I435" s="798">
        <v>42505</v>
      </c>
      <c r="J435" s="799">
        <f t="shared" ca="1" si="844"/>
        <v>1.7232876712328766</v>
      </c>
      <c r="K435" s="799">
        <f t="shared" ca="1" si="845"/>
        <v>20.966666666666665</v>
      </c>
      <c r="L435" s="800">
        <f t="shared" ca="1" si="846"/>
        <v>629</v>
      </c>
      <c r="M435" s="801"/>
      <c r="N435" s="802"/>
      <c r="O435" s="803" t="str">
        <f t="shared" ca="1" si="847"/>
        <v>-</v>
      </c>
      <c r="P435" s="804"/>
      <c r="Q435" s="805"/>
      <c r="R435" s="806"/>
      <c r="S435" s="807">
        <v>42855</v>
      </c>
      <c r="T435" s="798">
        <v>42855</v>
      </c>
      <c r="U435" s="798">
        <f t="shared" si="848"/>
        <v>42873</v>
      </c>
      <c r="V435" s="804">
        <f t="shared" ca="1" si="849"/>
        <v>261</v>
      </c>
      <c r="W435" s="808">
        <v>0</v>
      </c>
      <c r="X435" s="794" t="str">
        <f t="shared" si="850"/>
        <v>-</v>
      </c>
      <c r="Y435" s="794">
        <v>5</v>
      </c>
      <c r="Z435" s="809" t="str">
        <f t="shared" ca="1" si="851"/>
        <v>-----</v>
      </c>
      <c r="AA435" s="810">
        <f t="shared" ca="1" si="852"/>
        <v>279</v>
      </c>
      <c r="AB435" s="804"/>
      <c r="AC435" s="811" t="str">
        <f t="shared" ca="1" si="853"/>
        <v>-----</v>
      </c>
      <c r="AD435" s="798"/>
      <c r="AE435" s="794" t="str">
        <f t="shared" ca="1" si="854"/>
        <v>-</v>
      </c>
      <c r="AF435" s="798" t="str">
        <f t="shared" si="855"/>
        <v>-</v>
      </c>
      <c r="AG435" s="812" t="str">
        <f t="shared" si="856"/>
        <v>---------</v>
      </c>
      <c r="AH435" s="807"/>
      <c r="AI435" s="807" t="str">
        <f t="shared" si="857"/>
        <v>-</v>
      </c>
      <c r="AJ435" s="807" t="str">
        <f t="shared" si="858"/>
        <v>-</v>
      </c>
      <c r="AK435" s="813">
        <v>43038</v>
      </c>
      <c r="AL435" s="21" t="s">
        <v>2892</v>
      </c>
      <c r="AM435" s="807" t="str">
        <f t="shared" si="859"/>
        <v>-</v>
      </c>
      <c r="AN435" s="814" t="str">
        <f t="shared" ca="1" si="860"/>
        <v>-</v>
      </c>
      <c r="AO435" s="815">
        <v>1</v>
      </c>
      <c r="AP435" s="816" t="str">
        <f t="shared" ca="1" si="861"/>
        <v>-</v>
      </c>
      <c r="AQ435" s="817"/>
      <c r="AR435" s="794" t="str">
        <f t="shared" si="862"/>
        <v>-</v>
      </c>
      <c r="AS435" s="818"/>
      <c r="AT435" s="794" t="str">
        <f t="shared" si="863"/>
        <v>-</v>
      </c>
      <c r="AU435" s="819"/>
      <c r="AV435" s="865"/>
      <c r="AW435" s="821"/>
      <c r="AX435" s="821"/>
      <c r="AY435" s="969" t="str">
        <f t="shared" ref="AY435:AY438" si="864">IF(AND(AV435&gt;0,AW435&gt;0,AX435&gt;0),B435-AV435,"-")</f>
        <v>-</v>
      </c>
      <c r="AZ435" s="966" t="str">
        <f t="shared" ref="AZ435:AZ438" si="865">IF(AND(AV435&gt;0,AW435&gt;0,AX435&gt;0,AY435&gt;10,BB435=0,BC435=0,BD435=0),"РЕВАКЦИНАЦИЯ","-")</f>
        <v>-</v>
      </c>
      <c r="BA435" s="971" t="str">
        <f t="shared" ref="BA435:BA438" si="866">IF(AND(AV435&gt;0,AW435&gt;0,AX435&gt;0),AV435+10,"-")</f>
        <v>-</v>
      </c>
      <c r="BB435" s="975"/>
      <c r="BC435" s="821"/>
      <c r="BD435" s="821"/>
      <c r="BE435" s="963" t="str">
        <f t="shared" ref="BE435:BE438" si="867">IF(AND(BB435&gt;0,BC435&gt;0,BD435&gt;0),B435-BB435,"-")</f>
        <v>-</v>
      </c>
      <c r="BF435" s="984"/>
      <c r="BG435" s="988"/>
      <c r="BH435" s="982"/>
      <c r="BI435" s="991"/>
      <c r="BJ435" s="991"/>
      <c r="BK435" s="993" t="str">
        <f t="shared" ref="BK435:BK438" si="868">IF(AND(BF435&gt;0,BG435&gt;0,BH435&gt;0,BI435&gt;0,BJ435&gt;0),B435-BF435,"-")</f>
        <v>-</v>
      </c>
      <c r="BL435" s="865"/>
      <c r="BM435" s="821"/>
      <c r="BN435" s="822" t="str">
        <f t="shared" ref="BN435:BN438" si="869">IF(AND(BL435&gt;0,BM435&gt;0),B435-BL435,"-")</f>
        <v>-</v>
      </c>
      <c r="BO435" s="823" t="str">
        <f t="shared" ref="BO435:BO438" si="870">IF(AND(BL435&gt;0,BM435&gt;0),(BL435-I435)/30,"-")</f>
        <v>-</v>
      </c>
      <c r="BP435" s="868"/>
      <c r="BQ435" s="821"/>
      <c r="BR435" s="822" t="str">
        <f t="shared" ref="BR435:BR438" si="871">IF(AND(BP435&gt;0,BQ435&gt;0),B435-BP435,"-")</f>
        <v>-</v>
      </c>
      <c r="BS435" s="823" t="str">
        <f t="shared" ref="BS435:BS438" si="872">IF(AND(BP435&gt;0,BQ435&gt;0),(BP435-M435)/30,"-")</f>
        <v>-</v>
      </c>
      <c r="BT435" s="825" t="str">
        <f t="shared" ref="BT435:BT438" ca="1" si="873">IF(AND(OR(E435="тёлочка",E435="бычок"),L435&gt;0,BV435&lt;2,L435&lt;60),"ПОДЛЕЖИТ ВАКЦИНАЦИИ","-")</f>
        <v>-</v>
      </c>
      <c r="BU435" s="826"/>
      <c r="BV435" s="827"/>
      <c r="BW435" s="828" t="str">
        <f t="shared" ref="BW435:BW438" si="874">IF(AND(BU435&gt;0,BV435=2),BU435-I435,"Ж-Е НЕ ВАКЦ.")</f>
        <v>Ж-Е НЕ ВАКЦ.</v>
      </c>
      <c r="BX435" s="829" t="str">
        <f t="shared" ref="BX435:BX438" si="875">IF(AND(BU435&gt;0,BV435=2),B435-BU435,"-")</f>
        <v>-</v>
      </c>
      <c r="BY435" s="830" t="str">
        <f t="shared" ref="BY435:BY438" ca="1" si="876">IF(AND(L435&gt;42,CA435&lt;5),"ПОДЛЕЖИТ ВАКЦИНАЦИИ","-")</f>
        <v>-</v>
      </c>
      <c r="BZ435" s="831">
        <v>42891</v>
      </c>
      <c r="CA435" s="832">
        <v>5</v>
      </c>
      <c r="CB435" s="833">
        <f t="shared" ref="CB435:CB438" ca="1" si="877">IF(AND(BZ435&gt;0,CA435=5),B435-BZ435,"-")</f>
        <v>243</v>
      </c>
      <c r="CC435" s="834" t="str">
        <f t="shared" ref="CC435:CC438" ca="1" si="878">IF(AND(CA435=5,CB435&gt;20,CF435&lt;5),"ТРЕБУЕТСЯ БУСТЕРНАЯ ДОЗА","-")</f>
        <v>-</v>
      </c>
      <c r="CD435" s="835">
        <f t="shared" ref="CD435:CD438" si="879">IF(AND(BZ435&gt;0,CA435=5),BZ435+21,"-")</f>
        <v>42912</v>
      </c>
      <c r="CE435" s="831">
        <v>42912</v>
      </c>
      <c r="CF435" s="832">
        <v>5</v>
      </c>
      <c r="CG435" s="833">
        <f t="shared" ref="CG435:CG438" ca="1" si="880">IF(AND(CE435&gt;0,CF435=5),B435-CE435,"-")</f>
        <v>222</v>
      </c>
      <c r="CH435" s="836">
        <f t="shared" ref="CH435:CH438" si="881">IF(AND(CD435&gt;0,CE435&gt;0,CF435=5),CD435-CE435,"-")</f>
        <v>0</v>
      </c>
      <c r="CI435" s="837" t="str">
        <f t="shared" ref="CI435:CI438" si="882">IF(AND(CF435=5,CH435=0),"УСПЕШНО","-")</f>
        <v>УСПЕШНО</v>
      </c>
      <c r="CJ435" s="838" t="str">
        <f t="shared" ref="CJ435:CJ438" ca="1" si="883">IF(AND(BZ435&gt;0,CA435=5,CE435&gt;0,CF435=5,CG435&gt;240,CL435&lt;5),"НЕОБХОДИМА РЕВАКЦИНАЦИЯ","-")</f>
        <v>-</v>
      </c>
      <c r="CK435" s="831"/>
      <c r="CL435" s="832"/>
      <c r="CM435" s="833" t="str">
        <f t="shared" ref="CM435:CM438" si="884">IF(AND(CK435&gt;0,CL435=5),N435-CK435,"-")</f>
        <v>-</v>
      </c>
      <c r="CN435" s="834" t="str">
        <f t="shared" ref="CN435:CN438" si="885">IF(AND(CK435&gt;0,CL435=5,CM435&gt;240),"НЕОБХОДИМА РЕВАКЦИНАЦИЯ","-")</f>
        <v>-</v>
      </c>
      <c r="CO435" s="830" t="str">
        <f t="shared" ref="CO435:CO438" ca="1" si="886">IF(AND(Y435=1,AN435&gt;-70,CQ435&lt;2),"ТРЕБУЕТСЯ ВАКЦИНАЦИЯ","-")</f>
        <v>-</v>
      </c>
      <c r="CP435" s="839"/>
      <c r="CQ435" s="832"/>
      <c r="CR435" s="833" t="str">
        <f t="shared" ref="CR435:CR438" si="887">IF(AND(CP435&gt;0,CQ435=2),CP435-T435,"-")</f>
        <v>-</v>
      </c>
      <c r="CS435" s="833" t="str">
        <f t="shared" ref="CS435:CS438" si="888">IF(AND(CP435&gt;0,CQ435=2),B435-CP435,"-")</f>
        <v>-</v>
      </c>
      <c r="CT435" s="834" t="str">
        <f t="shared" ref="CT435:CT438" si="889">IF(AND(CQ435=2,CS435&gt;20,CW435&lt;2),"ТРЕБУЕТСЯ БУСТЕРНАЯ ДОЗА","-")</f>
        <v>-</v>
      </c>
      <c r="CU435" s="835" t="str">
        <f t="shared" ref="CU435:CU438" si="890">IF(AND(CP435&gt;0,CQ435=2),CP435+21,"-")</f>
        <v>-</v>
      </c>
      <c r="CV435" s="839"/>
      <c r="CW435" s="832"/>
      <c r="CX435" s="833" t="str">
        <f t="shared" ref="CX435:CX438" si="891">IF(AND(CU435&gt;0,CV435&gt;0,CW435=2),CV435-CU435,"-")</f>
        <v>-</v>
      </c>
      <c r="CY435" s="840" t="str">
        <f t="shared" ref="CY435:CY438" si="892">IF(AND(CW435=2,CX435=0),"УСПЕШНО","-")</f>
        <v>-</v>
      </c>
    </row>
    <row r="436" spans="1:103" s="864" customFormat="1" ht="25.5" x14ac:dyDescent="0.25">
      <c r="A436" s="790">
        <v>807</v>
      </c>
      <c r="B436" s="791">
        <f t="shared" ca="1" si="843"/>
        <v>43134</v>
      </c>
      <c r="C436" s="29" t="s">
        <v>2546</v>
      </c>
      <c r="D436" s="59" t="s">
        <v>1555</v>
      </c>
      <c r="E436" s="22" t="s">
        <v>1557</v>
      </c>
      <c r="F436" s="27" t="s">
        <v>3347</v>
      </c>
      <c r="G436" s="871"/>
      <c r="H436" s="797" t="s">
        <v>603</v>
      </c>
      <c r="I436" s="798">
        <v>43034</v>
      </c>
      <c r="J436" s="799">
        <f t="shared" ca="1" si="844"/>
        <v>0.27397260273972601</v>
      </c>
      <c r="K436" s="799">
        <f t="shared" ca="1" si="845"/>
        <v>3.3333333333333335</v>
      </c>
      <c r="L436" s="800">
        <f t="shared" ca="1" si="846"/>
        <v>100</v>
      </c>
      <c r="M436" s="801"/>
      <c r="N436" s="802"/>
      <c r="O436" s="803" t="str">
        <f t="shared" ca="1" si="847"/>
        <v>-</v>
      </c>
      <c r="P436" s="804"/>
      <c r="Q436" s="805"/>
      <c r="R436" s="806"/>
      <c r="S436" s="807"/>
      <c r="T436" s="798"/>
      <c r="U436" s="798" t="str">
        <f t="shared" si="848"/>
        <v>-</v>
      </c>
      <c r="V436" s="804" t="str">
        <f t="shared" ca="1" si="849"/>
        <v>-</v>
      </c>
      <c r="W436" s="808">
        <v>0</v>
      </c>
      <c r="X436" s="794" t="str">
        <f t="shared" si="850"/>
        <v>-</v>
      </c>
      <c r="Y436" s="794">
        <v>0</v>
      </c>
      <c r="Z436" s="809" t="str">
        <f t="shared" ca="1" si="851"/>
        <v>-----</v>
      </c>
      <c r="AA436" s="810">
        <f t="shared" ca="1" si="852"/>
        <v>43134</v>
      </c>
      <c r="AB436" s="804"/>
      <c r="AC436" s="811" t="str">
        <f t="shared" ca="1" si="853"/>
        <v>-----</v>
      </c>
      <c r="AD436" s="798"/>
      <c r="AE436" s="794" t="str">
        <f t="shared" ca="1" si="854"/>
        <v>-</v>
      </c>
      <c r="AF436" s="798" t="str">
        <f t="shared" si="855"/>
        <v>-</v>
      </c>
      <c r="AG436" s="812" t="str">
        <f t="shared" si="856"/>
        <v>---------</v>
      </c>
      <c r="AH436" s="807"/>
      <c r="AI436" s="807" t="str">
        <f t="shared" si="857"/>
        <v>-</v>
      </c>
      <c r="AJ436" s="807" t="str">
        <f t="shared" si="858"/>
        <v>-</v>
      </c>
      <c r="AK436" s="813">
        <v>43038</v>
      </c>
      <c r="AL436" s="21" t="s">
        <v>1614</v>
      </c>
      <c r="AM436" s="807" t="str">
        <f t="shared" si="859"/>
        <v>-</v>
      </c>
      <c r="AN436" s="814" t="str">
        <f t="shared" ca="1" si="860"/>
        <v>-</v>
      </c>
      <c r="AO436" s="815"/>
      <c r="AP436" s="816" t="str">
        <f t="shared" ca="1" si="861"/>
        <v>-</v>
      </c>
      <c r="AQ436" s="817"/>
      <c r="AR436" s="794" t="str">
        <f t="shared" si="862"/>
        <v>-</v>
      </c>
      <c r="AS436" s="818"/>
      <c r="AT436" s="794" t="str">
        <f t="shared" si="863"/>
        <v>-</v>
      </c>
      <c r="AU436" s="819"/>
      <c r="AV436" s="865"/>
      <c r="AW436" s="821"/>
      <c r="AX436" s="821"/>
      <c r="AY436" s="969" t="str">
        <f t="shared" si="864"/>
        <v>-</v>
      </c>
      <c r="AZ436" s="966" t="str">
        <f t="shared" si="865"/>
        <v>-</v>
      </c>
      <c r="BA436" s="971" t="str">
        <f t="shared" si="866"/>
        <v>-</v>
      </c>
      <c r="BB436" s="975"/>
      <c r="BC436" s="821"/>
      <c r="BD436" s="821"/>
      <c r="BE436" s="963" t="str">
        <f t="shared" si="867"/>
        <v>-</v>
      </c>
      <c r="BF436" s="984"/>
      <c r="BG436" s="988"/>
      <c r="BH436" s="982"/>
      <c r="BI436" s="991"/>
      <c r="BJ436" s="991"/>
      <c r="BK436" s="993" t="str">
        <f t="shared" si="868"/>
        <v>-</v>
      </c>
      <c r="BL436" s="865"/>
      <c r="BM436" s="821"/>
      <c r="BN436" s="822" t="str">
        <f t="shared" si="869"/>
        <v>-</v>
      </c>
      <c r="BO436" s="823" t="str">
        <f t="shared" si="870"/>
        <v>-</v>
      </c>
      <c r="BP436" s="868"/>
      <c r="BQ436" s="821"/>
      <c r="BR436" s="822" t="str">
        <f t="shared" si="871"/>
        <v>-</v>
      </c>
      <c r="BS436" s="823" t="str">
        <f t="shared" si="872"/>
        <v>-</v>
      </c>
      <c r="BT436" s="825" t="str">
        <f t="shared" ca="1" si="873"/>
        <v>-</v>
      </c>
      <c r="BU436" s="826"/>
      <c r="BV436" s="827"/>
      <c r="BW436" s="828" t="str">
        <f t="shared" si="874"/>
        <v>Ж-Е НЕ ВАКЦ.</v>
      </c>
      <c r="BX436" s="829" t="str">
        <f t="shared" si="875"/>
        <v>-</v>
      </c>
      <c r="BY436" s="830" t="str">
        <f t="shared" ca="1" si="876"/>
        <v>ПОДЛЕЖИТ ВАКЦИНАЦИИ</v>
      </c>
      <c r="BZ436" s="839"/>
      <c r="CA436" s="832"/>
      <c r="CB436" s="833" t="str">
        <f t="shared" si="877"/>
        <v>-</v>
      </c>
      <c r="CC436" s="834" t="str">
        <f t="shared" si="878"/>
        <v>-</v>
      </c>
      <c r="CD436" s="835" t="str">
        <f t="shared" si="879"/>
        <v>-</v>
      </c>
      <c r="CE436" s="839"/>
      <c r="CF436" s="832"/>
      <c r="CG436" s="833" t="str">
        <f t="shared" si="880"/>
        <v>-</v>
      </c>
      <c r="CH436" s="836" t="str">
        <f t="shared" si="881"/>
        <v>-</v>
      </c>
      <c r="CI436" s="837" t="str">
        <f t="shared" si="882"/>
        <v>-</v>
      </c>
      <c r="CJ436" s="838" t="str">
        <f t="shared" si="883"/>
        <v>-</v>
      </c>
      <c r="CK436" s="831"/>
      <c r="CL436" s="832"/>
      <c r="CM436" s="833" t="str">
        <f t="shared" si="884"/>
        <v>-</v>
      </c>
      <c r="CN436" s="834" t="str">
        <f t="shared" si="885"/>
        <v>-</v>
      </c>
      <c r="CO436" s="830" t="str">
        <f t="shared" ca="1" si="886"/>
        <v>-</v>
      </c>
      <c r="CP436" s="839"/>
      <c r="CQ436" s="832"/>
      <c r="CR436" s="833" t="str">
        <f t="shared" si="887"/>
        <v>-</v>
      </c>
      <c r="CS436" s="833" t="str">
        <f t="shared" si="888"/>
        <v>-</v>
      </c>
      <c r="CT436" s="834" t="str">
        <f t="shared" si="889"/>
        <v>-</v>
      </c>
      <c r="CU436" s="835" t="str">
        <f t="shared" si="890"/>
        <v>-</v>
      </c>
      <c r="CV436" s="839"/>
      <c r="CW436" s="832"/>
      <c r="CX436" s="833" t="str">
        <f t="shared" si="891"/>
        <v>-</v>
      </c>
      <c r="CY436" s="840" t="str">
        <f t="shared" si="892"/>
        <v>-</v>
      </c>
    </row>
    <row r="437" spans="1:103" s="864" customFormat="1" ht="25.5" x14ac:dyDescent="0.25">
      <c r="A437" s="790">
        <v>808</v>
      </c>
      <c r="B437" s="791">
        <f t="shared" ca="1" si="843"/>
        <v>43134</v>
      </c>
      <c r="C437" s="29" t="s">
        <v>2546</v>
      </c>
      <c r="D437" s="59" t="s">
        <v>1555</v>
      </c>
      <c r="E437" s="22" t="s">
        <v>1557</v>
      </c>
      <c r="F437" s="27" t="s">
        <v>3359</v>
      </c>
      <c r="G437" s="871"/>
      <c r="H437" s="797" t="s">
        <v>603</v>
      </c>
      <c r="I437" s="798">
        <v>43035</v>
      </c>
      <c r="J437" s="799">
        <f t="shared" ca="1" si="844"/>
        <v>0.27123287671232876</v>
      </c>
      <c r="K437" s="799">
        <f t="shared" ca="1" si="845"/>
        <v>3.3</v>
      </c>
      <c r="L437" s="800">
        <f t="shared" ca="1" si="846"/>
        <v>99</v>
      </c>
      <c r="M437" s="801"/>
      <c r="N437" s="802"/>
      <c r="O437" s="803" t="str">
        <f t="shared" ca="1" si="847"/>
        <v>-</v>
      </c>
      <c r="P437" s="804"/>
      <c r="Q437" s="805"/>
      <c r="R437" s="806"/>
      <c r="S437" s="807"/>
      <c r="T437" s="798"/>
      <c r="U437" s="798" t="str">
        <f t="shared" si="848"/>
        <v>-</v>
      </c>
      <c r="V437" s="804" t="str">
        <f t="shared" ca="1" si="849"/>
        <v>-</v>
      </c>
      <c r="W437" s="808">
        <v>0</v>
      </c>
      <c r="X437" s="794" t="str">
        <f t="shared" si="850"/>
        <v>-</v>
      </c>
      <c r="Y437" s="794">
        <v>0</v>
      </c>
      <c r="Z437" s="809" t="str">
        <f t="shared" ca="1" si="851"/>
        <v>-----</v>
      </c>
      <c r="AA437" s="810">
        <f t="shared" ca="1" si="852"/>
        <v>43134</v>
      </c>
      <c r="AB437" s="804"/>
      <c r="AC437" s="811" t="str">
        <f t="shared" ca="1" si="853"/>
        <v>-----</v>
      </c>
      <c r="AD437" s="798"/>
      <c r="AE437" s="794" t="str">
        <f t="shared" ca="1" si="854"/>
        <v>-</v>
      </c>
      <c r="AF437" s="798" t="str">
        <f t="shared" si="855"/>
        <v>-</v>
      </c>
      <c r="AG437" s="812" t="str">
        <f t="shared" si="856"/>
        <v>---------</v>
      </c>
      <c r="AH437" s="807"/>
      <c r="AI437" s="807" t="str">
        <f t="shared" si="857"/>
        <v>-</v>
      </c>
      <c r="AJ437" s="807" t="str">
        <f t="shared" si="858"/>
        <v>-</v>
      </c>
      <c r="AK437" s="813">
        <v>43038</v>
      </c>
      <c r="AL437" s="21" t="s">
        <v>1614</v>
      </c>
      <c r="AM437" s="807" t="str">
        <f t="shared" si="859"/>
        <v>-</v>
      </c>
      <c r="AN437" s="814" t="str">
        <f t="shared" ca="1" si="860"/>
        <v>-</v>
      </c>
      <c r="AO437" s="815"/>
      <c r="AP437" s="816" t="str">
        <f t="shared" ca="1" si="861"/>
        <v>-</v>
      </c>
      <c r="AQ437" s="817"/>
      <c r="AR437" s="794" t="str">
        <f t="shared" si="862"/>
        <v>-</v>
      </c>
      <c r="AS437" s="818"/>
      <c r="AT437" s="794" t="str">
        <f t="shared" si="863"/>
        <v>-</v>
      </c>
      <c r="AU437" s="819"/>
      <c r="AV437" s="865"/>
      <c r="AW437" s="821"/>
      <c r="AX437" s="821"/>
      <c r="AY437" s="969" t="str">
        <f t="shared" si="864"/>
        <v>-</v>
      </c>
      <c r="AZ437" s="966" t="str">
        <f t="shared" si="865"/>
        <v>-</v>
      </c>
      <c r="BA437" s="971" t="str">
        <f t="shared" si="866"/>
        <v>-</v>
      </c>
      <c r="BB437" s="975"/>
      <c r="BC437" s="821"/>
      <c r="BD437" s="821"/>
      <c r="BE437" s="963" t="str">
        <f t="shared" si="867"/>
        <v>-</v>
      </c>
      <c r="BF437" s="984"/>
      <c r="BG437" s="988"/>
      <c r="BH437" s="982"/>
      <c r="BI437" s="991"/>
      <c r="BJ437" s="991"/>
      <c r="BK437" s="993" t="str">
        <f t="shared" si="868"/>
        <v>-</v>
      </c>
      <c r="BL437" s="865"/>
      <c r="BM437" s="821"/>
      <c r="BN437" s="822" t="str">
        <f t="shared" si="869"/>
        <v>-</v>
      </c>
      <c r="BO437" s="823" t="str">
        <f t="shared" si="870"/>
        <v>-</v>
      </c>
      <c r="BP437" s="868"/>
      <c r="BQ437" s="821"/>
      <c r="BR437" s="822" t="str">
        <f t="shared" si="871"/>
        <v>-</v>
      </c>
      <c r="BS437" s="823" t="str">
        <f t="shared" si="872"/>
        <v>-</v>
      </c>
      <c r="BT437" s="825" t="str">
        <f t="shared" ca="1" si="873"/>
        <v>-</v>
      </c>
      <c r="BU437" s="826"/>
      <c r="BV437" s="827"/>
      <c r="BW437" s="828" t="str">
        <f t="shared" si="874"/>
        <v>Ж-Е НЕ ВАКЦ.</v>
      </c>
      <c r="BX437" s="829" t="str">
        <f t="shared" si="875"/>
        <v>-</v>
      </c>
      <c r="BY437" s="830" t="str">
        <f t="shared" ca="1" si="876"/>
        <v>ПОДЛЕЖИТ ВАКЦИНАЦИИ</v>
      </c>
      <c r="BZ437" s="839"/>
      <c r="CA437" s="832"/>
      <c r="CB437" s="833" t="str">
        <f t="shared" si="877"/>
        <v>-</v>
      </c>
      <c r="CC437" s="834" t="str">
        <f t="shared" si="878"/>
        <v>-</v>
      </c>
      <c r="CD437" s="835" t="str">
        <f t="shared" si="879"/>
        <v>-</v>
      </c>
      <c r="CE437" s="839"/>
      <c r="CF437" s="832"/>
      <c r="CG437" s="833" t="str">
        <f t="shared" si="880"/>
        <v>-</v>
      </c>
      <c r="CH437" s="836" t="str">
        <f t="shared" si="881"/>
        <v>-</v>
      </c>
      <c r="CI437" s="837" t="str">
        <f t="shared" si="882"/>
        <v>-</v>
      </c>
      <c r="CJ437" s="838" t="str">
        <f t="shared" si="883"/>
        <v>-</v>
      </c>
      <c r="CK437" s="831"/>
      <c r="CL437" s="832"/>
      <c r="CM437" s="833" t="str">
        <f t="shared" si="884"/>
        <v>-</v>
      </c>
      <c r="CN437" s="834" t="str">
        <f t="shared" si="885"/>
        <v>-</v>
      </c>
      <c r="CO437" s="830" t="str">
        <f t="shared" ca="1" si="886"/>
        <v>-</v>
      </c>
      <c r="CP437" s="839"/>
      <c r="CQ437" s="832"/>
      <c r="CR437" s="833" t="str">
        <f t="shared" si="887"/>
        <v>-</v>
      </c>
      <c r="CS437" s="833" t="str">
        <f t="shared" si="888"/>
        <v>-</v>
      </c>
      <c r="CT437" s="834" t="str">
        <f t="shared" si="889"/>
        <v>-</v>
      </c>
      <c r="CU437" s="835" t="str">
        <f t="shared" si="890"/>
        <v>-</v>
      </c>
      <c r="CV437" s="839"/>
      <c r="CW437" s="832"/>
      <c r="CX437" s="833" t="str">
        <f t="shared" si="891"/>
        <v>-</v>
      </c>
      <c r="CY437" s="840" t="str">
        <f t="shared" si="892"/>
        <v>-</v>
      </c>
    </row>
    <row r="438" spans="1:103" s="842" customFormat="1" ht="15.95" customHeight="1" x14ac:dyDescent="0.25">
      <c r="A438" s="790">
        <v>531</v>
      </c>
      <c r="B438" s="791">
        <f t="shared" ca="1" si="843"/>
        <v>43134</v>
      </c>
      <c r="C438" s="792" t="s">
        <v>2553</v>
      </c>
      <c r="D438" s="793" t="s">
        <v>2586</v>
      </c>
      <c r="E438" s="794" t="s">
        <v>1563</v>
      </c>
      <c r="F438" s="853" t="s">
        <v>1769</v>
      </c>
      <c r="G438" s="845"/>
      <c r="H438" s="797" t="s">
        <v>603</v>
      </c>
      <c r="I438" s="798">
        <v>42481</v>
      </c>
      <c r="J438" s="799">
        <f t="shared" ca="1" si="844"/>
        <v>1.789041095890411</v>
      </c>
      <c r="K438" s="799">
        <f t="shared" ca="1" si="845"/>
        <v>21.766666666666666</v>
      </c>
      <c r="L438" s="800">
        <f t="shared" ca="1" si="846"/>
        <v>653</v>
      </c>
      <c r="M438" s="801"/>
      <c r="N438" s="802"/>
      <c r="O438" s="803" t="str">
        <f t="shared" ca="1" si="847"/>
        <v>-</v>
      </c>
      <c r="P438" s="804"/>
      <c r="Q438" s="805" t="s">
        <v>1451</v>
      </c>
      <c r="R438" s="806" t="s">
        <v>2435</v>
      </c>
      <c r="S438" s="807">
        <v>42957</v>
      </c>
      <c r="T438" s="798">
        <v>42957</v>
      </c>
      <c r="U438" s="798" t="str">
        <f t="shared" si="848"/>
        <v>-</v>
      </c>
      <c r="V438" s="804" t="str">
        <f t="shared" ca="1" si="849"/>
        <v>-</v>
      </c>
      <c r="W438" s="808">
        <v>1</v>
      </c>
      <c r="X438" s="794" t="str">
        <f t="shared" si="850"/>
        <v>-</v>
      </c>
      <c r="Y438" s="794">
        <v>0</v>
      </c>
      <c r="Z438" s="809" t="str">
        <f t="shared" ca="1" si="851"/>
        <v>-----</v>
      </c>
      <c r="AA438" s="810">
        <f t="shared" ca="1" si="852"/>
        <v>177</v>
      </c>
      <c r="AB438" s="804"/>
      <c r="AC438" s="811" t="str">
        <f t="shared" ca="1" si="853"/>
        <v>-----</v>
      </c>
      <c r="AD438" s="798"/>
      <c r="AE438" s="794" t="str">
        <f t="shared" ca="1" si="854"/>
        <v>-</v>
      </c>
      <c r="AF438" s="798" t="str">
        <f t="shared" si="855"/>
        <v>-</v>
      </c>
      <c r="AG438" s="812" t="str">
        <f t="shared" si="856"/>
        <v>---------</v>
      </c>
      <c r="AH438" s="807">
        <v>43032</v>
      </c>
      <c r="AI438" s="807" t="str">
        <f t="shared" si="857"/>
        <v>-</v>
      </c>
      <c r="AJ438" s="807" t="str">
        <f t="shared" si="858"/>
        <v>-</v>
      </c>
      <c r="AK438" s="813">
        <v>43035</v>
      </c>
      <c r="AL438" s="21" t="s">
        <v>2629</v>
      </c>
      <c r="AM438" s="807" t="str">
        <f t="shared" si="859"/>
        <v>-</v>
      </c>
      <c r="AN438" s="814" t="str">
        <f t="shared" ca="1" si="860"/>
        <v>-</v>
      </c>
      <c r="AO438" s="815">
        <v>1</v>
      </c>
      <c r="AP438" s="816" t="str">
        <f t="shared" ca="1" si="861"/>
        <v>-</v>
      </c>
      <c r="AQ438" s="441" t="s">
        <v>3338</v>
      </c>
      <c r="AR438" s="794" t="str">
        <f t="shared" si="862"/>
        <v>-</v>
      </c>
      <c r="AS438" s="818"/>
      <c r="AT438" s="794" t="str">
        <f t="shared" si="863"/>
        <v>-</v>
      </c>
      <c r="AU438" s="819">
        <v>1</v>
      </c>
      <c r="AV438" s="820"/>
      <c r="AW438" s="821"/>
      <c r="AX438" s="821"/>
      <c r="AY438" s="969" t="str">
        <f t="shared" si="864"/>
        <v>-</v>
      </c>
      <c r="AZ438" s="966" t="str">
        <f t="shared" si="865"/>
        <v>-</v>
      </c>
      <c r="BA438" s="971" t="str">
        <f t="shared" si="866"/>
        <v>-</v>
      </c>
      <c r="BB438" s="975"/>
      <c r="BC438" s="821"/>
      <c r="BD438" s="821"/>
      <c r="BE438" s="963" t="str">
        <f t="shared" si="867"/>
        <v>-</v>
      </c>
      <c r="BF438" s="984"/>
      <c r="BG438" s="988"/>
      <c r="BH438" s="982"/>
      <c r="BI438" s="991"/>
      <c r="BJ438" s="991"/>
      <c r="BK438" s="993" t="str">
        <f t="shared" si="868"/>
        <v>-</v>
      </c>
      <c r="BL438" s="820">
        <v>42978</v>
      </c>
      <c r="BM438" s="821">
        <v>5</v>
      </c>
      <c r="BN438" s="822">
        <f t="shared" ca="1" si="869"/>
        <v>156</v>
      </c>
      <c r="BO438" s="823">
        <f t="shared" si="870"/>
        <v>16.566666666666666</v>
      </c>
      <c r="BP438" s="824"/>
      <c r="BQ438" s="821"/>
      <c r="BR438" s="822" t="str">
        <f t="shared" si="871"/>
        <v>-</v>
      </c>
      <c r="BS438" s="823" t="str">
        <f t="shared" si="872"/>
        <v>-</v>
      </c>
      <c r="BT438" s="825" t="str">
        <f t="shared" ca="1" si="873"/>
        <v>-</v>
      </c>
      <c r="BU438" s="826"/>
      <c r="BV438" s="827"/>
      <c r="BW438" s="828" t="str">
        <f t="shared" si="874"/>
        <v>Ж-Е НЕ ВАКЦ.</v>
      </c>
      <c r="BX438" s="829" t="str">
        <f t="shared" si="875"/>
        <v>-</v>
      </c>
      <c r="BY438" s="830" t="str">
        <f t="shared" ca="1" si="876"/>
        <v>-</v>
      </c>
      <c r="BZ438" s="831">
        <v>42894</v>
      </c>
      <c r="CA438" s="832">
        <v>5</v>
      </c>
      <c r="CB438" s="833">
        <f t="shared" ca="1" si="877"/>
        <v>240</v>
      </c>
      <c r="CC438" s="834" t="str">
        <f t="shared" ca="1" si="878"/>
        <v>-</v>
      </c>
      <c r="CD438" s="835">
        <f t="shared" si="879"/>
        <v>42915</v>
      </c>
      <c r="CE438" s="831">
        <v>42915</v>
      </c>
      <c r="CF438" s="832">
        <v>5</v>
      </c>
      <c r="CG438" s="833">
        <f t="shared" ca="1" si="880"/>
        <v>219</v>
      </c>
      <c r="CH438" s="836">
        <f t="shared" si="881"/>
        <v>0</v>
      </c>
      <c r="CI438" s="837" t="str">
        <f t="shared" si="882"/>
        <v>УСПЕШНО</v>
      </c>
      <c r="CJ438" s="838" t="str">
        <f t="shared" ca="1" si="883"/>
        <v>-</v>
      </c>
      <c r="CK438" s="831"/>
      <c r="CL438" s="832"/>
      <c r="CM438" s="833" t="str">
        <f t="shared" si="884"/>
        <v>-</v>
      </c>
      <c r="CN438" s="834" t="str">
        <f t="shared" si="885"/>
        <v>-</v>
      </c>
      <c r="CO438" s="830" t="str">
        <f t="shared" ca="1" si="886"/>
        <v>-</v>
      </c>
      <c r="CP438" s="839"/>
      <c r="CQ438" s="832"/>
      <c r="CR438" s="833" t="str">
        <f t="shared" si="887"/>
        <v>-</v>
      </c>
      <c r="CS438" s="833" t="str">
        <f t="shared" si="888"/>
        <v>-</v>
      </c>
      <c r="CT438" s="834" t="str">
        <f t="shared" si="889"/>
        <v>-</v>
      </c>
      <c r="CU438" s="835" t="str">
        <f t="shared" si="890"/>
        <v>-</v>
      </c>
      <c r="CV438" s="839"/>
      <c r="CW438" s="832"/>
      <c r="CX438" s="833" t="str">
        <f t="shared" si="891"/>
        <v>-</v>
      </c>
      <c r="CY438" s="840" t="str">
        <f t="shared" si="892"/>
        <v>-</v>
      </c>
    </row>
    <row r="439" spans="1:103" s="864" customFormat="1" ht="15.95" customHeight="1" x14ac:dyDescent="0.25">
      <c r="A439" s="790">
        <v>841</v>
      </c>
      <c r="B439" s="791">
        <f ca="1">TODAY()</f>
        <v>43134</v>
      </c>
      <c r="C439" s="29" t="s">
        <v>3340</v>
      </c>
      <c r="D439" s="59" t="s">
        <v>1635</v>
      </c>
      <c r="E439" s="794" t="s">
        <v>1563</v>
      </c>
      <c r="F439" s="795" t="s">
        <v>3067</v>
      </c>
      <c r="G439" s="845"/>
      <c r="H439" s="797" t="s">
        <v>603</v>
      </c>
      <c r="I439" s="798">
        <v>42959</v>
      </c>
      <c r="J439" s="799">
        <f ca="1">(B439-I439)/365</f>
        <v>0.47945205479452052</v>
      </c>
      <c r="K439" s="799">
        <f ca="1">(B439-I439)/30</f>
        <v>5.833333333333333</v>
      </c>
      <c r="L439" s="800">
        <f ca="1">B439-I439</f>
        <v>175</v>
      </c>
      <c r="M439" s="801"/>
      <c r="N439" s="802"/>
      <c r="O439" s="803" t="str">
        <f ca="1">IF(AND(B439&gt;0,N439&gt;0),B439-N439,"-")</f>
        <v>-</v>
      </c>
      <c r="P439" s="804"/>
      <c r="Q439" s="805"/>
      <c r="R439" s="806"/>
      <c r="S439" s="807"/>
      <c r="T439" s="798"/>
      <c r="U439" s="798" t="str">
        <f>IF(AND(Y439&gt;1,T439&gt;0),T439+18,"-")</f>
        <v>-</v>
      </c>
      <c r="V439" s="804" t="str">
        <f ca="1">IF(AND(U439&gt;0,B439&gt;0,Y439&gt;1),B439-U439,"-")</f>
        <v>-</v>
      </c>
      <c r="W439" s="808">
        <v>0</v>
      </c>
      <c r="X439" s="794" t="str">
        <f>IF(AND(N439&gt;0,T439&gt;0),T439-N439,"-")</f>
        <v>-</v>
      </c>
      <c r="Y439" s="808">
        <v>0</v>
      </c>
      <c r="Z439" s="809" t="str">
        <f ca="1">IF(AND(Y439=1,AA439&gt;71,OR(ISBLANK(AB439),AB439=2)),"ПОДЛЕЖИТ ПЕРЕПРОВЕРКЕ","-----")</f>
        <v>-----</v>
      </c>
      <c r="AA439" s="810">
        <f ca="1">IF(AND(O439&gt;-1,W439&gt;0,Y439=1,AB439=1),"-----",B439-T439)</f>
        <v>43134</v>
      </c>
      <c r="AB439" s="804"/>
      <c r="AC439" s="811" t="str">
        <f ca="1">IF(AND(AB439&lt;1,Z439="ПОДЛЕЖИТ ПЕРЕПРОВЕРКЕ",Y439=1),T439+72,"-----")</f>
        <v>-----</v>
      </c>
      <c r="AD439" s="798"/>
      <c r="AE439" s="794" t="str">
        <f ca="1">IF(AND(O439&gt;120,Y439=0,N439&gt;0),"яловая","-")</f>
        <v>-</v>
      </c>
      <c r="AF439" s="798" t="str">
        <f>IF(AND(T439&gt;0,OR(Y439=3,Y439=2)),T439+35,"-")</f>
        <v>-</v>
      </c>
      <c r="AG439" s="812" t="str">
        <f>IF(AND(T439&gt;0,W439&gt;0,Q439&gt;0,OR(Y439=3,Y439=2)),B439-AF439,"---------")</f>
        <v>---------</v>
      </c>
      <c r="AH439" s="807"/>
      <c r="AI439" s="807" t="str">
        <f>IF(AND($T439&gt;0,$N439&gt;0,$Y439=1),$T439+280-90,"-")</f>
        <v>-</v>
      </c>
      <c r="AJ439" s="807" t="str">
        <f>IF(AND(T439&gt;0,Y439=1,N439&gt;0),T439+280-60,"-")</f>
        <v>-</v>
      </c>
      <c r="AK439" s="813">
        <v>43052</v>
      </c>
      <c r="AL439" s="21" t="s">
        <v>3228</v>
      </c>
      <c r="AM439" s="807" t="str">
        <f>IF(AND(T439&gt;0,Y439=1),T439+280,"-")</f>
        <v>-</v>
      </c>
      <c r="AN439" s="814" t="str">
        <f ca="1">IF(AND(B439&gt;0,AM439&gt;0,AH439&gt;0,Y439=1),B439-AM439,"-")</f>
        <v>-</v>
      </c>
      <c r="AO439" s="815">
        <v>1</v>
      </c>
      <c r="AP439" s="816" t="str">
        <f ca="1">IF(AND(AE439="яловая",O439&gt;300),"БРАК","-")</f>
        <v>-</v>
      </c>
      <c r="AQ439" s="817"/>
      <c r="AR439" s="794" t="str">
        <f>IF(AND(Y439=1,P439=0),"НЕТЕЛЬ","-")</f>
        <v>-</v>
      </c>
      <c r="AS439" s="818"/>
      <c r="AT439" s="794" t="str">
        <f>IF(AND(N439&gt;0,T439&gt;0,W439&gt;0,Y439=1,AH439&gt;0,AK439&gt;0),"DRY COW","-")</f>
        <v>-</v>
      </c>
      <c r="AU439" s="819"/>
      <c r="AV439" s="865"/>
      <c r="AW439" s="821"/>
      <c r="AX439" s="821"/>
      <c r="AY439" s="969" t="str">
        <f>IF(AND(AV439&gt;0,AW439&gt;0,AX439&gt;0),B439-AV439,"-")</f>
        <v>-</v>
      </c>
      <c r="AZ439" s="966" t="str">
        <f>IF(AND(AV439&gt;0,AW439&gt;0,AX439&gt;0,AY439&gt;10,BB439=0,BC439=0,BD439=0),"РЕВАКЦИНАЦИЯ","-")</f>
        <v>-</v>
      </c>
      <c r="BA439" s="971" t="str">
        <f>IF(AND(AV439&gt;0,AW439&gt;0,AX439&gt;0),AV439+10,"-")</f>
        <v>-</v>
      </c>
      <c r="BB439" s="975"/>
      <c r="BC439" s="821"/>
      <c r="BD439" s="821"/>
      <c r="BE439" s="963" t="str">
        <f>IF(AND(BB439&gt;0,BC439&gt;0,BD439&gt;0),B439-BB439,"-")</f>
        <v>-</v>
      </c>
      <c r="BF439" s="984"/>
      <c r="BG439" s="988"/>
      <c r="BH439" s="982"/>
      <c r="BI439" s="991"/>
      <c r="BJ439" s="991"/>
      <c r="BK439" s="993" t="str">
        <f>IF(AND(BF439&gt;0,BG439&gt;0,BH439&gt;0,BI439&gt;0,BJ439&gt;0),B439-BF439,"-")</f>
        <v>-</v>
      </c>
      <c r="BL439" s="865"/>
      <c r="BM439" s="821"/>
      <c r="BN439" s="822" t="str">
        <f>IF(AND(BL439&gt;0,BM439&gt;0),B439-BL439,"-")</f>
        <v>-</v>
      </c>
      <c r="BO439" s="823" t="str">
        <f>IF(AND(BL439&gt;0,BM439&gt;0),(BL439-I439)/30,"-")</f>
        <v>-</v>
      </c>
      <c r="BP439" s="868"/>
      <c r="BQ439" s="821"/>
      <c r="BR439" s="822" t="str">
        <f>IF(AND(BP439&gt;0,BQ439&gt;0),B439-BP439,"-")</f>
        <v>-</v>
      </c>
      <c r="BS439" s="823" t="str">
        <f>IF(AND(BP439&gt;0,BQ439&gt;0),(BP439-M439)/30,"-")</f>
        <v>-</v>
      </c>
      <c r="BT439" s="825" t="str">
        <f ca="1">IF(AND(OR(E439="тёлочка",E439="бычок"),L439&gt;0,BV439&lt;2,L439&lt;60),"ПОДЛЕЖИТ ВАКЦИНАЦИИ","-")</f>
        <v>-</v>
      </c>
      <c r="BU439" s="860">
        <v>42976</v>
      </c>
      <c r="BV439" s="827">
        <v>2</v>
      </c>
      <c r="BW439" s="828">
        <f>IF(AND(BU439&gt;0,BV439=2),BU439-I439,"Ж-Е НЕ ВАКЦ.")</f>
        <v>17</v>
      </c>
      <c r="BX439" s="829">
        <f ca="1">IF(AND(BU439&gt;0,BV439=2),B439-BU439,"-")</f>
        <v>158</v>
      </c>
      <c r="BY439" s="830" t="str">
        <f ca="1">IF(AND(L439&gt;42,CA439&lt;5),"ПОДЛЕЖИТ ВАКЦИНАЦИИ","-")</f>
        <v>-</v>
      </c>
      <c r="BZ439" s="831">
        <v>43018</v>
      </c>
      <c r="CA439" s="832">
        <v>5</v>
      </c>
      <c r="CB439" s="833">
        <f ca="1">IF(AND(BZ439&gt;0,CA439=5),B439-BZ439,"-")</f>
        <v>116</v>
      </c>
      <c r="CC439" s="834" t="str">
        <f ca="1">IF(AND(CA439=5,CB439&gt;20,CF439&lt;5),"ТРЕБУЕТСЯ БУСТЕРНАЯ ДОЗА","-")</f>
        <v>ТРЕБУЕТСЯ БУСТЕРНАЯ ДОЗА</v>
      </c>
      <c r="CD439" s="835">
        <f>IF(AND(BZ439&gt;0,CA439=5),BZ439+21,"-")</f>
        <v>43039</v>
      </c>
      <c r="CE439" s="306" t="s">
        <v>3413</v>
      </c>
      <c r="CF439" s="832"/>
      <c r="CG439" s="833" t="str">
        <f>IF(AND(CE439&gt;0,CF439=5),B439-CE439,"-")</f>
        <v>-</v>
      </c>
      <c r="CH439" s="836" t="str">
        <f>IF(AND(CD439&gt;0,CE439&gt;0,CF439=5),CD439-CE439,"-")</f>
        <v>-</v>
      </c>
      <c r="CI439" s="837" t="str">
        <f>IF(AND(CF439=5,CH439=0),"УСПЕШНО","-")</f>
        <v>-</v>
      </c>
      <c r="CJ439" s="838" t="str">
        <f>IF(AND(BZ439&gt;0,CA439=5,CE439&gt;0,CF439=5,CG439&gt;240,CL439&lt;5),"НЕОБХОДИМА РЕВАКЦИНАЦИЯ","-")</f>
        <v>-</v>
      </c>
      <c r="CK439" s="831"/>
      <c r="CL439" s="832"/>
      <c r="CM439" s="833" t="str">
        <f>IF(AND(CK439&gt;0,CL439=5),N439-CK439,"-")</f>
        <v>-</v>
      </c>
      <c r="CN439" s="834" t="str">
        <f>IF(AND(CK439&gt;0,CL439=5,CM439&gt;240),"НЕОБХОДИМА РЕВАКЦИНАЦИЯ","-")</f>
        <v>-</v>
      </c>
      <c r="CO439" s="830" t="str">
        <f ca="1">IF(AND(Y439=1,AN439&gt;-70,CQ439&lt;2),"ТРЕБУЕТСЯ ВАКЦИНАЦИЯ","-")</f>
        <v>-</v>
      </c>
      <c r="CP439" s="839"/>
      <c r="CQ439" s="832"/>
      <c r="CR439" s="833" t="str">
        <f>IF(AND(CP439&gt;0,CQ439=2),CP439-T439,"-")</f>
        <v>-</v>
      </c>
      <c r="CS439" s="833" t="str">
        <f>IF(AND(CP439&gt;0,CQ439=2),B439-CP439,"-")</f>
        <v>-</v>
      </c>
      <c r="CT439" s="834" t="str">
        <f>IF(AND(CQ439=2,CS439&gt;20,CW439&lt;2),"ТРЕБУЕТСЯ БУСТЕРНАЯ ДОЗА","-")</f>
        <v>-</v>
      </c>
      <c r="CU439" s="835" t="str">
        <f>IF(AND(CP439&gt;0,CQ439=2),CP439+21,"-")</f>
        <v>-</v>
      </c>
      <c r="CV439" s="839"/>
      <c r="CW439" s="832"/>
      <c r="CX439" s="833" t="str">
        <f>IF(AND(CU439&gt;0,CV439&gt;0,CW439=2),CV439-CU439,"-")</f>
        <v>-</v>
      </c>
      <c r="CY439" s="840" t="str">
        <f>IF(AND(CW439=2,CX439=0),"УСПЕШНО","-")</f>
        <v>-</v>
      </c>
    </row>
  </sheetData>
  <mergeCells count="1">
    <mergeCell ref="AB1:AB2"/>
  </mergeCells>
  <conditionalFormatting sqref="M1:M31 M68 M135:M138 M146 M162 M166:M179 M186:M187 M193:M198 M62:M64 M66 M70:M74 M76:M80 M82:M86 M88:M92 M94:M98 M100:M104 M106:M110 M112:M116 M118:M122 M124:M126 M36:M48 M204">
    <cfRule type="cellIs" dxfId="373" priority="5001" operator="equal">
      <formula>40</formula>
    </cfRule>
    <cfRule type="cellIs" dxfId="372" priority="5002" operator="equal">
      <formula>30</formula>
    </cfRule>
  </conditionalFormatting>
  <conditionalFormatting sqref="T3:T206 V207:V294 W295:W297 V298:V439">
    <cfRule type="cellIs" dxfId="371" priority="5000" operator="lessThan">
      <formula>21</formula>
    </cfRule>
  </conditionalFormatting>
  <conditionalFormatting sqref="F3:G3">
    <cfRule type="duplicateValues" dxfId="370" priority="4999"/>
  </conditionalFormatting>
  <conditionalFormatting sqref="S3:S206 U207:U294 V295:V297 U298:U439">
    <cfRule type="timePeriod" dxfId="369" priority="4998" timePeriod="today">
      <formula>FLOOR(S3,1)=TODAY()</formula>
    </cfRule>
  </conditionalFormatting>
  <conditionalFormatting sqref="T3:T206 V207:V294 W295:W297 V298:V439">
    <cfRule type="cellIs" dxfId="368" priority="4997" operator="between">
      <formula>0</formula>
      <formula>7</formula>
    </cfRule>
  </conditionalFormatting>
  <conditionalFormatting sqref="Z3:Z206 AB207:AB294 AC295:AC297 AB298:AB307 AG299 AG308:AG439">
    <cfRule type="cellIs" dxfId="367" priority="4994" operator="between">
      <formula>0</formula>
      <formula>7</formula>
    </cfRule>
  </conditionalFormatting>
  <conditionalFormatting sqref="Z3:Z206 AB207:AB294 AC295:AC297 AB298:AB307 AG299 AG308:AG439">
    <cfRule type="cellIs" dxfId="366" priority="4993" operator="between">
      <formula>-10</formula>
      <formula>-1</formula>
    </cfRule>
  </conditionalFormatting>
  <conditionalFormatting sqref="Z3:Z206 AB207:AB294 AC295:AC297 AB298:AB307 AG299 AG308:AG439">
    <cfRule type="cellIs" dxfId="365" priority="4992" operator="between">
      <formula>8</formula>
      <formula>200</formula>
    </cfRule>
  </conditionalFormatting>
  <conditionalFormatting sqref="F4:G4">
    <cfRule type="duplicateValues" dxfId="364" priority="4990"/>
  </conditionalFormatting>
  <conditionalFormatting sqref="F5:G5">
    <cfRule type="duplicateValues" dxfId="363" priority="4981"/>
  </conditionalFormatting>
  <conditionalFormatting sqref="F6:G6">
    <cfRule type="duplicateValues" dxfId="362" priority="4972"/>
  </conditionalFormatting>
  <conditionalFormatting sqref="F7:G7">
    <cfRule type="duplicateValues" dxfId="361" priority="4963"/>
  </conditionalFormatting>
  <conditionalFormatting sqref="F8:G8">
    <cfRule type="duplicateValues" dxfId="360" priority="4954"/>
  </conditionalFormatting>
  <conditionalFormatting sqref="F9:G9">
    <cfRule type="duplicateValues" dxfId="359" priority="4945"/>
  </conditionalFormatting>
  <conditionalFormatting sqref="F10:G10">
    <cfRule type="duplicateValues" dxfId="358" priority="4936"/>
  </conditionalFormatting>
  <conditionalFormatting sqref="F36:G36 F13:G13 F19:G19 F25:G25 F31:G31">
    <cfRule type="duplicateValues" dxfId="357" priority="4909"/>
  </conditionalFormatting>
  <conditionalFormatting sqref="F42:G42 F37:G37 F14:G14 F20:G20 F26:G26">
    <cfRule type="duplicateValues" dxfId="356" priority="4900"/>
  </conditionalFormatting>
  <conditionalFormatting sqref="F43:G43 F38:G38 F15:G15 F21:G21 F27:G27">
    <cfRule type="duplicateValues" dxfId="355" priority="4891"/>
  </conditionalFormatting>
  <conditionalFormatting sqref="F44:G44 F39:G39 F16:G16 F22:G22 F28:G28">
    <cfRule type="duplicateValues" dxfId="354" priority="4882"/>
  </conditionalFormatting>
  <conditionalFormatting sqref="F17:G17">
    <cfRule type="duplicateValues" dxfId="353" priority="4873"/>
  </conditionalFormatting>
  <conditionalFormatting sqref="F18:G18">
    <cfRule type="duplicateValues" dxfId="352" priority="4864"/>
  </conditionalFormatting>
  <conditionalFormatting sqref="F19:G19">
    <cfRule type="duplicateValues" dxfId="351" priority="4855"/>
  </conditionalFormatting>
  <conditionalFormatting sqref="F20:G20">
    <cfRule type="duplicateValues" dxfId="350" priority="4846"/>
  </conditionalFormatting>
  <conditionalFormatting sqref="F21:G21">
    <cfRule type="duplicateValues" dxfId="349" priority="4837"/>
  </conditionalFormatting>
  <conditionalFormatting sqref="F22:G22">
    <cfRule type="duplicateValues" dxfId="348" priority="4828"/>
  </conditionalFormatting>
  <conditionalFormatting sqref="F23:G23">
    <cfRule type="duplicateValues" dxfId="347" priority="4819"/>
  </conditionalFormatting>
  <conditionalFormatting sqref="F24:G24">
    <cfRule type="duplicateValues" dxfId="346" priority="4810"/>
  </conditionalFormatting>
  <conditionalFormatting sqref="F25:G25">
    <cfRule type="duplicateValues" dxfId="345" priority="4801"/>
  </conditionalFormatting>
  <conditionalFormatting sqref="F26:G26">
    <cfRule type="duplicateValues" dxfId="344" priority="4792"/>
  </conditionalFormatting>
  <conditionalFormatting sqref="F27:G27">
    <cfRule type="duplicateValues" dxfId="343" priority="4783"/>
  </conditionalFormatting>
  <conditionalFormatting sqref="F28:G28">
    <cfRule type="duplicateValues" dxfId="342" priority="4774"/>
  </conditionalFormatting>
  <conditionalFormatting sqref="F29:G29">
    <cfRule type="duplicateValues" dxfId="341" priority="4765"/>
  </conditionalFormatting>
  <conditionalFormatting sqref="F30:G30">
    <cfRule type="duplicateValues" dxfId="340" priority="4756"/>
  </conditionalFormatting>
  <conditionalFormatting sqref="F31:G31">
    <cfRule type="duplicateValues" dxfId="339" priority="4747"/>
  </conditionalFormatting>
  <conditionalFormatting sqref="M31:M206 O207:O294 P295:P297 O298:O346">
    <cfRule type="cellIs" dxfId="338" priority="4742" operator="between">
      <formula>63</formula>
      <formula>70</formula>
    </cfRule>
    <cfRule type="cellIs" dxfId="337" priority="4743" operator="equal">
      <formula>40</formula>
    </cfRule>
    <cfRule type="cellIs" dxfId="336" priority="4744" operator="equal">
      <formula>30</formula>
    </cfRule>
  </conditionalFormatting>
  <conditionalFormatting sqref="F32:G32">
    <cfRule type="duplicateValues" dxfId="335" priority="4737"/>
  </conditionalFormatting>
  <conditionalFormatting sqref="F33:G33">
    <cfRule type="duplicateValues" dxfId="334" priority="4727"/>
  </conditionalFormatting>
  <conditionalFormatting sqref="F34:G34">
    <cfRule type="duplicateValues" dxfId="333" priority="4707"/>
  </conditionalFormatting>
  <conditionalFormatting sqref="F35:G35">
    <cfRule type="duplicateValues" dxfId="332" priority="4697"/>
  </conditionalFormatting>
  <conditionalFormatting sqref="F36:G37">
    <cfRule type="duplicateValues" dxfId="331" priority="4687"/>
  </conditionalFormatting>
  <conditionalFormatting sqref="F38:G38">
    <cfRule type="duplicateValues" dxfId="330" priority="4677"/>
  </conditionalFormatting>
  <conditionalFormatting sqref="F39:G39">
    <cfRule type="duplicateValues" dxfId="329" priority="4667"/>
  </conditionalFormatting>
  <conditionalFormatting sqref="F40:G40">
    <cfRule type="duplicateValues" dxfId="328" priority="4657"/>
  </conditionalFormatting>
  <conditionalFormatting sqref="F41:G41">
    <cfRule type="duplicateValues" dxfId="327" priority="4647"/>
  </conditionalFormatting>
  <conditionalFormatting sqref="F42:G42">
    <cfRule type="duplicateValues" dxfId="326" priority="4627"/>
  </conditionalFormatting>
  <conditionalFormatting sqref="F43:G43">
    <cfRule type="duplicateValues" dxfId="325" priority="4617"/>
  </conditionalFormatting>
  <conditionalFormatting sqref="F44:G44">
    <cfRule type="duplicateValues" dxfId="324" priority="4607"/>
  </conditionalFormatting>
  <conditionalFormatting sqref="F47:G47">
    <cfRule type="duplicateValues" dxfId="323" priority="4577"/>
  </conditionalFormatting>
  <conditionalFormatting sqref="F48:G48">
    <cfRule type="duplicateValues" dxfId="322" priority="4567"/>
  </conditionalFormatting>
  <conditionalFormatting sqref="F49:G49">
    <cfRule type="duplicateValues" dxfId="321" priority="4557"/>
  </conditionalFormatting>
  <conditionalFormatting sqref="F50:G50">
    <cfRule type="duplicateValues" dxfId="320" priority="4547"/>
  </conditionalFormatting>
  <conditionalFormatting sqref="F51:G51">
    <cfRule type="duplicateValues" dxfId="319" priority="4537"/>
  </conditionalFormatting>
  <conditionalFormatting sqref="F52:G52">
    <cfRule type="duplicateValues" dxfId="318" priority="4527"/>
  </conditionalFormatting>
  <conditionalFormatting sqref="F53:G53">
    <cfRule type="duplicateValues" dxfId="317" priority="4517"/>
  </conditionalFormatting>
  <conditionalFormatting sqref="F54:G54">
    <cfRule type="duplicateValues" dxfId="316" priority="4497"/>
  </conditionalFormatting>
  <conditionalFormatting sqref="F55:G55">
    <cfRule type="duplicateValues" dxfId="315" priority="4487"/>
  </conditionalFormatting>
  <conditionalFormatting sqref="F56:G56">
    <cfRule type="duplicateValues" dxfId="314" priority="4477"/>
  </conditionalFormatting>
  <conditionalFormatting sqref="F57:G57">
    <cfRule type="duplicateValues" dxfId="313" priority="4467"/>
  </conditionalFormatting>
  <conditionalFormatting sqref="F58:G58">
    <cfRule type="duplicateValues" dxfId="312" priority="4457"/>
  </conditionalFormatting>
  <conditionalFormatting sqref="F59:G59">
    <cfRule type="duplicateValues" dxfId="311" priority="4447"/>
  </conditionalFormatting>
  <conditionalFormatting sqref="F60:G60">
    <cfRule type="duplicateValues" dxfId="310" priority="4437"/>
  </conditionalFormatting>
  <conditionalFormatting sqref="F61:G61">
    <cfRule type="duplicateValues" dxfId="309" priority="4427"/>
  </conditionalFormatting>
  <conditionalFormatting sqref="F65:G65 F69:G69 F75:G75 F81:G81 F87:G87 F93:G93 F99:G99 F105:G105 F111:G111 F117:G117 F123:G123">
    <cfRule type="duplicateValues" dxfId="308" priority="4417"/>
  </conditionalFormatting>
  <conditionalFormatting sqref="F146:G146 F63:G64 F45:G45 F40:G40 F11:G11 F17:G17 F23:G23 F29:G29 F47:G47 F68:G68 F71:G74 F77:G80 F83:G86 F89:G92 F95:G98 F101:G104 F107:G110 F113:G116 F119:G122 F125:G126 F135:G138 F162:G162 F166:G179 F186:G187 F193:G198">
    <cfRule type="duplicateValues" dxfId="307" priority="5129"/>
  </conditionalFormatting>
  <conditionalFormatting sqref="F62:G62 F46:G46 F12:G12 F18:G18 F24:G24 F30:G30 F41:G41 F48:G48 F66:G66 F70:G70 F76:G76 F82:G82 F88:G88 F94:G94 F100:G100 F106:G106 F112:G112 F118:G118 F124:G124">
    <cfRule type="duplicateValues" dxfId="306" priority="5137"/>
  </conditionalFormatting>
  <conditionalFormatting sqref="F146:G146 F63:G64 F45:G45 F47:G47 F68:G68 F71:G74 F77:G80 F83:G86 F89:G92 F95:G98 F101:G104 F107:G110 F113:G116 F119:G122 F125:G126 F135:G138 F162:G162 F166:G179 F186:G187 F193:G198">
    <cfRule type="duplicateValues" dxfId="305" priority="5146"/>
  </conditionalFormatting>
  <conditionalFormatting sqref="F62:G62 F46:G46 F48:G48 F66:G66 F70:G70 F76:G76 F82:G82 F88:G88 F94:G94 F100:G100 F106:G106 F112:G112 F118:G118 F124:G124">
    <cfRule type="duplicateValues" dxfId="304" priority="5149"/>
  </conditionalFormatting>
  <conditionalFormatting sqref="F67:G67">
    <cfRule type="duplicateValues" dxfId="303" priority="4408"/>
  </conditionalFormatting>
  <conditionalFormatting sqref="F68:G68">
    <cfRule type="duplicateValues" dxfId="302" priority="4389"/>
  </conditionalFormatting>
  <conditionalFormatting sqref="F69:G69">
    <cfRule type="duplicateValues" dxfId="301" priority="4379"/>
  </conditionalFormatting>
  <conditionalFormatting sqref="F70:G70">
    <cfRule type="duplicateValues" dxfId="300" priority="4369"/>
  </conditionalFormatting>
  <conditionalFormatting sqref="F71:G71">
    <cfRule type="duplicateValues" dxfId="299" priority="4359"/>
  </conditionalFormatting>
  <conditionalFormatting sqref="F72:G72">
    <cfRule type="duplicateValues" dxfId="298" priority="4349"/>
  </conditionalFormatting>
  <conditionalFormatting sqref="F73:G73">
    <cfRule type="duplicateValues" dxfId="297" priority="4339"/>
  </conditionalFormatting>
  <conditionalFormatting sqref="F74:G74">
    <cfRule type="duplicateValues" dxfId="296" priority="4329"/>
  </conditionalFormatting>
  <conditionalFormatting sqref="F75:G75">
    <cfRule type="duplicateValues" dxfId="295" priority="4319"/>
  </conditionalFormatting>
  <conditionalFormatting sqref="F76:G76">
    <cfRule type="duplicateValues" dxfId="294" priority="4309"/>
  </conditionalFormatting>
  <conditionalFormatting sqref="F77:G77">
    <cfRule type="duplicateValues" dxfId="293" priority="4299"/>
  </conditionalFormatting>
  <conditionalFormatting sqref="F78:G78">
    <cfRule type="duplicateValues" dxfId="292" priority="4289"/>
  </conditionalFormatting>
  <conditionalFormatting sqref="F79:G79">
    <cfRule type="duplicateValues" dxfId="291" priority="4279"/>
  </conditionalFormatting>
  <conditionalFormatting sqref="F80:G80">
    <cfRule type="duplicateValues" dxfId="290" priority="4269"/>
  </conditionalFormatting>
  <conditionalFormatting sqref="F81:G81">
    <cfRule type="duplicateValues" dxfId="289" priority="4259"/>
  </conditionalFormatting>
  <conditionalFormatting sqref="F82:G82">
    <cfRule type="duplicateValues" dxfId="288" priority="4249"/>
  </conditionalFormatting>
  <conditionalFormatting sqref="F83:G83">
    <cfRule type="duplicateValues" dxfId="287" priority="4239"/>
  </conditionalFormatting>
  <conditionalFormatting sqref="F84:G84">
    <cfRule type="duplicateValues" dxfId="286" priority="4229"/>
  </conditionalFormatting>
  <conditionalFormatting sqref="F86:G86">
    <cfRule type="duplicateValues" dxfId="285" priority="4219"/>
  </conditionalFormatting>
  <conditionalFormatting sqref="F87:G87">
    <cfRule type="duplicateValues" dxfId="284" priority="4209"/>
  </conditionalFormatting>
  <conditionalFormatting sqref="F88:G88">
    <cfRule type="duplicateValues" dxfId="283" priority="4199"/>
  </conditionalFormatting>
  <conditionalFormatting sqref="F90:G90">
    <cfRule type="duplicateValues" dxfId="282" priority="4189"/>
  </conditionalFormatting>
  <conditionalFormatting sqref="F91:G91">
    <cfRule type="duplicateValues" dxfId="281" priority="4179"/>
  </conditionalFormatting>
  <conditionalFormatting sqref="F92:G96">
    <cfRule type="duplicateValues" dxfId="280" priority="4169"/>
  </conditionalFormatting>
  <conditionalFormatting sqref="F97:G97">
    <cfRule type="duplicateValues" dxfId="279" priority="4159"/>
  </conditionalFormatting>
  <conditionalFormatting sqref="F98:G98">
    <cfRule type="duplicateValues" dxfId="278" priority="4149"/>
  </conditionalFormatting>
  <conditionalFormatting sqref="F99:G99">
    <cfRule type="duplicateValues" dxfId="277" priority="4139"/>
  </conditionalFormatting>
  <conditionalFormatting sqref="F100:G100">
    <cfRule type="duplicateValues" dxfId="276" priority="4129"/>
  </conditionalFormatting>
  <conditionalFormatting sqref="F101:G101">
    <cfRule type="duplicateValues" dxfId="275" priority="4119"/>
  </conditionalFormatting>
  <conditionalFormatting sqref="F102:G102">
    <cfRule type="duplicateValues" dxfId="274" priority="4109"/>
  </conditionalFormatting>
  <conditionalFormatting sqref="F103:G103">
    <cfRule type="duplicateValues" dxfId="273" priority="4099"/>
  </conditionalFormatting>
  <conditionalFormatting sqref="F104:G104">
    <cfRule type="duplicateValues" dxfId="272" priority="4089"/>
  </conditionalFormatting>
  <conditionalFormatting sqref="F105:G108">
    <cfRule type="duplicateValues" dxfId="271" priority="4079"/>
  </conditionalFormatting>
  <conditionalFormatting sqref="AG105:AG118 AG127:AG161 AG163:AG206 AI207:AI294 AJ295:AJ297 AI298:AI307 AN372:AN439">
    <cfRule type="cellIs" dxfId="270" priority="4078" operator="between">
      <formula>5</formula>
      <formula>2500</formula>
    </cfRule>
  </conditionalFormatting>
  <conditionalFormatting sqref="F109:G112">
    <cfRule type="duplicateValues" dxfId="269" priority="4068"/>
  </conditionalFormatting>
  <conditionalFormatting sqref="F113:G114">
    <cfRule type="duplicateValues" dxfId="268" priority="4057"/>
  </conditionalFormatting>
  <conditionalFormatting sqref="F115:G118">
    <cfRule type="duplicateValues" dxfId="267" priority="4046"/>
  </conditionalFormatting>
  <conditionalFormatting sqref="F127:G127">
    <cfRule type="duplicateValues" dxfId="266" priority="4044"/>
  </conditionalFormatting>
  <conditionalFormatting sqref="F128:G128">
    <cfRule type="duplicateValues" dxfId="265" priority="4033"/>
  </conditionalFormatting>
  <conditionalFormatting sqref="F129:G129">
    <cfRule type="duplicateValues" dxfId="264" priority="4022"/>
  </conditionalFormatting>
  <conditionalFormatting sqref="F130:G130">
    <cfRule type="duplicateValues" dxfId="263" priority="4011"/>
  </conditionalFormatting>
  <conditionalFormatting sqref="F131:G131">
    <cfRule type="duplicateValues" dxfId="262" priority="4000"/>
  </conditionalFormatting>
  <conditionalFormatting sqref="F132:G132">
    <cfRule type="duplicateValues" dxfId="261" priority="3989"/>
  </conditionalFormatting>
  <conditionalFormatting sqref="F133:G133">
    <cfRule type="duplicateValues" dxfId="260" priority="3978"/>
  </conditionalFormatting>
  <conditionalFormatting sqref="F134:G134">
    <cfRule type="duplicateValues" dxfId="259" priority="3967"/>
  </conditionalFormatting>
  <conditionalFormatting sqref="F135:G135">
    <cfRule type="duplicateValues" dxfId="258" priority="3947"/>
  </conditionalFormatting>
  <conditionalFormatting sqref="F136:G136">
    <cfRule type="duplicateValues" dxfId="257" priority="3936"/>
  </conditionalFormatting>
  <conditionalFormatting sqref="F137:G137">
    <cfRule type="duplicateValues" dxfId="256" priority="3925"/>
  </conditionalFormatting>
  <conditionalFormatting sqref="F138:G138">
    <cfRule type="duplicateValues" dxfId="255" priority="3914"/>
  </conditionalFormatting>
  <conditionalFormatting sqref="F139:G139">
    <cfRule type="duplicateValues" dxfId="254" priority="3912"/>
  </conditionalFormatting>
  <conditionalFormatting sqref="F140:G140">
    <cfRule type="duplicateValues" dxfId="253" priority="3901"/>
  </conditionalFormatting>
  <conditionalFormatting sqref="F141:G142">
    <cfRule type="duplicateValues" dxfId="252" priority="3890"/>
  </conditionalFormatting>
  <conditionalFormatting sqref="F143:G143">
    <cfRule type="duplicateValues" dxfId="251" priority="3868"/>
  </conditionalFormatting>
  <conditionalFormatting sqref="F144:G144">
    <cfRule type="duplicateValues" dxfId="250" priority="3857"/>
  </conditionalFormatting>
  <conditionalFormatting sqref="F145:G145">
    <cfRule type="duplicateValues" dxfId="249" priority="3846"/>
  </conditionalFormatting>
  <conditionalFormatting sqref="F148:G148">
    <cfRule type="duplicateValues" dxfId="248" priority="3824"/>
  </conditionalFormatting>
  <conditionalFormatting sqref="F149:G149">
    <cfRule type="duplicateValues" dxfId="247" priority="3813"/>
  </conditionalFormatting>
  <conditionalFormatting sqref="F150:G150">
    <cfRule type="duplicateValues" dxfId="246" priority="3802"/>
  </conditionalFormatting>
  <conditionalFormatting sqref="F151:G151">
    <cfRule type="duplicateValues" dxfId="245" priority="3791"/>
  </conditionalFormatting>
  <conditionalFormatting sqref="F147:G147">
    <cfRule type="duplicateValues" dxfId="244" priority="3780"/>
  </conditionalFormatting>
  <conditionalFormatting sqref="F146:G146">
    <cfRule type="duplicateValues" dxfId="243" priority="5187"/>
  </conditionalFormatting>
  <conditionalFormatting sqref="F152:G152">
    <cfRule type="duplicateValues" dxfId="242" priority="3769"/>
  </conditionalFormatting>
  <conditionalFormatting sqref="F153:G153">
    <cfRule type="duplicateValues" dxfId="241" priority="3758"/>
  </conditionalFormatting>
  <conditionalFormatting sqref="F154:G154">
    <cfRule type="duplicateValues" dxfId="240" priority="3747"/>
  </conditionalFormatting>
  <conditionalFormatting sqref="F155:G155">
    <cfRule type="duplicateValues" dxfId="239" priority="3736"/>
  </conditionalFormatting>
  <conditionalFormatting sqref="F156:G156">
    <cfRule type="duplicateValues" dxfId="238" priority="3725"/>
  </conditionalFormatting>
  <conditionalFormatting sqref="F157:G158">
    <cfRule type="duplicateValues" dxfId="237" priority="3714"/>
  </conditionalFormatting>
  <conditionalFormatting sqref="F159:G161">
    <cfRule type="duplicateValues" dxfId="236" priority="3703"/>
  </conditionalFormatting>
  <conditionalFormatting sqref="F163:G163">
    <cfRule type="duplicateValues" dxfId="235" priority="3692"/>
  </conditionalFormatting>
  <conditionalFormatting sqref="F164:G164">
    <cfRule type="duplicateValues" dxfId="234" priority="3681"/>
  </conditionalFormatting>
  <conditionalFormatting sqref="F165:G165">
    <cfRule type="duplicateValues" dxfId="233" priority="3670"/>
  </conditionalFormatting>
  <conditionalFormatting sqref="F166:G166">
    <cfRule type="duplicateValues" dxfId="232" priority="3650"/>
  </conditionalFormatting>
  <conditionalFormatting sqref="F167:G169">
    <cfRule type="duplicateValues" dxfId="231" priority="3639"/>
  </conditionalFormatting>
  <conditionalFormatting sqref="F170:G172">
    <cfRule type="duplicateValues" dxfId="230" priority="3628"/>
  </conditionalFormatting>
  <conditionalFormatting sqref="F173:G173">
    <cfRule type="duplicateValues" dxfId="229" priority="3617"/>
  </conditionalFormatting>
  <conditionalFormatting sqref="F174:G174">
    <cfRule type="duplicateValues" dxfId="228" priority="3606"/>
  </conditionalFormatting>
  <conditionalFormatting sqref="F175:G175">
    <cfRule type="duplicateValues" dxfId="227" priority="3595"/>
  </conditionalFormatting>
  <conditionalFormatting sqref="F176:G176">
    <cfRule type="duplicateValues" dxfId="226" priority="3584"/>
  </conditionalFormatting>
  <conditionalFormatting sqref="F177:G178">
    <cfRule type="duplicateValues" dxfId="225" priority="3573"/>
  </conditionalFormatting>
  <conditionalFormatting sqref="F179:G179">
    <cfRule type="duplicateValues" dxfId="224" priority="3562"/>
  </conditionalFormatting>
  <conditionalFormatting sqref="F180:G180">
    <cfRule type="duplicateValues" dxfId="223" priority="3560"/>
  </conditionalFormatting>
  <conditionalFormatting sqref="F181:G182">
    <cfRule type="duplicateValues" dxfId="222" priority="3549"/>
  </conditionalFormatting>
  <conditionalFormatting sqref="F183:G183">
    <cfRule type="duplicateValues" dxfId="221" priority="3538"/>
  </conditionalFormatting>
  <conditionalFormatting sqref="F184:G185">
    <cfRule type="duplicateValues" dxfId="220" priority="3527"/>
  </conditionalFormatting>
  <conditionalFormatting sqref="F186:G186">
    <cfRule type="duplicateValues" dxfId="219" priority="3507"/>
  </conditionalFormatting>
  <conditionalFormatting sqref="F187:G187">
    <cfRule type="duplicateValues" dxfId="218" priority="3495"/>
  </conditionalFormatting>
  <conditionalFormatting sqref="F188:G188">
    <cfRule type="duplicateValues" dxfId="217" priority="3493"/>
  </conditionalFormatting>
  <conditionalFormatting sqref="F189:G189">
    <cfRule type="duplicateValues" dxfId="216" priority="3482"/>
  </conditionalFormatting>
  <conditionalFormatting sqref="F190:G191">
    <cfRule type="duplicateValues" dxfId="215" priority="3471"/>
  </conditionalFormatting>
  <conditionalFormatting sqref="F192:G192">
    <cfRule type="duplicateValues" dxfId="214" priority="3460"/>
  </conditionalFormatting>
  <conditionalFormatting sqref="F193:G193">
    <cfRule type="duplicateValues" dxfId="213" priority="3440"/>
  </conditionalFormatting>
  <conditionalFormatting sqref="F194:G194">
    <cfRule type="duplicateValues" dxfId="212" priority="3429"/>
  </conditionalFormatting>
  <conditionalFormatting sqref="F195:G195">
    <cfRule type="duplicateValues" dxfId="211" priority="3418"/>
  </conditionalFormatting>
  <conditionalFormatting sqref="F196:G196">
    <cfRule type="duplicateValues" dxfId="210" priority="3407"/>
  </conditionalFormatting>
  <conditionalFormatting sqref="F197:G197">
    <cfRule type="duplicateValues" dxfId="209" priority="3396"/>
  </conditionalFormatting>
  <conditionalFormatting sqref="F198:G198">
    <cfRule type="duplicateValues" dxfId="208" priority="3385"/>
  </conditionalFormatting>
  <conditionalFormatting sqref="F199:G199">
    <cfRule type="duplicateValues" dxfId="207" priority="3374"/>
  </conditionalFormatting>
  <conditionalFormatting sqref="F200:G200">
    <cfRule type="duplicateValues" dxfId="206" priority="3363"/>
  </conditionalFormatting>
  <conditionalFormatting sqref="F201:G201">
    <cfRule type="duplicateValues" dxfId="205" priority="3352"/>
  </conditionalFormatting>
  <conditionalFormatting sqref="F202:G202">
    <cfRule type="duplicateValues" dxfId="204" priority="3341"/>
  </conditionalFormatting>
  <conditionalFormatting sqref="F204:G204">
    <cfRule type="duplicateValues" dxfId="203" priority="3300"/>
  </conditionalFormatting>
  <conditionalFormatting sqref="F205:G205">
    <cfRule type="duplicateValues" dxfId="202" priority="3233"/>
  </conditionalFormatting>
  <conditionalFormatting sqref="F206:G206">
    <cfRule type="duplicateValues" dxfId="201" priority="3222"/>
  </conditionalFormatting>
  <conditionalFormatting sqref="F203:G204">
    <cfRule type="duplicateValues" dxfId="200" priority="5188"/>
  </conditionalFormatting>
  <conditionalFormatting sqref="F207:G207">
    <cfRule type="duplicateValues" dxfId="199" priority="3202"/>
  </conditionalFormatting>
  <conditionalFormatting sqref="F208:G208">
    <cfRule type="duplicateValues" dxfId="198" priority="3190"/>
  </conditionalFormatting>
  <conditionalFormatting sqref="F209:G209">
    <cfRule type="duplicateValues" dxfId="197" priority="3189"/>
  </conditionalFormatting>
  <conditionalFormatting sqref="F210:G211">
    <cfRule type="duplicateValues" dxfId="196" priority="3178"/>
  </conditionalFormatting>
  <conditionalFormatting sqref="F212:G213">
    <cfRule type="duplicateValues" dxfId="195" priority="3167"/>
  </conditionalFormatting>
  <conditionalFormatting sqref="F214:G214">
    <cfRule type="duplicateValues" dxfId="194" priority="3147"/>
  </conditionalFormatting>
  <conditionalFormatting sqref="F215:G215">
    <cfRule type="duplicateValues" dxfId="193" priority="3136"/>
  </conditionalFormatting>
  <conditionalFormatting sqref="F216:G216">
    <cfRule type="duplicateValues" dxfId="192" priority="3125"/>
  </conditionalFormatting>
  <conditionalFormatting sqref="F217:G217">
    <cfRule type="duplicateValues" dxfId="191" priority="3114"/>
  </conditionalFormatting>
  <conditionalFormatting sqref="F218:G218">
    <cfRule type="duplicateValues" dxfId="190" priority="3103"/>
  </conditionalFormatting>
  <conditionalFormatting sqref="F219:G219">
    <cfRule type="duplicateValues" dxfId="189" priority="3092"/>
  </conditionalFormatting>
  <conditionalFormatting sqref="F220:G220">
    <cfRule type="duplicateValues" dxfId="188" priority="3081"/>
  </conditionalFormatting>
  <conditionalFormatting sqref="F221:G221">
    <cfRule type="duplicateValues" dxfId="187" priority="3070"/>
  </conditionalFormatting>
  <conditionalFormatting sqref="F222:G222">
    <cfRule type="duplicateValues" dxfId="186" priority="3068"/>
  </conditionalFormatting>
  <conditionalFormatting sqref="F226:G226">
    <cfRule type="duplicateValues" dxfId="185" priority="3004"/>
  </conditionalFormatting>
  <conditionalFormatting sqref="F223:G226">
    <cfRule type="duplicateValues" dxfId="184" priority="5628"/>
  </conditionalFormatting>
  <conditionalFormatting sqref="F224:G226">
    <cfRule type="duplicateValues" dxfId="183" priority="5640"/>
  </conditionalFormatting>
  <conditionalFormatting sqref="F225:G226">
    <cfRule type="duplicateValues" dxfId="182" priority="5651"/>
  </conditionalFormatting>
  <conditionalFormatting sqref="F227:G227">
    <cfRule type="duplicateValues" dxfId="181" priority="2993"/>
  </conditionalFormatting>
  <conditionalFormatting sqref="F228:G228">
    <cfRule type="duplicateValues" dxfId="180" priority="2982"/>
  </conditionalFormatting>
  <conditionalFormatting sqref="F229:G229">
    <cfRule type="duplicateValues" dxfId="179" priority="2971"/>
  </conditionalFormatting>
  <conditionalFormatting sqref="F230:G230">
    <cfRule type="duplicateValues" dxfId="178" priority="2960"/>
  </conditionalFormatting>
  <conditionalFormatting sqref="F231:G231">
    <cfRule type="duplicateValues" dxfId="177" priority="2949"/>
  </conditionalFormatting>
  <conditionalFormatting sqref="F232:G232">
    <cfRule type="duplicateValues" dxfId="176" priority="2938"/>
  </conditionalFormatting>
  <conditionalFormatting sqref="F233:G233">
    <cfRule type="duplicateValues" dxfId="175" priority="2936"/>
  </conditionalFormatting>
  <conditionalFormatting sqref="F234:G234">
    <cfRule type="duplicateValues" dxfId="174" priority="2925"/>
  </conditionalFormatting>
  <conditionalFormatting sqref="F235:G236">
    <cfRule type="duplicateValues" dxfId="173" priority="2914"/>
  </conditionalFormatting>
  <conditionalFormatting sqref="F237:G238">
    <cfRule type="duplicateValues" dxfId="172" priority="2903"/>
  </conditionalFormatting>
  <conditionalFormatting sqref="F238:G238">
    <cfRule type="duplicateValues" dxfId="171" priority="2883"/>
  </conditionalFormatting>
  <conditionalFormatting sqref="F239:G239">
    <cfRule type="duplicateValues" dxfId="170" priority="2881"/>
  </conditionalFormatting>
  <conditionalFormatting sqref="F240:G241">
    <cfRule type="duplicateValues" dxfId="169" priority="2870"/>
  </conditionalFormatting>
  <conditionalFormatting sqref="F242:G242">
    <cfRule type="duplicateValues" dxfId="168" priority="2859"/>
  </conditionalFormatting>
  <conditionalFormatting sqref="F243:G243">
    <cfRule type="duplicateValues" dxfId="167" priority="2848"/>
  </conditionalFormatting>
  <conditionalFormatting sqref="F244:G244">
    <cfRule type="duplicateValues" dxfId="166" priority="2837"/>
  </conditionalFormatting>
  <conditionalFormatting sqref="F245:G245">
    <cfRule type="duplicateValues" dxfId="165" priority="2826"/>
  </conditionalFormatting>
  <conditionalFormatting sqref="F246:G246">
    <cfRule type="duplicateValues" dxfId="164" priority="2815"/>
  </conditionalFormatting>
  <conditionalFormatting sqref="F247:G247">
    <cfRule type="duplicateValues" dxfId="163" priority="2804"/>
  </conditionalFormatting>
  <conditionalFormatting sqref="F248:G248">
    <cfRule type="duplicateValues" dxfId="162" priority="2784"/>
  </conditionalFormatting>
  <conditionalFormatting sqref="F249:G249">
    <cfRule type="duplicateValues" dxfId="161" priority="2773"/>
  </conditionalFormatting>
  <conditionalFormatting sqref="F250:G250">
    <cfRule type="duplicateValues" dxfId="160" priority="2762"/>
  </conditionalFormatting>
  <conditionalFormatting sqref="F251:G251">
    <cfRule type="duplicateValues" dxfId="159" priority="2750"/>
  </conditionalFormatting>
  <conditionalFormatting sqref="F252:G252">
    <cfRule type="duplicateValues" dxfId="158" priority="2739"/>
  </conditionalFormatting>
  <conditionalFormatting sqref="F253:G253">
    <cfRule type="duplicateValues" dxfId="157" priority="2728"/>
  </conditionalFormatting>
  <conditionalFormatting sqref="F254:G254">
    <cfRule type="duplicateValues" dxfId="156" priority="2717"/>
  </conditionalFormatting>
  <conditionalFormatting sqref="F255:G255">
    <cfRule type="duplicateValues" dxfId="155" priority="2706"/>
  </conditionalFormatting>
  <conditionalFormatting sqref="F256:G257">
    <cfRule type="duplicateValues" dxfId="154" priority="2695"/>
  </conditionalFormatting>
  <conditionalFormatting sqref="F258:G258">
    <cfRule type="duplicateValues" dxfId="153" priority="2673"/>
  </conditionalFormatting>
  <conditionalFormatting sqref="F259:G259">
    <cfRule type="duplicateValues" dxfId="152" priority="2662"/>
  </conditionalFormatting>
  <conditionalFormatting sqref="F260:G260">
    <cfRule type="duplicateValues" dxfId="151" priority="2651"/>
  </conditionalFormatting>
  <conditionalFormatting sqref="F261:G261">
    <cfRule type="duplicateValues" dxfId="150" priority="2640"/>
  </conditionalFormatting>
  <conditionalFormatting sqref="F262:G262">
    <cfRule type="duplicateValues" dxfId="149" priority="2629"/>
  </conditionalFormatting>
  <conditionalFormatting sqref="F263:G263">
    <cfRule type="duplicateValues" dxfId="148" priority="2618"/>
  </conditionalFormatting>
  <conditionalFormatting sqref="F264:G264">
    <cfRule type="duplicateValues" dxfId="147" priority="2607"/>
  </conditionalFormatting>
  <conditionalFormatting sqref="F265:G265">
    <cfRule type="duplicateValues" dxfId="146" priority="2596"/>
  </conditionalFormatting>
  <conditionalFormatting sqref="F266:G266">
    <cfRule type="duplicateValues" dxfId="145" priority="2585"/>
  </conditionalFormatting>
  <conditionalFormatting sqref="F267:G268">
    <cfRule type="duplicateValues" dxfId="144" priority="2574"/>
  </conditionalFormatting>
  <conditionalFormatting sqref="F269:G270">
    <cfRule type="duplicateValues" dxfId="143" priority="2563"/>
  </conditionalFormatting>
  <conditionalFormatting sqref="F271:G271">
    <cfRule type="duplicateValues" dxfId="142" priority="2552"/>
  </conditionalFormatting>
  <conditionalFormatting sqref="F272:G272">
    <cfRule type="duplicateValues" dxfId="141" priority="2541"/>
  </conditionalFormatting>
  <conditionalFormatting sqref="F273:G273">
    <cfRule type="duplicateValues" dxfId="140" priority="2540"/>
  </conditionalFormatting>
  <conditionalFormatting sqref="F274:G274">
    <cfRule type="duplicateValues" dxfId="139" priority="2529"/>
  </conditionalFormatting>
  <conditionalFormatting sqref="F275:G276">
    <cfRule type="duplicateValues" dxfId="138" priority="2508"/>
  </conditionalFormatting>
  <conditionalFormatting sqref="F277:G277">
    <cfRule type="duplicateValues" dxfId="137" priority="2507"/>
  </conditionalFormatting>
  <conditionalFormatting sqref="F278:G280">
    <cfRule type="duplicateValues" dxfId="136" priority="2496"/>
  </conditionalFormatting>
  <conditionalFormatting sqref="F281:G281">
    <cfRule type="duplicateValues" dxfId="135" priority="2485"/>
  </conditionalFormatting>
  <conditionalFormatting sqref="F282:G282">
    <cfRule type="duplicateValues" dxfId="134" priority="2474"/>
  </conditionalFormatting>
  <conditionalFormatting sqref="F283:G283">
    <cfRule type="duplicateValues" dxfId="133" priority="2463"/>
  </conditionalFormatting>
  <conditionalFormatting sqref="F284:G288">
    <cfRule type="duplicateValues" dxfId="132" priority="2452"/>
  </conditionalFormatting>
  <conditionalFormatting sqref="F289:G289">
    <cfRule type="duplicateValues" dxfId="131" priority="2441"/>
  </conditionalFormatting>
  <conditionalFormatting sqref="F290:G290">
    <cfRule type="duplicateValues" dxfId="130" priority="2430"/>
  </conditionalFormatting>
  <conditionalFormatting sqref="F291:G291">
    <cfRule type="duplicateValues" dxfId="129" priority="2419"/>
  </conditionalFormatting>
  <conditionalFormatting sqref="F292:G293">
    <cfRule type="duplicateValues" dxfId="128" priority="2398"/>
  </conditionalFormatting>
  <conditionalFormatting sqref="F294:G294">
    <cfRule type="duplicateValues" dxfId="127" priority="2356"/>
  </conditionalFormatting>
  <conditionalFormatting sqref="F295:G296">
    <cfRule type="duplicateValues" dxfId="126" priority="2325"/>
  </conditionalFormatting>
  <conditionalFormatting sqref="F297:G297">
    <cfRule type="duplicateValues" dxfId="125" priority="2313"/>
  </conditionalFormatting>
  <conditionalFormatting sqref="F298:F299">
    <cfRule type="duplicateValues" dxfId="124" priority="2270"/>
  </conditionalFormatting>
  <conditionalFormatting sqref="F300">
    <cfRule type="duplicateValues" dxfId="123" priority="2248"/>
  </conditionalFormatting>
  <conditionalFormatting sqref="F301">
    <cfRule type="duplicateValues" dxfId="122" priority="2226"/>
  </conditionalFormatting>
  <conditionalFormatting sqref="F302">
    <cfRule type="duplicateValues" dxfId="121" priority="2204"/>
  </conditionalFormatting>
  <conditionalFormatting sqref="F303:F304">
    <cfRule type="duplicateValues" dxfId="120" priority="2182"/>
  </conditionalFormatting>
  <conditionalFormatting sqref="F305">
    <cfRule type="duplicateValues" dxfId="119" priority="2138"/>
  </conditionalFormatting>
  <conditionalFormatting sqref="F306">
    <cfRule type="duplicateValues" dxfId="118" priority="2127"/>
  </conditionalFormatting>
  <conditionalFormatting sqref="F307">
    <cfRule type="duplicateValues" dxfId="117" priority="2105"/>
  </conditionalFormatting>
  <conditionalFormatting sqref="F299">
    <cfRule type="duplicateValues" dxfId="116" priority="2083"/>
  </conditionalFormatting>
  <conditionalFormatting sqref="Z299 Z308:Z439">
    <cfRule type="cellIs" dxfId="115" priority="2071" operator="equal">
      <formula>"ПОДЛЕЖИТ ПЕРЕПРОВЕРКЕ"</formula>
    </cfRule>
  </conditionalFormatting>
  <conditionalFormatting sqref="F308">
    <cfRule type="duplicateValues" dxfId="114" priority="2049"/>
  </conditionalFormatting>
  <conditionalFormatting sqref="F309:F310">
    <cfRule type="duplicateValues" dxfId="113" priority="2026"/>
  </conditionalFormatting>
  <conditionalFormatting sqref="F311">
    <cfRule type="duplicateValues" dxfId="112" priority="2014"/>
  </conditionalFormatting>
  <conditionalFormatting sqref="F312:F313">
    <cfRule type="duplicateValues" dxfId="111" priority="1991"/>
  </conditionalFormatting>
  <conditionalFormatting sqref="F314">
    <cfRule type="duplicateValues" dxfId="110" priority="1968"/>
  </conditionalFormatting>
  <conditionalFormatting sqref="F315:F319">
    <cfRule type="duplicateValues" dxfId="109" priority="1945"/>
  </conditionalFormatting>
  <conditionalFormatting sqref="F322">
    <cfRule type="duplicateValues" dxfId="108" priority="1922"/>
  </conditionalFormatting>
  <conditionalFormatting sqref="F321">
    <cfRule type="duplicateValues" dxfId="107" priority="1921"/>
  </conditionalFormatting>
  <conditionalFormatting sqref="F323">
    <cfRule type="duplicateValues" dxfId="106" priority="1898"/>
  </conditionalFormatting>
  <conditionalFormatting sqref="F324">
    <cfRule type="duplicateValues" dxfId="105" priority="1875"/>
  </conditionalFormatting>
  <conditionalFormatting sqref="F325:F326">
    <cfRule type="duplicateValues" dxfId="104" priority="1852"/>
  </conditionalFormatting>
  <conditionalFormatting sqref="F327">
    <cfRule type="duplicateValues" dxfId="103" priority="1829"/>
  </conditionalFormatting>
  <conditionalFormatting sqref="F328:F329">
    <cfRule type="duplicateValues" dxfId="102" priority="1806"/>
  </conditionalFormatting>
  <conditionalFormatting sqref="F330:F331">
    <cfRule type="duplicateValues" dxfId="101" priority="1783"/>
  </conditionalFormatting>
  <conditionalFormatting sqref="F332">
    <cfRule type="duplicateValues" dxfId="100" priority="1760"/>
  </conditionalFormatting>
  <conditionalFormatting sqref="F333:F336">
    <cfRule type="duplicateValues" dxfId="99" priority="1736"/>
  </conditionalFormatting>
  <conditionalFormatting sqref="F337:F338">
    <cfRule type="duplicateValues" dxfId="98" priority="1712"/>
  </conditionalFormatting>
  <conditionalFormatting sqref="F339:F340">
    <cfRule type="duplicateValues" dxfId="97" priority="1675"/>
  </conditionalFormatting>
  <conditionalFormatting sqref="F341:F342">
    <cfRule type="duplicateValues" dxfId="96" priority="1651"/>
  </conditionalFormatting>
  <conditionalFormatting sqref="F343">
    <cfRule type="duplicateValues" dxfId="95" priority="1640"/>
  </conditionalFormatting>
  <conditionalFormatting sqref="F344:F346">
    <cfRule type="duplicateValues" dxfId="94" priority="1603"/>
  </conditionalFormatting>
  <conditionalFormatting sqref="O347:O439">
    <cfRule type="cellIs" dxfId="93" priority="1597" operator="between">
      <formula>63</formula>
      <formula>70</formula>
    </cfRule>
    <cfRule type="cellIs" dxfId="92" priority="1598" operator="equal">
      <formula>42</formula>
    </cfRule>
    <cfRule type="cellIs" dxfId="91" priority="1599" operator="equal">
      <formula>21</formula>
    </cfRule>
  </conditionalFormatting>
  <conditionalFormatting sqref="F347">
    <cfRule type="duplicateValues" dxfId="90" priority="1592"/>
  </conditionalFormatting>
  <conditionalFormatting sqref="F348">
    <cfRule type="duplicateValues" dxfId="89" priority="1568"/>
  </conditionalFormatting>
  <conditionalFormatting sqref="F349:F350">
    <cfRule type="duplicateValues" dxfId="88" priority="1531"/>
  </conditionalFormatting>
  <conditionalFormatting sqref="F351">
    <cfRule type="duplicateValues" dxfId="87" priority="1520"/>
  </conditionalFormatting>
  <conditionalFormatting sqref="F352">
    <cfRule type="duplicateValues" dxfId="86" priority="1506"/>
  </conditionalFormatting>
  <conditionalFormatting sqref="F353">
    <cfRule type="duplicateValues" dxfId="85" priority="1472"/>
  </conditionalFormatting>
  <conditionalFormatting sqref="F354:F355">
    <cfRule type="duplicateValues" dxfId="84" priority="1448"/>
  </conditionalFormatting>
  <conditionalFormatting sqref="F356:F358">
    <cfRule type="duplicateValues" dxfId="83" priority="1424"/>
  </conditionalFormatting>
  <conditionalFormatting sqref="F359:F363">
    <cfRule type="duplicateValues" dxfId="82" priority="1410"/>
  </conditionalFormatting>
  <conditionalFormatting sqref="F364:F365">
    <cfRule type="duplicateValues" dxfId="81" priority="1386"/>
  </conditionalFormatting>
  <conditionalFormatting sqref="F366">
    <cfRule type="duplicateValues" dxfId="80" priority="1352"/>
  </conditionalFormatting>
  <conditionalFormatting sqref="F367">
    <cfRule type="duplicateValues" dxfId="79" priority="1315"/>
  </conditionalFormatting>
  <conditionalFormatting sqref="F368">
    <cfRule type="duplicateValues" dxfId="78" priority="1304"/>
  </conditionalFormatting>
  <conditionalFormatting sqref="F369">
    <cfRule type="duplicateValues" dxfId="77" priority="1280"/>
  </conditionalFormatting>
  <conditionalFormatting sqref="F370:F371">
    <cfRule type="duplicateValues" dxfId="76" priority="1256"/>
  </conditionalFormatting>
  <conditionalFormatting sqref="F373">
    <cfRule type="duplicateValues" dxfId="75" priority="1208"/>
  </conditionalFormatting>
  <conditionalFormatting sqref="BE372:BE406 AZ372:AZ406 BD407:BD434 BI407:BI434 BT435:BT439 BY435:BY439">
    <cfRule type="cellIs" dxfId="74" priority="1207" operator="equal">
      <formula>"ПОДЛЕЖИТ ВАКЦИНАЦИИ"</formula>
    </cfRule>
  </conditionalFormatting>
  <conditionalFormatting sqref="BC372:BC406 BG407:BG434 BW435:BW439">
    <cfRule type="cellIs" dxfId="73" priority="1206" operator="equal">
      <formula>"Ж-Е НЕ ВАКЦ."</formula>
    </cfRule>
  </conditionalFormatting>
  <conditionalFormatting sqref="BU372:BU406 BE372:BE406 BI407:BI434 BY407:BY439 CO435:CO439">
    <cfRule type="cellIs" dxfId="72" priority="1205" operator="equal">
      <formula>"ТРЕБУЕТСЯ ВАКЦИНАЦИЯ"</formula>
    </cfRule>
  </conditionalFormatting>
  <conditionalFormatting sqref="BZ372:CA406 BI372:BJ406 BM407:BN434 CD407:CE434 CC435:CD439 CT435:CU439">
    <cfRule type="cellIs" dxfId="71" priority="1204" operator="equal">
      <formula>"ТРЕБУЕТСЯ БУСТЕРНАЯ ДОЗА"</formula>
    </cfRule>
  </conditionalFormatting>
  <conditionalFormatting sqref="CA372:CA406 BJ372:BJ406 BN407:BN434 CE407:CE434 BA435:BA439 CD435:CD439 CU435:CU439">
    <cfRule type="timePeriod" dxfId="70" priority="1202" timePeriod="today">
      <formula>FLOOR(BA372,1)=TODAY()</formula>
    </cfRule>
    <cfRule type="timePeriod" dxfId="69" priority="1203" timePeriod="tomorrow">
      <formula>FLOOR(BA372,1)=TODAY()+1</formula>
    </cfRule>
  </conditionalFormatting>
  <conditionalFormatting sqref="CE372:CE406 BO372:BO406 BS407:BS434 CI407:CI439 CY435:CY439">
    <cfRule type="cellIs" dxfId="68" priority="1200" operator="equal">
      <formula>"УСПЕШНО"</formula>
    </cfRule>
    <cfRule type="cellIs" dxfId="67" priority="1201" operator="equal">
      <formula>"НАРУШЕН СРОК ВАКЦИНАЦИИ"</formula>
    </cfRule>
  </conditionalFormatting>
  <conditionalFormatting sqref="CG372:CG406 BP372:BP406 BT372:BT434 BX407:BX434 CK407:CK434 CJ435:CJ439 CN435:CN439">
    <cfRule type="cellIs" dxfId="66" priority="1199" operator="equal">
      <formula>"ТРЕБУЕТСЯ РЕВАКЦИНАЦИЯ"</formula>
    </cfRule>
  </conditionalFormatting>
  <conditionalFormatting sqref="CD372:CD406 BN372:BN406 BR407:BR434 CH407:CH439 CX435:CX439">
    <cfRule type="cellIs" dxfId="65" priority="1198" operator="equal">
      <formula>0</formula>
    </cfRule>
  </conditionalFormatting>
  <conditionalFormatting sqref="BP372:BP406 BT372:BT434 BX407:BX434 CJ435:CJ439 CN435:CN439">
    <cfRule type="cellIs" dxfId="64" priority="1197" operator="equal">
      <formula>"НЕОБХОДИМА РЕВАКЦИНАЦИЯ"</formula>
    </cfRule>
  </conditionalFormatting>
  <conditionalFormatting sqref="CS372:CS406 CK372:CK406 CO407:CO420 CW407:CW420">
    <cfRule type="cellIs" dxfId="63" priority="1195" operator="equal">
      <formula>"ПОДЛЕЖИТ ОБРАБОТКЕ"</formula>
    </cfRule>
  </conditionalFormatting>
  <conditionalFormatting sqref="F374">
    <cfRule type="duplicateValues" dxfId="62" priority="1184"/>
  </conditionalFormatting>
  <conditionalFormatting sqref="F375">
    <cfRule type="duplicateValues" dxfId="61" priority="1160"/>
  </conditionalFormatting>
  <conditionalFormatting sqref="F376">
    <cfRule type="duplicateValues" dxfId="60" priority="1136"/>
  </conditionalFormatting>
  <conditionalFormatting sqref="F372">
    <cfRule type="duplicateValues" dxfId="59" priority="1112"/>
  </conditionalFormatting>
  <conditionalFormatting sqref="F377:F380">
    <cfRule type="duplicateValues" dxfId="58" priority="1088"/>
  </conditionalFormatting>
  <conditionalFormatting sqref="F381">
    <cfRule type="duplicateValues" dxfId="57" priority="1064"/>
  </conditionalFormatting>
  <conditionalFormatting sqref="F382:F383">
    <cfRule type="duplicateValues" dxfId="56" priority="1040"/>
  </conditionalFormatting>
  <conditionalFormatting sqref="F384">
    <cfRule type="duplicateValues" dxfId="55" priority="1016"/>
  </conditionalFormatting>
  <conditionalFormatting sqref="F385">
    <cfRule type="duplicateValues" dxfId="54" priority="992"/>
  </conditionalFormatting>
  <conditionalFormatting sqref="F386">
    <cfRule type="duplicateValues" dxfId="53" priority="968"/>
  </conditionalFormatting>
  <conditionalFormatting sqref="F387:F389">
    <cfRule type="duplicateValues" dxfId="52" priority="954"/>
  </conditionalFormatting>
  <conditionalFormatting sqref="F390">
    <cfRule type="duplicateValues" dxfId="51" priority="920"/>
  </conditionalFormatting>
  <conditionalFormatting sqref="F391">
    <cfRule type="duplicateValues" dxfId="50" priority="896"/>
  </conditionalFormatting>
  <conditionalFormatting sqref="F392">
    <cfRule type="duplicateValues" dxfId="49" priority="882"/>
  </conditionalFormatting>
  <conditionalFormatting sqref="F393">
    <cfRule type="duplicateValues" dxfId="48" priority="848"/>
  </conditionalFormatting>
  <conditionalFormatting sqref="F394">
    <cfRule type="duplicateValues" dxfId="47" priority="824"/>
  </conditionalFormatting>
  <conditionalFormatting sqref="F395:F396">
    <cfRule type="duplicateValues" dxfId="46" priority="800"/>
  </conditionalFormatting>
  <conditionalFormatting sqref="F397">
    <cfRule type="duplicateValues" dxfId="45" priority="776"/>
  </conditionalFormatting>
  <conditionalFormatting sqref="F398:F400">
    <cfRule type="duplicateValues" dxfId="44" priority="752"/>
  </conditionalFormatting>
  <conditionalFormatting sqref="F401">
    <cfRule type="duplicateValues" dxfId="43" priority="728"/>
  </conditionalFormatting>
  <conditionalFormatting sqref="F402">
    <cfRule type="duplicateValues" dxfId="42" priority="704"/>
  </conditionalFormatting>
  <conditionalFormatting sqref="F403">
    <cfRule type="duplicateValues" dxfId="41" priority="680"/>
  </conditionalFormatting>
  <conditionalFormatting sqref="F404">
    <cfRule type="duplicateValues" dxfId="40" priority="656"/>
  </conditionalFormatting>
  <conditionalFormatting sqref="F405">
    <cfRule type="duplicateValues" dxfId="39" priority="632"/>
  </conditionalFormatting>
  <conditionalFormatting sqref="F406">
    <cfRule type="duplicateValues" dxfId="38" priority="608"/>
  </conditionalFormatting>
  <conditionalFormatting sqref="F407">
    <cfRule type="duplicateValues" dxfId="37" priority="584"/>
  </conditionalFormatting>
  <conditionalFormatting sqref="F409:F410">
    <cfRule type="duplicateValues" dxfId="36" priority="560"/>
  </conditionalFormatting>
  <conditionalFormatting sqref="F411:F412 F408">
    <cfRule type="duplicateValues" dxfId="35" priority="559"/>
  </conditionalFormatting>
  <conditionalFormatting sqref="F413">
    <cfRule type="duplicateValues" dxfId="34" priority="535"/>
  </conditionalFormatting>
  <conditionalFormatting sqref="F414">
    <cfRule type="duplicateValues" dxfId="33" priority="511"/>
  </conditionalFormatting>
  <conditionalFormatting sqref="F415">
    <cfRule type="duplicateValues" dxfId="32" priority="487"/>
  </conditionalFormatting>
  <conditionalFormatting sqref="F416">
    <cfRule type="duplicateValues" dxfId="31" priority="463"/>
  </conditionalFormatting>
  <conditionalFormatting sqref="F417">
    <cfRule type="duplicateValues" dxfId="30" priority="439"/>
  </conditionalFormatting>
  <conditionalFormatting sqref="F418">
    <cfRule type="duplicateValues" dxfId="29" priority="425"/>
  </conditionalFormatting>
  <conditionalFormatting sqref="F419">
    <cfRule type="duplicateValues" dxfId="28" priority="401"/>
  </conditionalFormatting>
  <conditionalFormatting sqref="F420">
    <cfRule type="duplicateValues" dxfId="27" priority="377"/>
  </conditionalFormatting>
  <conditionalFormatting sqref="F421">
    <cfRule type="duplicateValues" dxfId="26" priority="343"/>
  </conditionalFormatting>
  <conditionalFormatting sqref="F422">
    <cfRule type="duplicateValues" dxfId="25" priority="330"/>
  </conditionalFormatting>
  <conditionalFormatting sqref="F423">
    <cfRule type="duplicateValues" dxfId="24" priority="307"/>
  </conditionalFormatting>
  <conditionalFormatting sqref="F424">
    <cfRule type="duplicateValues" dxfId="23" priority="274"/>
  </conditionalFormatting>
  <conditionalFormatting sqref="F425">
    <cfRule type="duplicateValues" dxfId="22" priority="251"/>
  </conditionalFormatting>
  <conditionalFormatting sqref="F426:F432">
    <cfRule type="duplicateValues" dxfId="21" priority="228"/>
  </conditionalFormatting>
  <conditionalFormatting sqref="F433:F434">
    <cfRule type="duplicateValues" dxfId="20" priority="205"/>
  </conditionalFormatting>
  <conditionalFormatting sqref="F435">
    <cfRule type="duplicateValues" dxfId="19" priority="182"/>
  </conditionalFormatting>
  <conditionalFormatting sqref="AZ435:AZ439">
    <cfRule type="cellIs" dxfId="18" priority="169" operator="equal">
      <formula>"РЕВАКЦИНАЦИЯ"</formula>
    </cfRule>
  </conditionalFormatting>
  <conditionalFormatting sqref="F436:F437">
    <cfRule type="duplicateValues" dxfId="17" priority="158"/>
  </conditionalFormatting>
  <conditionalFormatting sqref="F438">
    <cfRule type="duplicateValues" dxfId="16" priority="134"/>
  </conditionalFormatting>
  <conditionalFormatting sqref="F439">
    <cfRule type="duplicateValues" dxfId="15" priority="3"/>
  </conditionalFormatting>
  <pageMargins left="0.27" right="0.24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 filterMode="1"/>
  <dimension ref="A1:P941"/>
  <sheetViews>
    <sheetView workbookViewId="0">
      <pane ySplit="2" topLeftCell="A435" activePane="bottomLeft" state="frozen"/>
      <selection pane="bottomLeft" activeCell="C443" sqref="C443"/>
    </sheetView>
  </sheetViews>
  <sheetFormatPr defaultRowHeight="22.5" x14ac:dyDescent="0.3"/>
  <cols>
    <col min="1" max="1" width="3.5703125" style="950" customWidth="1"/>
    <col min="2" max="2" width="10.7109375" style="951" customWidth="1"/>
    <col min="3" max="3" width="8.7109375" style="952" customWidth="1"/>
    <col min="4" max="4" width="11.85546875" style="953" customWidth="1"/>
    <col min="5" max="5" width="10.85546875" style="954" customWidth="1"/>
    <col min="6" max="6" width="13.42578125" style="955" customWidth="1"/>
    <col min="7" max="7" width="10.5703125" style="956" customWidth="1"/>
    <col min="8" max="8" width="9" style="945" customWidth="1"/>
    <col min="9" max="9" width="14.140625" style="942" customWidth="1"/>
    <col min="10" max="10" width="31.42578125" style="945" customWidth="1"/>
    <col min="11" max="11" width="15" style="957" customWidth="1"/>
    <col min="12" max="12" width="13" style="945" customWidth="1"/>
    <col min="13" max="13" width="16.5703125" style="945" customWidth="1"/>
    <col min="14" max="14" width="7.140625" style="910" customWidth="1"/>
    <col min="15" max="15" width="7.5703125" style="910" customWidth="1"/>
    <col min="16" max="16" width="14.7109375" style="910" customWidth="1"/>
    <col min="17" max="16384" width="9.140625" style="910"/>
  </cols>
  <sheetData>
    <row r="1" spans="1:16" ht="42.75" customHeight="1" thickBot="1" x14ac:dyDescent="0.25">
      <c r="A1" s="1066" t="s">
        <v>2009</v>
      </c>
      <c r="B1" s="1066"/>
      <c r="C1" s="1066"/>
      <c r="D1" s="1066"/>
      <c r="E1" s="1066"/>
      <c r="F1" s="1066"/>
      <c r="G1" s="1066"/>
      <c r="H1" s="1066"/>
      <c r="I1" s="1066"/>
      <c r="J1" s="1066"/>
      <c r="K1" s="1066"/>
      <c r="L1" s="1066"/>
      <c r="M1" s="1066"/>
      <c r="N1" s="1066"/>
      <c r="O1" s="1066"/>
      <c r="P1" s="1066"/>
    </row>
    <row r="2" spans="1:16" ht="54.95" customHeight="1" thickBot="1" x14ac:dyDescent="0.25">
      <c r="A2" s="911" t="s">
        <v>18</v>
      </c>
      <c r="B2" s="912" t="s">
        <v>22</v>
      </c>
      <c r="C2" s="913" t="s">
        <v>21</v>
      </c>
      <c r="D2" s="911" t="s">
        <v>19</v>
      </c>
      <c r="E2" s="911" t="s">
        <v>20</v>
      </c>
      <c r="F2" s="914" t="s">
        <v>9</v>
      </c>
      <c r="G2" s="915" t="s">
        <v>16</v>
      </c>
      <c r="H2" s="916" t="s">
        <v>606</v>
      </c>
      <c r="I2" s="917" t="s">
        <v>2007</v>
      </c>
      <c r="J2" s="916" t="s">
        <v>2008</v>
      </c>
      <c r="K2" s="918" t="s">
        <v>25</v>
      </c>
      <c r="L2" s="919" t="s">
        <v>2012</v>
      </c>
      <c r="M2" s="920" t="s">
        <v>2013</v>
      </c>
      <c r="N2" s="1065" t="s">
        <v>2014</v>
      </c>
      <c r="O2" s="1065"/>
      <c r="P2" s="921">
        <f ca="1">COUNTIF(M3:M2574,"CHECK IT")</f>
        <v>0</v>
      </c>
    </row>
    <row r="3" spans="1:16" ht="20.100000000000001" hidden="1" customHeight="1" x14ac:dyDescent="0.3">
      <c r="A3" s="922">
        <v>1</v>
      </c>
      <c r="B3" s="923">
        <f t="shared" ref="B3:B66" ca="1" si="0">TODAY()</f>
        <v>43134</v>
      </c>
      <c r="C3" s="924" t="s">
        <v>2010</v>
      </c>
      <c r="D3" s="925" t="s">
        <v>1633</v>
      </c>
      <c r="E3" s="926" t="s">
        <v>1321</v>
      </c>
      <c r="F3" s="927" t="s">
        <v>1204</v>
      </c>
      <c r="G3" s="928">
        <v>42599</v>
      </c>
      <c r="H3" s="929">
        <f ca="1">IF(AND(B3&gt;0,G3&gt;0),B3-G3,"-")</f>
        <v>535</v>
      </c>
      <c r="I3" s="930">
        <v>42640</v>
      </c>
      <c r="J3" s="931" t="s">
        <v>2011</v>
      </c>
      <c r="K3" s="932">
        <f>IF(AND(I3&gt;0,J3&gt;0),I3+18,"-")</f>
        <v>42658</v>
      </c>
      <c r="L3" s="933">
        <f ca="1">IF(K3&gt;0,B3-K3,"-")</f>
        <v>476</v>
      </c>
      <c r="M3" s="933" t="str">
        <f ca="1">IF(OR(L3&gt;6,L3&lt;0),"-","CHECK IT")</f>
        <v>-</v>
      </c>
    </row>
    <row r="4" spans="1:16" ht="20.100000000000001" hidden="1" customHeight="1" x14ac:dyDescent="0.3">
      <c r="A4" s="934">
        <v>2</v>
      </c>
      <c r="B4" s="923">
        <f t="shared" ca="1" si="0"/>
        <v>43134</v>
      </c>
      <c r="C4" s="935" t="s">
        <v>2074</v>
      </c>
      <c r="D4" s="936" t="s">
        <v>2073</v>
      </c>
      <c r="E4" s="937" t="s">
        <v>1354</v>
      </c>
      <c r="F4" s="927" t="s">
        <v>1238</v>
      </c>
      <c r="G4" s="938">
        <v>42579</v>
      </c>
      <c r="H4" s="929">
        <f t="shared" ref="H4:H67" ca="1" si="1">IF(AND(B4&gt;0,G4&gt;0),B4-G4,"-")</f>
        <v>555</v>
      </c>
      <c r="I4" s="939">
        <v>42653</v>
      </c>
      <c r="J4" s="940" t="s">
        <v>2011</v>
      </c>
      <c r="K4" s="932">
        <f t="shared" ref="K4:K67" si="2">IF(AND(I4&gt;0,J4&gt;0),I4+18,"-")</f>
        <v>42671</v>
      </c>
      <c r="L4" s="933">
        <f ca="1">IF(K4&gt;0,B4-K4,"-")</f>
        <v>463</v>
      </c>
      <c r="M4" s="933" t="str">
        <f t="shared" ref="M4:M67" ca="1" si="3">IF(OR(L4&gt;6,L4&lt;0),"-","CHECK IT")</f>
        <v>-</v>
      </c>
    </row>
    <row r="5" spans="1:16" ht="20.100000000000001" hidden="1" customHeight="1" x14ac:dyDescent="0.3">
      <c r="A5" s="922">
        <v>3</v>
      </c>
      <c r="B5" s="923">
        <f t="shared" ca="1" si="0"/>
        <v>43134</v>
      </c>
      <c r="C5" s="935" t="s">
        <v>2074</v>
      </c>
      <c r="D5" s="936" t="s">
        <v>2075</v>
      </c>
      <c r="E5" s="937" t="s">
        <v>1300</v>
      </c>
      <c r="F5" s="927" t="s">
        <v>1177</v>
      </c>
      <c r="G5" s="938">
        <v>42599</v>
      </c>
      <c r="H5" s="929">
        <f t="shared" ca="1" si="1"/>
        <v>535</v>
      </c>
      <c r="I5" s="939">
        <v>42653</v>
      </c>
      <c r="J5" s="940" t="s">
        <v>2011</v>
      </c>
      <c r="K5" s="932">
        <f t="shared" si="2"/>
        <v>42671</v>
      </c>
      <c r="L5" s="933">
        <f ca="1">IF(K5&gt;0,B5-K5,"-")</f>
        <v>463</v>
      </c>
      <c r="M5" s="933" t="str">
        <f t="shared" ca="1" si="3"/>
        <v>-</v>
      </c>
    </row>
    <row r="6" spans="1:16" ht="20.100000000000001" hidden="1" customHeight="1" x14ac:dyDescent="0.3">
      <c r="A6" s="934">
        <v>4</v>
      </c>
      <c r="B6" s="923">
        <f t="shared" ca="1" si="0"/>
        <v>43134</v>
      </c>
      <c r="C6" s="935"/>
      <c r="D6" s="936" t="s">
        <v>2077</v>
      </c>
      <c r="E6" s="937"/>
      <c r="F6" s="927" t="s">
        <v>1547</v>
      </c>
      <c r="G6" s="938"/>
      <c r="H6" s="929" t="str">
        <f t="shared" ca="1" si="1"/>
        <v>-</v>
      </c>
      <c r="I6" s="939">
        <v>42652</v>
      </c>
      <c r="J6" s="941" t="s">
        <v>2076</v>
      </c>
      <c r="K6" s="932">
        <f t="shared" si="2"/>
        <v>42670</v>
      </c>
      <c r="L6" s="933">
        <f t="shared" ref="L6:L69" ca="1" si="4">IF(K6&gt;0,B6-K6,"-")</f>
        <v>464</v>
      </c>
      <c r="M6" s="933" t="str">
        <f t="shared" ca="1" si="3"/>
        <v>-</v>
      </c>
    </row>
    <row r="7" spans="1:16" ht="20.100000000000001" hidden="1" customHeight="1" x14ac:dyDescent="0.3">
      <c r="A7" s="922">
        <v>5</v>
      </c>
      <c r="B7" s="923">
        <f t="shared" ca="1" si="0"/>
        <v>43134</v>
      </c>
      <c r="C7" s="935" t="s">
        <v>2010</v>
      </c>
      <c r="D7" s="936" t="s">
        <v>1633</v>
      </c>
      <c r="E7" s="937" t="s">
        <v>303</v>
      </c>
      <c r="F7" s="927" t="s">
        <v>642</v>
      </c>
      <c r="G7" s="938">
        <v>42400</v>
      </c>
      <c r="H7" s="929">
        <f t="shared" ca="1" si="1"/>
        <v>734</v>
      </c>
      <c r="I7" s="939">
        <v>42652</v>
      </c>
      <c r="J7" s="940" t="s">
        <v>2011</v>
      </c>
      <c r="K7" s="932">
        <f t="shared" si="2"/>
        <v>42670</v>
      </c>
      <c r="L7" s="933">
        <f t="shared" ca="1" si="4"/>
        <v>464</v>
      </c>
      <c r="M7" s="933" t="str">
        <f t="shared" ca="1" si="3"/>
        <v>-</v>
      </c>
    </row>
    <row r="8" spans="1:16" ht="20.100000000000001" hidden="1" customHeight="1" x14ac:dyDescent="0.3">
      <c r="A8" s="934">
        <v>6</v>
      </c>
      <c r="B8" s="923">
        <f t="shared" ca="1" si="0"/>
        <v>43134</v>
      </c>
      <c r="C8" s="935" t="s">
        <v>2074</v>
      </c>
      <c r="D8" s="936" t="s">
        <v>2073</v>
      </c>
      <c r="E8" s="937" t="s">
        <v>735</v>
      </c>
      <c r="F8" s="927" t="s">
        <v>835</v>
      </c>
      <c r="G8" s="938">
        <v>42564</v>
      </c>
      <c r="H8" s="929">
        <f t="shared" ca="1" si="1"/>
        <v>570</v>
      </c>
      <c r="I8" s="939">
        <v>42652</v>
      </c>
      <c r="J8" s="941" t="s">
        <v>2124</v>
      </c>
      <c r="K8" s="932">
        <f t="shared" si="2"/>
        <v>42670</v>
      </c>
      <c r="L8" s="933">
        <f t="shared" ca="1" si="4"/>
        <v>464</v>
      </c>
      <c r="M8" s="933" t="str">
        <f t="shared" ca="1" si="3"/>
        <v>-</v>
      </c>
    </row>
    <row r="9" spans="1:16" ht="20.100000000000001" hidden="1" customHeight="1" x14ac:dyDescent="0.3">
      <c r="A9" s="922">
        <v>7</v>
      </c>
      <c r="B9" s="923">
        <f t="shared" ca="1" si="0"/>
        <v>43134</v>
      </c>
      <c r="C9" s="935" t="s">
        <v>2074</v>
      </c>
      <c r="D9" s="936" t="s">
        <v>2078</v>
      </c>
      <c r="E9" s="937" t="s">
        <v>348</v>
      </c>
      <c r="F9" s="927" t="s">
        <v>774</v>
      </c>
      <c r="G9" s="938">
        <v>42539</v>
      </c>
      <c r="H9" s="929">
        <f t="shared" ca="1" si="1"/>
        <v>595</v>
      </c>
      <c r="I9" s="939">
        <v>42651</v>
      </c>
      <c r="J9" s="940" t="s">
        <v>2011</v>
      </c>
      <c r="K9" s="932">
        <f t="shared" si="2"/>
        <v>42669</v>
      </c>
      <c r="L9" s="933">
        <f t="shared" ca="1" si="4"/>
        <v>465</v>
      </c>
      <c r="M9" s="933" t="str">
        <f t="shared" ca="1" si="3"/>
        <v>-</v>
      </c>
    </row>
    <row r="10" spans="1:16" ht="20.100000000000001" hidden="1" customHeight="1" x14ac:dyDescent="0.3">
      <c r="A10" s="934">
        <v>8</v>
      </c>
      <c r="B10" s="923">
        <f t="shared" ca="1" si="0"/>
        <v>43134</v>
      </c>
      <c r="C10" s="935" t="s">
        <v>2123</v>
      </c>
      <c r="D10" s="936" t="s">
        <v>2079</v>
      </c>
      <c r="E10" s="937" t="s">
        <v>33</v>
      </c>
      <c r="F10" s="927" t="s">
        <v>34</v>
      </c>
      <c r="G10" s="938">
        <v>42496</v>
      </c>
      <c r="H10" s="929">
        <f t="shared" ca="1" si="1"/>
        <v>638</v>
      </c>
      <c r="I10" s="939">
        <v>42649</v>
      </c>
      <c r="J10" s="940" t="s">
        <v>2011</v>
      </c>
      <c r="K10" s="932">
        <f t="shared" si="2"/>
        <v>42667</v>
      </c>
      <c r="L10" s="933">
        <f t="shared" ca="1" si="4"/>
        <v>467</v>
      </c>
      <c r="M10" s="933" t="str">
        <f t="shared" ca="1" si="3"/>
        <v>-</v>
      </c>
    </row>
    <row r="11" spans="1:16" ht="20.100000000000001" hidden="1" customHeight="1" x14ac:dyDescent="0.3">
      <c r="A11" s="922">
        <v>9</v>
      </c>
      <c r="B11" s="923">
        <f t="shared" ca="1" si="0"/>
        <v>43134</v>
      </c>
      <c r="C11" s="935" t="s">
        <v>2123</v>
      </c>
      <c r="D11" s="936" t="s">
        <v>2079</v>
      </c>
      <c r="E11" s="937" t="s">
        <v>806</v>
      </c>
      <c r="F11" s="927" t="s">
        <v>880</v>
      </c>
      <c r="G11" s="938">
        <v>42534</v>
      </c>
      <c r="H11" s="929">
        <f t="shared" ca="1" si="1"/>
        <v>600</v>
      </c>
      <c r="I11" s="939">
        <v>42649</v>
      </c>
      <c r="J11" s="940" t="s">
        <v>2125</v>
      </c>
      <c r="K11" s="932">
        <f t="shared" si="2"/>
        <v>42667</v>
      </c>
      <c r="L11" s="933">
        <f t="shared" ca="1" si="4"/>
        <v>467</v>
      </c>
      <c r="M11" s="933" t="str">
        <f t="shared" ca="1" si="3"/>
        <v>-</v>
      </c>
    </row>
    <row r="12" spans="1:16" ht="20.100000000000001" hidden="1" customHeight="1" x14ac:dyDescent="0.3">
      <c r="A12" s="934">
        <v>10</v>
      </c>
      <c r="B12" s="923">
        <f t="shared" ca="1" si="0"/>
        <v>43134</v>
      </c>
      <c r="C12" s="935" t="s">
        <v>2074</v>
      </c>
      <c r="D12" s="936" t="s">
        <v>2073</v>
      </c>
      <c r="E12" s="937" t="s">
        <v>766</v>
      </c>
      <c r="F12" s="927" t="s">
        <v>767</v>
      </c>
      <c r="G12" s="938">
        <v>42530</v>
      </c>
      <c r="H12" s="929">
        <f t="shared" ca="1" si="1"/>
        <v>604</v>
      </c>
      <c r="I12" s="939">
        <v>42648</v>
      </c>
      <c r="J12" s="941" t="s">
        <v>2126</v>
      </c>
      <c r="K12" s="932">
        <f t="shared" si="2"/>
        <v>42666</v>
      </c>
      <c r="L12" s="933">
        <f t="shared" ca="1" si="4"/>
        <v>468</v>
      </c>
      <c r="M12" s="933" t="str">
        <f t="shared" ca="1" si="3"/>
        <v>-</v>
      </c>
    </row>
    <row r="13" spans="1:16" ht="20.100000000000001" hidden="1" customHeight="1" x14ac:dyDescent="0.3">
      <c r="A13" s="922">
        <v>11</v>
      </c>
      <c r="B13" s="923">
        <f t="shared" ca="1" si="0"/>
        <v>43134</v>
      </c>
      <c r="C13" s="935"/>
      <c r="D13" s="936"/>
      <c r="E13" s="937" t="s">
        <v>365</v>
      </c>
      <c r="F13" s="927" t="s">
        <v>366</v>
      </c>
      <c r="G13" s="938">
        <v>42577</v>
      </c>
      <c r="H13" s="929">
        <f t="shared" ca="1" si="1"/>
        <v>557</v>
      </c>
      <c r="I13" s="939">
        <v>42655</v>
      </c>
      <c r="J13" s="940" t="s">
        <v>2011</v>
      </c>
      <c r="K13" s="932">
        <f t="shared" si="2"/>
        <v>42673</v>
      </c>
      <c r="L13" s="933">
        <f t="shared" ca="1" si="4"/>
        <v>461</v>
      </c>
      <c r="M13" s="933" t="str">
        <f t="shared" ca="1" si="3"/>
        <v>-</v>
      </c>
    </row>
    <row r="14" spans="1:16" ht="20.100000000000001" hidden="1" customHeight="1" x14ac:dyDescent="0.3">
      <c r="A14" s="934">
        <v>12</v>
      </c>
      <c r="B14" s="923">
        <f t="shared" ca="1" si="0"/>
        <v>43134</v>
      </c>
      <c r="C14" s="935" t="s">
        <v>2074</v>
      </c>
      <c r="D14" s="936" t="s">
        <v>2073</v>
      </c>
      <c r="E14" s="937" t="s">
        <v>287</v>
      </c>
      <c r="F14" s="927" t="s">
        <v>288</v>
      </c>
      <c r="G14" s="938">
        <v>42555</v>
      </c>
      <c r="H14" s="929">
        <f t="shared" ca="1" si="1"/>
        <v>579</v>
      </c>
      <c r="I14" s="939">
        <v>42654</v>
      </c>
      <c r="J14" s="940" t="s">
        <v>2011</v>
      </c>
      <c r="K14" s="932">
        <f t="shared" si="2"/>
        <v>42672</v>
      </c>
      <c r="L14" s="933">
        <f t="shared" ca="1" si="4"/>
        <v>462</v>
      </c>
      <c r="M14" s="933" t="str">
        <f t="shared" ca="1" si="3"/>
        <v>-</v>
      </c>
    </row>
    <row r="15" spans="1:16" ht="20.100000000000001" hidden="1" customHeight="1" x14ac:dyDescent="0.3">
      <c r="A15" s="922">
        <v>13</v>
      </c>
      <c r="B15" s="923">
        <f t="shared" ca="1" si="0"/>
        <v>43134</v>
      </c>
      <c r="C15" s="935" t="s">
        <v>2074</v>
      </c>
      <c r="D15" s="936" t="s">
        <v>307</v>
      </c>
      <c r="E15" s="937" t="s">
        <v>163</v>
      </c>
      <c r="F15" s="927" t="s">
        <v>164</v>
      </c>
      <c r="G15" s="938">
        <v>42414</v>
      </c>
      <c r="H15" s="929">
        <f t="shared" ca="1" si="1"/>
        <v>720</v>
      </c>
      <c r="I15" s="939">
        <v>42654</v>
      </c>
      <c r="J15" s="940" t="s">
        <v>2011</v>
      </c>
      <c r="K15" s="932">
        <f t="shared" si="2"/>
        <v>42672</v>
      </c>
      <c r="L15" s="933">
        <f t="shared" ca="1" si="4"/>
        <v>462</v>
      </c>
      <c r="M15" s="933" t="str">
        <f t="shared" ca="1" si="3"/>
        <v>-</v>
      </c>
    </row>
    <row r="16" spans="1:16" ht="20.100000000000001" hidden="1" customHeight="1" x14ac:dyDescent="0.3">
      <c r="A16" s="934">
        <v>14</v>
      </c>
      <c r="B16" s="923">
        <f t="shared" ca="1" si="0"/>
        <v>43134</v>
      </c>
      <c r="C16" s="935"/>
      <c r="D16" s="936" t="s">
        <v>2075</v>
      </c>
      <c r="E16" s="937" t="s">
        <v>223</v>
      </c>
      <c r="F16" s="927" t="s">
        <v>224</v>
      </c>
      <c r="G16" s="938">
        <v>42538</v>
      </c>
      <c r="H16" s="929">
        <f t="shared" ca="1" si="1"/>
        <v>596</v>
      </c>
      <c r="I16" s="939">
        <v>42654</v>
      </c>
      <c r="J16" s="940" t="s">
        <v>2127</v>
      </c>
      <c r="K16" s="932">
        <f t="shared" si="2"/>
        <v>42672</v>
      </c>
      <c r="L16" s="933">
        <f t="shared" ca="1" si="4"/>
        <v>462</v>
      </c>
      <c r="M16" s="933" t="str">
        <f t="shared" ca="1" si="3"/>
        <v>-</v>
      </c>
    </row>
    <row r="17" spans="1:13" ht="20.100000000000001" hidden="1" customHeight="1" x14ac:dyDescent="0.3">
      <c r="A17" s="922">
        <v>15</v>
      </c>
      <c r="B17" s="923">
        <f t="shared" ca="1" si="0"/>
        <v>43134</v>
      </c>
      <c r="C17" s="935"/>
      <c r="D17" s="936" t="s">
        <v>2073</v>
      </c>
      <c r="E17" s="937" t="s">
        <v>838</v>
      </c>
      <c r="F17" s="927" t="s">
        <v>839</v>
      </c>
      <c r="G17" s="938">
        <v>42489</v>
      </c>
      <c r="H17" s="929">
        <f t="shared" ca="1" si="1"/>
        <v>645</v>
      </c>
      <c r="I17" s="939">
        <v>42654</v>
      </c>
      <c r="J17" s="940" t="s">
        <v>2128</v>
      </c>
      <c r="K17" s="932">
        <f t="shared" si="2"/>
        <v>42672</v>
      </c>
      <c r="L17" s="933">
        <f t="shared" ca="1" si="4"/>
        <v>462</v>
      </c>
      <c r="M17" s="933" t="str">
        <f t="shared" ca="1" si="3"/>
        <v>-</v>
      </c>
    </row>
    <row r="18" spans="1:13" ht="20.100000000000001" hidden="1" customHeight="1" x14ac:dyDescent="0.3">
      <c r="A18" s="934">
        <v>16</v>
      </c>
      <c r="B18" s="923">
        <f t="shared" ca="1" si="0"/>
        <v>43134</v>
      </c>
      <c r="C18" s="935"/>
      <c r="D18" s="936"/>
      <c r="E18" s="937" t="s">
        <v>885</v>
      </c>
      <c r="F18" s="927" t="s">
        <v>886</v>
      </c>
      <c r="G18" s="938">
        <v>42541</v>
      </c>
      <c r="H18" s="929">
        <f t="shared" ca="1" si="1"/>
        <v>593</v>
      </c>
      <c r="I18" s="939">
        <v>42648</v>
      </c>
      <c r="J18" s="940" t="s">
        <v>2011</v>
      </c>
      <c r="K18" s="932">
        <f t="shared" si="2"/>
        <v>42666</v>
      </c>
      <c r="L18" s="933">
        <f t="shared" ca="1" si="4"/>
        <v>468</v>
      </c>
      <c r="M18" s="933" t="str">
        <f t="shared" ca="1" si="3"/>
        <v>-</v>
      </c>
    </row>
    <row r="19" spans="1:13" ht="20.100000000000001" hidden="1" customHeight="1" x14ac:dyDescent="0.3">
      <c r="A19" s="922">
        <v>17</v>
      </c>
      <c r="B19" s="923">
        <f t="shared" ca="1" si="0"/>
        <v>43134</v>
      </c>
      <c r="C19" s="935"/>
      <c r="D19" s="936"/>
      <c r="E19" s="937" t="s">
        <v>751</v>
      </c>
      <c r="F19" s="927" t="s">
        <v>752</v>
      </c>
      <c r="G19" s="938">
        <v>42570</v>
      </c>
      <c r="H19" s="929">
        <f t="shared" ca="1" si="1"/>
        <v>564</v>
      </c>
      <c r="I19" s="939">
        <v>42646</v>
      </c>
      <c r="J19" s="940" t="s">
        <v>2129</v>
      </c>
      <c r="K19" s="932">
        <f t="shared" si="2"/>
        <v>42664</v>
      </c>
      <c r="L19" s="933">
        <f t="shared" ca="1" si="4"/>
        <v>470</v>
      </c>
      <c r="M19" s="933" t="str">
        <f t="shared" ca="1" si="3"/>
        <v>-</v>
      </c>
    </row>
    <row r="20" spans="1:13" ht="20.100000000000001" hidden="1" customHeight="1" x14ac:dyDescent="0.3">
      <c r="A20" s="934">
        <v>18</v>
      </c>
      <c r="B20" s="923">
        <f t="shared" ca="1" si="0"/>
        <v>43134</v>
      </c>
      <c r="C20" s="935"/>
      <c r="D20" s="936" t="s">
        <v>2130</v>
      </c>
      <c r="E20" s="937" t="s">
        <v>53</v>
      </c>
      <c r="F20" s="927" t="s">
        <v>54</v>
      </c>
      <c r="G20" s="938">
        <v>42507</v>
      </c>
      <c r="H20" s="929">
        <f t="shared" ca="1" si="1"/>
        <v>627</v>
      </c>
      <c r="I20" s="939">
        <v>42646</v>
      </c>
      <c r="J20" s="940" t="s">
        <v>2011</v>
      </c>
      <c r="K20" s="932">
        <f t="shared" si="2"/>
        <v>42664</v>
      </c>
      <c r="L20" s="933">
        <f ca="1">IF(K20&gt;0,B20-K20,"-")</f>
        <v>470</v>
      </c>
      <c r="M20" s="933" t="str">
        <f t="shared" ca="1" si="3"/>
        <v>-</v>
      </c>
    </row>
    <row r="21" spans="1:13" ht="20.100000000000001" hidden="1" customHeight="1" x14ac:dyDescent="0.3">
      <c r="A21" s="922">
        <v>19</v>
      </c>
      <c r="B21" s="923">
        <f t="shared" ca="1" si="0"/>
        <v>43134</v>
      </c>
      <c r="C21" s="935"/>
      <c r="D21" s="936" t="s">
        <v>2130</v>
      </c>
      <c r="E21" s="937" t="s">
        <v>122</v>
      </c>
      <c r="F21" s="927" t="s">
        <v>123</v>
      </c>
      <c r="G21" s="938">
        <v>42540</v>
      </c>
      <c r="H21" s="929">
        <f t="shared" ca="1" si="1"/>
        <v>594</v>
      </c>
      <c r="I21" s="939">
        <v>42645</v>
      </c>
      <c r="J21" s="940" t="s">
        <v>2011</v>
      </c>
      <c r="K21" s="932">
        <f t="shared" si="2"/>
        <v>42663</v>
      </c>
      <c r="L21" s="933">
        <f t="shared" ca="1" si="4"/>
        <v>471</v>
      </c>
      <c r="M21" s="933" t="str">
        <f t="shared" ca="1" si="3"/>
        <v>-</v>
      </c>
    </row>
    <row r="22" spans="1:13" ht="20.100000000000001" hidden="1" customHeight="1" x14ac:dyDescent="0.3">
      <c r="A22" s="934">
        <v>20</v>
      </c>
      <c r="B22" s="923">
        <f t="shared" ca="1" si="0"/>
        <v>43134</v>
      </c>
      <c r="C22" s="935"/>
      <c r="D22" s="936" t="s">
        <v>2073</v>
      </c>
      <c r="E22" s="937" t="s">
        <v>96</v>
      </c>
      <c r="F22" s="927" t="s">
        <v>498</v>
      </c>
      <c r="G22" s="938">
        <v>42584</v>
      </c>
      <c r="H22" s="929">
        <f t="shared" ca="1" si="1"/>
        <v>550</v>
      </c>
      <c r="I22" s="939">
        <v>42644</v>
      </c>
      <c r="J22" s="940" t="s">
        <v>2011</v>
      </c>
      <c r="K22" s="932">
        <f t="shared" si="2"/>
        <v>42662</v>
      </c>
      <c r="L22" s="933">
        <f t="shared" ca="1" si="4"/>
        <v>472</v>
      </c>
      <c r="M22" s="933" t="str">
        <f t="shared" ca="1" si="3"/>
        <v>-</v>
      </c>
    </row>
    <row r="23" spans="1:13" ht="20.100000000000001" hidden="1" customHeight="1" x14ac:dyDescent="0.3">
      <c r="A23" s="922">
        <v>21</v>
      </c>
      <c r="B23" s="923">
        <f t="shared" ca="1" si="0"/>
        <v>43134</v>
      </c>
      <c r="C23" s="935"/>
      <c r="D23" s="936" t="s">
        <v>1633</v>
      </c>
      <c r="E23" s="937" t="s">
        <v>217</v>
      </c>
      <c r="F23" s="927" t="s">
        <v>1140</v>
      </c>
      <c r="G23" s="938">
        <v>42571</v>
      </c>
      <c r="H23" s="929">
        <f t="shared" ca="1" si="1"/>
        <v>563</v>
      </c>
      <c r="I23" s="939">
        <v>42640</v>
      </c>
      <c r="J23" s="940" t="s">
        <v>2011</v>
      </c>
      <c r="K23" s="932">
        <f t="shared" si="2"/>
        <v>42658</v>
      </c>
      <c r="L23" s="933">
        <f t="shared" ca="1" si="4"/>
        <v>476</v>
      </c>
      <c r="M23" s="933" t="str">
        <f t="shared" ca="1" si="3"/>
        <v>-</v>
      </c>
    </row>
    <row r="24" spans="1:13" ht="20.100000000000001" hidden="1" customHeight="1" x14ac:dyDescent="0.3">
      <c r="A24" s="934">
        <v>22</v>
      </c>
      <c r="B24" s="923">
        <f t="shared" ca="1" si="0"/>
        <v>43134</v>
      </c>
      <c r="C24" s="935"/>
      <c r="D24" s="936" t="s">
        <v>2078</v>
      </c>
      <c r="E24" s="937" t="s">
        <v>1383</v>
      </c>
      <c r="F24" s="927" t="s">
        <v>956</v>
      </c>
      <c r="G24" s="938">
        <v>42596</v>
      </c>
      <c r="H24" s="929">
        <f t="shared" ca="1" si="1"/>
        <v>538</v>
      </c>
      <c r="I24" s="939">
        <v>42641</v>
      </c>
      <c r="J24" s="940" t="s">
        <v>2011</v>
      </c>
      <c r="K24" s="932">
        <f t="shared" si="2"/>
        <v>42659</v>
      </c>
      <c r="L24" s="933">
        <f t="shared" ca="1" si="4"/>
        <v>475</v>
      </c>
      <c r="M24" s="933" t="str">
        <f t="shared" ca="1" si="3"/>
        <v>-</v>
      </c>
    </row>
    <row r="25" spans="1:13" ht="20.100000000000001" hidden="1" customHeight="1" x14ac:dyDescent="0.3">
      <c r="A25" s="922">
        <v>23</v>
      </c>
      <c r="B25" s="923">
        <f t="shared" ca="1" si="0"/>
        <v>43134</v>
      </c>
      <c r="C25" s="935"/>
      <c r="D25" s="936" t="s">
        <v>2130</v>
      </c>
      <c r="E25" s="937" t="s">
        <v>1306</v>
      </c>
      <c r="F25" s="927" t="s">
        <v>1187</v>
      </c>
      <c r="G25" s="938">
        <v>42517</v>
      </c>
      <c r="H25" s="929">
        <f t="shared" ca="1" si="1"/>
        <v>617</v>
      </c>
      <c r="I25" s="939">
        <v>42638</v>
      </c>
      <c r="J25" s="940" t="s">
        <v>2011</v>
      </c>
      <c r="K25" s="932">
        <f t="shared" si="2"/>
        <v>42656</v>
      </c>
      <c r="L25" s="933">
        <f t="shared" ca="1" si="4"/>
        <v>478</v>
      </c>
      <c r="M25" s="933" t="str">
        <f t="shared" ca="1" si="3"/>
        <v>-</v>
      </c>
    </row>
    <row r="26" spans="1:13" ht="20.100000000000001" hidden="1" customHeight="1" x14ac:dyDescent="0.3">
      <c r="A26" s="934">
        <v>24</v>
      </c>
      <c r="B26" s="923">
        <f t="shared" ca="1" si="0"/>
        <v>43134</v>
      </c>
      <c r="C26" s="935"/>
      <c r="D26" s="936"/>
      <c r="E26" s="937" t="s">
        <v>262</v>
      </c>
      <c r="F26" s="927" t="s">
        <v>263</v>
      </c>
      <c r="G26" s="938">
        <v>42512</v>
      </c>
      <c r="H26" s="929">
        <f t="shared" ca="1" si="1"/>
        <v>622</v>
      </c>
      <c r="I26" s="939">
        <v>42636</v>
      </c>
      <c r="J26" s="940" t="s">
        <v>2011</v>
      </c>
      <c r="K26" s="932">
        <f t="shared" si="2"/>
        <v>42654</v>
      </c>
      <c r="L26" s="933">
        <f t="shared" ca="1" si="4"/>
        <v>480</v>
      </c>
      <c r="M26" s="933" t="str">
        <f t="shared" ca="1" si="3"/>
        <v>-</v>
      </c>
    </row>
    <row r="27" spans="1:13" ht="20.100000000000001" hidden="1" customHeight="1" x14ac:dyDescent="0.3">
      <c r="A27" s="922">
        <v>25</v>
      </c>
      <c r="B27" s="923">
        <f t="shared" ca="1" si="0"/>
        <v>43134</v>
      </c>
      <c r="C27" s="935"/>
      <c r="D27" s="936" t="s">
        <v>2075</v>
      </c>
      <c r="E27" s="937" t="s">
        <v>1314</v>
      </c>
      <c r="F27" s="927" t="s">
        <v>1196</v>
      </c>
      <c r="G27" s="938"/>
      <c r="H27" s="929" t="str">
        <f t="shared" ca="1" si="1"/>
        <v>-</v>
      </c>
      <c r="I27" s="939">
        <v>42655</v>
      </c>
      <c r="J27" s="940" t="s">
        <v>2011</v>
      </c>
      <c r="K27" s="932">
        <f t="shared" si="2"/>
        <v>42673</v>
      </c>
      <c r="L27" s="933">
        <f t="shared" ca="1" si="4"/>
        <v>461</v>
      </c>
      <c r="M27" s="933" t="str">
        <f t="shared" ca="1" si="3"/>
        <v>-</v>
      </c>
    </row>
    <row r="28" spans="1:13" ht="20.100000000000001" hidden="1" customHeight="1" x14ac:dyDescent="0.3">
      <c r="A28" s="934">
        <v>26</v>
      </c>
      <c r="B28" s="923">
        <f t="shared" ca="1" si="0"/>
        <v>43134</v>
      </c>
      <c r="C28" s="935"/>
      <c r="D28" s="936" t="s">
        <v>2075</v>
      </c>
      <c r="E28" s="937" t="s">
        <v>104</v>
      </c>
      <c r="F28" s="927" t="s">
        <v>286</v>
      </c>
      <c r="G28" s="938">
        <v>42607</v>
      </c>
      <c r="H28" s="929">
        <f t="shared" ca="1" si="1"/>
        <v>527</v>
      </c>
      <c r="I28" s="939">
        <v>42656</v>
      </c>
      <c r="J28" s="940" t="s">
        <v>2011</v>
      </c>
      <c r="K28" s="932">
        <f t="shared" si="2"/>
        <v>42674</v>
      </c>
      <c r="L28" s="933">
        <f t="shared" ca="1" si="4"/>
        <v>460</v>
      </c>
      <c r="M28" s="933" t="str">
        <f t="shared" ca="1" si="3"/>
        <v>-</v>
      </c>
    </row>
    <row r="29" spans="1:13" ht="20.100000000000001" hidden="1" customHeight="1" x14ac:dyDescent="0.3">
      <c r="A29" s="922">
        <v>27</v>
      </c>
      <c r="B29" s="923">
        <f t="shared" ca="1" si="0"/>
        <v>43134</v>
      </c>
      <c r="C29" s="935"/>
      <c r="D29" s="936" t="s">
        <v>307</v>
      </c>
      <c r="E29" s="937" t="s">
        <v>608</v>
      </c>
      <c r="F29" s="927" t="s">
        <v>781</v>
      </c>
      <c r="G29" s="938">
        <v>42598</v>
      </c>
      <c r="H29" s="929">
        <f t="shared" ca="1" si="1"/>
        <v>536</v>
      </c>
      <c r="I29" s="939">
        <v>42658</v>
      </c>
      <c r="J29" s="940" t="s">
        <v>2011</v>
      </c>
      <c r="K29" s="932">
        <f t="shared" si="2"/>
        <v>42676</v>
      </c>
      <c r="L29" s="933">
        <f t="shared" ca="1" si="4"/>
        <v>458</v>
      </c>
      <c r="M29" s="933" t="str">
        <f t="shared" ca="1" si="3"/>
        <v>-</v>
      </c>
    </row>
    <row r="30" spans="1:13" ht="20.100000000000001" hidden="1" customHeight="1" x14ac:dyDescent="0.3">
      <c r="A30" s="934">
        <v>28</v>
      </c>
      <c r="B30" s="923">
        <f t="shared" ca="1" si="0"/>
        <v>43134</v>
      </c>
      <c r="C30" s="935"/>
      <c r="D30" s="936" t="s">
        <v>2078</v>
      </c>
      <c r="E30" s="937"/>
      <c r="F30" s="927" t="s">
        <v>228</v>
      </c>
      <c r="G30" s="938"/>
      <c r="H30" s="929" t="str">
        <f t="shared" ca="1" si="1"/>
        <v>-</v>
      </c>
      <c r="I30" s="939">
        <v>42660</v>
      </c>
      <c r="J30" s="940" t="s">
        <v>2011</v>
      </c>
      <c r="K30" s="932">
        <f t="shared" si="2"/>
        <v>42678</v>
      </c>
      <c r="L30" s="933">
        <f t="shared" ca="1" si="4"/>
        <v>456</v>
      </c>
      <c r="M30" s="933" t="str">
        <f t="shared" ca="1" si="3"/>
        <v>-</v>
      </c>
    </row>
    <row r="31" spans="1:13" ht="20.100000000000001" hidden="1" customHeight="1" x14ac:dyDescent="0.3">
      <c r="A31" s="922">
        <v>29</v>
      </c>
      <c r="B31" s="923">
        <f t="shared" ca="1" si="0"/>
        <v>43134</v>
      </c>
      <c r="C31" s="935"/>
      <c r="D31" s="936" t="s">
        <v>2078</v>
      </c>
      <c r="E31" s="937" t="s">
        <v>1383</v>
      </c>
      <c r="F31" s="927" t="s">
        <v>956</v>
      </c>
      <c r="G31" s="938">
        <v>42596</v>
      </c>
      <c r="H31" s="929">
        <f t="shared" ca="1" si="1"/>
        <v>538</v>
      </c>
      <c r="I31" s="939">
        <v>42660</v>
      </c>
      <c r="J31" s="940" t="s">
        <v>2011</v>
      </c>
      <c r="K31" s="932">
        <f t="shared" si="2"/>
        <v>42678</v>
      </c>
      <c r="L31" s="933">
        <f t="shared" ca="1" si="4"/>
        <v>456</v>
      </c>
      <c r="M31" s="933" t="str">
        <f t="shared" ca="1" si="3"/>
        <v>-</v>
      </c>
    </row>
    <row r="32" spans="1:13" ht="20.100000000000001" hidden="1" customHeight="1" x14ac:dyDescent="0.3">
      <c r="A32" s="934">
        <v>30</v>
      </c>
      <c r="B32" s="923">
        <f t="shared" ca="1" si="0"/>
        <v>43134</v>
      </c>
      <c r="C32" s="935"/>
      <c r="D32" s="936" t="s">
        <v>2073</v>
      </c>
      <c r="E32" s="937" t="s">
        <v>96</v>
      </c>
      <c r="F32" s="927" t="s">
        <v>498</v>
      </c>
      <c r="G32" s="938">
        <v>42584</v>
      </c>
      <c r="H32" s="929">
        <f t="shared" ca="1" si="1"/>
        <v>550</v>
      </c>
      <c r="I32" s="939">
        <v>42660</v>
      </c>
      <c r="J32" s="940" t="s">
        <v>2011</v>
      </c>
      <c r="K32" s="932">
        <f t="shared" si="2"/>
        <v>42678</v>
      </c>
      <c r="L32" s="933">
        <f t="shared" ca="1" si="4"/>
        <v>456</v>
      </c>
      <c r="M32" s="933" t="str">
        <f t="shared" ca="1" si="3"/>
        <v>-</v>
      </c>
    </row>
    <row r="33" spans="1:13" ht="20.100000000000001" hidden="1" customHeight="1" x14ac:dyDescent="0.3">
      <c r="A33" s="922">
        <v>31</v>
      </c>
      <c r="B33" s="923">
        <f t="shared" ca="1" si="0"/>
        <v>43134</v>
      </c>
      <c r="C33" s="935"/>
      <c r="D33" s="936" t="s">
        <v>1633</v>
      </c>
      <c r="E33" s="937" t="s">
        <v>541</v>
      </c>
      <c r="F33" s="927" t="s">
        <v>540</v>
      </c>
      <c r="G33" s="938">
        <v>42433</v>
      </c>
      <c r="H33" s="929">
        <f t="shared" ca="1" si="1"/>
        <v>701</v>
      </c>
      <c r="I33" s="939">
        <v>42661</v>
      </c>
      <c r="J33" s="940" t="s">
        <v>2011</v>
      </c>
      <c r="K33" s="932">
        <f t="shared" si="2"/>
        <v>42679</v>
      </c>
      <c r="L33" s="933">
        <f t="shared" ca="1" si="4"/>
        <v>455</v>
      </c>
      <c r="M33" s="933" t="str">
        <f t="shared" ca="1" si="3"/>
        <v>-</v>
      </c>
    </row>
    <row r="34" spans="1:13" ht="20.100000000000001" hidden="1" customHeight="1" x14ac:dyDescent="0.3">
      <c r="A34" s="934">
        <v>32</v>
      </c>
      <c r="B34" s="923">
        <f t="shared" ca="1" si="0"/>
        <v>43134</v>
      </c>
      <c r="C34" s="935"/>
      <c r="D34" s="936" t="s">
        <v>613</v>
      </c>
      <c r="E34" s="937" t="s">
        <v>631</v>
      </c>
      <c r="F34" s="927" t="s">
        <v>888</v>
      </c>
      <c r="G34" s="938"/>
      <c r="H34" s="929" t="str">
        <f t="shared" ca="1" si="1"/>
        <v>-</v>
      </c>
      <c r="I34" s="939">
        <v>42666</v>
      </c>
      <c r="J34" s="940" t="s">
        <v>2011</v>
      </c>
      <c r="K34" s="932">
        <f t="shared" si="2"/>
        <v>42684</v>
      </c>
      <c r="L34" s="933">
        <f t="shared" ca="1" si="4"/>
        <v>450</v>
      </c>
      <c r="M34" s="933" t="str">
        <f t="shared" ca="1" si="3"/>
        <v>-</v>
      </c>
    </row>
    <row r="35" spans="1:13" ht="20.100000000000001" hidden="1" customHeight="1" x14ac:dyDescent="0.3">
      <c r="A35" s="922">
        <v>33</v>
      </c>
      <c r="B35" s="923">
        <f t="shared" ca="1" si="0"/>
        <v>43134</v>
      </c>
      <c r="C35" s="935"/>
      <c r="D35" s="936" t="s">
        <v>2130</v>
      </c>
      <c r="E35" s="937"/>
      <c r="F35" s="927" t="s">
        <v>54</v>
      </c>
      <c r="G35" s="938"/>
      <c r="H35" s="929" t="str">
        <f t="shared" ca="1" si="1"/>
        <v>-</v>
      </c>
      <c r="I35" s="939">
        <v>42664</v>
      </c>
      <c r="J35" s="940" t="s">
        <v>2011</v>
      </c>
      <c r="K35" s="932">
        <f t="shared" si="2"/>
        <v>42682</v>
      </c>
      <c r="L35" s="933">
        <f t="shared" ca="1" si="4"/>
        <v>452</v>
      </c>
      <c r="M35" s="933" t="str">
        <f t="shared" ca="1" si="3"/>
        <v>-</v>
      </c>
    </row>
    <row r="36" spans="1:13" ht="20.100000000000001" hidden="1" customHeight="1" x14ac:dyDescent="0.3">
      <c r="A36" s="934">
        <v>34</v>
      </c>
      <c r="B36" s="923">
        <f t="shared" ca="1" si="0"/>
        <v>43134</v>
      </c>
      <c r="C36" s="935"/>
      <c r="D36" s="936" t="s">
        <v>2130</v>
      </c>
      <c r="E36" s="937"/>
      <c r="F36" s="927" t="s">
        <v>1427</v>
      </c>
      <c r="G36" s="938"/>
      <c r="H36" s="929" t="str">
        <f t="shared" ca="1" si="1"/>
        <v>-</v>
      </c>
      <c r="I36" s="939">
        <v>42671</v>
      </c>
      <c r="J36" s="940" t="s">
        <v>2011</v>
      </c>
      <c r="K36" s="932">
        <f t="shared" si="2"/>
        <v>42689</v>
      </c>
      <c r="L36" s="933">
        <f t="shared" ca="1" si="4"/>
        <v>445</v>
      </c>
      <c r="M36" s="933" t="str">
        <f t="shared" ca="1" si="3"/>
        <v>-</v>
      </c>
    </row>
    <row r="37" spans="1:13" ht="20.100000000000001" hidden="1" customHeight="1" x14ac:dyDescent="0.3">
      <c r="A37" s="922">
        <v>35</v>
      </c>
      <c r="B37" s="923">
        <f t="shared" ca="1" si="0"/>
        <v>43134</v>
      </c>
      <c r="C37" s="935"/>
      <c r="D37" s="936" t="s">
        <v>2078</v>
      </c>
      <c r="E37" s="937" t="s">
        <v>104</v>
      </c>
      <c r="F37" s="927" t="s">
        <v>286</v>
      </c>
      <c r="G37" s="938"/>
      <c r="H37" s="929" t="str">
        <f t="shared" ca="1" si="1"/>
        <v>-</v>
      </c>
      <c r="I37" s="939">
        <v>42673</v>
      </c>
      <c r="J37" s="940" t="s">
        <v>2011</v>
      </c>
      <c r="K37" s="932">
        <f t="shared" si="2"/>
        <v>42691</v>
      </c>
      <c r="L37" s="933">
        <f t="shared" ca="1" si="4"/>
        <v>443</v>
      </c>
      <c r="M37" s="933" t="str">
        <f t="shared" ca="1" si="3"/>
        <v>-</v>
      </c>
    </row>
    <row r="38" spans="1:13" ht="20.100000000000001" hidden="1" customHeight="1" x14ac:dyDescent="0.3">
      <c r="A38" s="934">
        <v>36</v>
      </c>
      <c r="B38" s="923">
        <f t="shared" ca="1" si="0"/>
        <v>43134</v>
      </c>
      <c r="C38" s="935"/>
      <c r="D38" s="936"/>
      <c r="E38" s="937"/>
      <c r="F38" s="927" t="s">
        <v>1222</v>
      </c>
      <c r="G38" s="938"/>
      <c r="H38" s="929" t="str">
        <f t="shared" ca="1" si="1"/>
        <v>-</v>
      </c>
      <c r="I38" s="939">
        <v>42682</v>
      </c>
      <c r="J38" s="940" t="s">
        <v>2076</v>
      </c>
      <c r="K38" s="932">
        <f t="shared" si="2"/>
        <v>42700</v>
      </c>
      <c r="L38" s="933">
        <f t="shared" ca="1" si="4"/>
        <v>434</v>
      </c>
      <c r="M38" s="933" t="str">
        <f t="shared" ca="1" si="3"/>
        <v>-</v>
      </c>
    </row>
    <row r="39" spans="1:13" ht="20.100000000000001" hidden="1" customHeight="1" x14ac:dyDescent="0.3">
      <c r="A39" s="922">
        <v>37</v>
      </c>
      <c r="B39" s="923">
        <f t="shared" ca="1" si="0"/>
        <v>43134</v>
      </c>
      <c r="C39" s="935"/>
      <c r="D39" s="936"/>
      <c r="E39" s="937"/>
      <c r="F39" s="927" t="s">
        <v>1205</v>
      </c>
      <c r="G39" s="938"/>
      <c r="H39" s="929" t="str">
        <f t="shared" ca="1" si="1"/>
        <v>-</v>
      </c>
      <c r="I39" s="939">
        <v>42682</v>
      </c>
      <c r="J39" s="940" t="s">
        <v>2011</v>
      </c>
      <c r="K39" s="932">
        <f t="shared" si="2"/>
        <v>42700</v>
      </c>
      <c r="L39" s="933">
        <f t="shared" ca="1" si="4"/>
        <v>434</v>
      </c>
      <c r="M39" s="933" t="str">
        <f t="shared" ca="1" si="3"/>
        <v>-</v>
      </c>
    </row>
    <row r="40" spans="1:13" ht="20.100000000000001" hidden="1" customHeight="1" x14ac:dyDescent="0.3">
      <c r="A40" s="934">
        <v>38</v>
      </c>
      <c r="B40" s="923">
        <f t="shared" ca="1" si="0"/>
        <v>43134</v>
      </c>
      <c r="C40" s="935"/>
      <c r="D40" s="936"/>
      <c r="E40" s="937"/>
      <c r="F40" s="927" t="s">
        <v>489</v>
      </c>
      <c r="G40" s="938"/>
      <c r="H40" s="929" t="str">
        <f t="shared" ca="1" si="1"/>
        <v>-</v>
      </c>
      <c r="I40" s="939">
        <v>42682</v>
      </c>
      <c r="J40" s="940" t="s">
        <v>2011</v>
      </c>
      <c r="K40" s="932">
        <f t="shared" si="2"/>
        <v>42700</v>
      </c>
      <c r="L40" s="933">
        <f t="shared" ca="1" si="4"/>
        <v>434</v>
      </c>
      <c r="M40" s="933" t="str">
        <f t="shared" ca="1" si="3"/>
        <v>-</v>
      </c>
    </row>
    <row r="41" spans="1:13" ht="20.100000000000001" hidden="1" customHeight="1" x14ac:dyDescent="0.3">
      <c r="A41" s="922">
        <v>39</v>
      </c>
      <c r="B41" s="923">
        <f t="shared" ca="1" si="0"/>
        <v>43134</v>
      </c>
      <c r="C41" s="935"/>
      <c r="D41" s="936"/>
      <c r="E41" s="937"/>
      <c r="F41" s="927" t="s">
        <v>74</v>
      </c>
      <c r="G41" s="938"/>
      <c r="H41" s="929" t="str">
        <f t="shared" ca="1" si="1"/>
        <v>-</v>
      </c>
      <c r="I41" s="939">
        <v>42682</v>
      </c>
      <c r="J41" s="940" t="s">
        <v>2011</v>
      </c>
      <c r="K41" s="932">
        <f t="shared" si="2"/>
        <v>42700</v>
      </c>
      <c r="L41" s="933">
        <f t="shared" ca="1" si="4"/>
        <v>434</v>
      </c>
      <c r="M41" s="933" t="str">
        <f t="shared" ca="1" si="3"/>
        <v>-</v>
      </c>
    </row>
    <row r="42" spans="1:13" ht="20.100000000000001" hidden="1" customHeight="1" x14ac:dyDescent="0.3">
      <c r="A42" s="934">
        <v>40</v>
      </c>
      <c r="B42" s="923">
        <f t="shared" ca="1" si="0"/>
        <v>43134</v>
      </c>
      <c r="C42" s="935"/>
      <c r="D42" s="936"/>
      <c r="E42" s="937"/>
      <c r="F42" s="927" t="s">
        <v>855</v>
      </c>
      <c r="G42" s="938"/>
      <c r="H42" s="929" t="str">
        <f t="shared" ca="1" si="1"/>
        <v>-</v>
      </c>
      <c r="I42" s="939">
        <v>42680</v>
      </c>
      <c r="J42" s="940" t="s">
        <v>2011</v>
      </c>
      <c r="K42" s="932">
        <f t="shared" si="2"/>
        <v>42698</v>
      </c>
      <c r="L42" s="933">
        <f t="shared" ca="1" si="4"/>
        <v>436</v>
      </c>
      <c r="M42" s="933" t="str">
        <f t="shared" ca="1" si="3"/>
        <v>-</v>
      </c>
    </row>
    <row r="43" spans="1:13" ht="20.100000000000001" hidden="1" customHeight="1" x14ac:dyDescent="0.3">
      <c r="A43" s="922">
        <v>41</v>
      </c>
      <c r="B43" s="923">
        <f t="shared" ca="1" si="0"/>
        <v>43134</v>
      </c>
      <c r="C43" s="935"/>
      <c r="D43" s="936"/>
      <c r="E43" s="937"/>
      <c r="F43" s="927" t="s">
        <v>1184</v>
      </c>
      <c r="G43" s="938"/>
      <c r="H43" s="929" t="str">
        <f t="shared" ca="1" si="1"/>
        <v>-</v>
      </c>
      <c r="I43" s="939">
        <v>42680</v>
      </c>
      <c r="J43" s="940" t="s">
        <v>2011</v>
      </c>
      <c r="K43" s="932">
        <f t="shared" si="2"/>
        <v>42698</v>
      </c>
      <c r="L43" s="933">
        <f t="shared" ca="1" si="4"/>
        <v>436</v>
      </c>
      <c r="M43" s="933" t="str">
        <f t="shared" ca="1" si="3"/>
        <v>-</v>
      </c>
    </row>
    <row r="44" spans="1:13" ht="20.100000000000001" hidden="1" customHeight="1" x14ac:dyDescent="0.3">
      <c r="A44" s="934">
        <v>42</v>
      </c>
      <c r="B44" s="923">
        <f t="shared" ca="1" si="0"/>
        <v>43134</v>
      </c>
      <c r="C44" s="935"/>
      <c r="D44" s="936"/>
      <c r="E44" s="937"/>
      <c r="F44" s="927" t="s">
        <v>839</v>
      </c>
      <c r="G44" s="938"/>
      <c r="H44" s="929" t="str">
        <f t="shared" ca="1" si="1"/>
        <v>-</v>
      </c>
      <c r="I44" s="939">
        <v>42680</v>
      </c>
      <c r="J44" s="940" t="s">
        <v>2011</v>
      </c>
      <c r="K44" s="932">
        <f t="shared" si="2"/>
        <v>42698</v>
      </c>
      <c r="L44" s="933">
        <f t="shared" ca="1" si="4"/>
        <v>436</v>
      </c>
      <c r="M44" s="933" t="str">
        <f t="shared" ca="1" si="3"/>
        <v>-</v>
      </c>
    </row>
    <row r="45" spans="1:13" ht="20.100000000000001" hidden="1" customHeight="1" x14ac:dyDescent="0.3">
      <c r="A45" s="922">
        <v>43</v>
      </c>
      <c r="B45" s="923">
        <f t="shared" ca="1" si="0"/>
        <v>43134</v>
      </c>
      <c r="C45" s="935"/>
      <c r="D45" s="936"/>
      <c r="E45" s="937"/>
      <c r="F45" s="927" t="s">
        <v>830</v>
      </c>
      <c r="G45" s="938"/>
      <c r="H45" s="929" t="str">
        <f t="shared" ca="1" si="1"/>
        <v>-</v>
      </c>
      <c r="I45" s="939">
        <v>42679</v>
      </c>
      <c r="J45" s="940" t="s">
        <v>2011</v>
      </c>
      <c r="K45" s="932">
        <f t="shared" si="2"/>
        <v>42697</v>
      </c>
      <c r="L45" s="933">
        <f t="shared" ca="1" si="4"/>
        <v>437</v>
      </c>
      <c r="M45" s="933" t="str">
        <f t="shared" ca="1" si="3"/>
        <v>-</v>
      </c>
    </row>
    <row r="46" spans="1:13" ht="20.100000000000001" hidden="1" customHeight="1" x14ac:dyDescent="0.3">
      <c r="A46" s="934">
        <v>44</v>
      </c>
      <c r="B46" s="923">
        <f t="shared" ca="1" si="0"/>
        <v>43134</v>
      </c>
      <c r="C46" s="935"/>
      <c r="D46" s="936"/>
      <c r="E46" s="937"/>
      <c r="F46" s="927" t="s">
        <v>1234</v>
      </c>
      <c r="G46" s="938"/>
      <c r="H46" s="929" t="str">
        <f t="shared" ca="1" si="1"/>
        <v>-</v>
      </c>
      <c r="I46" s="939">
        <v>42679</v>
      </c>
      <c r="J46" s="940" t="s">
        <v>2164</v>
      </c>
      <c r="K46" s="932">
        <f t="shared" si="2"/>
        <v>42697</v>
      </c>
      <c r="L46" s="933">
        <f t="shared" ca="1" si="4"/>
        <v>437</v>
      </c>
      <c r="M46" s="933" t="str">
        <f t="shared" ca="1" si="3"/>
        <v>-</v>
      </c>
    </row>
    <row r="47" spans="1:13" ht="20.100000000000001" hidden="1" customHeight="1" x14ac:dyDescent="0.3">
      <c r="A47" s="922">
        <v>45</v>
      </c>
      <c r="B47" s="923">
        <f t="shared" ca="1" si="0"/>
        <v>43134</v>
      </c>
      <c r="C47" s="935"/>
      <c r="D47" s="936"/>
      <c r="E47" s="937"/>
      <c r="F47" s="927" t="s">
        <v>962</v>
      </c>
      <c r="G47" s="938"/>
      <c r="H47" s="929" t="str">
        <f t="shared" ca="1" si="1"/>
        <v>-</v>
      </c>
      <c r="I47" s="939">
        <v>42676</v>
      </c>
      <c r="J47" s="940" t="s">
        <v>2011</v>
      </c>
      <c r="K47" s="932">
        <f t="shared" si="2"/>
        <v>42694</v>
      </c>
      <c r="L47" s="933">
        <f t="shared" ca="1" si="4"/>
        <v>440</v>
      </c>
      <c r="M47" s="933" t="str">
        <f t="shared" ca="1" si="3"/>
        <v>-</v>
      </c>
    </row>
    <row r="48" spans="1:13" ht="20.100000000000001" hidden="1" customHeight="1" x14ac:dyDescent="0.3">
      <c r="A48" s="934">
        <v>46</v>
      </c>
      <c r="B48" s="923">
        <f t="shared" ca="1" si="0"/>
        <v>43134</v>
      </c>
      <c r="C48" s="935"/>
      <c r="D48" s="936"/>
      <c r="E48" s="937"/>
      <c r="F48" s="927" t="s">
        <v>1217</v>
      </c>
      <c r="G48" s="938"/>
      <c r="H48" s="929" t="str">
        <f t="shared" ca="1" si="1"/>
        <v>-</v>
      </c>
      <c r="I48" s="939">
        <v>42683</v>
      </c>
      <c r="J48" s="940" t="s">
        <v>2011</v>
      </c>
      <c r="K48" s="932">
        <f t="shared" si="2"/>
        <v>42701</v>
      </c>
      <c r="L48" s="933">
        <f t="shared" ca="1" si="4"/>
        <v>433</v>
      </c>
      <c r="M48" s="933" t="str">
        <f t="shared" ca="1" si="3"/>
        <v>-</v>
      </c>
    </row>
    <row r="49" spans="1:13" ht="20.100000000000001" hidden="1" customHeight="1" x14ac:dyDescent="0.3">
      <c r="A49" s="922">
        <v>47</v>
      </c>
      <c r="B49" s="923">
        <f t="shared" ca="1" si="0"/>
        <v>43134</v>
      </c>
      <c r="C49" s="935"/>
      <c r="D49" s="936"/>
      <c r="E49" s="937"/>
      <c r="F49" s="927" t="s">
        <v>835</v>
      </c>
      <c r="G49" s="938"/>
      <c r="H49" s="929" t="str">
        <f t="shared" ca="1" si="1"/>
        <v>-</v>
      </c>
      <c r="I49" s="939">
        <v>42683</v>
      </c>
      <c r="J49" s="940" t="s">
        <v>2011</v>
      </c>
      <c r="K49" s="932">
        <f t="shared" si="2"/>
        <v>42701</v>
      </c>
      <c r="L49" s="933">
        <f t="shared" ca="1" si="4"/>
        <v>433</v>
      </c>
      <c r="M49" s="933" t="str">
        <f t="shared" ca="1" si="3"/>
        <v>-</v>
      </c>
    </row>
    <row r="50" spans="1:13" ht="20.100000000000001" hidden="1" customHeight="1" x14ac:dyDescent="0.3">
      <c r="A50" s="934">
        <v>48</v>
      </c>
      <c r="B50" s="923">
        <f t="shared" ca="1" si="0"/>
        <v>43134</v>
      </c>
      <c r="C50" s="935" t="s">
        <v>2168</v>
      </c>
      <c r="D50" s="936" t="s">
        <v>2075</v>
      </c>
      <c r="E50" s="937" t="s">
        <v>2167</v>
      </c>
      <c r="F50" s="927" t="s">
        <v>1132</v>
      </c>
      <c r="G50" s="938"/>
      <c r="H50" s="929" t="str">
        <f t="shared" ca="1" si="1"/>
        <v>-</v>
      </c>
      <c r="I50" s="939">
        <v>42683</v>
      </c>
      <c r="J50" s="940" t="s">
        <v>2165</v>
      </c>
      <c r="K50" s="932">
        <f t="shared" si="2"/>
        <v>42701</v>
      </c>
      <c r="L50" s="933">
        <f t="shared" ca="1" si="4"/>
        <v>433</v>
      </c>
      <c r="M50" s="933" t="str">
        <f t="shared" ca="1" si="3"/>
        <v>-</v>
      </c>
    </row>
    <row r="51" spans="1:13" ht="20.100000000000001" hidden="1" customHeight="1" x14ac:dyDescent="0.3">
      <c r="A51" s="922">
        <v>49</v>
      </c>
      <c r="B51" s="923">
        <f t="shared" ca="1" si="0"/>
        <v>43134</v>
      </c>
      <c r="C51" s="935" t="s">
        <v>2168</v>
      </c>
      <c r="D51" s="936" t="s">
        <v>2075</v>
      </c>
      <c r="E51" s="937" t="s">
        <v>2166</v>
      </c>
      <c r="F51" s="927" t="s">
        <v>426</v>
      </c>
      <c r="G51" s="938"/>
      <c r="H51" s="929" t="str">
        <f t="shared" ca="1" si="1"/>
        <v>-</v>
      </c>
      <c r="I51" s="939">
        <v>42683</v>
      </c>
      <c r="J51" s="940" t="s">
        <v>2165</v>
      </c>
      <c r="K51" s="932">
        <f t="shared" si="2"/>
        <v>42701</v>
      </c>
      <c r="L51" s="933">
        <f t="shared" ca="1" si="4"/>
        <v>433</v>
      </c>
      <c r="M51" s="933" t="str">
        <f t="shared" ca="1" si="3"/>
        <v>-</v>
      </c>
    </row>
    <row r="52" spans="1:13" ht="20.100000000000001" hidden="1" customHeight="1" x14ac:dyDescent="0.3">
      <c r="A52" s="934">
        <v>50</v>
      </c>
      <c r="B52" s="923">
        <f t="shared" ca="1" si="0"/>
        <v>43134</v>
      </c>
      <c r="C52" s="935" t="s">
        <v>2210</v>
      </c>
      <c r="D52" s="936" t="s">
        <v>2130</v>
      </c>
      <c r="E52" s="937" t="s">
        <v>53</v>
      </c>
      <c r="F52" s="927" t="s">
        <v>54</v>
      </c>
      <c r="G52" s="938"/>
      <c r="H52" s="929" t="str">
        <f t="shared" ca="1" si="1"/>
        <v>-</v>
      </c>
      <c r="I52" s="939">
        <v>42686</v>
      </c>
      <c r="J52" s="940" t="s">
        <v>2011</v>
      </c>
      <c r="K52" s="932">
        <f t="shared" si="2"/>
        <v>42704</v>
      </c>
      <c r="L52" s="933">
        <f t="shared" ca="1" si="4"/>
        <v>430</v>
      </c>
      <c r="M52" s="933" t="str">
        <f t="shared" ca="1" si="3"/>
        <v>-</v>
      </c>
    </row>
    <row r="53" spans="1:13" ht="20.100000000000001" hidden="1" customHeight="1" x14ac:dyDescent="0.3">
      <c r="A53" s="922">
        <v>51</v>
      </c>
      <c r="B53" s="923">
        <f t="shared" ca="1" si="0"/>
        <v>43134</v>
      </c>
      <c r="C53" s="935"/>
      <c r="D53" s="936"/>
      <c r="E53" s="937" t="s">
        <v>1294</v>
      </c>
      <c r="F53" s="927" t="s">
        <v>1170</v>
      </c>
      <c r="G53" s="938"/>
      <c r="H53" s="929" t="str">
        <f t="shared" ca="1" si="1"/>
        <v>-</v>
      </c>
      <c r="I53" s="939">
        <v>42688</v>
      </c>
      <c r="J53" s="940" t="s">
        <v>2011</v>
      </c>
      <c r="K53" s="932">
        <f t="shared" si="2"/>
        <v>42706</v>
      </c>
      <c r="L53" s="933">
        <f t="shared" ca="1" si="4"/>
        <v>428</v>
      </c>
      <c r="M53" s="933" t="str">
        <f t="shared" ca="1" si="3"/>
        <v>-</v>
      </c>
    </row>
    <row r="54" spans="1:13" ht="20.100000000000001" hidden="1" customHeight="1" x14ac:dyDescent="0.3">
      <c r="A54" s="934">
        <v>52</v>
      </c>
      <c r="B54" s="923">
        <f t="shared" ca="1" si="0"/>
        <v>43134</v>
      </c>
      <c r="C54" s="935"/>
      <c r="D54" s="936"/>
      <c r="E54" s="937" t="s">
        <v>1340</v>
      </c>
      <c r="F54" s="927" t="s">
        <v>1224</v>
      </c>
      <c r="G54" s="938"/>
      <c r="H54" s="929" t="str">
        <f t="shared" ca="1" si="1"/>
        <v>-</v>
      </c>
      <c r="I54" s="939">
        <v>42689</v>
      </c>
      <c r="J54" s="940" t="s">
        <v>2011</v>
      </c>
      <c r="K54" s="932">
        <f t="shared" si="2"/>
        <v>42707</v>
      </c>
      <c r="L54" s="933">
        <f t="shared" ca="1" si="4"/>
        <v>427</v>
      </c>
      <c r="M54" s="933" t="str">
        <f t="shared" ca="1" si="3"/>
        <v>-</v>
      </c>
    </row>
    <row r="55" spans="1:13" ht="20.100000000000001" hidden="1" customHeight="1" x14ac:dyDescent="0.3">
      <c r="A55" s="922">
        <v>53</v>
      </c>
      <c r="B55" s="923">
        <f t="shared" ca="1" si="0"/>
        <v>43134</v>
      </c>
      <c r="C55" s="935"/>
      <c r="D55" s="936"/>
      <c r="E55" s="937" t="s">
        <v>885</v>
      </c>
      <c r="F55" s="927" t="s">
        <v>886</v>
      </c>
      <c r="G55" s="938"/>
      <c r="H55" s="929" t="str">
        <f t="shared" ca="1" si="1"/>
        <v>-</v>
      </c>
      <c r="I55" s="939">
        <v>42694</v>
      </c>
      <c r="J55" s="940" t="s">
        <v>2215</v>
      </c>
      <c r="K55" s="932">
        <f t="shared" si="2"/>
        <v>42712</v>
      </c>
      <c r="L55" s="933">
        <f t="shared" ca="1" si="4"/>
        <v>422</v>
      </c>
      <c r="M55" s="933" t="str">
        <f t="shared" ca="1" si="3"/>
        <v>-</v>
      </c>
    </row>
    <row r="56" spans="1:13" ht="20.100000000000001" hidden="1" customHeight="1" x14ac:dyDescent="0.3">
      <c r="A56" s="934">
        <v>54</v>
      </c>
      <c r="B56" s="923">
        <f t="shared" ca="1" si="0"/>
        <v>43134</v>
      </c>
      <c r="C56" s="935"/>
      <c r="D56" s="936"/>
      <c r="E56" s="937"/>
      <c r="F56" s="927" t="s">
        <v>1195</v>
      </c>
      <c r="G56" s="938"/>
      <c r="H56" s="929" t="str">
        <f t="shared" ca="1" si="1"/>
        <v>-</v>
      </c>
      <c r="I56" s="939">
        <v>42698</v>
      </c>
      <c r="J56" s="940" t="s">
        <v>2242</v>
      </c>
      <c r="K56" s="932">
        <f t="shared" si="2"/>
        <v>42716</v>
      </c>
      <c r="L56" s="933">
        <f t="shared" ca="1" si="4"/>
        <v>418</v>
      </c>
      <c r="M56" s="933" t="str">
        <f t="shared" ca="1" si="3"/>
        <v>-</v>
      </c>
    </row>
    <row r="57" spans="1:13" ht="20.100000000000001" hidden="1" customHeight="1" x14ac:dyDescent="0.3">
      <c r="A57" s="922">
        <v>55</v>
      </c>
      <c r="B57" s="923">
        <f t="shared" ca="1" si="0"/>
        <v>43134</v>
      </c>
      <c r="C57" s="935"/>
      <c r="D57" s="936" t="s">
        <v>307</v>
      </c>
      <c r="E57" s="937" t="s">
        <v>365</v>
      </c>
      <c r="F57" s="927" t="s">
        <v>366</v>
      </c>
      <c r="G57" s="938"/>
      <c r="H57" s="929" t="str">
        <f t="shared" ca="1" si="1"/>
        <v>-</v>
      </c>
      <c r="I57" s="939">
        <v>42700</v>
      </c>
      <c r="J57" s="940" t="s">
        <v>2011</v>
      </c>
      <c r="K57" s="932">
        <f t="shared" si="2"/>
        <v>42718</v>
      </c>
      <c r="L57" s="933">
        <f t="shared" ca="1" si="4"/>
        <v>416</v>
      </c>
      <c r="M57" s="933" t="str">
        <f t="shared" ca="1" si="3"/>
        <v>-</v>
      </c>
    </row>
    <row r="58" spans="1:13" ht="20.100000000000001" hidden="1" customHeight="1" x14ac:dyDescent="0.3">
      <c r="A58" s="934">
        <v>56</v>
      </c>
      <c r="B58" s="923">
        <f t="shared" ca="1" si="0"/>
        <v>43134</v>
      </c>
      <c r="C58" s="935"/>
      <c r="D58" s="936"/>
      <c r="E58" s="937" t="s">
        <v>1350</v>
      </c>
      <c r="F58" s="927" t="s">
        <v>1234</v>
      </c>
      <c r="G58" s="938"/>
      <c r="H58" s="929" t="str">
        <f t="shared" ca="1" si="1"/>
        <v>-</v>
      </c>
      <c r="I58" s="939">
        <v>42700</v>
      </c>
      <c r="J58" s="940" t="s">
        <v>2222</v>
      </c>
      <c r="K58" s="932">
        <f t="shared" si="2"/>
        <v>42718</v>
      </c>
      <c r="L58" s="933">
        <f t="shared" ca="1" si="4"/>
        <v>416</v>
      </c>
      <c r="M58" s="933" t="str">
        <f t="shared" ca="1" si="3"/>
        <v>-</v>
      </c>
    </row>
    <row r="59" spans="1:13" ht="20.100000000000001" hidden="1" customHeight="1" x14ac:dyDescent="0.3">
      <c r="A59" s="922">
        <v>57</v>
      </c>
      <c r="B59" s="923">
        <f t="shared" ca="1" si="0"/>
        <v>43134</v>
      </c>
      <c r="C59" s="935"/>
      <c r="D59" s="936" t="s">
        <v>2073</v>
      </c>
      <c r="E59" s="937" t="s">
        <v>656</v>
      </c>
      <c r="F59" s="927" t="s">
        <v>657</v>
      </c>
      <c r="G59" s="938"/>
      <c r="H59" s="929" t="str">
        <f t="shared" ca="1" si="1"/>
        <v>-</v>
      </c>
      <c r="I59" s="939">
        <v>42707</v>
      </c>
      <c r="J59" s="940" t="s">
        <v>2243</v>
      </c>
      <c r="K59" s="932">
        <f t="shared" si="2"/>
        <v>42725</v>
      </c>
      <c r="L59" s="933">
        <f t="shared" ca="1" si="4"/>
        <v>409</v>
      </c>
      <c r="M59" s="933" t="str">
        <f t="shared" ca="1" si="3"/>
        <v>-</v>
      </c>
    </row>
    <row r="60" spans="1:13" ht="20.100000000000001" hidden="1" customHeight="1" x14ac:dyDescent="0.3">
      <c r="A60" s="934">
        <v>58</v>
      </c>
      <c r="B60" s="923">
        <f t="shared" ca="1" si="0"/>
        <v>43134</v>
      </c>
      <c r="C60" s="935"/>
      <c r="D60" s="936" t="s">
        <v>307</v>
      </c>
      <c r="E60" s="937"/>
      <c r="F60" s="927" t="s">
        <v>887</v>
      </c>
      <c r="G60" s="938"/>
      <c r="H60" s="929" t="str">
        <f t="shared" ca="1" si="1"/>
        <v>-</v>
      </c>
      <c r="I60" s="939">
        <v>42719</v>
      </c>
      <c r="J60" s="940" t="s">
        <v>2262</v>
      </c>
      <c r="K60" s="932">
        <f t="shared" si="2"/>
        <v>42737</v>
      </c>
      <c r="L60" s="933">
        <f t="shared" ca="1" si="4"/>
        <v>397</v>
      </c>
      <c r="M60" s="933" t="str">
        <f t="shared" ca="1" si="3"/>
        <v>-</v>
      </c>
    </row>
    <row r="61" spans="1:13" ht="20.100000000000001" hidden="1" customHeight="1" x14ac:dyDescent="0.3">
      <c r="A61" s="922">
        <v>59</v>
      </c>
      <c r="B61" s="923">
        <f t="shared" ca="1" si="0"/>
        <v>43134</v>
      </c>
      <c r="C61" s="935"/>
      <c r="D61" s="936" t="s">
        <v>2263</v>
      </c>
      <c r="E61" s="937"/>
      <c r="F61" s="927" t="s">
        <v>1008</v>
      </c>
      <c r="G61" s="938"/>
      <c r="H61" s="929" t="str">
        <f t="shared" ca="1" si="1"/>
        <v>-</v>
      </c>
      <c r="I61" s="939">
        <v>42720</v>
      </c>
      <c r="J61" s="940" t="s">
        <v>2264</v>
      </c>
      <c r="K61" s="932">
        <f t="shared" si="2"/>
        <v>42738</v>
      </c>
      <c r="L61" s="933">
        <f t="shared" ca="1" si="4"/>
        <v>396</v>
      </c>
      <c r="M61" s="933" t="str">
        <f t="shared" ca="1" si="3"/>
        <v>-</v>
      </c>
    </row>
    <row r="62" spans="1:13" ht="20.100000000000001" hidden="1" customHeight="1" x14ac:dyDescent="0.3">
      <c r="A62" s="934">
        <v>60</v>
      </c>
      <c r="B62" s="923">
        <f t="shared" ca="1" si="0"/>
        <v>43134</v>
      </c>
      <c r="C62" s="935"/>
      <c r="D62" s="936" t="s">
        <v>2075</v>
      </c>
      <c r="E62" s="937"/>
      <c r="F62" s="927" t="s">
        <v>579</v>
      </c>
      <c r="G62" s="938"/>
      <c r="H62" s="929" t="str">
        <f t="shared" ca="1" si="1"/>
        <v>-</v>
      </c>
      <c r="I62" s="939">
        <v>42720</v>
      </c>
      <c r="J62" s="940" t="s">
        <v>2264</v>
      </c>
      <c r="K62" s="932">
        <f t="shared" si="2"/>
        <v>42738</v>
      </c>
      <c r="L62" s="933">
        <f t="shared" ca="1" si="4"/>
        <v>396</v>
      </c>
      <c r="M62" s="933" t="str">
        <f t="shared" ca="1" si="3"/>
        <v>-</v>
      </c>
    </row>
    <row r="63" spans="1:13" ht="20.100000000000001" hidden="1" customHeight="1" x14ac:dyDescent="0.3">
      <c r="A63" s="922">
        <v>61</v>
      </c>
      <c r="B63" s="923">
        <f t="shared" ca="1" si="0"/>
        <v>43134</v>
      </c>
      <c r="C63" s="935"/>
      <c r="D63" s="936" t="s">
        <v>2077</v>
      </c>
      <c r="E63" s="937"/>
      <c r="F63" s="927" t="s">
        <v>1545</v>
      </c>
      <c r="G63" s="938"/>
      <c r="H63" s="929" t="str">
        <f t="shared" ca="1" si="1"/>
        <v>-</v>
      </c>
      <c r="I63" s="939">
        <v>42710</v>
      </c>
      <c r="J63" s="940" t="s">
        <v>2265</v>
      </c>
      <c r="K63" s="932">
        <f t="shared" si="2"/>
        <v>42728</v>
      </c>
      <c r="L63" s="933">
        <f t="shared" ca="1" si="4"/>
        <v>406</v>
      </c>
      <c r="M63" s="933" t="str">
        <f t="shared" ca="1" si="3"/>
        <v>-</v>
      </c>
    </row>
    <row r="64" spans="1:13" ht="20.100000000000001" hidden="1" customHeight="1" x14ac:dyDescent="0.3">
      <c r="A64" s="934">
        <v>62</v>
      </c>
      <c r="B64" s="923">
        <f t="shared" ca="1" si="0"/>
        <v>43134</v>
      </c>
      <c r="C64" s="935"/>
      <c r="D64" s="936" t="s">
        <v>2073</v>
      </c>
      <c r="E64" s="937"/>
      <c r="F64" s="927" t="s">
        <v>1453</v>
      </c>
      <c r="G64" s="938"/>
      <c r="H64" s="929" t="str">
        <f t="shared" ca="1" si="1"/>
        <v>-</v>
      </c>
      <c r="I64" s="939">
        <v>42717</v>
      </c>
      <c r="J64" s="940" t="s">
        <v>2011</v>
      </c>
      <c r="K64" s="932">
        <f t="shared" si="2"/>
        <v>42735</v>
      </c>
      <c r="L64" s="933">
        <f t="shared" ca="1" si="4"/>
        <v>399</v>
      </c>
      <c r="M64" s="933" t="str">
        <f t="shared" ca="1" si="3"/>
        <v>-</v>
      </c>
    </row>
    <row r="65" spans="1:13" ht="20.100000000000001" hidden="1" customHeight="1" x14ac:dyDescent="0.3">
      <c r="A65" s="922">
        <v>63</v>
      </c>
      <c r="B65" s="923">
        <f t="shared" ca="1" si="0"/>
        <v>43134</v>
      </c>
      <c r="C65" s="935"/>
      <c r="D65" s="936" t="s">
        <v>2078</v>
      </c>
      <c r="E65" s="937"/>
      <c r="F65" s="927" t="s">
        <v>1007</v>
      </c>
      <c r="G65" s="938"/>
      <c r="H65" s="929" t="str">
        <f t="shared" ca="1" si="1"/>
        <v>-</v>
      </c>
      <c r="I65" s="939">
        <v>42716</v>
      </c>
      <c r="J65" s="940" t="s">
        <v>2011</v>
      </c>
      <c r="K65" s="932">
        <f t="shared" si="2"/>
        <v>42734</v>
      </c>
      <c r="L65" s="933">
        <f t="shared" ca="1" si="4"/>
        <v>400</v>
      </c>
      <c r="M65" s="933" t="str">
        <f t="shared" ca="1" si="3"/>
        <v>-</v>
      </c>
    </row>
    <row r="66" spans="1:13" ht="20.100000000000001" hidden="1" customHeight="1" x14ac:dyDescent="0.3">
      <c r="A66" s="934">
        <v>64</v>
      </c>
      <c r="B66" s="923">
        <f t="shared" ca="1" si="0"/>
        <v>43134</v>
      </c>
      <c r="C66" s="935"/>
      <c r="D66" s="936" t="s">
        <v>2075</v>
      </c>
      <c r="E66" s="937"/>
      <c r="F66" s="927" t="s">
        <v>32</v>
      </c>
      <c r="G66" s="938"/>
      <c r="H66" s="929" t="str">
        <f t="shared" ca="1" si="1"/>
        <v>-</v>
      </c>
      <c r="I66" s="939">
        <v>42716</v>
      </c>
      <c r="J66" s="940" t="s">
        <v>2011</v>
      </c>
      <c r="K66" s="932">
        <f t="shared" si="2"/>
        <v>42734</v>
      </c>
      <c r="L66" s="933">
        <f t="shared" ca="1" si="4"/>
        <v>400</v>
      </c>
      <c r="M66" s="933" t="str">
        <f t="shared" ca="1" si="3"/>
        <v>-</v>
      </c>
    </row>
    <row r="67" spans="1:13" ht="20.100000000000001" hidden="1" customHeight="1" x14ac:dyDescent="0.3">
      <c r="A67" s="922">
        <v>65</v>
      </c>
      <c r="B67" s="923">
        <f t="shared" ref="B67:B130" ca="1" si="5">TODAY()</f>
        <v>43134</v>
      </c>
      <c r="C67" s="935"/>
      <c r="D67" s="936"/>
      <c r="E67" s="937"/>
      <c r="F67" s="927" t="s">
        <v>373</v>
      </c>
      <c r="G67" s="938"/>
      <c r="H67" s="929" t="str">
        <f t="shared" ca="1" si="1"/>
        <v>-</v>
      </c>
      <c r="I67" s="939">
        <v>42722</v>
      </c>
      <c r="J67" s="940" t="s">
        <v>2011</v>
      </c>
      <c r="K67" s="932">
        <f t="shared" si="2"/>
        <v>42740</v>
      </c>
      <c r="L67" s="933">
        <f t="shared" ca="1" si="4"/>
        <v>394</v>
      </c>
      <c r="M67" s="933" t="str">
        <f t="shared" ca="1" si="3"/>
        <v>-</v>
      </c>
    </row>
    <row r="68" spans="1:13" ht="20.100000000000001" hidden="1" customHeight="1" x14ac:dyDescent="0.3">
      <c r="A68" s="934">
        <v>66</v>
      </c>
      <c r="B68" s="923">
        <f t="shared" ca="1" si="5"/>
        <v>43134</v>
      </c>
      <c r="C68" s="935"/>
      <c r="D68" s="936" t="s">
        <v>307</v>
      </c>
      <c r="E68" s="937"/>
      <c r="F68" s="927" t="s">
        <v>1220</v>
      </c>
      <c r="G68" s="938"/>
      <c r="H68" s="929" t="str">
        <f t="shared" ref="H68:H131" ca="1" si="6">IF(AND(B68&gt;0,G68&gt;0),B68-G68,"-")</f>
        <v>-</v>
      </c>
      <c r="I68" s="939">
        <v>42723</v>
      </c>
      <c r="J68" s="940" t="s">
        <v>2011</v>
      </c>
      <c r="K68" s="932">
        <f t="shared" ref="K68:K131" si="7">IF(AND(I68&gt;0,J68&gt;0),I68+18,"-")</f>
        <v>42741</v>
      </c>
      <c r="L68" s="933">
        <f t="shared" ca="1" si="4"/>
        <v>393</v>
      </c>
      <c r="M68" s="933" t="str">
        <f t="shared" ref="M68:M126" ca="1" si="8">IF(OR(L68&gt;6,L68&lt;0),"-","CHECK IT")</f>
        <v>-</v>
      </c>
    </row>
    <row r="69" spans="1:13" ht="20.100000000000001" hidden="1" customHeight="1" x14ac:dyDescent="0.3">
      <c r="A69" s="922">
        <v>67</v>
      </c>
      <c r="B69" s="923">
        <f t="shared" ca="1" si="5"/>
        <v>43134</v>
      </c>
      <c r="C69" s="935"/>
      <c r="D69" s="936" t="s">
        <v>307</v>
      </c>
      <c r="E69" s="937"/>
      <c r="F69" s="927" t="s">
        <v>297</v>
      </c>
      <c r="G69" s="938"/>
      <c r="H69" s="929" t="str">
        <f t="shared" ca="1" si="6"/>
        <v>-</v>
      </c>
      <c r="I69" s="939">
        <v>42724</v>
      </c>
      <c r="J69" s="940" t="s">
        <v>2011</v>
      </c>
      <c r="K69" s="932">
        <f t="shared" si="7"/>
        <v>42742</v>
      </c>
      <c r="L69" s="933">
        <f t="shared" ca="1" si="4"/>
        <v>392</v>
      </c>
      <c r="M69" s="933" t="str">
        <f t="shared" ca="1" si="8"/>
        <v>-</v>
      </c>
    </row>
    <row r="70" spans="1:13" ht="20.100000000000001" hidden="1" customHeight="1" x14ac:dyDescent="0.3">
      <c r="A70" s="934">
        <v>68</v>
      </c>
      <c r="B70" s="923">
        <f t="shared" ca="1" si="5"/>
        <v>43134</v>
      </c>
      <c r="C70" s="935"/>
      <c r="D70" s="936" t="s">
        <v>2075</v>
      </c>
      <c r="E70" s="937"/>
      <c r="F70" s="927" t="s">
        <v>776</v>
      </c>
      <c r="G70" s="938"/>
      <c r="H70" s="929" t="str">
        <f t="shared" ca="1" si="6"/>
        <v>-</v>
      </c>
      <c r="I70" s="939">
        <v>42724</v>
      </c>
      <c r="J70" s="940" t="s">
        <v>2011</v>
      </c>
      <c r="K70" s="932">
        <f t="shared" si="7"/>
        <v>42742</v>
      </c>
      <c r="L70" s="933">
        <f t="shared" ref="L70:L133" ca="1" si="9">IF(K70&gt;0,B70-K70,"-")</f>
        <v>392</v>
      </c>
      <c r="M70" s="933" t="str">
        <f t="shared" ca="1" si="8"/>
        <v>-</v>
      </c>
    </row>
    <row r="71" spans="1:13" ht="20.100000000000001" hidden="1" customHeight="1" x14ac:dyDescent="0.3">
      <c r="A71" s="922">
        <v>69</v>
      </c>
      <c r="B71" s="923">
        <f t="shared" ca="1" si="5"/>
        <v>43134</v>
      </c>
      <c r="C71" s="935"/>
      <c r="D71" s="936" t="s">
        <v>2073</v>
      </c>
      <c r="E71" s="937"/>
      <c r="F71" s="927" t="s">
        <v>295</v>
      </c>
      <c r="G71" s="938"/>
      <c r="H71" s="929" t="str">
        <f t="shared" ca="1" si="6"/>
        <v>-</v>
      </c>
      <c r="I71" s="939">
        <v>42724</v>
      </c>
      <c r="J71" s="940" t="s">
        <v>2280</v>
      </c>
      <c r="K71" s="932">
        <f t="shared" si="7"/>
        <v>42742</v>
      </c>
      <c r="L71" s="933">
        <f t="shared" ca="1" si="9"/>
        <v>392</v>
      </c>
      <c r="M71" s="933" t="str">
        <f t="shared" ca="1" si="8"/>
        <v>-</v>
      </c>
    </row>
    <row r="72" spans="1:13" ht="20.100000000000001" hidden="1" customHeight="1" x14ac:dyDescent="0.3">
      <c r="A72" s="934">
        <v>70</v>
      </c>
      <c r="B72" s="923">
        <f t="shared" ca="1" si="5"/>
        <v>43134</v>
      </c>
      <c r="C72" s="935"/>
      <c r="D72" s="936" t="s">
        <v>2075</v>
      </c>
      <c r="E72" s="937"/>
      <c r="F72" s="927" t="s">
        <v>1132</v>
      </c>
      <c r="G72" s="938"/>
      <c r="H72" s="929" t="str">
        <f t="shared" ca="1" si="6"/>
        <v>-</v>
      </c>
      <c r="I72" s="939">
        <v>42724</v>
      </c>
      <c r="J72" s="940" t="s">
        <v>2281</v>
      </c>
      <c r="K72" s="932">
        <f t="shared" si="7"/>
        <v>42742</v>
      </c>
      <c r="L72" s="933">
        <f t="shared" ca="1" si="9"/>
        <v>392</v>
      </c>
      <c r="M72" s="933" t="str">
        <f t="shared" ca="1" si="8"/>
        <v>-</v>
      </c>
    </row>
    <row r="73" spans="1:13" ht="20.100000000000001" hidden="1" customHeight="1" x14ac:dyDescent="0.3">
      <c r="A73" s="922">
        <v>71</v>
      </c>
      <c r="B73" s="923">
        <f t="shared" ca="1" si="5"/>
        <v>43134</v>
      </c>
      <c r="C73" s="935"/>
      <c r="D73" s="936" t="s">
        <v>2284</v>
      </c>
      <c r="E73" s="937" t="s">
        <v>1050</v>
      </c>
      <c r="F73" s="927" t="s">
        <v>955</v>
      </c>
      <c r="G73" s="938"/>
      <c r="H73" s="929" t="str">
        <f t="shared" ca="1" si="6"/>
        <v>-</v>
      </c>
      <c r="I73" s="939">
        <v>42728</v>
      </c>
      <c r="J73" s="940" t="s">
        <v>2285</v>
      </c>
      <c r="K73" s="932">
        <f t="shared" si="7"/>
        <v>42746</v>
      </c>
      <c r="L73" s="933">
        <f t="shared" ca="1" si="9"/>
        <v>388</v>
      </c>
      <c r="M73" s="933" t="str">
        <f t="shared" ca="1" si="8"/>
        <v>-</v>
      </c>
    </row>
    <row r="74" spans="1:13" ht="20.100000000000001" hidden="1" customHeight="1" x14ac:dyDescent="0.3">
      <c r="A74" s="934">
        <v>72</v>
      </c>
      <c r="B74" s="923">
        <f t="shared" ca="1" si="5"/>
        <v>43134</v>
      </c>
      <c r="C74" s="935"/>
      <c r="D74" s="936" t="s">
        <v>2075</v>
      </c>
      <c r="E74" s="937" t="s">
        <v>1340</v>
      </c>
      <c r="F74" s="927" t="s">
        <v>1224</v>
      </c>
      <c r="G74" s="938"/>
      <c r="H74" s="929" t="str">
        <f t="shared" ca="1" si="6"/>
        <v>-</v>
      </c>
      <c r="I74" s="939">
        <v>42727</v>
      </c>
      <c r="J74" s="940" t="s">
        <v>2011</v>
      </c>
      <c r="K74" s="932">
        <f t="shared" si="7"/>
        <v>42745</v>
      </c>
      <c r="L74" s="933">
        <f t="shared" ca="1" si="9"/>
        <v>389</v>
      </c>
      <c r="M74" s="933" t="str">
        <f t="shared" ca="1" si="8"/>
        <v>-</v>
      </c>
    </row>
    <row r="75" spans="1:13" ht="20.100000000000001" hidden="1" customHeight="1" x14ac:dyDescent="0.3">
      <c r="A75" s="922">
        <v>73</v>
      </c>
      <c r="B75" s="923">
        <f t="shared" ca="1" si="5"/>
        <v>43134</v>
      </c>
      <c r="C75" s="935"/>
      <c r="D75" s="936" t="s">
        <v>2284</v>
      </c>
      <c r="E75" s="937" t="s">
        <v>853</v>
      </c>
      <c r="F75" s="927" t="s">
        <v>854</v>
      </c>
      <c r="G75" s="938"/>
      <c r="H75" s="929" t="str">
        <f t="shared" ca="1" si="6"/>
        <v>-</v>
      </c>
      <c r="I75" s="939">
        <v>42728</v>
      </c>
      <c r="J75" s="940" t="s">
        <v>2286</v>
      </c>
      <c r="K75" s="932">
        <f t="shared" si="7"/>
        <v>42746</v>
      </c>
      <c r="L75" s="933">
        <f t="shared" ca="1" si="9"/>
        <v>388</v>
      </c>
      <c r="M75" s="933" t="str">
        <f t="shared" ca="1" si="8"/>
        <v>-</v>
      </c>
    </row>
    <row r="76" spans="1:13" ht="20.100000000000001" hidden="1" customHeight="1" x14ac:dyDescent="0.3">
      <c r="A76" s="934">
        <v>74</v>
      </c>
      <c r="B76" s="923">
        <f t="shared" ca="1" si="5"/>
        <v>43134</v>
      </c>
      <c r="C76" s="935"/>
      <c r="D76" s="936" t="s">
        <v>2287</v>
      </c>
      <c r="E76" s="937" t="s">
        <v>1368</v>
      </c>
      <c r="F76" s="927" t="s">
        <v>1254</v>
      </c>
      <c r="G76" s="938"/>
      <c r="H76" s="929" t="str">
        <f t="shared" ca="1" si="6"/>
        <v>-</v>
      </c>
      <c r="I76" s="939">
        <v>42728</v>
      </c>
      <c r="J76" s="940" t="s">
        <v>2286</v>
      </c>
      <c r="K76" s="932">
        <f t="shared" si="7"/>
        <v>42746</v>
      </c>
      <c r="L76" s="933">
        <f t="shared" ca="1" si="9"/>
        <v>388</v>
      </c>
      <c r="M76" s="933" t="str">
        <f t="shared" ca="1" si="8"/>
        <v>-</v>
      </c>
    </row>
    <row r="77" spans="1:13" ht="20.100000000000001" hidden="1" customHeight="1" x14ac:dyDescent="0.3">
      <c r="A77" s="922">
        <v>75</v>
      </c>
      <c r="B77" s="923">
        <f t="shared" ca="1" si="5"/>
        <v>43134</v>
      </c>
      <c r="C77" s="935"/>
      <c r="D77" s="936" t="s">
        <v>2073</v>
      </c>
      <c r="E77" s="937" t="s">
        <v>1100</v>
      </c>
      <c r="F77" s="927" t="s">
        <v>1012</v>
      </c>
      <c r="G77" s="938"/>
      <c r="H77" s="929" t="str">
        <f t="shared" ca="1" si="6"/>
        <v>-</v>
      </c>
      <c r="I77" s="939">
        <v>42733</v>
      </c>
      <c r="J77" s="940" t="s">
        <v>2011</v>
      </c>
      <c r="K77" s="932">
        <f t="shared" si="7"/>
        <v>42751</v>
      </c>
      <c r="L77" s="933">
        <f t="shared" ca="1" si="9"/>
        <v>383</v>
      </c>
      <c r="M77" s="933" t="str">
        <f t="shared" ca="1" si="8"/>
        <v>-</v>
      </c>
    </row>
    <row r="78" spans="1:13" ht="20.100000000000001" hidden="1" customHeight="1" x14ac:dyDescent="0.3">
      <c r="A78" s="934">
        <v>76</v>
      </c>
      <c r="B78" s="923">
        <f t="shared" ca="1" si="5"/>
        <v>43134</v>
      </c>
      <c r="C78" s="935"/>
      <c r="D78" s="936" t="s">
        <v>2073</v>
      </c>
      <c r="E78" s="937" t="s">
        <v>1352</v>
      </c>
      <c r="F78" s="927" t="s">
        <v>1236</v>
      </c>
      <c r="G78" s="938"/>
      <c r="H78" s="929" t="str">
        <f t="shared" ca="1" si="6"/>
        <v>-</v>
      </c>
      <c r="I78" s="939">
        <v>42733</v>
      </c>
      <c r="J78" s="940" t="s">
        <v>2011</v>
      </c>
      <c r="K78" s="932">
        <f t="shared" si="7"/>
        <v>42751</v>
      </c>
      <c r="L78" s="933">
        <f t="shared" ca="1" si="9"/>
        <v>383</v>
      </c>
      <c r="M78" s="933" t="str">
        <f t="shared" ca="1" si="8"/>
        <v>-</v>
      </c>
    </row>
    <row r="79" spans="1:13" ht="20.100000000000001" hidden="1" customHeight="1" x14ac:dyDescent="0.3">
      <c r="A79" s="922">
        <v>77</v>
      </c>
      <c r="B79" s="923">
        <f t="shared" ca="1" si="5"/>
        <v>43134</v>
      </c>
      <c r="C79" s="935"/>
      <c r="D79" s="936" t="s">
        <v>2287</v>
      </c>
      <c r="E79" s="937" t="s">
        <v>1303</v>
      </c>
      <c r="F79" s="927" t="s">
        <v>1184</v>
      </c>
      <c r="G79" s="938"/>
      <c r="H79" s="929" t="str">
        <f t="shared" ca="1" si="6"/>
        <v>-</v>
      </c>
      <c r="I79" s="939">
        <v>42733</v>
      </c>
      <c r="J79" s="940" t="s">
        <v>2011</v>
      </c>
      <c r="K79" s="932">
        <f t="shared" si="7"/>
        <v>42751</v>
      </c>
      <c r="L79" s="933">
        <f t="shared" ca="1" si="9"/>
        <v>383</v>
      </c>
      <c r="M79" s="933" t="str">
        <f t="shared" ca="1" si="8"/>
        <v>-</v>
      </c>
    </row>
    <row r="80" spans="1:13" ht="20.100000000000001" hidden="1" customHeight="1" x14ac:dyDescent="0.3">
      <c r="A80" s="934">
        <v>78</v>
      </c>
      <c r="B80" s="923">
        <f t="shared" ca="1" si="5"/>
        <v>43134</v>
      </c>
      <c r="C80" s="935"/>
      <c r="D80" s="936" t="s">
        <v>2073</v>
      </c>
      <c r="E80" s="937" t="s">
        <v>1300</v>
      </c>
      <c r="F80" s="927" t="s">
        <v>1177</v>
      </c>
      <c r="G80" s="938"/>
      <c r="H80" s="929" t="str">
        <f t="shared" ca="1" si="6"/>
        <v>-</v>
      </c>
      <c r="I80" s="939">
        <v>42739</v>
      </c>
      <c r="J80" s="940" t="s">
        <v>2011</v>
      </c>
      <c r="K80" s="932">
        <f t="shared" si="7"/>
        <v>42757</v>
      </c>
      <c r="L80" s="933">
        <f t="shared" ca="1" si="9"/>
        <v>377</v>
      </c>
      <c r="M80" s="933" t="str">
        <f t="shared" ca="1" si="8"/>
        <v>-</v>
      </c>
    </row>
    <row r="81" spans="1:13" ht="20.100000000000001" hidden="1" customHeight="1" x14ac:dyDescent="0.3">
      <c r="A81" s="922">
        <v>79</v>
      </c>
      <c r="B81" s="923">
        <f t="shared" ca="1" si="5"/>
        <v>43134</v>
      </c>
      <c r="C81" s="935"/>
      <c r="D81" s="936" t="s">
        <v>2078</v>
      </c>
      <c r="E81" s="937" t="s">
        <v>454</v>
      </c>
      <c r="F81" s="927" t="s">
        <v>455</v>
      </c>
      <c r="G81" s="938"/>
      <c r="H81" s="929" t="str">
        <f t="shared" ca="1" si="6"/>
        <v>-</v>
      </c>
      <c r="I81" s="939">
        <v>42745</v>
      </c>
      <c r="J81" s="940" t="s">
        <v>2011</v>
      </c>
      <c r="K81" s="932">
        <f t="shared" si="7"/>
        <v>42763</v>
      </c>
      <c r="L81" s="933">
        <f t="shared" ca="1" si="9"/>
        <v>371</v>
      </c>
      <c r="M81" s="933" t="str">
        <f t="shared" ca="1" si="8"/>
        <v>-</v>
      </c>
    </row>
    <row r="82" spans="1:13" ht="20.100000000000001" hidden="1" customHeight="1" x14ac:dyDescent="0.3">
      <c r="A82" s="934">
        <v>80</v>
      </c>
      <c r="B82" s="923">
        <f t="shared" ca="1" si="5"/>
        <v>43134</v>
      </c>
      <c r="C82" s="935"/>
      <c r="D82" s="936" t="s">
        <v>2078</v>
      </c>
      <c r="E82" s="937" t="s">
        <v>478</v>
      </c>
      <c r="F82" s="927" t="s">
        <v>479</v>
      </c>
      <c r="G82" s="938"/>
      <c r="H82" s="929" t="str">
        <f t="shared" ca="1" si="6"/>
        <v>-</v>
      </c>
      <c r="I82" s="939">
        <v>42745</v>
      </c>
      <c r="J82" s="940" t="s">
        <v>2011</v>
      </c>
      <c r="K82" s="932">
        <f t="shared" si="7"/>
        <v>42763</v>
      </c>
      <c r="L82" s="933">
        <f t="shared" ca="1" si="9"/>
        <v>371</v>
      </c>
      <c r="M82" s="933" t="str">
        <f t="shared" ca="1" si="8"/>
        <v>-</v>
      </c>
    </row>
    <row r="83" spans="1:13" ht="20.100000000000001" hidden="1" customHeight="1" x14ac:dyDescent="0.3">
      <c r="A83" s="922">
        <v>81</v>
      </c>
      <c r="B83" s="923">
        <f t="shared" ca="1" si="5"/>
        <v>43134</v>
      </c>
      <c r="C83" s="935"/>
      <c r="D83" s="936" t="s">
        <v>2079</v>
      </c>
      <c r="E83" s="937" t="s">
        <v>751</v>
      </c>
      <c r="F83" s="927" t="s">
        <v>752</v>
      </c>
      <c r="G83" s="938"/>
      <c r="H83" s="929" t="str">
        <f t="shared" ca="1" si="6"/>
        <v>-</v>
      </c>
      <c r="I83" s="939">
        <v>42748</v>
      </c>
      <c r="J83" s="940" t="s">
        <v>2011</v>
      </c>
      <c r="K83" s="932">
        <f t="shared" si="7"/>
        <v>42766</v>
      </c>
      <c r="L83" s="933">
        <f t="shared" ca="1" si="9"/>
        <v>368</v>
      </c>
      <c r="M83" s="933" t="str">
        <f t="shared" ca="1" si="8"/>
        <v>-</v>
      </c>
    </row>
    <row r="84" spans="1:13" ht="20.100000000000001" hidden="1" customHeight="1" x14ac:dyDescent="0.3">
      <c r="A84" s="934">
        <v>82</v>
      </c>
      <c r="B84" s="923">
        <f t="shared" ca="1" si="5"/>
        <v>43134</v>
      </c>
      <c r="C84" s="935"/>
      <c r="D84" s="936" t="s">
        <v>1633</v>
      </c>
      <c r="E84" s="937" t="s">
        <v>138</v>
      </c>
      <c r="F84" s="927" t="s">
        <v>970</v>
      </c>
      <c r="G84" s="938"/>
      <c r="H84" s="929" t="str">
        <f t="shared" ca="1" si="6"/>
        <v>-</v>
      </c>
      <c r="I84" s="939">
        <v>42750</v>
      </c>
      <c r="J84" s="940" t="s">
        <v>2011</v>
      </c>
      <c r="K84" s="932">
        <f t="shared" si="7"/>
        <v>42768</v>
      </c>
      <c r="L84" s="933">
        <f t="shared" ca="1" si="9"/>
        <v>366</v>
      </c>
      <c r="M84" s="933" t="str">
        <f t="shared" ca="1" si="8"/>
        <v>-</v>
      </c>
    </row>
    <row r="85" spans="1:13" ht="20.100000000000001" hidden="1" customHeight="1" x14ac:dyDescent="0.3">
      <c r="A85" s="922">
        <v>83</v>
      </c>
      <c r="B85" s="923">
        <f t="shared" ca="1" si="5"/>
        <v>43134</v>
      </c>
      <c r="C85" s="935"/>
      <c r="D85" s="936" t="s">
        <v>1633</v>
      </c>
      <c r="E85" s="937" t="s">
        <v>1303</v>
      </c>
      <c r="F85" s="927" t="s">
        <v>1184</v>
      </c>
      <c r="G85" s="938"/>
      <c r="H85" s="929" t="str">
        <f t="shared" ca="1" si="6"/>
        <v>-</v>
      </c>
      <c r="I85" s="939">
        <v>42750</v>
      </c>
      <c r="J85" s="940" t="s">
        <v>2330</v>
      </c>
      <c r="K85" s="932">
        <f t="shared" si="7"/>
        <v>42768</v>
      </c>
      <c r="L85" s="933">
        <f t="shared" ca="1" si="9"/>
        <v>366</v>
      </c>
      <c r="M85" s="933" t="str">
        <f t="shared" ca="1" si="8"/>
        <v>-</v>
      </c>
    </row>
    <row r="86" spans="1:13" ht="20.100000000000001" hidden="1" customHeight="1" x14ac:dyDescent="0.3">
      <c r="A86" s="934">
        <v>84</v>
      </c>
      <c r="B86" s="923">
        <f t="shared" ca="1" si="5"/>
        <v>43134</v>
      </c>
      <c r="C86" s="935"/>
      <c r="D86" s="936" t="s">
        <v>1633</v>
      </c>
      <c r="E86" s="937" t="s">
        <v>549</v>
      </c>
      <c r="F86" s="927" t="s">
        <v>729</v>
      </c>
      <c r="G86" s="938"/>
      <c r="H86" s="929" t="str">
        <f t="shared" ca="1" si="6"/>
        <v>-</v>
      </c>
      <c r="I86" s="939">
        <v>42753</v>
      </c>
      <c r="J86" s="940" t="s">
        <v>2011</v>
      </c>
      <c r="K86" s="932">
        <f t="shared" si="7"/>
        <v>42771</v>
      </c>
      <c r="L86" s="933">
        <f t="shared" ca="1" si="9"/>
        <v>363</v>
      </c>
      <c r="M86" s="933" t="str">
        <f t="shared" ca="1" si="8"/>
        <v>-</v>
      </c>
    </row>
    <row r="87" spans="1:13" ht="20.100000000000001" hidden="1" customHeight="1" x14ac:dyDescent="0.3">
      <c r="A87" s="922">
        <v>85</v>
      </c>
      <c r="B87" s="923">
        <f t="shared" ca="1" si="5"/>
        <v>43134</v>
      </c>
      <c r="C87" s="935"/>
      <c r="D87" s="936" t="s">
        <v>2284</v>
      </c>
      <c r="E87" s="937" t="s">
        <v>853</v>
      </c>
      <c r="F87" s="927" t="s">
        <v>854</v>
      </c>
      <c r="G87" s="938"/>
      <c r="H87" s="929" t="str">
        <f t="shared" ca="1" si="6"/>
        <v>-</v>
      </c>
      <c r="I87" s="939">
        <v>42753</v>
      </c>
      <c r="J87" s="940" t="s">
        <v>2011</v>
      </c>
      <c r="K87" s="932">
        <f t="shared" si="7"/>
        <v>42771</v>
      </c>
      <c r="L87" s="933">
        <f t="shared" ca="1" si="9"/>
        <v>363</v>
      </c>
      <c r="M87" s="933" t="str">
        <f t="shared" ca="1" si="8"/>
        <v>-</v>
      </c>
    </row>
    <row r="88" spans="1:13" ht="20.100000000000001" hidden="1" customHeight="1" x14ac:dyDescent="0.3">
      <c r="A88" s="934">
        <v>86</v>
      </c>
      <c r="B88" s="923">
        <f t="shared" ca="1" si="5"/>
        <v>43134</v>
      </c>
      <c r="C88" s="935"/>
      <c r="D88" s="936" t="s">
        <v>2078</v>
      </c>
      <c r="E88" s="937" t="s">
        <v>273</v>
      </c>
      <c r="F88" s="927" t="s">
        <v>274</v>
      </c>
      <c r="G88" s="938"/>
      <c r="H88" s="929" t="str">
        <f t="shared" ca="1" si="6"/>
        <v>-</v>
      </c>
      <c r="I88" s="939">
        <v>42757</v>
      </c>
      <c r="J88" s="940" t="s">
        <v>2347</v>
      </c>
      <c r="K88" s="932">
        <f t="shared" si="7"/>
        <v>42775</v>
      </c>
      <c r="L88" s="933">
        <f t="shared" ca="1" si="9"/>
        <v>359</v>
      </c>
      <c r="M88" s="933" t="str">
        <f t="shared" ca="1" si="8"/>
        <v>-</v>
      </c>
    </row>
    <row r="89" spans="1:13" ht="20.100000000000001" hidden="1" customHeight="1" x14ac:dyDescent="0.3">
      <c r="A89" s="922">
        <v>87</v>
      </c>
      <c r="B89" s="923">
        <f t="shared" ca="1" si="5"/>
        <v>43134</v>
      </c>
      <c r="C89" s="935"/>
      <c r="D89" s="936" t="s">
        <v>2130</v>
      </c>
      <c r="E89" s="937" t="s">
        <v>1323</v>
      </c>
      <c r="F89" s="927" t="s">
        <v>1206</v>
      </c>
      <c r="G89" s="938"/>
      <c r="H89" s="929" t="str">
        <f t="shared" ca="1" si="6"/>
        <v>-</v>
      </c>
      <c r="I89" s="939">
        <v>42771</v>
      </c>
      <c r="J89" s="940" t="s">
        <v>2011</v>
      </c>
      <c r="K89" s="932">
        <f t="shared" si="7"/>
        <v>42789</v>
      </c>
      <c r="L89" s="933">
        <f t="shared" ca="1" si="9"/>
        <v>345</v>
      </c>
      <c r="M89" s="933" t="str">
        <f t="shared" ca="1" si="8"/>
        <v>-</v>
      </c>
    </row>
    <row r="90" spans="1:13" ht="20.100000000000001" hidden="1" customHeight="1" x14ac:dyDescent="0.3">
      <c r="A90" s="934">
        <v>88</v>
      </c>
      <c r="B90" s="923">
        <f t="shared" ca="1" si="5"/>
        <v>43134</v>
      </c>
      <c r="C90" s="935"/>
      <c r="D90" s="936" t="s">
        <v>2073</v>
      </c>
      <c r="E90" s="937" t="s">
        <v>247</v>
      </c>
      <c r="F90" s="927" t="s">
        <v>248</v>
      </c>
      <c r="G90" s="938"/>
      <c r="H90" s="929" t="str">
        <f t="shared" ca="1" si="6"/>
        <v>-</v>
      </c>
      <c r="I90" s="939">
        <v>42771</v>
      </c>
      <c r="J90" s="940" t="s">
        <v>2391</v>
      </c>
      <c r="K90" s="932">
        <f t="shared" si="7"/>
        <v>42789</v>
      </c>
      <c r="L90" s="933">
        <f t="shared" ca="1" si="9"/>
        <v>345</v>
      </c>
      <c r="M90" s="933" t="str">
        <f t="shared" ca="1" si="8"/>
        <v>-</v>
      </c>
    </row>
    <row r="91" spans="1:13" ht="20.100000000000001" hidden="1" customHeight="1" x14ac:dyDescent="0.3">
      <c r="A91" s="922">
        <v>89</v>
      </c>
      <c r="B91" s="923">
        <f t="shared" ca="1" si="5"/>
        <v>43134</v>
      </c>
      <c r="C91" s="935"/>
      <c r="D91" s="936" t="s">
        <v>2073</v>
      </c>
      <c r="E91" s="937" t="s">
        <v>1300</v>
      </c>
      <c r="F91" s="927" t="s">
        <v>1177</v>
      </c>
      <c r="G91" s="938"/>
      <c r="H91" s="929" t="str">
        <f t="shared" ca="1" si="6"/>
        <v>-</v>
      </c>
      <c r="I91" s="939">
        <v>42769</v>
      </c>
      <c r="J91" s="940" t="s">
        <v>2392</v>
      </c>
      <c r="K91" s="932">
        <f t="shared" si="7"/>
        <v>42787</v>
      </c>
      <c r="L91" s="933">
        <f t="shared" ca="1" si="9"/>
        <v>347</v>
      </c>
      <c r="M91" s="933" t="str">
        <f t="shared" ca="1" si="8"/>
        <v>-</v>
      </c>
    </row>
    <row r="92" spans="1:13" ht="20.100000000000001" hidden="1" customHeight="1" x14ac:dyDescent="0.3">
      <c r="A92" s="934">
        <v>90</v>
      </c>
      <c r="B92" s="923">
        <f t="shared" ca="1" si="5"/>
        <v>43134</v>
      </c>
      <c r="C92" s="935"/>
      <c r="D92" s="936" t="s">
        <v>2073</v>
      </c>
      <c r="E92" s="937" t="s">
        <v>804</v>
      </c>
      <c r="F92" s="927" t="s">
        <v>805</v>
      </c>
      <c r="G92" s="938"/>
      <c r="H92" s="929" t="str">
        <f t="shared" ca="1" si="6"/>
        <v>-</v>
      </c>
      <c r="I92" s="939">
        <v>42766</v>
      </c>
      <c r="J92" s="940" t="s">
        <v>2011</v>
      </c>
      <c r="K92" s="932">
        <f t="shared" si="7"/>
        <v>42784</v>
      </c>
      <c r="L92" s="933">
        <f t="shared" ca="1" si="9"/>
        <v>350</v>
      </c>
      <c r="M92" s="933" t="str">
        <f t="shared" ca="1" si="8"/>
        <v>-</v>
      </c>
    </row>
    <row r="93" spans="1:13" ht="20.100000000000001" hidden="1" customHeight="1" x14ac:dyDescent="0.3">
      <c r="A93" s="922">
        <v>91</v>
      </c>
      <c r="B93" s="923">
        <f t="shared" ca="1" si="5"/>
        <v>43134</v>
      </c>
      <c r="C93" s="935"/>
      <c r="D93" s="936" t="s">
        <v>2079</v>
      </c>
      <c r="E93" s="937" t="s">
        <v>1339</v>
      </c>
      <c r="F93" s="927" t="s">
        <v>1223</v>
      </c>
      <c r="G93" s="938"/>
      <c r="H93" s="929" t="str">
        <f t="shared" ca="1" si="6"/>
        <v>-</v>
      </c>
      <c r="I93" s="939">
        <v>42763</v>
      </c>
      <c r="J93" s="940" t="s">
        <v>2393</v>
      </c>
      <c r="K93" s="932">
        <f t="shared" si="7"/>
        <v>42781</v>
      </c>
      <c r="L93" s="933">
        <f t="shared" ca="1" si="9"/>
        <v>353</v>
      </c>
      <c r="M93" s="933" t="str">
        <f t="shared" ca="1" si="8"/>
        <v>-</v>
      </c>
    </row>
    <row r="94" spans="1:13" ht="20.100000000000001" hidden="1" customHeight="1" x14ac:dyDescent="0.3">
      <c r="A94" s="934">
        <v>92</v>
      </c>
      <c r="B94" s="923">
        <f t="shared" ca="1" si="5"/>
        <v>43134</v>
      </c>
      <c r="C94" s="935"/>
      <c r="D94" s="936" t="s">
        <v>2394</v>
      </c>
      <c r="E94" s="937" t="s">
        <v>465</v>
      </c>
      <c r="F94" s="927" t="s">
        <v>466</v>
      </c>
      <c r="G94" s="938"/>
      <c r="H94" s="929" t="str">
        <f t="shared" ca="1" si="6"/>
        <v>-</v>
      </c>
      <c r="I94" s="939">
        <v>42762</v>
      </c>
      <c r="J94" s="940" t="s">
        <v>2011</v>
      </c>
      <c r="K94" s="932">
        <f t="shared" si="7"/>
        <v>42780</v>
      </c>
      <c r="L94" s="933">
        <f t="shared" ca="1" si="9"/>
        <v>354</v>
      </c>
      <c r="M94" s="933" t="str">
        <f t="shared" ca="1" si="8"/>
        <v>-</v>
      </c>
    </row>
    <row r="95" spans="1:13" ht="20.100000000000001" hidden="1" customHeight="1" x14ac:dyDescent="0.3">
      <c r="A95" s="922">
        <v>93</v>
      </c>
      <c r="B95" s="923">
        <f t="shared" ca="1" si="5"/>
        <v>43134</v>
      </c>
      <c r="C95" s="935"/>
      <c r="D95" s="936" t="s">
        <v>2073</v>
      </c>
      <c r="E95" s="937" t="s">
        <v>1300</v>
      </c>
      <c r="F95" s="927" t="s">
        <v>1177</v>
      </c>
      <c r="G95" s="938"/>
      <c r="H95" s="929" t="str">
        <f t="shared" ca="1" si="6"/>
        <v>-</v>
      </c>
      <c r="I95" s="939">
        <v>42761</v>
      </c>
      <c r="J95" s="940" t="s">
        <v>2011</v>
      </c>
      <c r="K95" s="932">
        <f t="shared" si="7"/>
        <v>42779</v>
      </c>
      <c r="L95" s="933">
        <f t="shared" ca="1" si="9"/>
        <v>355</v>
      </c>
      <c r="M95" s="933" t="str">
        <f t="shared" ca="1" si="8"/>
        <v>-</v>
      </c>
    </row>
    <row r="96" spans="1:13" ht="20.100000000000001" hidden="1" customHeight="1" x14ac:dyDescent="0.3">
      <c r="A96" s="934">
        <v>94</v>
      </c>
      <c r="B96" s="923">
        <f t="shared" ca="1" si="5"/>
        <v>43134</v>
      </c>
      <c r="C96" s="935"/>
      <c r="D96" s="936" t="s">
        <v>2075</v>
      </c>
      <c r="E96" s="937" t="s">
        <v>446</v>
      </c>
      <c r="F96" s="927" t="s">
        <v>447</v>
      </c>
      <c r="G96" s="938"/>
      <c r="H96" s="929" t="str">
        <f t="shared" ca="1" si="6"/>
        <v>-</v>
      </c>
      <c r="I96" s="939">
        <v>42760</v>
      </c>
      <c r="J96" s="940" t="s">
        <v>2011</v>
      </c>
      <c r="K96" s="932">
        <f t="shared" si="7"/>
        <v>42778</v>
      </c>
      <c r="L96" s="933">
        <f t="shared" ca="1" si="9"/>
        <v>356</v>
      </c>
      <c r="M96" s="933" t="str">
        <f t="shared" ca="1" si="8"/>
        <v>-</v>
      </c>
    </row>
    <row r="97" spans="1:13" ht="20.100000000000001" hidden="1" customHeight="1" x14ac:dyDescent="0.3">
      <c r="A97" s="922">
        <v>95</v>
      </c>
      <c r="B97" s="923">
        <f t="shared" ca="1" si="5"/>
        <v>43134</v>
      </c>
      <c r="C97" s="935"/>
      <c r="D97" s="936" t="s">
        <v>2263</v>
      </c>
      <c r="E97" s="937" t="s">
        <v>775</v>
      </c>
      <c r="F97" s="927" t="s">
        <v>776</v>
      </c>
      <c r="G97" s="938"/>
      <c r="H97" s="929" t="str">
        <f t="shared" ca="1" si="6"/>
        <v>-</v>
      </c>
      <c r="I97" s="939">
        <v>42772</v>
      </c>
      <c r="J97" s="940" t="s">
        <v>2011</v>
      </c>
      <c r="K97" s="932">
        <f t="shared" si="7"/>
        <v>42790</v>
      </c>
      <c r="L97" s="933">
        <f t="shared" ca="1" si="9"/>
        <v>344</v>
      </c>
      <c r="M97" s="933" t="str">
        <f t="shared" ca="1" si="8"/>
        <v>-</v>
      </c>
    </row>
    <row r="98" spans="1:13" ht="20.100000000000001" hidden="1" customHeight="1" x14ac:dyDescent="0.3">
      <c r="A98" s="934">
        <v>96</v>
      </c>
      <c r="B98" s="923">
        <f t="shared" ca="1" si="5"/>
        <v>43134</v>
      </c>
      <c r="C98" s="935"/>
      <c r="D98" s="936" t="s">
        <v>2078</v>
      </c>
      <c r="E98" s="937" t="s">
        <v>292</v>
      </c>
      <c r="F98" s="927" t="s">
        <v>293</v>
      </c>
      <c r="G98" s="938"/>
      <c r="H98" s="929" t="str">
        <f t="shared" ca="1" si="6"/>
        <v>-</v>
      </c>
      <c r="I98" s="939">
        <v>42773</v>
      </c>
      <c r="J98" s="940" t="s">
        <v>2011</v>
      </c>
      <c r="K98" s="932">
        <f t="shared" si="7"/>
        <v>42791</v>
      </c>
      <c r="L98" s="933">
        <f t="shared" ca="1" si="9"/>
        <v>343</v>
      </c>
      <c r="M98" s="933" t="str">
        <f t="shared" ca="1" si="8"/>
        <v>-</v>
      </c>
    </row>
    <row r="99" spans="1:13" ht="20.100000000000001" hidden="1" customHeight="1" x14ac:dyDescent="0.3">
      <c r="A99" s="922">
        <v>97</v>
      </c>
      <c r="B99" s="923">
        <f t="shared" ca="1" si="5"/>
        <v>43134</v>
      </c>
      <c r="C99" s="935"/>
      <c r="D99" s="936" t="s">
        <v>307</v>
      </c>
      <c r="E99" s="937" t="s">
        <v>1122</v>
      </c>
      <c r="F99" s="927" t="s">
        <v>1038</v>
      </c>
      <c r="G99" s="938"/>
      <c r="H99" s="929" t="str">
        <f t="shared" ca="1" si="6"/>
        <v>-</v>
      </c>
      <c r="I99" s="939">
        <v>42773</v>
      </c>
      <c r="J99" s="940" t="s">
        <v>2011</v>
      </c>
      <c r="K99" s="932">
        <f t="shared" si="7"/>
        <v>42791</v>
      </c>
      <c r="L99" s="933">
        <f t="shared" ca="1" si="9"/>
        <v>343</v>
      </c>
      <c r="M99" s="933" t="str">
        <f t="shared" ca="1" si="8"/>
        <v>-</v>
      </c>
    </row>
    <row r="100" spans="1:13" ht="20.100000000000001" hidden="1" customHeight="1" x14ac:dyDescent="0.3">
      <c r="A100" s="934">
        <v>98</v>
      </c>
      <c r="B100" s="923">
        <f t="shared" ca="1" si="5"/>
        <v>43134</v>
      </c>
      <c r="C100" s="935"/>
      <c r="D100" s="936" t="s">
        <v>307</v>
      </c>
      <c r="E100" s="937" t="s">
        <v>130</v>
      </c>
      <c r="F100" s="927" t="s">
        <v>131</v>
      </c>
      <c r="G100" s="938"/>
      <c r="H100" s="929" t="str">
        <f t="shared" ca="1" si="6"/>
        <v>-</v>
      </c>
      <c r="I100" s="939">
        <v>42773</v>
      </c>
      <c r="J100" s="940" t="s">
        <v>2011</v>
      </c>
      <c r="K100" s="932">
        <f t="shared" si="7"/>
        <v>42791</v>
      </c>
      <c r="L100" s="933">
        <f t="shared" ca="1" si="9"/>
        <v>343</v>
      </c>
      <c r="M100" s="933" t="str">
        <f t="shared" ca="1" si="8"/>
        <v>-</v>
      </c>
    </row>
    <row r="101" spans="1:13" ht="20.100000000000001" hidden="1" customHeight="1" x14ac:dyDescent="0.3">
      <c r="A101" s="922">
        <v>99</v>
      </c>
      <c r="B101" s="923">
        <f t="shared" ca="1" si="5"/>
        <v>43134</v>
      </c>
      <c r="C101" s="935"/>
      <c r="D101" s="936" t="s">
        <v>2394</v>
      </c>
      <c r="E101" s="937" t="s">
        <v>562</v>
      </c>
      <c r="F101" s="927" t="s">
        <v>958</v>
      </c>
      <c r="G101" s="938"/>
      <c r="H101" s="929" t="str">
        <f t="shared" ca="1" si="6"/>
        <v>-</v>
      </c>
      <c r="I101" s="939">
        <v>42772</v>
      </c>
      <c r="J101" s="940" t="s">
        <v>2399</v>
      </c>
      <c r="K101" s="932">
        <f t="shared" si="7"/>
        <v>42790</v>
      </c>
      <c r="L101" s="933">
        <f t="shared" ca="1" si="9"/>
        <v>344</v>
      </c>
      <c r="M101" s="933" t="str">
        <f t="shared" ca="1" si="8"/>
        <v>-</v>
      </c>
    </row>
    <row r="102" spans="1:13" ht="20.100000000000001" hidden="1" customHeight="1" x14ac:dyDescent="0.3">
      <c r="A102" s="934">
        <v>100</v>
      </c>
      <c r="B102" s="923">
        <f t="shared" ca="1" si="5"/>
        <v>43134</v>
      </c>
      <c r="C102" s="935"/>
      <c r="D102" s="936" t="s">
        <v>2073</v>
      </c>
      <c r="E102" s="937" t="s">
        <v>1300</v>
      </c>
      <c r="F102" s="927" t="s">
        <v>1177</v>
      </c>
      <c r="G102" s="938"/>
      <c r="H102" s="929" t="str">
        <f t="shared" ca="1" si="6"/>
        <v>-</v>
      </c>
      <c r="I102" s="939">
        <v>42769</v>
      </c>
      <c r="J102" s="940" t="s">
        <v>2011</v>
      </c>
      <c r="K102" s="932">
        <f t="shared" si="7"/>
        <v>42787</v>
      </c>
      <c r="L102" s="933">
        <f t="shared" ca="1" si="9"/>
        <v>347</v>
      </c>
      <c r="M102" s="933" t="str">
        <f t="shared" ca="1" si="8"/>
        <v>-</v>
      </c>
    </row>
    <row r="103" spans="1:13" ht="20.100000000000001" hidden="1" customHeight="1" x14ac:dyDescent="0.3">
      <c r="A103" s="922">
        <v>101</v>
      </c>
      <c r="B103" s="923">
        <f t="shared" ca="1" si="5"/>
        <v>43134</v>
      </c>
      <c r="C103" s="935"/>
      <c r="D103" s="936" t="s">
        <v>2079</v>
      </c>
      <c r="E103" s="937" t="s">
        <v>369</v>
      </c>
      <c r="F103" s="927" t="s">
        <v>1389</v>
      </c>
      <c r="G103" s="938"/>
      <c r="H103" s="929" t="str">
        <f t="shared" ca="1" si="6"/>
        <v>-</v>
      </c>
      <c r="I103" s="939">
        <v>42773</v>
      </c>
      <c r="J103" s="940" t="s">
        <v>2011</v>
      </c>
      <c r="K103" s="932">
        <f t="shared" si="7"/>
        <v>42791</v>
      </c>
      <c r="L103" s="933">
        <f t="shared" ca="1" si="9"/>
        <v>343</v>
      </c>
      <c r="M103" s="933" t="str">
        <f t="shared" ca="1" si="8"/>
        <v>-</v>
      </c>
    </row>
    <row r="104" spans="1:13" ht="20.100000000000001" hidden="1" customHeight="1" x14ac:dyDescent="0.3">
      <c r="A104" s="934">
        <v>102</v>
      </c>
      <c r="B104" s="923">
        <f t="shared" ca="1" si="5"/>
        <v>43134</v>
      </c>
      <c r="C104" s="935"/>
      <c r="D104" s="936" t="s">
        <v>2079</v>
      </c>
      <c r="E104" s="937" t="s">
        <v>1340</v>
      </c>
      <c r="F104" s="927" t="s">
        <v>1224</v>
      </c>
      <c r="G104" s="938"/>
      <c r="H104" s="929" t="str">
        <f t="shared" ca="1" si="6"/>
        <v>-</v>
      </c>
      <c r="I104" s="939">
        <v>42776</v>
      </c>
      <c r="J104" s="940" t="s">
        <v>2011</v>
      </c>
      <c r="K104" s="932">
        <f t="shared" si="7"/>
        <v>42794</v>
      </c>
      <c r="L104" s="933">
        <f t="shared" ca="1" si="9"/>
        <v>340</v>
      </c>
      <c r="M104" s="933" t="str">
        <f t="shared" ca="1" si="8"/>
        <v>-</v>
      </c>
    </row>
    <row r="105" spans="1:13" ht="20.100000000000001" hidden="1" customHeight="1" x14ac:dyDescent="0.3">
      <c r="A105" s="922">
        <v>103</v>
      </c>
      <c r="B105" s="923">
        <f t="shared" ca="1" si="5"/>
        <v>43134</v>
      </c>
      <c r="C105" s="935"/>
      <c r="D105" s="936" t="s">
        <v>2075</v>
      </c>
      <c r="E105" s="937" t="s">
        <v>2403</v>
      </c>
      <c r="F105" s="927" t="s">
        <v>464</v>
      </c>
      <c r="G105" s="938"/>
      <c r="H105" s="929" t="str">
        <f t="shared" ca="1" si="6"/>
        <v>-</v>
      </c>
      <c r="I105" s="939">
        <v>42777</v>
      </c>
      <c r="J105" s="940" t="s">
        <v>2011</v>
      </c>
      <c r="K105" s="932">
        <f t="shared" si="7"/>
        <v>42795</v>
      </c>
      <c r="L105" s="933">
        <f t="shared" ca="1" si="9"/>
        <v>339</v>
      </c>
      <c r="M105" s="933" t="str">
        <f t="shared" ca="1" si="8"/>
        <v>-</v>
      </c>
    </row>
    <row r="106" spans="1:13" ht="20.100000000000001" hidden="1" customHeight="1" x14ac:dyDescent="0.3">
      <c r="A106" s="934">
        <v>104</v>
      </c>
      <c r="B106" s="923">
        <f t="shared" ca="1" si="5"/>
        <v>43134</v>
      </c>
      <c r="C106" s="935"/>
      <c r="D106" s="936" t="s">
        <v>2075</v>
      </c>
      <c r="E106" s="937" t="s">
        <v>701</v>
      </c>
      <c r="F106" s="927" t="s">
        <v>702</v>
      </c>
      <c r="G106" s="938"/>
      <c r="H106" s="929" t="str">
        <f t="shared" ca="1" si="6"/>
        <v>-</v>
      </c>
      <c r="I106" s="939">
        <v>42778</v>
      </c>
      <c r="J106" s="940" t="s">
        <v>2011</v>
      </c>
      <c r="K106" s="932">
        <f t="shared" si="7"/>
        <v>42796</v>
      </c>
      <c r="L106" s="933">
        <f t="shared" ca="1" si="9"/>
        <v>338</v>
      </c>
      <c r="M106" s="933" t="str">
        <f t="shared" ca="1" si="8"/>
        <v>-</v>
      </c>
    </row>
    <row r="107" spans="1:13" ht="20.100000000000001" hidden="1" customHeight="1" x14ac:dyDescent="0.3">
      <c r="A107" s="922">
        <v>105</v>
      </c>
      <c r="B107" s="923">
        <f t="shared" ca="1" si="5"/>
        <v>43134</v>
      </c>
      <c r="C107" s="935"/>
      <c r="D107" s="936" t="s">
        <v>2284</v>
      </c>
      <c r="E107" s="937" t="s">
        <v>305</v>
      </c>
      <c r="F107" s="927" t="s">
        <v>306</v>
      </c>
      <c r="G107" s="938"/>
      <c r="H107" s="929" t="str">
        <f t="shared" ca="1" si="6"/>
        <v>-</v>
      </c>
      <c r="I107" s="939">
        <v>42778</v>
      </c>
      <c r="J107" s="940" t="s">
        <v>2011</v>
      </c>
      <c r="K107" s="932">
        <f t="shared" si="7"/>
        <v>42796</v>
      </c>
      <c r="L107" s="933">
        <f t="shared" ca="1" si="9"/>
        <v>338</v>
      </c>
      <c r="M107" s="933" t="str">
        <f t="shared" ca="1" si="8"/>
        <v>-</v>
      </c>
    </row>
    <row r="108" spans="1:13" ht="20.100000000000001" hidden="1" customHeight="1" x14ac:dyDescent="0.3">
      <c r="A108" s="934">
        <v>106</v>
      </c>
      <c r="B108" s="923">
        <f t="shared" ca="1" si="5"/>
        <v>43134</v>
      </c>
      <c r="C108" s="935"/>
      <c r="D108" s="936" t="s">
        <v>2394</v>
      </c>
      <c r="E108" s="937" t="s">
        <v>484</v>
      </c>
      <c r="F108" s="927" t="s">
        <v>485</v>
      </c>
      <c r="G108" s="938"/>
      <c r="H108" s="929" t="str">
        <f t="shared" ca="1" si="6"/>
        <v>-</v>
      </c>
      <c r="I108" s="939">
        <v>42778</v>
      </c>
      <c r="J108" s="940" t="s">
        <v>2011</v>
      </c>
      <c r="K108" s="932">
        <f t="shared" si="7"/>
        <v>42796</v>
      </c>
      <c r="L108" s="933">
        <f t="shared" ca="1" si="9"/>
        <v>338</v>
      </c>
      <c r="M108" s="933" t="str">
        <f t="shared" ca="1" si="8"/>
        <v>-</v>
      </c>
    </row>
    <row r="109" spans="1:13" ht="20.100000000000001" hidden="1" customHeight="1" x14ac:dyDescent="0.3">
      <c r="A109" s="922">
        <v>107</v>
      </c>
      <c r="B109" s="923">
        <f t="shared" ca="1" si="5"/>
        <v>43134</v>
      </c>
      <c r="C109" s="935"/>
      <c r="D109" s="936" t="s">
        <v>307</v>
      </c>
      <c r="E109" s="937" t="s">
        <v>608</v>
      </c>
      <c r="F109" s="927" t="s">
        <v>781</v>
      </c>
      <c r="G109" s="938"/>
      <c r="H109" s="929" t="str">
        <f t="shared" ca="1" si="6"/>
        <v>-</v>
      </c>
      <c r="I109" s="939">
        <v>42778</v>
      </c>
      <c r="J109" s="940" t="s">
        <v>2011</v>
      </c>
      <c r="K109" s="932">
        <f t="shared" si="7"/>
        <v>42796</v>
      </c>
      <c r="L109" s="933">
        <f t="shared" ca="1" si="9"/>
        <v>338</v>
      </c>
      <c r="M109" s="933" t="str">
        <f t="shared" ca="1" si="8"/>
        <v>-</v>
      </c>
    </row>
    <row r="110" spans="1:13" ht="20.100000000000001" hidden="1" customHeight="1" x14ac:dyDescent="0.3">
      <c r="A110" s="934">
        <v>108</v>
      </c>
      <c r="B110" s="923">
        <f t="shared" ca="1" si="5"/>
        <v>43134</v>
      </c>
      <c r="C110" s="935"/>
      <c r="D110" s="936" t="s">
        <v>307</v>
      </c>
      <c r="E110" s="937" t="s">
        <v>1080</v>
      </c>
      <c r="F110" s="927" t="s">
        <v>997</v>
      </c>
      <c r="G110" s="938"/>
      <c r="H110" s="929" t="str">
        <f t="shared" ca="1" si="6"/>
        <v>-</v>
      </c>
      <c r="I110" s="939">
        <v>42784</v>
      </c>
      <c r="J110" s="940" t="s">
        <v>2416</v>
      </c>
      <c r="K110" s="932">
        <f t="shared" si="7"/>
        <v>42802</v>
      </c>
      <c r="L110" s="933">
        <f t="shared" ca="1" si="9"/>
        <v>332</v>
      </c>
      <c r="M110" s="933" t="str">
        <f t="shared" ca="1" si="8"/>
        <v>-</v>
      </c>
    </row>
    <row r="111" spans="1:13" ht="20.100000000000001" hidden="1" customHeight="1" x14ac:dyDescent="0.3">
      <c r="A111" s="922">
        <v>109</v>
      </c>
      <c r="B111" s="923">
        <f t="shared" ca="1" si="5"/>
        <v>43134</v>
      </c>
      <c r="C111" s="935"/>
      <c r="D111" s="936" t="s">
        <v>2075</v>
      </c>
      <c r="E111" s="937" t="s">
        <v>429</v>
      </c>
      <c r="F111" s="927" t="s">
        <v>964</v>
      </c>
      <c r="G111" s="938"/>
      <c r="H111" s="929" t="str">
        <f t="shared" ca="1" si="6"/>
        <v>-</v>
      </c>
      <c r="I111" s="939">
        <v>42784</v>
      </c>
      <c r="J111" s="940" t="s">
        <v>2417</v>
      </c>
      <c r="K111" s="932">
        <f t="shared" si="7"/>
        <v>42802</v>
      </c>
      <c r="L111" s="933">
        <f t="shared" ca="1" si="9"/>
        <v>332</v>
      </c>
      <c r="M111" s="933" t="str">
        <f t="shared" ca="1" si="8"/>
        <v>-</v>
      </c>
    </row>
    <row r="112" spans="1:13" ht="20.100000000000001" hidden="1" customHeight="1" x14ac:dyDescent="0.3">
      <c r="A112" s="934">
        <v>110</v>
      </c>
      <c r="B112" s="923">
        <f t="shared" ca="1" si="5"/>
        <v>43134</v>
      </c>
      <c r="C112" s="935"/>
      <c r="D112" s="936" t="s">
        <v>2073</v>
      </c>
      <c r="E112" s="937" t="s">
        <v>425</v>
      </c>
      <c r="F112" s="927" t="s">
        <v>959</v>
      </c>
      <c r="G112" s="938"/>
      <c r="H112" s="929" t="str">
        <f t="shared" ca="1" si="6"/>
        <v>-</v>
      </c>
      <c r="I112" s="939">
        <v>42782</v>
      </c>
      <c r="J112" s="940" t="s">
        <v>2418</v>
      </c>
      <c r="K112" s="932">
        <f t="shared" si="7"/>
        <v>42800</v>
      </c>
      <c r="L112" s="933">
        <f t="shared" ca="1" si="9"/>
        <v>334</v>
      </c>
      <c r="M112" s="933" t="str">
        <f t="shared" ca="1" si="8"/>
        <v>-</v>
      </c>
    </row>
    <row r="113" spans="1:13" ht="20.100000000000001" hidden="1" customHeight="1" x14ac:dyDescent="0.3">
      <c r="A113" s="922">
        <v>111</v>
      </c>
      <c r="B113" s="923">
        <f t="shared" ca="1" si="5"/>
        <v>43134</v>
      </c>
      <c r="C113" s="935"/>
      <c r="D113" s="936" t="s">
        <v>307</v>
      </c>
      <c r="E113" s="937" t="s">
        <v>130</v>
      </c>
      <c r="F113" s="927" t="s">
        <v>131</v>
      </c>
      <c r="G113" s="938"/>
      <c r="H113" s="929" t="str">
        <f t="shared" ca="1" si="6"/>
        <v>-</v>
      </c>
      <c r="I113" s="939">
        <v>42773</v>
      </c>
      <c r="J113" s="940" t="s">
        <v>2419</v>
      </c>
      <c r="K113" s="932">
        <f t="shared" si="7"/>
        <v>42791</v>
      </c>
      <c r="L113" s="933">
        <f t="shared" ca="1" si="9"/>
        <v>343</v>
      </c>
      <c r="M113" s="933" t="str">
        <f t="shared" ca="1" si="8"/>
        <v>-</v>
      </c>
    </row>
    <row r="114" spans="1:13" ht="20.100000000000001" hidden="1" customHeight="1" x14ac:dyDescent="0.3">
      <c r="A114" s="934">
        <v>112</v>
      </c>
      <c r="B114" s="923">
        <f t="shared" ca="1" si="5"/>
        <v>43134</v>
      </c>
      <c r="C114" s="935"/>
      <c r="D114" s="936" t="s">
        <v>307</v>
      </c>
      <c r="E114" s="937" t="s">
        <v>1122</v>
      </c>
      <c r="F114" s="927" t="s">
        <v>1038</v>
      </c>
      <c r="G114" s="938"/>
      <c r="H114" s="929" t="str">
        <f t="shared" ca="1" si="6"/>
        <v>-</v>
      </c>
      <c r="I114" s="939">
        <v>42773</v>
      </c>
      <c r="J114" s="940" t="s">
        <v>2419</v>
      </c>
      <c r="K114" s="932">
        <f t="shared" si="7"/>
        <v>42791</v>
      </c>
      <c r="L114" s="933">
        <f t="shared" ca="1" si="9"/>
        <v>343</v>
      </c>
      <c r="M114" s="933" t="str">
        <f t="shared" ca="1" si="8"/>
        <v>-</v>
      </c>
    </row>
    <row r="115" spans="1:13" ht="20.100000000000001" hidden="1" customHeight="1" x14ac:dyDescent="0.3">
      <c r="A115" s="922">
        <v>113</v>
      </c>
      <c r="B115" s="923">
        <f t="shared" ca="1" si="5"/>
        <v>43134</v>
      </c>
      <c r="C115" s="935"/>
      <c r="D115" s="936" t="s">
        <v>2263</v>
      </c>
      <c r="E115" s="937" t="s">
        <v>775</v>
      </c>
      <c r="F115" s="927" t="s">
        <v>776</v>
      </c>
      <c r="G115" s="938"/>
      <c r="H115" s="929" t="str">
        <f t="shared" ca="1" si="6"/>
        <v>-</v>
      </c>
      <c r="I115" s="939">
        <v>42772</v>
      </c>
      <c r="J115" s="940" t="s">
        <v>2011</v>
      </c>
      <c r="K115" s="932">
        <f t="shared" si="7"/>
        <v>42790</v>
      </c>
      <c r="L115" s="933">
        <f t="shared" ca="1" si="9"/>
        <v>344</v>
      </c>
      <c r="M115" s="933" t="str">
        <f t="shared" ca="1" si="8"/>
        <v>-</v>
      </c>
    </row>
    <row r="116" spans="1:13" ht="20.100000000000001" hidden="1" customHeight="1" x14ac:dyDescent="0.3">
      <c r="A116" s="934">
        <v>114</v>
      </c>
      <c r="B116" s="923">
        <f t="shared" ca="1" si="5"/>
        <v>43134</v>
      </c>
      <c r="C116" s="935"/>
      <c r="D116" s="936" t="s">
        <v>2394</v>
      </c>
      <c r="E116" s="937" t="s">
        <v>562</v>
      </c>
      <c r="F116" s="927" t="s">
        <v>958</v>
      </c>
      <c r="G116" s="938"/>
      <c r="H116" s="929" t="str">
        <f t="shared" ca="1" si="6"/>
        <v>-</v>
      </c>
      <c r="I116" s="939">
        <v>42773</v>
      </c>
      <c r="J116" s="940" t="s">
        <v>2420</v>
      </c>
      <c r="K116" s="932">
        <f t="shared" si="7"/>
        <v>42791</v>
      </c>
      <c r="L116" s="933">
        <f t="shared" ca="1" si="9"/>
        <v>343</v>
      </c>
      <c r="M116" s="933" t="str">
        <f t="shared" ca="1" si="8"/>
        <v>-</v>
      </c>
    </row>
    <row r="117" spans="1:13" ht="20.100000000000001" hidden="1" customHeight="1" x14ac:dyDescent="0.3">
      <c r="A117" s="922">
        <v>115</v>
      </c>
      <c r="B117" s="923">
        <f t="shared" ca="1" si="5"/>
        <v>43134</v>
      </c>
      <c r="C117" s="935"/>
      <c r="D117" s="936" t="s">
        <v>2130</v>
      </c>
      <c r="E117" s="937" t="s">
        <v>1323</v>
      </c>
      <c r="F117" s="927" t="s">
        <v>1206</v>
      </c>
      <c r="G117" s="938"/>
      <c r="H117" s="929" t="str">
        <f t="shared" ca="1" si="6"/>
        <v>-</v>
      </c>
      <c r="I117" s="939">
        <v>42772</v>
      </c>
      <c r="J117" s="940" t="s">
        <v>2011</v>
      </c>
      <c r="K117" s="932">
        <f t="shared" si="7"/>
        <v>42790</v>
      </c>
      <c r="L117" s="933">
        <f t="shared" ca="1" si="9"/>
        <v>344</v>
      </c>
      <c r="M117" s="933" t="str">
        <f t="shared" ca="1" si="8"/>
        <v>-</v>
      </c>
    </row>
    <row r="118" spans="1:13" ht="20.100000000000001" hidden="1" customHeight="1" x14ac:dyDescent="0.3">
      <c r="A118" s="934">
        <v>116</v>
      </c>
      <c r="B118" s="923">
        <f t="shared" ca="1" si="5"/>
        <v>43134</v>
      </c>
      <c r="C118" s="935"/>
      <c r="D118" s="936" t="s">
        <v>2073</v>
      </c>
      <c r="E118" s="937" t="s">
        <v>247</v>
      </c>
      <c r="F118" s="927" t="s">
        <v>248</v>
      </c>
      <c r="G118" s="938"/>
      <c r="H118" s="929" t="str">
        <f t="shared" ca="1" si="6"/>
        <v>-</v>
      </c>
      <c r="I118" s="939">
        <v>42771</v>
      </c>
      <c r="J118" s="940" t="s">
        <v>619</v>
      </c>
      <c r="K118" s="932">
        <f t="shared" si="7"/>
        <v>42789</v>
      </c>
      <c r="L118" s="933">
        <f t="shared" ca="1" si="9"/>
        <v>345</v>
      </c>
      <c r="M118" s="933" t="str">
        <f t="shared" ca="1" si="8"/>
        <v>-</v>
      </c>
    </row>
    <row r="119" spans="1:13" ht="20.100000000000001" hidden="1" customHeight="1" x14ac:dyDescent="0.3">
      <c r="A119" s="922">
        <v>117</v>
      </c>
      <c r="B119" s="923">
        <f t="shared" ca="1" si="5"/>
        <v>43134</v>
      </c>
      <c r="C119" s="935"/>
      <c r="D119" s="936" t="s">
        <v>2075</v>
      </c>
      <c r="E119" s="937" t="s">
        <v>1313</v>
      </c>
      <c r="F119" s="927" t="s">
        <v>1195</v>
      </c>
      <c r="G119" s="938"/>
      <c r="H119" s="929" t="str">
        <f t="shared" ca="1" si="6"/>
        <v>-</v>
      </c>
      <c r="I119" s="939">
        <v>42785</v>
      </c>
      <c r="J119" s="940" t="s">
        <v>2423</v>
      </c>
      <c r="K119" s="932">
        <f t="shared" si="7"/>
        <v>42803</v>
      </c>
      <c r="L119" s="933">
        <f t="shared" ca="1" si="9"/>
        <v>331</v>
      </c>
      <c r="M119" s="933" t="str">
        <f t="shared" ca="1" si="8"/>
        <v>-</v>
      </c>
    </row>
    <row r="120" spans="1:13" ht="20.100000000000001" hidden="1" customHeight="1" x14ac:dyDescent="0.3">
      <c r="A120" s="934">
        <v>118</v>
      </c>
      <c r="B120" s="923">
        <f t="shared" ca="1" si="5"/>
        <v>43134</v>
      </c>
      <c r="C120" s="935"/>
      <c r="D120" s="936" t="s">
        <v>2078</v>
      </c>
      <c r="E120" s="937" t="s">
        <v>810</v>
      </c>
      <c r="F120" s="927" t="s">
        <v>811</v>
      </c>
      <c r="G120" s="938"/>
      <c r="H120" s="929" t="str">
        <f t="shared" ca="1" si="6"/>
        <v>-</v>
      </c>
      <c r="I120" s="939">
        <v>42785</v>
      </c>
      <c r="J120" s="940" t="s">
        <v>2011</v>
      </c>
      <c r="K120" s="932">
        <f t="shared" si="7"/>
        <v>42803</v>
      </c>
      <c r="L120" s="933">
        <f t="shared" ca="1" si="9"/>
        <v>331</v>
      </c>
      <c r="M120" s="933" t="str">
        <f t="shared" ca="1" si="8"/>
        <v>-</v>
      </c>
    </row>
    <row r="121" spans="1:13" ht="20.100000000000001" hidden="1" customHeight="1" x14ac:dyDescent="0.3">
      <c r="A121" s="922">
        <v>119</v>
      </c>
      <c r="B121" s="923">
        <f t="shared" ca="1" si="5"/>
        <v>43134</v>
      </c>
      <c r="C121" s="935"/>
      <c r="D121" s="936" t="s">
        <v>2079</v>
      </c>
      <c r="E121" s="937" t="s">
        <v>1339</v>
      </c>
      <c r="F121" s="927" t="s">
        <v>1223</v>
      </c>
      <c r="G121" s="938"/>
      <c r="H121" s="929" t="str">
        <f t="shared" ca="1" si="6"/>
        <v>-</v>
      </c>
      <c r="I121" s="939">
        <v>42785</v>
      </c>
      <c r="J121" s="940" t="s">
        <v>2011</v>
      </c>
      <c r="K121" s="932">
        <f t="shared" si="7"/>
        <v>42803</v>
      </c>
      <c r="L121" s="933">
        <f t="shared" ca="1" si="9"/>
        <v>331</v>
      </c>
      <c r="M121" s="933" t="str">
        <f t="shared" ca="1" si="8"/>
        <v>-</v>
      </c>
    </row>
    <row r="122" spans="1:13" ht="20.100000000000001" hidden="1" customHeight="1" x14ac:dyDescent="0.3">
      <c r="A122" s="934">
        <v>120</v>
      </c>
      <c r="B122" s="923">
        <f t="shared" ca="1" si="5"/>
        <v>43134</v>
      </c>
      <c r="C122" s="935"/>
      <c r="D122" s="936" t="s">
        <v>2394</v>
      </c>
      <c r="E122" s="937" t="s">
        <v>465</v>
      </c>
      <c r="F122" s="927" t="s">
        <v>466</v>
      </c>
      <c r="G122" s="938"/>
      <c r="H122" s="929" t="str">
        <f t="shared" ca="1" si="6"/>
        <v>-</v>
      </c>
      <c r="I122" s="939">
        <v>42785</v>
      </c>
      <c r="J122" s="940" t="s">
        <v>2423</v>
      </c>
      <c r="K122" s="932">
        <f t="shared" si="7"/>
        <v>42803</v>
      </c>
      <c r="L122" s="933">
        <f t="shared" ca="1" si="9"/>
        <v>331</v>
      </c>
      <c r="M122" s="933" t="str">
        <f t="shared" ca="1" si="8"/>
        <v>-</v>
      </c>
    </row>
    <row r="123" spans="1:13" ht="20.100000000000001" hidden="1" customHeight="1" x14ac:dyDescent="0.3">
      <c r="A123" s="922">
        <v>121</v>
      </c>
      <c r="B123" s="923">
        <f t="shared" ca="1" si="5"/>
        <v>43134</v>
      </c>
      <c r="C123" s="935"/>
      <c r="D123" s="936" t="s">
        <v>2284</v>
      </c>
      <c r="E123" s="937" t="s">
        <v>661</v>
      </c>
      <c r="F123" s="927" t="s">
        <v>662</v>
      </c>
      <c r="G123" s="938"/>
      <c r="H123" s="929" t="str">
        <f t="shared" ca="1" si="6"/>
        <v>-</v>
      </c>
      <c r="I123" s="939">
        <v>42786</v>
      </c>
      <c r="J123" s="940" t="s">
        <v>2440</v>
      </c>
      <c r="K123" s="932">
        <f t="shared" si="7"/>
        <v>42804</v>
      </c>
      <c r="L123" s="933">
        <f t="shared" ca="1" si="9"/>
        <v>330</v>
      </c>
      <c r="M123" s="933" t="str">
        <f t="shared" ca="1" si="8"/>
        <v>-</v>
      </c>
    </row>
    <row r="124" spans="1:13" ht="20.100000000000001" hidden="1" customHeight="1" x14ac:dyDescent="0.3">
      <c r="A124" s="934">
        <v>122</v>
      </c>
      <c r="B124" s="923">
        <f t="shared" ca="1" si="5"/>
        <v>43134</v>
      </c>
      <c r="C124" s="935"/>
      <c r="D124" s="936" t="s">
        <v>2075</v>
      </c>
      <c r="E124" s="937" t="s">
        <v>467</v>
      </c>
      <c r="F124" s="927" t="s">
        <v>468</v>
      </c>
      <c r="G124" s="938"/>
      <c r="H124" s="929" t="str">
        <f t="shared" ca="1" si="6"/>
        <v>-</v>
      </c>
      <c r="I124" s="939">
        <v>42786</v>
      </c>
      <c r="J124" s="940" t="s">
        <v>2441</v>
      </c>
      <c r="K124" s="932">
        <f t="shared" si="7"/>
        <v>42804</v>
      </c>
      <c r="L124" s="933">
        <f t="shared" ca="1" si="9"/>
        <v>330</v>
      </c>
      <c r="M124" s="933" t="str">
        <f t="shared" ca="1" si="8"/>
        <v>-</v>
      </c>
    </row>
    <row r="125" spans="1:13" ht="20.100000000000001" hidden="1" customHeight="1" x14ac:dyDescent="0.3">
      <c r="A125" s="922">
        <v>123</v>
      </c>
      <c r="B125" s="923">
        <f t="shared" ca="1" si="5"/>
        <v>43134</v>
      </c>
      <c r="C125" s="935"/>
      <c r="D125" s="936" t="s">
        <v>2078</v>
      </c>
      <c r="E125" s="937" t="s">
        <v>480</v>
      </c>
      <c r="F125" s="927" t="s">
        <v>481</v>
      </c>
      <c r="G125" s="938"/>
      <c r="H125" s="929" t="str">
        <f t="shared" ca="1" si="6"/>
        <v>-</v>
      </c>
      <c r="I125" s="939">
        <v>42787</v>
      </c>
      <c r="J125" s="940" t="s">
        <v>2442</v>
      </c>
      <c r="K125" s="932">
        <f t="shared" si="7"/>
        <v>42805</v>
      </c>
      <c r="L125" s="933">
        <f t="shared" ca="1" si="9"/>
        <v>329</v>
      </c>
      <c r="M125" s="933" t="str">
        <f t="shared" ca="1" si="8"/>
        <v>-</v>
      </c>
    </row>
    <row r="126" spans="1:13" ht="20.100000000000001" hidden="1" customHeight="1" x14ac:dyDescent="0.3">
      <c r="A126" s="934">
        <v>124</v>
      </c>
      <c r="B126" s="923">
        <f t="shared" ca="1" si="5"/>
        <v>43134</v>
      </c>
      <c r="C126" s="935"/>
      <c r="D126" s="936" t="s">
        <v>2078</v>
      </c>
      <c r="E126" s="937" t="s">
        <v>633</v>
      </c>
      <c r="F126" s="927" t="s">
        <v>1028</v>
      </c>
      <c r="G126" s="938"/>
      <c r="H126" s="929" t="str">
        <f t="shared" ca="1" si="6"/>
        <v>-</v>
      </c>
      <c r="I126" s="939">
        <v>42787</v>
      </c>
      <c r="J126" s="940" t="s">
        <v>2443</v>
      </c>
      <c r="K126" s="932">
        <f t="shared" si="7"/>
        <v>42805</v>
      </c>
      <c r="L126" s="933">
        <f t="shared" ca="1" si="9"/>
        <v>329</v>
      </c>
      <c r="M126" s="933" t="str">
        <f t="shared" ca="1" si="8"/>
        <v>-</v>
      </c>
    </row>
    <row r="127" spans="1:13" ht="20.100000000000001" hidden="1" customHeight="1" x14ac:dyDescent="0.3">
      <c r="A127" s="922">
        <v>125</v>
      </c>
      <c r="B127" s="923">
        <f t="shared" ca="1" si="5"/>
        <v>43134</v>
      </c>
      <c r="C127" s="935"/>
      <c r="D127" s="936" t="s">
        <v>2079</v>
      </c>
      <c r="E127" s="937" t="s">
        <v>448</v>
      </c>
      <c r="F127" s="927" t="s">
        <v>449</v>
      </c>
      <c r="G127" s="938"/>
      <c r="H127" s="929" t="str">
        <f t="shared" ca="1" si="6"/>
        <v>-</v>
      </c>
      <c r="I127" s="939">
        <v>42788</v>
      </c>
      <c r="J127" s="940" t="s">
        <v>2444</v>
      </c>
      <c r="K127" s="932">
        <f t="shared" si="7"/>
        <v>42806</v>
      </c>
      <c r="L127" s="933">
        <f t="shared" ca="1" si="9"/>
        <v>328</v>
      </c>
      <c r="M127" s="933" t="str">
        <f t="shared" ref="M127:M129" ca="1" si="10">IF(OR(L127&gt;6,L127&lt;0),"-","CHECK IT")</f>
        <v>-</v>
      </c>
    </row>
    <row r="128" spans="1:13" ht="20.100000000000001" hidden="1" customHeight="1" x14ac:dyDescent="0.3">
      <c r="A128" s="934">
        <v>126</v>
      </c>
      <c r="B128" s="923">
        <f t="shared" ca="1" si="5"/>
        <v>43134</v>
      </c>
      <c r="C128" s="935"/>
      <c r="D128" s="936" t="s">
        <v>307</v>
      </c>
      <c r="E128" s="937" t="s">
        <v>148</v>
      </c>
      <c r="F128" s="927" t="s">
        <v>149</v>
      </c>
      <c r="G128" s="938"/>
      <c r="H128" s="929" t="str">
        <f t="shared" ca="1" si="6"/>
        <v>-</v>
      </c>
      <c r="I128" s="939">
        <v>42791</v>
      </c>
      <c r="J128" s="940" t="s">
        <v>2445</v>
      </c>
      <c r="K128" s="932">
        <f t="shared" si="7"/>
        <v>42809</v>
      </c>
      <c r="L128" s="933">
        <f t="shared" ca="1" si="9"/>
        <v>325</v>
      </c>
      <c r="M128" s="933" t="str">
        <f t="shared" ca="1" si="10"/>
        <v>-</v>
      </c>
    </row>
    <row r="129" spans="1:13" ht="20.100000000000001" hidden="1" customHeight="1" x14ac:dyDescent="0.3">
      <c r="A129" s="922">
        <v>127</v>
      </c>
      <c r="B129" s="923">
        <f t="shared" ca="1" si="5"/>
        <v>43134</v>
      </c>
      <c r="C129" s="935"/>
      <c r="D129" s="936" t="s">
        <v>307</v>
      </c>
      <c r="E129" s="937" t="s">
        <v>433</v>
      </c>
      <c r="F129" s="927" t="s">
        <v>434</v>
      </c>
      <c r="G129" s="938"/>
      <c r="H129" s="929" t="str">
        <f t="shared" ca="1" si="6"/>
        <v>-</v>
      </c>
      <c r="I129" s="939">
        <v>42791</v>
      </c>
      <c r="J129" s="940" t="s">
        <v>2446</v>
      </c>
      <c r="K129" s="932">
        <f t="shared" si="7"/>
        <v>42809</v>
      </c>
      <c r="L129" s="933">
        <f t="shared" ca="1" si="9"/>
        <v>325</v>
      </c>
      <c r="M129" s="933" t="str">
        <f t="shared" ca="1" si="10"/>
        <v>-</v>
      </c>
    </row>
    <row r="130" spans="1:13" ht="20.100000000000001" hidden="1" customHeight="1" x14ac:dyDescent="0.3">
      <c r="A130" s="934">
        <v>128</v>
      </c>
      <c r="B130" s="923">
        <f t="shared" ca="1" si="5"/>
        <v>43134</v>
      </c>
      <c r="C130" s="935"/>
      <c r="D130" s="936" t="s">
        <v>2287</v>
      </c>
      <c r="E130" s="937" t="s">
        <v>747</v>
      </c>
      <c r="F130" s="927" t="s">
        <v>748</v>
      </c>
      <c r="G130" s="938"/>
      <c r="H130" s="929" t="str">
        <f t="shared" ca="1" si="6"/>
        <v>-</v>
      </c>
      <c r="I130" s="939">
        <v>42792</v>
      </c>
      <c r="J130" s="940" t="s">
        <v>2447</v>
      </c>
      <c r="K130" s="932">
        <f t="shared" si="7"/>
        <v>42810</v>
      </c>
      <c r="L130" s="933">
        <f t="shared" ca="1" si="9"/>
        <v>324</v>
      </c>
      <c r="M130" s="933" t="str">
        <f t="shared" ref="M130:M193" ca="1" si="11">IF(OR(L130&gt;6,L130&lt;0),"-","CHECK IT")</f>
        <v>-</v>
      </c>
    </row>
    <row r="131" spans="1:13" ht="20.100000000000001" hidden="1" customHeight="1" x14ac:dyDescent="0.3">
      <c r="A131" s="922">
        <v>129</v>
      </c>
      <c r="B131" s="923">
        <f t="shared" ref="B131:B194" ca="1" si="12">TODAY()</f>
        <v>43134</v>
      </c>
      <c r="C131" s="935"/>
      <c r="D131" s="936" t="s">
        <v>2073</v>
      </c>
      <c r="E131" s="937" t="s">
        <v>217</v>
      </c>
      <c r="F131" s="927" t="s">
        <v>1140</v>
      </c>
      <c r="G131" s="938"/>
      <c r="H131" s="929" t="str">
        <f t="shared" ca="1" si="6"/>
        <v>-</v>
      </c>
      <c r="I131" s="939">
        <v>42793</v>
      </c>
      <c r="J131" s="940" t="s">
        <v>2448</v>
      </c>
      <c r="K131" s="932">
        <f t="shared" si="7"/>
        <v>42811</v>
      </c>
      <c r="L131" s="933">
        <f t="shared" ca="1" si="9"/>
        <v>323</v>
      </c>
      <c r="M131" s="933" t="str">
        <f t="shared" ca="1" si="11"/>
        <v>-</v>
      </c>
    </row>
    <row r="132" spans="1:13" ht="20.100000000000001" hidden="1" customHeight="1" x14ac:dyDescent="0.3">
      <c r="A132" s="934">
        <v>130</v>
      </c>
      <c r="B132" s="923">
        <f t="shared" ca="1" si="12"/>
        <v>43134</v>
      </c>
      <c r="C132" s="935"/>
      <c r="D132" s="936" t="s">
        <v>2284</v>
      </c>
      <c r="E132" s="937" t="s">
        <v>1050</v>
      </c>
      <c r="F132" s="927" t="s">
        <v>955</v>
      </c>
      <c r="G132" s="938"/>
      <c r="H132" s="929" t="str">
        <f t="shared" ref="H132:H195" ca="1" si="13">IF(AND(B132&gt;0,G132&gt;0),B132-G132,"-")</f>
        <v>-</v>
      </c>
      <c r="I132" s="939">
        <v>42793</v>
      </c>
      <c r="J132" s="940" t="s">
        <v>2449</v>
      </c>
      <c r="K132" s="932">
        <f t="shared" ref="K132:K195" si="14">IF(AND(I132&gt;0,J132&gt;0),I132+18,"-")</f>
        <v>42811</v>
      </c>
      <c r="L132" s="933">
        <f t="shared" ca="1" si="9"/>
        <v>323</v>
      </c>
      <c r="M132" s="933" t="str">
        <f t="shared" ca="1" si="11"/>
        <v>-</v>
      </c>
    </row>
    <row r="133" spans="1:13" ht="20.100000000000001" hidden="1" customHeight="1" x14ac:dyDescent="0.3">
      <c r="A133" s="922">
        <v>131</v>
      </c>
      <c r="B133" s="923">
        <f t="shared" ca="1" si="12"/>
        <v>43134</v>
      </c>
      <c r="C133" s="935"/>
      <c r="D133" s="936" t="s">
        <v>2075</v>
      </c>
      <c r="E133" s="937" t="s">
        <v>104</v>
      </c>
      <c r="F133" s="927" t="s">
        <v>1132</v>
      </c>
      <c r="G133" s="938"/>
      <c r="H133" s="929" t="str">
        <f t="shared" ca="1" si="13"/>
        <v>-</v>
      </c>
      <c r="I133" s="939">
        <v>42795</v>
      </c>
      <c r="J133" s="940" t="s">
        <v>2464</v>
      </c>
      <c r="K133" s="932">
        <f t="shared" si="14"/>
        <v>42813</v>
      </c>
      <c r="L133" s="933">
        <f t="shared" ca="1" si="9"/>
        <v>321</v>
      </c>
      <c r="M133" s="933" t="str">
        <f t="shared" ca="1" si="11"/>
        <v>-</v>
      </c>
    </row>
    <row r="134" spans="1:13" ht="20.100000000000001" hidden="1" customHeight="1" x14ac:dyDescent="0.3">
      <c r="A134" s="934">
        <v>132</v>
      </c>
      <c r="B134" s="923">
        <f t="shared" ca="1" si="12"/>
        <v>43134</v>
      </c>
      <c r="C134" s="935"/>
      <c r="D134" s="936" t="s">
        <v>2075</v>
      </c>
      <c r="E134" s="937" t="s">
        <v>1068</v>
      </c>
      <c r="F134" s="927" t="s">
        <v>985</v>
      </c>
      <c r="G134" s="938"/>
      <c r="H134" s="929" t="str">
        <f t="shared" ca="1" si="13"/>
        <v>-</v>
      </c>
      <c r="I134" s="939">
        <v>42794</v>
      </c>
      <c r="J134" s="940" t="s">
        <v>2465</v>
      </c>
      <c r="K134" s="932">
        <f t="shared" si="14"/>
        <v>42812</v>
      </c>
      <c r="L134" s="933">
        <f t="shared" ref="L134:L182" ca="1" si="15">IF(K134&gt;0,B134-K134,"-")</f>
        <v>322</v>
      </c>
      <c r="M134" s="933" t="str">
        <f t="shared" ca="1" si="11"/>
        <v>-</v>
      </c>
    </row>
    <row r="135" spans="1:13" ht="20.100000000000001" hidden="1" customHeight="1" x14ac:dyDescent="0.3">
      <c r="A135" s="922">
        <v>133</v>
      </c>
      <c r="B135" s="923">
        <f t="shared" ca="1" si="12"/>
        <v>43134</v>
      </c>
      <c r="C135" s="935"/>
      <c r="D135" s="936" t="s">
        <v>2078</v>
      </c>
      <c r="E135" s="937" t="s">
        <v>454</v>
      </c>
      <c r="F135" s="927" t="s">
        <v>455</v>
      </c>
      <c r="G135" s="938"/>
      <c r="H135" s="929"/>
      <c r="I135" s="939">
        <v>42797</v>
      </c>
      <c r="J135" s="940" t="s">
        <v>2461</v>
      </c>
      <c r="K135" s="932">
        <f t="shared" si="14"/>
        <v>42815</v>
      </c>
      <c r="L135" s="933">
        <f t="shared" ca="1" si="15"/>
        <v>319</v>
      </c>
      <c r="M135" s="933" t="str">
        <f t="shared" ca="1" si="11"/>
        <v>-</v>
      </c>
    </row>
    <row r="136" spans="1:13" ht="20.100000000000001" hidden="1" customHeight="1" x14ac:dyDescent="0.3">
      <c r="A136" s="934">
        <v>134</v>
      </c>
      <c r="B136" s="923">
        <f t="shared" ca="1" si="12"/>
        <v>43134</v>
      </c>
      <c r="C136" s="935"/>
      <c r="D136" s="936" t="s">
        <v>2075</v>
      </c>
      <c r="E136" s="937" t="s">
        <v>271</v>
      </c>
      <c r="F136" s="927" t="s">
        <v>490</v>
      </c>
      <c r="G136" s="938"/>
      <c r="H136" s="929" t="str">
        <f t="shared" ca="1" si="13"/>
        <v>-</v>
      </c>
      <c r="I136" s="939">
        <v>42798</v>
      </c>
      <c r="J136" s="940" t="s">
        <v>2462</v>
      </c>
      <c r="K136" s="932">
        <f t="shared" si="14"/>
        <v>42816</v>
      </c>
      <c r="L136" s="933">
        <f t="shared" ca="1" si="15"/>
        <v>318</v>
      </c>
      <c r="M136" s="933" t="str">
        <f t="shared" ca="1" si="11"/>
        <v>-</v>
      </c>
    </row>
    <row r="137" spans="1:13" ht="20.100000000000001" hidden="1" customHeight="1" x14ac:dyDescent="0.3">
      <c r="A137" s="922">
        <v>135</v>
      </c>
      <c r="B137" s="923">
        <f t="shared" ca="1" si="12"/>
        <v>43134</v>
      </c>
      <c r="C137" s="935"/>
      <c r="D137" s="936" t="s">
        <v>2284</v>
      </c>
      <c r="E137" s="937" t="s">
        <v>1332</v>
      </c>
      <c r="F137" s="927" t="s">
        <v>1215</v>
      </c>
      <c r="G137" s="938"/>
      <c r="H137" s="929" t="str">
        <f t="shared" ca="1" si="13"/>
        <v>-</v>
      </c>
      <c r="I137" s="939">
        <v>42798</v>
      </c>
      <c r="J137" s="940" t="s">
        <v>2463</v>
      </c>
      <c r="K137" s="932">
        <f t="shared" si="14"/>
        <v>42816</v>
      </c>
      <c r="L137" s="933">
        <f t="shared" ca="1" si="15"/>
        <v>318</v>
      </c>
      <c r="M137" s="933" t="str">
        <f t="shared" ca="1" si="11"/>
        <v>-</v>
      </c>
    </row>
    <row r="138" spans="1:13" ht="20.100000000000001" hidden="1" customHeight="1" x14ac:dyDescent="0.3">
      <c r="A138" s="934">
        <v>136</v>
      </c>
      <c r="B138" s="923">
        <f t="shared" ca="1" si="12"/>
        <v>43134</v>
      </c>
      <c r="C138" s="935"/>
      <c r="D138" s="936" t="s">
        <v>2078</v>
      </c>
      <c r="E138" s="937" t="s">
        <v>96</v>
      </c>
      <c r="F138" s="927" t="s">
        <v>98</v>
      </c>
      <c r="G138" s="938"/>
      <c r="H138" s="929" t="str">
        <f t="shared" ca="1" si="13"/>
        <v>-</v>
      </c>
      <c r="I138" s="939">
        <v>42799</v>
      </c>
      <c r="J138" s="940" t="s">
        <v>2461</v>
      </c>
      <c r="K138" s="932">
        <f t="shared" si="14"/>
        <v>42817</v>
      </c>
      <c r="L138" s="933">
        <f t="shared" ca="1" si="15"/>
        <v>317</v>
      </c>
      <c r="M138" s="933" t="str">
        <f t="shared" ca="1" si="11"/>
        <v>-</v>
      </c>
    </row>
    <row r="139" spans="1:13" ht="20.100000000000001" hidden="1" customHeight="1" x14ac:dyDescent="0.3">
      <c r="A139" s="922">
        <v>137</v>
      </c>
      <c r="B139" s="923">
        <f t="shared" ca="1" si="12"/>
        <v>43134</v>
      </c>
      <c r="C139" s="935"/>
      <c r="D139" s="936" t="s">
        <v>2073</v>
      </c>
      <c r="E139" s="937" t="s">
        <v>804</v>
      </c>
      <c r="F139" s="927" t="s">
        <v>805</v>
      </c>
      <c r="G139" s="938"/>
      <c r="H139" s="929" t="str">
        <f t="shared" ca="1" si="13"/>
        <v>-</v>
      </c>
      <c r="I139" s="939">
        <v>42801</v>
      </c>
      <c r="J139" s="940" t="s">
        <v>2470</v>
      </c>
      <c r="K139" s="932">
        <f t="shared" si="14"/>
        <v>42819</v>
      </c>
      <c r="L139" s="933">
        <f t="shared" ca="1" si="15"/>
        <v>315</v>
      </c>
      <c r="M139" s="933" t="str">
        <f t="shared" ca="1" si="11"/>
        <v>-</v>
      </c>
    </row>
    <row r="140" spans="1:13" ht="20.100000000000001" hidden="1" customHeight="1" x14ac:dyDescent="0.3">
      <c r="A140" s="934">
        <v>138</v>
      </c>
      <c r="B140" s="923">
        <f t="shared" ca="1" si="12"/>
        <v>43134</v>
      </c>
      <c r="C140" s="935"/>
      <c r="D140" s="936" t="s">
        <v>2284</v>
      </c>
      <c r="E140" s="937" t="s">
        <v>375</v>
      </c>
      <c r="F140" s="927" t="s">
        <v>1379</v>
      </c>
      <c r="G140" s="938"/>
      <c r="H140" s="929" t="str">
        <f t="shared" ca="1" si="13"/>
        <v>-</v>
      </c>
      <c r="I140" s="939">
        <v>42805</v>
      </c>
      <c r="J140" s="940" t="s">
        <v>2480</v>
      </c>
      <c r="K140" s="932">
        <f t="shared" si="14"/>
        <v>42823</v>
      </c>
      <c r="L140" s="933">
        <f t="shared" ca="1" si="15"/>
        <v>311</v>
      </c>
      <c r="M140" s="933" t="str">
        <f t="shared" ca="1" si="11"/>
        <v>-</v>
      </c>
    </row>
    <row r="141" spans="1:13" ht="20.100000000000001" hidden="1" customHeight="1" x14ac:dyDescent="0.3">
      <c r="A141" s="922">
        <v>139</v>
      </c>
      <c r="B141" s="923">
        <f t="shared" ca="1" si="12"/>
        <v>43134</v>
      </c>
      <c r="C141" s="935"/>
      <c r="D141" s="936" t="s">
        <v>307</v>
      </c>
      <c r="E141" s="937" t="s">
        <v>417</v>
      </c>
      <c r="F141" s="927" t="s">
        <v>418</v>
      </c>
      <c r="G141" s="938"/>
      <c r="H141" s="929" t="str">
        <f t="shared" ca="1" si="13"/>
        <v>-</v>
      </c>
      <c r="I141" s="939">
        <v>42805</v>
      </c>
      <c r="J141" s="940" t="s">
        <v>2481</v>
      </c>
      <c r="K141" s="932">
        <f t="shared" si="14"/>
        <v>42823</v>
      </c>
      <c r="L141" s="933">
        <f t="shared" ca="1" si="15"/>
        <v>311</v>
      </c>
      <c r="M141" s="933" t="str">
        <f t="shared" ca="1" si="11"/>
        <v>-</v>
      </c>
    </row>
    <row r="142" spans="1:13" ht="20.100000000000001" hidden="1" customHeight="1" x14ac:dyDescent="0.3">
      <c r="A142" s="934">
        <v>140</v>
      </c>
      <c r="B142" s="923">
        <f t="shared" ca="1" si="12"/>
        <v>43134</v>
      </c>
      <c r="C142" s="935"/>
      <c r="D142" s="936" t="s">
        <v>2075</v>
      </c>
      <c r="E142" s="937" t="s">
        <v>1109</v>
      </c>
      <c r="F142" s="927" t="s">
        <v>1020</v>
      </c>
      <c r="G142" s="938"/>
      <c r="H142" s="929" t="str">
        <f t="shared" ca="1" si="13"/>
        <v>-</v>
      </c>
      <c r="I142" s="939">
        <v>42806</v>
      </c>
      <c r="J142" s="940" t="s">
        <v>2487</v>
      </c>
      <c r="K142" s="932">
        <f t="shared" si="14"/>
        <v>42824</v>
      </c>
      <c r="L142" s="933">
        <f t="shared" ca="1" si="15"/>
        <v>310</v>
      </c>
      <c r="M142" s="933" t="str">
        <f t="shared" ca="1" si="11"/>
        <v>-</v>
      </c>
    </row>
    <row r="143" spans="1:13" ht="20.100000000000001" hidden="1" customHeight="1" x14ac:dyDescent="0.3">
      <c r="A143" s="922">
        <v>141</v>
      </c>
      <c r="B143" s="923">
        <f t="shared" ca="1" si="12"/>
        <v>43134</v>
      </c>
      <c r="C143" s="935"/>
      <c r="D143" s="936" t="s">
        <v>2394</v>
      </c>
      <c r="E143" s="937" t="s">
        <v>1339</v>
      </c>
      <c r="F143" s="927" t="s">
        <v>1223</v>
      </c>
      <c r="G143" s="938"/>
      <c r="H143" s="929" t="str">
        <f t="shared" ca="1" si="13"/>
        <v>-</v>
      </c>
      <c r="I143" s="939">
        <v>42806</v>
      </c>
      <c r="J143" s="940" t="s">
        <v>2488</v>
      </c>
      <c r="K143" s="932">
        <f t="shared" si="14"/>
        <v>42824</v>
      </c>
      <c r="L143" s="933">
        <f t="shared" ca="1" si="15"/>
        <v>310</v>
      </c>
      <c r="M143" s="933" t="str">
        <f t="shared" ca="1" si="11"/>
        <v>-</v>
      </c>
    </row>
    <row r="144" spans="1:13" ht="20.100000000000001" hidden="1" customHeight="1" x14ac:dyDescent="0.3">
      <c r="A144" s="934">
        <v>142</v>
      </c>
      <c r="B144" s="923">
        <f t="shared" ca="1" si="12"/>
        <v>43134</v>
      </c>
      <c r="C144" s="935"/>
      <c r="D144" s="936" t="s">
        <v>2079</v>
      </c>
      <c r="E144" s="937" t="s">
        <v>751</v>
      </c>
      <c r="F144" s="927" t="s">
        <v>752</v>
      </c>
      <c r="G144" s="938"/>
      <c r="H144" s="929" t="str">
        <f t="shared" ca="1" si="13"/>
        <v>-</v>
      </c>
      <c r="I144" s="939">
        <v>42806</v>
      </c>
      <c r="J144" s="940" t="s">
        <v>2489</v>
      </c>
      <c r="K144" s="932">
        <f t="shared" si="14"/>
        <v>42824</v>
      </c>
      <c r="L144" s="933">
        <f t="shared" ca="1" si="15"/>
        <v>310</v>
      </c>
      <c r="M144" s="933" t="str">
        <f t="shared" ca="1" si="11"/>
        <v>-</v>
      </c>
    </row>
    <row r="145" spans="1:13" ht="20.100000000000001" hidden="1" customHeight="1" x14ac:dyDescent="0.3">
      <c r="A145" s="922">
        <v>143</v>
      </c>
      <c r="B145" s="923">
        <f t="shared" ca="1" si="12"/>
        <v>43134</v>
      </c>
      <c r="C145" s="935"/>
      <c r="D145" s="936" t="s">
        <v>2079</v>
      </c>
      <c r="E145" s="937" t="s">
        <v>838</v>
      </c>
      <c r="F145" s="927" t="s">
        <v>839</v>
      </c>
      <c r="G145" s="938"/>
      <c r="H145" s="929" t="str">
        <f t="shared" ca="1" si="13"/>
        <v>-</v>
      </c>
      <c r="I145" s="939">
        <v>42806</v>
      </c>
      <c r="J145" s="940" t="s">
        <v>2490</v>
      </c>
      <c r="K145" s="932">
        <f t="shared" si="14"/>
        <v>42824</v>
      </c>
      <c r="L145" s="933">
        <f t="shared" ca="1" si="15"/>
        <v>310</v>
      </c>
      <c r="M145" s="933" t="str">
        <f t="shared" ca="1" si="11"/>
        <v>-</v>
      </c>
    </row>
    <row r="146" spans="1:13" ht="20.100000000000001" hidden="1" customHeight="1" x14ac:dyDescent="0.3">
      <c r="A146" s="934">
        <v>144</v>
      </c>
      <c r="B146" s="923">
        <f t="shared" ca="1" si="12"/>
        <v>43134</v>
      </c>
      <c r="C146" s="935"/>
      <c r="D146" s="936" t="s">
        <v>2493</v>
      </c>
      <c r="E146" s="937" t="s">
        <v>459</v>
      </c>
      <c r="F146" s="927" t="s">
        <v>460</v>
      </c>
      <c r="G146" s="938"/>
      <c r="H146" s="929" t="str">
        <f t="shared" ca="1" si="13"/>
        <v>-</v>
      </c>
      <c r="I146" s="939">
        <v>42806</v>
      </c>
      <c r="J146" s="940" t="s">
        <v>2011</v>
      </c>
      <c r="K146" s="932">
        <f t="shared" si="14"/>
        <v>42824</v>
      </c>
      <c r="L146" s="933">
        <f t="shared" ca="1" si="15"/>
        <v>310</v>
      </c>
      <c r="M146" s="933" t="str">
        <f t="shared" ca="1" si="11"/>
        <v>-</v>
      </c>
    </row>
    <row r="147" spans="1:13" ht="20.100000000000001" hidden="1" customHeight="1" x14ac:dyDescent="0.3">
      <c r="A147" s="922">
        <v>145</v>
      </c>
      <c r="B147" s="923">
        <f t="shared" ca="1" si="12"/>
        <v>43134</v>
      </c>
      <c r="C147" s="935"/>
      <c r="D147" s="936" t="s">
        <v>2078</v>
      </c>
      <c r="E147" s="937"/>
      <c r="F147" s="927" t="s">
        <v>1040</v>
      </c>
      <c r="G147" s="938"/>
      <c r="H147" s="929" t="str">
        <f t="shared" ca="1" si="13"/>
        <v>-</v>
      </c>
      <c r="I147" s="939">
        <v>42807</v>
      </c>
      <c r="J147" s="940" t="s">
        <v>2011</v>
      </c>
      <c r="K147" s="932">
        <f t="shared" si="14"/>
        <v>42825</v>
      </c>
      <c r="L147" s="933">
        <f t="shared" ca="1" si="15"/>
        <v>309</v>
      </c>
      <c r="M147" s="933" t="str">
        <f t="shared" ca="1" si="11"/>
        <v>-</v>
      </c>
    </row>
    <row r="148" spans="1:13" ht="20.100000000000001" hidden="1" customHeight="1" x14ac:dyDescent="0.3">
      <c r="A148" s="934">
        <v>146</v>
      </c>
      <c r="B148" s="923">
        <f t="shared" ca="1" si="12"/>
        <v>43134</v>
      </c>
      <c r="C148" s="935"/>
      <c r="D148" s="936" t="s">
        <v>307</v>
      </c>
      <c r="E148" s="937"/>
      <c r="F148" s="927" t="s">
        <v>694</v>
      </c>
      <c r="G148" s="938"/>
      <c r="H148" s="929" t="str">
        <f t="shared" ca="1" si="13"/>
        <v>-</v>
      </c>
      <c r="I148" s="939">
        <v>42807</v>
      </c>
      <c r="J148" s="940" t="s">
        <v>2011</v>
      </c>
      <c r="K148" s="932">
        <f t="shared" si="14"/>
        <v>42825</v>
      </c>
      <c r="L148" s="933">
        <f t="shared" ca="1" si="15"/>
        <v>309</v>
      </c>
      <c r="M148" s="933" t="str">
        <f t="shared" ca="1" si="11"/>
        <v>-</v>
      </c>
    </row>
    <row r="149" spans="1:13" ht="20.100000000000001" hidden="1" customHeight="1" x14ac:dyDescent="0.3">
      <c r="A149" s="922">
        <v>147</v>
      </c>
      <c r="B149" s="923">
        <f t="shared" ca="1" si="12"/>
        <v>43134</v>
      </c>
      <c r="C149" s="935"/>
      <c r="D149" s="936" t="s">
        <v>2078</v>
      </c>
      <c r="E149" s="937"/>
      <c r="F149" s="927" t="s">
        <v>291</v>
      </c>
      <c r="G149" s="938"/>
      <c r="H149" s="929" t="str">
        <f t="shared" ca="1" si="13"/>
        <v>-</v>
      </c>
      <c r="I149" s="939">
        <v>42807</v>
      </c>
      <c r="J149" s="940" t="s">
        <v>2011</v>
      </c>
      <c r="K149" s="932">
        <f t="shared" si="14"/>
        <v>42825</v>
      </c>
      <c r="L149" s="933">
        <f t="shared" ca="1" si="15"/>
        <v>309</v>
      </c>
      <c r="M149" s="933" t="str">
        <f t="shared" ca="1" si="11"/>
        <v>-</v>
      </c>
    </row>
    <row r="150" spans="1:13" ht="20.100000000000001" hidden="1" customHeight="1" x14ac:dyDescent="0.3">
      <c r="A150" s="934">
        <v>148</v>
      </c>
      <c r="B150" s="923">
        <f t="shared" ca="1" si="12"/>
        <v>43134</v>
      </c>
      <c r="C150" s="935"/>
      <c r="D150" s="936"/>
      <c r="E150" s="937"/>
      <c r="F150" s="927" t="s">
        <v>418</v>
      </c>
      <c r="G150" s="938"/>
      <c r="H150" s="929" t="str">
        <f t="shared" ca="1" si="13"/>
        <v>-</v>
      </c>
      <c r="I150" s="939">
        <v>42808</v>
      </c>
      <c r="J150" s="940" t="s">
        <v>2011</v>
      </c>
      <c r="K150" s="932">
        <f t="shared" si="14"/>
        <v>42826</v>
      </c>
      <c r="L150" s="933">
        <f t="shared" ca="1" si="15"/>
        <v>308</v>
      </c>
      <c r="M150" s="933" t="str">
        <f t="shared" ca="1" si="11"/>
        <v>-</v>
      </c>
    </row>
    <row r="151" spans="1:13" ht="20.100000000000001" hidden="1" customHeight="1" x14ac:dyDescent="0.3">
      <c r="A151" s="922">
        <v>149</v>
      </c>
      <c r="B151" s="923">
        <f t="shared" ca="1" si="12"/>
        <v>43134</v>
      </c>
      <c r="C151" s="935"/>
      <c r="D151" s="936"/>
      <c r="E151" s="937"/>
      <c r="F151" s="927" t="s">
        <v>1379</v>
      </c>
      <c r="G151" s="938"/>
      <c r="H151" s="929" t="str">
        <f t="shared" ca="1" si="13"/>
        <v>-</v>
      </c>
      <c r="I151" s="939">
        <v>42804</v>
      </c>
      <c r="J151" s="940" t="s">
        <v>2011</v>
      </c>
      <c r="K151" s="932">
        <f t="shared" si="14"/>
        <v>42822</v>
      </c>
      <c r="L151" s="933">
        <f t="shared" ca="1" si="15"/>
        <v>312</v>
      </c>
      <c r="M151" s="933" t="str">
        <f t="shared" ca="1" si="11"/>
        <v>-</v>
      </c>
    </row>
    <row r="152" spans="1:13" ht="20.100000000000001" hidden="1" customHeight="1" x14ac:dyDescent="0.3">
      <c r="A152" s="934">
        <v>150</v>
      </c>
      <c r="B152" s="923">
        <f t="shared" ca="1" si="12"/>
        <v>43134</v>
      </c>
      <c r="C152" s="935"/>
      <c r="D152" s="936" t="s">
        <v>2073</v>
      </c>
      <c r="E152" s="937" t="s">
        <v>476</v>
      </c>
      <c r="F152" s="927" t="s">
        <v>477</v>
      </c>
      <c r="G152" s="938">
        <v>42765</v>
      </c>
      <c r="H152" s="929">
        <f t="shared" ca="1" si="13"/>
        <v>369</v>
      </c>
      <c r="I152" s="939">
        <v>42809</v>
      </c>
      <c r="J152" s="940" t="s">
        <v>2502</v>
      </c>
      <c r="K152" s="932">
        <f t="shared" si="14"/>
        <v>42827</v>
      </c>
      <c r="L152" s="933">
        <f t="shared" ca="1" si="15"/>
        <v>307</v>
      </c>
      <c r="M152" s="933" t="str">
        <f t="shared" ca="1" si="11"/>
        <v>-</v>
      </c>
    </row>
    <row r="153" spans="1:13" ht="20.100000000000001" hidden="1" customHeight="1" x14ac:dyDescent="0.3">
      <c r="A153" s="922">
        <v>151</v>
      </c>
      <c r="B153" s="923">
        <f t="shared" ca="1" si="12"/>
        <v>43134</v>
      </c>
      <c r="C153" s="935"/>
      <c r="D153" s="936" t="s">
        <v>2075</v>
      </c>
      <c r="E153" s="937"/>
      <c r="F153" s="927" t="s">
        <v>462</v>
      </c>
      <c r="G153" s="938"/>
      <c r="H153" s="929" t="str">
        <f t="shared" ca="1" si="13"/>
        <v>-</v>
      </c>
      <c r="I153" s="939">
        <v>42811</v>
      </c>
      <c r="J153" s="940" t="s">
        <v>2519</v>
      </c>
      <c r="K153" s="932">
        <f t="shared" si="14"/>
        <v>42829</v>
      </c>
      <c r="L153" s="933">
        <f t="shared" ca="1" si="15"/>
        <v>305</v>
      </c>
      <c r="M153" s="933" t="str">
        <f t="shared" ca="1" si="11"/>
        <v>-</v>
      </c>
    </row>
    <row r="154" spans="1:13" ht="20.100000000000001" hidden="1" customHeight="1" x14ac:dyDescent="0.3">
      <c r="A154" s="934">
        <v>152</v>
      </c>
      <c r="B154" s="923">
        <f t="shared" ca="1" si="12"/>
        <v>43134</v>
      </c>
      <c r="C154" s="935"/>
      <c r="D154" s="936" t="s">
        <v>307</v>
      </c>
      <c r="E154" s="937"/>
      <c r="F154" s="927" t="s">
        <v>2520</v>
      </c>
      <c r="G154" s="938"/>
      <c r="H154" s="929" t="str">
        <f t="shared" ca="1" si="13"/>
        <v>-</v>
      </c>
      <c r="I154" s="939">
        <v>42811</v>
      </c>
      <c r="J154" s="940" t="s">
        <v>2521</v>
      </c>
      <c r="K154" s="932">
        <f t="shared" si="14"/>
        <v>42829</v>
      </c>
      <c r="L154" s="933">
        <f t="shared" ca="1" si="15"/>
        <v>305</v>
      </c>
      <c r="M154" s="933" t="str">
        <f t="shared" ca="1" si="11"/>
        <v>-</v>
      </c>
    </row>
    <row r="155" spans="1:13" ht="20.100000000000001" hidden="1" customHeight="1" x14ac:dyDescent="0.3">
      <c r="A155" s="922">
        <v>153</v>
      </c>
      <c r="B155" s="923">
        <f t="shared" ca="1" si="12"/>
        <v>43134</v>
      </c>
      <c r="C155" s="935"/>
      <c r="D155" s="936" t="s">
        <v>2287</v>
      </c>
      <c r="E155" s="937"/>
      <c r="F155" s="927" t="s">
        <v>232</v>
      </c>
      <c r="G155" s="938"/>
      <c r="H155" s="929" t="str">
        <f t="shared" ca="1" si="13"/>
        <v>-</v>
      </c>
      <c r="I155" s="939">
        <v>42811</v>
      </c>
      <c r="J155" s="940" t="s">
        <v>2011</v>
      </c>
      <c r="K155" s="932">
        <f t="shared" si="14"/>
        <v>42829</v>
      </c>
      <c r="L155" s="933">
        <f t="shared" ca="1" si="15"/>
        <v>305</v>
      </c>
      <c r="M155" s="933" t="str">
        <f t="shared" ca="1" si="11"/>
        <v>-</v>
      </c>
    </row>
    <row r="156" spans="1:13" ht="20.100000000000001" hidden="1" customHeight="1" x14ac:dyDescent="0.3">
      <c r="A156" s="934">
        <v>154</v>
      </c>
      <c r="B156" s="923">
        <f t="shared" ca="1" si="12"/>
        <v>43134</v>
      </c>
      <c r="C156" s="935"/>
      <c r="D156" s="936" t="s">
        <v>2075</v>
      </c>
      <c r="E156" s="937"/>
      <c r="F156" s="927" t="s">
        <v>242</v>
      </c>
      <c r="G156" s="938"/>
      <c r="H156" s="929" t="str">
        <f t="shared" ca="1" si="13"/>
        <v>-</v>
      </c>
      <c r="I156" s="939">
        <v>42811</v>
      </c>
      <c r="J156" s="940" t="s">
        <v>2011</v>
      </c>
      <c r="K156" s="932">
        <f t="shared" si="14"/>
        <v>42829</v>
      </c>
      <c r="L156" s="933">
        <f t="shared" ca="1" si="15"/>
        <v>305</v>
      </c>
      <c r="M156" s="933" t="str">
        <f t="shared" ca="1" si="11"/>
        <v>-</v>
      </c>
    </row>
    <row r="157" spans="1:13" ht="20.100000000000001" hidden="1" customHeight="1" x14ac:dyDescent="0.3">
      <c r="A157" s="922">
        <v>155</v>
      </c>
      <c r="B157" s="923">
        <f t="shared" ca="1" si="12"/>
        <v>43134</v>
      </c>
      <c r="C157" s="935"/>
      <c r="D157" s="936" t="s">
        <v>2073</v>
      </c>
      <c r="E157" s="937"/>
      <c r="F157" s="927" t="s">
        <v>959</v>
      </c>
      <c r="G157" s="938"/>
      <c r="H157" s="929" t="str">
        <f t="shared" ca="1" si="13"/>
        <v>-</v>
      </c>
      <c r="I157" s="939">
        <v>42811</v>
      </c>
      <c r="J157" s="940" t="s">
        <v>2011</v>
      </c>
      <c r="K157" s="932">
        <f t="shared" si="14"/>
        <v>42829</v>
      </c>
      <c r="L157" s="933">
        <f t="shared" ca="1" si="15"/>
        <v>305</v>
      </c>
      <c r="M157" s="933" t="str">
        <f t="shared" ca="1" si="11"/>
        <v>-</v>
      </c>
    </row>
    <row r="158" spans="1:13" ht="20.100000000000001" hidden="1" customHeight="1" x14ac:dyDescent="0.3">
      <c r="A158" s="934">
        <v>156</v>
      </c>
      <c r="B158" s="923">
        <f t="shared" ca="1" si="12"/>
        <v>43134</v>
      </c>
      <c r="C158" s="935"/>
      <c r="D158" s="936" t="s">
        <v>2079</v>
      </c>
      <c r="E158" s="937"/>
      <c r="F158" s="927" t="s">
        <v>449</v>
      </c>
      <c r="G158" s="938"/>
      <c r="H158" s="929" t="str">
        <f t="shared" ca="1" si="13"/>
        <v>-</v>
      </c>
      <c r="I158" s="939">
        <v>42812</v>
      </c>
      <c r="J158" s="940" t="s">
        <v>2011</v>
      </c>
      <c r="K158" s="932">
        <f t="shared" si="14"/>
        <v>42830</v>
      </c>
      <c r="L158" s="933">
        <f t="shared" ca="1" si="15"/>
        <v>304</v>
      </c>
      <c r="M158" s="933" t="str">
        <f t="shared" ca="1" si="11"/>
        <v>-</v>
      </c>
    </row>
    <row r="159" spans="1:13" ht="20.100000000000001" hidden="1" customHeight="1" x14ac:dyDescent="0.3">
      <c r="A159" s="922">
        <v>157</v>
      </c>
      <c r="B159" s="923">
        <f t="shared" ca="1" si="12"/>
        <v>43134</v>
      </c>
      <c r="C159" s="935"/>
      <c r="D159" s="936" t="s">
        <v>2284</v>
      </c>
      <c r="E159" s="937"/>
      <c r="F159" s="927" t="s">
        <v>1215</v>
      </c>
      <c r="G159" s="938"/>
      <c r="H159" s="929" t="str">
        <f t="shared" ca="1" si="13"/>
        <v>-</v>
      </c>
      <c r="I159" s="939">
        <v>42816</v>
      </c>
      <c r="J159" s="940" t="s">
        <v>2011</v>
      </c>
      <c r="K159" s="932">
        <f t="shared" si="14"/>
        <v>42834</v>
      </c>
      <c r="L159" s="933">
        <f t="shared" ca="1" si="15"/>
        <v>300</v>
      </c>
      <c r="M159" s="933" t="str">
        <f t="shared" ca="1" si="11"/>
        <v>-</v>
      </c>
    </row>
    <row r="160" spans="1:13" ht="20.100000000000001" hidden="1" customHeight="1" x14ac:dyDescent="0.3">
      <c r="A160" s="934">
        <v>158</v>
      </c>
      <c r="B160" s="923">
        <f t="shared" ca="1" si="12"/>
        <v>43134</v>
      </c>
      <c r="C160" s="935"/>
      <c r="D160" s="936" t="s">
        <v>2263</v>
      </c>
      <c r="E160" s="937"/>
      <c r="F160" s="927" t="s">
        <v>776</v>
      </c>
      <c r="G160" s="938"/>
      <c r="H160" s="929" t="str">
        <f t="shared" ca="1" si="13"/>
        <v>-</v>
      </c>
      <c r="I160" s="939">
        <v>42817</v>
      </c>
      <c r="J160" s="940" t="s">
        <v>2011</v>
      </c>
      <c r="K160" s="932">
        <f t="shared" si="14"/>
        <v>42835</v>
      </c>
      <c r="L160" s="933">
        <f t="shared" ca="1" si="15"/>
        <v>299</v>
      </c>
      <c r="M160" s="933" t="str">
        <f t="shared" ca="1" si="11"/>
        <v>-</v>
      </c>
    </row>
    <row r="161" spans="1:13" ht="20.100000000000001" hidden="1" customHeight="1" x14ac:dyDescent="0.3">
      <c r="A161" s="922">
        <v>159</v>
      </c>
      <c r="B161" s="923">
        <f t="shared" ca="1" si="12"/>
        <v>43134</v>
      </c>
      <c r="C161" s="935"/>
      <c r="D161" s="936" t="s">
        <v>2078</v>
      </c>
      <c r="E161" s="937"/>
      <c r="F161" s="927" t="s">
        <v>1044</v>
      </c>
      <c r="G161" s="938"/>
      <c r="H161" s="929" t="str">
        <f t="shared" ca="1" si="13"/>
        <v>-</v>
      </c>
      <c r="I161" s="939">
        <v>42817</v>
      </c>
      <c r="J161" s="940" t="s">
        <v>2559</v>
      </c>
      <c r="K161" s="932">
        <f t="shared" si="14"/>
        <v>42835</v>
      </c>
      <c r="L161" s="933">
        <f t="shared" ca="1" si="15"/>
        <v>299</v>
      </c>
      <c r="M161" s="933" t="str">
        <f t="shared" ca="1" si="11"/>
        <v>-</v>
      </c>
    </row>
    <row r="162" spans="1:13" ht="20.100000000000001" hidden="1" customHeight="1" x14ac:dyDescent="0.3">
      <c r="A162" s="934">
        <v>160</v>
      </c>
      <c r="B162" s="923">
        <f t="shared" ca="1" si="12"/>
        <v>43134</v>
      </c>
      <c r="C162" s="935"/>
      <c r="D162" s="936" t="s">
        <v>2079</v>
      </c>
      <c r="E162" s="937"/>
      <c r="F162" s="927" t="s">
        <v>1159</v>
      </c>
      <c r="G162" s="938"/>
      <c r="H162" s="929" t="str">
        <f t="shared" ca="1" si="13"/>
        <v>-</v>
      </c>
      <c r="I162" s="939">
        <v>42816</v>
      </c>
      <c r="J162" s="940" t="s">
        <v>2011</v>
      </c>
      <c r="K162" s="932">
        <f t="shared" si="14"/>
        <v>42834</v>
      </c>
      <c r="L162" s="933">
        <f t="shared" ca="1" si="15"/>
        <v>300</v>
      </c>
      <c r="M162" s="933" t="str">
        <f t="shared" ca="1" si="11"/>
        <v>-</v>
      </c>
    </row>
    <row r="163" spans="1:13" ht="20.100000000000001" hidden="1" customHeight="1" x14ac:dyDescent="0.3">
      <c r="A163" s="922">
        <v>161</v>
      </c>
      <c r="B163" s="923">
        <f t="shared" ca="1" si="12"/>
        <v>43134</v>
      </c>
      <c r="C163" s="935"/>
      <c r="D163" s="936"/>
      <c r="E163" s="937" t="s">
        <v>853</v>
      </c>
      <c r="F163" s="927" t="s">
        <v>854</v>
      </c>
      <c r="G163" s="938"/>
      <c r="H163" s="929" t="str">
        <f t="shared" ca="1" si="13"/>
        <v>-</v>
      </c>
      <c r="I163" s="939">
        <v>42814</v>
      </c>
      <c r="J163" s="940" t="s">
        <v>2011</v>
      </c>
      <c r="K163" s="932">
        <f t="shared" si="14"/>
        <v>42832</v>
      </c>
      <c r="L163" s="933">
        <f t="shared" ca="1" si="15"/>
        <v>302</v>
      </c>
      <c r="M163" s="933" t="str">
        <f t="shared" ca="1" si="11"/>
        <v>-</v>
      </c>
    </row>
    <row r="164" spans="1:13" ht="20.100000000000001" hidden="1" customHeight="1" x14ac:dyDescent="0.3">
      <c r="A164" s="934">
        <v>162</v>
      </c>
      <c r="B164" s="923">
        <f t="shared" ca="1" si="12"/>
        <v>43134</v>
      </c>
      <c r="C164" s="935"/>
      <c r="D164" s="936" t="s">
        <v>2075</v>
      </c>
      <c r="E164" s="937"/>
      <c r="F164" s="927" t="s">
        <v>1464</v>
      </c>
      <c r="G164" s="938"/>
      <c r="H164" s="929" t="str">
        <f t="shared" ca="1" si="13"/>
        <v>-</v>
      </c>
      <c r="I164" s="939">
        <v>42814</v>
      </c>
      <c r="J164" s="940" t="s">
        <v>2519</v>
      </c>
      <c r="K164" s="932">
        <f t="shared" si="14"/>
        <v>42832</v>
      </c>
      <c r="L164" s="933">
        <f t="shared" ca="1" si="15"/>
        <v>302</v>
      </c>
      <c r="M164" s="933" t="str">
        <f t="shared" ca="1" si="11"/>
        <v>-</v>
      </c>
    </row>
    <row r="165" spans="1:13" ht="20.100000000000001" hidden="1" customHeight="1" x14ac:dyDescent="0.3">
      <c r="A165" s="922">
        <v>163</v>
      </c>
      <c r="B165" s="923">
        <f t="shared" ca="1" si="12"/>
        <v>43134</v>
      </c>
      <c r="C165" s="935"/>
      <c r="D165" s="936"/>
      <c r="E165" s="937" t="s">
        <v>459</v>
      </c>
      <c r="F165" s="927" t="s">
        <v>460</v>
      </c>
      <c r="G165" s="938"/>
      <c r="H165" s="929" t="str">
        <f t="shared" ca="1" si="13"/>
        <v>-</v>
      </c>
      <c r="I165" s="939">
        <v>42808</v>
      </c>
      <c r="J165" s="940" t="s">
        <v>2519</v>
      </c>
      <c r="K165" s="932">
        <f t="shared" si="14"/>
        <v>42826</v>
      </c>
      <c r="L165" s="933">
        <f t="shared" ca="1" si="15"/>
        <v>308</v>
      </c>
      <c r="M165" s="933" t="str">
        <f t="shared" ca="1" si="11"/>
        <v>-</v>
      </c>
    </row>
    <row r="166" spans="1:13" ht="20.100000000000001" hidden="1" customHeight="1" x14ac:dyDescent="0.3">
      <c r="A166" s="934">
        <v>164</v>
      </c>
      <c r="B166" s="923">
        <f t="shared" ca="1" si="12"/>
        <v>43134</v>
      </c>
      <c r="C166" s="935"/>
      <c r="D166" s="936" t="s">
        <v>307</v>
      </c>
      <c r="E166" s="937"/>
      <c r="F166" s="927" t="s">
        <v>694</v>
      </c>
      <c r="G166" s="938"/>
      <c r="H166" s="929" t="str">
        <f t="shared" ca="1" si="13"/>
        <v>-</v>
      </c>
      <c r="I166" s="939">
        <v>42808</v>
      </c>
      <c r="J166" s="940" t="s">
        <v>2519</v>
      </c>
      <c r="K166" s="932">
        <f t="shared" si="14"/>
        <v>42826</v>
      </c>
      <c r="L166" s="933">
        <f t="shared" ca="1" si="15"/>
        <v>308</v>
      </c>
      <c r="M166" s="933" t="str">
        <f t="shared" ca="1" si="11"/>
        <v>-</v>
      </c>
    </row>
    <row r="167" spans="1:13" ht="20.100000000000001" hidden="1" customHeight="1" x14ac:dyDescent="0.3">
      <c r="A167" s="922">
        <v>165</v>
      </c>
      <c r="B167" s="923">
        <f t="shared" ca="1" si="12"/>
        <v>43134</v>
      </c>
      <c r="C167" s="935"/>
      <c r="D167" s="936"/>
      <c r="E167" s="937"/>
      <c r="F167" s="927" t="s">
        <v>1040</v>
      </c>
      <c r="G167" s="938"/>
      <c r="H167" s="929" t="str">
        <f t="shared" ca="1" si="13"/>
        <v>-</v>
      </c>
      <c r="I167" s="939">
        <v>42835</v>
      </c>
      <c r="J167" s="940" t="s">
        <v>2011</v>
      </c>
      <c r="K167" s="932">
        <f t="shared" si="14"/>
        <v>42853</v>
      </c>
      <c r="L167" s="933">
        <f t="shared" ca="1" si="15"/>
        <v>281</v>
      </c>
      <c r="M167" s="933" t="str">
        <f t="shared" ca="1" si="11"/>
        <v>-</v>
      </c>
    </row>
    <row r="168" spans="1:13" ht="20.100000000000001" hidden="1" customHeight="1" x14ac:dyDescent="0.3">
      <c r="A168" s="934">
        <v>166</v>
      </c>
      <c r="B168" s="923">
        <f t="shared" ca="1" si="12"/>
        <v>43134</v>
      </c>
      <c r="C168" s="935"/>
      <c r="D168" s="936" t="s">
        <v>307</v>
      </c>
      <c r="E168" s="937"/>
      <c r="F168" s="927" t="s">
        <v>736</v>
      </c>
      <c r="G168" s="938"/>
      <c r="H168" s="929" t="str">
        <f t="shared" ca="1" si="13"/>
        <v>-</v>
      </c>
      <c r="I168" s="939">
        <v>42827</v>
      </c>
      <c r="J168" s="940" t="s">
        <v>2011</v>
      </c>
      <c r="K168" s="932">
        <f t="shared" si="14"/>
        <v>42845</v>
      </c>
      <c r="L168" s="933">
        <f t="shared" ca="1" si="15"/>
        <v>289</v>
      </c>
      <c r="M168" s="933" t="str">
        <f t="shared" ca="1" si="11"/>
        <v>-</v>
      </c>
    </row>
    <row r="169" spans="1:13" ht="20.100000000000001" hidden="1" customHeight="1" x14ac:dyDescent="0.3">
      <c r="A169" s="922">
        <v>167</v>
      </c>
      <c r="B169" s="923">
        <f t="shared" ca="1" si="12"/>
        <v>43134</v>
      </c>
      <c r="C169" s="935"/>
      <c r="D169" s="936" t="s">
        <v>2287</v>
      </c>
      <c r="E169" s="937"/>
      <c r="F169" s="927" t="s">
        <v>1227</v>
      </c>
      <c r="G169" s="938"/>
      <c r="H169" s="929" t="str">
        <f t="shared" ca="1" si="13"/>
        <v>-</v>
      </c>
      <c r="I169" s="939">
        <v>42818</v>
      </c>
      <c r="J169" s="940" t="s">
        <v>2011</v>
      </c>
      <c r="K169" s="932">
        <f t="shared" si="14"/>
        <v>42836</v>
      </c>
      <c r="L169" s="933">
        <f t="shared" ca="1" si="15"/>
        <v>298</v>
      </c>
      <c r="M169" s="933" t="str">
        <f t="shared" ca="1" si="11"/>
        <v>-</v>
      </c>
    </row>
    <row r="170" spans="1:13" ht="20.100000000000001" hidden="1" customHeight="1" x14ac:dyDescent="0.3">
      <c r="A170" s="934">
        <v>168</v>
      </c>
      <c r="B170" s="923">
        <f t="shared" ca="1" si="12"/>
        <v>43134</v>
      </c>
      <c r="C170" s="935"/>
      <c r="D170" s="936" t="s">
        <v>2263</v>
      </c>
      <c r="E170" s="937"/>
      <c r="F170" s="927" t="s">
        <v>974</v>
      </c>
      <c r="G170" s="938"/>
      <c r="H170" s="929" t="str">
        <f t="shared" ca="1" si="13"/>
        <v>-</v>
      </c>
      <c r="I170" s="939">
        <v>42818</v>
      </c>
      <c r="J170" s="940" t="s">
        <v>2011</v>
      </c>
      <c r="K170" s="932">
        <f t="shared" si="14"/>
        <v>42836</v>
      </c>
      <c r="L170" s="933">
        <f t="shared" ca="1" si="15"/>
        <v>298</v>
      </c>
      <c r="M170" s="933" t="str">
        <f t="shared" ca="1" si="11"/>
        <v>-</v>
      </c>
    </row>
    <row r="171" spans="1:13" ht="20.100000000000001" hidden="1" customHeight="1" x14ac:dyDescent="0.3">
      <c r="A171" s="922">
        <v>169</v>
      </c>
      <c r="B171" s="923">
        <f t="shared" ca="1" si="12"/>
        <v>43134</v>
      </c>
      <c r="C171" s="935"/>
      <c r="D171" s="936" t="s">
        <v>2075</v>
      </c>
      <c r="E171" s="937"/>
      <c r="F171" s="927" t="s">
        <v>490</v>
      </c>
      <c r="G171" s="938"/>
      <c r="H171" s="929" t="str">
        <f t="shared" ca="1" si="13"/>
        <v>-</v>
      </c>
      <c r="I171" s="939">
        <v>42819</v>
      </c>
      <c r="J171" s="940" t="s">
        <v>2604</v>
      </c>
      <c r="K171" s="932">
        <f t="shared" si="14"/>
        <v>42837</v>
      </c>
      <c r="L171" s="933">
        <f t="shared" ca="1" si="15"/>
        <v>297</v>
      </c>
      <c r="M171" s="933" t="str">
        <f t="shared" ca="1" si="11"/>
        <v>-</v>
      </c>
    </row>
    <row r="172" spans="1:13" ht="20.100000000000001" hidden="1" customHeight="1" x14ac:dyDescent="0.3">
      <c r="A172" s="934">
        <v>170</v>
      </c>
      <c r="B172" s="923">
        <f t="shared" ca="1" si="12"/>
        <v>43134</v>
      </c>
      <c r="C172" s="935"/>
      <c r="D172" s="936" t="s">
        <v>2078</v>
      </c>
      <c r="E172" s="937"/>
      <c r="F172" s="927" t="s">
        <v>315</v>
      </c>
      <c r="G172" s="938"/>
      <c r="H172" s="929" t="str">
        <f t="shared" ca="1" si="13"/>
        <v>-</v>
      </c>
      <c r="I172" s="942">
        <v>42820</v>
      </c>
      <c r="J172" s="940" t="s">
        <v>2011</v>
      </c>
      <c r="K172" s="932">
        <f t="shared" si="14"/>
        <v>42838</v>
      </c>
      <c r="L172" s="933">
        <f t="shared" ca="1" si="15"/>
        <v>296</v>
      </c>
      <c r="M172" s="933" t="str">
        <f t="shared" ca="1" si="11"/>
        <v>-</v>
      </c>
    </row>
    <row r="173" spans="1:13" ht="20.100000000000001" hidden="1" customHeight="1" x14ac:dyDescent="0.3">
      <c r="A173" s="922">
        <v>171</v>
      </c>
      <c r="B173" s="923">
        <f t="shared" ca="1" si="12"/>
        <v>43134</v>
      </c>
      <c r="C173" s="935"/>
      <c r="D173" s="936" t="s">
        <v>2075</v>
      </c>
      <c r="E173" s="937"/>
      <c r="F173" s="927" t="s">
        <v>318</v>
      </c>
      <c r="G173" s="938"/>
      <c r="H173" s="929" t="str">
        <f t="shared" ca="1" si="13"/>
        <v>-</v>
      </c>
      <c r="I173" s="939">
        <v>42820</v>
      </c>
      <c r="J173" s="940" t="s">
        <v>2011</v>
      </c>
      <c r="K173" s="932">
        <f t="shared" si="14"/>
        <v>42838</v>
      </c>
      <c r="L173" s="933">
        <f t="shared" ca="1" si="15"/>
        <v>296</v>
      </c>
      <c r="M173" s="933" t="str">
        <f t="shared" ca="1" si="11"/>
        <v>-</v>
      </c>
    </row>
    <row r="174" spans="1:13" ht="20.100000000000001" hidden="1" customHeight="1" x14ac:dyDescent="0.3">
      <c r="A174" s="934">
        <v>172</v>
      </c>
      <c r="B174" s="923">
        <f t="shared" ca="1" si="12"/>
        <v>43134</v>
      </c>
      <c r="C174" s="935"/>
      <c r="D174" s="936" t="s">
        <v>2078</v>
      </c>
      <c r="E174" s="937"/>
      <c r="F174" s="927" t="s">
        <v>1021</v>
      </c>
      <c r="G174" s="938"/>
      <c r="H174" s="929" t="str">
        <f t="shared" ca="1" si="13"/>
        <v>-</v>
      </c>
      <c r="I174" s="939">
        <v>42820</v>
      </c>
      <c r="J174" s="940" t="s">
        <v>2605</v>
      </c>
      <c r="K174" s="932">
        <f t="shared" si="14"/>
        <v>42838</v>
      </c>
      <c r="L174" s="933">
        <f t="shared" ca="1" si="15"/>
        <v>296</v>
      </c>
      <c r="M174" s="933" t="str">
        <f t="shared" ca="1" si="11"/>
        <v>-</v>
      </c>
    </row>
    <row r="175" spans="1:13" ht="20.100000000000001" hidden="1" customHeight="1" x14ac:dyDescent="0.3">
      <c r="A175" s="922">
        <v>173</v>
      </c>
      <c r="B175" s="923">
        <f t="shared" ca="1" si="12"/>
        <v>43134</v>
      </c>
      <c r="C175" s="935"/>
      <c r="D175" s="936" t="s">
        <v>2075</v>
      </c>
      <c r="E175" s="937"/>
      <c r="F175" s="927" t="s">
        <v>994</v>
      </c>
      <c r="G175" s="938"/>
      <c r="H175" s="929" t="str">
        <f t="shared" ca="1" si="13"/>
        <v>-</v>
      </c>
      <c r="I175" s="939">
        <v>42822</v>
      </c>
      <c r="J175" s="940" t="s">
        <v>2011</v>
      </c>
      <c r="K175" s="932">
        <f t="shared" si="14"/>
        <v>42840</v>
      </c>
      <c r="L175" s="933">
        <f t="shared" ca="1" si="15"/>
        <v>294</v>
      </c>
      <c r="M175" s="933" t="str">
        <f t="shared" ca="1" si="11"/>
        <v>-</v>
      </c>
    </row>
    <row r="176" spans="1:13" ht="20.100000000000001" hidden="1" customHeight="1" x14ac:dyDescent="0.3">
      <c r="A176" s="934">
        <v>174</v>
      </c>
      <c r="B176" s="923">
        <f t="shared" ca="1" si="12"/>
        <v>43134</v>
      </c>
      <c r="C176" s="935"/>
      <c r="D176" s="936" t="s">
        <v>2287</v>
      </c>
      <c r="E176" s="937"/>
      <c r="F176" s="927" t="s">
        <v>1169</v>
      </c>
      <c r="G176" s="938"/>
      <c r="H176" s="929" t="str">
        <f t="shared" ca="1" si="13"/>
        <v>-</v>
      </c>
      <c r="I176" s="939">
        <v>42822</v>
      </c>
      <c r="J176" s="940" t="s">
        <v>2011</v>
      </c>
      <c r="K176" s="932">
        <f t="shared" si="14"/>
        <v>42840</v>
      </c>
      <c r="L176" s="933">
        <f t="shared" ca="1" si="15"/>
        <v>294</v>
      </c>
      <c r="M176" s="933" t="str">
        <f t="shared" ca="1" si="11"/>
        <v>-</v>
      </c>
    </row>
    <row r="177" spans="1:13" ht="20.100000000000001" hidden="1" customHeight="1" x14ac:dyDescent="0.3">
      <c r="A177" s="922">
        <v>175</v>
      </c>
      <c r="B177" s="923">
        <f t="shared" ca="1" si="12"/>
        <v>43134</v>
      </c>
      <c r="C177" s="935"/>
      <c r="D177" s="936" t="s">
        <v>307</v>
      </c>
      <c r="E177" s="937"/>
      <c r="F177" s="927" t="s">
        <v>694</v>
      </c>
      <c r="G177" s="938"/>
      <c r="H177" s="929" t="str">
        <f t="shared" ca="1" si="13"/>
        <v>-</v>
      </c>
      <c r="I177" s="939">
        <v>42824</v>
      </c>
      <c r="J177" s="940" t="s">
        <v>2606</v>
      </c>
      <c r="K177" s="932">
        <f t="shared" si="14"/>
        <v>42842</v>
      </c>
      <c r="L177" s="933">
        <f t="shared" ca="1" si="15"/>
        <v>292</v>
      </c>
      <c r="M177" s="933" t="str">
        <f t="shared" ca="1" si="11"/>
        <v>-</v>
      </c>
    </row>
    <row r="178" spans="1:13" ht="20.100000000000001" hidden="1" customHeight="1" x14ac:dyDescent="0.3">
      <c r="A178" s="934">
        <v>176</v>
      </c>
      <c r="B178" s="923">
        <f t="shared" ca="1" si="12"/>
        <v>43134</v>
      </c>
      <c r="C178" s="935"/>
      <c r="D178" s="936" t="s">
        <v>2078</v>
      </c>
      <c r="E178" s="937"/>
      <c r="F178" s="927" t="s">
        <v>355</v>
      </c>
      <c r="G178" s="938"/>
      <c r="H178" s="929" t="str">
        <f t="shared" ca="1" si="13"/>
        <v>-</v>
      </c>
      <c r="I178" s="939">
        <v>42822</v>
      </c>
      <c r="J178" s="940" t="s">
        <v>2607</v>
      </c>
      <c r="K178" s="932">
        <f t="shared" si="14"/>
        <v>42840</v>
      </c>
      <c r="L178" s="933">
        <f t="shared" ca="1" si="15"/>
        <v>294</v>
      </c>
      <c r="M178" s="933" t="str">
        <f t="shared" ca="1" si="11"/>
        <v>-</v>
      </c>
    </row>
    <row r="179" spans="1:13" ht="20.100000000000001" hidden="1" customHeight="1" x14ac:dyDescent="0.3">
      <c r="A179" s="922">
        <v>177</v>
      </c>
      <c r="B179" s="923">
        <f t="shared" ca="1" si="12"/>
        <v>43134</v>
      </c>
      <c r="C179" s="935"/>
      <c r="D179" s="936" t="s">
        <v>2075</v>
      </c>
      <c r="E179" s="937"/>
      <c r="F179" s="927" t="s">
        <v>993</v>
      </c>
      <c r="G179" s="938"/>
      <c r="H179" s="929" t="str">
        <f t="shared" ca="1" si="13"/>
        <v>-</v>
      </c>
      <c r="I179" s="939">
        <v>42825</v>
      </c>
      <c r="J179" s="940" t="s">
        <v>2011</v>
      </c>
      <c r="K179" s="932">
        <f t="shared" si="14"/>
        <v>42843</v>
      </c>
      <c r="L179" s="933">
        <f t="shared" ca="1" si="15"/>
        <v>291</v>
      </c>
      <c r="M179" s="933" t="str">
        <f t="shared" ca="1" si="11"/>
        <v>-</v>
      </c>
    </row>
    <row r="180" spans="1:13" ht="20.100000000000001" hidden="1" customHeight="1" x14ac:dyDescent="0.3">
      <c r="A180" s="934">
        <v>178</v>
      </c>
      <c r="B180" s="923">
        <f t="shared" ca="1" si="12"/>
        <v>43134</v>
      </c>
      <c r="C180" s="935"/>
      <c r="D180" s="936"/>
      <c r="E180" s="937"/>
      <c r="F180" s="927" t="s">
        <v>1132</v>
      </c>
      <c r="G180" s="938"/>
      <c r="H180" s="929" t="str">
        <f t="shared" ca="1" si="13"/>
        <v>-</v>
      </c>
      <c r="I180" s="939">
        <v>42822</v>
      </c>
      <c r="J180" s="940" t="s">
        <v>2011</v>
      </c>
      <c r="K180" s="932">
        <f t="shared" si="14"/>
        <v>42840</v>
      </c>
      <c r="L180" s="933">
        <f t="shared" ca="1" si="15"/>
        <v>294</v>
      </c>
      <c r="M180" s="933" t="str">
        <f t="shared" ca="1" si="11"/>
        <v>-</v>
      </c>
    </row>
    <row r="181" spans="1:13" ht="20.100000000000001" hidden="1" customHeight="1" x14ac:dyDescent="0.3">
      <c r="A181" s="922">
        <v>179</v>
      </c>
      <c r="B181" s="923">
        <f t="shared" ca="1" si="12"/>
        <v>43134</v>
      </c>
      <c r="C181" s="935"/>
      <c r="D181" s="936"/>
      <c r="E181" s="937"/>
      <c r="F181" s="927" t="s">
        <v>1177</v>
      </c>
      <c r="G181" s="938"/>
      <c r="H181" s="929" t="str">
        <f t="shared" ca="1" si="13"/>
        <v>-</v>
      </c>
      <c r="I181" s="939">
        <v>42823</v>
      </c>
      <c r="J181" s="940" t="s">
        <v>2011</v>
      </c>
      <c r="K181" s="932">
        <f t="shared" si="14"/>
        <v>42841</v>
      </c>
      <c r="L181" s="933">
        <f t="shared" ca="1" si="15"/>
        <v>293</v>
      </c>
      <c r="M181" s="933" t="str">
        <f t="shared" ca="1" si="11"/>
        <v>-</v>
      </c>
    </row>
    <row r="182" spans="1:13" ht="20.100000000000001" hidden="1" customHeight="1" x14ac:dyDescent="0.3">
      <c r="A182" s="934">
        <v>180</v>
      </c>
      <c r="B182" s="923">
        <f t="shared" ca="1" si="12"/>
        <v>43134</v>
      </c>
      <c r="C182" s="935"/>
      <c r="D182" s="936"/>
      <c r="E182" s="937"/>
      <c r="F182" s="927" t="s">
        <v>82</v>
      </c>
      <c r="G182" s="938"/>
      <c r="H182" s="929" t="str">
        <f t="shared" ca="1" si="13"/>
        <v>-</v>
      </c>
      <c r="I182" s="939">
        <v>42828</v>
      </c>
      <c r="J182" s="940" t="s">
        <v>2011</v>
      </c>
      <c r="K182" s="932">
        <f t="shared" si="14"/>
        <v>42846</v>
      </c>
      <c r="L182" s="933">
        <f t="shared" ca="1" si="15"/>
        <v>288</v>
      </c>
      <c r="M182" s="933" t="str">
        <f t="shared" ca="1" si="11"/>
        <v>-</v>
      </c>
    </row>
    <row r="183" spans="1:13" ht="20.100000000000001" hidden="1" customHeight="1" x14ac:dyDescent="0.3">
      <c r="A183" s="922">
        <v>181</v>
      </c>
      <c r="B183" s="923">
        <f t="shared" ca="1" si="12"/>
        <v>43134</v>
      </c>
      <c r="C183" s="935"/>
      <c r="D183" s="936" t="s">
        <v>2078</v>
      </c>
      <c r="E183" s="937"/>
      <c r="F183" s="927" t="s">
        <v>291</v>
      </c>
      <c r="G183" s="938"/>
      <c r="H183" s="929" t="str">
        <f t="shared" ca="1" si="13"/>
        <v>-</v>
      </c>
      <c r="I183" s="939">
        <v>42831</v>
      </c>
      <c r="J183" s="940" t="s">
        <v>2011</v>
      </c>
      <c r="K183" s="932">
        <f t="shared" si="14"/>
        <v>42849</v>
      </c>
      <c r="L183" s="933">
        <f t="shared" ref="L183:L193" ca="1" si="16">IF(K183&gt;0,B183-K183,"-")</f>
        <v>285</v>
      </c>
      <c r="M183" s="933" t="str">
        <f t="shared" ca="1" si="11"/>
        <v>-</v>
      </c>
    </row>
    <row r="184" spans="1:13" ht="20.100000000000001" hidden="1" customHeight="1" x14ac:dyDescent="0.3">
      <c r="A184" s="934">
        <v>182</v>
      </c>
      <c r="B184" s="923">
        <f t="shared" ca="1" si="12"/>
        <v>43134</v>
      </c>
      <c r="C184" s="935"/>
      <c r="D184" s="936" t="s">
        <v>2075</v>
      </c>
      <c r="E184" s="937"/>
      <c r="F184" s="927" t="s">
        <v>1248</v>
      </c>
      <c r="G184" s="938"/>
      <c r="H184" s="929" t="str">
        <f t="shared" ca="1" si="13"/>
        <v>-</v>
      </c>
      <c r="I184" s="939">
        <v>42831</v>
      </c>
      <c r="J184" s="940" t="s">
        <v>2419</v>
      </c>
      <c r="K184" s="932">
        <f t="shared" si="14"/>
        <v>42849</v>
      </c>
      <c r="L184" s="933">
        <f t="shared" ca="1" si="16"/>
        <v>285</v>
      </c>
      <c r="M184" s="933" t="str">
        <f t="shared" ca="1" si="11"/>
        <v>-</v>
      </c>
    </row>
    <row r="185" spans="1:13" ht="20.100000000000001" hidden="1" customHeight="1" x14ac:dyDescent="0.3">
      <c r="A185" s="922">
        <v>183</v>
      </c>
      <c r="B185" s="923">
        <f t="shared" ca="1" si="12"/>
        <v>43134</v>
      </c>
      <c r="C185" s="935"/>
      <c r="D185" s="936" t="s">
        <v>2075</v>
      </c>
      <c r="E185" s="937"/>
      <c r="F185" s="927" t="s">
        <v>1004</v>
      </c>
      <c r="G185" s="938"/>
      <c r="H185" s="929" t="str">
        <f t="shared" ca="1" si="13"/>
        <v>-</v>
      </c>
      <c r="I185" s="939">
        <v>42831</v>
      </c>
      <c r="J185" s="940" t="s">
        <v>2419</v>
      </c>
      <c r="K185" s="932">
        <f t="shared" si="14"/>
        <v>42849</v>
      </c>
      <c r="L185" s="933">
        <f t="shared" ca="1" si="16"/>
        <v>285</v>
      </c>
      <c r="M185" s="933" t="str">
        <f t="shared" ca="1" si="11"/>
        <v>-</v>
      </c>
    </row>
    <row r="186" spans="1:13" ht="20.100000000000001" hidden="1" customHeight="1" x14ac:dyDescent="0.3">
      <c r="A186" s="934">
        <v>184</v>
      </c>
      <c r="B186" s="923">
        <f t="shared" ca="1" si="12"/>
        <v>43134</v>
      </c>
      <c r="C186" s="935"/>
      <c r="D186" s="936" t="s">
        <v>2078</v>
      </c>
      <c r="E186" s="937"/>
      <c r="F186" s="927" t="s">
        <v>315</v>
      </c>
      <c r="G186" s="938"/>
      <c r="H186" s="929" t="str">
        <f t="shared" ca="1" si="13"/>
        <v>-</v>
      </c>
      <c r="I186" s="939">
        <v>42829</v>
      </c>
      <c r="J186" s="940" t="s">
        <v>2611</v>
      </c>
      <c r="K186" s="932">
        <f t="shared" si="14"/>
        <v>42847</v>
      </c>
      <c r="L186" s="933">
        <f t="shared" ca="1" si="16"/>
        <v>287</v>
      </c>
      <c r="M186" s="933" t="str">
        <f t="shared" ca="1" si="11"/>
        <v>-</v>
      </c>
    </row>
    <row r="187" spans="1:13" ht="20.100000000000001" hidden="1" customHeight="1" x14ac:dyDescent="0.3">
      <c r="A187" s="922">
        <v>185</v>
      </c>
      <c r="B187" s="923">
        <f t="shared" ca="1" si="12"/>
        <v>43134</v>
      </c>
      <c r="C187" s="935"/>
      <c r="D187" s="936" t="s">
        <v>2075</v>
      </c>
      <c r="E187" s="937"/>
      <c r="F187" s="927" t="s">
        <v>1016</v>
      </c>
      <c r="G187" s="938"/>
      <c r="H187" s="929" t="str">
        <f t="shared" ca="1" si="13"/>
        <v>-</v>
      </c>
      <c r="I187" s="939">
        <v>42829</v>
      </c>
      <c r="J187" s="940" t="s">
        <v>2011</v>
      </c>
      <c r="K187" s="932">
        <f t="shared" si="14"/>
        <v>42847</v>
      </c>
      <c r="L187" s="933">
        <f t="shared" ca="1" si="16"/>
        <v>287</v>
      </c>
      <c r="M187" s="933" t="str">
        <f t="shared" ca="1" si="11"/>
        <v>-</v>
      </c>
    </row>
    <row r="188" spans="1:13" ht="20.100000000000001" hidden="1" customHeight="1" x14ac:dyDescent="0.3">
      <c r="A188" s="934">
        <v>186</v>
      </c>
      <c r="B188" s="923">
        <f t="shared" ca="1" si="12"/>
        <v>43134</v>
      </c>
      <c r="C188" s="935"/>
      <c r="D188" s="936" t="s">
        <v>2394</v>
      </c>
      <c r="E188" s="937"/>
      <c r="F188" s="927" t="s">
        <v>1379</v>
      </c>
      <c r="G188" s="938"/>
      <c r="H188" s="929" t="str">
        <f t="shared" ca="1" si="13"/>
        <v>-</v>
      </c>
      <c r="I188" s="939">
        <v>42827</v>
      </c>
      <c r="J188" s="940" t="s">
        <v>2612</v>
      </c>
      <c r="K188" s="932">
        <f t="shared" si="14"/>
        <v>42845</v>
      </c>
      <c r="L188" s="933">
        <f t="shared" ca="1" si="16"/>
        <v>289</v>
      </c>
      <c r="M188" s="933" t="str">
        <f t="shared" ca="1" si="11"/>
        <v>-</v>
      </c>
    </row>
    <row r="189" spans="1:13" ht="20.100000000000001" hidden="1" customHeight="1" x14ac:dyDescent="0.3">
      <c r="A189" s="922">
        <v>187</v>
      </c>
      <c r="B189" s="923">
        <f t="shared" ca="1" si="12"/>
        <v>43134</v>
      </c>
      <c r="C189" s="935"/>
      <c r="D189" s="936" t="s">
        <v>2078</v>
      </c>
      <c r="E189" s="937"/>
      <c r="F189" s="927" t="s">
        <v>1005</v>
      </c>
      <c r="G189" s="938"/>
      <c r="H189" s="929" t="str">
        <f t="shared" ca="1" si="13"/>
        <v>-</v>
      </c>
      <c r="I189" s="939">
        <v>42825</v>
      </c>
      <c r="J189" s="940" t="s">
        <v>2613</v>
      </c>
      <c r="K189" s="932">
        <f t="shared" si="14"/>
        <v>42843</v>
      </c>
      <c r="L189" s="933">
        <f t="shared" ca="1" si="16"/>
        <v>291</v>
      </c>
      <c r="M189" s="933" t="str">
        <f t="shared" ca="1" si="11"/>
        <v>-</v>
      </c>
    </row>
    <row r="190" spans="1:13" ht="20.100000000000001" hidden="1" customHeight="1" x14ac:dyDescent="0.3">
      <c r="A190" s="934">
        <v>188</v>
      </c>
      <c r="B190" s="923">
        <f t="shared" ca="1" si="12"/>
        <v>43134</v>
      </c>
      <c r="C190" s="935"/>
      <c r="D190" s="936"/>
      <c r="E190" s="937"/>
      <c r="F190" s="927" t="s">
        <v>649</v>
      </c>
      <c r="G190" s="938"/>
      <c r="H190" s="929" t="str">
        <f t="shared" ca="1" si="13"/>
        <v>-</v>
      </c>
      <c r="I190" s="939">
        <v>42832</v>
      </c>
      <c r="J190" s="940" t="s">
        <v>2011</v>
      </c>
      <c r="K190" s="932">
        <f t="shared" si="14"/>
        <v>42850</v>
      </c>
      <c r="L190" s="933">
        <f t="shared" ca="1" si="16"/>
        <v>284</v>
      </c>
      <c r="M190" s="933" t="str">
        <f t="shared" ca="1" si="11"/>
        <v>-</v>
      </c>
    </row>
    <row r="191" spans="1:13" ht="20.100000000000001" hidden="1" customHeight="1" x14ac:dyDescent="0.3">
      <c r="A191" s="922">
        <v>189</v>
      </c>
      <c r="B191" s="923">
        <f t="shared" ca="1" si="12"/>
        <v>43134</v>
      </c>
      <c r="C191" s="935"/>
      <c r="D191" s="936"/>
      <c r="E191" s="937"/>
      <c r="F191" s="927" t="s">
        <v>274</v>
      </c>
      <c r="G191" s="938"/>
      <c r="H191" s="929" t="str">
        <f t="shared" ca="1" si="13"/>
        <v>-</v>
      </c>
      <c r="I191" s="939">
        <v>42831</v>
      </c>
      <c r="J191" s="940" t="s">
        <v>2011</v>
      </c>
      <c r="K191" s="932">
        <f t="shared" si="14"/>
        <v>42849</v>
      </c>
      <c r="L191" s="933">
        <f t="shared" ca="1" si="16"/>
        <v>285</v>
      </c>
      <c r="M191" s="933" t="str">
        <f t="shared" ca="1" si="11"/>
        <v>-</v>
      </c>
    </row>
    <row r="192" spans="1:13" ht="20.100000000000001" hidden="1" customHeight="1" x14ac:dyDescent="0.3">
      <c r="A192" s="934">
        <v>190</v>
      </c>
      <c r="B192" s="923">
        <f t="shared" ca="1" si="12"/>
        <v>43134</v>
      </c>
      <c r="C192" s="935"/>
      <c r="D192" s="936"/>
      <c r="E192" s="937"/>
      <c r="F192" s="927" t="s">
        <v>707</v>
      </c>
      <c r="G192" s="938"/>
      <c r="H192" s="929" t="str">
        <f t="shared" ca="1" si="13"/>
        <v>-</v>
      </c>
      <c r="I192" s="939">
        <v>42831</v>
      </c>
      <c r="J192" s="940" t="s">
        <v>2625</v>
      </c>
      <c r="K192" s="932">
        <f t="shared" si="14"/>
        <v>42849</v>
      </c>
      <c r="L192" s="933">
        <f t="shared" ca="1" si="16"/>
        <v>285</v>
      </c>
      <c r="M192" s="933" t="str">
        <f t="shared" ca="1" si="11"/>
        <v>-</v>
      </c>
    </row>
    <row r="193" spans="1:13" ht="20.100000000000001" hidden="1" customHeight="1" x14ac:dyDescent="0.3">
      <c r="A193" s="922">
        <v>191</v>
      </c>
      <c r="B193" s="923">
        <f t="shared" ca="1" si="12"/>
        <v>43134</v>
      </c>
      <c r="C193" s="935"/>
      <c r="D193" s="936"/>
      <c r="E193" s="937"/>
      <c r="F193" s="927" t="s">
        <v>438</v>
      </c>
      <c r="G193" s="938"/>
      <c r="H193" s="929" t="str">
        <f t="shared" ca="1" si="13"/>
        <v>-</v>
      </c>
      <c r="I193" s="939">
        <v>42832</v>
      </c>
      <c r="J193" s="940" t="s">
        <v>2519</v>
      </c>
      <c r="K193" s="932">
        <f t="shared" si="14"/>
        <v>42850</v>
      </c>
      <c r="L193" s="933">
        <f t="shared" ca="1" si="16"/>
        <v>284</v>
      </c>
      <c r="M193" s="933" t="str">
        <f t="shared" ca="1" si="11"/>
        <v>-</v>
      </c>
    </row>
    <row r="194" spans="1:13" ht="20.100000000000001" hidden="1" customHeight="1" x14ac:dyDescent="0.3">
      <c r="A194" s="934">
        <v>192</v>
      </c>
      <c r="B194" s="923">
        <f t="shared" ca="1" si="12"/>
        <v>43134</v>
      </c>
      <c r="C194" s="935"/>
      <c r="D194" s="936"/>
      <c r="E194" s="937"/>
      <c r="F194" s="927" t="s">
        <v>131</v>
      </c>
      <c r="G194" s="938"/>
      <c r="H194" s="929" t="str">
        <f t="shared" ca="1" si="13"/>
        <v>-</v>
      </c>
      <c r="I194" s="939">
        <v>42837</v>
      </c>
      <c r="J194" s="940" t="s">
        <v>2642</v>
      </c>
      <c r="K194" s="932">
        <f t="shared" si="14"/>
        <v>42855</v>
      </c>
      <c r="L194" s="933">
        <f t="shared" ref="L194:L257" ca="1" si="17">IF(K194&gt;0,B194-K194,"-")</f>
        <v>279</v>
      </c>
      <c r="M194" s="933" t="str">
        <f t="shared" ref="M194:M257" ca="1" si="18">IF(OR(L194&gt;6,L194&lt;0),"-","CHECK IT")</f>
        <v>-</v>
      </c>
    </row>
    <row r="195" spans="1:13" ht="20.100000000000001" hidden="1" customHeight="1" x14ac:dyDescent="0.3">
      <c r="A195" s="922">
        <v>193</v>
      </c>
      <c r="B195" s="923">
        <f t="shared" ref="B195:B258" ca="1" si="19">TODAY()</f>
        <v>43134</v>
      </c>
      <c r="C195" s="935"/>
      <c r="D195" s="936"/>
      <c r="E195" s="937"/>
      <c r="F195" s="927" t="s">
        <v>1009</v>
      </c>
      <c r="G195" s="938"/>
      <c r="H195" s="929" t="str">
        <f t="shared" ca="1" si="13"/>
        <v>-</v>
      </c>
      <c r="I195" s="939">
        <v>42837</v>
      </c>
      <c r="J195" s="940" t="s">
        <v>2643</v>
      </c>
      <c r="K195" s="932">
        <f t="shared" si="14"/>
        <v>42855</v>
      </c>
      <c r="L195" s="933">
        <f t="shared" ca="1" si="17"/>
        <v>279</v>
      </c>
      <c r="M195" s="933" t="str">
        <f t="shared" ca="1" si="18"/>
        <v>-</v>
      </c>
    </row>
    <row r="196" spans="1:13" ht="20.100000000000001" hidden="1" customHeight="1" x14ac:dyDescent="0.3">
      <c r="A196" s="934">
        <v>194</v>
      </c>
      <c r="B196" s="923">
        <f t="shared" ca="1" si="19"/>
        <v>43134</v>
      </c>
      <c r="C196" s="935"/>
      <c r="D196" s="936" t="s">
        <v>2079</v>
      </c>
      <c r="E196" s="937"/>
      <c r="F196" s="927" t="s">
        <v>1215</v>
      </c>
      <c r="G196" s="938"/>
      <c r="H196" s="929" t="str">
        <f t="shared" ref="H196:H215" ca="1" si="20">IF(AND(B196&gt;0,G196&gt;0),B196-G196,"-")</f>
        <v>-</v>
      </c>
      <c r="I196" s="939">
        <v>42838</v>
      </c>
      <c r="J196" s="940" t="s">
        <v>2011</v>
      </c>
      <c r="K196" s="932">
        <f t="shared" ref="K196:K259" si="21">IF(AND(I196&gt;0,J196&gt;0),I196+18,"-")</f>
        <v>42856</v>
      </c>
      <c r="L196" s="933">
        <f t="shared" ca="1" si="17"/>
        <v>278</v>
      </c>
      <c r="M196" s="933" t="str">
        <f t="shared" ca="1" si="18"/>
        <v>-</v>
      </c>
    </row>
    <row r="197" spans="1:13" ht="20.100000000000001" hidden="1" customHeight="1" x14ac:dyDescent="0.3">
      <c r="A197" s="922">
        <v>195</v>
      </c>
      <c r="B197" s="923">
        <f t="shared" ca="1" si="19"/>
        <v>43134</v>
      </c>
      <c r="C197" s="935"/>
      <c r="D197" s="936" t="s">
        <v>2648</v>
      </c>
      <c r="E197" s="937"/>
      <c r="F197" s="927" t="s">
        <v>1028</v>
      </c>
      <c r="G197" s="938"/>
      <c r="H197" s="929" t="str">
        <f t="shared" ca="1" si="20"/>
        <v>-</v>
      </c>
      <c r="I197" s="939">
        <v>42838</v>
      </c>
      <c r="J197" s="940" t="s">
        <v>2011</v>
      </c>
      <c r="K197" s="932">
        <f t="shared" si="21"/>
        <v>42856</v>
      </c>
      <c r="L197" s="933">
        <f t="shared" ca="1" si="17"/>
        <v>278</v>
      </c>
      <c r="M197" s="933" t="str">
        <f t="shared" ca="1" si="18"/>
        <v>-</v>
      </c>
    </row>
    <row r="198" spans="1:13" ht="20.100000000000001" hidden="1" customHeight="1" x14ac:dyDescent="0.3">
      <c r="A198" s="934">
        <v>196</v>
      </c>
      <c r="B198" s="923">
        <f t="shared" ca="1" si="19"/>
        <v>43134</v>
      </c>
      <c r="C198" s="935"/>
      <c r="D198" s="936"/>
      <c r="E198" s="937"/>
      <c r="F198" s="927" t="s">
        <v>959</v>
      </c>
      <c r="G198" s="938"/>
      <c r="H198" s="929" t="str">
        <f t="shared" ca="1" si="20"/>
        <v>-</v>
      </c>
      <c r="I198" s="939">
        <v>42838</v>
      </c>
      <c r="J198" s="940" t="s">
        <v>2011</v>
      </c>
      <c r="K198" s="932">
        <f t="shared" si="21"/>
        <v>42856</v>
      </c>
      <c r="L198" s="933">
        <f t="shared" ca="1" si="17"/>
        <v>278</v>
      </c>
      <c r="M198" s="933" t="str">
        <f t="shared" ca="1" si="18"/>
        <v>-</v>
      </c>
    </row>
    <row r="199" spans="1:13" ht="20.100000000000001" hidden="1" customHeight="1" x14ac:dyDescent="0.3">
      <c r="A199" s="922">
        <v>197</v>
      </c>
      <c r="B199" s="923">
        <f t="shared" ca="1" si="19"/>
        <v>43134</v>
      </c>
      <c r="C199" s="935"/>
      <c r="D199" s="936"/>
      <c r="E199" s="937"/>
      <c r="F199" s="927" t="s">
        <v>776</v>
      </c>
      <c r="G199" s="938"/>
      <c r="H199" s="929" t="str">
        <f t="shared" ca="1" si="20"/>
        <v>-</v>
      </c>
      <c r="I199" s="939">
        <v>42839</v>
      </c>
      <c r="J199" s="940" t="s">
        <v>2011</v>
      </c>
      <c r="K199" s="932">
        <f t="shared" si="21"/>
        <v>42857</v>
      </c>
      <c r="L199" s="933">
        <f t="shared" ca="1" si="17"/>
        <v>277</v>
      </c>
      <c r="M199" s="933" t="str">
        <f t="shared" ca="1" si="18"/>
        <v>-</v>
      </c>
    </row>
    <row r="200" spans="1:13" ht="20.100000000000001" hidden="1" customHeight="1" x14ac:dyDescent="0.3">
      <c r="A200" s="934">
        <v>198</v>
      </c>
      <c r="B200" s="923">
        <f t="shared" ca="1" si="19"/>
        <v>43134</v>
      </c>
      <c r="C200" s="935"/>
      <c r="D200" s="936"/>
      <c r="E200" s="937"/>
      <c r="F200" s="927" t="s">
        <v>990</v>
      </c>
      <c r="G200" s="938"/>
      <c r="H200" s="929" t="str">
        <f t="shared" ca="1" si="20"/>
        <v>-</v>
      </c>
      <c r="I200" s="939">
        <v>42839</v>
      </c>
      <c r="J200" s="940" t="s">
        <v>2011</v>
      </c>
      <c r="K200" s="932">
        <f t="shared" si="21"/>
        <v>42857</v>
      </c>
      <c r="L200" s="933">
        <f t="shared" ca="1" si="17"/>
        <v>277</v>
      </c>
      <c r="M200" s="933" t="str">
        <f t="shared" ca="1" si="18"/>
        <v>-</v>
      </c>
    </row>
    <row r="201" spans="1:13" ht="20.100000000000001" hidden="1" customHeight="1" x14ac:dyDescent="0.3">
      <c r="A201" s="922">
        <v>199</v>
      </c>
      <c r="B201" s="923">
        <f t="shared" ca="1" si="19"/>
        <v>43134</v>
      </c>
      <c r="C201" s="935"/>
      <c r="D201" s="936"/>
      <c r="E201" s="937"/>
      <c r="F201" s="927" t="s">
        <v>445</v>
      </c>
      <c r="G201" s="938"/>
      <c r="H201" s="929" t="str">
        <f t="shared" ca="1" si="20"/>
        <v>-</v>
      </c>
      <c r="I201" s="939">
        <v>42839</v>
      </c>
      <c r="J201" s="940" t="s">
        <v>2011</v>
      </c>
      <c r="K201" s="932">
        <f t="shared" si="21"/>
        <v>42857</v>
      </c>
      <c r="L201" s="933">
        <f t="shared" ca="1" si="17"/>
        <v>277</v>
      </c>
      <c r="M201" s="933" t="str">
        <f t="shared" ca="1" si="18"/>
        <v>-</v>
      </c>
    </row>
    <row r="202" spans="1:13" ht="20.100000000000001" hidden="1" customHeight="1" x14ac:dyDescent="0.3">
      <c r="A202" s="934">
        <v>200</v>
      </c>
      <c r="B202" s="923">
        <f t="shared" ca="1" si="19"/>
        <v>43134</v>
      </c>
      <c r="C202" s="935"/>
      <c r="D202" s="936" t="s">
        <v>307</v>
      </c>
      <c r="E202" s="937"/>
      <c r="F202" s="927" t="s">
        <v>698</v>
      </c>
      <c r="G202" s="938"/>
      <c r="H202" s="929" t="str">
        <f t="shared" ca="1" si="20"/>
        <v>-</v>
      </c>
      <c r="I202" s="939">
        <v>42838</v>
      </c>
      <c r="J202" s="940" t="s">
        <v>2011</v>
      </c>
      <c r="K202" s="932">
        <f t="shared" si="21"/>
        <v>42856</v>
      </c>
      <c r="L202" s="933">
        <f t="shared" ca="1" si="17"/>
        <v>278</v>
      </c>
      <c r="M202" s="933" t="str">
        <f t="shared" ca="1" si="18"/>
        <v>-</v>
      </c>
    </row>
    <row r="203" spans="1:13" ht="20.100000000000001" hidden="1" customHeight="1" x14ac:dyDescent="0.3">
      <c r="A203" s="922">
        <v>201</v>
      </c>
      <c r="B203" s="923">
        <f t="shared" ca="1" si="19"/>
        <v>43134</v>
      </c>
      <c r="C203" s="935"/>
      <c r="D203" s="936" t="s">
        <v>2075</v>
      </c>
      <c r="E203" s="937" t="s">
        <v>467</v>
      </c>
      <c r="F203" s="927" t="s">
        <v>468</v>
      </c>
      <c r="G203" s="938"/>
      <c r="H203" s="929" t="str">
        <f t="shared" ca="1" si="20"/>
        <v>-</v>
      </c>
      <c r="I203" s="939">
        <v>42841</v>
      </c>
      <c r="J203" s="940" t="s">
        <v>2011</v>
      </c>
      <c r="K203" s="932">
        <f t="shared" si="21"/>
        <v>42859</v>
      </c>
      <c r="L203" s="933">
        <f t="shared" ca="1" si="17"/>
        <v>275</v>
      </c>
      <c r="M203" s="933" t="str">
        <f t="shared" ca="1" si="18"/>
        <v>-</v>
      </c>
    </row>
    <row r="204" spans="1:13" ht="20.100000000000001" hidden="1" customHeight="1" x14ac:dyDescent="0.3">
      <c r="A204" s="934">
        <v>202</v>
      </c>
      <c r="B204" s="923">
        <f t="shared" ca="1" si="19"/>
        <v>43134</v>
      </c>
      <c r="C204" s="935"/>
      <c r="D204" s="936" t="s">
        <v>2648</v>
      </c>
      <c r="E204" s="937"/>
      <c r="F204" s="927" t="s">
        <v>1021</v>
      </c>
      <c r="G204" s="938"/>
      <c r="H204" s="929" t="str">
        <f t="shared" ca="1" si="20"/>
        <v>-</v>
      </c>
      <c r="I204" s="939">
        <v>42840</v>
      </c>
      <c r="J204" s="940" t="s">
        <v>2011</v>
      </c>
      <c r="K204" s="932">
        <f t="shared" si="21"/>
        <v>42858</v>
      </c>
      <c r="L204" s="933">
        <f t="shared" ca="1" si="17"/>
        <v>276</v>
      </c>
      <c r="M204" s="933" t="str">
        <f t="shared" ca="1" si="18"/>
        <v>-</v>
      </c>
    </row>
    <row r="205" spans="1:13" ht="20.100000000000001" hidden="1" customHeight="1" x14ac:dyDescent="0.3">
      <c r="A205" s="922">
        <v>203</v>
      </c>
      <c r="B205" s="923">
        <f t="shared" ca="1" si="19"/>
        <v>43134</v>
      </c>
      <c r="C205" s="935"/>
      <c r="D205" s="936" t="s">
        <v>2263</v>
      </c>
      <c r="E205" s="937"/>
      <c r="F205" s="927" t="s">
        <v>974</v>
      </c>
      <c r="G205" s="938"/>
      <c r="H205" s="929" t="str">
        <f t="shared" ca="1" si="20"/>
        <v>-</v>
      </c>
      <c r="I205" s="939">
        <v>42842</v>
      </c>
      <c r="J205" s="940" t="s">
        <v>2651</v>
      </c>
      <c r="K205" s="932">
        <f t="shared" si="21"/>
        <v>42860</v>
      </c>
      <c r="L205" s="933">
        <f t="shared" ca="1" si="17"/>
        <v>274</v>
      </c>
      <c r="M205" s="933" t="str">
        <f t="shared" ca="1" si="18"/>
        <v>-</v>
      </c>
    </row>
    <row r="206" spans="1:13" ht="20.100000000000001" hidden="1" customHeight="1" x14ac:dyDescent="0.3">
      <c r="A206" s="934">
        <v>204</v>
      </c>
      <c r="B206" s="923">
        <f t="shared" ca="1" si="19"/>
        <v>43134</v>
      </c>
      <c r="C206" s="935"/>
      <c r="D206" s="936" t="s">
        <v>2648</v>
      </c>
      <c r="E206" s="937"/>
      <c r="F206" s="927" t="s">
        <v>170</v>
      </c>
      <c r="G206" s="938"/>
      <c r="H206" s="929" t="str">
        <f t="shared" ca="1" si="20"/>
        <v>-</v>
      </c>
      <c r="I206" s="939">
        <v>42842</v>
      </c>
      <c r="J206" s="940" t="s">
        <v>2419</v>
      </c>
      <c r="K206" s="932">
        <f t="shared" si="21"/>
        <v>42860</v>
      </c>
      <c r="L206" s="933">
        <f t="shared" ca="1" si="17"/>
        <v>274</v>
      </c>
      <c r="M206" s="933" t="str">
        <f t="shared" ca="1" si="18"/>
        <v>-</v>
      </c>
    </row>
    <row r="207" spans="1:13" ht="20.100000000000001" hidden="1" customHeight="1" x14ac:dyDescent="0.3">
      <c r="A207" s="922">
        <v>205</v>
      </c>
      <c r="B207" s="923">
        <f t="shared" ca="1" si="19"/>
        <v>43134</v>
      </c>
      <c r="C207" s="935"/>
      <c r="D207" s="936" t="s">
        <v>2648</v>
      </c>
      <c r="E207" s="937"/>
      <c r="F207" s="927" t="s">
        <v>936</v>
      </c>
      <c r="G207" s="938"/>
      <c r="H207" s="929" t="str">
        <f t="shared" ca="1" si="20"/>
        <v>-</v>
      </c>
      <c r="I207" s="939">
        <v>42844</v>
      </c>
      <c r="J207" s="940" t="s">
        <v>2011</v>
      </c>
      <c r="K207" s="932">
        <f t="shared" si="21"/>
        <v>42862</v>
      </c>
      <c r="L207" s="933">
        <f t="shared" ca="1" si="17"/>
        <v>272</v>
      </c>
      <c r="M207" s="933" t="str">
        <f t="shared" ca="1" si="18"/>
        <v>-</v>
      </c>
    </row>
    <row r="208" spans="1:13" ht="20.100000000000001" hidden="1" customHeight="1" x14ac:dyDescent="0.3">
      <c r="A208" s="934">
        <v>206</v>
      </c>
      <c r="B208" s="923">
        <f t="shared" ca="1" si="19"/>
        <v>43134</v>
      </c>
      <c r="C208" s="935"/>
      <c r="D208" s="936" t="s">
        <v>2648</v>
      </c>
      <c r="E208" s="937"/>
      <c r="F208" s="927" t="s">
        <v>274</v>
      </c>
      <c r="G208" s="938"/>
      <c r="H208" s="929" t="str">
        <f t="shared" ca="1" si="20"/>
        <v>-</v>
      </c>
      <c r="I208" s="939">
        <v>42844</v>
      </c>
      <c r="J208" s="940" t="s">
        <v>2654</v>
      </c>
      <c r="K208" s="932">
        <f t="shared" si="21"/>
        <v>42862</v>
      </c>
      <c r="L208" s="933">
        <f t="shared" ca="1" si="17"/>
        <v>272</v>
      </c>
      <c r="M208" s="933" t="str">
        <f t="shared" ca="1" si="18"/>
        <v>-</v>
      </c>
    </row>
    <row r="209" spans="1:13" ht="20.100000000000001" hidden="1" customHeight="1" x14ac:dyDescent="0.3">
      <c r="A209" s="922">
        <v>207</v>
      </c>
      <c r="B209" s="923">
        <f t="shared" ca="1" si="19"/>
        <v>43134</v>
      </c>
      <c r="C209" s="935"/>
      <c r="D209" s="936" t="s">
        <v>2078</v>
      </c>
      <c r="E209" s="937"/>
      <c r="F209" s="927" t="s">
        <v>455</v>
      </c>
      <c r="G209" s="938"/>
      <c r="H209" s="929" t="str">
        <f t="shared" ca="1" si="20"/>
        <v>-</v>
      </c>
      <c r="I209" s="939">
        <v>42844</v>
      </c>
      <c r="J209" s="940" t="s">
        <v>2655</v>
      </c>
      <c r="K209" s="932">
        <f t="shared" si="21"/>
        <v>42862</v>
      </c>
      <c r="L209" s="933">
        <f t="shared" ca="1" si="17"/>
        <v>272</v>
      </c>
      <c r="M209" s="933" t="str">
        <f t="shared" ca="1" si="18"/>
        <v>-</v>
      </c>
    </row>
    <row r="210" spans="1:13" ht="20.100000000000001" hidden="1" customHeight="1" x14ac:dyDescent="0.3">
      <c r="A210" s="934">
        <v>208</v>
      </c>
      <c r="B210" s="923">
        <f t="shared" ca="1" si="19"/>
        <v>43134</v>
      </c>
      <c r="C210" s="935"/>
      <c r="D210" s="936" t="s">
        <v>2284</v>
      </c>
      <c r="E210" s="937" t="s">
        <v>1332</v>
      </c>
      <c r="F210" s="927" t="s">
        <v>1215</v>
      </c>
      <c r="G210" s="938"/>
      <c r="H210" s="929" t="str">
        <f t="shared" ca="1" si="20"/>
        <v>-</v>
      </c>
      <c r="I210" s="939">
        <v>42858</v>
      </c>
      <c r="J210" s="940" t="s">
        <v>2463</v>
      </c>
      <c r="K210" s="932">
        <f t="shared" si="21"/>
        <v>42876</v>
      </c>
      <c r="L210" s="933">
        <f t="shared" ca="1" si="17"/>
        <v>258</v>
      </c>
      <c r="M210" s="933" t="str">
        <f t="shared" ca="1" si="18"/>
        <v>-</v>
      </c>
    </row>
    <row r="211" spans="1:13" ht="20.100000000000001" hidden="1" customHeight="1" x14ac:dyDescent="0.3">
      <c r="A211" s="922">
        <v>209</v>
      </c>
      <c r="B211" s="923">
        <f t="shared" ca="1" si="19"/>
        <v>43134</v>
      </c>
      <c r="C211" s="935"/>
      <c r="D211" s="936" t="s">
        <v>2284</v>
      </c>
      <c r="E211" s="937" t="s">
        <v>1050</v>
      </c>
      <c r="F211" s="927" t="s">
        <v>955</v>
      </c>
      <c r="G211" s="938"/>
      <c r="H211" s="929" t="str">
        <f t="shared" ca="1" si="20"/>
        <v>-</v>
      </c>
      <c r="I211" s="939">
        <v>42859</v>
      </c>
      <c r="J211" s="940" t="s">
        <v>2011</v>
      </c>
      <c r="K211" s="932">
        <f t="shared" si="21"/>
        <v>42877</v>
      </c>
      <c r="L211" s="933">
        <f t="shared" ca="1" si="17"/>
        <v>257</v>
      </c>
      <c r="M211" s="933" t="str">
        <f t="shared" ca="1" si="18"/>
        <v>-</v>
      </c>
    </row>
    <row r="212" spans="1:13" ht="20.100000000000001" hidden="1" customHeight="1" x14ac:dyDescent="0.3">
      <c r="A212" s="934">
        <v>210</v>
      </c>
      <c r="B212" s="923">
        <f t="shared" ca="1" si="19"/>
        <v>43134</v>
      </c>
      <c r="C212" s="935"/>
      <c r="D212" s="936" t="s">
        <v>2648</v>
      </c>
      <c r="E212" s="937" t="s">
        <v>695</v>
      </c>
      <c r="F212" s="927" t="s">
        <v>696</v>
      </c>
      <c r="G212" s="938"/>
      <c r="H212" s="929" t="str">
        <f t="shared" ca="1" si="20"/>
        <v>-</v>
      </c>
      <c r="I212" s="939">
        <v>42860</v>
      </c>
      <c r="J212" s="940" t="s">
        <v>2011</v>
      </c>
      <c r="K212" s="932">
        <f t="shared" si="21"/>
        <v>42878</v>
      </c>
      <c r="L212" s="933">
        <f t="shared" ca="1" si="17"/>
        <v>256</v>
      </c>
      <c r="M212" s="933" t="str">
        <f t="shared" ca="1" si="18"/>
        <v>-</v>
      </c>
    </row>
    <row r="213" spans="1:13" ht="20.100000000000001" hidden="1" customHeight="1" x14ac:dyDescent="0.3">
      <c r="A213" s="922">
        <v>211</v>
      </c>
      <c r="B213" s="923">
        <f t="shared" ca="1" si="19"/>
        <v>43134</v>
      </c>
      <c r="C213" s="935"/>
      <c r="D213" s="936" t="s">
        <v>2287</v>
      </c>
      <c r="E213" s="937" t="s">
        <v>818</v>
      </c>
      <c r="F213" s="927" t="s">
        <v>819</v>
      </c>
      <c r="G213" s="938"/>
      <c r="H213" s="929" t="str">
        <f t="shared" ca="1" si="20"/>
        <v>-</v>
      </c>
      <c r="I213" s="939">
        <v>42860</v>
      </c>
      <c r="J213" s="940" t="s">
        <v>2011</v>
      </c>
      <c r="K213" s="932">
        <f t="shared" si="21"/>
        <v>42878</v>
      </c>
      <c r="L213" s="933">
        <f t="shared" ca="1" si="17"/>
        <v>256</v>
      </c>
      <c r="M213" s="933" t="str">
        <f t="shared" ca="1" si="18"/>
        <v>-</v>
      </c>
    </row>
    <row r="214" spans="1:13" ht="20.100000000000001" hidden="1" customHeight="1" x14ac:dyDescent="0.3">
      <c r="A214" s="934">
        <v>212</v>
      </c>
      <c r="B214" s="923">
        <f t="shared" ca="1" si="19"/>
        <v>43134</v>
      </c>
      <c r="C214" s="935"/>
      <c r="D214" s="936" t="s">
        <v>2284</v>
      </c>
      <c r="E214" s="937" t="s">
        <v>1050</v>
      </c>
      <c r="F214" s="927" t="s">
        <v>955</v>
      </c>
      <c r="G214" s="938"/>
      <c r="H214" s="929" t="str">
        <f t="shared" ca="1" si="20"/>
        <v>-</v>
      </c>
      <c r="I214" s="939">
        <v>42860</v>
      </c>
      <c r="J214" s="940" t="s">
        <v>2011</v>
      </c>
      <c r="K214" s="932">
        <f t="shared" si="21"/>
        <v>42878</v>
      </c>
      <c r="L214" s="933">
        <f t="shared" ca="1" si="17"/>
        <v>256</v>
      </c>
      <c r="M214" s="933" t="str">
        <f t="shared" ca="1" si="18"/>
        <v>-</v>
      </c>
    </row>
    <row r="215" spans="1:13" ht="20.100000000000001" hidden="1" customHeight="1" x14ac:dyDescent="0.3">
      <c r="A215" s="922">
        <v>213</v>
      </c>
      <c r="B215" s="923">
        <f t="shared" ca="1" si="19"/>
        <v>43134</v>
      </c>
      <c r="C215" s="935"/>
      <c r="D215" s="936" t="s">
        <v>2284</v>
      </c>
      <c r="E215" s="937" t="s">
        <v>444</v>
      </c>
      <c r="F215" s="927" t="s">
        <v>445</v>
      </c>
      <c r="G215" s="938"/>
      <c r="H215" s="929" t="str">
        <f t="shared" ca="1" si="20"/>
        <v>-</v>
      </c>
      <c r="I215" s="939">
        <v>42860</v>
      </c>
      <c r="J215" s="940" t="s">
        <v>2011</v>
      </c>
      <c r="K215" s="932">
        <f t="shared" si="21"/>
        <v>42878</v>
      </c>
      <c r="L215" s="933">
        <f t="shared" ca="1" si="17"/>
        <v>256</v>
      </c>
      <c r="M215" s="933" t="str">
        <f t="shared" ca="1" si="18"/>
        <v>-</v>
      </c>
    </row>
    <row r="216" spans="1:13" ht="20.100000000000001" hidden="1" customHeight="1" x14ac:dyDescent="0.3">
      <c r="A216" s="934">
        <v>214</v>
      </c>
      <c r="B216" s="923">
        <f t="shared" ca="1" si="19"/>
        <v>43134</v>
      </c>
      <c r="C216" s="935"/>
      <c r="D216" s="936" t="s">
        <v>2075</v>
      </c>
      <c r="E216" s="937" t="s">
        <v>271</v>
      </c>
      <c r="F216" s="943" t="s">
        <v>490</v>
      </c>
      <c r="G216" s="938"/>
      <c r="H216" s="944"/>
      <c r="I216" s="939">
        <v>42861</v>
      </c>
      <c r="J216" s="940" t="s">
        <v>2699</v>
      </c>
      <c r="K216" s="932">
        <f t="shared" si="21"/>
        <v>42879</v>
      </c>
      <c r="L216" s="933">
        <f t="shared" ca="1" si="17"/>
        <v>255</v>
      </c>
      <c r="M216" s="933" t="str">
        <f t="shared" ca="1" si="18"/>
        <v>-</v>
      </c>
    </row>
    <row r="217" spans="1:13" ht="20.100000000000001" hidden="1" customHeight="1" x14ac:dyDescent="0.3">
      <c r="A217" s="922">
        <v>215</v>
      </c>
      <c r="B217" s="923">
        <f t="shared" ca="1" si="19"/>
        <v>43134</v>
      </c>
      <c r="C217" s="935"/>
      <c r="D217" s="936" t="s">
        <v>2075</v>
      </c>
      <c r="E217" s="937" t="s">
        <v>1092</v>
      </c>
      <c r="F217" s="943" t="s">
        <v>1004</v>
      </c>
      <c r="G217" s="938"/>
      <c r="H217" s="944"/>
      <c r="I217" s="939">
        <v>42861</v>
      </c>
      <c r="J217" s="940" t="s">
        <v>2011</v>
      </c>
      <c r="K217" s="932">
        <f t="shared" si="21"/>
        <v>42879</v>
      </c>
      <c r="L217" s="933">
        <f t="shared" ca="1" si="17"/>
        <v>255</v>
      </c>
      <c r="M217" s="933" t="str">
        <f t="shared" ca="1" si="18"/>
        <v>-</v>
      </c>
    </row>
    <row r="218" spans="1:13" ht="20.100000000000001" hidden="1" customHeight="1" x14ac:dyDescent="0.3">
      <c r="A218" s="934">
        <v>216</v>
      </c>
      <c r="B218" s="923">
        <f t="shared" ca="1" si="19"/>
        <v>43134</v>
      </c>
      <c r="C218" s="935"/>
      <c r="D218" s="936" t="s">
        <v>2075</v>
      </c>
      <c r="E218" s="937" t="s">
        <v>574</v>
      </c>
      <c r="F218" s="943" t="s">
        <v>936</v>
      </c>
      <c r="G218" s="938"/>
      <c r="H218" s="944"/>
      <c r="I218" s="939">
        <v>42861</v>
      </c>
      <c r="J218" s="940" t="s">
        <v>2700</v>
      </c>
      <c r="K218" s="932">
        <f t="shared" si="21"/>
        <v>42879</v>
      </c>
      <c r="L218" s="933">
        <f t="shared" ca="1" si="17"/>
        <v>255</v>
      </c>
      <c r="M218" s="933" t="str">
        <f t="shared" ca="1" si="18"/>
        <v>-</v>
      </c>
    </row>
    <row r="219" spans="1:13" ht="20.100000000000001" hidden="1" customHeight="1" x14ac:dyDescent="0.3">
      <c r="A219" s="922">
        <v>217</v>
      </c>
      <c r="B219" s="923">
        <f t="shared" ca="1" si="19"/>
        <v>43134</v>
      </c>
      <c r="C219" s="935"/>
      <c r="D219" s="936" t="s">
        <v>2079</v>
      </c>
      <c r="E219" s="937" t="s">
        <v>369</v>
      </c>
      <c r="F219" s="943" t="s">
        <v>1389</v>
      </c>
      <c r="G219" s="938"/>
      <c r="H219" s="944"/>
      <c r="I219" s="939">
        <v>42862</v>
      </c>
      <c r="J219" s="940" t="s">
        <v>2011</v>
      </c>
      <c r="K219" s="932">
        <f t="shared" si="21"/>
        <v>42880</v>
      </c>
      <c r="L219" s="933">
        <f t="shared" ca="1" si="17"/>
        <v>254</v>
      </c>
      <c r="M219" s="933" t="str">
        <f t="shared" ca="1" si="18"/>
        <v>-</v>
      </c>
    </row>
    <row r="220" spans="1:13" ht="20.100000000000001" hidden="1" customHeight="1" x14ac:dyDescent="0.3">
      <c r="A220" s="934">
        <v>218</v>
      </c>
      <c r="B220" s="923">
        <f t="shared" ca="1" si="19"/>
        <v>43134</v>
      </c>
      <c r="C220" s="935"/>
      <c r="D220" s="936" t="s">
        <v>2394</v>
      </c>
      <c r="E220" s="937"/>
      <c r="F220" s="943" t="s">
        <v>1913</v>
      </c>
      <c r="G220" s="938"/>
      <c r="H220" s="944"/>
      <c r="I220" s="939">
        <v>42863</v>
      </c>
      <c r="J220" s="940" t="s">
        <v>2011</v>
      </c>
      <c r="K220" s="932">
        <f t="shared" si="21"/>
        <v>42881</v>
      </c>
      <c r="L220" s="933">
        <f t="shared" ca="1" si="17"/>
        <v>253</v>
      </c>
      <c r="M220" s="933" t="str">
        <f t="shared" ca="1" si="18"/>
        <v>-</v>
      </c>
    </row>
    <row r="221" spans="1:13" ht="20.100000000000001" hidden="1" customHeight="1" x14ac:dyDescent="0.3">
      <c r="A221" s="922">
        <v>219</v>
      </c>
      <c r="B221" s="923">
        <f t="shared" ca="1" si="19"/>
        <v>43134</v>
      </c>
      <c r="C221" s="935"/>
      <c r="D221" s="936" t="s">
        <v>2284</v>
      </c>
      <c r="E221" s="937" t="s">
        <v>633</v>
      </c>
      <c r="F221" s="943" t="s">
        <v>1028</v>
      </c>
      <c r="G221" s="938"/>
      <c r="H221" s="944"/>
      <c r="I221" s="939">
        <v>42866</v>
      </c>
      <c r="J221" s="940" t="s">
        <v>2011</v>
      </c>
      <c r="K221" s="932">
        <f t="shared" si="21"/>
        <v>42884</v>
      </c>
      <c r="L221" s="933">
        <f t="shared" ca="1" si="17"/>
        <v>250</v>
      </c>
      <c r="M221" s="933" t="str">
        <f t="shared" ca="1" si="18"/>
        <v>-</v>
      </c>
    </row>
    <row r="222" spans="1:13" ht="20.100000000000001" hidden="1" customHeight="1" x14ac:dyDescent="0.3">
      <c r="A222" s="934">
        <v>220</v>
      </c>
      <c r="B222" s="923">
        <f t="shared" ca="1" si="19"/>
        <v>43134</v>
      </c>
      <c r="C222" s="935"/>
      <c r="D222" s="936" t="s">
        <v>2130</v>
      </c>
      <c r="E222" s="937" t="s">
        <v>344</v>
      </c>
      <c r="F222" s="943" t="s">
        <v>345</v>
      </c>
      <c r="G222" s="938"/>
      <c r="H222" s="944"/>
      <c r="I222" s="939">
        <v>42866</v>
      </c>
      <c r="J222" s="940" t="s">
        <v>2011</v>
      </c>
      <c r="K222" s="932">
        <f t="shared" si="21"/>
        <v>42884</v>
      </c>
      <c r="L222" s="933">
        <f t="shared" ca="1" si="17"/>
        <v>250</v>
      </c>
      <c r="M222" s="933" t="str">
        <f t="shared" ca="1" si="18"/>
        <v>-</v>
      </c>
    </row>
    <row r="223" spans="1:13" ht="20.100000000000001" hidden="1" customHeight="1" x14ac:dyDescent="0.3">
      <c r="A223" s="934">
        <v>221</v>
      </c>
      <c r="B223" s="923">
        <f t="shared" ca="1" si="19"/>
        <v>43134</v>
      </c>
      <c r="C223" s="935"/>
      <c r="D223" s="936" t="s">
        <v>2075</v>
      </c>
      <c r="E223" s="937"/>
      <c r="F223" s="943" t="s">
        <v>318</v>
      </c>
      <c r="G223" s="938"/>
      <c r="H223" s="944"/>
      <c r="I223" s="939">
        <v>42867</v>
      </c>
      <c r="J223" s="940" t="s">
        <v>2011</v>
      </c>
      <c r="K223" s="932">
        <f t="shared" si="21"/>
        <v>42885</v>
      </c>
      <c r="L223" s="933">
        <f t="shared" ca="1" si="17"/>
        <v>249</v>
      </c>
      <c r="M223" s="933" t="str">
        <f t="shared" ca="1" si="18"/>
        <v>-</v>
      </c>
    </row>
    <row r="224" spans="1:13" ht="20.100000000000001" hidden="1" customHeight="1" x14ac:dyDescent="0.3">
      <c r="A224" s="922">
        <v>222</v>
      </c>
      <c r="B224" s="923">
        <f t="shared" ca="1" si="19"/>
        <v>43134</v>
      </c>
      <c r="C224" s="935"/>
      <c r="D224" s="936" t="s">
        <v>2394</v>
      </c>
      <c r="E224" s="937"/>
      <c r="F224" s="943" t="s">
        <v>1132</v>
      </c>
      <c r="G224" s="938"/>
      <c r="H224" s="944"/>
      <c r="I224" s="939">
        <v>42867</v>
      </c>
      <c r="J224" s="940" t="s">
        <v>2724</v>
      </c>
      <c r="K224" s="932">
        <f t="shared" si="21"/>
        <v>42885</v>
      </c>
      <c r="L224" s="933">
        <f t="shared" ca="1" si="17"/>
        <v>249</v>
      </c>
      <c r="M224" s="933" t="str">
        <f t="shared" ca="1" si="18"/>
        <v>-</v>
      </c>
    </row>
    <row r="225" spans="1:13" ht="20.100000000000001" hidden="1" customHeight="1" x14ac:dyDescent="0.3">
      <c r="A225" s="934">
        <v>223</v>
      </c>
      <c r="B225" s="923">
        <f t="shared" ca="1" si="19"/>
        <v>43134</v>
      </c>
      <c r="C225" s="935"/>
      <c r="D225" s="936" t="s">
        <v>2130</v>
      </c>
      <c r="E225" s="937"/>
      <c r="F225" s="943" t="s">
        <v>1229</v>
      </c>
      <c r="G225" s="938"/>
      <c r="H225" s="944"/>
      <c r="I225" s="939">
        <v>42867</v>
      </c>
      <c r="J225" s="940" t="s">
        <v>2011</v>
      </c>
      <c r="K225" s="932">
        <f t="shared" si="21"/>
        <v>42885</v>
      </c>
      <c r="L225" s="933">
        <f t="shared" ca="1" si="17"/>
        <v>249</v>
      </c>
      <c r="M225" s="933" t="str">
        <f t="shared" ca="1" si="18"/>
        <v>-</v>
      </c>
    </row>
    <row r="226" spans="1:13" ht="20.100000000000001" hidden="1" customHeight="1" x14ac:dyDescent="0.3">
      <c r="A226" s="922">
        <v>224</v>
      </c>
      <c r="B226" s="923">
        <f t="shared" ca="1" si="19"/>
        <v>43134</v>
      </c>
      <c r="C226" s="935"/>
      <c r="D226" s="936" t="s">
        <v>2079</v>
      </c>
      <c r="E226" s="937"/>
      <c r="F226" s="943" t="s">
        <v>888</v>
      </c>
      <c r="G226" s="938"/>
      <c r="H226" s="944"/>
      <c r="I226" s="939">
        <v>42868</v>
      </c>
      <c r="J226" s="940" t="s">
        <v>2729</v>
      </c>
      <c r="K226" s="932">
        <f t="shared" si="21"/>
        <v>42886</v>
      </c>
      <c r="L226" s="933">
        <f t="shared" ca="1" si="17"/>
        <v>248</v>
      </c>
      <c r="M226" s="933" t="str">
        <f t="shared" ca="1" si="18"/>
        <v>-</v>
      </c>
    </row>
    <row r="227" spans="1:13" ht="20.100000000000001" hidden="1" customHeight="1" x14ac:dyDescent="0.3">
      <c r="A227" s="934">
        <v>225</v>
      </c>
      <c r="B227" s="923">
        <f t="shared" ca="1" si="19"/>
        <v>43134</v>
      </c>
      <c r="C227" s="935"/>
      <c r="D227" s="936" t="s">
        <v>2078</v>
      </c>
      <c r="E227" s="937"/>
      <c r="F227" s="943" t="s">
        <v>455</v>
      </c>
      <c r="G227" s="938"/>
      <c r="H227" s="944"/>
      <c r="I227" s="939">
        <v>42869</v>
      </c>
      <c r="J227" s="940" t="s">
        <v>2729</v>
      </c>
      <c r="K227" s="932">
        <f t="shared" si="21"/>
        <v>42887</v>
      </c>
      <c r="L227" s="933">
        <f t="shared" ca="1" si="17"/>
        <v>247</v>
      </c>
      <c r="M227" s="933" t="str">
        <f t="shared" ca="1" si="18"/>
        <v>-</v>
      </c>
    </row>
    <row r="228" spans="1:13" ht="20.100000000000001" hidden="1" customHeight="1" x14ac:dyDescent="0.3">
      <c r="A228" s="922">
        <v>226</v>
      </c>
      <c r="B228" s="923">
        <f t="shared" ca="1" si="19"/>
        <v>43134</v>
      </c>
      <c r="C228" s="935"/>
      <c r="D228" s="936" t="s">
        <v>2078</v>
      </c>
      <c r="E228" s="937"/>
      <c r="F228" s="943" t="s">
        <v>285</v>
      </c>
      <c r="G228" s="938"/>
      <c r="H228" s="944"/>
      <c r="I228" s="939">
        <v>42869</v>
      </c>
      <c r="J228" s="940" t="s">
        <v>2011</v>
      </c>
      <c r="K228" s="932">
        <f t="shared" si="21"/>
        <v>42887</v>
      </c>
      <c r="L228" s="933">
        <f t="shared" ca="1" si="17"/>
        <v>247</v>
      </c>
      <c r="M228" s="933" t="str">
        <f t="shared" ca="1" si="18"/>
        <v>-</v>
      </c>
    </row>
    <row r="229" spans="1:13" ht="20.100000000000001" hidden="1" customHeight="1" x14ac:dyDescent="0.3">
      <c r="A229" s="934">
        <v>227</v>
      </c>
      <c r="B229" s="923">
        <f t="shared" ca="1" si="19"/>
        <v>43134</v>
      </c>
      <c r="C229" s="935"/>
      <c r="D229" s="936" t="s">
        <v>307</v>
      </c>
      <c r="E229" s="937"/>
      <c r="F229" s="943" t="s">
        <v>530</v>
      </c>
      <c r="G229" s="938"/>
      <c r="H229" s="944"/>
      <c r="I229" s="939">
        <v>42869</v>
      </c>
      <c r="J229" s="940" t="s">
        <v>2730</v>
      </c>
      <c r="K229" s="932">
        <f t="shared" si="21"/>
        <v>42887</v>
      </c>
      <c r="L229" s="933">
        <f t="shared" ca="1" si="17"/>
        <v>247</v>
      </c>
      <c r="M229" s="933" t="str">
        <f t="shared" ca="1" si="18"/>
        <v>-</v>
      </c>
    </row>
    <row r="230" spans="1:13" ht="20.100000000000001" hidden="1" customHeight="1" x14ac:dyDescent="0.3">
      <c r="A230" s="922">
        <v>228</v>
      </c>
      <c r="B230" s="923">
        <f t="shared" ca="1" si="19"/>
        <v>43134</v>
      </c>
      <c r="C230" s="935"/>
      <c r="D230" s="936" t="s">
        <v>2284</v>
      </c>
      <c r="E230" s="937"/>
      <c r="F230" s="943" t="s">
        <v>1177</v>
      </c>
      <c r="G230" s="938"/>
      <c r="H230" s="944"/>
      <c r="I230" s="939">
        <v>42869</v>
      </c>
      <c r="J230" s="940" t="s">
        <v>2011</v>
      </c>
      <c r="K230" s="932">
        <f t="shared" si="21"/>
        <v>42887</v>
      </c>
      <c r="L230" s="933">
        <f t="shared" ca="1" si="17"/>
        <v>247</v>
      </c>
      <c r="M230" s="933" t="str">
        <f t="shared" ca="1" si="18"/>
        <v>-</v>
      </c>
    </row>
    <row r="231" spans="1:13" ht="20.100000000000001" hidden="1" customHeight="1" x14ac:dyDescent="0.3">
      <c r="A231" s="934">
        <v>229</v>
      </c>
      <c r="B231" s="923">
        <f t="shared" ca="1" si="19"/>
        <v>43134</v>
      </c>
      <c r="C231" s="935"/>
      <c r="D231" s="936" t="s">
        <v>2079</v>
      </c>
      <c r="E231" s="937"/>
      <c r="F231" s="943" t="s">
        <v>839</v>
      </c>
      <c r="G231" s="938"/>
      <c r="H231" s="944"/>
      <c r="I231" s="939">
        <v>42869</v>
      </c>
      <c r="J231" s="940" t="s">
        <v>2011</v>
      </c>
      <c r="K231" s="932">
        <f t="shared" si="21"/>
        <v>42887</v>
      </c>
      <c r="L231" s="933">
        <f t="shared" ca="1" si="17"/>
        <v>247</v>
      </c>
      <c r="M231" s="933" t="str">
        <f t="shared" ca="1" si="18"/>
        <v>-</v>
      </c>
    </row>
    <row r="232" spans="1:13" ht="20.100000000000001" hidden="1" customHeight="1" x14ac:dyDescent="0.3">
      <c r="A232" s="922">
        <v>230</v>
      </c>
      <c r="B232" s="923">
        <f t="shared" ca="1" si="19"/>
        <v>43134</v>
      </c>
      <c r="C232" s="935"/>
      <c r="D232" s="936"/>
      <c r="E232" s="937"/>
      <c r="F232" s="943" t="s">
        <v>934</v>
      </c>
      <c r="G232" s="938"/>
      <c r="H232" s="944"/>
      <c r="I232" s="939">
        <v>42869</v>
      </c>
      <c r="J232" s="940" t="s">
        <v>2011</v>
      </c>
      <c r="K232" s="932">
        <f t="shared" si="21"/>
        <v>42887</v>
      </c>
      <c r="L232" s="933">
        <f t="shared" ca="1" si="17"/>
        <v>247</v>
      </c>
      <c r="M232" s="933" t="str">
        <f t="shared" ca="1" si="18"/>
        <v>-</v>
      </c>
    </row>
    <row r="233" spans="1:13" ht="20.100000000000001" hidden="1" customHeight="1" x14ac:dyDescent="0.3">
      <c r="A233" s="934">
        <v>231</v>
      </c>
      <c r="B233" s="923">
        <f t="shared" ca="1" si="19"/>
        <v>43134</v>
      </c>
      <c r="C233" s="935"/>
      <c r="D233" s="936"/>
      <c r="E233" s="937"/>
      <c r="F233" s="943" t="s">
        <v>496</v>
      </c>
      <c r="G233" s="938"/>
      <c r="H233" s="944"/>
      <c r="I233" s="939">
        <v>42869</v>
      </c>
      <c r="J233" s="940" t="s">
        <v>2011</v>
      </c>
      <c r="K233" s="932">
        <f t="shared" si="21"/>
        <v>42887</v>
      </c>
      <c r="L233" s="933">
        <f t="shared" ca="1" si="17"/>
        <v>247</v>
      </c>
      <c r="M233" s="933" t="str">
        <f t="shared" ca="1" si="18"/>
        <v>-</v>
      </c>
    </row>
    <row r="234" spans="1:13" ht="20.100000000000001" hidden="1" customHeight="1" x14ac:dyDescent="0.3">
      <c r="A234" s="922">
        <v>232</v>
      </c>
      <c r="B234" s="923">
        <f t="shared" ca="1" si="19"/>
        <v>43134</v>
      </c>
      <c r="C234" s="935"/>
      <c r="D234" s="936"/>
      <c r="E234" s="937"/>
      <c r="F234" s="943" t="s">
        <v>888</v>
      </c>
      <c r="G234" s="938"/>
      <c r="H234" s="944"/>
      <c r="I234" s="939">
        <v>42869</v>
      </c>
      <c r="J234" s="940" t="s">
        <v>2011</v>
      </c>
      <c r="K234" s="932">
        <f t="shared" si="21"/>
        <v>42887</v>
      </c>
      <c r="L234" s="933">
        <f t="shared" ca="1" si="17"/>
        <v>247</v>
      </c>
      <c r="M234" s="933" t="str">
        <f t="shared" ca="1" si="18"/>
        <v>-</v>
      </c>
    </row>
    <row r="235" spans="1:13" ht="20.100000000000001" hidden="1" customHeight="1" x14ac:dyDescent="0.3">
      <c r="A235" s="934">
        <v>233</v>
      </c>
      <c r="B235" s="923">
        <f t="shared" ca="1" si="19"/>
        <v>43134</v>
      </c>
      <c r="C235" s="935"/>
      <c r="D235" s="936" t="s">
        <v>2648</v>
      </c>
      <c r="E235" s="937"/>
      <c r="F235" s="943" t="s">
        <v>607</v>
      </c>
      <c r="G235" s="938"/>
      <c r="H235" s="944"/>
      <c r="I235" s="939">
        <v>42874</v>
      </c>
      <c r="J235" s="940" t="s">
        <v>2746</v>
      </c>
      <c r="K235" s="932">
        <f t="shared" si="21"/>
        <v>42892</v>
      </c>
      <c r="L235" s="933">
        <f t="shared" ca="1" si="17"/>
        <v>242</v>
      </c>
      <c r="M235" s="933" t="str">
        <f t="shared" ca="1" si="18"/>
        <v>-</v>
      </c>
    </row>
    <row r="236" spans="1:13" ht="20.100000000000001" hidden="1" customHeight="1" x14ac:dyDescent="0.3">
      <c r="A236" s="922">
        <v>234</v>
      </c>
      <c r="B236" s="923">
        <f t="shared" ca="1" si="19"/>
        <v>43134</v>
      </c>
      <c r="C236" s="935"/>
      <c r="D236" s="936" t="s">
        <v>2078</v>
      </c>
      <c r="E236" s="937"/>
      <c r="F236" s="943" t="s">
        <v>1476</v>
      </c>
      <c r="G236" s="938"/>
      <c r="H236" s="944"/>
      <c r="I236" s="939">
        <v>42874</v>
      </c>
      <c r="J236" s="940" t="s">
        <v>2011</v>
      </c>
      <c r="K236" s="932">
        <f t="shared" si="21"/>
        <v>42892</v>
      </c>
      <c r="L236" s="933">
        <f t="shared" ca="1" si="17"/>
        <v>242</v>
      </c>
      <c r="M236" s="933" t="str">
        <f t="shared" ca="1" si="18"/>
        <v>-</v>
      </c>
    </row>
    <row r="237" spans="1:13" ht="20.100000000000001" hidden="1" customHeight="1" x14ac:dyDescent="0.3">
      <c r="A237" s="934">
        <v>235</v>
      </c>
      <c r="B237" s="923">
        <f t="shared" ca="1" si="19"/>
        <v>43134</v>
      </c>
      <c r="C237" s="935"/>
      <c r="D237" s="936"/>
      <c r="E237" s="937"/>
      <c r="F237" s="943" t="s">
        <v>713</v>
      </c>
      <c r="G237" s="938"/>
      <c r="H237" s="944"/>
      <c r="I237" s="939">
        <v>42874</v>
      </c>
      <c r="J237" s="940" t="s">
        <v>2011</v>
      </c>
      <c r="K237" s="932">
        <f t="shared" si="21"/>
        <v>42892</v>
      </c>
      <c r="L237" s="933">
        <f t="shared" ca="1" si="17"/>
        <v>242</v>
      </c>
      <c r="M237" s="933" t="str">
        <f t="shared" ca="1" si="18"/>
        <v>-</v>
      </c>
    </row>
    <row r="238" spans="1:13" ht="20.100000000000001" hidden="1" customHeight="1" x14ac:dyDescent="0.3">
      <c r="A238" s="922">
        <v>236</v>
      </c>
      <c r="B238" s="923">
        <f t="shared" ca="1" si="19"/>
        <v>43134</v>
      </c>
      <c r="C238" s="935"/>
      <c r="D238" s="936" t="s">
        <v>2747</v>
      </c>
      <c r="E238" s="937" t="s">
        <v>1060</v>
      </c>
      <c r="F238" s="943" t="s">
        <v>952</v>
      </c>
      <c r="G238" s="938"/>
      <c r="H238" s="944"/>
      <c r="I238" s="939">
        <v>42877</v>
      </c>
      <c r="J238" s="940" t="s">
        <v>2011</v>
      </c>
      <c r="K238" s="932">
        <f t="shared" si="21"/>
        <v>42895</v>
      </c>
      <c r="L238" s="933">
        <f t="shared" ca="1" si="17"/>
        <v>239</v>
      </c>
      <c r="M238" s="933" t="str">
        <f t="shared" ca="1" si="18"/>
        <v>-</v>
      </c>
    </row>
    <row r="239" spans="1:13" ht="20.100000000000001" hidden="1" customHeight="1" x14ac:dyDescent="0.3">
      <c r="A239" s="934">
        <v>237</v>
      </c>
      <c r="B239" s="923">
        <f t="shared" ca="1" si="19"/>
        <v>43134</v>
      </c>
      <c r="C239" s="935"/>
      <c r="D239" s="936"/>
      <c r="E239" s="937" t="s">
        <v>724</v>
      </c>
      <c r="F239" s="943" t="s">
        <v>725</v>
      </c>
      <c r="G239" s="938"/>
      <c r="H239" s="944"/>
      <c r="I239" s="939">
        <v>42877</v>
      </c>
      <c r="J239" s="940" t="s">
        <v>2756</v>
      </c>
      <c r="K239" s="932">
        <f t="shared" si="21"/>
        <v>42895</v>
      </c>
      <c r="L239" s="933">
        <f t="shared" ca="1" si="17"/>
        <v>239</v>
      </c>
      <c r="M239" s="933" t="str">
        <f t="shared" ca="1" si="18"/>
        <v>-</v>
      </c>
    </row>
    <row r="240" spans="1:13" ht="20.100000000000001" hidden="1" customHeight="1" x14ac:dyDescent="0.3">
      <c r="A240" s="934">
        <v>238</v>
      </c>
      <c r="B240" s="923">
        <f t="shared" ca="1" si="19"/>
        <v>43134</v>
      </c>
      <c r="C240" s="935"/>
      <c r="D240" s="936"/>
      <c r="E240" s="937" t="s">
        <v>501</v>
      </c>
      <c r="F240" s="943" t="s">
        <v>502</v>
      </c>
      <c r="G240" s="938"/>
      <c r="H240" s="944"/>
      <c r="I240" s="939">
        <v>42878</v>
      </c>
      <c r="J240" s="940" t="s">
        <v>2755</v>
      </c>
      <c r="K240" s="932">
        <f t="shared" si="21"/>
        <v>42896</v>
      </c>
      <c r="L240" s="933">
        <f t="shared" ca="1" si="17"/>
        <v>238</v>
      </c>
      <c r="M240" s="933" t="str">
        <f t="shared" ca="1" si="18"/>
        <v>-</v>
      </c>
    </row>
    <row r="241" spans="1:13" ht="20.100000000000001" hidden="1" customHeight="1" x14ac:dyDescent="0.3">
      <c r="A241" s="922">
        <v>239</v>
      </c>
      <c r="B241" s="923">
        <f t="shared" ca="1" si="19"/>
        <v>43134</v>
      </c>
      <c r="C241" s="935"/>
      <c r="D241" s="936"/>
      <c r="E241" s="937" t="s">
        <v>1491</v>
      </c>
      <c r="F241" s="943" t="s">
        <v>1477</v>
      </c>
      <c r="G241" s="938"/>
      <c r="H241" s="944"/>
      <c r="I241" s="939">
        <v>42878</v>
      </c>
      <c r="J241" s="940" t="s">
        <v>2754</v>
      </c>
      <c r="K241" s="932">
        <f t="shared" si="21"/>
        <v>42896</v>
      </c>
      <c r="L241" s="933">
        <f t="shared" ca="1" si="17"/>
        <v>238</v>
      </c>
      <c r="M241" s="933" t="str">
        <f t="shared" ca="1" si="18"/>
        <v>-</v>
      </c>
    </row>
    <row r="242" spans="1:13" ht="20.100000000000001" hidden="1" customHeight="1" x14ac:dyDescent="0.3">
      <c r="A242" s="934">
        <v>240</v>
      </c>
      <c r="B242" s="923">
        <f t="shared" ca="1" si="19"/>
        <v>43134</v>
      </c>
      <c r="C242" s="935"/>
      <c r="D242" s="936"/>
      <c r="E242" s="937" t="s">
        <v>130</v>
      </c>
      <c r="F242" s="943" t="s">
        <v>131</v>
      </c>
      <c r="G242" s="938"/>
      <c r="H242" s="944"/>
      <c r="I242" s="939">
        <v>42878</v>
      </c>
      <c r="J242" s="940" t="s">
        <v>2011</v>
      </c>
      <c r="K242" s="932">
        <f t="shared" si="21"/>
        <v>42896</v>
      </c>
      <c r="L242" s="933">
        <f t="shared" ca="1" si="17"/>
        <v>238</v>
      </c>
      <c r="M242" s="933" t="str">
        <f t="shared" ca="1" si="18"/>
        <v>-</v>
      </c>
    </row>
    <row r="243" spans="1:13" ht="20.100000000000001" hidden="1" customHeight="1" x14ac:dyDescent="0.3">
      <c r="A243" s="922">
        <v>241</v>
      </c>
      <c r="B243" s="923">
        <f t="shared" ca="1" si="19"/>
        <v>43134</v>
      </c>
      <c r="C243" s="935"/>
      <c r="D243" s="936"/>
      <c r="E243" s="937"/>
      <c r="F243" s="943" t="s">
        <v>1249</v>
      </c>
      <c r="G243" s="938"/>
      <c r="H243" s="944"/>
      <c r="I243" s="939">
        <v>42882</v>
      </c>
      <c r="J243" s="940" t="s">
        <v>2777</v>
      </c>
      <c r="K243" s="932">
        <f t="shared" si="21"/>
        <v>42900</v>
      </c>
      <c r="L243" s="933">
        <f t="shared" ca="1" si="17"/>
        <v>234</v>
      </c>
      <c r="M243" s="933" t="str">
        <f t="shared" ca="1" si="18"/>
        <v>-</v>
      </c>
    </row>
    <row r="244" spans="1:13" ht="20.100000000000001" hidden="1" customHeight="1" x14ac:dyDescent="0.3">
      <c r="A244" s="934">
        <v>242</v>
      </c>
      <c r="B244" s="923">
        <f t="shared" ca="1" si="19"/>
        <v>43134</v>
      </c>
      <c r="C244" s="935"/>
      <c r="D244" s="936"/>
      <c r="E244" s="937"/>
      <c r="F244" s="943" t="s">
        <v>698</v>
      </c>
      <c r="G244" s="938"/>
      <c r="H244" s="940"/>
      <c r="I244" s="939">
        <v>42882</v>
      </c>
      <c r="J244" s="940" t="s">
        <v>2011</v>
      </c>
      <c r="K244" s="932">
        <f t="shared" si="21"/>
        <v>42900</v>
      </c>
      <c r="L244" s="933">
        <f t="shared" ca="1" si="17"/>
        <v>234</v>
      </c>
      <c r="M244" s="933" t="str">
        <f t="shared" ca="1" si="18"/>
        <v>-</v>
      </c>
    </row>
    <row r="245" spans="1:13" ht="20.100000000000001" hidden="1" customHeight="1" x14ac:dyDescent="0.3">
      <c r="A245" s="922">
        <v>243</v>
      </c>
      <c r="B245" s="923">
        <f t="shared" ca="1" si="19"/>
        <v>43134</v>
      </c>
      <c r="C245" s="935"/>
      <c r="D245" s="936"/>
      <c r="E245" s="937"/>
      <c r="F245" s="943" t="s">
        <v>955</v>
      </c>
      <c r="G245" s="938"/>
      <c r="H245" s="940"/>
      <c r="I245" s="939">
        <v>42882</v>
      </c>
      <c r="J245" s="940" t="s">
        <v>2011</v>
      </c>
      <c r="K245" s="932">
        <f t="shared" si="21"/>
        <v>42900</v>
      </c>
      <c r="L245" s="933">
        <f t="shared" ca="1" si="17"/>
        <v>234</v>
      </c>
      <c r="M245" s="933" t="str">
        <f t="shared" ca="1" si="18"/>
        <v>-</v>
      </c>
    </row>
    <row r="246" spans="1:13" ht="20.100000000000001" hidden="1" customHeight="1" x14ac:dyDescent="0.3">
      <c r="A246" s="934">
        <v>244</v>
      </c>
      <c r="B246" s="923">
        <f t="shared" ca="1" si="19"/>
        <v>43134</v>
      </c>
      <c r="C246" s="935"/>
      <c r="D246" s="936"/>
      <c r="E246" s="937"/>
      <c r="F246" s="943" t="s">
        <v>445</v>
      </c>
      <c r="G246" s="938"/>
      <c r="H246" s="940"/>
      <c r="I246" s="939">
        <v>42882</v>
      </c>
      <c r="J246" s="940" t="s">
        <v>2011</v>
      </c>
      <c r="K246" s="932">
        <f t="shared" si="21"/>
        <v>42900</v>
      </c>
      <c r="L246" s="933">
        <f t="shared" ca="1" si="17"/>
        <v>234</v>
      </c>
      <c r="M246" s="933" t="str">
        <f t="shared" ca="1" si="18"/>
        <v>-</v>
      </c>
    </row>
    <row r="247" spans="1:13" ht="20.100000000000001" hidden="1" customHeight="1" x14ac:dyDescent="0.3">
      <c r="A247" s="922">
        <v>245</v>
      </c>
      <c r="B247" s="923">
        <f t="shared" ca="1" si="19"/>
        <v>43134</v>
      </c>
      <c r="C247" s="935"/>
      <c r="D247" s="936"/>
      <c r="E247" s="937"/>
      <c r="F247" s="943" t="s">
        <v>1243</v>
      </c>
      <c r="G247" s="938"/>
      <c r="H247" s="940"/>
      <c r="I247" s="939">
        <v>42884</v>
      </c>
      <c r="J247" s="940" t="s">
        <v>2011</v>
      </c>
      <c r="K247" s="932">
        <f t="shared" si="21"/>
        <v>42902</v>
      </c>
      <c r="L247" s="933">
        <f t="shared" ca="1" si="17"/>
        <v>232</v>
      </c>
      <c r="M247" s="933" t="str">
        <f t="shared" ca="1" si="18"/>
        <v>-</v>
      </c>
    </row>
    <row r="248" spans="1:13" ht="20.100000000000001" hidden="1" customHeight="1" x14ac:dyDescent="0.3">
      <c r="A248" s="934">
        <v>246</v>
      </c>
      <c r="B248" s="923">
        <f t="shared" ca="1" si="19"/>
        <v>43134</v>
      </c>
      <c r="C248" s="935"/>
      <c r="D248" s="936"/>
      <c r="E248" s="937"/>
      <c r="F248" s="943" t="s">
        <v>1249</v>
      </c>
      <c r="G248" s="938"/>
      <c r="H248" s="940"/>
      <c r="I248" s="939">
        <v>42884</v>
      </c>
      <c r="J248" s="940" t="s">
        <v>2011</v>
      </c>
      <c r="K248" s="932">
        <f t="shared" si="21"/>
        <v>42902</v>
      </c>
      <c r="L248" s="933">
        <f t="shared" ca="1" si="17"/>
        <v>232</v>
      </c>
      <c r="M248" s="933" t="str">
        <f t="shared" ca="1" si="18"/>
        <v>-</v>
      </c>
    </row>
    <row r="249" spans="1:13" ht="20.100000000000001" hidden="1" customHeight="1" x14ac:dyDescent="0.3">
      <c r="A249" s="922">
        <v>247</v>
      </c>
      <c r="B249" s="923">
        <f t="shared" ca="1" si="19"/>
        <v>43134</v>
      </c>
      <c r="C249" s="935"/>
      <c r="D249" s="936"/>
      <c r="E249" s="937"/>
      <c r="F249" s="943" t="s">
        <v>1389</v>
      </c>
      <c r="G249" s="938"/>
      <c r="H249" s="940"/>
      <c r="I249" s="939">
        <v>42885</v>
      </c>
      <c r="J249" s="940" t="s">
        <v>2011</v>
      </c>
      <c r="K249" s="932">
        <f t="shared" si="21"/>
        <v>42903</v>
      </c>
      <c r="L249" s="933">
        <f t="shared" ca="1" si="17"/>
        <v>231</v>
      </c>
      <c r="M249" s="933" t="str">
        <f t="shared" ca="1" si="18"/>
        <v>-</v>
      </c>
    </row>
    <row r="250" spans="1:13" ht="20.100000000000001" hidden="1" customHeight="1" x14ac:dyDescent="0.3">
      <c r="A250" s="934">
        <v>248</v>
      </c>
      <c r="B250" s="923">
        <f t="shared" ca="1" si="19"/>
        <v>43134</v>
      </c>
      <c r="C250" s="935"/>
      <c r="D250" s="936"/>
      <c r="E250" s="937"/>
      <c r="F250" s="943" t="s">
        <v>882</v>
      </c>
      <c r="G250" s="938"/>
      <c r="H250" s="940"/>
      <c r="I250" s="939">
        <v>42885</v>
      </c>
      <c r="J250" s="940" t="s">
        <v>2011</v>
      </c>
      <c r="K250" s="932">
        <f t="shared" si="21"/>
        <v>42903</v>
      </c>
      <c r="L250" s="933">
        <f t="shared" ca="1" si="17"/>
        <v>231</v>
      </c>
      <c r="M250" s="933" t="str">
        <f t="shared" ca="1" si="18"/>
        <v>-</v>
      </c>
    </row>
    <row r="251" spans="1:13" ht="20.100000000000001" hidden="1" customHeight="1" x14ac:dyDescent="0.3">
      <c r="A251" s="922">
        <v>249</v>
      </c>
      <c r="B251" s="923">
        <f t="shared" ca="1" si="19"/>
        <v>43134</v>
      </c>
      <c r="C251" s="935"/>
      <c r="D251" s="936"/>
      <c r="E251" s="937"/>
      <c r="F251" s="943" t="s">
        <v>261</v>
      </c>
      <c r="G251" s="938"/>
      <c r="H251" s="940"/>
      <c r="I251" s="939">
        <v>42885</v>
      </c>
      <c r="J251" s="940" t="s">
        <v>2011</v>
      </c>
      <c r="K251" s="932">
        <f t="shared" si="21"/>
        <v>42903</v>
      </c>
      <c r="L251" s="933">
        <f t="shared" ca="1" si="17"/>
        <v>231</v>
      </c>
      <c r="M251" s="933" t="str">
        <f t="shared" ca="1" si="18"/>
        <v>-</v>
      </c>
    </row>
    <row r="252" spans="1:13" ht="20.100000000000001" hidden="1" customHeight="1" x14ac:dyDescent="0.3">
      <c r="A252" s="934">
        <v>250</v>
      </c>
      <c r="B252" s="923">
        <f t="shared" ca="1" si="19"/>
        <v>43134</v>
      </c>
      <c r="C252" s="935"/>
      <c r="D252" s="936"/>
      <c r="E252" s="937"/>
      <c r="F252" s="943" t="s">
        <v>1389</v>
      </c>
      <c r="G252" s="938"/>
      <c r="H252" s="940"/>
      <c r="I252" s="939">
        <v>42887</v>
      </c>
      <c r="J252" s="940" t="s">
        <v>2011</v>
      </c>
      <c r="K252" s="932">
        <f t="shared" si="21"/>
        <v>42905</v>
      </c>
      <c r="L252" s="933">
        <f t="shared" ca="1" si="17"/>
        <v>229</v>
      </c>
      <c r="M252" s="933" t="str">
        <f t="shared" ca="1" si="18"/>
        <v>-</v>
      </c>
    </row>
    <row r="253" spans="1:13" ht="20.100000000000001" hidden="1" customHeight="1" x14ac:dyDescent="0.3">
      <c r="A253" s="922">
        <v>251</v>
      </c>
      <c r="B253" s="923">
        <f t="shared" ca="1" si="19"/>
        <v>43134</v>
      </c>
      <c r="C253" s="935"/>
      <c r="D253" s="936"/>
      <c r="E253" s="937"/>
      <c r="F253" s="943" t="s">
        <v>1229</v>
      </c>
      <c r="G253" s="938"/>
      <c r="H253" s="940"/>
      <c r="I253" s="939">
        <v>42887</v>
      </c>
      <c r="J253" s="940" t="s">
        <v>2011</v>
      </c>
      <c r="K253" s="932">
        <f t="shared" si="21"/>
        <v>42905</v>
      </c>
      <c r="L253" s="933">
        <f t="shared" ca="1" si="17"/>
        <v>229</v>
      </c>
      <c r="M253" s="933" t="str">
        <f t="shared" ca="1" si="18"/>
        <v>-</v>
      </c>
    </row>
    <row r="254" spans="1:13" ht="20.100000000000001" hidden="1" customHeight="1" x14ac:dyDescent="0.3">
      <c r="A254" s="934">
        <v>252</v>
      </c>
      <c r="B254" s="923">
        <f t="shared" ca="1" si="19"/>
        <v>43134</v>
      </c>
      <c r="C254" s="935"/>
      <c r="D254" s="936"/>
      <c r="E254" s="937"/>
      <c r="F254" s="943" t="s">
        <v>977</v>
      </c>
      <c r="G254" s="938"/>
      <c r="H254" s="940"/>
      <c r="I254" s="939">
        <v>42887</v>
      </c>
      <c r="J254" s="940" t="s">
        <v>2843</v>
      </c>
      <c r="K254" s="932">
        <f t="shared" si="21"/>
        <v>42905</v>
      </c>
      <c r="L254" s="933">
        <f t="shared" ca="1" si="17"/>
        <v>229</v>
      </c>
      <c r="M254" s="933" t="str">
        <f t="shared" ca="1" si="18"/>
        <v>-</v>
      </c>
    </row>
    <row r="255" spans="1:13" ht="20.100000000000001" hidden="1" customHeight="1" x14ac:dyDescent="0.3">
      <c r="A255" s="922">
        <v>253</v>
      </c>
      <c r="B255" s="923">
        <f t="shared" ca="1" si="19"/>
        <v>43134</v>
      </c>
      <c r="C255" s="935"/>
      <c r="D255" s="936"/>
      <c r="E255" s="937"/>
      <c r="F255" s="943" t="s">
        <v>641</v>
      </c>
      <c r="G255" s="938"/>
      <c r="H255" s="940"/>
      <c r="I255" s="939">
        <v>42889</v>
      </c>
      <c r="J255" s="940" t="s">
        <v>2011</v>
      </c>
      <c r="K255" s="932">
        <f t="shared" si="21"/>
        <v>42907</v>
      </c>
      <c r="L255" s="933">
        <f t="shared" ca="1" si="17"/>
        <v>227</v>
      </c>
      <c r="M255" s="933" t="str">
        <f t="shared" ca="1" si="18"/>
        <v>-</v>
      </c>
    </row>
    <row r="256" spans="1:13" ht="20.100000000000001" hidden="1" customHeight="1" x14ac:dyDescent="0.3">
      <c r="A256" s="934">
        <v>254</v>
      </c>
      <c r="B256" s="923">
        <f t="shared" ca="1" si="19"/>
        <v>43134</v>
      </c>
      <c r="C256" s="935"/>
      <c r="D256" s="936"/>
      <c r="E256" s="937"/>
      <c r="F256" s="943" t="s">
        <v>1132</v>
      </c>
      <c r="G256" s="938"/>
      <c r="H256" s="940"/>
      <c r="I256" s="939">
        <v>42889</v>
      </c>
      <c r="J256" s="940" t="s">
        <v>2011</v>
      </c>
      <c r="K256" s="932">
        <f t="shared" si="21"/>
        <v>42907</v>
      </c>
      <c r="L256" s="933">
        <f t="shared" ca="1" si="17"/>
        <v>227</v>
      </c>
      <c r="M256" s="933" t="str">
        <f t="shared" ca="1" si="18"/>
        <v>-</v>
      </c>
    </row>
    <row r="257" spans="1:13" ht="20.100000000000001" hidden="1" customHeight="1" x14ac:dyDescent="0.3">
      <c r="A257" s="934">
        <v>255</v>
      </c>
      <c r="B257" s="923">
        <f t="shared" ca="1" si="19"/>
        <v>43134</v>
      </c>
      <c r="C257" s="935"/>
      <c r="D257" s="936"/>
      <c r="E257" s="937"/>
      <c r="F257" s="943" t="s">
        <v>980</v>
      </c>
      <c r="G257" s="938"/>
      <c r="H257" s="940"/>
      <c r="I257" s="939">
        <v>42891</v>
      </c>
      <c r="J257" s="940" t="s">
        <v>2011</v>
      </c>
      <c r="K257" s="932">
        <f t="shared" si="21"/>
        <v>42909</v>
      </c>
      <c r="L257" s="933">
        <f t="shared" ca="1" si="17"/>
        <v>225</v>
      </c>
      <c r="M257" s="933" t="str">
        <f t="shared" ca="1" si="18"/>
        <v>-</v>
      </c>
    </row>
    <row r="258" spans="1:13" ht="20.100000000000001" hidden="1" customHeight="1" x14ac:dyDescent="0.3">
      <c r="A258" s="922">
        <v>256</v>
      </c>
      <c r="B258" s="923">
        <f t="shared" ca="1" si="19"/>
        <v>43134</v>
      </c>
      <c r="C258" s="935"/>
      <c r="D258" s="936"/>
      <c r="E258" s="937"/>
      <c r="F258" s="943" t="s">
        <v>700</v>
      </c>
      <c r="G258" s="938"/>
      <c r="H258" s="940"/>
      <c r="I258" s="939">
        <v>42892</v>
      </c>
      <c r="J258" s="940" t="s">
        <v>2011</v>
      </c>
      <c r="K258" s="932">
        <f t="shared" si="21"/>
        <v>42910</v>
      </c>
      <c r="L258" s="933">
        <f t="shared" ref="L258:L320" ca="1" si="22">IF(K258&gt;0,B258-K258,"-")</f>
        <v>224</v>
      </c>
      <c r="M258" s="933" t="str">
        <f t="shared" ref="M258:M320" ca="1" si="23">IF(OR(L258&gt;6,L258&lt;0),"-","CHECK IT")</f>
        <v>-</v>
      </c>
    </row>
    <row r="259" spans="1:13" ht="20.100000000000001" hidden="1" customHeight="1" x14ac:dyDescent="0.3">
      <c r="A259" s="934">
        <v>257</v>
      </c>
      <c r="B259" s="923">
        <f t="shared" ref="B259:B322" ca="1" si="24">TODAY()</f>
        <v>43134</v>
      </c>
      <c r="C259" s="935"/>
      <c r="D259" s="936"/>
      <c r="E259" s="937"/>
      <c r="F259" s="943" t="s">
        <v>468</v>
      </c>
      <c r="G259" s="938"/>
      <c r="H259" s="940"/>
      <c r="I259" s="939">
        <v>42892</v>
      </c>
      <c r="J259" s="940" t="s">
        <v>2011</v>
      </c>
      <c r="K259" s="932">
        <f t="shared" si="21"/>
        <v>42910</v>
      </c>
      <c r="L259" s="933">
        <f t="shared" ca="1" si="22"/>
        <v>224</v>
      </c>
      <c r="M259" s="933" t="str">
        <f t="shared" ca="1" si="23"/>
        <v>-</v>
      </c>
    </row>
    <row r="260" spans="1:13" ht="20.100000000000001" hidden="1" customHeight="1" x14ac:dyDescent="0.3">
      <c r="A260" s="922">
        <v>258</v>
      </c>
      <c r="B260" s="923">
        <f t="shared" ca="1" si="24"/>
        <v>43134</v>
      </c>
      <c r="C260" s="935"/>
      <c r="D260" s="936"/>
      <c r="E260" s="937"/>
      <c r="F260" s="943" t="s">
        <v>1393</v>
      </c>
      <c r="G260" s="938"/>
      <c r="H260" s="940"/>
      <c r="I260" s="939">
        <v>42894</v>
      </c>
      <c r="J260" s="940" t="s">
        <v>2011</v>
      </c>
      <c r="K260" s="932">
        <f t="shared" ref="K260:K323" si="25">IF(AND(I260&gt;0,J260&gt;0),I260+18,"-")</f>
        <v>42912</v>
      </c>
      <c r="L260" s="933">
        <f t="shared" ca="1" si="22"/>
        <v>222</v>
      </c>
      <c r="M260" s="933" t="str">
        <f t="shared" ca="1" si="23"/>
        <v>-</v>
      </c>
    </row>
    <row r="261" spans="1:13" ht="20.100000000000001" hidden="1" customHeight="1" x14ac:dyDescent="0.3">
      <c r="A261" s="934">
        <v>259</v>
      </c>
      <c r="B261" s="923">
        <f t="shared" ca="1" si="24"/>
        <v>43134</v>
      </c>
      <c r="C261" s="935"/>
      <c r="D261" s="936"/>
      <c r="E261" s="937"/>
      <c r="F261" s="943" t="s">
        <v>1023</v>
      </c>
      <c r="G261" s="938"/>
      <c r="H261" s="940"/>
      <c r="I261" s="939">
        <v>42894</v>
      </c>
      <c r="J261" s="940" t="s">
        <v>2011</v>
      </c>
      <c r="K261" s="932">
        <f t="shared" si="25"/>
        <v>42912</v>
      </c>
      <c r="L261" s="933">
        <f t="shared" ca="1" si="22"/>
        <v>222</v>
      </c>
      <c r="M261" s="933" t="str">
        <f t="shared" ca="1" si="23"/>
        <v>-</v>
      </c>
    </row>
    <row r="262" spans="1:13" ht="20.100000000000001" hidden="1" customHeight="1" x14ac:dyDescent="0.3">
      <c r="A262" s="922">
        <v>260</v>
      </c>
      <c r="B262" s="923">
        <f t="shared" ca="1" si="24"/>
        <v>43134</v>
      </c>
      <c r="C262" s="935"/>
      <c r="D262" s="936"/>
      <c r="E262" s="937"/>
      <c r="F262" s="943" t="s">
        <v>1040</v>
      </c>
      <c r="G262" s="938"/>
      <c r="H262" s="940"/>
      <c r="I262" s="939">
        <v>42894</v>
      </c>
      <c r="J262" s="940" t="s">
        <v>2011</v>
      </c>
      <c r="K262" s="932">
        <f t="shared" si="25"/>
        <v>42912</v>
      </c>
      <c r="L262" s="933">
        <f t="shared" ca="1" si="22"/>
        <v>222</v>
      </c>
      <c r="M262" s="933" t="str">
        <f t="shared" ca="1" si="23"/>
        <v>-</v>
      </c>
    </row>
    <row r="263" spans="1:13" ht="20.100000000000001" hidden="1" customHeight="1" x14ac:dyDescent="0.3">
      <c r="A263" s="934">
        <v>261</v>
      </c>
      <c r="B263" s="923">
        <f t="shared" ca="1" si="24"/>
        <v>43134</v>
      </c>
      <c r="C263" s="935"/>
      <c r="D263" s="936"/>
      <c r="E263" s="937"/>
      <c r="F263" s="943" t="s">
        <v>726</v>
      </c>
      <c r="G263" s="938"/>
      <c r="H263" s="940"/>
      <c r="I263" s="939">
        <v>42908</v>
      </c>
      <c r="J263" s="940" t="s">
        <v>2883</v>
      </c>
      <c r="K263" s="932">
        <f t="shared" si="25"/>
        <v>42926</v>
      </c>
      <c r="L263" s="933">
        <f t="shared" ca="1" si="22"/>
        <v>208</v>
      </c>
      <c r="M263" s="933" t="str">
        <f t="shared" ca="1" si="23"/>
        <v>-</v>
      </c>
    </row>
    <row r="264" spans="1:13" ht="20.100000000000001" hidden="1" customHeight="1" x14ac:dyDescent="0.3">
      <c r="A264" s="922">
        <v>262</v>
      </c>
      <c r="B264" s="923">
        <f t="shared" ca="1" si="24"/>
        <v>43134</v>
      </c>
      <c r="C264" s="935"/>
      <c r="D264" s="936"/>
      <c r="E264" s="937"/>
      <c r="F264" s="943" t="s">
        <v>1393</v>
      </c>
      <c r="G264" s="938"/>
      <c r="H264" s="940"/>
      <c r="I264" s="939">
        <v>42915</v>
      </c>
      <c r="J264" s="940" t="s">
        <v>2011</v>
      </c>
      <c r="K264" s="932">
        <f t="shared" si="25"/>
        <v>42933</v>
      </c>
      <c r="L264" s="933">
        <f t="shared" ca="1" si="22"/>
        <v>201</v>
      </c>
      <c r="M264" s="933" t="str">
        <f t="shared" ca="1" si="23"/>
        <v>-</v>
      </c>
    </row>
    <row r="265" spans="1:13" ht="20.100000000000001" hidden="1" customHeight="1" x14ac:dyDescent="0.3">
      <c r="A265" s="934">
        <v>263</v>
      </c>
      <c r="B265" s="923">
        <f t="shared" ca="1" si="24"/>
        <v>43134</v>
      </c>
      <c r="C265" s="935"/>
      <c r="D265" s="936"/>
      <c r="E265" s="937"/>
      <c r="F265" s="943" t="s">
        <v>1412</v>
      </c>
      <c r="G265" s="938"/>
      <c r="H265" s="940"/>
      <c r="I265" s="939">
        <v>42915</v>
      </c>
      <c r="J265" s="940" t="s">
        <v>2011</v>
      </c>
      <c r="K265" s="932">
        <f t="shared" si="25"/>
        <v>42933</v>
      </c>
      <c r="L265" s="933">
        <f t="shared" ca="1" si="22"/>
        <v>201</v>
      </c>
      <c r="M265" s="933" t="str">
        <f t="shared" ca="1" si="23"/>
        <v>-</v>
      </c>
    </row>
    <row r="266" spans="1:13" ht="20.100000000000001" hidden="1" customHeight="1" x14ac:dyDescent="0.3">
      <c r="A266" s="922">
        <v>264</v>
      </c>
      <c r="B266" s="923">
        <f t="shared" ca="1" si="24"/>
        <v>43134</v>
      </c>
      <c r="C266" s="935"/>
      <c r="D266" s="936"/>
      <c r="E266" s="937"/>
      <c r="F266" s="943" t="s">
        <v>660</v>
      </c>
      <c r="G266" s="938"/>
      <c r="H266" s="940"/>
      <c r="I266" s="939">
        <v>42915</v>
      </c>
      <c r="J266" s="940" t="s">
        <v>2011</v>
      </c>
      <c r="K266" s="932">
        <f t="shared" si="25"/>
        <v>42933</v>
      </c>
      <c r="L266" s="933">
        <f t="shared" ca="1" si="22"/>
        <v>201</v>
      </c>
      <c r="M266" s="933" t="str">
        <f t="shared" ca="1" si="23"/>
        <v>-</v>
      </c>
    </row>
    <row r="267" spans="1:13" ht="20.100000000000001" hidden="1" customHeight="1" x14ac:dyDescent="0.3">
      <c r="A267" s="934">
        <v>265</v>
      </c>
      <c r="B267" s="923">
        <f t="shared" ca="1" si="24"/>
        <v>43134</v>
      </c>
      <c r="C267" s="935"/>
      <c r="D267" s="936"/>
      <c r="E267" s="937"/>
      <c r="F267" s="943" t="s">
        <v>1212</v>
      </c>
      <c r="G267" s="938"/>
      <c r="H267" s="940"/>
      <c r="I267" s="939">
        <v>42920</v>
      </c>
      <c r="J267" s="940" t="s">
        <v>2011</v>
      </c>
      <c r="K267" s="932">
        <f t="shared" si="25"/>
        <v>42938</v>
      </c>
      <c r="L267" s="933">
        <f t="shared" ca="1" si="22"/>
        <v>196</v>
      </c>
      <c r="M267" s="933" t="str">
        <f t="shared" ca="1" si="23"/>
        <v>-</v>
      </c>
    </row>
    <row r="268" spans="1:13" ht="20.100000000000001" hidden="1" customHeight="1" x14ac:dyDescent="0.3">
      <c r="A268" s="922">
        <v>266</v>
      </c>
      <c r="B268" s="923">
        <f t="shared" ca="1" si="24"/>
        <v>43134</v>
      </c>
      <c r="C268" s="935"/>
      <c r="D268" s="936"/>
      <c r="E268" s="937"/>
      <c r="F268" s="943" t="s">
        <v>892</v>
      </c>
      <c r="G268" s="938"/>
      <c r="H268" s="940"/>
      <c r="I268" s="939">
        <v>42920</v>
      </c>
      <c r="J268" s="940" t="s">
        <v>2011</v>
      </c>
      <c r="K268" s="932">
        <f t="shared" si="25"/>
        <v>42938</v>
      </c>
      <c r="L268" s="933">
        <f t="shared" ca="1" si="22"/>
        <v>196</v>
      </c>
      <c r="M268" s="933" t="str">
        <f t="shared" ca="1" si="23"/>
        <v>-</v>
      </c>
    </row>
    <row r="269" spans="1:13" ht="20.100000000000001" hidden="1" customHeight="1" x14ac:dyDescent="0.3">
      <c r="A269" s="934">
        <v>267</v>
      </c>
      <c r="B269" s="923">
        <f t="shared" ca="1" si="24"/>
        <v>43134</v>
      </c>
      <c r="C269" s="935"/>
      <c r="D269" s="936"/>
      <c r="E269" s="937"/>
      <c r="F269" s="943" t="s">
        <v>1211</v>
      </c>
      <c r="G269" s="938"/>
      <c r="H269" s="940"/>
      <c r="I269" s="939">
        <v>42921</v>
      </c>
      <c r="J269" s="940" t="s">
        <v>2011</v>
      </c>
      <c r="K269" s="932">
        <f t="shared" si="25"/>
        <v>42939</v>
      </c>
      <c r="L269" s="933">
        <f t="shared" ca="1" si="22"/>
        <v>195</v>
      </c>
      <c r="M269" s="933" t="str">
        <f t="shared" ca="1" si="23"/>
        <v>-</v>
      </c>
    </row>
    <row r="270" spans="1:13" ht="20.100000000000001" hidden="1" customHeight="1" x14ac:dyDescent="0.3">
      <c r="A270" s="922">
        <v>268</v>
      </c>
      <c r="B270" s="923">
        <f t="shared" ca="1" si="24"/>
        <v>43134</v>
      </c>
      <c r="C270" s="935"/>
      <c r="D270" s="936"/>
      <c r="E270" s="937"/>
      <c r="F270" s="943" t="s">
        <v>945</v>
      </c>
      <c r="G270" s="938"/>
      <c r="H270" s="940"/>
      <c r="I270" s="939">
        <v>42921</v>
      </c>
      <c r="J270" s="940" t="s">
        <v>2011</v>
      </c>
      <c r="K270" s="932">
        <f t="shared" si="25"/>
        <v>42939</v>
      </c>
      <c r="L270" s="933">
        <f t="shared" ca="1" si="22"/>
        <v>195</v>
      </c>
      <c r="M270" s="933" t="str">
        <f t="shared" ca="1" si="23"/>
        <v>-</v>
      </c>
    </row>
    <row r="271" spans="1:13" ht="20.100000000000001" hidden="1" customHeight="1" x14ac:dyDescent="0.3">
      <c r="A271" s="934">
        <v>269</v>
      </c>
      <c r="B271" s="923">
        <f t="shared" ca="1" si="24"/>
        <v>43134</v>
      </c>
      <c r="C271" s="935"/>
      <c r="D271" s="936"/>
      <c r="E271" s="937"/>
      <c r="F271" s="943" t="s">
        <v>405</v>
      </c>
      <c r="G271" s="938"/>
      <c r="H271" s="940"/>
      <c r="I271" s="939">
        <v>42921</v>
      </c>
      <c r="J271" s="940" t="s">
        <v>2011</v>
      </c>
      <c r="K271" s="932">
        <f t="shared" si="25"/>
        <v>42939</v>
      </c>
      <c r="L271" s="933">
        <f t="shared" ca="1" si="22"/>
        <v>195</v>
      </c>
      <c r="M271" s="933" t="str">
        <f t="shared" ca="1" si="23"/>
        <v>-</v>
      </c>
    </row>
    <row r="272" spans="1:13" ht="20.100000000000001" hidden="1" customHeight="1" x14ac:dyDescent="0.3">
      <c r="A272" s="922">
        <v>270</v>
      </c>
      <c r="B272" s="923">
        <f t="shared" ca="1" si="24"/>
        <v>43134</v>
      </c>
      <c r="C272" s="935"/>
      <c r="D272" s="936"/>
      <c r="E272" s="937"/>
      <c r="F272" s="943" t="s">
        <v>1428</v>
      </c>
      <c r="G272" s="938"/>
      <c r="H272" s="940"/>
      <c r="I272" s="939">
        <v>42921</v>
      </c>
      <c r="J272" s="940" t="s">
        <v>2011</v>
      </c>
      <c r="K272" s="932">
        <f t="shared" si="25"/>
        <v>42939</v>
      </c>
      <c r="L272" s="933">
        <f t="shared" ca="1" si="22"/>
        <v>195</v>
      </c>
      <c r="M272" s="933" t="str">
        <f t="shared" ca="1" si="23"/>
        <v>-</v>
      </c>
    </row>
    <row r="273" spans="1:13" ht="20.100000000000001" hidden="1" customHeight="1" x14ac:dyDescent="0.3">
      <c r="A273" s="934">
        <v>271</v>
      </c>
      <c r="B273" s="923">
        <f t="shared" ca="1" si="24"/>
        <v>43134</v>
      </c>
      <c r="C273" s="935"/>
      <c r="D273" s="936"/>
      <c r="E273" s="937"/>
      <c r="F273" s="943" t="s">
        <v>1540</v>
      </c>
      <c r="G273" s="938"/>
      <c r="H273" s="940"/>
      <c r="I273" s="939">
        <v>42923</v>
      </c>
      <c r="J273" s="940" t="s">
        <v>2011</v>
      </c>
      <c r="K273" s="932">
        <f t="shared" si="25"/>
        <v>42941</v>
      </c>
      <c r="L273" s="933">
        <f t="shared" ca="1" si="22"/>
        <v>193</v>
      </c>
      <c r="M273" s="933" t="str">
        <f t="shared" ca="1" si="23"/>
        <v>-</v>
      </c>
    </row>
    <row r="274" spans="1:13" ht="20.100000000000001" hidden="1" customHeight="1" x14ac:dyDescent="0.3">
      <c r="A274" s="934">
        <v>272</v>
      </c>
      <c r="B274" s="923">
        <f t="shared" ca="1" si="24"/>
        <v>43134</v>
      </c>
      <c r="C274" s="935"/>
      <c r="D274" s="936"/>
      <c r="E274" s="937"/>
      <c r="F274" s="943" t="s">
        <v>1252</v>
      </c>
      <c r="G274" s="938"/>
      <c r="H274" s="940"/>
      <c r="I274" s="939">
        <v>42923</v>
      </c>
      <c r="J274" s="940" t="s">
        <v>2011</v>
      </c>
      <c r="K274" s="932">
        <f t="shared" si="25"/>
        <v>42941</v>
      </c>
      <c r="L274" s="933">
        <f t="shared" ca="1" si="22"/>
        <v>193</v>
      </c>
      <c r="M274" s="933" t="str">
        <f t="shared" ca="1" si="23"/>
        <v>-</v>
      </c>
    </row>
    <row r="275" spans="1:13" ht="20.100000000000001" hidden="1" customHeight="1" x14ac:dyDescent="0.3">
      <c r="A275" s="922">
        <v>273</v>
      </c>
      <c r="B275" s="923">
        <f t="shared" ca="1" si="24"/>
        <v>43134</v>
      </c>
      <c r="C275" s="935"/>
      <c r="D275" s="936"/>
      <c r="E275" s="937"/>
      <c r="F275" s="943" t="s">
        <v>1245</v>
      </c>
      <c r="G275" s="938"/>
      <c r="H275" s="940"/>
      <c r="I275" s="939">
        <v>42923</v>
      </c>
      <c r="J275" s="940" t="s">
        <v>2011</v>
      </c>
      <c r="K275" s="932">
        <f t="shared" si="25"/>
        <v>42941</v>
      </c>
      <c r="L275" s="933">
        <f t="shared" ca="1" si="22"/>
        <v>193</v>
      </c>
      <c r="M275" s="933" t="str">
        <f t="shared" ca="1" si="23"/>
        <v>-</v>
      </c>
    </row>
    <row r="276" spans="1:13" ht="20.100000000000001" hidden="1" customHeight="1" x14ac:dyDescent="0.3">
      <c r="A276" s="934">
        <v>274</v>
      </c>
      <c r="B276" s="923">
        <f t="shared" ca="1" si="24"/>
        <v>43134</v>
      </c>
      <c r="C276" s="935"/>
      <c r="D276" s="936"/>
      <c r="E276" s="937"/>
      <c r="F276" s="943" t="s">
        <v>1198</v>
      </c>
      <c r="G276" s="938"/>
      <c r="H276" s="940"/>
      <c r="I276" s="939">
        <v>42924</v>
      </c>
      <c r="J276" s="940" t="s">
        <v>2932</v>
      </c>
      <c r="K276" s="932">
        <f t="shared" si="25"/>
        <v>42942</v>
      </c>
      <c r="L276" s="933">
        <f t="shared" ca="1" si="22"/>
        <v>192</v>
      </c>
      <c r="M276" s="933" t="str">
        <f t="shared" ca="1" si="23"/>
        <v>-</v>
      </c>
    </row>
    <row r="277" spans="1:13" ht="20.100000000000001" hidden="1" customHeight="1" x14ac:dyDescent="0.3">
      <c r="A277" s="922">
        <v>275</v>
      </c>
      <c r="B277" s="923">
        <f t="shared" ca="1" si="24"/>
        <v>43134</v>
      </c>
      <c r="C277" s="935"/>
      <c r="D277" s="936"/>
      <c r="E277" s="937"/>
      <c r="F277" s="943" t="s">
        <v>1821</v>
      </c>
      <c r="G277" s="938"/>
      <c r="H277" s="940"/>
      <c r="I277" s="939">
        <v>42925</v>
      </c>
      <c r="J277" s="940" t="s">
        <v>2932</v>
      </c>
      <c r="K277" s="932">
        <f t="shared" si="25"/>
        <v>42943</v>
      </c>
      <c r="L277" s="933">
        <f t="shared" ca="1" si="22"/>
        <v>191</v>
      </c>
      <c r="M277" s="933" t="str">
        <f t="shared" ca="1" si="23"/>
        <v>-</v>
      </c>
    </row>
    <row r="278" spans="1:13" ht="20.100000000000001" hidden="1" customHeight="1" x14ac:dyDescent="0.3">
      <c r="A278" s="934">
        <v>276</v>
      </c>
      <c r="B278" s="923">
        <f t="shared" ca="1" si="24"/>
        <v>43134</v>
      </c>
      <c r="C278" s="935"/>
      <c r="D278" s="936"/>
      <c r="E278" s="937"/>
      <c r="F278" s="943" t="s">
        <v>242</v>
      </c>
      <c r="G278" s="938"/>
      <c r="H278" s="940"/>
      <c r="I278" s="939">
        <v>42925</v>
      </c>
      <c r="J278" s="940" t="s">
        <v>2011</v>
      </c>
      <c r="K278" s="932">
        <f t="shared" si="25"/>
        <v>42943</v>
      </c>
      <c r="L278" s="933">
        <f t="shared" ca="1" si="22"/>
        <v>191</v>
      </c>
      <c r="M278" s="933" t="str">
        <f t="shared" ca="1" si="23"/>
        <v>-</v>
      </c>
    </row>
    <row r="279" spans="1:13" ht="20.100000000000001" hidden="1" customHeight="1" x14ac:dyDescent="0.3">
      <c r="A279" s="922">
        <v>277</v>
      </c>
      <c r="B279" s="923">
        <f t="shared" ca="1" si="24"/>
        <v>43134</v>
      </c>
      <c r="C279" s="935"/>
      <c r="D279" s="936"/>
      <c r="E279" s="937"/>
      <c r="F279" s="943" t="s">
        <v>447</v>
      </c>
      <c r="G279" s="938"/>
      <c r="H279" s="940"/>
      <c r="I279" s="939">
        <v>42926</v>
      </c>
      <c r="J279" s="940" t="s">
        <v>2011</v>
      </c>
      <c r="K279" s="932">
        <f t="shared" si="25"/>
        <v>42944</v>
      </c>
      <c r="L279" s="933">
        <f t="shared" ca="1" si="22"/>
        <v>190</v>
      </c>
      <c r="M279" s="933" t="str">
        <f t="shared" ca="1" si="23"/>
        <v>-</v>
      </c>
    </row>
    <row r="280" spans="1:13" ht="20.100000000000001" hidden="1" customHeight="1" x14ac:dyDescent="0.3">
      <c r="A280" s="934">
        <v>278</v>
      </c>
      <c r="B280" s="923">
        <f t="shared" ca="1" si="24"/>
        <v>43134</v>
      </c>
      <c r="C280" s="935"/>
      <c r="D280" s="936"/>
      <c r="E280" s="937"/>
      <c r="F280" s="943" t="s">
        <v>705</v>
      </c>
      <c r="G280" s="938"/>
      <c r="H280" s="940"/>
      <c r="I280" s="939">
        <v>42926</v>
      </c>
      <c r="J280" s="940" t="s">
        <v>2011</v>
      </c>
      <c r="K280" s="932">
        <f t="shared" si="25"/>
        <v>42944</v>
      </c>
      <c r="L280" s="933">
        <f t="shared" ca="1" si="22"/>
        <v>190</v>
      </c>
      <c r="M280" s="933" t="str">
        <f t="shared" ca="1" si="23"/>
        <v>-</v>
      </c>
    </row>
    <row r="281" spans="1:13" ht="20.100000000000001" hidden="1" customHeight="1" x14ac:dyDescent="0.3">
      <c r="A281" s="922">
        <v>279</v>
      </c>
      <c r="B281" s="923">
        <f t="shared" ca="1" si="24"/>
        <v>43134</v>
      </c>
      <c r="C281" s="935"/>
      <c r="D281" s="936"/>
      <c r="E281" s="937"/>
      <c r="F281" s="943" t="s">
        <v>62</v>
      </c>
      <c r="G281" s="938"/>
      <c r="H281" s="940"/>
      <c r="I281" s="939">
        <v>42926</v>
      </c>
      <c r="J281" s="940" t="s">
        <v>2011</v>
      </c>
      <c r="K281" s="932">
        <f t="shared" si="25"/>
        <v>42944</v>
      </c>
      <c r="L281" s="933">
        <f t="shared" ca="1" si="22"/>
        <v>190</v>
      </c>
      <c r="M281" s="933" t="str">
        <f t="shared" ca="1" si="23"/>
        <v>-</v>
      </c>
    </row>
    <row r="282" spans="1:13" ht="20.100000000000001" hidden="1" customHeight="1" x14ac:dyDescent="0.3">
      <c r="A282" s="934">
        <v>280</v>
      </c>
      <c r="B282" s="923">
        <f t="shared" ca="1" si="24"/>
        <v>43134</v>
      </c>
      <c r="C282" s="935"/>
      <c r="D282" s="936"/>
      <c r="E282" s="937"/>
      <c r="F282" s="943" t="s">
        <v>1479</v>
      </c>
      <c r="G282" s="938"/>
      <c r="H282" s="940"/>
      <c r="I282" s="939">
        <v>42927</v>
      </c>
      <c r="J282" s="940" t="s">
        <v>2011</v>
      </c>
      <c r="K282" s="932">
        <f t="shared" si="25"/>
        <v>42945</v>
      </c>
      <c r="L282" s="933">
        <f t="shared" ca="1" si="22"/>
        <v>189</v>
      </c>
      <c r="M282" s="933" t="str">
        <f t="shared" ca="1" si="23"/>
        <v>-</v>
      </c>
    </row>
    <row r="283" spans="1:13" ht="20.100000000000001" hidden="1" customHeight="1" x14ac:dyDescent="0.3">
      <c r="A283" s="922">
        <v>281</v>
      </c>
      <c r="B283" s="923">
        <f t="shared" ca="1" si="24"/>
        <v>43134</v>
      </c>
      <c r="C283" s="935"/>
      <c r="D283" s="936"/>
      <c r="E283" s="937"/>
      <c r="F283" s="943" t="s">
        <v>709</v>
      </c>
      <c r="G283" s="938"/>
      <c r="H283" s="940"/>
      <c r="I283" s="939">
        <v>42929</v>
      </c>
      <c r="J283" s="940" t="s">
        <v>2011</v>
      </c>
      <c r="K283" s="932">
        <f t="shared" si="25"/>
        <v>42947</v>
      </c>
      <c r="L283" s="933">
        <f t="shared" ca="1" si="22"/>
        <v>187</v>
      </c>
      <c r="M283" s="933" t="str">
        <f t="shared" ca="1" si="23"/>
        <v>-</v>
      </c>
    </row>
    <row r="284" spans="1:13" ht="20.100000000000001" hidden="1" customHeight="1" x14ac:dyDescent="0.3">
      <c r="A284" s="934">
        <v>282</v>
      </c>
      <c r="B284" s="923">
        <f t="shared" ca="1" si="24"/>
        <v>43134</v>
      </c>
      <c r="C284" s="935"/>
      <c r="D284" s="936"/>
      <c r="E284" s="937"/>
      <c r="F284" s="943" t="s">
        <v>992</v>
      </c>
      <c r="G284" s="938"/>
      <c r="H284" s="940"/>
      <c r="I284" s="939">
        <v>42929</v>
      </c>
      <c r="J284" s="940" t="s">
        <v>2011</v>
      </c>
      <c r="K284" s="932">
        <f t="shared" si="25"/>
        <v>42947</v>
      </c>
      <c r="L284" s="933">
        <f t="shared" ca="1" si="22"/>
        <v>187</v>
      </c>
      <c r="M284" s="933" t="str">
        <f t="shared" ca="1" si="23"/>
        <v>-</v>
      </c>
    </row>
    <row r="285" spans="1:13" ht="20.100000000000001" hidden="1" customHeight="1" x14ac:dyDescent="0.3">
      <c r="A285" s="922">
        <v>283</v>
      </c>
      <c r="B285" s="923">
        <f t="shared" ca="1" si="24"/>
        <v>43134</v>
      </c>
      <c r="C285" s="935"/>
      <c r="D285" s="936"/>
      <c r="E285" s="937"/>
      <c r="F285" s="943" t="s">
        <v>1471</v>
      </c>
      <c r="G285" s="938"/>
      <c r="H285" s="940"/>
      <c r="I285" s="939">
        <v>42932</v>
      </c>
      <c r="J285" s="940" t="s">
        <v>2011</v>
      </c>
      <c r="K285" s="932">
        <f t="shared" si="25"/>
        <v>42950</v>
      </c>
      <c r="L285" s="933">
        <f t="shared" ca="1" si="22"/>
        <v>184</v>
      </c>
      <c r="M285" s="933" t="str">
        <f t="shared" ca="1" si="23"/>
        <v>-</v>
      </c>
    </row>
    <row r="286" spans="1:13" ht="20.100000000000001" hidden="1" customHeight="1" x14ac:dyDescent="0.3">
      <c r="A286" s="934">
        <v>284</v>
      </c>
      <c r="B286" s="923">
        <f t="shared" ca="1" si="24"/>
        <v>43134</v>
      </c>
      <c r="C286" s="935"/>
      <c r="D286" s="936"/>
      <c r="E286" s="937"/>
      <c r="F286" s="943" t="s">
        <v>2948</v>
      </c>
      <c r="G286" s="938"/>
      <c r="H286" s="940"/>
      <c r="I286" s="939">
        <v>42932</v>
      </c>
      <c r="J286" s="940" t="s">
        <v>2011</v>
      </c>
      <c r="K286" s="932">
        <f t="shared" si="25"/>
        <v>42950</v>
      </c>
      <c r="L286" s="933">
        <f t="shared" ca="1" si="22"/>
        <v>184</v>
      </c>
      <c r="M286" s="933" t="str">
        <f t="shared" ca="1" si="23"/>
        <v>-</v>
      </c>
    </row>
    <row r="287" spans="1:13" ht="20.100000000000001" hidden="1" customHeight="1" x14ac:dyDescent="0.3">
      <c r="A287" s="922">
        <v>285</v>
      </c>
      <c r="B287" s="923">
        <f t="shared" ca="1" si="24"/>
        <v>43134</v>
      </c>
      <c r="C287" s="935"/>
      <c r="D287" s="936"/>
      <c r="E287" s="937"/>
      <c r="F287" s="943" t="s">
        <v>1510</v>
      </c>
      <c r="G287" s="938"/>
      <c r="H287" s="940"/>
      <c r="I287" s="939">
        <v>42934</v>
      </c>
      <c r="J287" s="940" t="s">
        <v>2011</v>
      </c>
      <c r="K287" s="932">
        <f t="shared" si="25"/>
        <v>42952</v>
      </c>
      <c r="L287" s="933">
        <f t="shared" ca="1" si="22"/>
        <v>182</v>
      </c>
      <c r="M287" s="933" t="str">
        <f t="shared" ca="1" si="23"/>
        <v>-</v>
      </c>
    </row>
    <row r="288" spans="1:13" ht="20.100000000000001" hidden="1" customHeight="1" x14ac:dyDescent="0.3">
      <c r="A288" s="934">
        <v>286</v>
      </c>
      <c r="B288" s="923">
        <f t="shared" ca="1" si="24"/>
        <v>43134</v>
      </c>
      <c r="C288" s="935"/>
      <c r="D288" s="936"/>
      <c r="E288" s="937"/>
      <c r="F288" s="943" t="s">
        <v>1396</v>
      </c>
      <c r="G288" s="938"/>
      <c r="H288" s="940"/>
      <c r="I288" s="939">
        <v>42934</v>
      </c>
      <c r="J288" s="940" t="s">
        <v>2011</v>
      </c>
      <c r="K288" s="932">
        <f t="shared" si="25"/>
        <v>42952</v>
      </c>
      <c r="L288" s="933">
        <f t="shared" ca="1" si="22"/>
        <v>182</v>
      </c>
      <c r="M288" s="933" t="str">
        <f t="shared" ca="1" si="23"/>
        <v>-</v>
      </c>
    </row>
    <row r="289" spans="1:13" ht="20.100000000000001" hidden="1" customHeight="1" x14ac:dyDescent="0.3">
      <c r="A289" s="922">
        <v>287</v>
      </c>
      <c r="B289" s="923">
        <f t="shared" ca="1" si="24"/>
        <v>43134</v>
      </c>
      <c r="C289" s="935"/>
      <c r="D289" s="936"/>
      <c r="E289" s="937"/>
      <c r="F289" s="943" t="s">
        <v>1510</v>
      </c>
      <c r="G289" s="938"/>
      <c r="H289" s="940"/>
      <c r="I289" s="939">
        <v>42934</v>
      </c>
      <c r="J289" s="940" t="s">
        <v>2011</v>
      </c>
      <c r="K289" s="932">
        <f t="shared" si="25"/>
        <v>42952</v>
      </c>
      <c r="L289" s="933">
        <f t="shared" ca="1" si="22"/>
        <v>182</v>
      </c>
      <c r="M289" s="933" t="str">
        <f t="shared" ca="1" si="23"/>
        <v>-</v>
      </c>
    </row>
    <row r="290" spans="1:13" ht="20.100000000000001" hidden="1" customHeight="1" x14ac:dyDescent="0.3">
      <c r="A290" s="934">
        <v>288</v>
      </c>
      <c r="B290" s="923">
        <f t="shared" ca="1" si="24"/>
        <v>43134</v>
      </c>
      <c r="C290" s="935"/>
      <c r="D290" s="936"/>
      <c r="E290" s="937"/>
      <c r="F290" s="943" t="s">
        <v>700</v>
      </c>
      <c r="G290" s="938"/>
      <c r="H290" s="940"/>
      <c r="I290" s="939">
        <v>42934</v>
      </c>
      <c r="J290" s="940" t="s">
        <v>2011</v>
      </c>
      <c r="K290" s="932">
        <f t="shared" si="25"/>
        <v>42952</v>
      </c>
      <c r="L290" s="933">
        <f t="shared" ca="1" si="22"/>
        <v>182</v>
      </c>
      <c r="M290" s="933" t="str">
        <f t="shared" ca="1" si="23"/>
        <v>-</v>
      </c>
    </row>
    <row r="291" spans="1:13" ht="20.100000000000001" hidden="1" customHeight="1" x14ac:dyDescent="0.3">
      <c r="A291" s="934">
        <v>289</v>
      </c>
      <c r="B291" s="923">
        <f t="shared" ca="1" si="24"/>
        <v>43134</v>
      </c>
      <c r="C291" s="935"/>
      <c r="D291" s="936"/>
      <c r="E291" s="937"/>
      <c r="F291" s="943" t="s">
        <v>1261</v>
      </c>
      <c r="G291" s="938"/>
      <c r="H291" s="940"/>
      <c r="I291" s="939">
        <v>42936</v>
      </c>
      <c r="J291" s="940" t="s">
        <v>2011</v>
      </c>
      <c r="K291" s="932">
        <f t="shared" si="25"/>
        <v>42954</v>
      </c>
      <c r="L291" s="933">
        <f t="shared" ca="1" si="22"/>
        <v>180</v>
      </c>
      <c r="M291" s="933" t="str">
        <f t="shared" ca="1" si="23"/>
        <v>-</v>
      </c>
    </row>
    <row r="292" spans="1:13" ht="20.100000000000001" hidden="1" customHeight="1" x14ac:dyDescent="0.3">
      <c r="A292" s="922">
        <v>290</v>
      </c>
      <c r="B292" s="923">
        <f t="shared" ca="1" si="24"/>
        <v>43134</v>
      </c>
      <c r="C292" s="935"/>
      <c r="D292" s="936"/>
      <c r="E292" s="937"/>
      <c r="F292" s="943" t="s">
        <v>278</v>
      </c>
      <c r="G292" s="938"/>
      <c r="H292" s="940"/>
      <c r="I292" s="939">
        <v>42940</v>
      </c>
      <c r="J292" s="940" t="s">
        <v>2011</v>
      </c>
      <c r="K292" s="932">
        <f t="shared" si="25"/>
        <v>42958</v>
      </c>
      <c r="L292" s="933">
        <f t="shared" ca="1" si="22"/>
        <v>176</v>
      </c>
      <c r="M292" s="933" t="str">
        <f t="shared" ca="1" si="23"/>
        <v>-</v>
      </c>
    </row>
    <row r="293" spans="1:13" ht="20.100000000000001" hidden="1" customHeight="1" x14ac:dyDescent="0.3">
      <c r="A293" s="934">
        <v>291</v>
      </c>
      <c r="B293" s="923">
        <f t="shared" ca="1" si="24"/>
        <v>43134</v>
      </c>
      <c r="C293" s="935"/>
      <c r="D293" s="936"/>
      <c r="E293" s="937"/>
      <c r="F293" s="943" t="s">
        <v>785</v>
      </c>
      <c r="G293" s="938"/>
      <c r="H293" s="940"/>
      <c r="I293" s="939">
        <v>42940</v>
      </c>
      <c r="J293" s="940" t="s">
        <v>2011</v>
      </c>
      <c r="K293" s="932">
        <f t="shared" si="25"/>
        <v>42958</v>
      </c>
      <c r="L293" s="933">
        <f t="shared" ca="1" si="22"/>
        <v>176</v>
      </c>
      <c r="M293" s="933" t="str">
        <f t="shared" ca="1" si="23"/>
        <v>-</v>
      </c>
    </row>
    <row r="294" spans="1:13" ht="20.100000000000001" hidden="1" customHeight="1" x14ac:dyDescent="0.3">
      <c r="A294" s="922">
        <v>292</v>
      </c>
      <c r="B294" s="923">
        <f t="shared" ca="1" si="24"/>
        <v>43134</v>
      </c>
      <c r="C294" s="935"/>
      <c r="D294" s="936"/>
      <c r="E294" s="937"/>
      <c r="F294" s="943" t="s">
        <v>1403</v>
      </c>
      <c r="G294" s="938"/>
      <c r="H294" s="940"/>
      <c r="I294" s="939">
        <v>42940</v>
      </c>
      <c r="J294" s="940" t="s">
        <v>2011</v>
      </c>
      <c r="K294" s="932">
        <f t="shared" si="25"/>
        <v>42958</v>
      </c>
      <c r="L294" s="933">
        <f t="shared" ca="1" si="22"/>
        <v>176</v>
      </c>
      <c r="M294" s="933" t="str">
        <f t="shared" ca="1" si="23"/>
        <v>-</v>
      </c>
    </row>
    <row r="295" spans="1:13" ht="20.100000000000001" hidden="1" customHeight="1" x14ac:dyDescent="0.3">
      <c r="A295" s="934">
        <v>293</v>
      </c>
      <c r="B295" s="923">
        <f t="shared" ca="1" si="24"/>
        <v>43134</v>
      </c>
      <c r="C295" s="935"/>
      <c r="D295" s="936"/>
      <c r="E295" s="937"/>
      <c r="F295" s="943" t="s">
        <v>468</v>
      </c>
      <c r="G295" s="938"/>
      <c r="H295" s="940"/>
      <c r="I295" s="939">
        <v>42940</v>
      </c>
      <c r="J295" s="940" t="s">
        <v>2011</v>
      </c>
      <c r="K295" s="932">
        <f t="shared" si="25"/>
        <v>42958</v>
      </c>
      <c r="L295" s="933">
        <f t="shared" ca="1" si="22"/>
        <v>176</v>
      </c>
      <c r="M295" s="933" t="str">
        <f t="shared" ca="1" si="23"/>
        <v>-</v>
      </c>
    </row>
    <row r="296" spans="1:13" ht="20.100000000000001" hidden="1" customHeight="1" x14ac:dyDescent="0.3">
      <c r="A296" s="922">
        <v>294</v>
      </c>
      <c r="B296" s="923">
        <f t="shared" ca="1" si="24"/>
        <v>43134</v>
      </c>
      <c r="C296" s="935"/>
      <c r="D296" s="936"/>
      <c r="E296" s="937"/>
      <c r="F296" s="943" t="s">
        <v>1245</v>
      </c>
      <c r="G296" s="938"/>
      <c r="H296" s="940"/>
      <c r="I296" s="939">
        <v>42943</v>
      </c>
      <c r="J296" s="940" t="s">
        <v>2011</v>
      </c>
      <c r="K296" s="932">
        <f t="shared" si="25"/>
        <v>42961</v>
      </c>
      <c r="L296" s="933">
        <f t="shared" ca="1" si="22"/>
        <v>173</v>
      </c>
      <c r="M296" s="933" t="str">
        <f t="shared" ca="1" si="23"/>
        <v>-</v>
      </c>
    </row>
    <row r="297" spans="1:13" ht="20.100000000000001" hidden="1" customHeight="1" x14ac:dyDescent="0.3">
      <c r="A297" s="934">
        <v>295</v>
      </c>
      <c r="B297" s="923">
        <f t="shared" ca="1" si="24"/>
        <v>43134</v>
      </c>
      <c r="C297" s="935"/>
      <c r="D297" s="936"/>
      <c r="E297" s="937"/>
      <c r="F297" s="943" t="s">
        <v>1135</v>
      </c>
      <c r="G297" s="938"/>
      <c r="H297" s="940"/>
      <c r="I297" s="939">
        <v>42943</v>
      </c>
      <c r="J297" s="940" t="s">
        <v>2011</v>
      </c>
      <c r="K297" s="932">
        <f t="shared" si="25"/>
        <v>42961</v>
      </c>
      <c r="L297" s="933">
        <f t="shared" ca="1" si="22"/>
        <v>173</v>
      </c>
      <c r="M297" s="933" t="str">
        <f t="shared" ca="1" si="23"/>
        <v>-</v>
      </c>
    </row>
    <row r="298" spans="1:13" ht="20.100000000000001" hidden="1" customHeight="1" x14ac:dyDescent="0.3">
      <c r="A298" s="922">
        <v>296</v>
      </c>
      <c r="B298" s="923">
        <f t="shared" ca="1" si="24"/>
        <v>43134</v>
      </c>
      <c r="C298" s="935"/>
      <c r="D298" s="936"/>
      <c r="E298" s="937"/>
      <c r="F298" s="943" t="s">
        <v>1464</v>
      </c>
      <c r="G298" s="938"/>
      <c r="H298" s="940"/>
      <c r="I298" s="939">
        <v>42946</v>
      </c>
      <c r="J298" s="940" t="s">
        <v>2011</v>
      </c>
      <c r="K298" s="932">
        <f t="shared" si="25"/>
        <v>42964</v>
      </c>
      <c r="L298" s="933">
        <f t="shared" ca="1" si="22"/>
        <v>170</v>
      </c>
      <c r="M298" s="933" t="str">
        <f t="shared" ca="1" si="23"/>
        <v>-</v>
      </c>
    </row>
    <row r="299" spans="1:13" ht="20.100000000000001" hidden="1" customHeight="1" x14ac:dyDescent="0.3">
      <c r="A299" s="934">
        <v>297</v>
      </c>
      <c r="B299" s="923">
        <f t="shared" ca="1" si="24"/>
        <v>43134</v>
      </c>
      <c r="C299" s="935"/>
      <c r="D299" s="936"/>
      <c r="E299" s="937"/>
      <c r="F299" s="943" t="s">
        <v>1677</v>
      </c>
      <c r="G299" s="938"/>
      <c r="H299" s="940"/>
      <c r="I299" s="939">
        <v>42947</v>
      </c>
      <c r="J299" s="940" t="s">
        <v>2011</v>
      </c>
      <c r="K299" s="932">
        <f t="shared" si="25"/>
        <v>42965</v>
      </c>
      <c r="L299" s="933">
        <f t="shared" ca="1" si="22"/>
        <v>169</v>
      </c>
      <c r="M299" s="933" t="str">
        <f t="shared" ca="1" si="23"/>
        <v>-</v>
      </c>
    </row>
    <row r="300" spans="1:13" ht="20.100000000000001" hidden="1" customHeight="1" x14ac:dyDescent="0.3">
      <c r="A300" s="922">
        <v>298</v>
      </c>
      <c r="B300" s="923">
        <f t="shared" ca="1" si="24"/>
        <v>43134</v>
      </c>
      <c r="C300" s="935"/>
      <c r="D300" s="936"/>
      <c r="E300" s="937"/>
      <c r="F300" s="943" t="s">
        <v>664</v>
      </c>
      <c r="G300" s="938"/>
      <c r="H300" s="940"/>
      <c r="I300" s="939">
        <v>42947</v>
      </c>
      <c r="J300" s="940" t="s">
        <v>2011</v>
      </c>
      <c r="K300" s="932">
        <f t="shared" si="25"/>
        <v>42965</v>
      </c>
      <c r="L300" s="933">
        <f t="shared" ca="1" si="22"/>
        <v>169</v>
      </c>
      <c r="M300" s="933" t="str">
        <f t="shared" ca="1" si="23"/>
        <v>-</v>
      </c>
    </row>
    <row r="301" spans="1:13" ht="20.100000000000001" hidden="1" customHeight="1" x14ac:dyDescent="0.3">
      <c r="A301" s="934">
        <v>299</v>
      </c>
      <c r="B301" s="923">
        <f t="shared" ca="1" si="24"/>
        <v>43134</v>
      </c>
      <c r="C301" s="935"/>
      <c r="D301" s="936"/>
      <c r="E301" s="937"/>
      <c r="F301" s="943" t="s">
        <v>1262</v>
      </c>
      <c r="G301" s="938"/>
      <c r="H301" s="940"/>
      <c r="I301" s="939">
        <v>42947</v>
      </c>
      <c r="J301" s="940" t="s">
        <v>2011</v>
      </c>
      <c r="K301" s="932">
        <f t="shared" si="25"/>
        <v>42965</v>
      </c>
      <c r="L301" s="933">
        <f t="shared" ca="1" si="22"/>
        <v>169</v>
      </c>
      <c r="M301" s="933" t="str">
        <f t="shared" ca="1" si="23"/>
        <v>-</v>
      </c>
    </row>
    <row r="302" spans="1:13" ht="20.100000000000001" hidden="1" customHeight="1" x14ac:dyDescent="0.3">
      <c r="A302" s="922">
        <v>300</v>
      </c>
      <c r="B302" s="923">
        <f t="shared" ca="1" si="24"/>
        <v>43134</v>
      </c>
      <c r="C302" s="935"/>
      <c r="D302" s="936"/>
      <c r="E302" s="937"/>
      <c r="F302" s="943" t="s">
        <v>89</v>
      </c>
      <c r="G302" s="938"/>
      <c r="H302" s="940"/>
      <c r="I302" s="939">
        <v>42947</v>
      </c>
      <c r="J302" s="940" t="s">
        <v>2011</v>
      </c>
      <c r="K302" s="932">
        <f t="shared" si="25"/>
        <v>42965</v>
      </c>
      <c r="L302" s="933">
        <f t="shared" ca="1" si="22"/>
        <v>169</v>
      </c>
      <c r="M302" s="933" t="str">
        <f t="shared" ca="1" si="23"/>
        <v>-</v>
      </c>
    </row>
    <row r="303" spans="1:13" ht="20.100000000000001" hidden="1" customHeight="1" x14ac:dyDescent="0.3">
      <c r="A303" s="934">
        <v>301</v>
      </c>
      <c r="B303" s="923">
        <f t="shared" ca="1" si="24"/>
        <v>43134</v>
      </c>
      <c r="C303" s="935"/>
      <c r="D303" s="936"/>
      <c r="E303" s="937"/>
      <c r="F303" s="943" t="s">
        <v>705</v>
      </c>
      <c r="G303" s="938"/>
      <c r="H303" s="940"/>
      <c r="I303" s="939">
        <v>42948</v>
      </c>
      <c r="J303" s="940" t="s">
        <v>2011</v>
      </c>
      <c r="K303" s="932">
        <f t="shared" si="25"/>
        <v>42966</v>
      </c>
      <c r="L303" s="933">
        <f t="shared" ca="1" si="22"/>
        <v>168</v>
      </c>
      <c r="M303" s="933" t="str">
        <f t="shared" ca="1" si="23"/>
        <v>-</v>
      </c>
    </row>
    <row r="304" spans="1:13" ht="20.100000000000001" hidden="1" customHeight="1" x14ac:dyDescent="0.3">
      <c r="A304" s="922">
        <v>302</v>
      </c>
      <c r="B304" s="923">
        <f t="shared" ca="1" si="24"/>
        <v>43134</v>
      </c>
      <c r="C304" s="935"/>
      <c r="D304" s="936"/>
      <c r="E304" s="937"/>
      <c r="F304" s="943" t="s">
        <v>869</v>
      </c>
      <c r="G304" s="938"/>
      <c r="H304" s="940"/>
      <c r="I304" s="939">
        <v>42948</v>
      </c>
      <c r="J304" s="940" t="s">
        <v>2419</v>
      </c>
      <c r="K304" s="932">
        <f t="shared" si="25"/>
        <v>42966</v>
      </c>
      <c r="L304" s="933">
        <f t="shared" ca="1" si="22"/>
        <v>168</v>
      </c>
      <c r="M304" s="933" t="str">
        <f t="shared" ca="1" si="23"/>
        <v>-</v>
      </c>
    </row>
    <row r="305" spans="1:13" ht="20.100000000000001" hidden="1" customHeight="1" x14ac:dyDescent="0.3">
      <c r="A305" s="934">
        <v>303</v>
      </c>
      <c r="B305" s="923">
        <f t="shared" ca="1" si="24"/>
        <v>43134</v>
      </c>
      <c r="C305" s="935"/>
      <c r="D305" s="936"/>
      <c r="E305" s="937"/>
      <c r="F305" s="943" t="s">
        <v>1156</v>
      </c>
      <c r="G305" s="938"/>
      <c r="H305" s="940"/>
      <c r="I305" s="939">
        <v>42949</v>
      </c>
      <c r="J305" s="940" t="s">
        <v>3042</v>
      </c>
      <c r="K305" s="932">
        <f t="shared" si="25"/>
        <v>42967</v>
      </c>
      <c r="L305" s="933">
        <f t="shared" ca="1" si="22"/>
        <v>167</v>
      </c>
      <c r="M305" s="933" t="str">
        <f t="shared" ca="1" si="23"/>
        <v>-</v>
      </c>
    </row>
    <row r="306" spans="1:13" ht="20.100000000000001" hidden="1" customHeight="1" x14ac:dyDescent="0.3">
      <c r="A306" s="922">
        <v>304</v>
      </c>
      <c r="B306" s="923">
        <f t="shared" ca="1" si="24"/>
        <v>43134</v>
      </c>
      <c r="C306" s="935"/>
      <c r="D306" s="936"/>
      <c r="E306" s="937"/>
      <c r="F306" s="943" t="s">
        <v>634</v>
      </c>
      <c r="G306" s="938"/>
      <c r="H306" s="940"/>
      <c r="I306" s="939">
        <v>42950</v>
      </c>
      <c r="J306" s="940" t="s">
        <v>3043</v>
      </c>
      <c r="K306" s="932">
        <f t="shared" si="25"/>
        <v>42968</v>
      </c>
      <c r="L306" s="933">
        <f t="shared" ca="1" si="22"/>
        <v>166</v>
      </c>
      <c r="M306" s="933" t="str">
        <f t="shared" ca="1" si="23"/>
        <v>-</v>
      </c>
    </row>
    <row r="307" spans="1:13" ht="20.100000000000001" hidden="1" customHeight="1" x14ac:dyDescent="0.3">
      <c r="A307" s="934">
        <v>305</v>
      </c>
      <c r="B307" s="923">
        <f t="shared" ca="1" si="24"/>
        <v>43134</v>
      </c>
      <c r="C307" s="935"/>
      <c r="D307" s="936"/>
      <c r="E307" s="937"/>
      <c r="F307" s="943" t="s">
        <v>1165</v>
      </c>
      <c r="G307" s="938"/>
      <c r="H307" s="940"/>
      <c r="I307" s="939">
        <v>42951</v>
      </c>
      <c r="J307" s="940" t="s">
        <v>3044</v>
      </c>
      <c r="K307" s="932">
        <f t="shared" si="25"/>
        <v>42969</v>
      </c>
      <c r="L307" s="933">
        <f t="shared" ca="1" si="22"/>
        <v>165</v>
      </c>
      <c r="M307" s="933" t="str">
        <f t="shared" ca="1" si="23"/>
        <v>-</v>
      </c>
    </row>
    <row r="308" spans="1:13" ht="20.100000000000001" hidden="1" customHeight="1" x14ac:dyDescent="0.3">
      <c r="A308" s="934">
        <v>306</v>
      </c>
      <c r="B308" s="923">
        <f t="shared" ca="1" si="24"/>
        <v>43134</v>
      </c>
      <c r="C308" s="935"/>
      <c r="D308" s="936"/>
      <c r="E308" s="937"/>
      <c r="F308" s="943" t="s">
        <v>1394</v>
      </c>
      <c r="G308" s="938"/>
      <c r="H308" s="940"/>
      <c r="I308" s="939">
        <v>42951</v>
      </c>
      <c r="J308" s="940" t="s">
        <v>3044</v>
      </c>
      <c r="K308" s="932">
        <f t="shared" si="25"/>
        <v>42969</v>
      </c>
      <c r="L308" s="933">
        <f t="shared" ca="1" si="22"/>
        <v>165</v>
      </c>
      <c r="M308" s="933" t="str">
        <f t="shared" ca="1" si="23"/>
        <v>-</v>
      </c>
    </row>
    <row r="309" spans="1:13" ht="20.100000000000001" hidden="1" customHeight="1" x14ac:dyDescent="0.3">
      <c r="A309" s="922">
        <v>307</v>
      </c>
      <c r="B309" s="923">
        <f t="shared" ca="1" si="24"/>
        <v>43134</v>
      </c>
      <c r="C309" s="935"/>
      <c r="D309" s="936"/>
      <c r="E309" s="937"/>
      <c r="F309" s="943" t="s">
        <v>700</v>
      </c>
      <c r="G309" s="938"/>
      <c r="H309" s="940"/>
      <c r="I309" s="939">
        <v>42957</v>
      </c>
      <c r="J309" s="945" t="s">
        <v>2011</v>
      </c>
      <c r="K309" s="932">
        <f t="shared" si="25"/>
        <v>42975</v>
      </c>
      <c r="L309" s="933">
        <f t="shared" ca="1" si="22"/>
        <v>159</v>
      </c>
      <c r="M309" s="933" t="str">
        <f t="shared" ca="1" si="23"/>
        <v>-</v>
      </c>
    </row>
    <row r="310" spans="1:13" ht="20.100000000000001" hidden="1" customHeight="1" x14ac:dyDescent="0.3">
      <c r="A310" s="934">
        <v>308</v>
      </c>
      <c r="B310" s="923">
        <f t="shared" ca="1" si="24"/>
        <v>43134</v>
      </c>
      <c r="C310" s="935"/>
      <c r="D310" s="936"/>
      <c r="E310" s="937"/>
      <c r="F310" s="943" t="s">
        <v>496</v>
      </c>
      <c r="G310" s="938"/>
      <c r="H310" s="940"/>
      <c r="I310" s="939">
        <v>42957</v>
      </c>
      <c r="J310" s="940" t="s">
        <v>2011</v>
      </c>
      <c r="K310" s="932">
        <f t="shared" si="25"/>
        <v>42975</v>
      </c>
      <c r="L310" s="933">
        <f t="shared" ca="1" si="22"/>
        <v>159</v>
      </c>
      <c r="M310" s="933" t="str">
        <f t="shared" ca="1" si="23"/>
        <v>-</v>
      </c>
    </row>
    <row r="311" spans="1:13" ht="20.100000000000001" hidden="1" customHeight="1" x14ac:dyDescent="0.3">
      <c r="A311" s="922">
        <v>309</v>
      </c>
      <c r="B311" s="923">
        <f t="shared" ca="1" si="24"/>
        <v>43134</v>
      </c>
      <c r="C311" s="935"/>
      <c r="D311" s="936"/>
      <c r="E311" s="937"/>
      <c r="F311" s="943" t="s">
        <v>1515</v>
      </c>
      <c r="G311" s="938"/>
      <c r="H311" s="940"/>
      <c r="I311" s="939">
        <v>42957</v>
      </c>
      <c r="J311" s="940" t="s">
        <v>3060</v>
      </c>
      <c r="K311" s="932">
        <f t="shared" si="25"/>
        <v>42975</v>
      </c>
      <c r="L311" s="933">
        <f t="shared" ca="1" si="22"/>
        <v>159</v>
      </c>
      <c r="M311" s="933" t="str">
        <f t="shared" ca="1" si="23"/>
        <v>-</v>
      </c>
    </row>
    <row r="312" spans="1:13" ht="20.100000000000001" hidden="1" customHeight="1" x14ac:dyDescent="0.3">
      <c r="A312" s="934">
        <v>310</v>
      </c>
      <c r="B312" s="923">
        <f t="shared" ca="1" si="24"/>
        <v>43134</v>
      </c>
      <c r="C312" s="935"/>
      <c r="D312" s="936"/>
      <c r="E312" s="937"/>
      <c r="F312" s="943" t="s">
        <v>880</v>
      </c>
      <c r="G312" s="938"/>
      <c r="H312" s="940"/>
      <c r="I312" s="939">
        <v>42958</v>
      </c>
      <c r="J312" s="940" t="s">
        <v>2011</v>
      </c>
      <c r="K312" s="932">
        <f t="shared" si="25"/>
        <v>42976</v>
      </c>
      <c r="L312" s="933">
        <f t="shared" ca="1" si="22"/>
        <v>158</v>
      </c>
      <c r="M312" s="933" t="str">
        <f t="shared" ca="1" si="23"/>
        <v>-</v>
      </c>
    </row>
    <row r="313" spans="1:13" ht="20.100000000000001" hidden="1" customHeight="1" x14ac:dyDescent="0.3">
      <c r="A313" s="922">
        <v>311</v>
      </c>
      <c r="B313" s="923">
        <f t="shared" ca="1" si="24"/>
        <v>43134</v>
      </c>
      <c r="C313" s="935"/>
      <c r="D313" s="936"/>
      <c r="E313" s="937"/>
      <c r="F313" s="943" t="s">
        <v>1750</v>
      </c>
      <c r="G313" s="938"/>
      <c r="H313" s="940"/>
      <c r="I313" s="939">
        <v>42958</v>
      </c>
      <c r="J313" s="940" t="s">
        <v>2011</v>
      </c>
      <c r="K313" s="932">
        <f t="shared" si="25"/>
        <v>42976</v>
      </c>
      <c r="L313" s="933">
        <f t="shared" ca="1" si="22"/>
        <v>158</v>
      </c>
      <c r="M313" s="933" t="str">
        <f t="shared" ca="1" si="23"/>
        <v>-</v>
      </c>
    </row>
    <row r="314" spans="1:13" ht="20.100000000000001" hidden="1" customHeight="1" x14ac:dyDescent="0.3">
      <c r="A314" s="934">
        <v>312</v>
      </c>
      <c r="B314" s="923">
        <f t="shared" ca="1" si="24"/>
        <v>43134</v>
      </c>
      <c r="C314" s="935"/>
      <c r="D314" s="936"/>
      <c r="E314" s="937"/>
      <c r="F314" s="943" t="s">
        <v>1261</v>
      </c>
      <c r="G314" s="938"/>
      <c r="H314" s="940"/>
      <c r="I314" s="939">
        <v>42959</v>
      </c>
      <c r="J314" s="940" t="s">
        <v>2011</v>
      </c>
      <c r="K314" s="932">
        <f t="shared" si="25"/>
        <v>42977</v>
      </c>
      <c r="L314" s="933">
        <f t="shared" ca="1" si="22"/>
        <v>157</v>
      </c>
      <c r="M314" s="933" t="str">
        <f t="shared" ca="1" si="23"/>
        <v>-</v>
      </c>
    </row>
    <row r="315" spans="1:13" ht="20.100000000000001" hidden="1" customHeight="1" x14ac:dyDescent="0.3">
      <c r="A315" s="922">
        <v>313</v>
      </c>
      <c r="B315" s="923">
        <f t="shared" ca="1" si="24"/>
        <v>43134</v>
      </c>
      <c r="C315" s="935"/>
      <c r="D315" s="936"/>
      <c r="E315" s="937"/>
      <c r="F315" s="943" t="s">
        <v>1565</v>
      </c>
      <c r="G315" s="938"/>
      <c r="H315" s="940"/>
      <c r="I315" s="939">
        <v>42959</v>
      </c>
      <c r="J315" s="940" t="s">
        <v>2011</v>
      </c>
      <c r="K315" s="932">
        <f t="shared" si="25"/>
        <v>42977</v>
      </c>
      <c r="L315" s="933">
        <f t="shared" ca="1" si="22"/>
        <v>157</v>
      </c>
      <c r="M315" s="933" t="str">
        <f t="shared" ca="1" si="23"/>
        <v>-</v>
      </c>
    </row>
    <row r="316" spans="1:13" ht="20.100000000000001" hidden="1" customHeight="1" x14ac:dyDescent="0.3">
      <c r="A316" s="934">
        <v>314</v>
      </c>
      <c r="B316" s="923">
        <f t="shared" ca="1" si="24"/>
        <v>43134</v>
      </c>
      <c r="C316" s="935"/>
      <c r="D316" s="936"/>
      <c r="E316" s="937"/>
      <c r="F316" s="943" t="s">
        <v>880</v>
      </c>
      <c r="G316" s="938"/>
      <c r="H316" s="940"/>
      <c r="I316" s="939">
        <v>42959</v>
      </c>
      <c r="J316" s="940" t="s">
        <v>2011</v>
      </c>
      <c r="K316" s="932">
        <f t="shared" si="25"/>
        <v>42977</v>
      </c>
      <c r="L316" s="933">
        <f t="shared" ca="1" si="22"/>
        <v>157</v>
      </c>
      <c r="M316" s="933" t="str">
        <f t="shared" ca="1" si="23"/>
        <v>-</v>
      </c>
    </row>
    <row r="317" spans="1:13" ht="20.100000000000001" hidden="1" customHeight="1" x14ac:dyDescent="0.3">
      <c r="A317" s="922">
        <v>315</v>
      </c>
      <c r="B317" s="923">
        <f t="shared" ca="1" si="24"/>
        <v>43134</v>
      </c>
      <c r="C317" s="935"/>
      <c r="D317" s="936"/>
      <c r="E317" s="937"/>
      <c r="F317" s="943" t="s">
        <v>875</v>
      </c>
      <c r="G317" s="938"/>
      <c r="H317" s="940"/>
      <c r="I317" s="939">
        <v>42959</v>
      </c>
      <c r="J317" s="940" t="s">
        <v>2011</v>
      </c>
      <c r="K317" s="932">
        <f t="shared" si="25"/>
        <v>42977</v>
      </c>
      <c r="L317" s="933">
        <f t="shared" ca="1" si="22"/>
        <v>157</v>
      </c>
      <c r="M317" s="933" t="str">
        <f t="shared" ca="1" si="23"/>
        <v>-</v>
      </c>
    </row>
    <row r="318" spans="1:13" ht="20.100000000000001" hidden="1" customHeight="1" x14ac:dyDescent="0.3">
      <c r="A318" s="934">
        <v>316</v>
      </c>
      <c r="B318" s="923">
        <f t="shared" ca="1" si="24"/>
        <v>43134</v>
      </c>
      <c r="C318" s="935"/>
      <c r="D318" s="936"/>
      <c r="E318" s="937"/>
      <c r="F318" s="943" t="s">
        <v>1472</v>
      </c>
      <c r="G318" s="938"/>
      <c r="H318" s="940"/>
      <c r="I318" s="939">
        <v>42961</v>
      </c>
      <c r="J318" s="940" t="s">
        <v>2011</v>
      </c>
      <c r="K318" s="932">
        <f t="shared" si="25"/>
        <v>42979</v>
      </c>
      <c r="L318" s="933">
        <f t="shared" ca="1" si="22"/>
        <v>155</v>
      </c>
      <c r="M318" s="933" t="str">
        <f t="shared" ca="1" si="23"/>
        <v>-</v>
      </c>
    </row>
    <row r="319" spans="1:13" ht="20.100000000000001" hidden="1" customHeight="1" x14ac:dyDescent="0.3">
      <c r="A319" s="922">
        <v>317</v>
      </c>
      <c r="B319" s="923">
        <f t="shared" ca="1" si="24"/>
        <v>43134</v>
      </c>
      <c r="C319" s="935"/>
      <c r="D319" s="936"/>
      <c r="E319" s="937"/>
      <c r="F319" s="943" t="s">
        <v>1393</v>
      </c>
      <c r="G319" s="938"/>
      <c r="H319" s="940"/>
      <c r="I319" s="939">
        <v>42961</v>
      </c>
      <c r="J319" s="940" t="s">
        <v>2011</v>
      </c>
      <c r="K319" s="932">
        <f t="shared" si="25"/>
        <v>42979</v>
      </c>
      <c r="L319" s="933">
        <f t="shared" ca="1" si="22"/>
        <v>155</v>
      </c>
      <c r="M319" s="933" t="str">
        <f t="shared" ca="1" si="23"/>
        <v>-</v>
      </c>
    </row>
    <row r="320" spans="1:13" ht="20.100000000000001" hidden="1" customHeight="1" x14ac:dyDescent="0.3">
      <c r="A320" s="934">
        <v>318</v>
      </c>
      <c r="B320" s="923">
        <f t="shared" ca="1" si="24"/>
        <v>43134</v>
      </c>
      <c r="C320" s="935"/>
      <c r="D320" s="936"/>
      <c r="E320" s="937"/>
      <c r="F320" s="943" t="s">
        <v>765</v>
      </c>
      <c r="G320" s="938"/>
      <c r="H320" s="940"/>
      <c r="I320" s="939">
        <v>42962</v>
      </c>
      <c r="J320" s="940" t="s">
        <v>2011</v>
      </c>
      <c r="K320" s="932">
        <f t="shared" si="25"/>
        <v>42980</v>
      </c>
      <c r="L320" s="933">
        <f t="shared" ca="1" si="22"/>
        <v>154</v>
      </c>
      <c r="M320" s="933" t="str">
        <f t="shared" ca="1" si="23"/>
        <v>-</v>
      </c>
    </row>
    <row r="321" spans="1:13" ht="20.100000000000001" hidden="1" customHeight="1" x14ac:dyDescent="0.3">
      <c r="A321" s="946"/>
      <c r="B321" s="923">
        <f t="shared" ca="1" si="24"/>
        <v>43134</v>
      </c>
      <c r="C321" s="935"/>
      <c r="D321" s="936"/>
      <c r="E321" s="937"/>
      <c r="F321" s="943" t="s">
        <v>880</v>
      </c>
      <c r="G321" s="938"/>
      <c r="H321" s="940"/>
      <c r="I321" s="939">
        <v>42962</v>
      </c>
      <c r="J321" s="940" t="s">
        <v>2011</v>
      </c>
      <c r="K321" s="932">
        <f t="shared" si="25"/>
        <v>42980</v>
      </c>
      <c r="L321" s="940"/>
      <c r="M321" s="940"/>
    </row>
    <row r="322" spans="1:13" ht="20.100000000000001" hidden="1" customHeight="1" x14ac:dyDescent="0.3">
      <c r="A322" s="946"/>
      <c r="B322" s="923">
        <f t="shared" ca="1" si="24"/>
        <v>43134</v>
      </c>
      <c r="C322" s="935"/>
      <c r="D322" s="936"/>
      <c r="E322" s="937"/>
      <c r="F322" s="943" t="s">
        <v>1130</v>
      </c>
      <c r="G322" s="938"/>
      <c r="H322" s="940"/>
      <c r="I322" s="939">
        <v>42962</v>
      </c>
      <c r="J322" s="940" t="s">
        <v>2011</v>
      </c>
      <c r="K322" s="932">
        <f t="shared" si="25"/>
        <v>42980</v>
      </c>
      <c r="L322" s="940"/>
      <c r="M322" s="940"/>
    </row>
    <row r="323" spans="1:13" ht="20.100000000000001" hidden="1" customHeight="1" x14ac:dyDescent="0.3">
      <c r="A323" s="946"/>
      <c r="B323" s="923">
        <f t="shared" ref="B323:B385" ca="1" si="26">TODAY()</f>
        <v>43134</v>
      </c>
      <c r="C323" s="935"/>
      <c r="D323" s="936"/>
      <c r="E323" s="937"/>
      <c r="F323" s="943" t="s">
        <v>1218</v>
      </c>
      <c r="G323" s="938"/>
      <c r="H323" s="940"/>
      <c r="I323" s="939">
        <v>42962</v>
      </c>
      <c r="J323" s="940" t="s">
        <v>2011</v>
      </c>
      <c r="K323" s="932">
        <f t="shared" si="25"/>
        <v>42980</v>
      </c>
      <c r="L323" s="940"/>
      <c r="M323" s="940"/>
    </row>
    <row r="324" spans="1:13" ht="20.100000000000001" hidden="1" customHeight="1" x14ac:dyDescent="0.3">
      <c r="A324" s="946"/>
      <c r="B324" s="923">
        <f t="shared" ca="1" si="26"/>
        <v>43134</v>
      </c>
      <c r="C324" s="935"/>
      <c r="D324" s="936"/>
      <c r="E324" s="937"/>
      <c r="F324" s="943" t="s">
        <v>947</v>
      </c>
      <c r="G324" s="938"/>
      <c r="H324" s="940"/>
      <c r="I324" s="939">
        <v>42965</v>
      </c>
      <c r="J324" s="940" t="s">
        <v>2011</v>
      </c>
      <c r="K324" s="932">
        <f t="shared" ref="K324:K387" si="27">IF(AND(I324&gt;0,J324&gt;0),I324+18,"-")</f>
        <v>42983</v>
      </c>
      <c r="L324" s="940"/>
      <c r="M324" s="940"/>
    </row>
    <row r="325" spans="1:13" ht="20.100000000000001" hidden="1" customHeight="1" x14ac:dyDescent="0.3">
      <c r="A325" s="946"/>
      <c r="B325" s="923">
        <f t="shared" ca="1" si="26"/>
        <v>43134</v>
      </c>
      <c r="C325" s="935"/>
      <c r="D325" s="936"/>
      <c r="E325" s="937"/>
      <c r="F325" s="943" t="s">
        <v>860</v>
      </c>
      <c r="G325" s="938"/>
      <c r="H325" s="940"/>
      <c r="I325" s="939">
        <v>42966</v>
      </c>
      <c r="J325" s="940" t="s">
        <v>2011</v>
      </c>
      <c r="K325" s="932">
        <f t="shared" si="27"/>
        <v>42984</v>
      </c>
      <c r="L325" s="940"/>
      <c r="M325" s="940"/>
    </row>
    <row r="326" spans="1:13" ht="20.100000000000001" hidden="1" customHeight="1" x14ac:dyDescent="0.3">
      <c r="A326" s="946"/>
      <c r="B326" s="923">
        <f t="shared" ca="1" si="26"/>
        <v>43134</v>
      </c>
      <c r="C326" s="935"/>
      <c r="D326" s="936"/>
      <c r="E326" s="937"/>
      <c r="F326" s="943" t="s">
        <v>895</v>
      </c>
      <c r="G326" s="938"/>
      <c r="H326" s="940"/>
      <c r="I326" s="939">
        <v>42967</v>
      </c>
      <c r="J326" s="940" t="s">
        <v>3080</v>
      </c>
      <c r="K326" s="932">
        <f t="shared" si="27"/>
        <v>42985</v>
      </c>
      <c r="L326" s="940"/>
      <c r="M326" s="940"/>
    </row>
    <row r="327" spans="1:13" ht="20.100000000000001" hidden="1" customHeight="1" x14ac:dyDescent="0.3">
      <c r="A327" s="946"/>
      <c r="B327" s="923">
        <f t="shared" ca="1" si="26"/>
        <v>43134</v>
      </c>
      <c r="C327" s="935"/>
      <c r="D327" s="936"/>
      <c r="E327" s="937"/>
      <c r="F327" s="943" t="s">
        <v>664</v>
      </c>
      <c r="G327" s="938"/>
      <c r="H327" s="940"/>
      <c r="I327" s="939">
        <v>42968</v>
      </c>
      <c r="J327" s="940" t="s">
        <v>2011</v>
      </c>
      <c r="K327" s="932">
        <f t="shared" si="27"/>
        <v>42986</v>
      </c>
      <c r="L327" s="940"/>
      <c r="M327" s="940"/>
    </row>
    <row r="328" spans="1:13" ht="20.100000000000001" hidden="1" customHeight="1" x14ac:dyDescent="0.3">
      <c r="A328" s="946"/>
      <c r="B328" s="923">
        <f t="shared" ca="1" si="26"/>
        <v>43134</v>
      </c>
      <c r="C328" s="935"/>
      <c r="D328" s="936"/>
      <c r="E328" s="937"/>
      <c r="F328" s="943" t="s">
        <v>543</v>
      </c>
      <c r="G328" s="938"/>
      <c r="H328" s="940"/>
      <c r="I328" s="939">
        <v>42970</v>
      </c>
      <c r="J328" s="940" t="s">
        <v>2011</v>
      </c>
      <c r="K328" s="932">
        <f t="shared" si="27"/>
        <v>42988</v>
      </c>
      <c r="L328" s="940"/>
      <c r="M328" s="940"/>
    </row>
    <row r="329" spans="1:13" ht="20.100000000000001" hidden="1" customHeight="1" x14ac:dyDescent="0.3">
      <c r="A329" s="946"/>
      <c r="B329" s="923">
        <f t="shared" ca="1" si="26"/>
        <v>43134</v>
      </c>
      <c r="C329" s="935"/>
      <c r="D329" s="936"/>
      <c r="E329" s="937"/>
      <c r="F329" s="943" t="s">
        <v>1905</v>
      </c>
      <c r="G329" s="938"/>
      <c r="H329" s="940"/>
      <c r="I329" s="939">
        <v>42973</v>
      </c>
      <c r="J329" s="940" t="s">
        <v>2011</v>
      </c>
      <c r="K329" s="932">
        <f t="shared" si="27"/>
        <v>42991</v>
      </c>
      <c r="L329" s="940"/>
      <c r="M329" s="940"/>
    </row>
    <row r="330" spans="1:13" ht="20.100000000000001" hidden="1" customHeight="1" x14ac:dyDescent="0.3">
      <c r="A330" s="946"/>
      <c r="B330" s="923">
        <f t="shared" ca="1" si="26"/>
        <v>43134</v>
      </c>
      <c r="C330" s="935"/>
      <c r="D330" s="936"/>
      <c r="E330" s="937"/>
      <c r="F330" s="943" t="s">
        <v>1547</v>
      </c>
      <c r="G330" s="938"/>
      <c r="H330" s="940"/>
      <c r="I330" s="939">
        <v>42973</v>
      </c>
      <c r="J330" s="940" t="s">
        <v>2011</v>
      </c>
      <c r="K330" s="932">
        <f t="shared" si="27"/>
        <v>42991</v>
      </c>
      <c r="L330" s="940"/>
      <c r="M330" s="940"/>
    </row>
    <row r="331" spans="1:13" ht="20.100000000000001" hidden="1" customHeight="1" x14ac:dyDescent="0.3">
      <c r="A331" s="946"/>
      <c r="B331" s="923">
        <f t="shared" ca="1" si="26"/>
        <v>43134</v>
      </c>
      <c r="C331" s="935"/>
      <c r="D331" s="936"/>
      <c r="E331" s="937"/>
      <c r="F331" s="943" t="s">
        <v>996</v>
      </c>
      <c r="G331" s="938"/>
      <c r="H331" s="940"/>
      <c r="I331" s="939">
        <v>42974</v>
      </c>
      <c r="J331" s="940" t="s">
        <v>2519</v>
      </c>
      <c r="K331" s="932">
        <f t="shared" si="27"/>
        <v>42992</v>
      </c>
      <c r="L331" s="940"/>
      <c r="M331" s="940"/>
    </row>
    <row r="332" spans="1:13" ht="20.100000000000001" hidden="1" customHeight="1" x14ac:dyDescent="0.3">
      <c r="A332" s="946"/>
      <c r="B332" s="923">
        <f t="shared" ca="1" si="26"/>
        <v>43134</v>
      </c>
      <c r="C332" s="935"/>
      <c r="D332" s="936"/>
      <c r="E332" s="937"/>
      <c r="F332" s="943" t="s">
        <v>494</v>
      </c>
      <c r="G332" s="938"/>
      <c r="H332" s="940"/>
      <c r="I332" s="939">
        <v>42974</v>
      </c>
      <c r="J332" s="940" t="s">
        <v>3117</v>
      </c>
      <c r="K332" s="932">
        <f t="shared" si="27"/>
        <v>42992</v>
      </c>
      <c r="L332" s="940"/>
      <c r="M332" s="940"/>
    </row>
    <row r="333" spans="1:13" ht="20.100000000000001" hidden="1" customHeight="1" x14ac:dyDescent="0.3">
      <c r="A333" s="946"/>
      <c r="B333" s="923">
        <f t="shared" ca="1" si="26"/>
        <v>43134</v>
      </c>
      <c r="C333" s="935"/>
      <c r="D333" s="936"/>
      <c r="E333" s="937"/>
      <c r="F333" s="943" t="s">
        <v>700</v>
      </c>
      <c r="G333" s="938"/>
      <c r="H333" s="940"/>
      <c r="I333" s="939">
        <v>42974</v>
      </c>
      <c r="J333" s="940" t="s">
        <v>3095</v>
      </c>
      <c r="K333" s="932">
        <f t="shared" si="27"/>
        <v>42992</v>
      </c>
      <c r="L333" s="940"/>
      <c r="M333" s="940"/>
    </row>
    <row r="334" spans="1:13" ht="20.100000000000001" hidden="1" customHeight="1" x14ac:dyDescent="0.3">
      <c r="A334" s="946"/>
      <c r="B334" s="923">
        <f t="shared" ca="1" si="26"/>
        <v>43134</v>
      </c>
      <c r="C334" s="935"/>
      <c r="D334" s="936"/>
      <c r="E334" s="937"/>
      <c r="F334" s="943" t="s">
        <v>1139</v>
      </c>
      <c r="G334" s="938"/>
      <c r="H334" s="940"/>
      <c r="I334" s="939">
        <v>42975</v>
      </c>
      <c r="J334" s="940" t="s">
        <v>2011</v>
      </c>
      <c r="K334" s="932">
        <f t="shared" si="27"/>
        <v>42993</v>
      </c>
      <c r="L334" s="940"/>
      <c r="M334" s="940"/>
    </row>
    <row r="335" spans="1:13" ht="20.100000000000001" hidden="1" customHeight="1" x14ac:dyDescent="0.3">
      <c r="A335" s="946"/>
      <c r="B335" s="923">
        <f t="shared" ca="1" si="26"/>
        <v>43134</v>
      </c>
      <c r="C335" s="935"/>
      <c r="D335" s="936"/>
      <c r="E335" s="937"/>
      <c r="F335" s="943" t="s">
        <v>1510</v>
      </c>
      <c r="G335" s="938"/>
      <c r="H335" s="940"/>
      <c r="I335" s="939">
        <v>42975</v>
      </c>
      <c r="J335" s="940" t="s">
        <v>2011</v>
      </c>
      <c r="K335" s="932">
        <f t="shared" si="27"/>
        <v>42993</v>
      </c>
      <c r="L335" s="940"/>
      <c r="M335" s="940"/>
    </row>
    <row r="336" spans="1:13" ht="20.100000000000001" hidden="1" customHeight="1" x14ac:dyDescent="0.3">
      <c r="A336" s="946"/>
      <c r="B336" s="923">
        <f t="shared" ca="1" si="26"/>
        <v>43134</v>
      </c>
      <c r="C336" s="935"/>
      <c r="D336" s="936"/>
      <c r="E336" s="937"/>
      <c r="F336" s="943" t="s">
        <v>1543</v>
      </c>
      <c r="G336" s="938"/>
      <c r="H336" s="940"/>
      <c r="I336" s="939">
        <v>42977</v>
      </c>
      <c r="J336" s="940" t="s">
        <v>2011</v>
      </c>
      <c r="K336" s="932">
        <f t="shared" si="27"/>
        <v>42995</v>
      </c>
      <c r="L336" s="940"/>
      <c r="M336" s="940"/>
    </row>
    <row r="337" spans="1:13" ht="20.100000000000001" hidden="1" customHeight="1" x14ac:dyDescent="0.3">
      <c r="A337" s="946"/>
      <c r="B337" s="923">
        <f t="shared" ca="1" si="26"/>
        <v>43134</v>
      </c>
      <c r="C337" s="935"/>
      <c r="D337" s="936"/>
      <c r="E337" s="937"/>
      <c r="F337" s="943" t="s">
        <v>1515</v>
      </c>
      <c r="G337" s="938"/>
      <c r="H337" s="940"/>
      <c r="I337" s="939">
        <v>42980</v>
      </c>
      <c r="J337" s="940" t="s">
        <v>2011</v>
      </c>
      <c r="K337" s="932">
        <f t="shared" si="27"/>
        <v>42998</v>
      </c>
      <c r="L337" s="940"/>
      <c r="M337" s="940"/>
    </row>
    <row r="338" spans="1:13" ht="20.100000000000001" hidden="1" customHeight="1" x14ac:dyDescent="0.3">
      <c r="A338" s="946"/>
      <c r="B338" s="923">
        <f t="shared" ca="1" si="26"/>
        <v>43134</v>
      </c>
      <c r="C338" s="935"/>
      <c r="D338" s="936"/>
      <c r="E338" s="937"/>
      <c r="F338" s="943" t="s">
        <v>875</v>
      </c>
      <c r="G338" s="938"/>
      <c r="H338" s="940"/>
      <c r="I338" s="939">
        <v>42979</v>
      </c>
      <c r="J338" s="940" t="s">
        <v>3118</v>
      </c>
      <c r="K338" s="932">
        <f t="shared" si="27"/>
        <v>42997</v>
      </c>
      <c r="L338" s="940"/>
      <c r="M338" s="940"/>
    </row>
    <row r="339" spans="1:13" ht="20.100000000000001" hidden="1" customHeight="1" x14ac:dyDescent="0.3">
      <c r="A339" s="946"/>
      <c r="B339" s="923">
        <f t="shared" ca="1" si="26"/>
        <v>43134</v>
      </c>
      <c r="C339" s="935"/>
      <c r="D339" s="936"/>
      <c r="E339" s="937"/>
      <c r="F339" s="943" t="s">
        <v>949</v>
      </c>
      <c r="G339" s="938"/>
      <c r="H339" s="940"/>
      <c r="I339" s="939">
        <v>42982</v>
      </c>
      <c r="J339" s="940" t="s">
        <v>2011</v>
      </c>
      <c r="K339" s="932">
        <f t="shared" si="27"/>
        <v>43000</v>
      </c>
      <c r="L339" s="940"/>
      <c r="M339" s="940"/>
    </row>
    <row r="340" spans="1:13" ht="20.100000000000001" hidden="1" customHeight="1" x14ac:dyDescent="0.3">
      <c r="A340" s="946"/>
      <c r="B340" s="923">
        <f t="shared" ca="1" si="26"/>
        <v>43134</v>
      </c>
      <c r="C340" s="935"/>
      <c r="D340" s="936"/>
      <c r="E340" s="937"/>
      <c r="F340" s="943" t="s">
        <v>1515</v>
      </c>
      <c r="G340" s="938"/>
      <c r="H340" s="940"/>
      <c r="I340" s="939">
        <v>42982</v>
      </c>
      <c r="J340" s="940" t="s">
        <v>2011</v>
      </c>
      <c r="K340" s="932">
        <f t="shared" si="27"/>
        <v>43000</v>
      </c>
      <c r="L340" s="940"/>
      <c r="M340" s="940"/>
    </row>
    <row r="341" spans="1:13" ht="20.100000000000001" hidden="1" customHeight="1" x14ac:dyDescent="0.3">
      <c r="A341" s="946"/>
      <c r="B341" s="923">
        <f t="shared" ca="1" si="26"/>
        <v>43134</v>
      </c>
      <c r="C341" s="935"/>
      <c r="D341" s="936"/>
      <c r="E341" s="937"/>
      <c r="F341" s="943" t="s">
        <v>520</v>
      </c>
      <c r="G341" s="938"/>
      <c r="H341" s="940"/>
      <c r="I341" s="939">
        <v>42982</v>
      </c>
      <c r="J341" s="940" t="s">
        <v>2011</v>
      </c>
      <c r="K341" s="932">
        <f t="shared" si="27"/>
        <v>43000</v>
      </c>
      <c r="L341" s="940"/>
      <c r="M341" s="940"/>
    </row>
    <row r="342" spans="1:13" ht="20.100000000000001" hidden="1" customHeight="1" x14ac:dyDescent="0.3">
      <c r="A342" s="946"/>
      <c r="B342" s="923">
        <f t="shared" ca="1" si="26"/>
        <v>43134</v>
      </c>
      <c r="C342" s="935"/>
      <c r="D342" s="936"/>
      <c r="E342" s="937"/>
      <c r="F342" s="943" t="s">
        <v>432</v>
      </c>
      <c r="G342" s="938"/>
      <c r="H342" s="940"/>
      <c r="I342" s="939">
        <v>42982</v>
      </c>
      <c r="J342" s="940" t="s">
        <v>2011</v>
      </c>
      <c r="K342" s="932">
        <f t="shared" si="27"/>
        <v>43000</v>
      </c>
      <c r="L342" s="940"/>
      <c r="M342" s="940"/>
    </row>
    <row r="343" spans="1:13" ht="20.100000000000001" hidden="1" customHeight="1" x14ac:dyDescent="0.3">
      <c r="A343" s="946"/>
      <c r="B343" s="923">
        <f t="shared" ca="1" si="26"/>
        <v>43134</v>
      </c>
      <c r="C343" s="935"/>
      <c r="D343" s="936"/>
      <c r="E343" s="937"/>
      <c r="F343" s="943" t="s">
        <v>1190</v>
      </c>
      <c r="G343" s="938"/>
      <c r="H343" s="940"/>
      <c r="I343" s="939">
        <v>42984</v>
      </c>
      <c r="J343" s="940" t="s">
        <v>2011</v>
      </c>
      <c r="K343" s="932">
        <f t="shared" si="27"/>
        <v>43002</v>
      </c>
      <c r="L343" s="940"/>
      <c r="M343" s="940"/>
    </row>
    <row r="344" spans="1:13" ht="20.100000000000001" hidden="1" customHeight="1" x14ac:dyDescent="0.3">
      <c r="A344" s="946"/>
      <c r="B344" s="923">
        <f t="shared" ca="1" si="26"/>
        <v>43134</v>
      </c>
      <c r="C344" s="935"/>
      <c r="D344" s="936"/>
      <c r="E344" s="937"/>
      <c r="F344" s="943" t="s">
        <v>544</v>
      </c>
      <c r="G344" s="938"/>
      <c r="H344" s="940"/>
      <c r="I344" s="939">
        <v>42985</v>
      </c>
      <c r="J344" s="940" t="s">
        <v>2011</v>
      </c>
      <c r="K344" s="932">
        <f t="shared" si="27"/>
        <v>43003</v>
      </c>
      <c r="L344" s="940"/>
      <c r="M344" s="940"/>
    </row>
    <row r="345" spans="1:13" ht="20.100000000000001" hidden="1" customHeight="1" x14ac:dyDescent="0.3">
      <c r="A345" s="946"/>
      <c r="B345" s="923">
        <f t="shared" ca="1" si="26"/>
        <v>43134</v>
      </c>
      <c r="C345" s="935"/>
      <c r="D345" s="936"/>
      <c r="E345" s="937"/>
      <c r="F345" s="943" t="s">
        <v>318</v>
      </c>
      <c r="G345" s="938"/>
      <c r="H345" s="940"/>
      <c r="I345" s="939">
        <v>42985</v>
      </c>
      <c r="J345" s="940" t="s">
        <v>2011</v>
      </c>
      <c r="K345" s="932">
        <f t="shared" si="27"/>
        <v>43003</v>
      </c>
      <c r="L345" s="940"/>
      <c r="M345" s="940"/>
    </row>
    <row r="346" spans="1:13" ht="20.100000000000001" hidden="1" customHeight="1" x14ac:dyDescent="0.3">
      <c r="A346" s="946"/>
      <c r="B346" s="923">
        <f t="shared" ca="1" si="26"/>
        <v>43134</v>
      </c>
      <c r="C346" s="935"/>
      <c r="D346" s="936"/>
      <c r="E346" s="937"/>
      <c r="F346" s="943" t="s">
        <v>1263</v>
      </c>
      <c r="G346" s="938"/>
      <c r="H346" s="940"/>
      <c r="I346" s="939">
        <v>42986</v>
      </c>
      <c r="J346" s="940" t="s">
        <v>2011</v>
      </c>
      <c r="K346" s="932">
        <f t="shared" si="27"/>
        <v>43004</v>
      </c>
      <c r="L346" s="940"/>
      <c r="M346" s="940"/>
    </row>
    <row r="347" spans="1:13" ht="20.100000000000001" hidden="1" customHeight="1" x14ac:dyDescent="0.3">
      <c r="A347" s="946"/>
      <c r="B347" s="923">
        <f t="shared" ca="1" si="26"/>
        <v>43134</v>
      </c>
      <c r="C347" s="935"/>
      <c r="D347" s="936"/>
      <c r="E347" s="937"/>
      <c r="F347" s="943" t="s">
        <v>1250</v>
      </c>
      <c r="G347" s="938"/>
      <c r="H347" s="940"/>
      <c r="I347" s="939">
        <v>42986</v>
      </c>
      <c r="J347" s="940" t="s">
        <v>2011</v>
      </c>
      <c r="K347" s="932">
        <f t="shared" si="27"/>
        <v>43004</v>
      </c>
      <c r="L347" s="940"/>
      <c r="M347" s="940"/>
    </row>
    <row r="348" spans="1:13" ht="20.100000000000001" hidden="1" customHeight="1" x14ac:dyDescent="0.3">
      <c r="A348" s="946"/>
      <c r="B348" s="923">
        <f t="shared" ca="1" si="26"/>
        <v>43134</v>
      </c>
      <c r="C348" s="935"/>
      <c r="D348" s="936"/>
      <c r="E348" s="937"/>
      <c r="F348" s="943" t="s">
        <v>1252</v>
      </c>
      <c r="G348" s="938"/>
      <c r="H348" s="940"/>
      <c r="I348" s="939">
        <v>42987</v>
      </c>
      <c r="J348" s="940" t="s">
        <v>3042</v>
      </c>
      <c r="K348" s="932">
        <f t="shared" si="27"/>
        <v>43005</v>
      </c>
      <c r="L348" s="940"/>
      <c r="M348" s="940"/>
    </row>
    <row r="349" spans="1:13" ht="20.100000000000001" hidden="1" customHeight="1" x14ac:dyDescent="0.3">
      <c r="A349" s="946"/>
      <c r="B349" s="923">
        <f t="shared" ca="1" si="26"/>
        <v>43134</v>
      </c>
      <c r="C349" s="935"/>
      <c r="D349" s="936"/>
      <c r="E349" s="937"/>
      <c r="F349" s="943" t="s">
        <v>1479</v>
      </c>
      <c r="G349" s="938"/>
      <c r="H349" s="940"/>
      <c r="I349" s="939">
        <v>42988</v>
      </c>
      <c r="J349" s="940" t="s">
        <v>3136</v>
      </c>
      <c r="K349" s="932">
        <f t="shared" si="27"/>
        <v>43006</v>
      </c>
      <c r="L349" s="940"/>
      <c r="M349" s="940"/>
    </row>
    <row r="350" spans="1:13" ht="20.100000000000001" hidden="1" customHeight="1" x14ac:dyDescent="0.3">
      <c r="A350" s="946"/>
      <c r="B350" s="923">
        <f t="shared" ca="1" si="26"/>
        <v>43134</v>
      </c>
      <c r="C350" s="935"/>
      <c r="D350" s="936"/>
      <c r="E350" s="937"/>
      <c r="F350" s="943" t="s">
        <v>641</v>
      </c>
      <c r="G350" s="938"/>
      <c r="H350" s="940"/>
      <c r="I350" s="939">
        <v>42988</v>
      </c>
      <c r="J350" s="940" t="s">
        <v>2011</v>
      </c>
      <c r="K350" s="932">
        <f t="shared" si="27"/>
        <v>43006</v>
      </c>
      <c r="L350" s="940"/>
      <c r="M350" s="940"/>
    </row>
    <row r="351" spans="1:13" ht="20.100000000000001" hidden="1" customHeight="1" x14ac:dyDescent="0.3">
      <c r="A351" s="946"/>
      <c r="B351" s="923">
        <f t="shared" ca="1" si="26"/>
        <v>43134</v>
      </c>
      <c r="C351" s="935"/>
      <c r="D351" s="936"/>
      <c r="E351" s="937"/>
      <c r="F351" s="943" t="s">
        <v>1406</v>
      </c>
      <c r="G351" s="938"/>
      <c r="H351" s="940"/>
      <c r="I351" s="939">
        <v>42988</v>
      </c>
      <c r="J351" s="940" t="s">
        <v>3136</v>
      </c>
      <c r="K351" s="932">
        <f t="shared" si="27"/>
        <v>43006</v>
      </c>
      <c r="L351" s="940"/>
      <c r="M351" s="940"/>
    </row>
    <row r="352" spans="1:13" ht="20.100000000000001" hidden="1" customHeight="1" x14ac:dyDescent="0.3">
      <c r="A352" s="946"/>
      <c r="B352" s="923">
        <f t="shared" ca="1" si="26"/>
        <v>43134</v>
      </c>
      <c r="C352" s="935"/>
      <c r="D352" s="936"/>
      <c r="E352" s="937"/>
      <c r="F352" s="943" t="s">
        <v>1255</v>
      </c>
      <c r="G352" s="938"/>
      <c r="H352" s="940"/>
      <c r="I352" s="939">
        <v>42988</v>
      </c>
      <c r="J352" s="940" t="s">
        <v>2011</v>
      </c>
      <c r="K352" s="932">
        <f t="shared" si="27"/>
        <v>43006</v>
      </c>
      <c r="L352" s="940"/>
      <c r="M352" s="940"/>
    </row>
    <row r="353" spans="1:13" ht="20.100000000000001" hidden="1" customHeight="1" x14ac:dyDescent="0.3">
      <c r="A353" s="946"/>
      <c r="B353" s="923">
        <f t="shared" ca="1" si="26"/>
        <v>43134</v>
      </c>
      <c r="C353" s="935"/>
      <c r="D353" s="936"/>
      <c r="E353" s="937"/>
      <c r="F353" s="943" t="s">
        <v>1399</v>
      </c>
      <c r="G353" s="938"/>
      <c r="H353" s="940"/>
      <c r="I353" s="939">
        <v>42989</v>
      </c>
      <c r="J353" s="940" t="s">
        <v>2011</v>
      </c>
      <c r="K353" s="932">
        <f t="shared" si="27"/>
        <v>43007</v>
      </c>
      <c r="L353" s="940"/>
      <c r="M353" s="940"/>
    </row>
    <row r="354" spans="1:13" ht="20.100000000000001" hidden="1" customHeight="1" x14ac:dyDescent="0.3">
      <c r="A354" s="946"/>
      <c r="B354" s="923">
        <f t="shared" ca="1" si="26"/>
        <v>43134</v>
      </c>
      <c r="C354" s="935"/>
      <c r="D354" s="936"/>
      <c r="E354" s="937"/>
      <c r="F354" s="943" t="s">
        <v>1209</v>
      </c>
      <c r="G354" s="938"/>
      <c r="H354" s="940"/>
      <c r="I354" s="939">
        <v>42993</v>
      </c>
      <c r="J354" s="940" t="s">
        <v>2011</v>
      </c>
      <c r="K354" s="932">
        <f t="shared" si="27"/>
        <v>43011</v>
      </c>
      <c r="L354" s="940"/>
      <c r="M354" s="940"/>
    </row>
    <row r="355" spans="1:13" ht="20.100000000000001" hidden="1" customHeight="1" x14ac:dyDescent="0.3">
      <c r="A355" s="946"/>
      <c r="B355" s="923">
        <f t="shared" ca="1" si="26"/>
        <v>43134</v>
      </c>
      <c r="C355" s="935"/>
      <c r="D355" s="936"/>
      <c r="E355" s="937"/>
      <c r="F355" s="943" t="s">
        <v>830</v>
      </c>
      <c r="G355" s="938"/>
      <c r="H355" s="940"/>
      <c r="I355" s="939">
        <v>42998</v>
      </c>
      <c r="J355" s="940" t="s">
        <v>2011</v>
      </c>
      <c r="K355" s="932">
        <f t="shared" si="27"/>
        <v>43016</v>
      </c>
      <c r="L355" s="940"/>
      <c r="M355" s="940"/>
    </row>
    <row r="356" spans="1:13" ht="20.100000000000001" hidden="1" customHeight="1" x14ac:dyDescent="0.3">
      <c r="A356" s="946"/>
      <c r="B356" s="923">
        <f t="shared" ca="1" si="26"/>
        <v>43134</v>
      </c>
      <c r="C356" s="935"/>
      <c r="D356" s="936"/>
      <c r="E356" s="937"/>
      <c r="F356" s="943" t="s">
        <v>1183</v>
      </c>
      <c r="G356" s="938"/>
      <c r="H356" s="940"/>
      <c r="I356" s="939">
        <v>42998</v>
      </c>
      <c r="J356" s="940" t="s">
        <v>2011</v>
      </c>
      <c r="K356" s="932">
        <f t="shared" si="27"/>
        <v>43016</v>
      </c>
      <c r="L356" s="940"/>
      <c r="M356" s="940"/>
    </row>
    <row r="357" spans="1:13" ht="20.100000000000001" hidden="1" customHeight="1" x14ac:dyDescent="0.3">
      <c r="A357" s="946"/>
      <c r="B357" s="923">
        <f t="shared" ca="1" si="26"/>
        <v>43134</v>
      </c>
      <c r="C357" s="935"/>
      <c r="D357" s="936"/>
      <c r="E357" s="937"/>
      <c r="F357" s="943" t="s">
        <v>1226</v>
      </c>
      <c r="G357" s="938"/>
      <c r="H357" s="940"/>
      <c r="I357" s="939">
        <v>43004</v>
      </c>
      <c r="J357" s="940" t="s">
        <v>2011</v>
      </c>
      <c r="K357" s="932">
        <f t="shared" si="27"/>
        <v>43022</v>
      </c>
      <c r="L357" s="940"/>
      <c r="M357" s="940"/>
    </row>
    <row r="358" spans="1:13" ht="20.100000000000001" hidden="1" customHeight="1" x14ac:dyDescent="0.3">
      <c r="A358" s="946"/>
      <c r="B358" s="923">
        <f t="shared" ca="1" si="26"/>
        <v>43134</v>
      </c>
      <c r="C358" s="935"/>
      <c r="D358" s="936"/>
      <c r="E358" s="937"/>
      <c r="F358" s="943" t="s">
        <v>1207</v>
      </c>
      <c r="G358" s="938"/>
      <c r="H358" s="940"/>
      <c r="I358" s="939">
        <v>43004</v>
      </c>
      <c r="J358" s="940" t="s">
        <v>2011</v>
      </c>
      <c r="K358" s="932">
        <f t="shared" si="27"/>
        <v>43022</v>
      </c>
      <c r="L358" s="940"/>
      <c r="M358" s="940"/>
    </row>
    <row r="359" spans="1:13" ht="20.100000000000001" hidden="1" customHeight="1" x14ac:dyDescent="0.3">
      <c r="A359" s="946"/>
      <c r="B359" s="923">
        <f t="shared" ca="1" si="26"/>
        <v>43134</v>
      </c>
      <c r="C359" s="935"/>
      <c r="D359" s="936"/>
      <c r="E359" s="937"/>
      <c r="F359" s="943" t="s">
        <v>887</v>
      </c>
      <c r="G359" s="938"/>
      <c r="H359" s="940"/>
      <c r="I359" s="939">
        <v>43004</v>
      </c>
      <c r="J359" s="940" t="s">
        <v>2011</v>
      </c>
      <c r="K359" s="932">
        <f t="shared" si="27"/>
        <v>43022</v>
      </c>
      <c r="L359" s="940"/>
      <c r="M359" s="940"/>
    </row>
    <row r="360" spans="1:13" ht="20.100000000000001" hidden="1" customHeight="1" x14ac:dyDescent="0.3">
      <c r="A360" s="946"/>
      <c r="B360" s="923">
        <f t="shared" ca="1" si="26"/>
        <v>43134</v>
      </c>
      <c r="C360" s="935"/>
      <c r="D360" s="936"/>
      <c r="E360" s="937"/>
      <c r="F360" s="943" t="s">
        <v>1226</v>
      </c>
      <c r="G360" s="938"/>
      <c r="H360" s="940"/>
      <c r="I360" s="939">
        <v>43004</v>
      </c>
      <c r="J360" s="940" t="s">
        <v>2011</v>
      </c>
      <c r="K360" s="932">
        <f t="shared" si="27"/>
        <v>43022</v>
      </c>
      <c r="L360" s="940"/>
      <c r="M360" s="940"/>
    </row>
    <row r="361" spans="1:13" ht="20.100000000000001" hidden="1" customHeight="1" x14ac:dyDescent="0.3">
      <c r="A361" s="946"/>
      <c r="B361" s="923">
        <f t="shared" ca="1" si="26"/>
        <v>43134</v>
      </c>
      <c r="C361" s="935"/>
      <c r="D361" s="936"/>
      <c r="E361" s="937"/>
      <c r="F361" s="943" t="s">
        <v>1233</v>
      </c>
      <c r="G361" s="938"/>
      <c r="H361" s="940"/>
      <c r="I361" s="939">
        <v>43004</v>
      </c>
      <c r="J361" s="940" t="s">
        <v>2011</v>
      </c>
      <c r="K361" s="932">
        <f t="shared" si="27"/>
        <v>43022</v>
      </c>
      <c r="L361" s="940"/>
      <c r="M361" s="940"/>
    </row>
    <row r="362" spans="1:13" ht="20.100000000000001" hidden="1" customHeight="1" x14ac:dyDescent="0.3">
      <c r="A362" s="946"/>
      <c r="B362" s="923">
        <f t="shared" ca="1" si="26"/>
        <v>43134</v>
      </c>
      <c r="C362" s="935"/>
      <c r="D362" s="936"/>
      <c r="E362" s="937"/>
      <c r="F362" s="943" t="s">
        <v>486</v>
      </c>
      <c r="G362" s="938"/>
      <c r="H362" s="940"/>
      <c r="I362" s="939">
        <v>43004</v>
      </c>
      <c r="J362" s="940" t="s">
        <v>2011</v>
      </c>
      <c r="K362" s="932">
        <f t="shared" si="27"/>
        <v>43022</v>
      </c>
      <c r="L362" s="940"/>
      <c r="M362" s="940"/>
    </row>
    <row r="363" spans="1:13" ht="20.100000000000001" hidden="1" customHeight="1" x14ac:dyDescent="0.3">
      <c r="A363" s="946"/>
      <c r="B363" s="923">
        <f t="shared" ca="1" si="26"/>
        <v>43134</v>
      </c>
      <c r="C363" s="935"/>
      <c r="D363" s="936"/>
      <c r="E363" s="937"/>
      <c r="F363" s="943" t="s">
        <v>1201</v>
      </c>
      <c r="G363" s="938"/>
      <c r="H363" s="940"/>
      <c r="I363" s="939">
        <v>43005</v>
      </c>
      <c r="J363" s="940" t="s">
        <v>2011</v>
      </c>
      <c r="K363" s="932">
        <f t="shared" si="27"/>
        <v>43023</v>
      </c>
      <c r="L363" s="940"/>
      <c r="M363" s="940"/>
    </row>
    <row r="364" spans="1:13" ht="20.100000000000001" hidden="1" customHeight="1" x14ac:dyDescent="0.3">
      <c r="A364" s="946"/>
      <c r="B364" s="923">
        <f t="shared" ca="1" si="26"/>
        <v>43134</v>
      </c>
      <c r="C364" s="935"/>
      <c r="D364" s="936"/>
      <c r="E364" s="937"/>
      <c r="F364" s="943" t="s">
        <v>498</v>
      </c>
      <c r="G364" s="938"/>
      <c r="H364" s="940"/>
      <c r="I364" s="939">
        <v>43007</v>
      </c>
      <c r="J364" s="940" t="s">
        <v>2730</v>
      </c>
      <c r="K364" s="932">
        <f t="shared" si="27"/>
        <v>43025</v>
      </c>
      <c r="L364" s="940"/>
      <c r="M364" s="940"/>
    </row>
    <row r="365" spans="1:13" ht="20.100000000000001" hidden="1" customHeight="1" x14ac:dyDescent="0.3">
      <c r="A365" s="946"/>
      <c r="B365" s="923">
        <f t="shared" ca="1" si="26"/>
        <v>43134</v>
      </c>
      <c r="C365" s="935"/>
      <c r="D365" s="936"/>
      <c r="E365" s="937"/>
      <c r="F365" s="943" t="s">
        <v>1218</v>
      </c>
      <c r="G365" s="938"/>
      <c r="H365" s="940"/>
      <c r="I365" s="939">
        <v>43007</v>
      </c>
      <c r="J365" s="940" t="s">
        <v>2011</v>
      </c>
      <c r="K365" s="932">
        <f t="shared" si="27"/>
        <v>43025</v>
      </c>
      <c r="L365" s="940"/>
      <c r="M365" s="940"/>
    </row>
    <row r="366" spans="1:13" ht="20.100000000000001" hidden="1" customHeight="1" x14ac:dyDescent="0.3">
      <c r="A366" s="946"/>
      <c r="B366" s="923">
        <f t="shared" ca="1" si="26"/>
        <v>43134</v>
      </c>
      <c r="C366" s="935"/>
      <c r="D366" s="936"/>
      <c r="E366" s="937"/>
      <c r="F366" s="943" t="s">
        <v>92</v>
      </c>
      <c r="G366" s="938"/>
      <c r="H366" s="940"/>
      <c r="I366" s="939">
        <v>43007</v>
      </c>
      <c r="J366" s="940" t="s">
        <v>2011</v>
      </c>
      <c r="K366" s="932">
        <f t="shared" si="27"/>
        <v>43025</v>
      </c>
      <c r="L366" s="940"/>
      <c r="M366" s="940"/>
    </row>
    <row r="367" spans="1:13" ht="20.100000000000001" hidden="1" customHeight="1" x14ac:dyDescent="0.3">
      <c r="A367" s="946"/>
      <c r="B367" s="923">
        <f t="shared" ca="1" si="26"/>
        <v>43134</v>
      </c>
      <c r="C367" s="935"/>
      <c r="D367" s="936"/>
      <c r="E367" s="937"/>
      <c r="F367" s="943" t="s">
        <v>641</v>
      </c>
      <c r="G367" s="938"/>
      <c r="H367" s="940"/>
      <c r="I367" s="939">
        <v>43008</v>
      </c>
      <c r="J367" s="940" t="s">
        <v>2730</v>
      </c>
      <c r="K367" s="932">
        <f t="shared" si="27"/>
        <v>43026</v>
      </c>
      <c r="L367" s="940"/>
      <c r="M367" s="940"/>
    </row>
    <row r="368" spans="1:13" ht="20.100000000000001" hidden="1" customHeight="1" x14ac:dyDescent="0.3">
      <c r="A368" s="946"/>
      <c r="B368" s="923">
        <f t="shared" ca="1" si="26"/>
        <v>43134</v>
      </c>
      <c r="C368" s="935"/>
      <c r="D368" s="936"/>
      <c r="E368" s="937"/>
      <c r="F368" s="943" t="s">
        <v>428</v>
      </c>
      <c r="G368" s="938"/>
      <c r="H368" s="940"/>
      <c r="I368" s="939">
        <v>43008</v>
      </c>
      <c r="J368" s="940" t="s">
        <v>3191</v>
      </c>
      <c r="K368" s="932">
        <f t="shared" si="27"/>
        <v>43026</v>
      </c>
      <c r="L368" s="940"/>
      <c r="M368" s="940"/>
    </row>
    <row r="369" spans="1:13" ht="20.100000000000001" hidden="1" customHeight="1" x14ac:dyDescent="0.3">
      <c r="A369" s="946"/>
      <c r="B369" s="923">
        <f t="shared" ca="1" si="26"/>
        <v>43134</v>
      </c>
      <c r="C369" s="935"/>
      <c r="D369" s="936"/>
      <c r="E369" s="937"/>
      <c r="F369" s="943" t="s">
        <v>996</v>
      </c>
      <c r="G369" s="938"/>
      <c r="H369" s="940"/>
      <c r="I369" s="939">
        <v>43008</v>
      </c>
      <c r="J369" s="940" t="s">
        <v>3192</v>
      </c>
      <c r="K369" s="932">
        <f t="shared" si="27"/>
        <v>43026</v>
      </c>
      <c r="L369" s="940"/>
      <c r="M369" s="940"/>
    </row>
    <row r="370" spans="1:13" ht="20.100000000000001" customHeight="1" x14ac:dyDescent="0.3">
      <c r="A370" s="946"/>
      <c r="B370" s="923">
        <f t="shared" ca="1" si="26"/>
        <v>43134</v>
      </c>
      <c r="C370" s="935"/>
      <c r="D370" s="936"/>
      <c r="E370" s="937"/>
      <c r="F370" s="943" t="s">
        <v>1255</v>
      </c>
      <c r="G370" s="938"/>
      <c r="H370" s="940"/>
      <c r="I370" s="939">
        <v>43009</v>
      </c>
      <c r="J370" s="940" t="s">
        <v>3193</v>
      </c>
      <c r="K370" s="932">
        <f t="shared" si="27"/>
        <v>43027</v>
      </c>
      <c r="L370" s="940"/>
      <c r="M370" s="940"/>
    </row>
    <row r="371" spans="1:13" ht="20.100000000000001" customHeight="1" x14ac:dyDescent="0.3">
      <c r="A371" s="946"/>
      <c r="B371" s="923">
        <f t="shared" ca="1" si="26"/>
        <v>43134</v>
      </c>
      <c r="C371" s="935"/>
      <c r="D371" s="936"/>
      <c r="E371" s="937"/>
      <c r="F371" s="943" t="s">
        <v>1406</v>
      </c>
      <c r="G371" s="938"/>
      <c r="H371" s="940"/>
      <c r="I371" s="939">
        <v>43009</v>
      </c>
      <c r="J371" s="940" t="s">
        <v>3194</v>
      </c>
      <c r="K371" s="932">
        <f t="shared" si="27"/>
        <v>43027</v>
      </c>
      <c r="L371" s="940"/>
      <c r="M371" s="940"/>
    </row>
    <row r="372" spans="1:13" ht="20.100000000000001" hidden="1" customHeight="1" x14ac:dyDescent="0.3">
      <c r="A372" s="946"/>
      <c r="B372" s="923">
        <f t="shared" ca="1" si="26"/>
        <v>43134</v>
      </c>
      <c r="C372" s="935"/>
      <c r="D372" s="936"/>
      <c r="E372" s="937"/>
      <c r="F372" s="943" t="s">
        <v>1040</v>
      </c>
      <c r="G372" s="938"/>
      <c r="H372" s="940"/>
      <c r="I372" s="939">
        <v>43008</v>
      </c>
      <c r="J372" s="940" t="s">
        <v>3192</v>
      </c>
      <c r="K372" s="932">
        <f t="shared" si="27"/>
        <v>43026</v>
      </c>
      <c r="L372" s="940"/>
      <c r="M372" s="940"/>
    </row>
    <row r="373" spans="1:13" ht="20.100000000000001" customHeight="1" x14ac:dyDescent="0.3">
      <c r="A373" s="946"/>
      <c r="B373" s="923">
        <f t="shared" ca="1" si="26"/>
        <v>43134</v>
      </c>
      <c r="C373" s="935"/>
      <c r="D373" s="936"/>
      <c r="E373" s="937"/>
      <c r="F373" s="943" t="s">
        <v>879</v>
      </c>
      <c r="G373" s="938"/>
      <c r="H373" s="940"/>
      <c r="I373" s="939">
        <v>43010</v>
      </c>
      <c r="J373" s="940" t="s">
        <v>2011</v>
      </c>
      <c r="K373" s="932">
        <f t="shared" si="27"/>
        <v>43028</v>
      </c>
      <c r="L373" s="940"/>
      <c r="M373" s="940"/>
    </row>
    <row r="374" spans="1:13" ht="20.100000000000001" customHeight="1" x14ac:dyDescent="0.3">
      <c r="A374" s="946"/>
      <c r="B374" s="923">
        <f t="shared" ca="1" si="26"/>
        <v>43134</v>
      </c>
      <c r="C374" s="935"/>
      <c r="D374" s="936"/>
      <c r="E374" s="937"/>
      <c r="F374" s="943" t="s">
        <v>1521</v>
      </c>
      <c r="G374" s="938"/>
      <c r="H374" s="940"/>
      <c r="I374" s="939">
        <v>43011</v>
      </c>
      <c r="J374" s="940" t="s">
        <v>2011</v>
      </c>
      <c r="K374" s="932">
        <f t="shared" si="27"/>
        <v>43029</v>
      </c>
      <c r="L374" s="940"/>
      <c r="M374" s="940"/>
    </row>
    <row r="375" spans="1:13" ht="20.100000000000001" customHeight="1" x14ac:dyDescent="0.3">
      <c r="A375" s="946"/>
      <c r="B375" s="923">
        <f t="shared" ca="1" si="26"/>
        <v>43134</v>
      </c>
      <c r="C375" s="935"/>
      <c r="D375" s="936"/>
      <c r="E375" s="937"/>
      <c r="F375" s="943" t="s">
        <v>3197</v>
      </c>
      <c r="G375" s="938"/>
      <c r="H375" s="940"/>
      <c r="I375" s="939">
        <v>43011</v>
      </c>
      <c r="J375" s="940" t="s">
        <v>2011</v>
      </c>
      <c r="K375" s="932">
        <f t="shared" si="27"/>
        <v>43029</v>
      </c>
      <c r="L375" s="940"/>
      <c r="M375" s="940"/>
    </row>
    <row r="376" spans="1:13" ht="20.100000000000001" customHeight="1" x14ac:dyDescent="0.3">
      <c r="A376" s="946"/>
      <c r="B376" s="923">
        <f t="shared" ca="1" si="26"/>
        <v>43134</v>
      </c>
      <c r="C376" s="935"/>
      <c r="D376" s="936"/>
      <c r="E376" s="937"/>
      <c r="F376" s="943" t="s">
        <v>332</v>
      </c>
      <c r="G376" s="938"/>
      <c r="H376" s="940"/>
      <c r="I376" s="939">
        <v>43013</v>
      </c>
      <c r="J376" s="940" t="s">
        <v>3209</v>
      </c>
      <c r="K376" s="932">
        <f t="shared" si="27"/>
        <v>43031</v>
      </c>
      <c r="L376" s="940"/>
      <c r="M376" s="940"/>
    </row>
    <row r="377" spans="1:13" ht="20.100000000000001" customHeight="1" x14ac:dyDescent="0.3">
      <c r="A377" s="946"/>
      <c r="B377" s="923">
        <f t="shared" ca="1" si="26"/>
        <v>43134</v>
      </c>
      <c r="C377" s="935"/>
      <c r="D377" s="936"/>
      <c r="E377" s="937"/>
      <c r="F377" s="943" t="s">
        <v>1409</v>
      </c>
      <c r="G377" s="938"/>
      <c r="H377" s="940"/>
      <c r="I377" s="939">
        <v>43014</v>
      </c>
      <c r="J377" s="940" t="s">
        <v>3218</v>
      </c>
      <c r="K377" s="932">
        <f t="shared" si="27"/>
        <v>43032</v>
      </c>
      <c r="L377" s="940"/>
      <c r="M377" s="940"/>
    </row>
    <row r="378" spans="1:13" ht="20.100000000000001" customHeight="1" x14ac:dyDescent="0.3">
      <c r="A378" s="946"/>
      <c r="B378" s="923">
        <f t="shared" ca="1" si="26"/>
        <v>43134</v>
      </c>
      <c r="C378" s="935"/>
      <c r="D378" s="936"/>
      <c r="E378" s="937"/>
      <c r="F378" s="943" t="s">
        <v>1209</v>
      </c>
      <c r="G378" s="938"/>
      <c r="H378" s="940"/>
      <c r="I378" s="939">
        <v>43014</v>
      </c>
      <c r="J378" s="940" t="s">
        <v>3219</v>
      </c>
      <c r="K378" s="932">
        <f t="shared" si="27"/>
        <v>43032</v>
      </c>
      <c r="L378" s="940"/>
      <c r="M378" s="940"/>
    </row>
    <row r="379" spans="1:13" ht="20.100000000000001" customHeight="1" x14ac:dyDescent="0.3">
      <c r="A379" s="946"/>
      <c r="B379" s="923">
        <f t="shared" ca="1" si="26"/>
        <v>43134</v>
      </c>
      <c r="C379" s="935"/>
      <c r="D379" s="936"/>
      <c r="E379" s="937"/>
      <c r="F379" s="943" t="s">
        <v>779</v>
      </c>
      <c r="G379" s="938"/>
      <c r="H379" s="940"/>
      <c r="I379" s="939">
        <v>43015</v>
      </c>
      <c r="J379" s="940" t="s">
        <v>3220</v>
      </c>
      <c r="K379" s="932">
        <f t="shared" si="27"/>
        <v>43033</v>
      </c>
      <c r="L379" s="940"/>
      <c r="M379" s="940"/>
    </row>
    <row r="380" spans="1:13" ht="20.100000000000001" customHeight="1" x14ac:dyDescent="0.3">
      <c r="A380" s="946"/>
      <c r="B380" s="923">
        <f t="shared" ca="1" si="26"/>
        <v>43134</v>
      </c>
      <c r="C380" s="935"/>
      <c r="D380" s="936"/>
      <c r="E380" s="937"/>
      <c r="F380" s="943" t="s">
        <v>1909</v>
      </c>
      <c r="G380" s="938"/>
      <c r="H380" s="940"/>
      <c r="I380" s="939">
        <v>43015</v>
      </c>
      <c r="J380" s="940" t="s">
        <v>2519</v>
      </c>
      <c r="K380" s="932">
        <f t="shared" si="27"/>
        <v>43033</v>
      </c>
      <c r="L380" s="940"/>
      <c r="M380" s="940"/>
    </row>
    <row r="381" spans="1:13" ht="20.100000000000001" customHeight="1" x14ac:dyDescent="0.3">
      <c r="A381" s="946"/>
      <c r="B381" s="923">
        <f t="shared" ca="1" si="26"/>
        <v>43134</v>
      </c>
      <c r="C381" s="935"/>
      <c r="D381" s="936"/>
      <c r="E381" s="937"/>
      <c r="F381" s="943" t="s">
        <v>700</v>
      </c>
      <c r="G381" s="938"/>
      <c r="H381" s="940"/>
      <c r="I381" s="939">
        <v>43015</v>
      </c>
      <c r="J381" s="940" t="s">
        <v>3219</v>
      </c>
      <c r="K381" s="932">
        <f t="shared" si="27"/>
        <v>43033</v>
      </c>
      <c r="L381" s="940"/>
      <c r="M381" s="940"/>
    </row>
    <row r="382" spans="1:13" ht="20.100000000000001" customHeight="1" x14ac:dyDescent="0.3">
      <c r="A382" s="946"/>
      <c r="B382" s="923">
        <f t="shared" ca="1" si="26"/>
        <v>43134</v>
      </c>
      <c r="C382" s="935"/>
      <c r="D382" s="936"/>
      <c r="E382" s="937"/>
      <c r="F382" s="943" t="s">
        <v>28</v>
      </c>
      <c r="G382" s="938"/>
      <c r="H382" s="940"/>
      <c r="I382" s="939">
        <v>43016</v>
      </c>
      <c r="J382" s="940" t="s">
        <v>3221</v>
      </c>
      <c r="K382" s="932">
        <f t="shared" si="27"/>
        <v>43034</v>
      </c>
      <c r="L382" s="940"/>
      <c r="M382" s="940"/>
    </row>
    <row r="383" spans="1:13" ht="20.100000000000001" customHeight="1" x14ac:dyDescent="0.3">
      <c r="A383" s="946"/>
      <c r="B383" s="923">
        <f t="shared" ca="1" si="26"/>
        <v>43134</v>
      </c>
      <c r="C383" s="935"/>
      <c r="D383" s="936"/>
      <c r="E383" s="937"/>
      <c r="F383" s="943" t="s">
        <v>1132</v>
      </c>
      <c r="G383" s="938"/>
      <c r="H383" s="940"/>
      <c r="I383" s="939">
        <v>43016</v>
      </c>
      <c r="J383" s="940" t="s">
        <v>3222</v>
      </c>
      <c r="K383" s="932">
        <f t="shared" si="27"/>
        <v>43034</v>
      </c>
      <c r="L383" s="940"/>
      <c r="M383" s="940"/>
    </row>
    <row r="384" spans="1:13" ht="20.100000000000001" customHeight="1" x14ac:dyDescent="0.3">
      <c r="A384" s="946"/>
      <c r="B384" s="923">
        <f t="shared" ca="1" si="26"/>
        <v>43134</v>
      </c>
      <c r="C384" s="935"/>
      <c r="D384" s="936"/>
      <c r="E384" s="937"/>
      <c r="F384" s="943" t="s">
        <v>371</v>
      </c>
      <c r="G384" s="938"/>
      <c r="H384" s="940"/>
      <c r="I384" s="939">
        <v>43016</v>
      </c>
      <c r="J384" s="940" t="s">
        <v>3219</v>
      </c>
      <c r="K384" s="932">
        <f t="shared" si="27"/>
        <v>43034</v>
      </c>
      <c r="L384" s="940"/>
      <c r="M384" s="940"/>
    </row>
    <row r="385" spans="1:13" ht="20.100000000000001" customHeight="1" x14ac:dyDescent="0.3">
      <c r="A385" s="946"/>
      <c r="B385" s="923">
        <f t="shared" ca="1" si="26"/>
        <v>43134</v>
      </c>
      <c r="C385" s="935"/>
      <c r="D385" s="936"/>
      <c r="E385" s="937"/>
      <c r="F385" s="943" t="s">
        <v>877</v>
      </c>
      <c r="G385" s="938"/>
      <c r="H385" s="940"/>
      <c r="I385" s="939">
        <v>43016</v>
      </c>
      <c r="J385" s="940" t="s">
        <v>3219</v>
      </c>
      <c r="K385" s="932">
        <f t="shared" si="27"/>
        <v>43034</v>
      </c>
      <c r="L385" s="940"/>
      <c r="M385" s="940"/>
    </row>
    <row r="386" spans="1:13" ht="20.100000000000001" customHeight="1" x14ac:dyDescent="0.3">
      <c r="A386" s="946"/>
      <c r="B386" s="923">
        <f t="shared" ref="B386:B449" ca="1" si="28">TODAY()</f>
        <v>43134</v>
      </c>
      <c r="C386" s="935"/>
      <c r="D386" s="936"/>
      <c r="E386" s="937"/>
      <c r="F386" s="943" t="s">
        <v>634</v>
      </c>
      <c r="G386" s="938"/>
      <c r="H386" s="940"/>
      <c r="I386" s="939">
        <v>43017</v>
      </c>
      <c r="J386" s="940" t="s">
        <v>2011</v>
      </c>
      <c r="K386" s="932">
        <f t="shared" si="27"/>
        <v>43035</v>
      </c>
      <c r="L386" s="940"/>
      <c r="M386" s="940"/>
    </row>
    <row r="387" spans="1:13" ht="20.100000000000001" customHeight="1" x14ac:dyDescent="0.3">
      <c r="A387" s="946"/>
      <c r="B387" s="923">
        <f t="shared" ca="1" si="28"/>
        <v>43134</v>
      </c>
      <c r="C387" s="935"/>
      <c r="D387" s="936"/>
      <c r="E387" s="937"/>
      <c r="F387" s="943" t="s">
        <v>1034</v>
      </c>
      <c r="G387" s="938"/>
      <c r="H387" s="940"/>
      <c r="I387" s="939">
        <v>43017</v>
      </c>
      <c r="J387" s="940" t="s">
        <v>3231</v>
      </c>
      <c r="K387" s="932">
        <f t="shared" si="27"/>
        <v>43035</v>
      </c>
      <c r="L387" s="940"/>
      <c r="M387" s="940"/>
    </row>
    <row r="388" spans="1:13" ht="20.100000000000001" customHeight="1" x14ac:dyDescent="0.3">
      <c r="A388" s="946"/>
      <c r="B388" s="923">
        <f t="shared" ca="1" si="28"/>
        <v>43134</v>
      </c>
      <c r="C388" s="935"/>
      <c r="D388" s="936"/>
      <c r="E388" s="937"/>
      <c r="F388" s="943" t="s">
        <v>1190</v>
      </c>
      <c r="G388" s="938"/>
      <c r="H388" s="940"/>
      <c r="I388" s="939">
        <v>43018</v>
      </c>
      <c r="J388" s="940" t="s">
        <v>3233</v>
      </c>
      <c r="K388" s="932">
        <f t="shared" ref="K388:K451" si="29">IF(AND(I388&gt;0,J388&gt;0),I388+18,"-")</f>
        <v>43036</v>
      </c>
      <c r="L388" s="940"/>
      <c r="M388" s="940"/>
    </row>
    <row r="389" spans="1:13" ht="20.100000000000001" customHeight="1" x14ac:dyDescent="0.3">
      <c r="A389" s="946"/>
      <c r="B389" s="923">
        <f t="shared" ca="1" si="28"/>
        <v>43134</v>
      </c>
      <c r="C389" s="935"/>
      <c r="D389" s="936"/>
      <c r="E389" s="937"/>
      <c r="F389" s="943" t="s">
        <v>1199</v>
      </c>
      <c r="G389" s="938"/>
      <c r="H389" s="940"/>
      <c r="I389" s="939">
        <v>43018</v>
      </c>
      <c r="J389" s="940" t="s">
        <v>2011</v>
      </c>
      <c r="K389" s="932">
        <f t="shared" si="29"/>
        <v>43036</v>
      </c>
      <c r="L389" s="940"/>
      <c r="M389" s="940"/>
    </row>
    <row r="390" spans="1:13" ht="20.100000000000001" customHeight="1" x14ac:dyDescent="0.3">
      <c r="A390" s="946"/>
      <c r="B390" s="923">
        <f t="shared" ca="1" si="28"/>
        <v>43134</v>
      </c>
      <c r="C390" s="935"/>
      <c r="D390" s="936"/>
      <c r="E390" s="937"/>
      <c r="F390" s="943" t="s">
        <v>719</v>
      </c>
      <c r="G390" s="938"/>
      <c r="H390" s="940"/>
      <c r="I390" s="939">
        <v>43018</v>
      </c>
      <c r="J390" s="940" t="s">
        <v>3234</v>
      </c>
      <c r="K390" s="932">
        <f t="shared" si="29"/>
        <v>43036</v>
      </c>
      <c r="L390" s="940"/>
      <c r="M390" s="940"/>
    </row>
    <row r="391" spans="1:13" ht="20.100000000000001" customHeight="1" x14ac:dyDescent="0.3">
      <c r="A391" s="946"/>
      <c r="B391" s="923">
        <f t="shared" ca="1" si="28"/>
        <v>43134</v>
      </c>
      <c r="C391" s="935"/>
      <c r="D391" s="936"/>
      <c r="E391" s="937"/>
      <c r="F391" s="943" t="s">
        <v>487</v>
      </c>
      <c r="G391" s="938"/>
      <c r="H391" s="940"/>
      <c r="I391" s="939">
        <v>43022</v>
      </c>
      <c r="J391" s="940" t="s">
        <v>3309</v>
      </c>
      <c r="K391" s="932">
        <f t="shared" si="29"/>
        <v>43040</v>
      </c>
      <c r="L391" s="940"/>
      <c r="M391" s="940"/>
    </row>
    <row r="392" spans="1:13" ht="20.100000000000001" customHeight="1" x14ac:dyDescent="0.3">
      <c r="A392" s="946"/>
      <c r="B392" s="923">
        <f t="shared" ca="1" si="28"/>
        <v>43134</v>
      </c>
      <c r="C392" s="935"/>
      <c r="D392" s="936"/>
      <c r="E392" s="937"/>
      <c r="F392" s="943" t="s">
        <v>486</v>
      </c>
      <c r="G392" s="938"/>
      <c r="H392" s="940"/>
      <c r="I392" s="939">
        <v>43022</v>
      </c>
      <c r="J392" s="940" t="s">
        <v>3309</v>
      </c>
      <c r="K392" s="932">
        <f t="shared" si="29"/>
        <v>43040</v>
      </c>
      <c r="L392" s="940"/>
      <c r="M392" s="940"/>
    </row>
    <row r="393" spans="1:13" ht="20.100000000000001" customHeight="1" x14ac:dyDescent="0.3">
      <c r="A393" s="946"/>
      <c r="B393" s="923">
        <f t="shared" ca="1" si="28"/>
        <v>43134</v>
      </c>
      <c r="C393" s="935"/>
      <c r="D393" s="936"/>
      <c r="E393" s="937"/>
      <c r="F393" s="943" t="s">
        <v>1201</v>
      </c>
      <c r="G393" s="938"/>
      <c r="H393" s="940"/>
      <c r="I393" s="939">
        <v>43022</v>
      </c>
      <c r="J393" s="940" t="s">
        <v>2730</v>
      </c>
      <c r="K393" s="932">
        <f t="shared" si="29"/>
        <v>43040</v>
      </c>
      <c r="L393" s="940"/>
      <c r="M393" s="940"/>
    </row>
    <row r="394" spans="1:13" ht="20.100000000000001" customHeight="1" x14ac:dyDescent="0.3">
      <c r="A394" s="946"/>
      <c r="B394" s="923">
        <f t="shared" ca="1" si="28"/>
        <v>43134</v>
      </c>
      <c r="C394" s="935"/>
      <c r="D394" s="936"/>
      <c r="E394" s="937"/>
      <c r="F394" s="943" t="s">
        <v>1253</v>
      </c>
      <c r="G394" s="938"/>
      <c r="H394" s="940"/>
      <c r="I394" s="939">
        <v>43023</v>
      </c>
      <c r="J394" s="940" t="s">
        <v>3310</v>
      </c>
      <c r="K394" s="932">
        <f t="shared" si="29"/>
        <v>43041</v>
      </c>
      <c r="L394" s="940"/>
      <c r="M394" s="940"/>
    </row>
    <row r="395" spans="1:13" ht="20.100000000000001" customHeight="1" x14ac:dyDescent="0.3">
      <c r="A395" s="946"/>
      <c r="B395" s="923">
        <f t="shared" ca="1" si="28"/>
        <v>43134</v>
      </c>
      <c r="C395" s="935"/>
      <c r="D395" s="936"/>
      <c r="E395" s="937"/>
      <c r="F395" s="943" t="s">
        <v>468</v>
      </c>
      <c r="G395" s="938"/>
      <c r="H395" s="940"/>
      <c r="I395" s="939">
        <v>43023</v>
      </c>
      <c r="J395" s="940" t="s">
        <v>3311</v>
      </c>
      <c r="K395" s="932">
        <f t="shared" si="29"/>
        <v>43041</v>
      </c>
      <c r="L395" s="940"/>
      <c r="M395" s="940"/>
    </row>
    <row r="396" spans="1:13" ht="20.100000000000001" customHeight="1" x14ac:dyDescent="0.3">
      <c r="A396" s="946"/>
      <c r="B396" s="923">
        <f t="shared" ca="1" si="28"/>
        <v>43134</v>
      </c>
      <c r="C396" s="935"/>
      <c r="D396" s="936"/>
      <c r="E396" s="937"/>
      <c r="F396" s="943" t="s">
        <v>1134</v>
      </c>
      <c r="G396" s="938"/>
      <c r="H396" s="940"/>
      <c r="I396" s="939">
        <v>43026</v>
      </c>
      <c r="J396" s="940" t="s">
        <v>3321</v>
      </c>
      <c r="K396" s="932">
        <f t="shared" si="29"/>
        <v>43044</v>
      </c>
      <c r="L396" s="940"/>
      <c r="M396" s="940"/>
    </row>
    <row r="397" spans="1:13" ht="20.100000000000001" customHeight="1" x14ac:dyDescent="0.3">
      <c r="A397" s="946"/>
      <c r="B397" s="923">
        <f t="shared" ca="1" si="28"/>
        <v>43134</v>
      </c>
      <c r="C397" s="935"/>
      <c r="D397" s="936"/>
      <c r="E397" s="937"/>
      <c r="F397" s="943" t="s">
        <v>3322</v>
      </c>
      <c r="G397" s="938"/>
      <c r="H397" s="940"/>
      <c r="I397" s="939">
        <v>43026</v>
      </c>
      <c r="J397" s="940" t="s">
        <v>2011</v>
      </c>
      <c r="K397" s="932">
        <f t="shared" si="29"/>
        <v>43044</v>
      </c>
      <c r="L397" s="940"/>
      <c r="M397" s="940"/>
    </row>
    <row r="398" spans="1:13" ht="20.100000000000001" customHeight="1" x14ac:dyDescent="0.3">
      <c r="A398" s="946"/>
      <c r="B398" s="923">
        <f t="shared" ca="1" si="28"/>
        <v>43134</v>
      </c>
      <c r="C398" s="935"/>
      <c r="D398" s="936"/>
      <c r="E398" s="937"/>
      <c r="F398" s="943" t="s">
        <v>228</v>
      </c>
      <c r="G398" s="938"/>
      <c r="H398" s="940"/>
      <c r="I398" s="939">
        <v>43027</v>
      </c>
      <c r="J398" s="19" t="s">
        <v>2011</v>
      </c>
      <c r="K398" s="932">
        <f t="shared" si="29"/>
        <v>43045</v>
      </c>
      <c r="L398" s="940"/>
      <c r="M398" s="940"/>
    </row>
    <row r="399" spans="1:13" ht="20.100000000000001" customHeight="1" x14ac:dyDescent="0.3">
      <c r="A399" s="946"/>
      <c r="B399" s="923">
        <f t="shared" ca="1" si="28"/>
        <v>43134</v>
      </c>
      <c r="C399" s="935"/>
      <c r="D399" s="936"/>
      <c r="E399" s="937"/>
      <c r="F399" s="943" t="s">
        <v>1143</v>
      </c>
      <c r="G399" s="938"/>
      <c r="H399" s="940"/>
      <c r="I399" s="939">
        <v>43027</v>
      </c>
      <c r="J399" s="19" t="s">
        <v>2011</v>
      </c>
      <c r="K399" s="932">
        <f t="shared" si="29"/>
        <v>43045</v>
      </c>
      <c r="L399" s="940"/>
      <c r="M399" s="940"/>
    </row>
    <row r="400" spans="1:13" ht="20.100000000000001" customHeight="1" x14ac:dyDescent="0.3">
      <c r="A400" s="946"/>
      <c r="B400" s="923">
        <f t="shared" ca="1" si="28"/>
        <v>43134</v>
      </c>
      <c r="C400" s="935"/>
      <c r="D400" s="936"/>
      <c r="E400" s="937"/>
      <c r="F400" s="943" t="s">
        <v>492</v>
      </c>
      <c r="G400" s="938"/>
      <c r="H400" s="940"/>
      <c r="I400" s="939">
        <v>43028</v>
      </c>
      <c r="J400" s="19" t="s">
        <v>2011</v>
      </c>
      <c r="K400" s="932">
        <f t="shared" si="29"/>
        <v>43046</v>
      </c>
      <c r="L400" s="940"/>
      <c r="M400" s="940"/>
    </row>
    <row r="401" spans="1:13" ht="20.100000000000001" customHeight="1" x14ac:dyDescent="0.3">
      <c r="A401" s="946"/>
      <c r="B401" s="923">
        <f t="shared" ca="1" si="28"/>
        <v>43134</v>
      </c>
      <c r="C401" s="935"/>
      <c r="D401" s="936"/>
      <c r="E401" s="937"/>
      <c r="F401" s="943" t="s">
        <v>428</v>
      </c>
      <c r="G401" s="938"/>
      <c r="H401" s="940"/>
      <c r="I401" s="939">
        <v>43028</v>
      </c>
      <c r="J401" s="19" t="s">
        <v>2011</v>
      </c>
      <c r="K401" s="932">
        <f t="shared" si="29"/>
        <v>43046</v>
      </c>
      <c r="L401" s="940"/>
      <c r="M401" s="940"/>
    </row>
    <row r="402" spans="1:13" ht="20.100000000000001" customHeight="1" x14ac:dyDescent="0.3">
      <c r="A402" s="946"/>
      <c r="B402" s="923">
        <f t="shared" ca="1" si="28"/>
        <v>43134</v>
      </c>
      <c r="C402" s="935"/>
      <c r="D402" s="936"/>
      <c r="E402" s="937"/>
      <c r="F402" s="943" t="s">
        <v>405</v>
      </c>
      <c r="G402" s="938"/>
      <c r="H402" s="940"/>
      <c r="I402" s="939">
        <v>43028</v>
      </c>
      <c r="J402" s="19" t="s">
        <v>3330</v>
      </c>
      <c r="K402" s="932">
        <f t="shared" si="29"/>
        <v>43046</v>
      </c>
      <c r="L402" s="940"/>
      <c r="M402" s="940"/>
    </row>
    <row r="403" spans="1:13" ht="20.100000000000001" customHeight="1" x14ac:dyDescent="0.3">
      <c r="A403" s="946"/>
      <c r="B403" s="923">
        <f t="shared" ca="1" si="28"/>
        <v>43134</v>
      </c>
      <c r="C403" s="935"/>
      <c r="D403" s="936"/>
      <c r="E403" s="937"/>
      <c r="F403" s="943" t="s">
        <v>1264</v>
      </c>
      <c r="G403" s="938"/>
      <c r="H403" s="940"/>
      <c r="I403" s="939">
        <v>43029</v>
      </c>
      <c r="J403" s="19" t="s">
        <v>3329</v>
      </c>
      <c r="K403" s="932">
        <f t="shared" si="29"/>
        <v>43047</v>
      </c>
      <c r="L403" s="940"/>
      <c r="M403" s="940"/>
    </row>
    <row r="404" spans="1:13" ht="20.100000000000001" customHeight="1" x14ac:dyDescent="0.3">
      <c r="A404" s="946"/>
      <c r="B404" s="923">
        <f t="shared" ca="1" si="28"/>
        <v>43134</v>
      </c>
      <c r="C404" s="935"/>
      <c r="D404" s="936"/>
      <c r="E404" s="937"/>
      <c r="F404" s="943" t="s">
        <v>1399</v>
      </c>
      <c r="G404" s="938"/>
      <c r="H404" s="940"/>
      <c r="I404" s="939">
        <v>43029</v>
      </c>
      <c r="J404" s="19" t="s">
        <v>3329</v>
      </c>
      <c r="K404" s="932">
        <f t="shared" si="29"/>
        <v>43047</v>
      </c>
      <c r="L404" s="940"/>
      <c r="M404" s="940"/>
    </row>
    <row r="405" spans="1:13" ht="20.100000000000001" customHeight="1" x14ac:dyDescent="0.3">
      <c r="A405" s="946"/>
      <c r="B405" s="923">
        <f t="shared" ca="1" si="28"/>
        <v>43134</v>
      </c>
      <c r="C405" s="935"/>
      <c r="D405" s="936"/>
      <c r="E405" s="937"/>
      <c r="F405" s="943" t="s">
        <v>1131</v>
      </c>
      <c r="G405" s="938"/>
      <c r="H405" s="940"/>
      <c r="I405" s="939">
        <v>43029</v>
      </c>
      <c r="J405" s="19" t="s">
        <v>3330</v>
      </c>
      <c r="K405" s="932">
        <f t="shared" si="29"/>
        <v>43047</v>
      </c>
      <c r="L405" s="940"/>
      <c r="M405" s="940"/>
    </row>
    <row r="406" spans="1:13" ht="20.100000000000001" customHeight="1" x14ac:dyDescent="0.3">
      <c r="A406" s="946"/>
      <c r="B406" s="923">
        <f t="shared" ca="1" si="28"/>
        <v>43134</v>
      </c>
      <c r="C406" s="935"/>
      <c r="D406" s="936"/>
      <c r="E406" s="937"/>
      <c r="F406" s="943" t="s">
        <v>711</v>
      </c>
      <c r="G406" s="938"/>
      <c r="H406" s="940"/>
      <c r="I406" s="939">
        <v>43029</v>
      </c>
      <c r="J406" s="19" t="s">
        <v>3331</v>
      </c>
      <c r="K406" s="932">
        <f t="shared" si="29"/>
        <v>43047</v>
      </c>
      <c r="L406" s="940"/>
      <c r="M406" s="940"/>
    </row>
    <row r="407" spans="1:13" ht="20.100000000000001" customHeight="1" x14ac:dyDescent="0.3">
      <c r="A407" s="946"/>
      <c r="B407" s="923">
        <f t="shared" ca="1" si="28"/>
        <v>43134</v>
      </c>
      <c r="C407" s="935"/>
      <c r="D407" s="936"/>
      <c r="E407" s="937"/>
      <c r="F407" s="943" t="s">
        <v>1515</v>
      </c>
      <c r="G407" s="938"/>
      <c r="H407" s="940"/>
      <c r="I407" s="939">
        <v>43030</v>
      </c>
      <c r="J407" s="19" t="s">
        <v>3331</v>
      </c>
      <c r="K407" s="932">
        <f t="shared" si="29"/>
        <v>43048</v>
      </c>
      <c r="L407" s="940"/>
      <c r="M407" s="940"/>
    </row>
    <row r="408" spans="1:13" ht="20.100000000000001" customHeight="1" x14ac:dyDescent="0.3">
      <c r="A408" s="946"/>
      <c r="B408" s="923">
        <f t="shared" ca="1" si="28"/>
        <v>43134</v>
      </c>
      <c r="C408" s="935"/>
      <c r="D408" s="936"/>
      <c r="E408" s="937"/>
      <c r="F408" s="943" t="s">
        <v>895</v>
      </c>
      <c r="G408" s="938"/>
      <c r="H408" s="940"/>
      <c r="I408" s="939">
        <v>43030</v>
      </c>
      <c r="J408" s="19" t="s">
        <v>3331</v>
      </c>
      <c r="K408" s="932">
        <f t="shared" si="29"/>
        <v>43048</v>
      </c>
      <c r="L408" s="940"/>
      <c r="M408" s="940"/>
    </row>
    <row r="409" spans="1:13" ht="20.100000000000001" customHeight="1" x14ac:dyDescent="0.3">
      <c r="A409" s="946"/>
      <c r="B409" s="923">
        <f t="shared" ca="1" si="28"/>
        <v>43134</v>
      </c>
      <c r="C409" s="935"/>
      <c r="D409" s="936"/>
      <c r="E409" s="937"/>
      <c r="F409" s="949" t="s">
        <v>1406</v>
      </c>
      <c r="G409" s="938"/>
      <c r="H409" s="940"/>
      <c r="I409" s="939">
        <v>43030</v>
      </c>
      <c r="J409" s="19" t="s">
        <v>3334</v>
      </c>
      <c r="K409" s="932">
        <f t="shared" si="29"/>
        <v>43048</v>
      </c>
      <c r="L409" s="940"/>
      <c r="M409" s="940"/>
    </row>
    <row r="410" spans="1:13" ht="20.100000000000001" customHeight="1" x14ac:dyDescent="0.3">
      <c r="A410" s="946"/>
      <c r="B410" s="923">
        <f t="shared" ca="1" si="28"/>
        <v>43134</v>
      </c>
      <c r="C410" s="935"/>
      <c r="D410" s="936"/>
      <c r="E410" s="937"/>
      <c r="F410" s="949" t="s">
        <v>1243</v>
      </c>
      <c r="G410" s="938"/>
      <c r="H410" s="940"/>
      <c r="I410" s="939">
        <v>43031</v>
      </c>
      <c r="J410" s="19" t="s">
        <v>3334</v>
      </c>
      <c r="K410" s="932">
        <f t="shared" si="29"/>
        <v>43049</v>
      </c>
      <c r="L410" s="940"/>
      <c r="M410" s="940"/>
    </row>
    <row r="411" spans="1:13" ht="20.100000000000001" customHeight="1" x14ac:dyDescent="0.3">
      <c r="A411" s="946"/>
      <c r="B411" s="923">
        <f t="shared" ca="1" si="28"/>
        <v>43134</v>
      </c>
      <c r="C411" s="935"/>
      <c r="D411" s="936"/>
      <c r="E411" s="937"/>
      <c r="F411" s="949" t="s">
        <v>869</v>
      </c>
      <c r="G411" s="938"/>
      <c r="H411" s="940"/>
      <c r="I411" s="939">
        <v>43032</v>
      </c>
      <c r="J411" s="19" t="s">
        <v>3331</v>
      </c>
      <c r="K411" s="932">
        <f t="shared" si="29"/>
        <v>43050</v>
      </c>
      <c r="L411" s="940"/>
      <c r="M411" s="940"/>
    </row>
    <row r="412" spans="1:13" ht="20.100000000000001" customHeight="1" x14ac:dyDescent="0.3">
      <c r="A412" s="946"/>
      <c r="B412" s="923">
        <f t="shared" ca="1" si="28"/>
        <v>43134</v>
      </c>
      <c r="C412" s="935"/>
      <c r="D412" s="936"/>
      <c r="E412" s="937"/>
      <c r="F412" s="949" t="s">
        <v>1222</v>
      </c>
      <c r="G412" s="938"/>
      <c r="H412" s="940"/>
      <c r="I412" s="939">
        <v>43032</v>
      </c>
      <c r="J412" s="19" t="s">
        <v>3309</v>
      </c>
      <c r="K412" s="932">
        <f t="shared" si="29"/>
        <v>43050</v>
      </c>
      <c r="L412" s="940"/>
      <c r="M412" s="940"/>
    </row>
    <row r="413" spans="1:13" ht="20.100000000000001" customHeight="1" x14ac:dyDescent="0.3">
      <c r="A413" s="946"/>
      <c r="B413" s="923">
        <f t="shared" ca="1" si="28"/>
        <v>43134</v>
      </c>
      <c r="C413" s="935"/>
      <c r="D413" s="936"/>
      <c r="E413" s="937"/>
      <c r="F413" s="949" t="s">
        <v>1146</v>
      </c>
      <c r="G413" s="938"/>
      <c r="H413" s="940"/>
      <c r="I413" s="939">
        <v>43035</v>
      </c>
      <c r="J413" s="19" t="s">
        <v>3219</v>
      </c>
      <c r="K413" s="932">
        <f t="shared" si="29"/>
        <v>43053</v>
      </c>
      <c r="L413" s="940"/>
      <c r="M413" s="940"/>
    </row>
    <row r="414" spans="1:13" ht="20.100000000000001" customHeight="1" x14ac:dyDescent="0.3">
      <c r="A414" s="946"/>
      <c r="B414" s="923">
        <f t="shared" ca="1" si="28"/>
        <v>43134</v>
      </c>
      <c r="C414" s="935"/>
      <c r="D414" s="936"/>
      <c r="E414" s="937"/>
      <c r="F414" s="949" t="s">
        <v>1909</v>
      </c>
      <c r="G414" s="938"/>
      <c r="H414" s="940"/>
      <c r="I414" s="939">
        <v>43035</v>
      </c>
      <c r="J414" s="19" t="s">
        <v>3357</v>
      </c>
      <c r="K414" s="932">
        <f t="shared" si="29"/>
        <v>43053</v>
      </c>
      <c r="L414" s="940"/>
      <c r="M414" s="940"/>
    </row>
    <row r="415" spans="1:13" ht="20.100000000000001" customHeight="1" x14ac:dyDescent="0.3">
      <c r="A415" s="946"/>
      <c r="B415" s="923">
        <f t="shared" ca="1" si="28"/>
        <v>43134</v>
      </c>
      <c r="C415" s="935"/>
      <c r="D415" s="936"/>
      <c r="E415" s="937"/>
      <c r="F415" s="949" t="s">
        <v>3197</v>
      </c>
      <c r="G415" s="938"/>
      <c r="H415" s="940"/>
      <c r="I415" s="939">
        <v>43035</v>
      </c>
      <c r="J415" s="19" t="s">
        <v>3358</v>
      </c>
      <c r="K415" s="932">
        <f t="shared" si="29"/>
        <v>43053</v>
      </c>
      <c r="L415" s="940"/>
      <c r="M415" s="940"/>
    </row>
    <row r="416" spans="1:13" ht="20.100000000000001" customHeight="1" x14ac:dyDescent="0.3">
      <c r="A416" s="946"/>
      <c r="B416" s="923">
        <f t="shared" ca="1" si="28"/>
        <v>43134</v>
      </c>
      <c r="C416" s="935"/>
      <c r="D416" s="936"/>
      <c r="E416" s="937"/>
      <c r="F416" s="949" t="s">
        <v>700</v>
      </c>
      <c r="G416" s="938"/>
      <c r="H416" s="940"/>
      <c r="I416" s="939">
        <v>43035</v>
      </c>
      <c r="J416" s="19" t="s">
        <v>3219</v>
      </c>
      <c r="K416" s="932">
        <f t="shared" si="29"/>
        <v>43053</v>
      </c>
      <c r="L416" s="940"/>
      <c r="M416" s="940"/>
    </row>
    <row r="417" spans="1:13" ht="20.100000000000001" customHeight="1" x14ac:dyDescent="0.3">
      <c r="A417" s="946"/>
      <c r="B417" s="923">
        <f t="shared" ca="1" si="28"/>
        <v>43134</v>
      </c>
      <c r="C417" s="935"/>
      <c r="D417" s="936"/>
      <c r="E417" s="937"/>
      <c r="F417" s="949" t="s">
        <v>174</v>
      </c>
      <c r="G417" s="938"/>
      <c r="H417" s="940"/>
      <c r="I417" s="939">
        <v>43036</v>
      </c>
      <c r="J417" s="19" t="s">
        <v>3358</v>
      </c>
      <c r="K417" s="932">
        <f t="shared" si="29"/>
        <v>43054</v>
      </c>
      <c r="L417" s="940"/>
      <c r="M417" s="940"/>
    </row>
    <row r="418" spans="1:13" ht="20.100000000000001" customHeight="1" x14ac:dyDescent="0.3">
      <c r="A418" s="946"/>
      <c r="B418" s="923">
        <f t="shared" ca="1" si="28"/>
        <v>43134</v>
      </c>
      <c r="C418" s="935"/>
      <c r="D418" s="936"/>
      <c r="E418" s="937"/>
      <c r="F418" s="949" t="s">
        <v>927</v>
      </c>
      <c r="G418" s="938"/>
      <c r="H418" s="940"/>
      <c r="I418" s="939">
        <v>43036</v>
      </c>
      <c r="J418" s="19" t="s">
        <v>3219</v>
      </c>
      <c r="K418" s="932">
        <f t="shared" si="29"/>
        <v>43054</v>
      </c>
      <c r="L418" s="940"/>
      <c r="M418" s="940"/>
    </row>
    <row r="419" spans="1:13" ht="20.100000000000001" customHeight="1" x14ac:dyDescent="0.3">
      <c r="A419" s="946"/>
      <c r="B419" s="923">
        <f t="shared" ca="1" si="28"/>
        <v>43134</v>
      </c>
      <c r="C419" s="935"/>
      <c r="D419" s="936"/>
      <c r="E419" s="937"/>
      <c r="F419" s="949" t="s">
        <v>1401</v>
      </c>
      <c r="G419" s="938"/>
      <c r="H419" s="940"/>
      <c r="I419" s="939">
        <v>43037</v>
      </c>
      <c r="J419" s="19" t="s">
        <v>3369</v>
      </c>
      <c r="K419" s="932">
        <f t="shared" si="29"/>
        <v>43055</v>
      </c>
      <c r="L419" s="940"/>
      <c r="M419" s="940"/>
    </row>
    <row r="420" spans="1:13" ht="20.100000000000001" customHeight="1" x14ac:dyDescent="0.3">
      <c r="A420" s="946"/>
      <c r="B420" s="923">
        <f t="shared" ca="1" si="28"/>
        <v>43134</v>
      </c>
      <c r="C420" s="935"/>
      <c r="D420" s="936"/>
      <c r="E420" s="937"/>
      <c r="F420" s="949" t="s">
        <v>1229</v>
      </c>
      <c r="G420" s="938"/>
      <c r="H420" s="940"/>
      <c r="I420" s="939">
        <v>43037</v>
      </c>
      <c r="J420" s="19" t="s">
        <v>3370</v>
      </c>
      <c r="K420" s="932">
        <f t="shared" si="29"/>
        <v>43055</v>
      </c>
      <c r="L420" s="940"/>
      <c r="M420" s="940"/>
    </row>
    <row r="421" spans="1:13" ht="20.100000000000001" customHeight="1" x14ac:dyDescent="0.3">
      <c r="A421" s="946"/>
      <c r="B421" s="923">
        <f t="shared" ca="1" si="28"/>
        <v>43134</v>
      </c>
      <c r="C421" s="935"/>
      <c r="D421" s="936"/>
      <c r="E421" s="937"/>
      <c r="F421" s="949" t="s">
        <v>1170</v>
      </c>
      <c r="G421" s="938"/>
      <c r="H421" s="940"/>
      <c r="I421" s="939">
        <v>43037</v>
      </c>
      <c r="J421" s="19" t="s">
        <v>3371</v>
      </c>
      <c r="K421" s="932">
        <f t="shared" si="29"/>
        <v>43055</v>
      </c>
      <c r="L421" s="940"/>
      <c r="M421" s="940"/>
    </row>
    <row r="422" spans="1:13" ht="20.100000000000001" customHeight="1" x14ac:dyDescent="0.3">
      <c r="A422" s="946"/>
      <c r="B422" s="923">
        <f t="shared" ca="1" si="28"/>
        <v>43134</v>
      </c>
      <c r="C422" s="935"/>
      <c r="D422" s="936"/>
      <c r="E422" s="937"/>
      <c r="F422" s="949" t="s">
        <v>1190</v>
      </c>
      <c r="G422" s="938"/>
      <c r="H422" s="940"/>
      <c r="I422" s="939">
        <v>43037</v>
      </c>
      <c r="J422" s="19" t="s">
        <v>2011</v>
      </c>
      <c r="K422" s="932">
        <f t="shared" si="29"/>
        <v>43055</v>
      </c>
      <c r="L422" s="940"/>
      <c r="M422" s="940"/>
    </row>
    <row r="423" spans="1:13" x14ac:dyDescent="0.3">
      <c r="A423" s="946"/>
      <c r="B423" s="923">
        <f t="shared" ca="1" si="28"/>
        <v>43134</v>
      </c>
      <c r="C423" s="935"/>
      <c r="D423" s="936"/>
      <c r="E423" s="937"/>
      <c r="F423" s="949" t="s">
        <v>445</v>
      </c>
      <c r="G423" s="938"/>
      <c r="H423" s="940"/>
      <c r="I423" s="939">
        <v>43039</v>
      </c>
      <c r="J423" s="19" t="s">
        <v>3402</v>
      </c>
      <c r="K423" s="932">
        <f t="shared" si="29"/>
        <v>43057</v>
      </c>
      <c r="L423" s="940"/>
      <c r="M423" s="940"/>
    </row>
    <row r="424" spans="1:13" x14ac:dyDescent="0.3">
      <c r="A424" s="946"/>
      <c r="B424" s="923">
        <f t="shared" ca="1" si="28"/>
        <v>43134</v>
      </c>
      <c r="C424" s="935"/>
      <c r="D424" s="936"/>
      <c r="E424" s="937"/>
      <c r="F424" s="949" t="s">
        <v>479</v>
      </c>
      <c r="G424" s="938"/>
      <c r="H424" s="940"/>
      <c r="I424" s="939">
        <v>43039</v>
      </c>
      <c r="J424" s="19" t="s">
        <v>3222</v>
      </c>
      <c r="K424" s="932">
        <f t="shared" si="29"/>
        <v>43057</v>
      </c>
      <c r="L424" s="940"/>
      <c r="M424" s="940"/>
    </row>
    <row r="425" spans="1:13" x14ac:dyDescent="0.3">
      <c r="A425" s="946"/>
      <c r="B425" s="923">
        <f t="shared" ca="1" si="28"/>
        <v>43134</v>
      </c>
      <c r="C425" s="935"/>
      <c r="D425" s="936"/>
      <c r="E425" s="937"/>
      <c r="F425" s="949" t="s">
        <v>1232</v>
      </c>
      <c r="G425" s="938"/>
      <c r="H425" s="940"/>
      <c r="I425" s="939">
        <v>43039</v>
      </c>
      <c r="J425" s="19" t="s">
        <v>3222</v>
      </c>
      <c r="K425" s="932">
        <f t="shared" si="29"/>
        <v>43057</v>
      </c>
      <c r="L425" s="940"/>
      <c r="M425" s="940"/>
    </row>
    <row r="426" spans="1:13" x14ac:dyDescent="0.3">
      <c r="A426" s="946"/>
      <c r="B426" s="923">
        <f t="shared" ca="1" si="28"/>
        <v>43134</v>
      </c>
      <c r="C426" s="935"/>
      <c r="D426" s="936"/>
      <c r="E426" s="937"/>
      <c r="F426" s="949" t="s">
        <v>1008</v>
      </c>
      <c r="G426" s="938"/>
      <c r="H426" s="940"/>
      <c r="I426" s="939">
        <v>43039</v>
      </c>
      <c r="J426" s="19" t="s">
        <v>2519</v>
      </c>
      <c r="K426" s="932">
        <f t="shared" si="29"/>
        <v>43057</v>
      </c>
      <c r="L426" s="940"/>
      <c r="M426" s="940"/>
    </row>
    <row r="427" spans="1:13" x14ac:dyDescent="0.3">
      <c r="A427" s="946"/>
      <c r="B427" s="923">
        <f t="shared" ca="1" si="28"/>
        <v>43134</v>
      </c>
      <c r="C427" s="935"/>
      <c r="D427" s="936"/>
      <c r="E427" s="937"/>
      <c r="F427" s="949" t="s">
        <v>492</v>
      </c>
      <c r="G427" s="938"/>
      <c r="H427" s="940"/>
      <c r="I427" s="939">
        <v>43040</v>
      </c>
      <c r="J427" s="19" t="s">
        <v>2519</v>
      </c>
      <c r="K427" s="932">
        <f t="shared" si="29"/>
        <v>43058</v>
      </c>
      <c r="L427" s="940"/>
      <c r="M427" s="940"/>
    </row>
    <row r="428" spans="1:13" x14ac:dyDescent="0.3">
      <c r="A428" s="946"/>
      <c r="B428" s="923">
        <f t="shared" ca="1" si="28"/>
        <v>43134</v>
      </c>
      <c r="C428" s="935"/>
      <c r="D428" s="936"/>
      <c r="E428" s="937"/>
      <c r="F428" s="949" t="s">
        <v>408</v>
      </c>
      <c r="G428" s="938"/>
      <c r="H428" s="940"/>
      <c r="I428" s="939">
        <v>43042</v>
      </c>
      <c r="J428" s="19" t="s">
        <v>2480</v>
      </c>
      <c r="K428" s="932">
        <f t="shared" si="29"/>
        <v>43060</v>
      </c>
      <c r="L428" s="940"/>
      <c r="M428" s="940"/>
    </row>
    <row r="429" spans="1:13" x14ac:dyDescent="0.3">
      <c r="A429" s="946"/>
      <c r="B429" s="923">
        <f t="shared" ca="1" si="28"/>
        <v>43134</v>
      </c>
      <c r="C429" s="935"/>
      <c r="D429" s="936"/>
      <c r="E429" s="937"/>
      <c r="F429" s="949" t="s">
        <v>2096</v>
      </c>
      <c r="G429" s="938"/>
      <c r="H429" s="940"/>
      <c r="I429" s="939">
        <v>43042</v>
      </c>
      <c r="J429" s="19" t="s">
        <v>3407</v>
      </c>
      <c r="K429" s="932">
        <f t="shared" si="29"/>
        <v>43060</v>
      </c>
      <c r="L429" s="940"/>
      <c r="M429" s="940"/>
    </row>
    <row r="430" spans="1:13" x14ac:dyDescent="0.3">
      <c r="A430" s="946"/>
      <c r="B430" s="923">
        <f t="shared" ca="1" si="28"/>
        <v>43134</v>
      </c>
      <c r="C430" s="935"/>
      <c r="D430" s="936"/>
      <c r="E430" s="937"/>
      <c r="F430" s="949" t="s">
        <v>1143</v>
      </c>
      <c r="G430" s="938"/>
      <c r="H430" s="940"/>
      <c r="I430" s="939">
        <v>43044</v>
      </c>
      <c r="J430" s="19" t="s">
        <v>2480</v>
      </c>
      <c r="K430" s="932">
        <f t="shared" si="29"/>
        <v>43062</v>
      </c>
      <c r="L430" s="940"/>
      <c r="M430" s="940"/>
    </row>
    <row r="431" spans="1:13" x14ac:dyDescent="0.3">
      <c r="A431" s="946"/>
      <c r="B431" s="923">
        <f t="shared" ca="1" si="28"/>
        <v>43134</v>
      </c>
      <c r="C431" s="935"/>
      <c r="D431" s="936"/>
      <c r="E431" s="937"/>
      <c r="F431" s="949" t="s">
        <v>315</v>
      </c>
      <c r="G431" s="938"/>
      <c r="H431" s="940"/>
      <c r="I431" s="939">
        <v>43044</v>
      </c>
      <c r="J431" s="19" t="s">
        <v>2011</v>
      </c>
      <c r="K431" s="932">
        <f t="shared" si="29"/>
        <v>43062</v>
      </c>
      <c r="L431" s="940"/>
      <c r="M431" s="940"/>
    </row>
    <row r="432" spans="1:13" x14ac:dyDescent="0.3">
      <c r="A432" s="946"/>
      <c r="B432" s="923">
        <f t="shared" ca="1" si="28"/>
        <v>43134</v>
      </c>
      <c r="C432" s="935"/>
      <c r="D432" s="936"/>
      <c r="E432" s="937"/>
      <c r="F432" s="949" t="s">
        <v>530</v>
      </c>
      <c r="G432" s="938"/>
      <c r="H432" s="940"/>
      <c r="I432" s="939">
        <v>43044</v>
      </c>
      <c r="J432" s="19" t="s">
        <v>2011</v>
      </c>
      <c r="K432" s="932">
        <f t="shared" si="29"/>
        <v>43062</v>
      </c>
      <c r="L432" s="940"/>
      <c r="M432" s="940"/>
    </row>
    <row r="433" spans="1:13" x14ac:dyDescent="0.3">
      <c r="A433" s="946"/>
      <c r="B433" s="923">
        <f t="shared" ca="1" si="28"/>
        <v>43134</v>
      </c>
      <c r="C433" s="935"/>
      <c r="D433" s="936"/>
      <c r="E433" s="937"/>
      <c r="F433" s="949" t="s">
        <v>683</v>
      </c>
      <c r="G433" s="938"/>
      <c r="H433" s="940"/>
      <c r="I433" s="939">
        <v>43045</v>
      </c>
      <c r="J433" s="19" t="s">
        <v>2011</v>
      </c>
      <c r="K433" s="932">
        <f t="shared" si="29"/>
        <v>43063</v>
      </c>
      <c r="L433" s="940"/>
      <c r="M433" s="940"/>
    </row>
    <row r="434" spans="1:13" x14ac:dyDescent="0.3">
      <c r="A434" s="946"/>
      <c r="B434" s="923">
        <f t="shared" ca="1" si="28"/>
        <v>43134</v>
      </c>
      <c r="C434" s="935"/>
      <c r="D434" s="936"/>
      <c r="E434" s="937"/>
      <c r="F434" s="949" t="s">
        <v>349</v>
      </c>
      <c r="G434" s="938"/>
      <c r="H434" s="940"/>
      <c r="I434" s="939">
        <v>43046</v>
      </c>
      <c r="J434" s="19" t="s">
        <v>3412</v>
      </c>
      <c r="K434" s="932">
        <f t="shared" si="29"/>
        <v>43064</v>
      </c>
      <c r="L434" s="940"/>
      <c r="M434" s="940"/>
    </row>
    <row r="435" spans="1:13" x14ac:dyDescent="0.3">
      <c r="A435" s="946"/>
      <c r="B435" s="923">
        <f t="shared" ca="1" si="28"/>
        <v>43134</v>
      </c>
      <c r="C435" s="935"/>
      <c r="D435" s="936"/>
      <c r="E435" s="937"/>
      <c r="F435" s="949" t="s">
        <v>1185</v>
      </c>
      <c r="G435" s="938"/>
      <c r="H435" s="940"/>
      <c r="I435" s="939">
        <v>43046</v>
      </c>
      <c r="J435" s="19" t="s">
        <v>2011</v>
      </c>
      <c r="K435" s="932">
        <f t="shared" si="29"/>
        <v>43064</v>
      </c>
      <c r="L435" s="940"/>
      <c r="M435" s="940"/>
    </row>
    <row r="436" spans="1:13" x14ac:dyDescent="0.3">
      <c r="A436" s="946"/>
      <c r="B436" s="923">
        <f t="shared" ca="1" si="28"/>
        <v>43134</v>
      </c>
      <c r="C436" s="935"/>
      <c r="D436" s="936"/>
      <c r="E436" s="937"/>
      <c r="F436" s="949" t="s">
        <v>468</v>
      </c>
      <c r="G436" s="938"/>
      <c r="H436" s="940"/>
      <c r="I436" s="939">
        <v>43046</v>
      </c>
      <c r="J436" s="19" t="s">
        <v>2011</v>
      </c>
      <c r="K436" s="932">
        <f t="shared" si="29"/>
        <v>43064</v>
      </c>
      <c r="L436" s="940"/>
      <c r="M436" s="940"/>
    </row>
    <row r="437" spans="1:13" x14ac:dyDescent="0.3">
      <c r="A437" s="946"/>
      <c r="B437" s="923">
        <f t="shared" ca="1" si="28"/>
        <v>43134</v>
      </c>
      <c r="C437" s="935"/>
      <c r="D437" s="936"/>
      <c r="E437" s="937"/>
      <c r="F437" s="949" t="s">
        <v>1185</v>
      </c>
      <c r="G437" s="938"/>
      <c r="H437" s="940"/>
      <c r="I437" s="939">
        <v>43046</v>
      </c>
      <c r="J437" s="19" t="s">
        <v>3414</v>
      </c>
      <c r="K437" s="932">
        <f t="shared" si="29"/>
        <v>43064</v>
      </c>
      <c r="L437" s="940"/>
      <c r="M437" s="940"/>
    </row>
    <row r="438" spans="1:13" x14ac:dyDescent="0.3">
      <c r="A438" s="946"/>
      <c r="B438" s="923">
        <f t="shared" ca="1" si="28"/>
        <v>43134</v>
      </c>
      <c r="C438" s="935"/>
      <c r="D438" s="936"/>
      <c r="E438" s="937"/>
      <c r="F438" s="949" t="s">
        <v>711</v>
      </c>
      <c r="G438" s="938"/>
      <c r="H438" s="940"/>
      <c r="I438" s="939">
        <v>43046</v>
      </c>
      <c r="J438" s="19" t="s">
        <v>2480</v>
      </c>
      <c r="K438" s="932">
        <f t="shared" si="29"/>
        <v>43064</v>
      </c>
      <c r="L438" s="940"/>
      <c r="M438" s="940"/>
    </row>
    <row r="439" spans="1:13" x14ac:dyDescent="0.3">
      <c r="A439" s="946"/>
      <c r="B439" s="923">
        <f t="shared" ca="1" si="28"/>
        <v>43134</v>
      </c>
      <c r="C439" s="935"/>
      <c r="D439" s="936"/>
      <c r="E439" s="937"/>
      <c r="F439" s="949" t="s">
        <v>1226</v>
      </c>
      <c r="G439" s="938"/>
      <c r="H439" s="940"/>
      <c r="I439" s="939">
        <v>43046</v>
      </c>
      <c r="J439" s="19" t="s">
        <v>3209</v>
      </c>
      <c r="K439" s="932">
        <f t="shared" si="29"/>
        <v>43064</v>
      </c>
      <c r="L439" s="940"/>
      <c r="M439" s="940"/>
    </row>
    <row r="440" spans="1:13" x14ac:dyDescent="0.3">
      <c r="A440" s="946"/>
      <c r="B440" s="923">
        <f t="shared" ca="1" si="28"/>
        <v>43134</v>
      </c>
      <c r="C440" s="935"/>
      <c r="D440" s="936"/>
      <c r="E440" s="937"/>
      <c r="F440" s="949" t="s">
        <v>1009</v>
      </c>
      <c r="G440" s="938"/>
      <c r="H440" s="940"/>
      <c r="I440" s="939">
        <v>43046</v>
      </c>
      <c r="J440" s="19" t="s">
        <v>3415</v>
      </c>
      <c r="K440" s="932">
        <f t="shared" si="29"/>
        <v>43064</v>
      </c>
      <c r="L440" s="940"/>
      <c r="M440" s="940"/>
    </row>
    <row r="441" spans="1:13" x14ac:dyDescent="0.3">
      <c r="A441" s="946"/>
      <c r="B441" s="923">
        <f t="shared" ca="1" si="28"/>
        <v>43134</v>
      </c>
      <c r="C441" s="935"/>
      <c r="D441" s="936"/>
      <c r="E441" s="937"/>
      <c r="F441" s="949" t="s">
        <v>726</v>
      </c>
      <c r="G441" s="938"/>
      <c r="H441" s="940"/>
      <c r="I441" s="939">
        <v>43047</v>
      </c>
      <c r="J441" s="19" t="s">
        <v>3222</v>
      </c>
      <c r="K441" s="932">
        <f t="shared" si="29"/>
        <v>43065</v>
      </c>
      <c r="L441" s="940"/>
      <c r="M441" s="940"/>
    </row>
    <row r="442" spans="1:13" x14ac:dyDescent="0.3">
      <c r="A442" s="946"/>
      <c r="B442" s="923">
        <f t="shared" ca="1" si="28"/>
        <v>43134</v>
      </c>
      <c r="C442" s="935"/>
      <c r="D442" s="936"/>
      <c r="E442" s="937"/>
      <c r="F442" s="949" t="s">
        <v>1540</v>
      </c>
      <c r="G442" s="938"/>
      <c r="H442" s="940"/>
      <c r="I442" s="939">
        <v>43048</v>
      </c>
      <c r="J442" s="19" t="s">
        <v>3416</v>
      </c>
      <c r="K442" s="932">
        <f t="shared" si="29"/>
        <v>43066</v>
      </c>
      <c r="L442" s="940"/>
      <c r="M442" s="940"/>
    </row>
    <row r="443" spans="1:13" x14ac:dyDescent="0.3">
      <c r="A443" s="946"/>
      <c r="B443" s="923">
        <f t="shared" ca="1" si="28"/>
        <v>43134</v>
      </c>
      <c r="C443" s="935"/>
      <c r="D443" s="936"/>
      <c r="E443" s="937"/>
      <c r="F443" s="949" t="s">
        <v>1157</v>
      </c>
      <c r="G443" s="938"/>
      <c r="H443" s="940"/>
      <c r="I443" s="939">
        <v>43049</v>
      </c>
      <c r="J443" s="19" t="s">
        <v>3358</v>
      </c>
      <c r="K443" s="932">
        <f t="shared" si="29"/>
        <v>43067</v>
      </c>
      <c r="L443" s="940"/>
      <c r="M443" s="940"/>
    </row>
    <row r="444" spans="1:13" x14ac:dyDescent="0.3">
      <c r="A444" s="946"/>
      <c r="B444" s="923">
        <f t="shared" ca="1" si="28"/>
        <v>43134</v>
      </c>
      <c r="C444" s="935"/>
      <c r="D444" s="936"/>
      <c r="E444" s="937"/>
      <c r="F444" s="949" t="s">
        <v>218</v>
      </c>
      <c r="G444" s="938"/>
      <c r="H444" s="940"/>
      <c r="I444" s="939">
        <v>43051</v>
      </c>
      <c r="J444" s="19" t="s">
        <v>3456</v>
      </c>
      <c r="K444" s="932">
        <f t="shared" si="29"/>
        <v>43069</v>
      </c>
      <c r="L444" s="940"/>
      <c r="M444" s="940"/>
    </row>
    <row r="445" spans="1:13" x14ac:dyDescent="0.3">
      <c r="A445" s="946"/>
      <c r="B445" s="923">
        <f t="shared" ca="1" si="28"/>
        <v>43134</v>
      </c>
      <c r="C445" s="935"/>
      <c r="D445" s="936"/>
      <c r="E445" s="937"/>
      <c r="F445" s="949" t="s">
        <v>869</v>
      </c>
      <c r="G445" s="938"/>
      <c r="H445" s="940"/>
      <c r="I445" s="939">
        <v>43051</v>
      </c>
      <c r="J445" s="19" t="s">
        <v>3457</v>
      </c>
      <c r="K445" s="932">
        <f t="shared" si="29"/>
        <v>43069</v>
      </c>
      <c r="L445" s="940"/>
      <c r="M445" s="940"/>
    </row>
    <row r="446" spans="1:13" x14ac:dyDescent="0.3">
      <c r="A446" s="946"/>
      <c r="B446" s="923">
        <f t="shared" ca="1" si="28"/>
        <v>43134</v>
      </c>
      <c r="C446" s="935"/>
      <c r="D446" s="936"/>
      <c r="E446" s="937"/>
      <c r="F446" s="949"/>
      <c r="G446" s="938"/>
      <c r="H446" s="940"/>
      <c r="I446" s="939"/>
      <c r="J446" s="940"/>
      <c r="K446" s="932" t="str">
        <f t="shared" si="29"/>
        <v>-</v>
      </c>
      <c r="L446" s="940"/>
      <c r="M446" s="940"/>
    </row>
    <row r="447" spans="1:13" x14ac:dyDescent="0.3">
      <c r="A447" s="946"/>
      <c r="B447" s="923">
        <f t="shared" ca="1" si="28"/>
        <v>43134</v>
      </c>
      <c r="C447" s="935"/>
      <c r="D447" s="936"/>
      <c r="E447" s="937"/>
      <c r="F447" s="949"/>
      <c r="G447" s="938"/>
      <c r="H447" s="940"/>
      <c r="I447" s="939"/>
      <c r="J447" s="940"/>
      <c r="K447" s="932" t="str">
        <f t="shared" si="29"/>
        <v>-</v>
      </c>
      <c r="L447" s="940"/>
      <c r="M447" s="940"/>
    </row>
    <row r="448" spans="1:13" x14ac:dyDescent="0.3">
      <c r="A448" s="946"/>
      <c r="B448" s="923">
        <f t="shared" ca="1" si="28"/>
        <v>43134</v>
      </c>
      <c r="C448" s="935"/>
      <c r="D448" s="936"/>
      <c r="E448" s="937"/>
      <c r="F448" s="949"/>
      <c r="G448" s="938"/>
      <c r="H448" s="940"/>
      <c r="I448" s="939"/>
      <c r="J448" s="940"/>
      <c r="K448" s="932" t="str">
        <f t="shared" si="29"/>
        <v>-</v>
      </c>
      <c r="L448" s="940"/>
      <c r="M448" s="940"/>
    </row>
    <row r="449" spans="1:13" x14ac:dyDescent="0.3">
      <c r="A449" s="946"/>
      <c r="B449" s="923">
        <f t="shared" ca="1" si="28"/>
        <v>43134</v>
      </c>
      <c r="C449" s="935"/>
      <c r="D449" s="936"/>
      <c r="E449" s="937"/>
      <c r="F449" s="949"/>
      <c r="G449" s="938"/>
      <c r="H449" s="940"/>
      <c r="I449" s="939"/>
      <c r="J449" s="940"/>
      <c r="K449" s="932" t="str">
        <f t="shared" si="29"/>
        <v>-</v>
      </c>
      <c r="L449" s="940"/>
      <c r="M449" s="940"/>
    </row>
    <row r="450" spans="1:13" x14ac:dyDescent="0.3">
      <c r="A450" s="946"/>
      <c r="B450" s="923">
        <f t="shared" ref="B450:B497" ca="1" si="30">TODAY()</f>
        <v>43134</v>
      </c>
      <c r="C450" s="935"/>
      <c r="D450" s="936"/>
      <c r="E450" s="937"/>
      <c r="F450" s="949"/>
      <c r="G450" s="938"/>
      <c r="H450" s="940"/>
      <c r="I450" s="939"/>
      <c r="J450" s="940"/>
      <c r="K450" s="932" t="str">
        <f t="shared" si="29"/>
        <v>-</v>
      </c>
      <c r="L450" s="940"/>
      <c r="M450" s="940"/>
    </row>
    <row r="451" spans="1:13" x14ac:dyDescent="0.3">
      <c r="A451" s="946"/>
      <c r="B451" s="923">
        <f t="shared" ca="1" si="30"/>
        <v>43134</v>
      </c>
      <c r="C451" s="935"/>
      <c r="D451" s="936"/>
      <c r="E451" s="937"/>
      <c r="F451" s="949"/>
      <c r="G451" s="938"/>
      <c r="H451" s="940"/>
      <c r="I451" s="939"/>
      <c r="J451" s="940"/>
      <c r="K451" s="932" t="str">
        <f t="shared" si="29"/>
        <v>-</v>
      </c>
      <c r="L451" s="940"/>
      <c r="M451" s="940"/>
    </row>
    <row r="452" spans="1:13" x14ac:dyDescent="0.3">
      <c r="A452" s="946"/>
      <c r="B452" s="923">
        <f t="shared" ca="1" si="30"/>
        <v>43134</v>
      </c>
      <c r="C452" s="935"/>
      <c r="D452" s="936"/>
      <c r="E452" s="937"/>
      <c r="F452" s="949"/>
      <c r="G452" s="938"/>
      <c r="H452" s="940"/>
      <c r="I452" s="939"/>
      <c r="J452" s="940"/>
      <c r="K452" s="932" t="str">
        <f t="shared" ref="K452:K498" si="31">IF(AND(I452&gt;0,J452&gt;0),I452+18,"-")</f>
        <v>-</v>
      </c>
      <c r="L452" s="940"/>
      <c r="M452" s="940"/>
    </row>
    <row r="453" spans="1:13" x14ac:dyDescent="0.3">
      <c r="A453" s="946"/>
      <c r="B453" s="923">
        <f t="shared" ca="1" si="30"/>
        <v>43134</v>
      </c>
      <c r="C453" s="935"/>
      <c r="D453" s="936"/>
      <c r="E453" s="937"/>
      <c r="F453" s="949"/>
      <c r="G453" s="938"/>
      <c r="H453" s="940"/>
      <c r="I453" s="939"/>
      <c r="J453" s="940"/>
      <c r="K453" s="932" t="str">
        <f t="shared" si="31"/>
        <v>-</v>
      </c>
      <c r="L453" s="940"/>
      <c r="M453" s="940"/>
    </row>
    <row r="454" spans="1:13" x14ac:dyDescent="0.3">
      <c r="A454" s="946"/>
      <c r="B454" s="923">
        <f t="shared" ca="1" si="30"/>
        <v>43134</v>
      </c>
      <c r="C454" s="935"/>
      <c r="D454" s="936"/>
      <c r="E454" s="937"/>
      <c r="F454" s="949"/>
      <c r="G454" s="938"/>
      <c r="H454" s="940"/>
      <c r="I454" s="939"/>
      <c r="J454" s="940"/>
      <c r="K454" s="932" t="str">
        <f t="shared" si="31"/>
        <v>-</v>
      </c>
      <c r="L454" s="940"/>
      <c r="M454" s="940"/>
    </row>
    <row r="455" spans="1:13" x14ac:dyDescent="0.3">
      <c r="A455" s="946"/>
      <c r="B455" s="923">
        <f t="shared" ca="1" si="30"/>
        <v>43134</v>
      </c>
      <c r="C455" s="935"/>
      <c r="D455" s="936"/>
      <c r="E455" s="937"/>
      <c r="F455" s="949"/>
      <c r="G455" s="938"/>
      <c r="H455" s="940"/>
      <c r="I455" s="939"/>
      <c r="J455" s="940"/>
      <c r="K455" s="932" t="str">
        <f t="shared" si="31"/>
        <v>-</v>
      </c>
      <c r="L455" s="940"/>
      <c r="M455" s="940"/>
    </row>
    <row r="456" spans="1:13" x14ac:dyDescent="0.3">
      <c r="A456" s="946"/>
      <c r="B456" s="923">
        <f t="shared" ca="1" si="30"/>
        <v>43134</v>
      </c>
      <c r="C456" s="935"/>
      <c r="D456" s="936"/>
      <c r="E456" s="937"/>
      <c r="F456" s="949"/>
      <c r="G456" s="938"/>
      <c r="H456" s="940"/>
      <c r="I456" s="939"/>
      <c r="J456" s="940"/>
      <c r="K456" s="932" t="str">
        <f t="shared" si="31"/>
        <v>-</v>
      </c>
      <c r="L456" s="940"/>
      <c r="M456" s="940"/>
    </row>
    <row r="457" spans="1:13" x14ac:dyDescent="0.3">
      <c r="A457" s="946"/>
      <c r="B457" s="923">
        <f t="shared" ca="1" si="30"/>
        <v>43134</v>
      </c>
      <c r="C457" s="935"/>
      <c r="D457" s="936"/>
      <c r="E457" s="937"/>
      <c r="F457" s="949"/>
      <c r="G457" s="938"/>
      <c r="H457" s="940"/>
      <c r="I457" s="939"/>
      <c r="J457" s="940"/>
      <c r="K457" s="932" t="str">
        <f t="shared" si="31"/>
        <v>-</v>
      </c>
      <c r="L457" s="940"/>
      <c r="M457" s="940"/>
    </row>
    <row r="458" spans="1:13" x14ac:dyDescent="0.3">
      <c r="A458" s="946"/>
      <c r="B458" s="923">
        <f t="shared" ca="1" si="30"/>
        <v>43134</v>
      </c>
      <c r="C458" s="935"/>
      <c r="D458" s="936"/>
      <c r="E458" s="937"/>
      <c r="F458" s="949"/>
      <c r="G458" s="938"/>
      <c r="H458" s="940"/>
      <c r="I458" s="939"/>
      <c r="J458" s="940"/>
      <c r="K458" s="932" t="str">
        <f t="shared" si="31"/>
        <v>-</v>
      </c>
      <c r="L458" s="940"/>
      <c r="M458" s="940"/>
    </row>
    <row r="459" spans="1:13" x14ac:dyDescent="0.3">
      <c r="A459" s="946"/>
      <c r="B459" s="923">
        <f t="shared" ca="1" si="30"/>
        <v>43134</v>
      </c>
      <c r="C459" s="935"/>
      <c r="D459" s="936"/>
      <c r="E459" s="937"/>
      <c r="F459" s="949"/>
      <c r="G459" s="938"/>
      <c r="H459" s="940"/>
      <c r="I459" s="939"/>
      <c r="J459" s="940"/>
      <c r="K459" s="932" t="str">
        <f t="shared" si="31"/>
        <v>-</v>
      </c>
      <c r="L459" s="940"/>
      <c r="M459" s="940"/>
    </row>
    <row r="460" spans="1:13" x14ac:dyDescent="0.3">
      <c r="A460" s="946"/>
      <c r="B460" s="923">
        <f t="shared" ca="1" si="30"/>
        <v>43134</v>
      </c>
      <c r="C460" s="935"/>
      <c r="D460" s="936"/>
      <c r="E460" s="937"/>
      <c r="F460" s="949"/>
      <c r="G460" s="938"/>
      <c r="H460" s="940"/>
      <c r="I460" s="939"/>
      <c r="J460" s="940"/>
      <c r="K460" s="932" t="str">
        <f t="shared" si="31"/>
        <v>-</v>
      </c>
      <c r="L460" s="940"/>
      <c r="M460" s="940"/>
    </row>
    <row r="461" spans="1:13" x14ac:dyDescent="0.3">
      <c r="A461" s="946"/>
      <c r="B461" s="923">
        <f t="shared" ca="1" si="30"/>
        <v>43134</v>
      </c>
      <c r="C461" s="935"/>
      <c r="D461" s="936"/>
      <c r="E461" s="937"/>
      <c r="F461" s="949"/>
      <c r="G461" s="938"/>
      <c r="H461" s="940"/>
      <c r="I461" s="939"/>
      <c r="J461" s="940"/>
      <c r="K461" s="932" t="str">
        <f t="shared" si="31"/>
        <v>-</v>
      </c>
      <c r="L461" s="940"/>
      <c r="M461" s="940"/>
    </row>
    <row r="462" spans="1:13" x14ac:dyDescent="0.3">
      <c r="A462" s="946"/>
      <c r="B462" s="923">
        <f t="shared" ca="1" si="30"/>
        <v>43134</v>
      </c>
      <c r="C462" s="935"/>
      <c r="D462" s="936"/>
      <c r="E462" s="937"/>
      <c r="F462" s="949"/>
      <c r="G462" s="938"/>
      <c r="H462" s="940"/>
      <c r="I462" s="939"/>
      <c r="J462" s="940"/>
      <c r="K462" s="932" t="str">
        <f t="shared" si="31"/>
        <v>-</v>
      </c>
      <c r="L462" s="940"/>
      <c r="M462" s="940"/>
    </row>
    <row r="463" spans="1:13" x14ac:dyDescent="0.3">
      <c r="A463" s="946"/>
      <c r="B463" s="923">
        <f t="shared" ca="1" si="30"/>
        <v>43134</v>
      </c>
      <c r="C463" s="935"/>
      <c r="D463" s="936"/>
      <c r="E463" s="937"/>
      <c r="F463" s="949"/>
      <c r="G463" s="938"/>
      <c r="H463" s="940"/>
      <c r="I463" s="939"/>
      <c r="J463" s="940"/>
      <c r="K463" s="932" t="str">
        <f t="shared" si="31"/>
        <v>-</v>
      </c>
      <c r="L463" s="940"/>
      <c r="M463" s="940"/>
    </row>
    <row r="464" spans="1:13" x14ac:dyDescent="0.3">
      <c r="A464" s="946"/>
      <c r="B464" s="923">
        <f t="shared" ca="1" si="30"/>
        <v>43134</v>
      </c>
      <c r="C464" s="935"/>
      <c r="D464" s="936"/>
      <c r="E464" s="937"/>
      <c r="F464" s="949"/>
      <c r="G464" s="938"/>
      <c r="H464" s="940"/>
      <c r="I464" s="939"/>
      <c r="J464" s="940"/>
      <c r="K464" s="932" t="str">
        <f t="shared" si="31"/>
        <v>-</v>
      </c>
      <c r="L464" s="940"/>
      <c r="M464" s="940"/>
    </row>
    <row r="465" spans="1:13" x14ac:dyDescent="0.3">
      <c r="A465" s="946"/>
      <c r="B465" s="923">
        <f t="shared" ca="1" si="30"/>
        <v>43134</v>
      </c>
      <c r="C465" s="935"/>
      <c r="D465" s="936"/>
      <c r="E465" s="937"/>
      <c r="F465" s="949"/>
      <c r="G465" s="938"/>
      <c r="H465" s="940"/>
      <c r="I465" s="939"/>
      <c r="J465" s="940"/>
      <c r="K465" s="932" t="str">
        <f t="shared" si="31"/>
        <v>-</v>
      </c>
      <c r="L465" s="940"/>
      <c r="M465" s="940"/>
    </row>
    <row r="466" spans="1:13" x14ac:dyDescent="0.3">
      <c r="A466" s="946"/>
      <c r="B466" s="923">
        <f t="shared" ca="1" si="30"/>
        <v>43134</v>
      </c>
      <c r="C466" s="935"/>
      <c r="D466" s="936"/>
      <c r="E466" s="937"/>
      <c r="F466" s="949"/>
      <c r="G466" s="938"/>
      <c r="H466" s="940"/>
      <c r="I466" s="939"/>
      <c r="J466" s="940"/>
      <c r="K466" s="932" t="str">
        <f t="shared" si="31"/>
        <v>-</v>
      </c>
      <c r="L466" s="940"/>
      <c r="M466" s="940"/>
    </row>
    <row r="467" spans="1:13" x14ac:dyDescent="0.3">
      <c r="A467" s="946"/>
      <c r="B467" s="923">
        <f t="shared" ca="1" si="30"/>
        <v>43134</v>
      </c>
      <c r="C467" s="935"/>
      <c r="D467" s="936"/>
      <c r="E467" s="937"/>
      <c r="F467" s="949"/>
      <c r="G467" s="938"/>
      <c r="H467" s="940"/>
      <c r="I467" s="939"/>
      <c r="J467" s="940"/>
      <c r="K467" s="932" t="str">
        <f t="shared" si="31"/>
        <v>-</v>
      </c>
      <c r="L467" s="940"/>
      <c r="M467" s="940"/>
    </row>
    <row r="468" spans="1:13" x14ac:dyDescent="0.3">
      <c r="A468" s="946"/>
      <c r="B468" s="923">
        <f t="shared" ca="1" si="30"/>
        <v>43134</v>
      </c>
      <c r="C468" s="935"/>
      <c r="D468" s="936"/>
      <c r="E468" s="937"/>
      <c r="F468" s="949"/>
      <c r="G468" s="938"/>
      <c r="H468" s="940"/>
      <c r="I468" s="939"/>
      <c r="J468" s="940"/>
      <c r="K468" s="932" t="str">
        <f t="shared" si="31"/>
        <v>-</v>
      </c>
      <c r="L468" s="940"/>
      <c r="M468" s="940"/>
    </row>
    <row r="469" spans="1:13" x14ac:dyDescent="0.3">
      <c r="A469" s="946"/>
      <c r="B469" s="923">
        <f t="shared" ca="1" si="30"/>
        <v>43134</v>
      </c>
      <c r="C469" s="935"/>
      <c r="D469" s="936"/>
      <c r="E469" s="937"/>
      <c r="F469" s="949"/>
      <c r="G469" s="938"/>
      <c r="H469" s="940"/>
      <c r="I469" s="939"/>
      <c r="J469" s="940"/>
      <c r="K469" s="932" t="str">
        <f t="shared" si="31"/>
        <v>-</v>
      </c>
      <c r="L469" s="940"/>
      <c r="M469" s="940"/>
    </row>
    <row r="470" spans="1:13" x14ac:dyDescent="0.3">
      <c r="A470" s="946"/>
      <c r="B470" s="923">
        <f t="shared" ca="1" si="30"/>
        <v>43134</v>
      </c>
      <c r="C470" s="935"/>
      <c r="D470" s="936"/>
      <c r="E470" s="937"/>
      <c r="F470" s="949"/>
      <c r="G470" s="938"/>
      <c r="H470" s="940"/>
      <c r="I470" s="939"/>
      <c r="J470" s="940"/>
      <c r="K470" s="932" t="str">
        <f t="shared" si="31"/>
        <v>-</v>
      </c>
      <c r="L470" s="940"/>
      <c r="M470" s="940"/>
    </row>
    <row r="471" spans="1:13" x14ac:dyDescent="0.3">
      <c r="A471" s="946"/>
      <c r="B471" s="923">
        <f t="shared" ca="1" si="30"/>
        <v>43134</v>
      </c>
      <c r="C471" s="935"/>
      <c r="D471" s="936"/>
      <c r="E471" s="937"/>
      <c r="F471" s="949"/>
      <c r="G471" s="938"/>
      <c r="H471" s="940"/>
      <c r="I471" s="939"/>
      <c r="J471" s="940"/>
      <c r="K471" s="932" t="str">
        <f t="shared" si="31"/>
        <v>-</v>
      </c>
      <c r="L471" s="940"/>
      <c r="M471" s="940"/>
    </row>
    <row r="472" spans="1:13" x14ac:dyDescent="0.3">
      <c r="A472" s="946"/>
      <c r="B472" s="923">
        <f t="shared" ca="1" si="30"/>
        <v>43134</v>
      </c>
      <c r="C472" s="935"/>
      <c r="D472" s="936"/>
      <c r="E472" s="937"/>
      <c r="F472" s="949"/>
      <c r="G472" s="938"/>
      <c r="H472" s="940"/>
      <c r="I472" s="939"/>
      <c r="J472" s="940"/>
      <c r="K472" s="932" t="str">
        <f t="shared" si="31"/>
        <v>-</v>
      </c>
      <c r="L472" s="940"/>
      <c r="M472" s="940"/>
    </row>
    <row r="473" spans="1:13" x14ac:dyDescent="0.3">
      <c r="A473" s="946"/>
      <c r="B473" s="923">
        <f t="shared" ca="1" si="30"/>
        <v>43134</v>
      </c>
      <c r="C473" s="935"/>
      <c r="D473" s="936"/>
      <c r="E473" s="937"/>
      <c r="F473" s="949"/>
      <c r="G473" s="938"/>
      <c r="H473" s="940"/>
      <c r="I473" s="939"/>
      <c r="J473" s="940"/>
      <c r="K473" s="932" t="str">
        <f t="shared" si="31"/>
        <v>-</v>
      </c>
      <c r="L473" s="940"/>
      <c r="M473" s="940"/>
    </row>
    <row r="474" spans="1:13" x14ac:dyDescent="0.3">
      <c r="A474" s="946"/>
      <c r="B474" s="923">
        <f t="shared" ca="1" si="30"/>
        <v>43134</v>
      </c>
      <c r="C474" s="935"/>
      <c r="D474" s="936"/>
      <c r="E474" s="937"/>
      <c r="F474" s="949"/>
      <c r="G474" s="938"/>
      <c r="H474" s="940"/>
      <c r="I474" s="939"/>
      <c r="J474" s="940"/>
      <c r="K474" s="932" t="str">
        <f t="shared" si="31"/>
        <v>-</v>
      </c>
      <c r="L474" s="940"/>
      <c r="M474" s="940"/>
    </row>
    <row r="475" spans="1:13" x14ac:dyDescent="0.3">
      <c r="A475" s="946"/>
      <c r="B475" s="923">
        <f t="shared" ca="1" si="30"/>
        <v>43134</v>
      </c>
      <c r="C475" s="935"/>
      <c r="D475" s="936"/>
      <c r="E475" s="937"/>
      <c r="F475" s="949"/>
      <c r="G475" s="938"/>
      <c r="H475" s="940"/>
      <c r="I475" s="939"/>
      <c r="J475" s="940"/>
      <c r="K475" s="932" t="str">
        <f t="shared" si="31"/>
        <v>-</v>
      </c>
      <c r="L475" s="940"/>
      <c r="M475" s="940"/>
    </row>
    <row r="476" spans="1:13" x14ac:dyDescent="0.3">
      <c r="A476" s="946"/>
      <c r="B476" s="923">
        <f t="shared" ca="1" si="30"/>
        <v>43134</v>
      </c>
      <c r="C476" s="935"/>
      <c r="D476" s="936"/>
      <c r="E476" s="937"/>
      <c r="F476" s="949"/>
      <c r="G476" s="938"/>
      <c r="H476" s="940"/>
      <c r="I476" s="939"/>
      <c r="J476" s="940"/>
      <c r="K476" s="932" t="str">
        <f t="shared" si="31"/>
        <v>-</v>
      </c>
      <c r="L476" s="940"/>
      <c r="M476" s="940"/>
    </row>
    <row r="477" spans="1:13" x14ac:dyDescent="0.3">
      <c r="A477" s="946"/>
      <c r="B477" s="923">
        <f t="shared" ca="1" si="30"/>
        <v>43134</v>
      </c>
      <c r="C477" s="935"/>
      <c r="D477" s="936"/>
      <c r="E477" s="937"/>
      <c r="F477" s="949"/>
      <c r="G477" s="938"/>
      <c r="H477" s="940"/>
      <c r="I477" s="939"/>
      <c r="J477" s="940"/>
      <c r="K477" s="932" t="str">
        <f t="shared" si="31"/>
        <v>-</v>
      </c>
      <c r="L477" s="940"/>
      <c r="M477" s="940"/>
    </row>
    <row r="478" spans="1:13" x14ac:dyDescent="0.3">
      <c r="A478" s="946"/>
      <c r="B478" s="923">
        <f t="shared" ca="1" si="30"/>
        <v>43134</v>
      </c>
      <c r="C478" s="935"/>
      <c r="D478" s="936"/>
      <c r="E478" s="937"/>
      <c r="F478" s="949"/>
      <c r="G478" s="938"/>
      <c r="H478" s="940"/>
      <c r="I478" s="939"/>
      <c r="J478" s="940"/>
      <c r="K478" s="932" t="str">
        <f t="shared" si="31"/>
        <v>-</v>
      </c>
      <c r="L478" s="940"/>
      <c r="M478" s="940"/>
    </row>
    <row r="479" spans="1:13" x14ac:dyDescent="0.3">
      <c r="A479" s="946"/>
      <c r="B479" s="923">
        <f t="shared" ca="1" si="30"/>
        <v>43134</v>
      </c>
      <c r="C479" s="935"/>
      <c r="D479" s="936"/>
      <c r="E479" s="937"/>
      <c r="F479" s="949"/>
      <c r="G479" s="938"/>
      <c r="H479" s="940"/>
      <c r="I479" s="939"/>
      <c r="J479" s="940"/>
      <c r="K479" s="932" t="str">
        <f t="shared" si="31"/>
        <v>-</v>
      </c>
      <c r="L479" s="940"/>
      <c r="M479" s="940"/>
    </row>
    <row r="480" spans="1:13" x14ac:dyDescent="0.3">
      <c r="A480" s="946"/>
      <c r="B480" s="923">
        <f t="shared" ca="1" si="30"/>
        <v>43134</v>
      </c>
      <c r="C480" s="935"/>
      <c r="D480" s="936"/>
      <c r="E480" s="937"/>
      <c r="F480" s="949"/>
      <c r="G480" s="938"/>
      <c r="H480" s="940"/>
      <c r="I480" s="939"/>
      <c r="J480" s="940"/>
      <c r="K480" s="932" t="str">
        <f t="shared" si="31"/>
        <v>-</v>
      </c>
      <c r="L480" s="940"/>
      <c r="M480" s="940"/>
    </row>
    <row r="481" spans="1:13" x14ac:dyDescent="0.3">
      <c r="A481" s="946"/>
      <c r="B481" s="923">
        <f t="shared" ca="1" si="30"/>
        <v>43134</v>
      </c>
      <c r="C481" s="935"/>
      <c r="D481" s="936"/>
      <c r="E481" s="937"/>
      <c r="F481" s="949"/>
      <c r="G481" s="938"/>
      <c r="H481" s="940"/>
      <c r="I481" s="939"/>
      <c r="J481" s="940"/>
      <c r="K481" s="932" t="str">
        <f t="shared" si="31"/>
        <v>-</v>
      </c>
      <c r="L481" s="940"/>
      <c r="M481" s="940"/>
    </row>
    <row r="482" spans="1:13" x14ac:dyDescent="0.3">
      <c r="A482" s="946"/>
      <c r="B482" s="923">
        <f t="shared" ca="1" si="30"/>
        <v>43134</v>
      </c>
      <c r="C482" s="935"/>
      <c r="D482" s="936"/>
      <c r="E482" s="937"/>
      <c r="F482" s="949"/>
      <c r="G482" s="938"/>
      <c r="H482" s="940"/>
      <c r="I482" s="939"/>
      <c r="J482" s="940"/>
      <c r="K482" s="932" t="str">
        <f t="shared" si="31"/>
        <v>-</v>
      </c>
      <c r="L482" s="940"/>
      <c r="M482" s="940"/>
    </row>
    <row r="483" spans="1:13" x14ac:dyDescent="0.3">
      <c r="A483" s="946"/>
      <c r="B483" s="923">
        <f t="shared" ca="1" si="30"/>
        <v>43134</v>
      </c>
      <c r="C483" s="935"/>
      <c r="D483" s="936"/>
      <c r="E483" s="937"/>
      <c r="F483" s="949"/>
      <c r="G483" s="938"/>
      <c r="H483" s="940"/>
      <c r="I483" s="939"/>
      <c r="J483" s="940"/>
      <c r="K483" s="932" t="str">
        <f t="shared" si="31"/>
        <v>-</v>
      </c>
      <c r="L483" s="940"/>
      <c r="M483" s="940"/>
    </row>
    <row r="484" spans="1:13" x14ac:dyDescent="0.3">
      <c r="A484" s="946"/>
      <c r="B484" s="923">
        <f t="shared" ca="1" si="30"/>
        <v>43134</v>
      </c>
      <c r="C484" s="935"/>
      <c r="D484" s="936"/>
      <c r="E484" s="937"/>
      <c r="F484" s="949"/>
      <c r="G484" s="938"/>
      <c r="H484" s="940"/>
      <c r="I484" s="939"/>
      <c r="J484" s="940"/>
      <c r="K484" s="932" t="str">
        <f t="shared" si="31"/>
        <v>-</v>
      </c>
      <c r="L484" s="940"/>
      <c r="M484" s="940"/>
    </row>
    <row r="485" spans="1:13" x14ac:dyDescent="0.3">
      <c r="A485" s="946"/>
      <c r="B485" s="923">
        <f t="shared" ca="1" si="30"/>
        <v>43134</v>
      </c>
      <c r="C485" s="935"/>
      <c r="D485" s="936"/>
      <c r="E485" s="937"/>
      <c r="F485" s="949"/>
      <c r="G485" s="938"/>
      <c r="H485" s="940"/>
      <c r="I485" s="939"/>
      <c r="J485" s="940"/>
      <c r="K485" s="932" t="str">
        <f t="shared" si="31"/>
        <v>-</v>
      </c>
      <c r="L485" s="940"/>
      <c r="M485" s="940"/>
    </row>
    <row r="486" spans="1:13" x14ac:dyDescent="0.3">
      <c r="A486" s="946"/>
      <c r="B486" s="923">
        <f t="shared" ca="1" si="30"/>
        <v>43134</v>
      </c>
      <c r="C486" s="935"/>
      <c r="D486" s="936"/>
      <c r="E486" s="937"/>
      <c r="F486" s="949"/>
      <c r="G486" s="938"/>
      <c r="H486" s="940"/>
      <c r="I486" s="939"/>
      <c r="J486" s="940"/>
      <c r="K486" s="932" t="str">
        <f t="shared" si="31"/>
        <v>-</v>
      </c>
      <c r="L486" s="940"/>
      <c r="M486" s="940"/>
    </row>
    <row r="487" spans="1:13" x14ac:dyDescent="0.3">
      <c r="A487" s="946"/>
      <c r="B487" s="923">
        <f t="shared" ca="1" si="30"/>
        <v>43134</v>
      </c>
      <c r="C487" s="935"/>
      <c r="D487" s="936"/>
      <c r="E487" s="937"/>
      <c r="F487" s="949"/>
      <c r="G487" s="938"/>
      <c r="H487" s="940"/>
      <c r="I487" s="939"/>
      <c r="J487" s="940"/>
      <c r="K487" s="932" t="str">
        <f t="shared" si="31"/>
        <v>-</v>
      </c>
      <c r="L487" s="940"/>
      <c r="M487" s="940"/>
    </row>
    <row r="488" spans="1:13" x14ac:dyDescent="0.3">
      <c r="A488" s="946"/>
      <c r="B488" s="923">
        <f t="shared" ca="1" si="30"/>
        <v>43134</v>
      </c>
      <c r="C488" s="935"/>
      <c r="D488" s="936"/>
      <c r="E488" s="937"/>
      <c r="F488" s="949"/>
      <c r="G488" s="938"/>
      <c r="H488" s="940"/>
      <c r="I488" s="939"/>
      <c r="J488" s="940"/>
      <c r="K488" s="932" t="str">
        <f t="shared" si="31"/>
        <v>-</v>
      </c>
      <c r="L488" s="940"/>
      <c r="M488" s="940"/>
    </row>
    <row r="489" spans="1:13" x14ac:dyDescent="0.3">
      <c r="A489" s="946"/>
      <c r="B489" s="923">
        <f t="shared" ca="1" si="30"/>
        <v>43134</v>
      </c>
      <c r="C489" s="935"/>
      <c r="D489" s="936"/>
      <c r="E489" s="937"/>
      <c r="F489" s="949"/>
      <c r="G489" s="938"/>
      <c r="H489" s="940"/>
      <c r="I489" s="939"/>
      <c r="J489" s="940"/>
      <c r="K489" s="932" t="str">
        <f t="shared" si="31"/>
        <v>-</v>
      </c>
      <c r="L489" s="940"/>
      <c r="M489" s="940"/>
    </row>
    <row r="490" spans="1:13" x14ac:dyDescent="0.3">
      <c r="A490" s="946"/>
      <c r="B490" s="923">
        <f t="shared" ca="1" si="30"/>
        <v>43134</v>
      </c>
      <c r="C490" s="935"/>
      <c r="D490" s="936"/>
      <c r="E490" s="937"/>
      <c r="F490" s="949"/>
      <c r="G490" s="938"/>
      <c r="H490" s="940"/>
      <c r="I490" s="939"/>
      <c r="J490" s="940"/>
      <c r="K490" s="932" t="str">
        <f t="shared" si="31"/>
        <v>-</v>
      </c>
      <c r="L490" s="940"/>
      <c r="M490" s="940"/>
    </row>
    <row r="491" spans="1:13" x14ac:dyDescent="0.3">
      <c r="A491" s="946"/>
      <c r="B491" s="923">
        <f t="shared" ca="1" si="30"/>
        <v>43134</v>
      </c>
      <c r="C491" s="935"/>
      <c r="D491" s="936"/>
      <c r="E491" s="937"/>
      <c r="F491" s="949"/>
      <c r="G491" s="938"/>
      <c r="H491" s="940"/>
      <c r="I491" s="939"/>
      <c r="J491" s="940"/>
      <c r="K491" s="932" t="str">
        <f t="shared" si="31"/>
        <v>-</v>
      </c>
      <c r="L491" s="940"/>
      <c r="M491" s="940"/>
    </row>
    <row r="492" spans="1:13" x14ac:dyDescent="0.3">
      <c r="A492" s="946"/>
      <c r="B492" s="923">
        <f t="shared" ca="1" si="30"/>
        <v>43134</v>
      </c>
      <c r="C492" s="935"/>
      <c r="D492" s="936"/>
      <c r="E492" s="937"/>
      <c r="F492" s="949"/>
      <c r="G492" s="938"/>
      <c r="H492" s="940"/>
      <c r="I492" s="939"/>
      <c r="J492" s="940"/>
      <c r="K492" s="932" t="str">
        <f t="shared" si="31"/>
        <v>-</v>
      </c>
      <c r="L492" s="940"/>
      <c r="M492" s="940"/>
    </row>
    <row r="493" spans="1:13" x14ac:dyDescent="0.3">
      <c r="A493" s="946"/>
      <c r="B493" s="923">
        <f t="shared" ca="1" si="30"/>
        <v>43134</v>
      </c>
      <c r="C493" s="935"/>
      <c r="D493" s="936"/>
      <c r="E493" s="937"/>
      <c r="F493" s="949"/>
      <c r="G493" s="938"/>
      <c r="H493" s="940"/>
      <c r="I493" s="939"/>
      <c r="J493" s="940"/>
      <c r="K493" s="932" t="str">
        <f t="shared" si="31"/>
        <v>-</v>
      </c>
      <c r="L493" s="940"/>
      <c r="M493" s="940"/>
    </row>
    <row r="494" spans="1:13" x14ac:dyDescent="0.3">
      <c r="A494" s="946"/>
      <c r="B494" s="923">
        <f t="shared" ca="1" si="30"/>
        <v>43134</v>
      </c>
      <c r="C494" s="935"/>
      <c r="D494" s="936"/>
      <c r="E494" s="937"/>
      <c r="F494" s="949"/>
      <c r="G494" s="938"/>
      <c r="H494" s="940"/>
      <c r="I494" s="939"/>
      <c r="J494" s="940"/>
      <c r="K494" s="932" t="str">
        <f t="shared" si="31"/>
        <v>-</v>
      </c>
      <c r="L494" s="940"/>
      <c r="M494" s="940"/>
    </row>
    <row r="495" spans="1:13" x14ac:dyDescent="0.3">
      <c r="A495" s="946"/>
      <c r="B495" s="923">
        <f t="shared" ca="1" si="30"/>
        <v>43134</v>
      </c>
      <c r="C495" s="935"/>
      <c r="D495" s="936"/>
      <c r="E495" s="937"/>
      <c r="F495" s="949"/>
      <c r="G495" s="938"/>
      <c r="H495" s="940"/>
      <c r="I495" s="939"/>
      <c r="J495" s="940"/>
      <c r="K495" s="932" t="str">
        <f t="shared" si="31"/>
        <v>-</v>
      </c>
      <c r="L495" s="940"/>
      <c r="M495" s="940"/>
    </row>
    <row r="496" spans="1:13" x14ac:dyDescent="0.3">
      <c r="A496" s="946"/>
      <c r="B496" s="923">
        <f t="shared" ca="1" si="30"/>
        <v>43134</v>
      </c>
      <c r="C496" s="935"/>
      <c r="D496" s="936"/>
      <c r="E496" s="937"/>
      <c r="F496" s="949"/>
      <c r="G496" s="938"/>
      <c r="H496" s="940"/>
      <c r="I496" s="939"/>
      <c r="J496" s="940"/>
      <c r="K496" s="932" t="str">
        <f t="shared" si="31"/>
        <v>-</v>
      </c>
      <c r="L496" s="940"/>
      <c r="M496" s="940"/>
    </row>
    <row r="497" spans="1:13" x14ac:dyDescent="0.3">
      <c r="A497" s="946"/>
      <c r="B497" s="923">
        <f t="shared" ca="1" si="30"/>
        <v>43134</v>
      </c>
      <c r="C497" s="935"/>
      <c r="D497" s="936"/>
      <c r="E497" s="937"/>
      <c r="F497" s="949"/>
      <c r="G497" s="938"/>
      <c r="H497" s="940"/>
      <c r="I497" s="939"/>
      <c r="J497" s="940"/>
      <c r="K497" s="932" t="str">
        <f t="shared" si="31"/>
        <v>-</v>
      </c>
      <c r="L497" s="940"/>
      <c r="M497" s="940"/>
    </row>
    <row r="498" spans="1:13" x14ac:dyDescent="0.3">
      <c r="A498" s="946"/>
      <c r="B498" s="948"/>
      <c r="C498" s="935"/>
      <c r="D498" s="936"/>
      <c r="E498" s="937"/>
      <c r="F498" s="949"/>
      <c r="G498" s="938"/>
      <c r="H498" s="940"/>
      <c r="I498" s="939"/>
      <c r="J498" s="940"/>
      <c r="K498" s="932" t="str">
        <f t="shared" si="31"/>
        <v>-</v>
      </c>
      <c r="L498" s="940"/>
      <c r="M498" s="940"/>
    </row>
    <row r="499" spans="1:13" x14ac:dyDescent="0.3">
      <c r="A499" s="946"/>
      <c r="B499" s="948"/>
      <c r="C499" s="935"/>
      <c r="D499" s="936"/>
      <c r="E499" s="937"/>
      <c r="F499" s="949"/>
      <c r="G499" s="938"/>
      <c r="H499" s="940"/>
      <c r="I499" s="939"/>
      <c r="J499" s="940"/>
      <c r="K499" s="947"/>
      <c r="L499" s="940"/>
      <c r="M499" s="940"/>
    </row>
    <row r="500" spans="1:13" x14ac:dyDescent="0.3">
      <c r="A500" s="946"/>
      <c r="B500" s="948"/>
      <c r="C500" s="935"/>
      <c r="D500" s="936"/>
      <c r="E500" s="937"/>
      <c r="F500" s="949"/>
      <c r="G500" s="938"/>
      <c r="H500" s="940"/>
      <c r="I500" s="939"/>
      <c r="J500" s="940"/>
      <c r="K500" s="947"/>
      <c r="L500" s="940"/>
      <c r="M500" s="940"/>
    </row>
    <row r="501" spans="1:13" x14ac:dyDescent="0.3">
      <c r="A501" s="946"/>
      <c r="B501" s="948"/>
      <c r="C501" s="935"/>
      <c r="D501" s="936"/>
      <c r="E501" s="937"/>
      <c r="F501" s="949"/>
      <c r="G501" s="938"/>
      <c r="H501" s="940"/>
      <c r="I501" s="939"/>
      <c r="J501" s="940"/>
      <c r="K501" s="947"/>
      <c r="L501" s="940"/>
      <c r="M501" s="940"/>
    </row>
    <row r="502" spans="1:13" x14ac:dyDescent="0.3">
      <c r="A502" s="946"/>
      <c r="B502" s="948"/>
      <c r="C502" s="935"/>
      <c r="D502" s="936"/>
      <c r="E502" s="937"/>
      <c r="F502" s="949"/>
      <c r="G502" s="938"/>
      <c r="H502" s="940"/>
      <c r="I502" s="939"/>
      <c r="J502" s="940"/>
      <c r="K502" s="947"/>
      <c r="L502" s="940"/>
      <c r="M502" s="940"/>
    </row>
    <row r="503" spans="1:13" x14ac:dyDescent="0.3">
      <c r="A503" s="946"/>
      <c r="B503" s="948"/>
      <c r="C503" s="935"/>
      <c r="D503" s="936"/>
      <c r="E503" s="937"/>
      <c r="F503" s="949"/>
      <c r="G503" s="938"/>
      <c r="H503" s="940"/>
      <c r="I503" s="939"/>
      <c r="J503" s="940"/>
      <c r="K503" s="947"/>
      <c r="L503" s="940"/>
      <c r="M503" s="940"/>
    </row>
    <row r="504" spans="1:13" x14ac:dyDescent="0.3">
      <c r="A504" s="946"/>
      <c r="B504" s="948"/>
      <c r="C504" s="935"/>
      <c r="D504" s="936"/>
      <c r="E504" s="937"/>
      <c r="F504" s="949"/>
      <c r="G504" s="938"/>
      <c r="H504" s="940"/>
      <c r="I504" s="939"/>
      <c r="J504" s="940"/>
      <c r="K504" s="947"/>
      <c r="L504" s="940"/>
      <c r="M504" s="940"/>
    </row>
    <row r="505" spans="1:13" x14ac:dyDescent="0.3">
      <c r="A505" s="946"/>
      <c r="B505" s="948"/>
      <c r="C505" s="935"/>
      <c r="D505" s="936"/>
      <c r="E505" s="937"/>
      <c r="F505" s="949"/>
      <c r="G505" s="938"/>
      <c r="H505" s="940"/>
      <c r="I505" s="939"/>
      <c r="J505" s="940"/>
      <c r="K505" s="947"/>
      <c r="L505" s="940"/>
      <c r="M505" s="940"/>
    </row>
    <row r="506" spans="1:13" x14ac:dyDescent="0.3">
      <c r="A506" s="946"/>
      <c r="B506" s="948"/>
      <c r="C506" s="935"/>
      <c r="D506" s="936"/>
      <c r="E506" s="937"/>
      <c r="F506" s="949"/>
      <c r="G506" s="938"/>
      <c r="H506" s="940"/>
      <c r="I506" s="939"/>
      <c r="J506" s="940"/>
      <c r="K506" s="947"/>
      <c r="L506" s="940"/>
      <c r="M506" s="940"/>
    </row>
    <row r="507" spans="1:13" x14ac:dyDescent="0.3">
      <c r="A507" s="946"/>
      <c r="B507" s="948"/>
      <c r="C507" s="935"/>
      <c r="D507" s="936"/>
      <c r="E507" s="937"/>
      <c r="F507" s="949"/>
      <c r="G507" s="938"/>
      <c r="H507" s="940"/>
      <c r="I507" s="939"/>
      <c r="J507" s="940"/>
      <c r="K507" s="947"/>
      <c r="L507" s="940"/>
      <c r="M507" s="940"/>
    </row>
    <row r="508" spans="1:13" x14ac:dyDescent="0.3">
      <c r="A508" s="946"/>
      <c r="B508" s="948"/>
      <c r="C508" s="935"/>
      <c r="D508" s="936"/>
      <c r="E508" s="937"/>
      <c r="F508" s="949"/>
      <c r="G508" s="938"/>
      <c r="H508" s="940"/>
      <c r="I508" s="939"/>
      <c r="J508" s="940"/>
      <c r="K508" s="947"/>
      <c r="L508" s="940"/>
      <c r="M508" s="940"/>
    </row>
    <row r="509" spans="1:13" x14ac:dyDescent="0.3">
      <c r="A509" s="946"/>
      <c r="B509" s="948"/>
      <c r="C509" s="935"/>
      <c r="D509" s="936"/>
      <c r="E509" s="937"/>
      <c r="F509" s="949"/>
      <c r="G509" s="938"/>
      <c r="H509" s="940"/>
      <c r="I509" s="939"/>
      <c r="J509" s="940"/>
      <c r="K509" s="947"/>
      <c r="L509" s="940"/>
      <c r="M509" s="940"/>
    </row>
    <row r="510" spans="1:13" x14ac:dyDescent="0.3">
      <c r="A510" s="946"/>
      <c r="B510" s="948"/>
      <c r="C510" s="935"/>
      <c r="D510" s="936"/>
      <c r="E510" s="937"/>
      <c r="F510" s="949"/>
      <c r="G510" s="938"/>
      <c r="H510" s="940"/>
      <c r="I510" s="939"/>
      <c r="J510" s="940"/>
      <c r="K510" s="947"/>
      <c r="L510" s="940"/>
      <c r="M510" s="940"/>
    </row>
    <row r="511" spans="1:13" x14ac:dyDescent="0.3">
      <c r="A511" s="946"/>
      <c r="B511" s="948"/>
      <c r="C511" s="935"/>
      <c r="D511" s="936"/>
      <c r="E511" s="937"/>
      <c r="F511" s="949"/>
      <c r="G511" s="938"/>
      <c r="H511" s="940"/>
      <c r="I511" s="939"/>
      <c r="J511" s="940"/>
      <c r="K511" s="947"/>
      <c r="L511" s="940"/>
      <c r="M511" s="940"/>
    </row>
    <row r="512" spans="1:13" x14ac:dyDescent="0.3">
      <c r="A512" s="946"/>
      <c r="B512" s="948"/>
      <c r="C512" s="935"/>
      <c r="D512" s="936"/>
      <c r="E512" s="937"/>
      <c r="F512" s="949"/>
      <c r="G512" s="938"/>
      <c r="H512" s="940"/>
      <c r="I512" s="939"/>
      <c r="J512" s="940"/>
      <c r="K512" s="947"/>
      <c r="L512" s="940"/>
      <c r="M512" s="940"/>
    </row>
    <row r="513" spans="1:13" x14ac:dyDescent="0.3">
      <c r="A513" s="946"/>
      <c r="B513" s="948"/>
      <c r="C513" s="935"/>
      <c r="D513" s="936"/>
      <c r="E513" s="937"/>
      <c r="F513" s="949"/>
      <c r="G513" s="938"/>
      <c r="H513" s="940"/>
      <c r="I513" s="939"/>
      <c r="J513" s="940"/>
      <c r="K513" s="947"/>
      <c r="L513" s="940"/>
      <c r="M513" s="940"/>
    </row>
    <row r="514" spans="1:13" x14ac:dyDescent="0.3">
      <c r="A514" s="946"/>
      <c r="B514" s="948"/>
      <c r="C514" s="935"/>
      <c r="D514" s="936"/>
      <c r="E514" s="937"/>
      <c r="F514" s="949"/>
      <c r="G514" s="938"/>
      <c r="H514" s="940"/>
      <c r="I514" s="939"/>
      <c r="J514" s="940"/>
      <c r="K514" s="947"/>
      <c r="L514" s="940"/>
      <c r="M514" s="940"/>
    </row>
    <row r="515" spans="1:13" x14ac:dyDescent="0.3">
      <c r="A515" s="946"/>
      <c r="B515" s="948"/>
      <c r="C515" s="935"/>
      <c r="D515" s="936"/>
      <c r="E515" s="937"/>
      <c r="F515" s="949"/>
      <c r="G515" s="938"/>
      <c r="H515" s="940"/>
      <c r="I515" s="939"/>
      <c r="J515" s="940"/>
      <c r="K515" s="947"/>
      <c r="L515" s="940"/>
      <c r="M515" s="940"/>
    </row>
    <row r="516" spans="1:13" x14ac:dyDescent="0.3">
      <c r="A516" s="946"/>
      <c r="B516" s="948"/>
      <c r="C516" s="935"/>
      <c r="D516" s="936"/>
      <c r="E516" s="937"/>
      <c r="F516" s="949"/>
      <c r="G516" s="938"/>
      <c r="H516" s="940"/>
      <c r="I516" s="939"/>
      <c r="J516" s="940"/>
      <c r="K516" s="947"/>
      <c r="L516" s="940"/>
      <c r="M516" s="940"/>
    </row>
    <row r="517" spans="1:13" x14ac:dyDescent="0.3">
      <c r="A517" s="946"/>
      <c r="B517" s="948"/>
      <c r="C517" s="935"/>
      <c r="D517" s="936"/>
      <c r="E517" s="937"/>
      <c r="F517" s="949"/>
      <c r="G517" s="938"/>
      <c r="H517" s="940"/>
      <c r="I517" s="939"/>
      <c r="J517" s="940"/>
      <c r="K517" s="947"/>
      <c r="L517" s="940"/>
      <c r="M517" s="940"/>
    </row>
    <row r="518" spans="1:13" x14ac:dyDescent="0.3">
      <c r="A518" s="946"/>
      <c r="B518" s="948"/>
      <c r="C518" s="935"/>
      <c r="D518" s="936"/>
      <c r="E518" s="937"/>
      <c r="F518" s="949"/>
      <c r="G518" s="938"/>
      <c r="H518" s="940"/>
      <c r="I518" s="939"/>
      <c r="J518" s="940"/>
      <c r="K518" s="947"/>
      <c r="L518" s="940"/>
      <c r="M518" s="940"/>
    </row>
    <row r="519" spans="1:13" x14ac:dyDescent="0.3">
      <c r="A519" s="946"/>
      <c r="B519" s="948"/>
      <c r="C519" s="935"/>
      <c r="D519" s="936"/>
      <c r="E519" s="937"/>
      <c r="F519" s="949"/>
      <c r="G519" s="938"/>
      <c r="H519" s="940"/>
      <c r="I519" s="939"/>
      <c r="J519" s="940"/>
      <c r="K519" s="947"/>
      <c r="L519" s="940"/>
      <c r="M519" s="940"/>
    </row>
    <row r="520" spans="1:13" x14ac:dyDescent="0.3">
      <c r="A520" s="946"/>
      <c r="B520" s="948"/>
      <c r="C520" s="935"/>
      <c r="D520" s="936"/>
      <c r="E520" s="937"/>
      <c r="F520" s="949"/>
      <c r="G520" s="938"/>
      <c r="H520" s="940"/>
      <c r="I520" s="939"/>
      <c r="J520" s="940"/>
      <c r="K520" s="947"/>
      <c r="L520" s="940"/>
      <c r="M520" s="940"/>
    </row>
    <row r="521" spans="1:13" x14ac:dyDescent="0.3">
      <c r="A521" s="946"/>
      <c r="B521" s="948"/>
      <c r="C521" s="935"/>
      <c r="D521" s="936"/>
      <c r="E521" s="937"/>
      <c r="F521" s="949"/>
      <c r="G521" s="938"/>
      <c r="H521" s="940"/>
      <c r="I521" s="939"/>
      <c r="J521" s="940"/>
      <c r="K521" s="947"/>
      <c r="L521" s="940"/>
      <c r="M521" s="940"/>
    </row>
    <row r="522" spans="1:13" x14ac:dyDescent="0.3">
      <c r="A522" s="946"/>
      <c r="B522" s="948"/>
      <c r="C522" s="935"/>
      <c r="D522" s="936"/>
      <c r="E522" s="937"/>
      <c r="F522" s="949"/>
      <c r="G522" s="938"/>
      <c r="H522" s="940"/>
      <c r="I522" s="939"/>
      <c r="J522" s="940"/>
      <c r="K522" s="947"/>
      <c r="L522" s="940"/>
      <c r="M522" s="940"/>
    </row>
    <row r="523" spans="1:13" x14ac:dyDescent="0.3">
      <c r="A523" s="946"/>
      <c r="B523" s="948"/>
      <c r="C523" s="935"/>
      <c r="D523" s="936"/>
      <c r="E523" s="937"/>
      <c r="F523" s="949"/>
      <c r="G523" s="938"/>
      <c r="H523" s="940"/>
      <c r="I523" s="939"/>
      <c r="J523" s="940"/>
      <c r="K523" s="947"/>
      <c r="L523" s="940"/>
      <c r="M523" s="940"/>
    </row>
    <row r="524" spans="1:13" x14ac:dyDescent="0.3">
      <c r="A524" s="946"/>
      <c r="B524" s="948"/>
      <c r="C524" s="935"/>
      <c r="D524" s="936"/>
      <c r="E524" s="937"/>
      <c r="F524" s="949"/>
      <c r="G524" s="938"/>
      <c r="H524" s="940"/>
      <c r="I524" s="939"/>
      <c r="J524" s="940"/>
      <c r="K524" s="947"/>
      <c r="L524" s="940"/>
      <c r="M524" s="940"/>
    </row>
    <row r="525" spans="1:13" x14ac:dyDescent="0.3">
      <c r="A525" s="946"/>
      <c r="B525" s="948"/>
      <c r="C525" s="935"/>
      <c r="D525" s="936"/>
      <c r="E525" s="937"/>
      <c r="F525" s="949"/>
      <c r="G525" s="938"/>
      <c r="H525" s="940"/>
      <c r="I525" s="939"/>
      <c r="J525" s="940"/>
      <c r="K525" s="947"/>
      <c r="L525" s="940"/>
      <c r="M525" s="940"/>
    </row>
    <row r="526" spans="1:13" x14ac:dyDescent="0.3">
      <c r="A526" s="946"/>
      <c r="B526" s="948"/>
      <c r="C526" s="935"/>
      <c r="D526" s="936"/>
      <c r="E526" s="937"/>
      <c r="F526" s="949"/>
      <c r="G526" s="938"/>
      <c r="H526" s="940"/>
      <c r="I526" s="939"/>
      <c r="J526" s="940"/>
      <c r="K526" s="947"/>
      <c r="L526" s="940"/>
      <c r="M526" s="940"/>
    </row>
    <row r="527" spans="1:13" x14ac:dyDescent="0.3">
      <c r="A527" s="946"/>
      <c r="B527" s="948"/>
      <c r="C527" s="935"/>
      <c r="D527" s="936"/>
      <c r="E527" s="937"/>
      <c r="F527" s="949"/>
      <c r="G527" s="938"/>
      <c r="H527" s="940"/>
      <c r="I527" s="939"/>
      <c r="J527" s="940"/>
      <c r="K527" s="947"/>
      <c r="L527" s="940"/>
      <c r="M527" s="940"/>
    </row>
    <row r="528" spans="1:13" x14ac:dyDescent="0.3">
      <c r="A528" s="946"/>
      <c r="B528" s="948"/>
      <c r="C528" s="935"/>
      <c r="D528" s="936"/>
      <c r="E528" s="937"/>
      <c r="F528" s="949"/>
      <c r="G528" s="938"/>
      <c r="H528" s="940"/>
      <c r="I528" s="939"/>
      <c r="J528" s="940"/>
      <c r="K528" s="947"/>
      <c r="L528" s="940"/>
      <c r="M528" s="940"/>
    </row>
    <row r="529" spans="1:13" x14ac:dyDescent="0.3">
      <c r="A529" s="946"/>
      <c r="B529" s="948"/>
      <c r="C529" s="935"/>
      <c r="D529" s="936"/>
      <c r="E529" s="937"/>
      <c r="F529" s="949"/>
      <c r="G529" s="938"/>
      <c r="H529" s="940"/>
      <c r="I529" s="939"/>
      <c r="J529" s="940"/>
      <c r="K529" s="947"/>
      <c r="L529" s="940"/>
      <c r="M529" s="940"/>
    </row>
    <row r="530" spans="1:13" x14ac:dyDescent="0.3">
      <c r="A530" s="946"/>
      <c r="B530" s="948"/>
      <c r="C530" s="935"/>
      <c r="D530" s="936"/>
      <c r="E530" s="937"/>
      <c r="F530" s="949"/>
      <c r="G530" s="938"/>
      <c r="H530" s="940"/>
      <c r="I530" s="939"/>
      <c r="J530" s="940"/>
      <c r="K530" s="947"/>
      <c r="L530" s="940"/>
      <c r="M530" s="940"/>
    </row>
    <row r="531" spans="1:13" x14ac:dyDescent="0.3">
      <c r="A531" s="946"/>
      <c r="B531" s="948"/>
      <c r="C531" s="935"/>
      <c r="D531" s="936"/>
      <c r="E531" s="937"/>
      <c r="F531" s="949"/>
      <c r="G531" s="938"/>
      <c r="H531" s="940"/>
      <c r="I531" s="939"/>
      <c r="J531" s="940"/>
      <c r="K531" s="947"/>
      <c r="L531" s="940"/>
      <c r="M531" s="940"/>
    </row>
    <row r="532" spans="1:13" x14ac:dyDescent="0.3">
      <c r="A532" s="946"/>
      <c r="B532" s="948"/>
      <c r="C532" s="935"/>
      <c r="D532" s="936"/>
      <c r="E532" s="937"/>
      <c r="F532" s="949"/>
      <c r="G532" s="938"/>
      <c r="H532" s="940"/>
      <c r="I532" s="939"/>
      <c r="J532" s="940"/>
      <c r="K532" s="947"/>
      <c r="L532" s="940"/>
      <c r="M532" s="940"/>
    </row>
    <row r="533" spans="1:13" x14ac:dyDescent="0.3">
      <c r="A533" s="946"/>
      <c r="B533" s="948"/>
      <c r="C533" s="935"/>
      <c r="D533" s="936"/>
      <c r="E533" s="937"/>
      <c r="F533" s="949"/>
      <c r="G533" s="938"/>
      <c r="H533" s="940"/>
      <c r="I533" s="939"/>
      <c r="J533" s="940"/>
      <c r="K533" s="947"/>
      <c r="L533" s="940"/>
      <c r="M533" s="940"/>
    </row>
    <row r="534" spans="1:13" x14ac:dyDescent="0.3">
      <c r="A534" s="946"/>
      <c r="B534" s="948"/>
      <c r="C534" s="935"/>
      <c r="D534" s="936"/>
      <c r="E534" s="937"/>
      <c r="F534" s="949"/>
      <c r="G534" s="938"/>
      <c r="H534" s="940"/>
      <c r="I534" s="939"/>
      <c r="J534" s="940"/>
      <c r="K534" s="947"/>
      <c r="L534" s="940"/>
      <c r="M534" s="940"/>
    </row>
    <row r="535" spans="1:13" x14ac:dyDescent="0.3">
      <c r="A535" s="946"/>
      <c r="B535" s="948"/>
      <c r="C535" s="935"/>
      <c r="D535" s="936"/>
      <c r="E535" s="937"/>
      <c r="F535" s="949"/>
      <c r="G535" s="938"/>
      <c r="H535" s="940"/>
      <c r="I535" s="939"/>
      <c r="J535" s="940"/>
      <c r="K535" s="947"/>
      <c r="L535" s="940"/>
      <c r="M535" s="940"/>
    </row>
    <row r="536" spans="1:13" x14ac:dyDescent="0.3">
      <c r="A536" s="946"/>
      <c r="B536" s="948"/>
      <c r="C536" s="935"/>
      <c r="D536" s="936"/>
      <c r="E536" s="937"/>
      <c r="F536" s="949"/>
      <c r="G536" s="938"/>
      <c r="H536" s="940"/>
      <c r="I536" s="939"/>
      <c r="J536" s="940"/>
      <c r="K536" s="947"/>
      <c r="L536" s="940"/>
      <c r="M536" s="940"/>
    </row>
    <row r="537" spans="1:13" x14ac:dyDescent="0.3">
      <c r="A537" s="946"/>
      <c r="B537" s="948"/>
      <c r="C537" s="935"/>
      <c r="D537" s="936"/>
      <c r="E537" s="937"/>
      <c r="F537" s="949"/>
      <c r="G537" s="938"/>
      <c r="H537" s="940"/>
      <c r="I537" s="939"/>
      <c r="J537" s="940"/>
      <c r="K537" s="947"/>
      <c r="L537" s="940"/>
      <c r="M537" s="940"/>
    </row>
    <row r="538" spans="1:13" x14ac:dyDescent="0.3">
      <c r="A538" s="946"/>
      <c r="B538" s="948"/>
      <c r="C538" s="935"/>
      <c r="D538" s="936"/>
      <c r="E538" s="937"/>
      <c r="F538" s="949"/>
      <c r="G538" s="938"/>
      <c r="H538" s="940"/>
      <c r="I538" s="939"/>
      <c r="J538" s="940"/>
      <c r="K538" s="947"/>
      <c r="L538" s="940"/>
      <c r="M538" s="940"/>
    </row>
    <row r="539" spans="1:13" x14ac:dyDescent="0.3">
      <c r="A539" s="946"/>
      <c r="B539" s="948"/>
      <c r="C539" s="935"/>
      <c r="D539" s="936"/>
      <c r="E539" s="937"/>
      <c r="F539" s="949"/>
      <c r="G539" s="938"/>
      <c r="H539" s="940"/>
      <c r="I539" s="939"/>
      <c r="J539" s="940"/>
      <c r="K539" s="947"/>
      <c r="L539" s="940"/>
      <c r="M539" s="940"/>
    </row>
    <row r="540" spans="1:13" x14ac:dyDescent="0.3">
      <c r="A540" s="946"/>
      <c r="B540" s="948"/>
      <c r="C540" s="935"/>
      <c r="D540" s="936"/>
      <c r="E540" s="937"/>
      <c r="F540" s="949"/>
      <c r="G540" s="938"/>
      <c r="H540" s="940"/>
      <c r="I540" s="939"/>
      <c r="J540" s="940"/>
      <c r="K540" s="947"/>
      <c r="L540" s="940"/>
      <c r="M540" s="940"/>
    </row>
    <row r="541" spans="1:13" x14ac:dyDescent="0.3">
      <c r="A541" s="946"/>
      <c r="B541" s="948"/>
      <c r="C541" s="935"/>
      <c r="D541" s="936"/>
      <c r="E541" s="937"/>
      <c r="F541" s="949"/>
      <c r="G541" s="938"/>
      <c r="H541" s="940"/>
      <c r="I541" s="939"/>
      <c r="J541" s="940"/>
      <c r="K541" s="947"/>
      <c r="L541" s="940"/>
      <c r="M541" s="940"/>
    </row>
    <row r="542" spans="1:13" x14ac:dyDescent="0.3">
      <c r="A542" s="946"/>
      <c r="B542" s="948"/>
      <c r="C542" s="935"/>
      <c r="D542" s="936"/>
      <c r="E542" s="937"/>
      <c r="F542" s="949"/>
      <c r="G542" s="938"/>
      <c r="H542" s="940"/>
      <c r="I542" s="939"/>
      <c r="J542" s="940"/>
      <c r="K542" s="947"/>
      <c r="L542" s="940"/>
      <c r="M542" s="940"/>
    </row>
    <row r="543" spans="1:13" x14ac:dyDescent="0.3">
      <c r="A543" s="946"/>
      <c r="B543" s="948"/>
      <c r="C543" s="935"/>
      <c r="D543" s="936"/>
      <c r="E543" s="937"/>
      <c r="F543" s="949"/>
      <c r="G543" s="938"/>
      <c r="H543" s="940"/>
      <c r="I543" s="939"/>
      <c r="J543" s="940"/>
      <c r="K543" s="947"/>
      <c r="L543" s="940"/>
      <c r="M543" s="940"/>
    </row>
    <row r="544" spans="1:13" x14ac:dyDescent="0.3">
      <c r="A544" s="946"/>
      <c r="B544" s="948"/>
      <c r="C544" s="935"/>
      <c r="D544" s="936"/>
      <c r="E544" s="937"/>
      <c r="F544" s="949"/>
      <c r="G544" s="938"/>
      <c r="H544" s="940"/>
      <c r="I544" s="939"/>
      <c r="J544" s="940"/>
      <c r="K544" s="947"/>
      <c r="L544" s="940"/>
      <c r="M544" s="940"/>
    </row>
    <row r="545" spans="1:13" x14ac:dyDescent="0.3">
      <c r="A545" s="946"/>
      <c r="B545" s="948"/>
      <c r="C545" s="935"/>
      <c r="D545" s="936"/>
      <c r="E545" s="937"/>
      <c r="F545" s="949"/>
      <c r="G545" s="938"/>
      <c r="H545" s="940"/>
      <c r="I545" s="939"/>
      <c r="J545" s="940"/>
      <c r="K545" s="947"/>
      <c r="L545" s="940"/>
      <c r="M545" s="940"/>
    </row>
    <row r="546" spans="1:13" x14ac:dyDescent="0.3">
      <c r="A546" s="946"/>
      <c r="B546" s="948"/>
      <c r="C546" s="935"/>
      <c r="D546" s="936"/>
      <c r="E546" s="937"/>
      <c r="F546" s="949"/>
      <c r="G546" s="938"/>
      <c r="H546" s="940"/>
      <c r="I546" s="939"/>
      <c r="J546" s="940"/>
      <c r="K546" s="947"/>
      <c r="L546" s="940"/>
      <c r="M546" s="940"/>
    </row>
    <row r="547" spans="1:13" x14ac:dyDescent="0.3">
      <c r="A547" s="946"/>
      <c r="B547" s="948"/>
      <c r="C547" s="935"/>
      <c r="D547" s="936"/>
      <c r="E547" s="937"/>
      <c r="F547" s="949"/>
      <c r="G547" s="938"/>
      <c r="H547" s="940"/>
      <c r="I547" s="939"/>
      <c r="J547" s="940"/>
      <c r="K547" s="947"/>
      <c r="L547" s="940"/>
      <c r="M547" s="940"/>
    </row>
    <row r="548" spans="1:13" x14ac:dyDescent="0.3">
      <c r="A548" s="946"/>
      <c r="B548" s="948"/>
      <c r="C548" s="935"/>
      <c r="D548" s="936"/>
      <c r="E548" s="937"/>
      <c r="F548" s="949"/>
      <c r="G548" s="938"/>
      <c r="H548" s="940"/>
      <c r="I548" s="939"/>
      <c r="J548" s="940"/>
      <c r="K548" s="947"/>
      <c r="L548" s="940"/>
      <c r="M548" s="940"/>
    </row>
    <row r="549" spans="1:13" x14ac:dyDescent="0.3">
      <c r="A549" s="946"/>
      <c r="B549" s="948"/>
      <c r="C549" s="935"/>
      <c r="D549" s="936"/>
      <c r="E549" s="937"/>
      <c r="F549" s="949"/>
      <c r="G549" s="938"/>
      <c r="H549" s="940"/>
      <c r="I549" s="939"/>
      <c r="J549" s="940"/>
      <c r="K549" s="947"/>
      <c r="L549" s="940"/>
      <c r="M549" s="940"/>
    </row>
    <row r="550" spans="1:13" x14ac:dyDescent="0.3">
      <c r="A550" s="946"/>
      <c r="B550" s="948"/>
      <c r="C550" s="935"/>
      <c r="D550" s="936"/>
      <c r="E550" s="937"/>
      <c r="F550" s="949"/>
      <c r="G550" s="938"/>
      <c r="H550" s="940"/>
      <c r="I550" s="939"/>
      <c r="J550" s="940"/>
      <c r="K550" s="947"/>
      <c r="L550" s="940"/>
      <c r="M550" s="940"/>
    </row>
    <row r="551" spans="1:13" x14ac:dyDescent="0.3">
      <c r="A551" s="946"/>
      <c r="B551" s="948"/>
      <c r="C551" s="935"/>
      <c r="D551" s="936"/>
      <c r="E551" s="937"/>
      <c r="F551" s="949"/>
      <c r="G551" s="938"/>
      <c r="H551" s="940"/>
      <c r="I551" s="939"/>
      <c r="J551" s="940"/>
      <c r="K551" s="947"/>
      <c r="L551" s="940"/>
      <c r="M551" s="940"/>
    </row>
    <row r="552" spans="1:13" x14ac:dyDescent="0.3">
      <c r="A552" s="946"/>
      <c r="B552" s="948"/>
      <c r="C552" s="935"/>
      <c r="D552" s="936"/>
      <c r="E552" s="937"/>
      <c r="F552" s="949"/>
      <c r="G552" s="938"/>
      <c r="H552" s="940"/>
      <c r="I552" s="939"/>
      <c r="J552" s="940"/>
      <c r="K552" s="947"/>
      <c r="L552" s="940"/>
      <c r="M552" s="940"/>
    </row>
    <row r="553" spans="1:13" x14ac:dyDescent="0.3">
      <c r="A553" s="946"/>
      <c r="B553" s="948"/>
      <c r="C553" s="935"/>
      <c r="D553" s="936"/>
      <c r="E553" s="937"/>
      <c r="F553" s="949"/>
      <c r="G553" s="938"/>
      <c r="H553" s="940"/>
      <c r="I553" s="939"/>
      <c r="J553" s="940"/>
      <c r="K553" s="947"/>
      <c r="L553" s="940"/>
      <c r="M553" s="940"/>
    </row>
    <row r="554" spans="1:13" x14ac:dyDescent="0.3">
      <c r="A554" s="946"/>
      <c r="B554" s="948"/>
      <c r="C554" s="935"/>
      <c r="D554" s="936"/>
      <c r="E554" s="937"/>
      <c r="F554" s="949"/>
      <c r="G554" s="938"/>
      <c r="H554" s="940"/>
      <c r="I554" s="939"/>
      <c r="J554" s="940"/>
      <c r="K554" s="947"/>
      <c r="L554" s="940"/>
      <c r="M554" s="940"/>
    </row>
    <row r="555" spans="1:13" x14ac:dyDescent="0.3">
      <c r="A555" s="946"/>
      <c r="B555" s="948"/>
      <c r="C555" s="935"/>
      <c r="D555" s="936"/>
      <c r="E555" s="937"/>
      <c r="F555" s="949"/>
      <c r="G555" s="938"/>
      <c r="H555" s="940"/>
      <c r="I555" s="939"/>
      <c r="J555" s="940"/>
      <c r="K555" s="947"/>
      <c r="L555" s="940"/>
      <c r="M555" s="940"/>
    </row>
    <row r="556" spans="1:13" x14ac:dyDescent="0.3">
      <c r="A556" s="946"/>
      <c r="B556" s="948"/>
      <c r="C556" s="935"/>
      <c r="D556" s="936"/>
      <c r="E556" s="937"/>
      <c r="F556" s="949"/>
      <c r="G556" s="938"/>
      <c r="H556" s="940"/>
      <c r="I556" s="939"/>
      <c r="J556" s="940"/>
      <c r="K556" s="947"/>
      <c r="L556" s="940"/>
      <c r="M556" s="940"/>
    </row>
    <row r="557" spans="1:13" x14ac:dyDescent="0.3">
      <c r="A557" s="946"/>
      <c r="B557" s="948"/>
      <c r="C557" s="935"/>
      <c r="D557" s="936"/>
      <c r="E557" s="937"/>
      <c r="F557" s="949"/>
      <c r="G557" s="938"/>
      <c r="H557" s="940"/>
      <c r="I557" s="939"/>
      <c r="J557" s="940"/>
      <c r="K557" s="947"/>
      <c r="L557" s="940"/>
      <c r="M557" s="940"/>
    </row>
    <row r="558" spans="1:13" x14ac:dyDescent="0.3">
      <c r="A558" s="946"/>
      <c r="B558" s="948"/>
      <c r="C558" s="935"/>
      <c r="D558" s="936"/>
      <c r="E558" s="937"/>
      <c r="F558" s="949"/>
      <c r="G558" s="938"/>
      <c r="H558" s="940"/>
      <c r="I558" s="939"/>
      <c r="J558" s="940"/>
      <c r="K558" s="947"/>
      <c r="L558" s="940"/>
      <c r="M558" s="940"/>
    </row>
    <row r="559" spans="1:13" x14ac:dyDescent="0.3">
      <c r="A559" s="946"/>
      <c r="B559" s="948"/>
      <c r="C559" s="935"/>
      <c r="D559" s="936"/>
      <c r="E559" s="937"/>
      <c r="F559" s="949"/>
      <c r="G559" s="938"/>
      <c r="H559" s="940"/>
      <c r="I559" s="939"/>
      <c r="J559" s="940"/>
      <c r="K559" s="947"/>
      <c r="L559" s="940"/>
      <c r="M559" s="940"/>
    </row>
    <row r="560" spans="1:13" x14ac:dyDescent="0.3">
      <c r="A560" s="946"/>
      <c r="B560" s="948"/>
      <c r="C560" s="935"/>
      <c r="D560" s="936"/>
      <c r="E560" s="937"/>
      <c r="F560" s="949"/>
      <c r="G560" s="938"/>
      <c r="H560" s="940"/>
      <c r="I560" s="939"/>
      <c r="J560" s="940"/>
      <c r="K560" s="947"/>
      <c r="L560" s="940"/>
      <c r="M560" s="940"/>
    </row>
    <row r="561" spans="1:13" x14ac:dyDescent="0.3">
      <c r="A561" s="946"/>
      <c r="B561" s="948"/>
      <c r="C561" s="935"/>
      <c r="D561" s="936"/>
      <c r="E561" s="937"/>
      <c r="F561" s="949"/>
      <c r="G561" s="938"/>
      <c r="H561" s="940"/>
      <c r="I561" s="939"/>
      <c r="J561" s="940"/>
      <c r="K561" s="947"/>
      <c r="L561" s="940"/>
      <c r="M561" s="940"/>
    </row>
    <row r="562" spans="1:13" x14ac:dyDescent="0.3">
      <c r="A562" s="946"/>
      <c r="B562" s="948"/>
      <c r="C562" s="935"/>
      <c r="D562" s="936"/>
      <c r="E562" s="937"/>
      <c r="F562" s="949"/>
      <c r="G562" s="938"/>
      <c r="H562" s="940"/>
      <c r="I562" s="939"/>
      <c r="J562" s="940"/>
      <c r="K562" s="947"/>
      <c r="L562" s="940"/>
      <c r="M562" s="940"/>
    </row>
    <row r="563" spans="1:13" x14ac:dyDescent="0.3">
      <c r="A563" s="946"/>
      <c r="B563" s="948"/>
      <c r="C563" s="935"/>
      <c r="D563" s="936"/>
      <c r="E563" s="937"/>
      <c r="F563" s="949"/>
      <c r="G563" s="938"/>
      <c r="H563" s="940"/>
      <c r="I563" s="939"/>
      <c r="J563" s="940"/>
      <c r="K563" s="947"/>
      <c r="L563" s="940"/>
      <c r="M563" s="940"/>
    </row>
    <row r="564" spans="1:13" x14ac:dyDescent="0.3">
      <c r="A564" s="946"/>
      <c r="B564" s="948"/>
      <c r="C564" s="935"/>
      <c r="D564" s="936"/>
      <c r="E564" s="937"/>
      <c r="F564" s="949"/>
      <c r="G564" s="938"/>
      <c r="H564" s="940"/>
      <c r="I564" s="939"/>
      <c r="J564" s="940"/>
      <c r="K564" s="947"/>
      <c r="L564" s="940"/>
      <c r="M564" s="940"/>
    </row>
    <row r="565" spans="1:13" x14ac:dyDescent="0.3">
      <c r="A565" s="946"/>
      <c r="B565" s="948"/>
      <c r="C565" s="935"/>
      <c r="D565" s="936"/>
      <c r="E565" s="937"/>
      <c r="F565" s="949"/>
      <c r="G565" s="938"/>
      <c r="H565" s="940"/>
      <c r="I565" s="939"/>
      <c r="J565" s="940"/>
      <c r="K565" s="947"/>
      <c r="L565" s="940"/>
      <c r="M565" s="940"/>
    </row>
    <row r="566" spans="1:13" x14ac:dyDescent="0.3">
      <c r="A566" s="946"/>
      <c r="B566" s="948"/>
      <c r="C566" s="935"/>
      <c r="D566" s="936"/>
      <c r="E566" s="937"/>
      <c r="F566" s="949"/>
      <c r="G566" s="938"/>
      <c r="H566" s="940"/>
      <c r="I566" s="939"/>
      <c r="J566" s="940"/>
      <c r="K566" s="947"/>
      <c r="L566" s="940"/>
      <c r="M566" s="940"/>
    </row>
    <row r="567" spans="1:13" x14ac:dyDescent="0.3">
      <c r="A567" s="946"/>
      <c r="B567" s="948"/>
      <c r="C567" s="935"/>
      <c r="D567" s="936"/>
      <c r="E567" s="937"/>
      <c r="F567" s="949"/>
      <c r="G567" s="938"/>
      <c r="H567" s="940"/>
      <c r="I567" s="939"/>
      <c r="J567" s="940"/>
      <c r="K567" s="947"/>
      <c r="L567" s="940"/>
      <c r="M567" s="940"/>
    </row>
    <row r="568" spans="1:13" x14ac:dyDescent="0.3">
      <c r="A568" s="946"/>
      <c r="B568" s="948"/>
      <c r="C568" s="935"/>
      <c r="D568" s="936"/>
      <c r="E568" s="937"/>
      <c r="F568" s="949"/>
      <c r="G568" s="938"/>
      <c r="H568" s="940"/>
      <c r="I568" s="939"/>
      <c r="J568" s="940"/>
      <c r="K568" s="947"/>
      <c r="L568" s="940"/>
      <c r="M568" s="940"/>
    </row>
    <row r="569" spans="1:13" x14ac:dyDescent="0.3">
      <c r="A569" s="946"/>
      <c r="B569" s="948"/>
      <c r="C569" s="935"/>
      <c r="D569" s="936"/>
      <c r="E569" s="937"/>
      <c r="F569" s="949"/>
      <c r="G569" s="938"/>
      <c r="H569" s="940"/>
      <c r="I569" s="939"/>
      <c r="J569" s="940"/>
      <c r="K569" s="947"/>
      <c r="L569" s="940"/>
      <c r="M569" s="940"/>
    </row>
    <row r="570" spans="1:13" x14ac:dyDescent="0.3">
      <c r="A570" s="946"/>
      <c r="B570" s="948"/>
      <c r="C570" s="935"/>
      <c r="D570" s="936"/>
      <c r="E570" s="937"/>
      <c r="F570" s="949"/>
      <c r="G570" s="938"/>
      <c r="H570" s="940"/>
      <c r="I570" s="939"/>
      <c r="J570" s="940"/>
      <c r="K570" s="947"/>
      <c r="L570" s="940"/>
      <c r="M570" s="940"/>
    </row>
    <row r="571" spans="1:13" x14ac:dyDescent="0.3">
      <c r="A571" s="946"/>
      <c r="B571" s="948"/>
      <c r="C571" s="935"/>
      <c r="D571" s="936"/>
      <c r="E571" s="937"/>
      <c r="F571" s="949"/>
      <c r="G571" s="938"/>
      <c r="H571" s="940"/>
      <c r="I571" s="939"/>
      <c r="J571" s="940"/>
      <c r="K571" s="947"/>
      <c r="L571" s="940"/>
      <c r="M571" s="940"/>
    </row>
    <row r="572" spans="1:13" x14ac:dyDescent="0.3">
      <c r="A572" s="946"/>
      <c r="B572" s="948"/>
      <c r="C572" s="935"/>
      <c r="D572" s="936"/>
      <c r="E572" s="937"/>
      <c r="F572" s="949"/>
      <c r="G572" s="938"/>
      <c r="H572" s="940"/>
      <c r="I572" s="939"/>
      <c r="J572" s="940"/>
      <c r="K572" s="947"/>
      <c r="L572" s="940"/>
      <c r="M572" s="940"/>
    </row>
    <row r="573" spans="1:13" x14ac:dyDescent="0.3">
      <c r="A573" s="946"/>
      <c r="B573" s="948"/>
      <c r="C573" s="935"/>
      <c r="D573" s="936"/>
      <c r="E573" s="937"/>
      <c r="F573" s="949"/>
      <c r="G573" s="938"/>
      <c r="H573" s="940"/>
      <c r="I573" s="939"/>
      <c r="J573" s="940"/>
      <c r="K573" s="947"/>
      <c r="L573" s="940"/>
      <c r="M573" s="940"/>
    </row>
    <row r="574" spans="1:13" x14ac:dyDescent="0.3">
      <c r="A574" s="946"/>
      <c r="B574" s="948"/>
      <c r="C574" s="935"/>
      <c r="D574" s="936"/>
      <c r="E574" s="937"/>
      <c r="F574" s="949"/>
      <c r="G574" s="938"/>
      <c r="H574" s="940"/>
      <c r="I574" s="939"/>
      <c r="J574" s="940"/>
      <c r="K574" s="947"/>
      <c r="L574" s="940"/>
      <c r="M574" s="940"/>
    </row>
    <row r="575" spans="1:13" x14ac:dyDescent="0.3">
      <c r="A575" s="946"/>
      <c r="B575" s="948"/>
      <c r="C575" s="935"/>
      <c r="D575" s="936"/>
      <c r="E575" s="937"/>
      <c r="F575" s="949"/>
      <c r="G575" s="938"/>
      <c r="H575" s="940"/>
      <c r="I575" s="939"/>
      <c r="J575" s="940"/>
      <c r="K575" s="947"/>
      <c r="L575" s="940"/>
      <c r="M575" s="940"/>
    </row>
    <row r="576" spans="1:13" x14ac:dyDescent="0.3">
      <c r="A576" s="946"/>
      <c r="B576" s="948"/>
      <c r="C576" s="935"/>
      <c r="D576" s="936"/>
      <c r="E576" s="937"/>
      <c r="F576" s="949"/>
      <c r="G576" s="938"/>
      <c r="H576" s="940"/>
      <c r="I576" s="939"/>
      <c r="J576" s="940"/>
      <c r="K576" s="947"/>
      <c r="L576" s="940"/>
      <c r="M576" s="940"/>
    </row>
    <row r="577" spans="1:13" x14ac:dyDescent="0.3">
      <c r="A577" s="946"/>
      <c r="B577" s="948"/>
      <c r="C577" s="935"/>
      <c r="D577" s="936"/>
      <c r="E577" s="937"/>
      <c r="F577" s="949"/>
      <c r="G577" s="938"/>
      <c r="H577" s="940"/>
      <c r="I577" s="939"/>
      <c r="J577" s="940"/>
      <c r="K577" s="947"/>
      <c r="L577" s="940"/>
      <c r="M577" s="940"/>
    </row>
    <row r="578" spans="1:13" x14ac:dyDescent="0.3">
      <c r="A578" s="946"/>
      <c r="B578" s="948"/>
      <c r="C578" s="935"/>
      <c r="D578" s="936"/>
      <c r="E578" s="937"/>
      <c r="F578" s="949"/>
      <c r="G578" s="938"/>
      <c r="H578" s="940"/>
      <c r="I578" s="939"/>
      <c r="J578" s="940"/>
      <c r="K578" s="947"/>
      <c r="L578" s="940"/>
      <c r="M578" s="940"/>
    </row>
    <row r="579" spans="1:13" x14ac:dyDescent="0.3">
      <c r="A579" s="946"/>
      <c r="B579" s="948"/>
      <c r="C579" s="935"/>
      <c r="D579" s="936"/>
      <c r="E579" s="937"/>
      <c r="F579" s="949"/>
      <c r="G579" s="938"/>
      <c r="H579" s="940"/>
      <c r="I579" s="939"/>
      <c r="J579" s="940"/>
      <c r="K579" s="947"/>
      <c r="L579" s="940"/>
      <c r="M579" s="940"/>
    </row>
    <row r="580" spans="1:13" x14ac:dyDescent="0.3">
      <c r="A580" s="946"/>
      <c r="B580" s="948"/>
      <c r="C580" s="935"/>
      <c r="D580" s="936"/>
      <c r="E580" s="937"/>
      <c r="F580" s="949"/>
      <c r="G580" s="938"/>
      <c r="H580" s="940"/>
      <c r="I580" s="939"/>
      <c r="J580" s="940"/>
      <c r="K580" s="947"/>
      <c r="L580" s="940"/>
      <c r="M580" s="940"/>
    </row>
    <row r="581" spans="1:13" x14ac:dyDescent="0.3">
      <c r="A581" s="946"/>
      <c r="B581" s="948"/>
      <c r="C581" s="935"/>
      <c r="D581" s="936"/>
      <c r="E581" s="937"/>
      <c r="F581" s="949"/>
      <c r="G581" s="938"/>
      <c r="H581" s="940"/>
      <c r="I581" s="939"/>
      <c r="J581" s="940"/>
      <c r="K581" s="947"/>
      <c r="L581" s="940"/>
      <c r="M581" s="940"/>
    </row>
    <row r="582" spans="1:13" x14ac:dyDescent="0.3">
      <c r="A582" s="946"/>
      <c r="B582" s="948"/>
      <c r="C582" s="935"/>
      <c r="D582" s="936"/>
      <c r="E582" s="937"/>
      <c r="F582" s="949"/>
      <c r="G582" s="938"/>
      <c r="H582" s="940"/>
      <c r="I582" s="939"/>
      <c r="J582" s="940"/>
      <c r="K582" s="947"/>
      <c r="L582" s="940"/>
      <c r="M582" s="940"/>
    </row>
    <row r="583" spans="1:13" x14ac:dyDescent="0.3">
      <c r="A583" s="946"/>
      <c r="B583" s="948"/>
      <c r="C583" s="935"/>
      <c r="D583" s="936"/>
      <c r="E583" s="937"/>
      <c r="F583" s="949"/>
      <c r="G583" s="938"/>
      <c r="H583" s="940"/>
      <c r="I583" s="939"/>
      <c r="J583" s="940"/>
      <c r="K583" s="947"/>
      <c r="L583" s="940"/>
      <c r="M583" s="940"/>
    </row>
    <row r="584" spans="1:13" x14ac:dyDescent="0.3">
      <c r="A584" s="946"/>
      <c r="B584" s="948"/>
      <c r="C584" s="935"/>
      <c r="D584" s="936"/>
      <c r="E584" s="937"/>
      <c r="F584" s="949"/>
      <c r="G584" s="938"/>
      <c r="H584" s="940"/>
      <c r="I584" s="939"/>
      <c r="J584" s="940"/>
      <c r="K584" s="947"/>
      <c r="L584" s="940"/>
      <c r="M584" s="940"/>
    </row>
    <row r="585" spans="1:13" x14ac:dyDescent="0.3">
      <c r="A585" s="946"/>
      <c r="B585" s="948"/>
      <c r="C585" s="935"/>
      <c r="D585" s="936"/>
      <c r="E585" s="937"/>
      <c r="F585" s="949"/>
      <c r="G585" s="938"/>
      <c r="H585" s="940"/>
      <c r="I585" s="939"/>
      <c r="J585" s="940"/>
      <c r="K585" s="947"/>
      <c r="L585" s="940"/>
      <c r="M585" s="940"/>
    </row>
    <row r="586" spans="1:13" x14ac:dyDescent="0.3">
      <c r="A586" s="946"/>
      <c r="B586" s="948"/>
      <c r="C586" s="935"/>
      <c r="D586" s="936"/>
      <c r="E586" s="937"/>
      <c r="F586" s="949"/>
      <c r="G586" s="938"/>
      <c r="H586" s="940"/>
      <c r="I586" s="939"/>
      <c r="J586" s="940"/>
      <c r="K586" s="947"/>
      <c r="L586" s="940"/>
      <c r="M586" s="940"/>
    </row>
    <row r="587" spans="1:13" x14ac:dyDescent="0.3">
      <c r="A587" s="946"/>
      <c r="B587" s="948"/>
      <c r="C587" s="935"/>
      <c r="D587" s="936"/>
      <c r="E587" s="937"/>
      <c r="F587" s="949"/>
      <c r="G587" s="938"/>
      <c r="H587" s="940"/>
      <c r="I587" s="939"/>
      <c r="J587" s="940"/>
      <c r="K587" s="947"/>
      <c r="L587" s="940"/>
      <c r="M587" s="940"/>
    </row>
    <row r="588" spans="1:13" x14ac:dyDescent="0.3">
      <c r="A588" s="946"/>
      <c r="B588" s="948"/>
      <c r="C588" s="935"/>
      <c r="D588" s="936"/>
      <c r="E588" s="937"/>
      <c r="F588" s="949"/>
      <c r="G588" s="938"/>
      <c r="H588" s="940"/>
      <c r="I588" s="939"/>
      <c r="J588" s="940"/>
      <c r="K588" s="947"/>
      <c r="L588" s="940"/>
      <c r="M588" s="940"/>
    </row>
    <row r="589" spans="1:13" x14ac:dyDescent="0.3">
      <c r="A589" s="946"/>
      <c r="B589" s="948"/>
      <c r="C589" s="935"/>
      <c r="D589" s="936"/>
      <c r="E589" s="937"/>
      <c r="F589" s="949"/>
      <c r="G589" s="938"/>
      <c r="H589" s="940"/>
      <c r="I589" s="939"/>
      <c r="J589" s="940"/>
      <c r="K589" s="947"/>
      <c r="L589" s="940"/>
      <c r="M589" s="940"/>
    </row>
    <row r="590" spans="1:13" x14ac:dyDescent="0.3">
      <c r="A590" s="946"/>
      <c r="B590" s="948"/>
      <c r="C590" s="935"/>
      <c r="D590" s="936"/>
      <c r="E590" s="937"/>
      <c r="F590" s="949"/>
      <c r="G590" s="938"/>
      <c r="H590" s="940"/>
      <c r="I590" s="939"/>
      <c r="J590" s="940"/>
      <c r="K590" s="947"/>
      <c r="L590" s="940"/>
      <c r="M590" s="940"/>
    </row>
    <row r="591" spans="1:13" x14ac:dyDescent="0.3">
      <c r="A591" s="946"/>
      <c r="B591" s="948"/>
      <c r="C591" s="935"/>
      <c r="D591" s="936"/>
      <c r="E591" s="937"/>
      <c r="F591" s="949"/>
      <c r="G591" s="938"/>
      <c r="H591" s="940"/>
      <c r="I591" s="939"/>
      <c r="J591" s="940"/>
      <c r="K591" s="947"/>
      <c r="L591" s="940"/>
      <c r="M591" s="940"/>
    </row>
    <row r="592" spans="1:13" x14ac:dyDescent="0.3">
      <c r="A592" s="946"/>
      <c r="B592" s="948"/>
      <c r="C592" s="935"/>
      <c r="D592" s="936"/>
      <c r="E592" s="937"/>
      <c r="F592" s="949"/>
      <c r="G592" s="938"/>
      <c r="H592" s="940"/>
      <c r="I592" s="939"/>
      <c r="J592" s="940"/>
      <c r="K592" s="947"/>
      <c r="L592" s="940"/>
      <c r="M592" s="940"/>
    </row>
    <row r="593" spans="1:13" x14ac:dyDescent="0.3">
      <c r="A593" s="946"/>
      <c r="B593" s="948"/>
      <c r="C593" s="935"/>
      <c r="D593" s="936"/>
      <c r="E593" s="937"/>
      <c r="F593" s="949"/>
      <c r="G593" s="938"/>
      <c r="H593" s="940"/>
      <c r="I593" s="939"/>
      <c r="J593" s="940"/>
      <c r="K593" s="947"/>
      <c r="L593" s="940"/>
      <c r="M593" s="940"/>
    </row>
    <row r="594" spans="1:13" x14ac:dyDescent="0.3">
      <c r="A594" s="946"/>
      <c r="B594" s="948"/>
      <c r="C594" s="935"/>
      <c r="D594" s="936"/>
      <c r="E594" s="937"/>
      <c r="F594" s="949"/>
      <c r="G594" s="938"/>
      <c r="H594" s="940"/>
      <c r="I594" s="939"/>
      <c r="J594" s="940"/>
      <c r="K594" s="947"/>
      <c r="L594" s="940"/>
      <c r="M594" s="940"/>
    </row>
    <row r="595" spans="1:13" x14ac:dyDescent="0.3">
      <c r="A595" s="946"/>
      <c r="B595" s="948"/>
      <c r="C595" s="935"/>
      <c r="D595" s="936"/>
      <c r="E595" s="937"/>
      <c r="F595" s="949"/>
      <c r="G595" s="938"/>
      <c r="H595" s="940"/>
      <c r="I595" s="939"/>
      <c r="J595" s="940"/>
      <c r="K595" s="947"/>
      <c r="L595" s="940"/>
      <c r="M595" s="940"/>
    </row>
    <row r="596" spans="1:13" x14ac:dyDescent="0.3">
      <c r="A596" s="946"/>
      <c r="B596" s="948"/>
      <c r="C596" s="935"/>
      <c r="D596" s="936"/>
      <c r="E596" s="937"/>
      <c r="F596" s="949"/>
      <c r="G596" s="938"/>
      <c r="H596" s="940"/>
      <c r="I596" s="939"/>
      <c r="J596" s="940"/>
      <c r="K596" s="947"/>
      <c r="L596" s="940"/>
      <c r="M596" s="940"/>
    </row>
    <row r="597" spans="1:13" x14ac:dyDescent="0.3">
      <c r="A597" s="946"/>
      <c r="B597" s="948"/>
      <c r="C597" s="935"/>
      <c r="D597" s="936"/>
      <c r="E597" s="937"/>
      <c r="F597" s="949"/>
      <c r="G597" s="938"/>
      <c r="H597" s="940"/>
      <c r="I597" s="939"/>
      <c r="J597" s="940"/>
      <c r="K597" s="947"/>
      <c r="L597" s="940"/>
      <c r="M597" s="940"/>
    </row>
    <row r="598" spans="1:13" x14ac:dyDescent="0.3">
      <c r="A598" s="946"/>
      <c r="B598" s="948"/>
      <c r="C598" s="935"/>
      <c r="D598" s="936"/>
      <c r="E598" s="937"/>
      <c r="F598" s="949"/>
      <c r="G598" s="938"/>
      <c r="H598" s="940"/>
      <c r="I598" s="939"/>
      <c r="J598" s="940"/>
      <c r="K598" s="947"/>
      <c r="L598" s="940"/>
      <c r="M598" s="940"/>
    </row>
    <row r="599" spans="1:13" x14ac:dyDescent="0.3">
      <c r="A599" s="946"/>
      <c r="B599" s="948"/>
      <c r="C599" s="935"/>
      <c r="D599" s="936"/>
      <c r="E599" s="937"/>
      <c r="F599" s="949"/>
      <c r="G599" s="938"/>
      <c r="H599" s="940"/>
      <c r="I599" s="939"/>
      <c r="J599" s="940"/>
      <c r="K599" s="947"/>
      <c r="L599" s="940"/>
      <c r="M599" s="940"/>
    </row>
    <row r="600" spans="1:13" x14ac:dyDescent="0.3">
      <c r="A600" s="946"/>
      <c r="B600" s="948"/>
      <c r="C600" s="935"/>
      <c r="D600" s="936"/>
      <c r="E600" s="937"/>
      <c r="F600" s="949"/>
      <c r="G600" s="938"/>
      <c r="H600" s="940"/>
      <c r="I600" s="939"/>
      <c r="J600" s="940"/>
      <c r="K600" s="947"/>
      <c r="L600" s="940"/>
      <c r="M600" s="940"/>
    </row>
    <row r="601" spans="1:13" x14ac:dyDescent="0.3">
      <c r="A601" s="946"/>
      <c r="B601" s="948"/>
      <c r="C601" s="935"/>
      <c r="D601" s="936"/>
      <c r="E601" s="937"/>
      <c r="F601" s="949"/>
      <c r="G601" s="938"/>
      <c r="H601" s="940"/>
      <c r="I601" s="939"/>
      <c r="J601" s="940"/>
      <c r="K601" s="947"/>
      <c r="L601" s="940"/>
      <c r="M601" s="940"/>
    </row>
    <row r="602" spans="1:13" x14ac:dyDescent="0.3">
      <c r="A602" s="946"/>
      <c r="B602" s="948"/>
      <c r="C602" s="935"/>
      <c r="D602" s="936"/>
      <c r="E602" s="937"/>
      <c r="F602" s="949"/>
      <c r="G602" s="938"/>
      <c r="H602" s="940"/>
      <c r="I602" s="939"/>
      <c r="J602" s="940"/>
      <c r="K602" s="947"/>
      <c r="L602" s="940"/>
      <c r="M602" s="940"/>
    </row>
    <row r="603" spans="1:13" x14ac:dyDescent="0.3">
      <c r="A603" s="946"/>
      <c r="B603" s="948"/>
      <c r="C603" s="935"/>
      <c r="D603" s="936"/>
      <c r="E603" s="937"/>
      <c r="F603" s="949"/>
      <c r="G603" s="938"/>
      <c r="H603" s="940"/>
      <c r="I603" s="939"/>
      <c r="J603" s="940"/>
      <c r="K603" s="947"/>
      <c r="L603" s="940"/>
      <c r="M603" s="940"/>
    </row>
    <row r="604" spans="1:13" x14ac:dyDescent="0.3">
      <c r="A604" s="946"/>
      <c r="B604" s="948"/>
      <c r="C604" s="935"/>
      <c r="D604" s="936"/>
      <c r="E604" s="937"/>
      <c r="F604" s="949"/>
      <c r="G604" s="938"/>
      <c r="H604" s="940"/>
      <c r="I604" s="939"/>
      <c r="J604" s="940"/>
      <c r="K604" s="947"/>
      <c r="L604" s="940"/>
      <c r="M604" s="940"/>
    </row>
    <row r="605" spans="1:13" x14ac:dyDescent="0.3">
      <c r="A605" s="946"/>
      <c r="B605" s="948"/>
      <c r="C605" s="935"/>
      <c r="D605" s="936"/>
      <c r="E605" s="937"/>
      <c r="F605" s="949"/>
      <c r="G605" s="938"/>
      <c r="H605" s="940"/>
      <c r="I605" s="939"/>
      <c r="J605" s="940"/>
      <c r="K605" s="947"/>
      <c r="L605" s="940"/>
      <c r="M605" s="940"/>
    </row>
    <row r="606" spans="1:13" x14ac:dyDescent="0.3">
      <c r="A606" s="946"/>
      <c r="B606" s="948"/>
      <c r="C606" s="935"/>
      <c r="D606" s="936"/>
      <c r="E606" s="937"/>
      <c r="F606" s="949"/>
      <c r="G606" s="938"/>
      <c r="H606" s="940"/>
      <c r="I606" s="939"/>
      <c r="J606" s="940"/>
      <c r="K606" s="947"/>
      <c r="L606" s="940"/>
      <c r="M606" s="940"/>
    </row>
    <row r="607" spans="1:13" x14ac:dyDescent="0.3">
      <c r="A607" s="946"/>
      <c r="B607" s="948"/>
      <c r="C607" s="935"/>
      <c r="D607" s="936"/>
      <c r="E607" s="937"/>
      <c r="F607" s="949"/>
      <c r="G607" s="938"/>
      <c r="H607" s="940"/>
      <c r="I607" s="939"/>
      <c r="J607" s="940"/>
      <c r="K607" s="947"/>
      <c r="L607" s="940"/>
      <c r="M607" s="940"/>
    </row>
    <row r="608" spans="1:13" x14ac:dyDescent="0.3">
      <c r="A608" s="946"/>
      <c r="B608" s="948"/>
      <c r="C608" s="935"/>
      <c r="D608" s="936"/>
      <c r="E608" s="937"/>
      <c r="F608" s="949"/>
      <c r="G608" s="938"/>
      <c r="H608" s="940"/>
      <c r="I608" s="939"/>
      <c r="J608" s="940"/>
      <c r="K608" s="947"/>
      <c r="L608" s="940"/>
      <c r="M608" s="940"/>
    </row>
    <row r="609" spans="1:13" x14ac:dyDescent="0.3">
      <c r="A609" s="946"/>
      <c r="B609" s="948"/>
      <c r="C609" s="935"/>
      <c r="D609" s="936"/>
      <c r="E609" s="937"/>
      <c r="F609" s="949"/>
      <c r="G609" s="938"/>
      <c r="H609" s="940"/>
      <c r="I609" s="939"/>
      <c r="J609" s="940"/>
      <c r="K609" s="947"/>
      <c r="L609" s="940"/>
      <c r="M609" s="940"/>
    </row>
    <row r="610" spans="1:13" x14ac:dyDescent="0.3">
      <c r="A610" s="946"/>
      <c r="B610" s="948"/>
      <c r="C610" s="935"/>
      <c r="D610" s="936"/>
      <c r="E610" s="937"/>
      <c r="F610" s="949"/>
      <c r="G610" s="938"/>
      <c r="H610" s="940"/>
      <c r="I610" s="939"/>
      <c r="J610" s="940"/>
      <c r="K610" s="947"/>
      <c r="L610" s="940"/>
      <c r="M610" s="940"/>
    </row>
    <row r="611" spans="1:13" x14ac:dyDescent="0.3">
      <c r="A611" s="946"/>
      <c r="B611" s="948"/>
      <c r="C611" s="935"/>
      <c r="D611" s="936"/>
      <c r="E611" s="937"/>
      <c r="F611" s="949"/>
      <c r="G611" s="938"/>
      <c r="H611" s="940"/>
      <c r="I611" s="939"/>
      <c r="J611" s="940"/>
      <c r="K611" s="947"/>
      <c r="L611" s="940"/>
      <c r="M611" s="940"/>
    </row>
    <row r="612" spans="1:13" x14ac:dyDescent="0.3">
      <c r="A612" s="946"/>
      <c r="B612" s="948"/>
      <c r="C612" s="935"/>
      <c r="D612" s="936"/>
      <c r="E612" s="937"/>
      <c r="F612" s="949"/>
      <c r="G612" s="938"/>
      <c r="H612" s="940"/>
      <c r="I612" s="939"/>
      <c r="J612" s="940"/>
      <c r="K612" s="947"/>
      <c r="L612" s="940"/>
      <c r="M612" s="940"/>
    </row>
    <row r="613" spans="1:13" x14ac:dyDescent="0.3">
      <c r="A613" s="946"/>
      <c r="B613" s="948"/>
      <c r="C613" s="935"/>
      <c r="D613" s="936"/>
      <c r="E613" s="937"/>
      <c r="F613" s="949"/>
      <c r="G613" s="938"/>
      <c r="H613" s="940"/>
      <c r="I613" s="939"/>
      <c r="J613" s="940"/>
      <c r="K613" s="947"/>
      <c r="L613" s="940"/>
      <c r="M613" s="940"/>
    </row>
    <row r="614" spans="1:13" x14ac:dyDescent="0.3">
      <c r="A614" s="946"/>
      <c r="B614" s="948"/>
      <c r="C614" s="935"/>
      <c r="D614" s="936"/>
      <c r="E614" s="937"/>
      <c r="F614" s="949"/>
      <c r="G614" s="938"/>
      <c r="H614" s="940"/>
      <c r="I614" s="939"/>
      <c r="J614" s="940"/>
      <c r="K614" s="947"/>
      <c r="L614" s="940"/>
      <c r="M614" s="940"/>
    </row>
    <row r="615" spans="1:13" x14ac:dyDescent="0.3">
      <c r="A615" s="946"/>
      <c r="B615" s="948"/>
      <c r="C615" s="935"/>
      <c r="D615" s="936"/>
      <c r="E615" s="937"/>
      <c r="F615" s="949"/>
      <c r="G615" s="938"/>
      <c r="H615" s="940"/>
      <c r="I615" s="939"/>
      <c r="J615" s="940"/>
      <c r="K615" s="947"/>
      <c r="L615" s="940"/>
      <c r="M615" s="940"/>
    </row>
    <row r="616" spans="1:13" x14ac:dyDescent="0.3">
      <c r="A616" s="946"/>
      <c r="B616" s="948"/>
      <c r="C616" s="935"/>
      <c r="D616" s="936"/>
      <c r="E616" s="937"/>
      <c r="F616" s="949"/>
      <c r="G616" s="938"/>
      <c r="H616" s="940"/>
      <c r="I616" s="939"/>
      <c r="J616" s="940"/>
      <c r="K616" s="947"/>
      <c r="L616" s="940"/>
      <c r="M616" s="940"/>
    </row>
    <row r="617" spans="1:13" x14ac:dyDescent="0.3">
      <c r="A617" s="946"/>
      <c r="B617" s="948"/>
      <c r="C617" s="935"/>
      <c r="D617" s="936"/>
      <c r="E617" s="937"/>
      <c r="F617" s="949"/>
      <c r="G617" s="938"/>
      <c r="H617" s="940"/>
      <c r="I617" s="939"/>
      <c r="J617" s="940"/>
      <c r="K617" s="947"/>
      <c r="L617" s="940"/>
      <c r="M617" s="940"/>
    </row>
    <row r="618" spans="1:13" x14ac:dyDescent="0.3">
      <c r="A618" s="946"/>
      <c r="B618" s="948"/>
      <c r="C618" s="935"/>
      <c r="D618" s="936"/>
      <c r="E618" s="937"/>
      <c r="F618" s="949"/>
      <c r="G618" s="938"/>
      <c r="H618" s="940"/>
      <c r="I618" s="939"/>
      <c r="J618" s="940"/>
      <c r="K618" s="947"/>
      <c r="L618" s="940"/>
      <c r="M618" s="940"/>
    </row>
    <row r="619" spans="1:13" x14ac:dyDescent="0.3">
      <c r="A619" s="946"/>
      <c r="B619" s="948"/>
      <c r="C619" s="935"/>
      <c r="D619" s="936"/>
      <c r="E619" s="937"/>
      <c r="F619" s="949"/>
      <c r="G619" s="938"/>
      <c r="H619" s="940"/>
      <c r="I619" s="939"/>
      <c r="J619" s="940"/>
      <c r="K619" s="947"/>
      <c r="L619" s="940"/>
      <c r="M619" s="940"/>
    </row>
    <row r="620" spans="1:13" x14ac:dyDescent="0.3">
      <c r="A620" s="946"/>
      <c r="B620" s="948"/>
      <c r="C620" s="935"/>
      <c r="D620" s="936"/>
      <c r="E620" s="937"/>
      <c r="F620" s="949"/>
      <c r="G620" s="938"/>
      <c r="H620" s="940"/>
      <c r="I620" s="939"/>
      <c r="J620" s="940"/>
      <c r="K620" s="947"/>
      <c r="L620" s="940"/>
      <c r="M620" s="940"/>
    </row>
    <row r="621" spans="1:13" x14ac:dyDescent="0.3">
      <c r="A621" s="946"/>
      <c r="B621" s="948"/>
      <c r="C621" s="935"/>
      <c r="D621" s="936"/>
      <c r="E621" s="937"/>
      <c r="F621" s="949"/>
      <c r="G621" s="938"/>
      <c r="H621" s="940"/>
      <c r="I621" s="939"/>
      <c r="J621" s="940"/>
      <c r="K621" s="947"/>
      <c r="L621" s="940"/>
      <c r="M621" s="940"/>
    </row>
    <row r="622" spans="1:13" x14ac:dyDescent="0.3">
      <c r="A622" s="946"/>
      <c r="B622" s="948"/>
      <c r="C622" s="935"/>
      <c r="D622" s="936"/>
      <c r="E622" s="937"/>
      <c r="F622" s="949"/>
      <c r="G622" s="938"/>
      <c r="H622" s="940"/>
      <c r="I622" s="939"/>
      <c r="J622" s="940"/>
      <c r="K622" s="947"/>
      <c r="L622" s="940"/>
      <c r="M622" s="940"/>
    </row>
    <row r="623" spans="1:13" x14ac:dyDescent="0.3">
      <c r="A623" s="946"/>
      <c r="B623" s="948"/>
      <c r="C623" s="935"/>
      <c r="D623" s="936"/>
      <c r="E623" s="937"/>
      <c r="F623" s="949"/>
      <c r="G623" s="938"/>
      <c r="H623" s="940"/>
      <c r="I623" s="939"/>
      <c r="J623" s="940"/>
      <c r="K623" s="947"/>
      <c r="L623" s="940"/>
      <c r="M623" s="940"/>
    </row>
    <row r="624" spans="1:13" x14ac:dyDescent="0.3">
      <c r="A624" s="946"/>
      <c r="B624" s="948"/>
      <c r="C624" s="935"/>
      <c r="D624" s="936"/>
      <c r="E624" s="937"/>
      <c r="F624" s="949"/>
      <c r="G624" s="938"/>
      <c r="H624" s="940"/>
      <c r="I624" s="939"/>
      <c r="J624" s="940"/>
      <c r="K624" s="947"/>
      <c r="L624" s="940"/>
      <c r="M624" s="940"/>
    </row>
    <row r="625" spans="1:13" x14ac:dyDescent="0.3">
      <c r="A625" s="946"/>
      <c r="B625" s="948"/>
      <c r="C625" s="935"/>
      <c r="D625" s="936"/>
      <c r="E625" s="937"/>
      <c r="F625" s="949"/>
      <c r="G625" s="938"/>
      <c r="H625" s="940"/>
      <c r="I625" s="939"/>
      <c r="J625" s="940"/>
      <c r="K625" s="947"/>
      <c r="L625" s="940"/>
      <c r="M625" s="940"/>
    </row>
    <row r="626" spans="1:13" x14ac:dyDescent="0.3">
      <c r="A626" s="946"/>
      <c r="B626" s="948"/>
      <c r="C626" s="935"/>
      <c r="D626" s="936"/>
      <c r="E626" s="937"/>
      <c r="F626" s="949"/>
      <c r="G626" s="938"/>
      <c r="H626" s="940"/>
      <c r="I626" s="939"/>
      <c r="J626" s="940"/>
      <c r="K626" s="947"/>
      <c r="L626" s="940"/>
      <c r="M626" s="940"/>
    </row>
    <row r="627" spans="1:13" x14ac:dyDescent="0.3">
      <c r="A627" s="946"/>
      <c r="B627" s="948"/>
      <c r="C627" s="935"/>
      <c r="D627" s="936"/>
      <c r="E627" s="937"/>
      <c r="F627" s="949"/>
      <c r="G627" s="938"/>
      <c r="H627" s="940"/>
      <c r="I627" s="939"/>
      <c r="J627" s="940"/>
      <c r="K627" s="947"/>
      <c r="L627" s="940"/>
      <c r="M627" s="940"/>
    </row>
    <row r="628" spans="1:13" x14ac:dyDescent="0.3">
      <c r="A628" s="946"/>
      <c r="B628" s="948"/>
      <c r="C628" s="935"/>
      <c r="D628" s="936"/>
      <c r="E628" s="937"/>
      <c r="F628" s="949"/>
      <c r="G628" s="938"/>
      <c r="H628" s="940"/>
      <c r="I628" s="939"/>
      <c r="J628" s="940"/>
      <c r="K628" s="947"/>
      <c r="L628" s="940"/>
      <c r="M628" s="940"/>
    </row>
    <row r="629" spans="1:13" x14ac:dyDescent="0.3">
      <c r="A629" s="946"/>
      <c r="B629" s="948"/>
      <c r="C629" s="935"/>
      <c r="D629" s="936"/>
      <c r="E629" s="937"/>
      <c r="F629" s="949"/>
      <c r="G629" s="938"/>
      <c r="H629" s="940"/>
      <c r="I629" s="939"/>
      <c r="J629" s="940"/>
      <c r="K629" s="947"/>
      <c r="L629" s="940"/>
      <c r="M629" s="940"/>
    </row>
    <row r="630" spans="1:13" x14ac:dyDescent="0.3">
      <c r="A630" s="946"/>
      <c r="B630" s="948"/>
      <c r="C630" s="935"/>
      <c r="D630" s="936"/>
      <c r="E630" s="937"/>
      <c r="F630" s="949"/>
      <c r="G630" s="938"/>
      <c r="H630" s="940"/>
      <c r="I630" s="939"/>
      <c r="J630" s="940"/>
      <c r="K630" s="947"/>
      <c r="L630" s="940"/>
      <c r="M630" s="940"/>
    </row>
    <row r="631" spans="1:13" x14ac:dyDescent="0.3">
      <c r="A631" s="946"/>
      <c r="B631" s="948"/>
      <c r="C631" s="935"/>
      <c r="D631" s="936"/>
      <c r="E631" s="937"/>
      <c r="F631" s="949"/>
      <c r="G631" s="938"/>
      <c r="H631" s="940"/>
      <c r="I631" s="939"/>
      <c r="J631" s="940"/>
      <c r="K631" s="947"/>
      <c r="L631" s="940"/>
      <c r="M631" s="940"/>
    </row>
    <row r="632" spans="1:13" x14ac:dyDescent="0.3">
      <c r="A632" s="946"/>
      <c r="B632" s="948"/>
      <c r="C632" s="935"/>
      <c r="D632" s="936"/>
      <c r="E632" s="937"/>
      <c r="F632" s="949"/>
      <c r="G632" s="938"/>
      <c r="H632" s="940"/>
      <c r="I632" s="939"/>
      <c r="J632" s="940"/>
      <c r="K632" s="947"/>
      <c r="L632" s="940"/>
      <c r="M632" s="940"/>
    </row>
    <row r="633" spans="1:13" x14ac:dyDescent="0.3">
      <c r="A633" s="946"/>
      <c r="B633" s="948"/>
      <c r="C633" s="935"/>
      <c r="D633" s="936"/>
      <c r="E633" s="937"/>
      <c r="F633" s="949"/>
      <c r="G633" s="938"/>
      <c r="H633" s="940"/>
      <c r="I633" s="939"/>
      <c r="J633" s="940"/>
      <c r="K633" s="947"/>
      <c r="L633" s="940"/>
      <c r="M633" s="940"/>
    </row>
    <row r="634" spans="1:13" x14ac:dyDescent="0.3">
      <c r="A634" s="946"/>
      <c r="B634" s="948"/>
      <c r="C634" s="935"/>
      <c r="D634" s="936"/>
      <c r="E634" s="937"/>
      <c r="F634" s="949"/>
      <c r="G634" s="938"/>
      <c r="H634" s="940"/>
      <c r="I634" s="939"/>
      <c r="J634" s="940"/>
      <c r="K634" s="947"/>
      <c r="L634" s="940"/>
      <c r="M634" s="940"/>
    </row>
    <row r="635" spans="1:13" x14ac:dyDescent="0.3">
      <c r="A635" s="946"/>
      <c r="B635" s="948"/>
      <c r="C635" s="935"/>
      <c r="D635" s="936"/>
      <c r="E635" s="937"/>
      <c r="F635" s="949"/>
      <c r="G635" s="938"/>
      <c r="H635" s="940"/>
      <c r="I635" s="939"/>
      <c r="J635" s="940"/>
      <c r="K635" s="947"/>
      <c r="L635" s="940"/>
      <c r="M635" s="940"/>
    </row>
    <row r="636" spans="1:13" x14ac:dyDescent="0.3">
      <c r="A636" s="946"/>
      <c r="B636" s="948"/>
      <c r="C636" s="935"/>
      <c r="D636" s="936"/>
      <c r="E636" s="937"/>
      <c r="F636" s="949"/>
      <c r="G636" s="938"/>
      <c r="H636" s="940"/>
      <c r="I636" s="939"/>
      <c r="J636" s="940"/>
      <c r="K636" s="947"/>
      <c r="L636" s="940"/>
      <c r="M636" s="940"/>
    </row>
    <row r="637" spans="1:13" x14ac:dyDescent="0.3">
      <c r="A637" s="946"/>
      <c r="B637" s="948"/>
      <c r="C637" s="935"/>
      <c r="D637" s="936"/>
      <c r="E637" s="937"/>
      <c r="F637" s="949"/>
      <c r="G637" s="938"/>
      <c r="H637" s="940"/>
      <c r="I637" s="939"/>
      <c r="J637" s="940"/>
      <c r="K637" s="947"/>
      <c r="L637" s="940"/>
      <c r="M637" s="940"/>
    </row>
    <row r="638" spans="1:13" x14ac:dyDescent="0.3">
      <c r="A638" s="946"/>
      <c r="B638" s="948"/>
      <c r="C638" s="935"/>
      <c r="D638" s="936"/>
      <c r="E638" s="937"/>
      <c r="F638" s="949"/>
      <c r="G638" s="938"/>
      <c r="H638" s="940"/>
      <c r="I638" s="939"/>
      <c r="J638" s="940"/>
      <c r="K638" s="947"/>
      <c r="L638" s="940"/>
      <c r="M638" s="940"/>
    </row>
    <row r="639" spans="1:13" x14ac:dyDescent="0.3">
      <c r="A639" s="946"/>
      <c r="B639" s="948"/>
      <c r="C639" s="935"/>
      <c r="D639" s="936"/>
      <c r="E639" s="937"/>
      <c r="F639" s="949"/>
      <c r="G639" s="938"/>
      <c r="H639" s="940"/>
      <c r="I639" s="939"/>
      <c r="J639" s="940"/>
      <c r="K639" s="947"/>
      <c r="L639" s="940"/>
      <c r="M639" s="940"/>
    </row>
    <row r="640" spans="1:13" x14ac:dyDescent="0.3">
      <c r="A640" s="946"/>
      <c r="B640" s="948"/>
      <c r="C640" s="935"/>
      <c r="D640" s="936"/>
      <c r="E640" s="937"/>
      <c r="F640" s="949"/>
      <c r="G640" s="938"/>
      <c r="H640" s="940"/>
      <c r="I640" s="939"/>
      <c r="J640" s="940"/>
      <c r="K640" s="947"/>
      <c r="L640" s="940"/>
      <c r="M640" s="940"/>
    </row>
    <row r="641" spans="1:13" x14ac:dyDescent="0.3">
      <c r="A641" s="946"/>
      <c r="B641" s="948"/>
      <c r="C641" s="935"/>
      <c r="D641" s="936"/>
      <c r="E641" s="937"/>
      <c r="F641" s="949"/>
      <c r="G641" s="938"/>
      <c r="H641" s="940"/>
      <c r="I641" s="939"/>
      <c r="J641" s="940"/>
      <c r="K641" s="947"/>
      <c r="L641" s="940"/>
      <c r="M641" s="940"/>
    </row>
    <row r="642" spans="1:13" x14ac:dyDescent="0.3">
      <c r="A642" s="946"/>
      <c r="B642" s="948"/>
      <c r="C642" s="935"/>
      <c r="D642" s="936"/>
      <c r="E642" s="937"/>
      <c r="F642" s="949"/>
      <c r="G642" s="938"/>
      <c r="H642" s="940"/>
      <c r="I642" s="939"/>
      <c r="J642" s="940"/>
      <c r="K642" s="947"/>
      <c r="L642" s="940"/>
      <c r="M642" s="940"/>
    </row>
    <row r="643" spans="1:13" x14ac:dyDescent="0.3">
      <c r="A643" s="946"/>
      <c r="B643" s="948"/>
      <c r="C643" s="935"/>
      <c r="D643" s="936"/>
      <c r="E643" s="937"/>
      <c r="F643" s="949"/>
      <c r="G643" s="938"/>
      <c r="H643" s="940"/>
      <c r="I643" s="939"/>
      <c r="J643" s="940"/>
      <c r="K643" s="947"/>
      <c r="L643" s="940"/>
      <c r="M643" s="940"/>
    </row>
    <row r="644" spans="1:13" x14ac:dyDescent="0.3">
      <c r="A644" s="946"/>
      <c r="B644" s="948"/>
      <c r="C644" s="935"/>
      <c r="D644" s="936"/>
      <c r="E644" s="937"/>
      <c r="F644" s="949"/>
      <c r="G644" s="938"/>
      <c r="H644" s="940"/>
      <c r="I644" s="939"/>
      <c r="J644" s="940"/>
      <c r="K644" s="947"/>
      <c r="L644" s="940"/>
      <c r="M644" s="940"/>
    </row>
    <row r="645" spans="1:13" x14ac:dyDescent="0.3">
      <c r="A645" s="946"/>
      <c r="B645" s="948"/>
      <c r="C645" s="935"/>
      <c r="D645" s="936"/>
      <c r="E645" s="937"/>
      <c r="F645" s="949"/>
      <c r="G645" s="938"/>
      <c r="H645" s="940"/>
      <c r="I645" s="939"/>
      <c r="J645" s="940"/>
      <c r="K645" s="947"/>
      <c r="L645" s="940"/>
      <c r="M645" s="940"/>
    </row>
    <row r="646" spans="1:13" x14ac:dyDescent="0.3">
      <c r="A646" s="946"/>
      <c r="B646" s="948"/>
      <c r="C646" s="935"/>
      <c r="D646" s="936"/>
      <c r="E646" s="937"/>
      <c r="F646" s="949"/>
      <c r="G646" s="938"/>
      <c r="H646" s="940"/>
      <c r="I646" s="939"/>
      <c r="J646" s="940"/>
      <c r="K646" s="947"/>
      <c r="L646" s="940"/>
      <c r="M646" s="940"/>
    </row>
    <row r="647" spans="1:13" x14ac:dyDescent="0.3">
      <c r="A647" s="946"/>
      <c r="B647" s="948"/>
      <c r="C647" s="935"/>
      <c r="D647" s="936"/>
      <c r="E647" s="937"/>
      <c r="F647" s="949"/>
      <c r="G647" s="938"/>
      <c r="H647" s="940"/>
      <c r="I647" s="939"/>
      <c r="J647" s="940"/>
      <c r="K647" s="947"/>
      <c r="L647" s="940"/>
      <c r="M647" s="940"/>
    </row>
    <row r="648" spans="1:13" x14ac:dyDescent="0.3">
      <c r="A648" s="946"/>
      <c r="B648" s="948"/>
      <c r="C648" s="935"/>
      <c r="D648" s="936"/>
      <c r="E648" s="937"/>
      <c r="F648" s="949"/>
      <c r="G648" s="938"/>
      <c r="H648" s="940"/>
      <c r="I648" s="939"/>
      <c r="J648" s="940"/>
      <c r="K648" s="947"/>
      <c r="L648" s="940"/>
      <c r="M648" s="940"/>
    </row>
    <row r="649" spans="1:13" x14ac:dyDescent="0.3">
      <c r="A649" s="946"/>
      <c r="B649" s="948"/>
      <c r="C649" s="935"/>
      <c r="D649" s="936"/>
      <c r="E649" s="937"/>
      <c r="F649" s="949"/>
      <c r="G649" s="938"/>
      <c r="H649" s="940"/>
      <c r="I649" s="939"/>
      <c r="J649" s="940"/>
      <c r="K649" s="947"/>
      <c r="L649" s="940"/>
      <c r="M649" s="940"/>
    </row>
    <row r="650" spans="1:13" x14ac:dyDescent="0.3">
      <c r="A650" s="946"/>
      <c r="B650" s="948"/>
      <c r="C650" s="935"/>
      <c r="D650" s="936"/>
      <c r="E650" s="937"/>
      <c r="F650" s="949"/>
      <c r="G650" s="938"/>
      <c r="H650" s="940"/>
      <c r="I650" s="939"/>
      <c r="J650" s="940"/>
      <c r="K650" s="947"/>
      <c r="L650" s="940"/>
      <c r="M650" s="940"/>
    </row>
    <row r="651" spans="1:13" x14ac:dyDescent="0.3">
      <c r="A651" s="946"/>
      <c r="B651" s="948"/>
      <c r="C651" s="935"/>
      <c r="D651" s="936"/>
      <c r="E651" s="937"/>
      <c r="F651" s="949"/>
      <c r="G651" s="938"/>
      <c r="H651" s="940"/>
      <c r="I651" s="939"/>
      <c r="J651" s="940"/>
      <c r="K651" s="947"/>
      <c r="L651" s="940"/>
      <c r="M651" s="940"/>
    </row>
    <row r="652" spans="1:13" x14ac:dyDescent="0.3">
      <c r="A652" s="946"/>
      <c r="B652" s="948"/>
      <c r="C652" s="935"/>
      <c r="D652" s="936"/>
      <c r="E652" s="937"/>
      <c r="F652" s="949"/>
      <c r="G652" s="938"/>
      <c r="H652" s="940"/>
      <c r="I652" s="939"/>
      <c r="J652" s="940"/>
      <c r="K652" s="947"/>
      <c r="L652" s="940"/>
      <c r="M652" s="940"/>
    </row>
    <row r="653" spans="1:13" x14ac:dyDescent="0.3">
      <c r="A653" s="946"/>
      <c r="B653" s="948"/>
      <c r="C653" s="935"/>
      <c r="D653" s="936"/>
      <c r="E653" s="937"/>
      <c r="F653" s="949"/>
      <c r="G653" s="938"/>
      <c r="H653" s="940"/>
      <c r="I653" s="939"/>
      <c r="J653" s="940"/>
      <c r="K653" s="947"/>
      <c r="L653" s="940"/>
      <c r="M653" s="940"/>
    </row>
    <row r="654" spans="1:13" x14ac:dyDescent="0.3">
      <c r="A654" s="946"/>
      <c r="B654" s="948"/>
      <c r="C654" s="935"/>
      <c r="D654" s="936"/>
      <c r="E654" s="937"/>
      <c r="F654" s="949"/>
      <c r="G654" s="938"/>
      <c r="H654" s="940"/>
      <c r="I654" s="939"/>
      <c r="J654" s="940"/>
      <c r="K654" s="947"/>
      <c r="L654" s="940"/>
      <c r="M654" s="940"/>
    </row>
    <row r="655" spans="1:13" x14ac:dyDescent="0.3">
      <c r="A655" s="946"/>
      <c r="B655" s="948"/>
      <c r="C655" s="935"/>
      <c r="D655" s="936"/>
      <c r="E655" s="937"/>
      <c r="F655" s="949"/>
      <c r="G655" s="938"/>
      <c r="H655" s="940"/>
      <c r="I655" s="939"/>
      <c r="J655" s="940"/>
      <c r="K655" s="947"/>
      <c r="L655" s="940"/>
      <c r="M655" s="940"/>
    </row>
    <row r="656" spans="1:13" x14ac:dyDescent="0.3">
      <c r="A656" s="946"/>
      <c r="B656" s="948"/>
      <c r="C656" s="935"/>
      <c r="D656" s="936"/>
      <c r="E656" s="937"/>
      <c r="F656" s="949"/>
      <c r="G656" s="938"/>
      <c r="H656" s="940"/>
      <c r="I656" s="939"/>
      <c r="J656" s="940"/>
      <c r="K656" s="947"/>
      <c r="L656" s="940"/>
      <c r="M656" s="940"/>
    </row>
    <row r="657" spans="1:13" x14ac:dyDescent="0.3">
      <c r="A657" s="946"/>
      <c r="B657" s="948"/>
      <c r="C657" s="935"/>
      <c r="D657" s="936"/>
      <c r="E657" s="937"/>
      <c r="F657" s="949"/>
      <c r="G657" s="938"/>
      <c r="H657" s="940"/>
      <c r="I657" s="939"/>
      <c r="J657" s="940"/>
      <c r="K657" s="947"/>
      <c r="L657" s="940"/>
      <c r="M657" s="940"/>
    </row>
    <row r="658" spans="1:13" x14ac:dyDescent="0.3">
      <c r="A658" s="946"/>
      <c r="B658" s="948"/>
      <c r="C658" s="935"/>
      <c r="D658" s="936"/>
      <c r="E658" s="937"/>
      <c r="F658" s="949"/>
      <c r="G658" s="938"/>
      <c r="H658" s="940"/>
      <c r="I658" s="939"/>
      <c r="J658" s="940"/>
      <c r="K658" s="947"/>
      <c r="L658" s="940"/>
      <c r="M658" s="940"/>
    </row>
    <row r="659" spans="1:13" x14ac:dyDescent="0.3">
      <c r="A659" s="946"/>
      <c r="B659" s="948"/>
      <c r="C659" s="935"/>
      <c r="D659" s="936"/>
      <c r="E659" s="937"/>
      <c r="F659" s="949"/>
      <c r="G659" s="938"/>
      <c r="H659" s="940"/>
      <c r="I659" s="939"/>
      <c r="J659" s="940"/>
      <c r="K659" s="947"/>
      <c r="L659" s="940"/>
      <c r="M659" s="940"/>
    </row>
    <row r="660" spans="1:13" x14ac:dyDescent="0.3">
      <c r="A660" s="946"/>
      <c r="B660" s="948"/>
      <c r="C660" s="935"/>
      <c r="D660" s="936"/>
      <c r="E660" s="937"/>
      <c r="F660" s="949"/>
      <c r="G660" s="938"/>
      <c r="H660" s="940"/>
      <c r="I660" s="939"/>
      <c r="J660" s="940"/>
      <c r="K660" s="947"/>
      <c r="L660" s="940"/>
      <c r="M660" s="940"/>
    </row>
    <row r="661" spans="1:13" x14ac:dyDescent="0.3">
      <c r="A661" s="946"/>
      <c r="B661" s="948"/>
      <c r="C661" s="935"/>
      <c r="D661" s="936"/>
      <c r="E661" s="937"/>
      <c r="F661" s="949"/>
      <c r="G661" s="938"/>
      <c r="H661" s="940"/>
      <c r="I661" s="939"/>
      <c r="J661" s="940"/>
      <c r="K661" s="947"/>
      <c r="L661" s="940"/>
      <c r="M661" s="940"/>
    </row>
    <row r="662" spans="1:13" x14ac:dyDescent="0.3">
      <c r="A662" s="946"/>
      <c r="B662" s="948"/>
      <c r="C662" s="935"/>
      <c r="D662" s="936"/>
      <c r="E662" s="937"/>
      <c r="F662" s="949"/>
      <c r="G662" s="938"/>
      <c r="H662" s="940"/>
      <c r="I662" s="939"/>
      <c r="J662" s="940"/>
      <c r="K662" s="947"/>
      <c r="L662" s="940"/>
      <c r="M662" s="940"/>
    </row>
    <row r="663" spans="1:13" x14ac:dyDescent="0.3">
      <c r="A663" s="946"/>
      <c r="B663" s="948"/>
      <c r="C663" s="935"/>
      <c r="D663" s="936"/>
      <c r="E663" s="937"/>
      <c r="F663" s="949"/>
      <c r="G663" s="938"/>
      <c r="H663" s="940"/>
      <c r="I663" s="939"/>
      <c r="J663" s="940"/>
      <c r="K663" s="947"/>
      <c r="L663" s="940"/>
      <c r="M663" s="940"/>
    </row>
    <row r="664" spans="1:13" x14ac:dyDescent="0.3">
      <c r="A664" s="946"/>
      <c r="B664" s="948"/>
      <c r="C664" s="935"/>
      <c r="D664" s="936"/>
      <c r="E664" s="937"/>
      <c r="F664" s="949"/>
      <c r="G664" s="938"/>
      <c r="H664" s="940"/>
      <c r="I664" s="939"/>
      <c r="J664" s="940"/>
      <c r="K664" s="947"/>
      <c r="L664" s="940"/>
      <c r="M664" s="940"/>
    </row>
    <row r="665" spans="1:13" x14ac:dyDescent="0.3">
      <c r="A665" s="946"/>
      <c r="B665" s="948"/>
      <c r="C665" s="935"/>
      <c r="D665" s="936"/>
      <c r="E665" s="937"/>
      <c r="F665" s="949"/>
      <c r="G665" s="938"/>
      <c r="H665" s="940"/>
      <c r="I665" s="939"/>
      <c r="J665" s="940"/>
      <c r="K665" s="947"/>
      <c r="L665" s="940"/>
      <c r="M665" s="940"/>
    </row>
    <row r="666" spans="1:13" x14ac:dyDescent="0.3">
      <c r="A666" s="946"/>
      <c r="B666" s="948"/>
      <c r="C666" s="935"/>
      <c r="D666" s="936"/>
      <c r="E666" s="937"/>
      <c r="F666" s="949"/>
      <c r="G666" s="938"/>
      <c r="H666" s="940"/>
      <c r="I666" s="939"/>
      <c r="J666" s="940"/>
      <c r="K666" s="947"/>
      <c r="L666" s="940"/>
      <c r="M666" s="940"/>
    </row>
    <row r="667" spans="1:13" x14ac:dyDescent="0.3">
      <c r="A667" s="946"/>
      <c r="B667" s="948"/>
      <c r="C667" s="935"/>
      <c r="D667" s="936"/>
      <c r="E667" s="937"/>
      <c r="F667" s="949"/>
      <c r="G667" s="938"/>
      <c r="H667" s="940"/>
      <c r="I667" s="939"/>
      <c r="J667" s="940"/>
      <c r="K667" s="947"/>
      <c r="L667" s="940"/>
      <c r="M667" s="940"/>
    </row>
    <row r="668" spans="1:13" x14ac:dyDescent="0.3">
      <c r="A668" s="946"/>
      <c r="B668" s="948"/>
      <c r="C668" s="935"/>
      <c r="D668" s="936"/>
      <c r="E668" s="937"/>
      <c r="F668" s="949"/>
      <c r="G668" s="938"/>
      <c r="H668" s="940"/>
      <c r="I668" s="939"/>
      <c r="J668" s="940"/>
      <c r="K668" s="947"/>
      <c r="L668" s="940"/>
      <c r="M668" s="940"/>
    </row>
    <row r="669" spans="1:13" x14ac:dyDescent="0.3">
      <c r="A669" s="946"/>
      <c r="B669" s="948"/>
      <c r="C669" s="935"/>
      <c r="D669" s="936"/>
      <c r="E669" s="937"/>
      <c r="F669" s="949"/>
      <c r="G669" s="938"/>
      <c r="H669" s="940"/>
      <c r="I669" s="939"/>
      <c r="J669" s="940"/>
      <c r="K669" s="947"/>
      <c r="L669" s="940"/>
      <c r="M669" s="940"/>
    </row>
    <row r="670" spans="1:13" x14ac:dyDescent="0.3">
      <c r="A670" s="946"/>
      <c r="B670" s="948"/>
      <c r="C670" s="935"/>
      <c r="D670" s="936"/>
      <c r="E670" s="937"/>
      <c r="F670" s="949"/>
      <c r="G670" s="938"/>
      <c r="H670" s="940"/>
      <c r="I670" s="939"/>
      <c r="J670" s="940"/>
      <c r="K670" s="947"/>
      <c r="L670" s="940"/>
      <c r="M670" s="940"/>
    </row>
    <row r="671" spans="1:13" x14ac:dyDescent="0.3">
      <c r="A671" s="946"/>
      <c r="B671" s="948"/>
      <c r="C671" s="935"/>
      <c r="D671" s="936"/>
      <c r="E671" s="937"/>
      <c r="F671" s="949"/>
      <c r="G671" s="938"/>
      <c r="H671" s="940"/>
      <c r="I671" s="939"/>
      <c r="J671" s="940"/>
      <c r="K671" s="947"/>
      <c r="L671" s="940"/>
      <c r="M671" s="940"/>
    </row>
    <row r="672" spans="1:13" x14ac:dyDescent="0.3">
      <c r="A672" s="946"/>
      <c r="B672" s="948"/>
      <c r="C672" s="935"/>
      <c r="D672" s="936"/>
      <c r="E672" s="937"/>
      <c r="F672" s="949"/>
      <c r="G672" s="938"/>
      <c r="H672" s="940"/>
      <c r="I672" s="939"/>
      <c r="J672" s="940"/>
      <c r="K672" s="947"/>
      <c r="L672" s="940"/>
      <c r="M672" s="940"/>
    </row>
    <row r="673" spans="1:13" x14ac:dyDescent="0.3">
      <c r="A673" s="946"/>
      <c r="B673" s="948"/>
      <c r="C673" s="935"/>
      <c r="D673" s="936"/>
      <c r="E673" s="937"/>
      <c r="F673" s="949"/>
      <c r="G673" s="938"/>
      <c r="H673" s="940"/>
      <c r="I673" s="939"/>
      <c r="J673" s="940"/>
      <c r="K673" s="947"/>
      <c r="L673" s="940"/>
      <c r="M673" s="940"/>
    </row>
    <row r="674" spans="1:13" x14ac:dyDescent="0.3">
      <c r="A674" s="946"/>
      <c r="B674" s="948"/>
      <c r="C674" s="935"/>
      <c r="D674" s="936"/>
      <c r="E674" s="937"/>
      <c r="F674" s="949"/>
      <c r="G674" s="938"/>
      <c r="H674" s="940"/>
      <c r="I674" s="939"/>
      <c r="J674" s="940"/>
      <c r="K674" s="947"/>
      <c r="L674" s="940"/>
      <c r="M674" s="940"/>
    </row>
    <row r="675" spans="1:13" x14ac:dyDescent="0.3">
      <c r="A675" s="946"/>
      <c r="B675" s="948"/>
      <c r="C675" s="935"/>
      <c r="D675" s="936"/>
      <c r="E675" s="937"/>
      <c r="F675" s="949"/>
      <c r="G675" s="938"/>
      <c r="H675" s="940"/>
      <c r="I675" s="939"/>
      <c r="J675" s="940"/>
      <c r="K675" s="947"/>
      <c r="L675" s="940"/>
      <c r="M675" s="940"/>
    </row>
    <row r="676" spans="1:13" x14ac:dyDescent="0.3">
      <c r="A676" s="946"/>
      <c r="B676" s="948"/>
      <c r="C676" s="935"/>
      <c r="D676" s="936"/>
      <c r="E676" s="937"/>
      <c r="F676" s="949"/>
      <c r="G676" s="938"/>
      <c r="H676" s="940"/>
      <c r="I676" s="939"/>
      <c r="J676" s="940"/>
      <c r="K676" s="947"/>
      <c r="L676" s="940"/>
      <c r="M676" s="940"/>
    </row>
    <row r="677" spans="1:13" x14ac:dyDescent="0.3">
      <c r="A677" s="946"/>
      <c r="B677" s="948"/>
      <c r="C677" s="935"/>
      <c r="D677" s="936"/>
      <c r="E677" s="937"/>
      <c r="F677" s="949"/>
      <c r="G677" s="938"/>
      <c r="H677" s="940"/>
      <c r="I677" s="939"/>
      <c r="J677" s="940"/>
      <c r="K677" s="947"/>
      <c r="L677" s="940"/>
      <c r="M677" s="940"/>
    </row>
    <row r="678" spans="1:13" x14ac:dyDescent="0.3">
      <c r="A678" s="946"/>
      <c r="B678" s="948"/>
      <c r="C678" s="935"/>
      <c r="D678" s="936"/>
      <c r="E678" s="937"/>
      <c r="F678" s="949"/>
      <c r="G678" s="938"/>
      <c r="H678" s="940"/>
      <c r="I678" s="939"/>
      <c r="J678" s="940"/>
      <c r="K678" s="947"/>
      <c r="L678" s="940"/>
      <c r="M678" s="940"/>
    </row>
    <row r="679" spans="1:13" x14ac:dyDescent="0.3">
      <c r="A679" s="946"/>
      <c r="B679" s="948"/>
      <c r="C679" s="935"/>
      <c r="D679" s="936"/>
      <c r="E679" s="937"/>
      <c r="F679" s="949"/>
      <c r="G679" s="938"/>
      <c r="H679" s="940"/>
      <c r="I679" s="939"/>
      <c r="J679" s="940"/>
      <c r="K679" s="947"/>
      <c r="L679" s="940"/>
      <c r="M679" s="940"/>
    </row>
    <row r="680" spans="1:13" x14ac:dyDescent="0.3">
      <c r="A680" s="946"/>
      <c r="B680" s="948"/>
      <c r="C680" s="935"/>
      <c r="D680" s="936"/>
      <c r="E680" s="937"/>
      <c r="F680" s="949"/>
      <c r="G680" s="938"/>
      <c r="H680" s="940"/>
      <c r="I680" s="939"/>
      <c r="J680" s="940"/>
      <c r="K680" s="947"/>
      <c r="L680" s="940"/>
      <c r="M680" s="940"/>
    </row>
    <row r="681" spans="1:13" x14ac:dyDescent="0.3">
      <c r="A681" s="946"/>
      <c r="B681" s="948"/>
      <c r="C681" s="935"/>
      <c r="D681" s="936"/>
      <c r="E681" s="937"/>
      <c r="F681" s="949"/>
      <c r="G681" s="938"/>
      <c r="H681" s="940"/>
      <c r="I681" s="939"/>
      <c r="J681" s="940"/>
      <c r="K681" s="947"/>
      <c r="L681" s="940"/>
      <c r="M681" s="940"/>
    </row>
    <row r="682" spans="1:13" x14ac:dyDescent="0.3">
      <c r="A682" s="946"/>
      <c r="B682" s="948"/>
      <c r="C682" s="935"/>
      <c r="D682" s="936"/>
      <c r="E682" s="937"/>
      <c r="F682" s="949"/>
      <c r="G682" s="938"/>
      <c r="H682" s="940"/>
      <c r="I682" s="939"/>
      <c r="J682" s="940"/>
      <c r="K682" s="947"/>
      <c r="L682" s="940"/>
      <c r="M682" s="940"/>
    </row>
    <row r="683" spans="1:13" x14ac:dyDescent="0.3">
      <c r="A683" s="946"/>
      <c r="B683" s="948"/>
      <c r="C683" s="935"/>
      <c r="D683" s="936"/>
      <c r="E683" s="937"/>
      <c r="F683" s="949"/>
      <c r="G683" s="938"/>
      <c r="H683" s="940"/>
      <c r="I683" s="939"/>
      <c r="J683" s="940"/>
      <c r="K683" s="947"/>
      <c r="L683" s="940"/>
      <c r="M683" s="940"/>
    </row>
    <row r="684" spans="1:13" x14ac:dyDescent="0.3">
      <c r="A684" s="946"/>
      <c r="B684" s="948"/>
      <c r="C684" s="935"/>
      <c r="D684" s="936"/>
      <c r="E684" s="937"/>
      <c r="F684" s="949"/>
      <c r="G684" s="938"/>
      <c r="H684" s="940"/>
      <c r="I684" s="939"/>
      <c r="J684" s="940"/>
      <c r="K684" s="947"/>
      <c r="L684" s="940"/>
      <c r="M684" s="940"/>
    </row>
    <row r="685" spans="1:13" x14ac:dyDescent="0.3">
      <c r="A685" s="946"/>
      <c r="B685" s="948"/>
      <c r="C685" s="935"/>
      <c r="D685" s="936"/>
      <c r="E685" s="937"/>
      <c r="F685" s="949"/>
      <c r="G685" s="938"/>
      <c r="H685" s="940"/>
      <c r="I685" s="939"/>
      <c r="J685" s="940"/>
      <c r="K685" s="947"/>
      <c r="L685" s="940"/>
      <c r="M685" s="940"/>
    </row>
    <row r="686" spans="1:13" x14ac:dyDescent="0.3">
      <c r="A686" s="946"/>
      <c r="B686" s="948"/>
      <c r="C686" s="935"/>
      <c r="D686" s="936"/>
      <c r="E686" s="937"/>
      <c r="F686" s="949"/>
      <c r="G686" s="938"/>
      <c r="H686" s="940"/>
      <c r="I686" s="939"/>
      <c r="J686" s="940"/>
      <c r="K686" s="947"/>
      <c r="L686" s="940"/>
      <c r="M686" s="940"/>
    </row>
    <row r="687" spans="1:13" x14ac:dyDescent="0.3">
      <c r="A687" s="946"/>
      <c r="B687" s="948"/>
      <c r="C687" s="935"/>
      <c r="D687" s="936"/>
      <c r="E687" s="937"/>
      <c r="F687" s="949"/>
      <c r="G687" s="938"/>
      <c r="H687" s="940"/>
      <c r="I687" s="939"/>
      <c r="J687" s="940"/>
      <c r="K687" s="947"/>
      <c r="L687" s="940"/>
      <c r="M687" s="940"/>
    </row>
    <row r="688" spans="1:13" x14ac:dyDescent="0.3">
      <c r="A688" s="946"/>
      <c r="B688" s="948"/>
      <c r="C688" s="935"/>
      <c r="D688" s="936"/>
      <c r="E688" s="937"/>
      <c r="F688" s="949"/>
      <c r="G688" s="938"/>
      <c r="H688" s="940"/>
      <c r="I688" s="939"/>
      <c r="J688" s="940"/>
      <c r="K688" s="947"/>
      <c r="L688" s="940"/>
      <c r="M688" s="940"/>
    </row>
    <row r="689" spans="1:13" x14ac:dyDescent="0.3">
      <c r="A689" s="946"/>
      <c r="B689" s="948"/>
      <c r="C689" s="935"/>
      <c r="D689" s="936"/>
      <c r="E689" s="937"/>
      <c r="F689" s="949"/>
      <c r="G689" s="938"/>
      <c r="H689" s="940"/>
      <c r="I689" s="939"/>
      <c r="J689" s="940"/>
      <c r="K689" s="947"/>
      <c r="L689" s="940"/>
      <c r="M689" s="940"/>
    </row>
    <row r="690" spans="1:13" x14ac:dyDescent="0.3">
      <c r="A690" s="946"/>
      <c r="B690" s="948"/>
      <c r="C690" s="935"/>
      <c r="D690" s="936"/>
      <c r="E690" s="937"/>
      <c r="F690" s="949"/>
      <c r="G690" s="938"/>
      <c r="H690" s="940"/>
      <c r="I690" s="939"/>
      <c r="J690" s="940"/>
      <c r="K690" s="947"/>
      <c r="L690" s="940"/>
      <c r="M690" s="940"/>
    </row>
    <row r="691" spans="1:13" x14ac:dyDescent="0.3">
      <c r="A691" s="946"/>
      <c r="B691" s="948"/>
      <c r="C691" s="935"/>
      <c r="D691" s="936"/>
      <c r="E691" s="937"/>
      <c r="F691" s="949"/>
      <c r="G691" s="938"/>
      <c r="H691" s="940"/>
      <c r="I691" s="939"/>
      <c r="J691" s="940"/>
      <c r="K691" s="947"/>
      <c r="L691" s="940"/>
      <c r="M691" s="940"/>
    </row>
    <row r="692" spans="1:13" x14ac:dyDescent="0.3">
      <c r="A692" s="946"/>
      <c r="B692" s="948"/>
      <c r="C692" s="935"/>
      <c r="D692" s="936"/>
      <c r="E692" s="937"/>
      <c r="F692" s="949"/>
      <c r="G692" s="938"/>
      <c r="H692" s="940"/>
      <c r="I692" s="939"/>
      <c r="J692" s="940"/>
      <c r="K692" s="947"/>
      <c r="L692" s="940"/>
      <c r="M692" s="940"/>
    </row>
    <row r="693" spans="1:13" x14ac:dyDescent="0.3">
      <c r="A693" s="946"/>
      <c r="B693" s="948"/>
      <c r="C693" s="935"/>
      <c r="D693" s="936"/>
      <c r="E693" s="937"/>
      <c r="F693" s="949"/>
      <c r="G693" s="938"/>
      <c r="H693" s="940"/>
      <c r="I693" s="939"/>
      <c r="J693" s="940"/>
      <c r="K693" s="947"/>
      <c r="L693" s="940"/>
      <c r="M693" s="940"/>
    </row>
    <row r="694" spans="1:13" x14ac:dyDescent="0.3">
      <c r="A694" s="946"/>
      <c r="B694" s="948"/>
      <c r="C694" s="935"/>
      <c r="D694" s="936"/>
      <c r="E694" s="937"/>
      <c r="F694" s="949"/>
      <c r="G694" s="938"/>
      <c r="H694" s="940"/>
      <c r="I694" s="939"/>
      <c r="J694" s="940"/>
      <c r="K694" s="947"/>
      <c r="L694" s="940"/>
      <c r="M694" s="940"/>
    </row>
    <row r="695" spans="1:13" x14ac:dyDescent="0.3">
      <c r="A695" s="946"/>
      <c r="B695" s="948"/>
      <c r="C695" s="935"/>
      <c r="D695" s="936"/>
      <c r="E695" s="937"/>
      <c r="F695" s="949"/>
      <c r="G695" s="938"/>
      <c r="H695" s="940"/>
      <c r="I695" s="939"/>
      <c r="J695" s="940"/>
      <c r="K695" s="947"/>
      <c r="L695" s="940"/>
      <c r="M695" s="940"/>
    </row>
    <row r="696" spans="1:13" x14ac:dyDescent="0.3">
      <c r="A696" s="946"/>
      <c r="B696" s="948"/>
      <c r="C696" s="935"/>
      <c r="D696" s="936"/>
      <c r="E696" s="937"/>
      <c r="F696" s="949"/>
      <c r="G696" s="938"/>
      <c r="H696" s="940"/>
      <c r="I696" s="939"/>
      <c r="J696" s="940"/>
      <c r="K696" s="947"/>
      <c r="L696" s="940"/>
      <c r="M696" s="940"/>
    </row>
    <row r="697" spans="1:13" x14ac:dyDescent="0.3">
      <c r="A697" s="946"/>
      <c r="B697" s="948"/>
      <c r="C697" s="935"/>
      <c r="D697" s="936"/>
      <c r="E697" s="937"/>
      <c r="F697" s="949"/>
      <c r="G697" s="938"/>
      <c r="H697" s="940"/>
      <c r="I697" s="939"/>
      <c r="J697" s="940"/>
      <c r="K697" s="947"/>
      <c r="L697" s="940"/>
      <c r="M697" s="940"/>
    </row>
    <row r="698" spans="1:13" x14ac:dyDescent="0.3">
      <c r="A698" s="946"/>
      <c r="B698" s="948"/>
      <c r="C698" s="935"/>
      <c r="D698" s="936"/>
      <c r="E698" s="937"/>
      <c r="F698" s="949"/>
      <c r="G698" s="938"/>
      <c r="H698" s="940"/>
      <c r="I698" s="939"/>
      <c r="J698" s="940"/>
      <c r="K698" s="947"/>
      <c r="L698" s="940"/>
      <c r="M698" s="940"/>
    </row>
    <row r="699" spans="1:13" x14ac:dyDescent="0.3">
      <c r="A699" s="946"/>
      <c r="B699" s="948"/>
      <c r="C699" s="935"/>
      <c r="D699" s="936"/>
      <c r="E699" s="937"/>
      <c r="F699" s="949"/>
      <c r="G699" s="938"/>
      <c r="H699" s="940"/>
      <c r="I699" s="939"/>
      <c r="J699" s="940"/>
      <c r="K699" s="947"/>
      <c r="L699" s="940"/>
      <c r="M699" s="940"/>
    </row>
    <row r="700" spans="1:13" x14ac:dyDescent="0.3">
      <c r="A700" s="946"/>
      <c r="B700" s="948"/>
      <c r="C700" s="935"/>
      <c r="D700" s="936"/>
      <c r="E700" s="937"/>
      <c r="F700" s="949"/>
      <c r="G700" s="938"/>
      <c r="H700" s="940"/>
      <c r="I700" s="939"/>
      <c r="J700" s="940"/>
      <c r="K700" s="947"/>
      <c r="L700" s="940"/>
      <c r="M700" s="940"/>
    </row>
    <row r="701" spans="1:13" x14ac:dyDescent="0.3">
      <c r="A701" s="946"/>
      <c r="B701" s="948"/>
      <c r="C701" s="935"/>
      <c r="D701" s="936"/>
      <c r="E701" s="937"/>
      <c r="F701" s="949"/>
      <c r="G701" s="938"/>
      <c r="H701" s="940"/>
      <c r="I701" s="939"/>
      <c r="J701" s="940"/>
      <c r="K701" s="947"/>
      <c r="L701" s="940"/>
      <c r="M701" s="940"/>
    </row>
    <row r="702" spans="1:13" x14ac:dyDescent="0.3">
      <c r="A702" s="946"/>
      <c r="B702" s="948"/>
      <c r="C702" s="935"/>
      <c r="D702" s="936"/>
      <c r="E702" s="937"/>
      <c r="F702" s="949"/>
      <c r="G702" s="938"/>
      <c r="H702" s="940"/>
      <c r="I702" s="939"/>
      <c r="J702" s="940"/>
      <c r="K702" s="947"/>
      <c r="L702" s="940"/>
      <c r="M702" s="940"/>
    </row>
    <row r="703" spans="1:13" x14ac:dyDescent="0.3">
      <c r="A703" s="946"/>
      <c r="B703" s="948"/>
      <c r="C703" s="935"/>
      <c r="D703" s="936"/>
      <c r="E703" s="937"/>
      <c r="F703" s="949"/>
      <c r="G703" s="938"/>
      <c r="H703" s="940"/>
      <c r="I703" s="939"/>
      <c r="J703" s="940"/>
      <c r="K703" s="947"/>
      <c r="L703" s="940"/>
      <c r="M703" s="940"/>
    </row>
    <row r="704" spans="1:13" x14ac:dyDescent="0.3">
      <c r="A704" s="946"/>
      <c r="B704" s="948"/>
      <c r="C704" s="935"/>
      <c r="D704" s="936"/>
      <c r="E704" s="937"/>
      <c r="F704" s="949"/>
      <c r="G704" s="938"/>
      <c r="H704" s="940"/>
      <c r="I704" s="939"/>
      <c r="J704" s="940"/>
      <c r="K704" s="947"/>
      <c r="L704" s="940"/>
      <c r="M704" s="940"/>
    </row>
    <row r="705" spans="1:13" x14ac:dyDescent="0.3">
      <c r="A705" s="946"/>
      <c r="B705" s="948"/>
      <c r="C705" s="935"/>
      <c r="D705" s="936"/>
      <c r="E705" s="937"/>
      <c r="F705" s="949"/>
      <c r="G705" s="938"/>
      <c r="H705" s="940"/>
      <c r="I705" s="939"/>
      <c r="J705" s="940"/>
      <c r="K705" s="947"/>
      <c r="L705" s="940"/>
      <c r="M705" s="940"/>
    </row>
    <row r="706" spans="1:13" x14ac:dyDescent="0.3">
      <c r="A706" s="946"/>
      <c r="B706" s="948"/>
      <c r="C706" s="935"/>
      <c r="D706" s="936"/>
      <c r="E706" s="937"/>
      <c r="F706" s="949"/>
      <c r="G706" s="938"/>
      <c r="H706" s="940"/>
      <c r="I706" s="939"/>
      <c r="J706" s="940"/>
      <c r="K706" s="947"/>
      <c r="L706" s="940"/>
      <c r="M706" s="940"/>
    </row>
    <row r="707" spans="1:13" x14ac:dyDescent="0.3">
      <c r="A707" s="946"/>
      <c r="B707" s="948"/>
      <c r="C707" s="935"/>
      <c r="D707" s="936"/>
      <c r="E707" s="937"/>
      <c r="F707" s="949"/>
      <c r="G707" s="938"/>
      <c r="H707" s="940"/>
      <c r="I707" s="939"/>
      <c r="J707" s="940"/>
      <c r="K707" s="947"/>
      <c r="L707" s="940"/>
      <c r="M707" s="940"/>
    </row>
    <row r="708" spans="1:13" x14ac:dyDescent="0.3">
      <c r="A708" s="946"/>
      <c r="B708" s="948"/>
      <c r="C708" s="935"/>
      <c r="D708" s="936"/>
      <c r="E708" s="937"/>
      <c r="F708" s="949"/>
      <c r="G708" s="938"/>
      <c r="H708" s="940"/>
      <c r="I708" s="939"/>
      <c r="J708" s="940"/>
      <c r="K708" s="947"/>
      <c r="L708" s="940"/>
      <c r="M708" s="940"/>
    </row>
    <row r="709" spans="1:13" x14ac:dyDescent="0.3">
      <c r="A709" s="946"/>
      <c r="B709" s="948"/>
      <c r="C709" s="935"/>
      <c r="D709" s="936"/>
      <c r="E709" s="937"/>
      <c r="F709" s="949"/>
      <c r="G709" s="938"/>
      <c r="H709" s="940"/>
      <c r="I709" s="939"/>
      <c r="J709" s="940"/>
      <c r="K709" s="947"/>
      <c r="L709" s="940"/>
      <c r="M709" s="940"/>
    </row>
    <row r="710" spans="1:13" x14ac:dyDescent="0.3">
      <c r="A710" s="946"/>
      <c r="B710" s="948"/>
      <c r="C710" s="935"/>
      <c r="D710" s="936"/>
      <c r="E710" s="937"/>
      <c r="F710" s="949"/>
      <c r="G710" s="938"/>
      <c r="H710" s="940"/>
      <c r="I710" s="939"/>
      <c r="J710" s="940"/>
      <c r="K710" s="947"/>
      <c r="L710" s="940"/>
      <c r="M710" s="940"/>
    </row>
    <row r="711" spans="1:13" x14ac:dyDescent="0.3">
      <c r="A711" s="946"/>
      <c r="B711" s="948"/>
      <c r="C711" s="935"/>
      <c r="D711" s="936"/>
      <c r="E711" s="937"/>
      <c r="F711" s="949"/>
      <c r="G711" s="938"/>
      <c r="H711" s="940"/>
      <c r="I711" s="939"/>
      <c r="J711" s="940"/>
      <c r="K711" s="947"/>
      <c r="L711" s="940"/>
      <c r="M711" s="940"/>
    </row>
    <row r="712" spans="1:13" x14ac:dyDescent="0.3">
      <c r="A712" s="946"/>
      <c r="B712" s="948"/>
      <c r="C712" s="935"/>
      <c r="D712" s="936"/>
      <c r="E712" s="937"/>
      <c r="F712" s="949"/>
      <c r="G712" s="938"/>
      <c r="H712" s="940"/>
      <c r="I712" s="939"/>
      <c r="J712" s="940"/>
      <c r="K712" s="947"/>
      <c r="L712" s="940"/>
      <c r="M712" s="940"/>
    </row>
    <row r="713" spans="1:13" x14ac:dyDescent="0.3">
      <c r="A713" s="946"/>
      <c r="B713" s="948"/>
      <c r="C713" s="935"/>
      <c r="D713" s="936"/>
      <c r="E713" s="937"/>
      <c r="F713" s="949"/>
      <c r="G713" s="938"/>
      <c r="H713" s="940"/>
      <c r="I713" s="939"/>
      <c r="J713" s="940"/>
      <c r="K713" s="947"/>
      <c r="L713" s="940"/>
      <c r="M713" s="940"/>
    </row>
    <row r="714" spans="1:13" x14ac:dyDescent="0.3">
      <c r="A714" s="946"/>
      <c r="B714" s="948"/>
      <c r="C714" s="935"/>
      <c r="D714" s="936"/>
      <c r="E714" s="937"/>
      <c r="F714" s="949"/>
      <c r="G714" s="938"/>
      <c r="H714" s="940"/>
      <c r="I714" s="939"/>
      <c r="J714" s="940"/>
      <c r="K714" s="947"/>
      <c r="L714" s="940"/>
      <c r="M714" s="940"/>
    </row>
    <row r="715" spans="1:13" x14ac:dyDescent="0.3">
      <c r="A715" s="946"/>
      <c r="B715" s="948"/>
      <c r="C715" s="935"/>
      <c r="D715" s="936"/>
      <c r="E715" s="937"/>
      <c r="F715" s="949"/>
      <c r="G715" s="938"/>
      <c r="H715" s="940"/>
      <c r="I715" s="939"/>
      <c r="J715" s="940"/>
      <c r="K715" s="947"/>
      <c r="L715" s="940"/>
      <c r="M715" s="940"/>
    </row>
    <row r="716" spans="1:13" x14ac:dyDescent="0.3">
      <c r="A716" s="946"/>
      <c r="B716" s="948"/>
      <c r="C716" s="935"/>
      <c r="D716" s="936"/>
      <c r="E716" s="937"/>
      <c r="F716" s="949"/>
      <c r="G716" s="938"/>
      <c r="H716" s="940"/>
      <c r="I716" s="939"/>
      <c r="J716" s="940"/>
      <c r="K716" s="947"/>
      <c r="L716" s="940"/>
      <c r="M716" s="940"/>
    </row>
    <row r="717" spans="1:13" x14ac:dyDescent="0.3">
      <c r="A717" s="946"/>
      <c r="B717" s="948"/>
      <c r="C717" s="935"/>
      <c r="D717" s="936"/>
      <c r="E717" s="937"/>
      <c r="F717" s="949"/>
      <c r="G717" s="938"/>
      <c r="H717" s="940"/>
      <c r="I717" s="939"/>
      <c r="J717" s="940"/>
      <c r="K717" s="947"/>
      <c r="L717" s="940"/>
      <c r="M717" s="940"/>
    </row>
    <row r="718" spans="1:13" x14ac:dyDescent="0.3">
      <c r="A718" s="946"/>
      <c r="B718" s="948"/>
      <c r="C718" s="935"/>
      <c r="D718" s="936"/>
      <c r="E718" s="937"/>
      <c r="F718" s="949"/>
      <c r="G718" s="938"/>
      <c r="H718" s="940"/>
      <c r="I718" s="939"/>
      <c r="J718" s="940"/>
      <c r="K718" s="947"/>
      <c r="L718" s="940"/>
      <c r="M718" s="940"/>
    </row>
    <row r="719" spans="1:13" x14ac:dyDescent="0.3">
      <c r="A719" s="946"/>
      <c r="B719" s="948"/>
      <c r="C719" s="935"/>
      <c r="D719" s="936"/>
      <c r="E719" s="937"/>
      <c r="F719" s="949"/>
      <c r="G719" s="938"/>
      <c r="H719" s="940"/>
      <c r="I719" s="939"/>
      <c r="J719" s="940"/>
      <c r="K719" s="947"/>
      <c r="L719" s="940"/>
      <c r="M719" s="940"/>
    </row>
    <row r="720" spans="1:13" x14ac:dyDescent="0.3">
      <c r="A720" s="946"/>
      <c r="B720" s="948"/>
      <c r="C720" s="935"/>
      <c r="D720" s="936"/>
      <c r="E720" s="937"/>
      <c r="F720" s="949"/>
      <c r="G720" s="938"/>
      <c r="H720" s="940"/>
      <c r="I720" s="939"/>
      <c r="J720" s="940"/>
      <c r="K720" s="947"/>
      <c r="L720" s="940"/>
      <c r="M720" s="940"/>
    </row>
    <row r="721" spans="1:13" x14ac:dyDescent="0.3">
      <c r="A721" s="946"/>
      <c r="B721" s="948"/>
      <c r="C721" s="935"/>
      <c r="D721" s="936"/>
      <c r="E721" s="937"/>
      <c r="F721" s="949"/>
      <c r="G721" s="938"/>
      <c r="H721" s="940"/>
      <c r="I721" s="939"/>
      <c r="J721" s="940"/>
      <c r="K721" s="947"/>
      <c r="L721" s="940"/>
      <c r="M721" s="940"/>
    </row>
    <row r="722" spans="1:13" x14ac:dyDescent="0.3">
      <c r="A722" s="946"/>
      <c r="B722" s="948"/>
      <c r="C722" s="935"/>
      <c r="D722" s="936"/>
      <c r="E722" s="937"/>
      <c r="F722" s="949"/>
      <c r="G722" s="938"/>
      <c r="H722" s="940"/>
      <c r="I722" s="939"/>
      <c r="J722" s="940"/>
      <c r="K722" s="947"/>
      <c r="L722" s="940"/>
      <c r="M722" s="940"/>
    </row>
    <row r="723" spans="1:13" x14ac:dyDescent="0.3">
      <c r="A723" s="946"/>
      <c r="B723" s="948"/>
      <c r="C723" s="935"/>
      <c r="D723" s="936"/>
      <c r="E723" s="937"/>
      <c r="F723" s="949"/>
      <c r="G723" s="938"/>
      <c r="H723" s="940"/>
      <c r="I723" s="939"/>
      <c r="J723" s="940"/>
      <c r="K723" s="947"/>
      <c r="L723" s="940"/>
      <c r="M723" s="940"/>
    </row>
    <row r="724" spans="1:13" x14ac:dyDescent="0.3">
      <c r="A724" s="946"/>
      <c r="B724" s="948"/>
      <c r="C724" s="935"/>
      <c r="D724" s="936"/>
      <c r="E724" s="937"/>
      <c r="F724" s="949"/>
      <c r="G724" s="938"/>
      <c r="H724" s="940"/>
      <c r="I724" s="939"/>
      <c r="J724" s="940"/>
      <c r="K724" s="947"/>
      <c r="L724" s="940"/>
      <c r="M724" s="940"/>
    </row>
    <row r="725" spans="1:13" x14ac:dyDescent="0.3">
      <c r="A725" s="946"/>
      <c r="B725" s="948"/>
      <c r="C725" s="935"/>
      <c r="D725" s="936"/>
      <c r="E725" s="937"/>
      <c r="F725" s="949"/>
      <c r="G725" s="938"/>
      <c r="H725" s="940"/>
      <c r="I725" s="939"/>
      <c r="J725" s="940"/>
      <c r="K725" s="947"/>
      <c r="L725" s="940"/>
      <c r="M725" s="940"/>
    </row>
    <row r="726" spans="1:13" x14ac:dyDescent="0.3">
      <c r="A726" s="946"/>
      <c r="B726" s="948"/>
      <c r="C726" s="935"/>
      <c r="D726" s="936"/>
      <c r="E726" s="937"/>
      <c r="F726" s="949"/>
      <c r="G726" s="938"/>
      <c r="H726" s="940"/>
      <c r="I726" s="939"/>
      <c r="J726" s="940"/>
      <c r="K726" s="947"/>
      <c r="L726" s="940"/>
      <c r="M726" s="940"/>
    </row>
    <row r="727" spans="1:13" x14ac:dyDescent="0.3">
      <c r="A727" s="946"/>
      <c r="B727" s="948"/>
      <c r="C727" s="935"/>
      <c r="D727" s="936"/>
      <c r="E727" s="937"/>
      <c r="F727" s="949"/>
      <c r="G727" s="938"/>
      <c r="H727" s="940"/>
      <c r="I727" s="939"/>
      <c r="J727" s="940"/>
      <c r="K727" s="947"/>
      <c r="L727" s="940"/>
      <c r="M727" s="940"/>
    </row>
    <row r="728" spans="1:13" x14ac:dyDescent="0.3">
      <c r="A728" s="946"/>
      <c r="B728" s="948"/>
      <c r="C728" s="935"/>
      <c r="D728" s="936"/>
      <c r="E728" s="937"/>
      <c r="F728" s="949"/>
      <c r="G728" s="938"/>
      <c r="H728" s="940"/>
      <c r="I728" s="939"/>
      <c r="J728" s="940"/>
      <c r="K728" s="947"/>
      <c r="L728" s="940"/>
      <c r="M728" s="940"/>
    </row>
    <row r="729" spans="1:13" x14ac:dyDescent="0.3">
      <c r="A729" s="946"/>
      <c r="B729" s="948"/>
      <c r="C729" s="935"/>
      <c r="D729" s="936"/>
      <c r="E729" s="937"/>
      <c r="F729" s="949"/>
      <c r="G729" s="938"/>
      <c r="H729" s="940"/>
      <c r="I729" s="939"/>
      <c r="J729" s="940"/>
      <c r="K729" s="947"/>
      <c r="L729" s="940"/>
      <c r="M729" s="940"/>
    </row>
    <row r="730" spans="1:13" x14ac:dyDescent="0.3">
      <c r="A730" s="946"/>
      <c r="B730" s="948"/>
      <c r="C730" s="935"/>
      <c r="D730" s="936"/>
      <c r="E730" s="937"/>
      <c r="F730" s="949"/>
      <c r="G730" s="938"/>
      <c r="H730" s="940"/>
      <c r="I730" s="939"/>
      <c r="J730" s="940"/>
      <c r="K730" s="947"/>
      <c r="L730" s="940"/>
      <c r="M730" s="940"/>
    </row>
    <row r="731" spans="1:13" x14ac:dyDescent="0.3">
      <c r="A731" s="946"/>
      <c r="B731" s="948"/>
      <c r="C731" s="935"/>
      <c r="D731" s="936"/>
      <c r="E731" s="937"/>
      <c r="F731" s="949"/>
      <c r="G731" s="938"/>
      <c r="H731" s="940"/>
      <c r="I731" s="939"/>
      <c r="J731" s="940"/>
      <c r="K731" s="947"/>
      <c r="L731" s="940"/>
      <c r="M731" s="940"/>
    </row>
    <row r="732" spans="1:13" x14ac:dyDescent="0.3">
      <c r="A732" s="946"/>
      <c r="B732" s="948"/>
      <c r="C732" s="935"/>
      <c r="D732" s="936"/>
      <c r="E732" s="937"/>
      <c r="F732" s="949"/>
      <c r="G732" s="938"/>
      <c r="H732" s="940"/>
      <c r="I732" s="939"/>
      <c r="J732" s="940"/>
      <c r="K732" s="947"/>
      <c r="L732" s="940"/>
      <c r="M732" s="940"/>
    </row>
    <row r="733" spans="1:13" x14ac:dyDescent="0.3">
      <c r="A733" s="946"/>
      <c r="B733" s="948"/>
      <c r="C733" s="935"/>
      <c r="D733" s="936"/>
      <c r="E733" s="937"/>
      <c r="F733" s="949"/>
      <c r="G733" s="938"/>
      <c r="H733" s="940"/>
      <c r="I733" s="939"/>
      <c r="J733" s="940"/>
      <c r="K733" s="947"/>
      <c r="L733" s="940"/>
      <c r="M733" s="940"/>
    </row>
    <row r="734" spans="1:13" x14ac:dyDescent="0.3">
      <c r="A734" s="946"/>
      <c r="B734" s="948"/>
      <c r="C734" s="935"/>
      <c r="D734" s="936"/>
      <c r="E734" s="937"/>
      <c r="F734" s="949"/>
      <c r="G734" s="938"/>
      <c r="H734" s="940"/>
      <c r="I734" s="939"/>
      <c r="J734" s="940"/>
      <c r="K734" s="947"/>
      <c r="L734" s="940"/>
      <c r="M734" s="940"/>
    </row>
    <row r="735" spans="1:13" x14ac:dyDescent="0.3">
      <c r="A735" s="946"/>
      <c r="B735" s="948"/>
      <c r="C735" s="935"/>
      <c r="D735" s="936"/>
      <c r="E735" s="937"/>
      <c r="F735" s="949"/>
      <c r="G735" s="938"/>
      <c r="H735" s="940"/>
      <c r="I735" s="939"/>
      <c r="J735" s="940"/>
      <c r="K735" s="947"/>
      <c r="L735" s="940"/>
      <c r="M735" s="940"/>
    </row>
    <row r="736" spans="1:13" x14ac:dyDescent="0.3">
      <c r="A736" s="946"/>
      <c r="B736" s="948"/>
      <c r="C736" s="935"/>
      <c r="D736" s="936"/>
      <c r="E736" s="937"/>
      <c r="F736" s="949"/>
      <c r="G736" s="938"/>
      <c r="H736" s="940"/>
      <c r="I736" s="939"/>
      <c r="J736" s="940"/>
      <c r="K736" s="947"/>
      <c r="L736" s="940"/>
      <c r="M736" s="940"/>
    </row>
    <row r="737" spans="1:13" x14ac:dyDescent="0.3">
      <c r="A737" s="946"/>
      <c r="B737" s="948"/>
      <c r="C737" s="935"/>
      <c r="D737" s="936"/>
      <c r="E737" s="937"/>
      <c r="F737" s="949"/>
      <c r="G737" s="938"/>
      <c r="H737" s="940"/>
      <c r="I737" s="939"/>
      <c r="J737" s="940"/>
      <c r="K737" s="947"/>
      <c r="L737" s="940"/>
      <c r="M737" s="940"/>
    </row>
    <row r="738" spans="1:13" x14ac:dyDescent="0.3">
      <c r="A738" s="946"/>
      <c r="B738" s="948"/>
      <c r="C738" s="935"/>
      <c r="D738" s="936"/>
      <c r="E738" s="937"/>
      <c r="F738" s="949"/>
      <c r="G738" s="938"/>
      <c r="H738" s="940"/>
      <c r="I738" s="939"/>
      <c r="J738" s="940"/>
      <c r="K738" s="947"/>
      <c r="L738" s="940"/>
      <c r="M738" s="940"/>
    </row>
    <row r="739" spans="1:13" x14ac:dyDescent="0.3">
      <c r="A739" s="946"/>
      <c r="B739" s="948"/>
      <c r="C739" s="935"/>
      <c r="D739" s="936"/>
      <c r="E739" s="937"/>
      <c r="F739" s="949"/>
      <c r="G739" s="938"/>
      <c r="H739" s="940"/>
      <c r="I739" s="939"/>
      <c r="J739" s="940"/>
      <c r="K739" s="947"/>
      <c r="L739" s="940"/>
      <c r="M739" s="940"/>
    </row>
    <row r="740" spans="1:13" x14ac:dyDescent="0.3">
      <c r="A740" s="946"/>
      <c r="B740" s="948"/>
      <c r="C740" s="935"/>
      <c r="D740" s="936"/>
      <c r="E740" s="937"/>
      <c r="F740" s="949"/>
      <c r="G740" s="938"/>
      <c r="H740" s="940"/>
      <c r="I740" s="939"/>
      <c r="J740" s="940"/>
      <c r="K740" s="947"/>
      <c r="L740" s="940"/>
      <c r="M740" s="940"/>
    </row>
    <row r="741" spans="1:13" x14ac:dyDescent="0.3">
      <c r="A741" s="946"/>
      <c r="B741" s="948"/>
      <c r="C741" s="935"/>
      <c r="D741" s="936"/>
      <c r="E741" s="937"/>
      <c r="F741" s="949"/>
      <c r="G741" s="938"/>
      <c r="H741" s="940"/>
      <c r="I741" s="939"/>
      <c r="J741" s="940"/>
      <c r="K741" s="947"/>
      <c r="L741" s="940"/>
      <c r="M741" s="940"/>
    </row>
    <row r="742" spans="1:13" x14ac:dyDescent="0.3">
      <c r="A742" s="946"/>
      <c r="B742" s="948"/>
      <c r="C742" s="935"/>
      <c r="D742" s="936"/>
      <c r="E742" s="937"/>
      <c r="F742" s="949"/>
      <c r="G742" s="938"/>
      <c r="H742" s="940"/>
      <c r="I742" s="939"/>
      <c r="J742" s="940"/>
      <c r="K742" s="947"/>
      <c r="L742" s="940"/>
      <c r="M742" s="940"/>
    </row>
    <row r="743" spans="1:13" x14ac:dyDescent="0.3">
      <c r="A743" s="946"/>
      <c r="B743" s="948"/>
      <c r="C743" s="935"/>
      <c r="D743" s="936"/>
      <c r="E743" s="937"/>
      <c r="F743" s="949"/>
      <c r="G743" s="938"/>
      <c r="H743" s="940"/>
      <c r="I743" s="939"/>
      <c r="J743" s="940"/>
      <c r="K743" s="947"/>
      <c r="L743" s="940"/>
      <c r="M743" s="940"/>
    </row>
    <row r="744" spans="1:13" x14ac:dyDescent="0.3">
      <c r="A744" s="946"/>
      <c r="B744" s="948"/>
      <c r="C744" s="935"/>
      <c r="D744" s="936"/>
      <c r="E744" s="937"/>
      <c r="F744" s="949"/>
      <c r="G744" s="938"/>
      <c r="H744" s="940"/>
      <c r="I744" s="939"/>
      <c r="J744" s="940"/>
      <c r="K744" s="947"/>
      <c r="L744" s="940"/>
      <c r="M744" s="940"/>
    </row>
    <row r="745" spans="1:13" x14ac:dyDescent="0.3">
      <c r="A745" s="946"/>
      <c r="B745" s="948"/>
      <c r="C745" s="935"/>
      <c r="D745" s="936"/>
      <c r="E745" s="937"/>
      <c r="F745" s="949"/>
      <c r="G745" s="938"/>
      <c r="H745" s="940"/>
      <c r="I745" s="939"/>
      <c r="J745" s="940"/>
      <c r="K745" s="947"/>
      <c r="L745" s="940"/>
      <c r="M745" s="940"/>
    </row>
    <row r="746" spans="1:13" x14ac:dyDescent="0.3">
      <c r="A746" s="946"/>
      <c r="B746" s="948"/>
      <c r="C746" s="935"/>
      <c r="D746" s="936"/>
      <c r="E746" s="937"/>
      <c r="F746" s="949"/>
      <c r="G746" s="938"/>
      <c r="H746" s="940"/>
      <c r="I746" s="939"/>
      <c r="J746" s="940"/>
      <c r="K746" s="947"/>
      <c r="L746" s="940"/>
      <c r="M746" s="940"/>
    </row>
    <row r="747" spans="1:13" x14ac:dyDescent="0.3">
      <c r="A747" s="946"/>
      <c r="B747" s="948"/>
      <c r="C747" s="935"/>
      <c r="D747" s="936"/>
      <c r="E747" s="937"/>
      <c r="F747" s="949"/>
      <c r="G747" s="938"/>
      <c r="H747" s="940"/>
      <c r="I747" s="939"/>
      <c r="J747" s="940"/>
      <c r="K747" s="947"/>
      <c r="L747" s="940"/>
      <c r="M747" s="940"/>
    </row>
    <row r="748" spans="1:13" x14ac:dyDescent="0.3">
      <c r="A748" s="946"/>
      <c r="B748" s="948"/>
      <c r="C748" s="935"/>
      <c r="D748" s="936"/>
      <c r="E748" s="937"/>
      <c r="F748" s="949"/>
      <c r="G748" s="938"/>
      <c r="H748" s="940"/>
      <c r="I748" s="939"/>
      <c r="J748" s="940"/>
      <c r="K748" s="947"/>
      <c r="L748" s="940"/>
      <c r="M748" s="940"/>
    </row>
    <row r="749" spans="1:13" x14ac:dyDescent="0.3">
      <c r="A749" s="946"/>
      <c r="B749" s="948"/>
      <c r="C749" s="935"/>
      <c r="D749" s="936"/>
      <c r="E749" s="937"/>
      <c r="F749" s="949"/>
      <c r="G749" s="938"/>
      <c r="H749" s="940"/>
      <c r="I749" s="939"/>
      <c r="J749" s="940"/>
      <c r="K749" s="947"/>
      <c r="L749" s="940"/>
      <c r="M749" s="940"/>
    </row>
    <row r="750" spans="1:13" x14ac:dyDescent="0.3">
      <c r="A750" s="946"/>
      <c r="B750" s="948"/>
      <c r="C750" s="935"/>
      <c r="D750" s="936"/>
      <c r="E750" s="937"/>
      <c r="F750" s="949"/>
      <c r="G750" s="938"/>
      <c r="H750" s="940"/>
      <c r="I750" s="939"/>
      <c r="J750" s="940"/>
      <c r="K750" s="947"/>
      <c r="L750" s="940"/>
      <c r="M750" s="940"/>
    </row>
    <row r="751" spans="1:13" x14ac:dyDescent="0.3">
      <c r="A751" s="946"/>
      <c r="B751" s="948"/>
      <c r="C751" s="935"/>
      <c r="D751" s="936"/>
      <c r="E751" s="937"/>
      <c r="F751" s="949"/>
      <c r="G751" s="938"/>
      <c r="H751" s="940"/>
      <c r="I751" s="939"/>
      <c r="J751" s="940"/>
      <c r="K751" s="947"/>
      <c r="L751" s="940"/>
      <c r="M751" s="940"/>
    </row>
    <row r="752" spans="1:13" x14ac:dyDescent="0.3">
      <c r="A752" s="946"/>
      <c r="B752" s="948"/>
      <c r="C752" s="935"/>
      <c r="D752" s="936"/>
      <c r="E752" s="937"/>
      <c r="F752" s="949"/>
      <c r="G752" s="938"/>
      <c r="H752" s="940"/>
      <c r="I752" s="939"/>
      <c r="J752" s="940"/>
      <c r="K752" s="947"/>
      <c r="L752" s="940"/>
      <c r="M752" s="940"/>
    </row>
    <row r="753" spans="1:13" x14ac:dyDescent="0.3">
      <c r="A753" s="946"/>
      <c r="B753" s="948"/>
      <c r="C753" s="935"/>
      <c r="D753" s="936"/>
      <c r="E753" s="937"/>
      <c r="F753" s="949"/>
      <c r="G753" s="938"/>
      <c r="H753" s="940"/>
      <c r="I753" s="939"/>
      <c r="J753" s="940"/>
      <c r="K753" s="947"/>
      <c r="L753" s="940"/>
      <c r="M753" s="940"/>
    </row>
    <row r="754" spans="1:13" x14ac:dyDescent="0.3">
      <c r="A754" s="946"/>
      <c r="B754" s="948"/>
      <c r="C754" s="935"/>
      <c r="D754" s="936"/>
      <c r="E754" s="937"/>
      <c r="F754" s="949"/>
      <c r="G754" s="938"/>
      <c r="H754" s="940"/>
      <c r="I754" s="939"/>
      <c r="J754" s="940"/>
      <c r="K754" s="947"/>
      <c r="L754" s="940"/>
      <c r="M754" s="940"/>
    </row>
    <row r="755" spans="1:13" x14ac:dyDescent="0.3">
      <c r="A755" s="946"/>
      <c r="B755" s="948"/>
      <c r="C755" s="935"/>
      <c r="D755" s="936"/>
      <c r="E755" s="937"/>
      <c r="F755" s="949"/>
      <c r="G755" s="938"/>
      <c r="H755" s="940"/>
      <c r="I755" s="939"/>
      <c r="J755" s="940"/>
      <c r="K755" s="947"/>
      <c r="L755" s="940"/>
      <c r="M755" s="940"/>
    </row>
    <row r="756" spans="1:13" x14ac:dyDescent="0.3">
      <c r="A756" s="946"/>
      <c r="B756" s="948"/>
      <c r="C756" s="935"/>
      <c r="D756" s="936"/>
      <c r="E756" s="937"/>
      <c r="F756" s="949"/>
      <c r="G756" s="938"/>
      <c r="H756" s="940"/>
      <c r="I756" s="939"/>
      <c r="J756" s="940"/>
      <c r="K756" s="947"/>
      <c r="L756" s="940"/>
      <c r="M756" s="940"/>
    </row>
    <row r="757" spans="1:13" x14ac:dyDescent="0.3">
      <c r="A757" s="946"/>
      <c r="B757" s="948"/>
      <c r="C757" s="935"/>
      <c r="D757" s="936"/>
      <c r="E757" s="937"/>
      <c r="F757" s="949"/>
      <c r="G757" s="938"/>
      <c r="H757" s="940"/>
      <c r="I757" s="939"/>
      <c r="J757" s="940"/>
      <c r="K757" s="947"/>
      <c r="L757" s="940"/>
      <c r="M757" s="940"/>
    </row>
    <row r="758" spans="1:13" x14ac:dyDescent="0.3">
      <c r="A758" s="946"/>
      <c r="B758" s="948"/>
      <c r="C758" s="935"/>
      <c r="D758" s="936"/>
      <c r="E758" s="937"/>
      <c r="F758" s="949"/>
      <c r="G758" s="938"/>
      <c r="H758" s="940"/>
      <c r="I758" s="939"/>
      <c r="J758" s="940"/>
      <c r="K758" s="947"/>
      <c r="L758" s="940"/>
      <c r="M758" s="940"/>
    </row>
    <row r="759" spans="1:13" x14ac:dyDescent="0.3">
      <c r="A759" s="946"/>
      <c r="B759" s="948"/>
      <c r="C759" s="935"/>
      <c r="D759" s="936"/>
      <c r="E759" s="937"/>
      <c r="F759" s="949"/>
      <c r="G759" s="938"/>
      <c r="H759" s="940"/>
      <c r="I759" s="939"/>
      <c r="J759" s="940"/>
      <c r="K759" s="947"/>
      <c r="L759" s="940"/>
      <c r="M759" s="940"/>
    </row>
    <row r="760" spans="1:13" x14ac:dyDescent="0.3">
      <c r="A760" s="946"/>
      <c r="B760" s="948"/>
      <c r="C760" s="935"/>
      <c r="D760" s="936"/>
      <c r="E760" s="937"/>
      <c r="F760" s="949"/>
      <c r="G760" s="938"/>
      <c r="H760" s="940"/>
      <c r="I760" s="939"/>
      <c r="J760" s="940"/>
      <c r="K760" s="947"/>
      <c r="L760" s="940"/>
      <c r="M760" s="940"/>
    </row>
    <row r="761" spans="1:13" x14ac:dyDescent="0.3">
      <c r="A761" s="946"/>
      <c r="B761" s="948"/>
      <c r="C761" s="935"/>
      <c r="D761" s="936"/>
      <c r="E761" s="937"/>
      <c r="F761" s="949"/>
      <c r="G761" s="938"/>
      <c r="H761" s="940"/>
      <c r="I761" s="939"/>
      <c r="J761" s="940"/>
      <c r="K761" s="947"/>
      <c r="L761" s="940"/>
      <c r="M761" s="940"/>
    </row>
    <row r="762" spans="1:13" x14ac:dyDescent="0.3">
      <c r="A762" s="946"/>
      <c r="B762" s="948"/>
      <c r="C762" s="935"/>
      <c r="D762" s="936"/>
      <c r="E762" s="937"/>
      <c r="F762" s="949"/>
      <c r="G762" s="938"/>
      <c r="H762" s="940"/>
      <c r="I762" s="939"/>
      <c r="J762" s="940"/>
      <c r="K762" s="947"/>
      <c r="L762" s="940"/>
      <c r="M762" s="940"/>
    </row>
    <row r="763" spans="1:13" x14ac:dyDescent="0.3">
      <c r="A763" s="946"/>
      <c r="B763" s="948"/>
      <c r="C763" s="935"/>
      <c r="D763" s="936"/>
      <c r="E763" s="937"/>
      <c r="F763" s="949"/>
      <c r="G763" s="938"/>
      <c r="H763" s="940"/>
      <c r="I763" s="939"/>
      <c r="J763" s="940"/>
      <c r="K763" s="947"/>
      <c r="L763" s="940"/>
      <c r="M763" s="940"/>
    </row>
    <row r="764" spans="1:13" x14ac:dyDescent="0.3">
      <c r="A764" s="946"/>
      <c r="B764" s="948"/>
      <c r="C764" s="935"/>
      <c r="D764" s="936"/>
      <c r="E764" s="937"/>
      <c r="F764" s="949"/>
      <c r="G764" s="938"/>
      <c r="H764" s="940"/>
      <c r="I764" s="939"/>
      <c r="J764" s="940"/>
      <c r="K764" s="947"/>
      <c r="L764" s="940"/>
      <c r="M764" s="940"/>
    </row>
    <row r="765" spans="1:13" x14ac:dyDescent="0.3">
      <c r="A765" s="946"/>
      <c r="B765" s="948"/>
      <c r="C765" s="935"/>
      <c r="D765" s="936"/>
      <c r="E765" s="937"/>
      <c r="F765" s="949"/>
      <c r="G765" s="938"/>
      <c r="H765" s="940"/>
      <c r="I765" s="939"/>
      <c r="J765" s="940"/>
      <c r="K765" s="947"/>
      <c r="L765" s="940"/>
      <c r="M765" s="940"/>
    </row>
    <row r="766" spans="1:13" x14ac:dyDescent="0.3">
      <c r="A766" s="946"/>
      <c r="B766" s="948"/>
      <c r="C766" s="935"/>
      <c r="D766" s="936"/>
      <c r="E766" s="937"/>
      <c r="F766" s="949"/>
      <c r="G766" s="938"/>
      <c r="H766" s="940"/>
      <c r="I766" s="939"/>
      <c r="J766" s="940"/>
      <c r="K766" s="947"/>
      <c r="L766" s="940"/>
      <c r="M766" s="940"/>
    </row>
    <row r="767" spans="1:13" x14ac:dyDescent="0.3">
      <c r="A767" s="946"/>
      <c r="B767" s="948"/>
      <c r="C767" s="935"/>
      <c r="D767" s="936"/>
      <c r="E767" s="937"/>
      <c r="F767" s="949"/>
      <c r="G767" s="938"/>
      <c r="H767" s="940"/>
      <c r="I767" s="939"/>
      <c r="J767" s="940"/>
      <c r="K767" s="947"/>
      <c r="L767" s="940"/>
      <c r="M767" s="940"/>
    </row>
    <row r="768" spans="1:13" x14ac:dyDescent="0.3">
      <c r="A768" s="946"/>
      <c r="B768" s="948"/>
      <c r="C768" s="935"/>
      <c r="D768" s="936"/>
      <c r="E768" s="937"/>
      <c r="F768" s="949"/>
      <c r="G768" s="938"/>
      <c r="H768" s="940"/>
      <c r="I768" s="939"/>
      <c r="J768" s="940"/>
      <c r="K768" s="947"/>
      <c r="L768" s="940"/>
      <c r="M768" s="940"/>
    </row>
    <row r="769" spans="1:13" x14ac:dyDescent="0.3">
      <c r="A769" s="946"/>
      <c r="B769" s="948"/>
      <c r="C769" s="935"/>
      <c r="D769" s="936"/>
      <c r="E769" s="937"/>
      <c r="F769" s="949"/>
      <c r="G769" s="938"/>
      <c r="H769" s="940"/>
      <c r="I769" s="939"/>
      <c r="J769" s="940"/>
      <c r="K769" s="947"/>
      <c r="L769" s="940"/>
      <c r="M769" s="940"/>
    </row>
    <row r="770" spans="1:13" x14ac:dyDescent="0.3">
      <c r="A770" s="946"/>
      <c r="B770" s="948"/>
      <c r="C770" s="935"/>
      <c r="D770" s="936"/>
      <c r="E770" s="937"/>
      <c r="F770" s="949"/>
      <c r="G770" s="938"/>
      <c r="H770" s="940"/>
      <c r="I770" s="939"/>
      <c r="J770" s="940"/>
      <c r="K770" s="947"/>
      <c r="L770" s="940"/>
      <c r="M770" s="940"/>
    </row>
    <row r="771" spans="1:13" x14ac:dyDescent="0.3">
      <c r="A771" s="946"/>
      <c r="B771" s="948"/>
      <c r="C771" s="935"/>
      <c r="D771" s="936"/>
      <c r="E771" s="937"/>
      <c r="F771" s="949"/>
      <c r="G771" s="938"/>
      <c r="H771" s="940"/>
      <c r="I771" s="939"/>
      <c r="J771" s="940"/>
      <c r="K771" s="947"/>
      <c r="L771" s="940"/>
      <c r="M771" s="940"/>
    </row>
    <row r="772" spans="1:13" x14ac:dyDescent="0.3">
      <c r="A772" s="946"/>
      <c r="B772" s="948"/>
      <c r="C772" s="935"/>
      <c r="D772" s="936"/>
      <c r="E772" s="937"/>
      <c r="F772" s="949"/>
      <c r="G772" s="938"/>
      <c r="H772" s="940"/>
      <c r="I772" s="939"/>
      <c r="J772" s="940"/>
      <c r="K772" s="947"/>
      <c r="L772" s="940"/>
      <c r="M772" s="940"/>
    </row>
    <row r="773" spans="1:13" x14ac:dyDescent="0.3">
      <c r="A773" s="946"/>
      <c r="B773" s="948"/>
      <c r="C773" s="935"/>
      <c r="D773" s="936"/>
      <c r="E773" s="937"/>
      <c r="F773" s="949"/>
      <c r="G773" s="938"/>
      <c r="H773" s="940"/>
      <c r="I773" s="939"/>
      <c r="J773" s="940"/>
      <c r="K773" s="947"/>
      <c r="L773" s="940"/>
      <c r="M773" s="940"/>
    </row>
    <row r="774" spans="1:13" x14ac:dyDescent="0.3">
      <c r="A774" s="946"/>
      <c r="B774" s="948"/>
      <c r="C774" s="935"/>
      <c r="D774" s="936"/>
      <c r="E774" s="937"/>
      <c r="F774" s="949"/>
      <c r="G774" s="938"/>
      <c r="H774" s="940"/>
      <c r="I774" s="939"/>
      <c r="J774" s="940"/>
      <c r="K774" s="947"/>
      <c r="L774" s="940"/>
      <c r="M774" s="940"/>
    </row>
    <row r="775" spans="1:13" x14ac:dyDescent="0.3">
      <c r="A775" s="946"/>
      <c r="B775" s="948"/>
      <c r="C775" s="935"/>
      <c r="D775" s="936"/>
      <c r="E775" s="937"/>
      <c r="F775" s="949"/>
      <c r="G775" s="938"/>
      <c r="H775" s="940"/>
      <c r="I775" s="939"/>
      <c r="J775" s="940"/>
      <c r="K775" s="947"/>
      <c r="L775" s="940"/>
      <c r="M775" s="940"/>
    </row>
    <row r="776" spans="1:13" x14ac:dyDescent="0.3">
      <c r="A776" s="946"/>
      <c r="B776" s="948"/>
      <c r="C776" s="935"/>
      <c r="D776" s="936"/>
      <c r="E776" s="937"/>
      <c r="F776" s="949"/>
      <c r="G776" s="938"/>
      <c r="H776" s="940"/>
      <c r="I776" s="939"/>
      <c r="J776" s="940"/>
      <c r="K776" s="947"/>
      <c r="L776" s="940"/>
      <c r="M776" s="940"/>
    </row>
    <row r="777" spans="1:13" x14ac:dyDescent="0.3">
      <c r="A777" s="946"/>
      <c r="B777" s="948"/>
      <c r="C777" s="935"/>
      <c r="D777" s="936"/>
      <c r="E777" s="937"/>
      <c r="F777" s="949"/>
      <c r="G777" s="938"/>
      <c r="H777" s="940"/>
      <c r="I777" s="939"/>
      <c r="J777" s="940"/>
      <c r="K777" s="947"/>
      <c r="L777" s="940"/>
      <c r="M777" s="940"/>
    </row>
    <row r="778" spans="1:13" x14ac:dyDescent="0.3">
      <c r="A778" s="946"/>
      <c r="B778" s="948"/>
      <c r="C778" s="935"/>
      <c r="D778" s="936"/>
      <c r="E778" s="937"/>
      <c r="F778" s="949"/>
      <c r="G778" s="938"/>
      <c r="H778" s="940"/>
      <c r="I778" s="939"/>
      <c r="J778" s="940"/>
      <c r="K778" s="947"/>
      <c r="L778" s="940"/>
      <c r="M778" s="940"/>
    </row>
    <row r="779" spans="1:13" x14ac:dyDescent="0.3">
      <c r="A779" s="946"/>
      <c r="B779" s="948"/>
      <c r="C779" s="935"/>
      <c r="D779" s="936"/>
      <c r="E779" s="937"/>
      <c r="F779" s="949"/>
      <c r="G779" s="938"/>
      <c r="H779" s="940"/>
      <c r="I779" s="939"/>
      <c r="J779" s="940"/>
      <c r="K779" s="947"/>
      <c r="L779" s="940"/>
      <c r="M779" s="940"/>
    </row>
    <row r="780" spans="1:13" x14ac:dyDescent="0.3">
      <c r="A780" s="946"/>
      <c r="B780" s="948"/>
      <c r="C780" s="935"/>
      <c r="D780" s="936"/>
      <c r="E780" s="937"/>
      <c r="F780" s="949"/>
      <c r="G780" s="938"/>
      <c r="H780" s="940"/>
      <c r="I780" s="939"/>
      <c r="J780" s="940"/>
      <c r="K780" s="947"/>
      <c r="L780" s="940"/>
      <c r="M780" s="940"/>
    </row>
    <row r="781" spans="1:13" x14ac:dyDescent="0.3">
      <c r="A781" s="946"/>
      <c r="B781" s="948"/>
      <c r="C781" s="935"/>
      <c r="D781" s="936"/>
      <c r="E781" s="937"/>
      <c r="F781" s="949"/>
      <c r="G781" s="938"/>
      <c r="H781" s="940"/>
      <c r="I781" s="939"/>
      <c r="J781" s="940"/>
      <c r="K781" s="947"/>
      <c r="L781" s="940"/>
      <c r="M781" s="940"/>
    </row>
    <row r="782" spans="1:13" x14ac:dyDescent="0.3">
      <c r="A782" s="946"/>
      <c r="B782" s="948"/>
      <c r="C782" s="935"/>
      <c r="D782" s="936"/>
      <c r="E782" s="937"/>
      <c r="F782" s="949"/>
      <c r="G782" s="938"/>
      <c r="H782" s="940"/>
      <c r="I782" s="939"/>
      <c r="J782" s="940"/>
      <c r="K782" s="947"/>
      <c r="L782" s="940"/>
      <c r="M782" s="940"/>
    </row>
    <row r="783" spans="1:13" x14ac:dyDescent="0.3">
      <c r="A783" s="946"/>
      <c r="B783" s="948"/>
      <c r="C783" s="935"/>
      <c r="D783" s="936"/>
      <c r="E783" s="937"/>
      <c r="F783" s="949"/>
      <c r="G783" s="938"/>
      <c r="H783" s="940"/>
      <c r="I783" s="939"/>
      <c r="J783" s="940"/>
      <c r="K783" s="947"/>
      <c r="L783" s="940"/>
      <c r="M783" s="940"/>
    </row>
    <row r="784" spans="1:13" x14ac:dyDescent="0.3">
      <c r="A784" s="946"/>
      <c r="B784" s="948"/>
      <c r="C784" s="935"/>
      <c r="D784" s="936"/>
      <c r="E784" s="937"/>
      <c r="F784" s="949"/>
      <c r="G784" s="938"/>
      <c r="H784" s="940"/>
      <c r="I784" s="939"/>
      <c r="J784" s="940"/>
      <c r="K784" s="947"/>
      <c r="L784" s="940"/>
      <c r="M784" s="940"/>
    </row>
    <row r="785" spans="1:13" x14ac:dyDescent="0.3">
      <c r="A785" s="946"/>
      <c r="B785" s="948"/>
      <c r="C785" s="935"/>
      <c r="D785" s="936"/>
      <c r="E785" s="937"/>
      <c r="F785" s="949"/>
      <c r="G785" s="938"/>
      <c r="H785" s="940"/>
      <c r="I785" s="939"/>
      <c r="J785" s="940"/>
      <c r="K785" s="947"/>
      <c r="L785" s="940"/>
      <c r="M785" s="940"/>
    </row>
    <row r="786" spans="1:13" x14ac:dyDescent="0.3">
      <c r="A786" s="946"/>
      <c r="B786" s="948"/>
      <c r="C786" s="935"/>
      <c r="D786" s="936"/>
      <c r="E786" s="937"/>
      <c r="F786" s="949"/>
      <c r="G786" s="938"/>
      <c r="H786" s="940"/>
      <c r="I786" s="939"/>
      <c r="J786" s="940"/>
      <c r="K786" s="947"/>
      <c r="L786" s="940"/>
      <c r="M786" s="940"/>
    </row>
    <row r="787" spans="1:13" x14ac:dyDescent="0.3">
      <c r="A787" s="946"/>
      <c r="B787" s="948"/>
      <c r="C787" s="935"/>
      <c r="D787" s="936"/>
      <c r="E787" s="937"/>
      <c r="F787" s="949"/>
      <c r="G787" s="938"/>
      <c r="H787" s="940"/>
      <c r="I787" s="939"/>
      <c r="J787" s="940"/>
      <c r="K787" s="947"/>
      <c r="L787" s="940"/>
      <c r="M787" s="940"/>
    </row>
    <row r="788" spans="1:13" x14ac:dyDescent="0.3">
      <c r="A788" s="946"/>
      <c r="B788" s="948"/>
      <c r="C788" s="935"/>
      <c r="D788" s="936"/>
      <c r="E788" s="937"/>
      <c r="F788" s="949"/>
      <c r="G788" s="938"/>
      <c r="H788" s="940"/>
      <c r="I788" s="939"/>
      <c r="J788" s="940"/>
      <c r="K788" s="947"/>
      <c r="L788" s="940"/>
      <c r="M788" s="940"/>
    </row>
    <row r="789" spans="1:13" x14ac:dyDescent="0.3">
      <c r="A789" s="946"/>
      <c r="B789" s="948"/>
      <c r="C789" s="935"/>
      <c r="D789" s="936"/>
      <c r="E789" s="937"/>
      <c r="F789" s="949"/>
      <c r="G789" s="938"/>
      <c r="H789" s="940"/>
      <c r="I789" s="939"/>
      <c r="J789" s="940"/>
      <c r="K789" s="947"/>
      <c r="L789" s="940"/>
      <c r="M789" s="940"/>
    </row>
    <row r="790" spans="1:13" x14ac:dyDescent="0.3">
      <c r="A790" s="946"/>
      <c r="B790" s="948"/>
      <c r="C790" s="935"/>
      <c r="D790" s="936"/>
      <c r="E790" s="937"/>
      <c r="F790" s="949"/>
      <c r="G790" s="938"/>
      <c r="H790" s="940"/>
      <c r="I790" s="939"/>
      <c r="J790" s="940"/>
      <c r="K790" s="947"/>
      <c r="L790" s="940"/>
      <c r="M790" s="940"/>
    </row>
    <row r="791" spans="1:13" x14ac:dyDescent="0.3">
      <c r="A791" s="946"/>
      <c r="B791" s="948"/>
      <c r="C791" s="935"/>
      <c r="D791" s="936"/>
      <c r="E791" s="937"/>
      <c r="F791" s="949"/>
      <c r="G791" s="938"/>
      <c r="H791" s="940"/>
      <c r="I791" s="939"/>
      <c r="J791" s="940"/>
      <c r="K791" s="947"/>
      <c r="L791" s="940"/>
      <c r="M791" s="940"/>
    </row>
    <row r="792" spans="1:13" x14ac:dyDescent="0.3">
      <c r="A792" s="946"/>
      <c r="B792" s="948"/>
      <c r="C792" s="935"/>
      <c r="D792" s="936"/>
      <c r="E792" s="937"/>
      <c r="F792" s="949"/>
      <c r="G792" s="938"/>
      <c r="H792" s="940"/>
      <c r="I792" s="939"/>
      <c r="J792" s="940"/>
      <c r="K792" s="947"/>
      <c r="L792" s="940"/>
      <c r="M792" s="940"/>
    </row>
    <row r="793" spans="1:13" x14ac:dyDescent="0.3">
      <c r="A793" s="946"/>
      <c r="B793" s="948"/>
      <c r="C793" s="935"/>
      <c r="D793" s="936"/>
      <c r="E793" s="937"/>
      <c r="F793" s="949"/>
      <c r="G793" s="938"/>
      <c r="H793" s="940"/>
      <c r="I793" s="939"/>
      <c r="J793" s="940"/>
      <c r="K793" s="947"/>
      <c r="L793" s="940"/>
      <c r="M793" s="940"/>
    </row>
    <row r="794" spans="1:13" x14ac:dyDescent="0.3">
      <c r="A794" s="946"/>
      <c r="B794" s="948"/>
      <c r="C794" s="935"/>
      <c r="D794" s="936"/>
      <c r="E794" s="937"/>
      <c r="F794" s="949"/>
      <c r="G794" s="938"/>
      <c r="H794" s="940"/>
      <c r="I794" s="939"/>
      <c r="J794" s="940"/>
      <c r="K794" s="947"/>
      <c r="L794" s="940"/>
      <c r="M794" s="940"/>
    </row>
    <row r="795" spans="1:13" x14ac:dyDescent="0.3">
      <c r="A795" s="946"/>
      <c r="B795" s="948"/>
      <c r="C795" s="935"/>
      <c r="D795" s="936"/>
      <c r="E795" s="937"/>
      <c r="F795" s="949"/>
      <c r="G795" s="938"/>
      <c r="H795" s="940"/>
      <c r="I795" s="939"/>
      <c r="J795" s="940"/>
      <c r="K795" s="947"/>
      <c r="L795" s="940"/>
      <c r="M795" s="940"/>
    </row>
    <row r="796" spans="1:13" x14ac:dyDescent="0.3">
      <c r="A796" s="946"/>
      <c r="B796" s="948"/>
      <c r="C796" s="935"/>
      <c r="D796" s="936"/>
      <c r="E796" s="937"/>
      <c r="F796" s="949"/>
      <c r="G796" s="938"/>
      <c r="H796" s="940"/>
      <c r="I796" s="939"/>
      <c r="J796" s="940"/>
      <c r="K796" s="947"/>
      <c r="L796" s="940"/>
      <c r="M796" s="940"/>
    </row>
    <row r="797" spans="1:13" x14ac:dyDescent="0.3">
      <c r="A797" s="946"/>
      <c r="B797" s="948"/>
      <c r="C797" s="935"/>
      <c r="D797" s="936"/>
      <c r="E797" s="937"/>
      <c r="F797" s="949"/>
      <c r="G797" s="938"/>
      <c r="H797" s="940"/>
      <c r="I797" s="939"/>
      <c r="J797" s="940"/>
      <c r="K797" s="947"/>
      <c r="L797" s="940"/>
      <c r="M797" s="940"/>
    </row>
    <row r="798" spans="1:13" x14ac:dyDescent="0.3">
      <c r="A798" s="946"/>
      <c r="B798" s="948"/>
      <c r="C798" s="935"/>
      <c r="D798" s="936"/>
      <c r="E798" s="937"/>
      <c r="F798" s="949"/>
      <c r="G798" s="938"/>
      <c r="H798" s="940"/>
      <c r="I798" s="939"/>
      <c r="J798" s="940"/>
      <c r="K798" s="947"/>
      <c r="L798" s="940"/>
      <c r="M798" s="940"/>
    </row>
    <row r="799" spans="1:13" x14ac:dyDescent="0.3">
      <c r="A799" s="946"/>
      <c r="B799" s="948"/>
      <c r="C799" s="935"/>
      <c r="D799" s="936"/>
      <c r="E799" s="937"/>
      <c r="F799" s="949"/>
      <c r="G799" s="938"/>
      <c r="H799" s="940"/>
      <c r="I799" s="939"/>
      <c r="J799" s="940"/>
      <c r="K799" s="947"/>
      <c r="L799" s="940"/>
      <c r="M799" s="940"/>
    </row>
    <row r="800" spans="1:13" x14ac:dyDescent="0.3">
      <c r="A800" s="946"/>
      <c r="B800" s="948"/>
      <c r="C800" s="935"/>
      <c r="D800" s="936"/>
      <c r="E800" s="937"/>
      <c r="F800" s="949"/>
      <c r="G800" s="938"/>
      <c r="H800" s="940"/>
      <c r="I800" s="939"/>
      <c r="J800" s="940"/>
      <c r="K800" s="947"/>
      <c r="L800" s="940"/>
      <c r="M800" s="940"/>
    </row>
    <row r="801" spans="1:13" x14ac:dyDescent="0.3">
      <c r="A801" s="946"/>
      <c r="B801" s="948"/>
      <c r="C801" s="935"/>
      <c r="D801" s="936"/>
      <c r="E801" s="937"/>
      <c r="F801" s="949"/>
      <c r="G801" s="938"/>
      <c r="H801" s="940"/>
      <c r="I801" s="939"/>
      <c r="J801" s="940"/>
      <c r="K801" s="947"/>
      <c r="L801" s="940"/>
      <c r="M801" s="940"/>
    </row>
    <row r="802" spans="1:13" x14ac:dyDescent="0.3">
      <c r="A802" s="946"/>
      <c r="B802" s="948"/>
      <c r="C802" s="935"/>
      <c r="D802" s="936"/>
      <c r="E802" s="937"/>
      <c r="F802" s="949"/>
      <c r="G802" s="938"/>
      <c r="H802" s="940"/>
      <c r="I802" s="939"/>
      <c r="J802" s="940"/>
      <c r="K802" s="947"/>
      <c r="L802" s="940"/>
      <c r="M802" s="940"/>
    </row>
    <row r="803" spans="1:13" x14ac:dyDescent="0.3">
      <c r="A803" s="946"/>
      <c r="B803" s="948"/>
      <c r="C803" s="935"/>
      <c r="D803" s="936"/>
      <c r="E803" s="937"/>
      <c r="F803" s="949"/>
      <c r="G803" s="938"/>
      <c r="H803" s="940"/>
      <c r="I803" s="939"/>
      <c r="J803" s="940"/>
      <c r="K803" s="947"/>
      <c r="L803" s="940"/>
      <c r="M803" s="940"/>
    </row>
    <row r="804" spans="1:13" x14ac:dyDescent="0.3">
      <c r="A804" s="946"/>
      <c r="B804" s="948"/>
      <c r="C804" s="935"/>
      <c r="D804" s="936"/>
      <c r="E804" s="937"/>
      <c r="F804" s="949"/>
      <c r="G804" s="938"/>
      <c r="H804" s="940"/>
      <c r="I804" s="939"/>
      <c r="J804" s="940"/>
      <c r="K804" s="947"/>
      <c r="L804" s="940"/>
      <c r="M804" s="940"/>
    </row>
    <row r="805" spans="1:13" x14ac:dyDescent="0.3">
      <c r="A805" s="946"/>
      <c r="B805" s="948"/>
      <c r="C805" s="935"/>
      <c r="D805" s="936"/>
      <c r="E805" s="937"/>
      <c r="F805" s="949"/>
      <c r="G805" s="938"/>
      <c r="H805" s="940"/>
      <c r="I805" s="939"/>
      <c r="J805" s="940"/>
      <c r="K805" s="947"/>
      <c r="L805" s="940"/>
      <c r="M805" s="940"/>
    </row>
    <row r="806" spans="1:13" x14ac:dyDescent="0.3">
      <c r="A806" s="946"/>
      <c r="B806" s="948"/>
      <c r="C806" s="935"/>
      <c r="D806" s="936"/>
      <c r="E806" s="937"/>
      <c r="F806" s="949"/>
      <c r="G806" s="938"/>
      <c r="H806" s="940"/>
      <c r="I806" s="939"/>
      <c r="J806" s="940"/>
      <c r="K806" s="947"/>
      <c r="L806" s="940"/>
      <c r="M806" s="940"/>
    </row>
    <row r="807" spans="1:13" x14ac:dyDescent="0.3">
      <c r="A807" s="946"/>
      <c r="B807" s="948"/>
      <c r="C807" s="935"/>
      <c r="D807" s="936"/>
      <c r="E807" s="937"/>
      <c r="F807" s="949"/>
      <c r="G807" s="938"/>
      <c r="H807" s="940"/>
      <c r="I807" s="939"/>
      <c r="J807" s="940"/>
      <c r="K807" s="947"/>
      <c r="L807" s="940"/>
      <c r="M807" s="940"/>
    </row>
    <row r="808" spans="1:13" x14ac:dyDescent="0.3">
      <c r="A808" s="946"/>
      <c r="B808" s="948"/>
      <c r="C808" s="935"/>
      <c r="D808" s="936"/>
      <c r="E808" s="937"/>
      <c r="F808" s="949"/>
      <c r="G808" s="938"/>
      <c r="H808" s="940"/>
      <c r="I808" s="939"/>
      <c r="J808" s="940"/>
      <c r="K808" s="947"/>
      <c r="L808" s="940"/>
      <c r="M808" s="940"/>
    </row>
    <row r="809" spans="1:13" x14ac:dyDescent="0.3">
      <c r="A809" s="946"/>
      <c r="B809" s="948"/>
      <c r="C809" s="935"/>
      <c r="D809" s="936"/>
      <c r="E809" s="937"/>
      <c r="F809" s="949"/>
      <c r="G809" s="938"/>
      <c r="H809" s="940"/>
      <c r="I809" s="939"/>
      <c r="J809" s="940"/>
      <c r="K809" s="947"/>
      <c r="L809" s="940"/>
      <c r="M809" s="940"/>
    </row>
    <row r="810" spans="1:13" x14ac:dyDescent="0.3">
      <c r="A810" s="946"/>
      <c r="B810" s="948"/>
      <c r="C810" s="935"/>
      <c r="D810" s="936"/>
      <c r="E810" s="937"/>
      <c r="F810" s="949"/>
      <c r="G810" s="938"/>
      <c r="H810" s="940"/>
      <c r="I810" s="939"/>
      <c r="J810" s="940"/>
      <c r="K810" s="947"/>
      <c r="L810" s="940"/>
      <c r="M810" s="940"/>
    </row>
    <row r="811" spans="1:13" x14ac:dyDescent="0.3">
      <c r="A811" s="946"/>
      <c r="B811" s="948"/>
      <c r="C811" s="935"/>
      <c r="D811" s="936"/>
      <c r="E811" s="937"/>
      <c r="F811" s="949"/>
      <c r="G811" s="938"/>
      <c r="H811" s="940"/>
      <c r="I811" s="939"/>
      <c r="J811" s="940"/>
      <c r="K811" s="947"/>
      <c r="L811" s="940"/>
      <c r="M811" s="940"/>
    </row>
    <row r="812" spans="1:13" x14ac:dyDescent="0.3">
      <c r="A812" s="946"/>
      <c r="B812" s="948"/>
      <c r="C812" s="935"/>
      <c r="D812" s="936"/>
      <c r="E812" s="937"/>
      <c r="F812" s="949"/>
      <c r="G812" s="938"/>
      <c r="H812" s="940"/>
      <c r="I812" s="939"/>
      <c r="J812" s="940"/>
      <c r="K812" s="947"/>
      <c r="L812" s="940"/>
      <c r="M812" s="940"/>
    </row>
    <row r="813" spans="1:13" x14ac:dyDescent="0.3">
      <c r="A813" s="946"/>
      <c r="B813" s="948"/>
      <c r="C813" s="935"/>
      <c r="D813" s="936"/>
      <c r="E813" s="937"/>
      <c r="F813" s="949"/>
      <c r="G813" s="938"/>
      <c r="H813" s="940"/>
      <c r="I813" s="939"/>
      <c r="J813" s="940"/>
      <c r="K813" s="947"/>
      <c r="L813" s="940"/>
      <c r="M813" s="940"/>
    </row>
    <row r="814" spans="1:13" x14ac:dyDescent="0.3">
      <c r="A814" s="946"/>
      <c r="B814" s="948"/>
      <c r="C814" s="935"/>
      <c r="D814" s="936"/>
      <c r="E814" s="937"/>
      <c r="F814" s="949"/>
      <c r="G814" s="938"/>
      <c r="H814" s="940"/>
      <c r="I814" s="939"/>
      <c r="J814" s="940"/>
      <c r="K814" s="947"/>
      <c r="L814" s="940"/>
      <c r="M814" s="940"/>
    </row>
    <row r="815" spans="1:13" x14ac:dyDescent="0.3">
      <c r="A815" s="946"/>
      <c r="B815" s="948"/>
      <c r="C815" s="935"/>
      <c r="D815" s="936"/>
      <c r="E815" s="937"/>
      <c r="F815" s="949"/>
      <c r="G815" s="938"/>
      <c r="H815" s="940"/>
      <c r="I815" s="939"/>
      <c r="J815" s="940"/>
      <c r="K815" s="947"/>
      <c r="L815" s="940"/>
      <c r="M815" s="940"/>
    </row>
    <row r="816" spans="1:13" x14ac:dyDescent="0.3">
      <c r="A816" s="946"/>
      <c r="B816" s="948"/>
      <c r="C816" s="935"/>
      <c r="D816" s="936"/>
      <c r="E816" s="937"/>
      <c r="F816" s="949"/>
      <c r="G816" s="938"/>
      <c r="H816" s="940"/>
      <c r="I816" s="939"/>
      <c r="J816" s="940"/>
      <c r="K816" s="947"/>
      <c r="L816" s="940"/>
      <c r="M816" s="940"/>
    </row>
    <row r="817" spans="1:13" x14ac:dyDescent="0.3">
      <c r="A817" s="946"/>
      <c r="B817" s="948"/>
      <c r="C817" s="935"/>
      <c r="D817" s="936"/>
      <c r="E817" s="937"/>
      <c r="F817" s="949"/>
      <c r="G817" s="938"/>
      <c r="H817" s="940"/>
      <c r="I817" s="939"/>
      <c r="J817" s="940"/>
      <c r="K817" s="947"/>
      <c r="L817" s="940"/>
      <c r="M817" s="940"/>
    </row>
    <row r="818" spans="1:13" x14ac:dyDescent="0.3">
      <c r="A818" s="946"/>
      <c r="B818" s="948"/>
      <c r="C818" s="935"/>
      <c r="D818" s="936"/>
      <c r="E818" s="937"/>
      <c r="F818" s="949"/>
      <c r="G818" s="938"/>
      <c r="H818" s="940"/>
      <c r="I818" s="939"/>
      <c r="J818" s="940"/>
      <c r="K818" s="947"/>
      <c r="L818" s="940"/>
      <c r="M818" s="940"/>
    </row>
    <row r="819" spans="1:13" x14ac:dyDescent="0.3">
      <c r="A819" s="946"/>
      <c r="B819" s="948"/>
      <c r="C819" s="935"/>
      <c r="D819" s="936"/>
      <c r="E819" s="937"/>
      <c r="F819" s="949"/>
      <c r="G819" s="938"/>
      <c r="H819" s="940"/>
      <c r="I819" s="939"/>
      <c r="J819" s="940"/>
      <c r="K819" s="947"/>
      <c r="L819" s="940"/>
      <c r="M819" s="940"/>
    </row>
    <row r="820" spans="1:13" x14ac:dyDescent="0.3">
      <c r="A820" s="946"/>
      <c r="B820" s="948"/>
      <c r="C820" s="935"/>
      <c r="D820" s="936"/>
      <c r="E820" s="937"/>
      <c r="F820" s="949"/>
      <c r="G820" s="938"/>
      <c r="H820" s="940"/>
      <c r="I820" s="939"/>
      <c r="J820" s="940"/>
      <c r="K820" s="947"/>
      <c r="L820" s="940"/>
      <c r="M820" s="940"/>
    </row>
    <row r="821" spans="1:13" x14ac:dyDescent="0.3">
      <c r="A821" s="946"/>
      <c r="B821" s="948"/>
      <c r="C821" s="935"/>
      <c r="D821" s="936"/>
      <c r="E821" s="937"/>
      <c r="F821" s="949"/>
      <c r="G821" s="938"/>
      <c r="H821" s="940"/>
      <c r="I821" s="939"/>
      <c r="J821" s="940"/>
      <c r="K821" s="947"/>
      <c r="L821" s="940"/>
      <c r="M821" s="940"/>
    </row>
    <row r="822" spans="1:13" x14ac:dyDescent="0.3">
      <c r="A822" s="946"/>
      <c r="B822" s="948"/>
      <c r="C822" s="935"/>
      <c r="D822" s="936"/>
      <c r="E822" s="937"/>
      <c r="F822" s="949"/>
      <c r="G822" s="938"/>
      <c r="H822" s="940"/>
      <c r="I822" s="939"/>
      <c r="J822" s="940"/>
      <c r="K822" s="947"/>
      <c r="L822" s="940"/>
      <c r="M822" s="940"/>
    </row>
    <row r="823" spans="1:13" x14ac:dyDescent="0.3">
      <c r="A823" s="946"/>
      <c r="B823" s="948"/>
      <c r="C823" s="935"/>
      <c r="D823" s="936"/>
      <c r="E823" s="937"/>
      <c r="F823" s="949"/>
      <c r="G823" s="938"/>
      <c r="H823" s="940"/>
      <c r="I823" s="939"/>
      <c r="J823" s="940"/>
      <c r="K823" s="947"/>
      <c r="L823" s="940"/>
      <c r="M823" s="940"/>
    </row>
    <row r="824" spans="1:13" x14ac:dyDescent="0.3">
      <c r="A824" s="946"/>
      <c r="B824" s="948"/>
      <c r="C824" s="935"/>
      <c r="D824" s="936"/>
      <c r="E824" s="937"/>
      <c r="F824" s="949"/>
      <c r="G824" s="938"/>
      <c r="H824" s="940"/>
      <c r="I824" s="939"/>
      <c r="J824" s="940"/>
      <c r="K824" s="947"/>
      <c r="L824" s="940"/>
      <c r="M824" s="940"/>
    </row>
    <row r="825" spans="1:13" x14ac:dyDescent="0.3">
      <c r="A825" s="946"/>
      <c r="B825" s="948"/>
      <c r="C825" s="935"/>
      <c r="D825" s="936"/>
      <c r="E825" s="937"/>
      <c r="F825" s="949"/>
      <c r="G825" s="938"/>
      <c r="H825" s="940"/>
      <c r="I825" s="939"/>
      <c r="J825" s="940"/>
      <c r="K825" s="947"/>
      <c r="L825" s="940"/>
      <c r="M825" s="940"/>
    </row>
    <row r="826" spans="1:13" x14ac:dyDescent="0.3">
      <c r="A826" s="946"/>
      <c r="B826" s="948"/>
      <c r="C826" s="935"/>
      <c r="D826" s="936"/>
      <c r="E826" s="937"/>
      <c r="F826" s="949"/>
      <c r="G826" s="938"/>
      <c r="H826" s="940"/>
      <c r="I826" s="939"/>
      <c r="J826" s="940"/>
      <c r="K826" s="947"/>
      <c r="L826" s="940"/>
      <c r="M826" s="940"/>
    </row>
    <row r="827" spans="1:13" x14ac:dyDescent="0.3">
      <c r="A827" s="946"/>
      <c r="B827" s="948"/>
      <c r="C827" s="935"/>
      <c r="D827" s="936"/>
      <c r="E827" s="937"/>
      <c r="F827" s="949"/>
      <c r="G827" s="938"/>
      <c r="H827" s="940"/>
      <c r="I827" s="939"/>
      <c r="J827" s="940"/>
      <c r="K827" s="947"/>
      <c r="L827" s="940"/>
      <c r="M827" s="940"/>
    </row>
    <row r="828" spans="1:13" x14ac:dyDescent="0.3">
      <c r="A828" s="946"/>
      <c r="B828" s="948"/>
      <c r="C828" s="935"/>
      <c r="D828" s="936"/>
      <c r="E828" s="937"/>
      <c r="F828" s="949"/>
      <c r="G828" s="938"/>
      <c r="H828" s="940"/>
      <c r="I828" s="939"/>
      <c r="J828" s="940"/>
      <c r="K828" s="947"/>
      <c r="L828" s="940"/>
      <c r="M828" s="940"/>
    </row>
    <row r="829" spans="1:13" x14ac:dyDescent="0.3">
      <c r="A829" s="946"/>
      <c r="B829" s="948"/>
      <c r="C829" s="935"/>
      <c r="D829" s="936"/>
      <c r="E829" s="937"/>
      <c r="F829" s="949"/>
      <c r="G829" s="938"/>
      <c r="H829" s="940"/>
      <c r="I829" s="939"/>
      <c r="J829" s="940"/>
      <c r="K829" s="947"/>
      <c r="L829" s="940"/>
      <c r="M829" s="940"/>
    </row>
    <row r="830" spans="1:13" x14ac:dyDescent="0.3">
      <c r="A830" s="946"/>
      <c r="B830" s="948"/>
      <c r="C830" s="935"/>
      <c r="D830" s="936"/>
      <c r="E830" s="937"/>
      <c r="F830" s="949"/>
      <c r="G830" s="938"/>
      <c r="H830" s="940"/>
      <c r="I830" s="939"/>
      <c r="J830" s="940"/>
      <c r="K830" s="947"/>
      <c r="L830" s="940"/>
      <c r="M830" s="940"/>
    </row>
    <row r="831" spans="1:13" x14ac:dyDescent="0.3">
      <c r="A831" s="946"/>
      <c r="B831" s="948"/>
      <c r="C831" s="935"/>
      <c r="D831" s="936"/>
      <c r="E831" s="937"/>
      <c r="F831" s="949"/>
      <c r="G831" s="938"/>
      <c r="H831" s="940"/>
      <c r="I831" s="939"/>
      <c r="J831" s="940"/>
      <c r="K831" s="947"/>
      <c r="L831" s="940"/>
      <c r="M831" s="940"/>
    </row>
    <row r="832" spans="1:13" x14ac:dyDescent="0.3">
      <c r="A832" s="946"/>
      <c r="B832" s="948"/>
      <c r="C832" s="935"/>
      <c r="D832" s="936"/>
      <c r="E832" s="937"/>
      <c r="F832" s="949"/>
      <c r="G832" s="938"/>
      <c r="H832" s="940"/>
      <c r="I832" s="939"/>
      <c r="J832" s="940"/>
      <c r="K832" s="947"/>
      <c r="L832" s="940"/>
      <c r="M832" s="940"/>
    </row>
    <row r="833" spans="1:13" x14ac:dyDescent="0.3">
      <c r="A833" s="946"/>
      <c r="B833" s="948"/>
      <c r="C833" s="935"/>
      <c r="D833" s="936"/>
      <c r="E833" s="937"/>
      <c r="F833" s="949"/>
      <c r="G833" s="938"/>
      <c r="H833" s="940"/>
      <c r="I833" s="939"/>
      <c r="J833" s="940"/>
      <c r="K833" s="947"/>
      <c r="L833" s="940"/>
      <c r="M833" s="940"/>
    </row>
    <row r="834" spans="1:13" x14ac:dyDescent="0.3">
      <c r="A834" s="946"/>
      <c r="B834" s="948"/>
      <c r="C834" s="935"/>
      <c r="D834" s="936"/>
      <c r="E834" s="937"/>
      <c r="F834" s="949"/>
      <c r="G834" s="938"/>
      <c r="H834" s="940"/>
      <c r="I834" s="939"/>
      <c r="J834" s="940"/>
      <c r="K834" s="947"/>
      <c r="L834" s="940"/>
      <c r="M834" s="940"/>
    </row>
    <row r="835" spans="1:13" x14ac:dyDescent="0.3">
      <c r="A835" s="946"/>
      <c r="B835" s="948"/>
      <c r="C835" s="935"/>
      <c r="D835" s="936"/>
      <c r="E835" s="937"/>
      <c r="F835" s="949"/>
      <c r="G835" s="938"/>
      <c r="H835" s="940"/>
      <c r="I835" s="939"/>
      <c r="J835" s="940"/>
      <c r="K835" s="947"/>
      <c r="L835" s="940"/>
      <c r="M835" s="940"/>
    </row>
    <row r="836" spans="1:13" x14ac:dyDescent="0.3">
      <c r="A836" s="946"/>
      <c r="B836" s="948"/>
      <c r="C836" s="935"/>
      <c r="D836" s="936"/>
      <c r="E836" s="937"/>
      <c r="F836" s="949"/>
      <c r="G836" s="938"/>
      <c r="H836" s="940"/>
      <c r="I836" s="939"/>
      <c r="J836" s="940"/>
      <c r="K836" s="947"/>
      <c r="L836" s="940"/>
      <c r="M836" s="940"/>
    </row>
    <row r="837" spans="1:13" x14ac:dyDescent="0.3">
      <c r="A837" s="946"/>
      <c r="B837" s="948"/>
      <c r="C837" s="935"/>
      <c r="D837" s="936"/>
      <c r="E837" s="937"/>
      <c r="F837" s="949"/>
      <c r="G837" s="938"/>
      <c r="H837" s="940"/>
      <c r="I837" s="939"/>
      <c r="J837" s="940"/>
      <c r="K837" s="947"/>
      <c r="L837" s="940"/>
      <c r="M837" s="940"/>
    </row>
    <row r="838" spans="1:13" x14ac:dyDescent="0.3">
      <c r="A838" s="946"/>
      <c r="B838" s="948"/>
      <c r="C838" s="935"/>
      <c r="D838" s="936"/>
      <c r="E838" s="937"/>
      <c r="F838" s="949"/>
      <c r="G838" s="938"/>
      <c r="H838" s="940"/>
      <c r="I838" s="939"/>
      <c r="J838" s="940"/>
      <c r="K838" s="947"/>
      <c r="L838" s="940"/>
      <c r="M838" s="940"/>
    </row>
    <row r="839" spans="1:13" x14ac:dyDescent="0.3">
      <c r="A839" s="946"/>
      <c r="B839" s="948"/>
      <c r="C839" s="935"/>
      <c r="D839" s="936"/>
      <c r="E839" s="937"/>
      <c r="F839" s="949"/>
      <c r="G839" s="938"/>
      <c r="H839" s="940"/>
      <c r="I839" s="939"/>
      <c r="J839" s="940"/>
      <c r="K839" s="947"/>
      <c r="L839" s="940"/>
      <c r="M839" s="940"/>
    </row>
    <row r="840" spans="1:13" x14ac:dyDescent="0.3">
      <c r="A840" s="946"/>
      <c r="B840" s="948"/>
      <c r="C840" s="935"/>
      <c r="D840" s="936"/>
      <c r="E840" s="937"/>
      <c r="F840" s="949"/>
      <c r="G840" s="938"/>
      <c r="H840" s="940"/>
      <c r="I840" s="939"/>
      <c r="J840" s="940"/>
      <c r="K840" s="947"/>
      <c r="L840" s="940"/>
      <c r="M840" s="940"/>
    </row>
    <row r="841" spans="1:13" x14ac:dyDescent="0.3">
      <c r="A841" s="946"/>
      <c r="B841" s="948"/>
      <c r="C841" s="935"/>
      <c r="D841" s="936"/>
      <c r="E841" s="937"/>
      <c r="F841" s="949"/>
      <c r="G841" s="938"/>
      <c r="H841" s="940"/>
      <c r="I841" s="939"/>
      <c r="J841" s="940"/>
      <c r="K841" s="947"/>
      <c r="L841" s="940"/>
      <c r="M841" s="940"/>
    </row>
    <row r="842" spans="1:13" x14ac:dyDescent="0.3">
      <c r="A842" s="946"/>
      <c r="B842" s="948"/>
      <c r="C842" s="935"/>
      <c r="D842" s="936"/>
      <c r="E842" s="937"/>
      <c r="F842" s="949"/>
      <c r="G842" s="938"/>
      <c r="H842" s="940"/>
      <c r="I842" s="939"/>
      <c r="J842" s="940"/>
      <c r="K842" s="947"/>
      <c r="L842" s="940"/>
      <c r="M842" s="940"/>
    </row>
    <row r="843" spans="1:13" x14ac:dyDescent="0.3">
      <c r="A843" s="946"/>
      <c r="B843" s="948"/>
      <c r="C843" s="935"/>
      <c r="D843" s="936"/>
      <c r="E843" s="937"/>
      <c r="F843" s="949"/>
      <c r="G843" s="938"/>
      <c r="H843" s="940"/>
      <c r="I843" s="939"/>
      <c r="J843" s="940"/>
      <c r="K843" s="947"/>
      <c r="L843" s="940"/>
      <c r="M843" s="940"/>
    </row>
    <row r="844" spans="1:13" x14ac:dyDescent="0.3">
      <c r="A844" s="946"/>
      <c r="B844" s="948"/>
      <c r="C844" s="935"/>
      <c r="D844" s="936"/>
      <c r="E844" s="937"/>
      <c r="F844" s="949"/>
      <c r="G844" s="938"/>
      <c r="H844" s="940"/>
      <c r="I844" s="939"/>
      <c r="J844" s="940"/>
      <c r="K844" s="947"/>
      <c r="L844" s="940"/>
      <c r="M844" s="940"/>
    </row>
    <row r="845" spans="1:13" x14ac:dyDescent="0.3">
      <c r="A845" s="946"/>
      <c r="B845" s="948"/>
      <c r="C845" s="935"/>
      <c r="D845" s="936"/>
      <c r="E845" s="937"/>
      <c r="F845" s="949"/>
      <c r="G845" s="938"/>
      <c r="H845" s="940"/>
      <c r="I845" s="939"/>
      <c r="J845" s="940"/>
      <c r="K845" s="947"/>
      <c r="L845" s="940"/>
      <c r="M845" s="940"/>
    </row>
    <row r="846" spans="1:13" x14ac:dyDescent="0.3">
      <c r="A846" s="946"/>
      <c r="B846" s="948"/>
      <c r="C846" s="935"/>
      <c r="D846" s="936"/>
      <c r="E846" s="937"/>
      <c r="F846" s="949"/>
      <c r="G846" s="938"/>
      <c r="H846" s="940"/>
      <c r="I846" s="939"/>
      <c r="J846" s="940"/>
      <c r="K846" s="947"/>
      <c r="L846" s="940"/>
      <c r="M846" s="940"/>
    </row>
    <row r="847" spans="1:13" x14ac:dyDescent="0.3">
      <c r="A847" s="946"/>
      <c r="B847" s="948"/>
      <c r="C847" s="935"/>
      <c r="D847" s="936"/>
      <c r="E847" s="937"/>
      <c r="F847" s="949"/>
      <c r="G847" s="938"/>
      <c r="H847" s="940"/>
      <c r="I847" s="939"/>
      <c r="J847" s="940"/>
      <c r="K847" s="947"/>
      <c r="L847" s="940"/>
      <c r="M847" s="940"/>
    </row>
    <row r="848" spans="1:13" x14ac:dyDescent="0.3">
      <c r="A848" s="946"/>
      <c r="B848" s="948"/>
      <c r="C848" s="935"/>
      <c r="D848" s="936"/>
      <c r="E848" s="937"/>
      <c r="F848" s="949"/>
      <c r="G848" s="938"/>
      <c r="H848" s="940"/>
      <c r="I848" s="939"/>
      <c r="J848" s="940"/>
      <c r="K848" s="947"/>
      <c r="L848" s="940"/>
      <c r="M848" s="940"/>
    </row>
    <row r="849" spans="1:13" x14ac:dyDescent="0.3">
      <c r="A849" s="946"/>
      <c r="B849" s="948"/>
      <c r="C849" s="935"/>
      <c r="D849" s="936"/>
      <c r="E849" s="937"/>
      <c r="F849" s="949"/>
      <c r="G849" s="938"/>
      <c r="H849" s="940"/>
      <c r="I849" s="939"/>
      <c r="J849" s="940"/>
      <c r="K849" s="947"/>
      <c r="L849" s="940"/>
      <c r="M849" s="940"/>
    </row>
    <row r="850" spans="1:13" x14ac:dyDescent="0.3">
      <c r="A850" s="946"/>
      <c r="B850" s="948"/>
      <c r="C850" s="935"/>
      <c r="D850" s="936"/>
      <c r="E850" s="937"/>
      <c r="F850" s="949"/>
      <c r="G850" s="938"/>
      <c r="H850" s="940"/>
      <c r="I850" s="939"/>
      <c r="J850" s="940"/>
      <c r="K850" s="947"/>
      <c r="L850" s="940"/>
      <c r="M850" s="940"/>
    </row>
    <row r="851" spans="1:13" x14ac:dyDescent="0.3">
      <c r="A851" s="946"/>
      <c r="B851" s="948"/>
      <c r="C851" s="935"/>
      <c r="D851" s="936"/>
      <c r="E851" s="937"/>
      <c r="F851" s="949"/>
      <c r="G851" s="938"/>
      <c r="H851" s="940"/>
      <c r="I851" s="939"/>
      <c r="J851" s="940"/>
      <c r="K851" s="947"/>
      <c r="L851" s="940"/>
      <c r="M851" s="940"/>
    </row>
    <row r="852" spans="1:13" x14ac:dyDescent="0.3">
      <c r="A852" s="946"/>
      <c r="B852" s="948"/>
      <c r="C852" s="935"/>
      <c r="D852" s="936"/>
      <c r="E852" s="937"/>
      <c r="F852" s="949"/>
      <c r="G852" s="938"/>
      <c r="H852" s="940"/>
      <c r="I852" s="939"/>
      <c r="J852" s="940"/>
      <c r="K852" s="947"/>
      <c r="L852" s="940"/>
      <c r="M852" s="940"/>
    </row>
    <row r="853" spans="1:13" x14ac:dyDescent="0.3">
      <c r="A853" s="946"/>
      <c r="B853" s="948"/>
      <c r="C853" s="935"/>
      <c r="D853" s="936"/>
      <c r="E853" s="937"/>
      <c r="F853" s="949"/>
      <c r="G853" s="938"/>
      <c r="H853" s="940"/>
      <c r="I853" s="939"/>
      <c r="J853" s="940"/>
      <c r="K853" s="947"/>
      <c r="L853" s="940"/>
      <c r="M853" s="940"/>
    </row>
    <row r="854" spans="1:13" x14ac:dyDescent="0.3">
      <c r="A854" s="946"/>
      <c r="B854" s="948"/>
      <c r="C854" s="935"/>
      <c r="D854" s="936"/>
      <c r="E854" s="937"/>
      <c r="F854" s="949"/>
      <c r="G854" s="938"/>
      <c r="H854" s="940"/>
      <c r="I854" s="939"/>
      <c r="J854" s="940"/>
      <c r="K854" s="947"/>
      <c r="L854" s="940"/>
      <c r="M854" s="940"/>
    </row>
    <row r="855" spans="1:13" x14ac:dyDescent="0.3">
      <c r="A855" s="946"/>
      <c r="B855" s="948"/>
      <c r="C855" s="935"/>
      <c r="D855" s="936"/>
      <c r="E855" s="937"/>
      <c r="F855" s="949"/>
      <c r="G855" s="938"/>
      <c r="H855" s="940"/>
      <c r="I855" s="939"/>
      <c r="J855" s="940"/>
      <c r="K855" s="947"/>
      <c r="L855" s="940"/>
      <c r="M855" s="940"/>
    </row>
    <row r="856" spans="1:13" x14ac:dyDescent="0.3">
      <c r="A856" s="946"/>
      <c r="B856" s="948"/>
      <c r="C856" s="935"/>
      <c r="D856" s="936"/>
      <c r="E856" s="937"/>
      <c r="F856" s="949"/>
      <c r="G856" s="938"/>
      <c r="H856" s="940"/>
      <c r="I856" s="939"/>
      <c r="J856" s="940"/>
      <c r="K856" s="947"/>
      <c r="L856" s="940"/>
      <c r="M856" s="940"/>
    </row>
    <row r="857" spans="1:13" x14ac:dyDescent="0.3">
      <c r="A857" s="946"/>
      <c r="B857" s="948"/>
      <c r="C857" s="935"/>
      <c r="D857" s="936"/>
      <c r="E857" s="937"/>
      <c r="F857" s="949"/>
      <c r="G857" s="938"/>
      <c r="H857" s="940"/>
      <c r="I857" s="939"/>
      <c r="J857" s="940"/>
      <c r="K857" s="947"/>
      <c r="L857" s="940"/>
      <c r="M857" s="940"/>
    </row>
    <row r="858" spans="1:13" x14ac:dyDescent="0.3">
      <c r="A858" s="946"/>
      <c r="B858" s="948"/>
      <c r="C858" s="935"/>
      <c r="D858" s="936"/>
      <c r="E858" s="937"/>
      <c r="F858" s="949"/>
      <c r="G858" s="938"/>
      <c r="H858" s="940"/>
      <c r="I858" s="939"/>
      <c r="J858" s="940"/>
      <c r="K858" s="947"/>
      <c r="L858" s="940"/>
      <c r="M858" s="940"/>
    </row>
    <row r="859" spans="1:13" x14ac:dyDescent="0.3">
      <c r="A859" s="946"/>
      <c r="B859" s="948"/>
      <c r="C859" s="935"/>
      <c r="D859" s="936"/>
      <c r="E859" s="937"/>
      <c r="F859" s="949"/>
      <c r="G859" s="938"/>
      <c r="H859" s="940"/>
      <c r="I859" s="939"/>
      <c r="J859" s="940"/>
      <c r="K859" s="947"/>
      <c r="L859" s="940"/>
      <c r="M859" s="940"/>
    </row>
    <row r="860" spans="1:13" x14ac:dyDescent="0.3">
      <c r="A860" s="946"/>
      <c r="B860" s="948"/>
      <c r="C860" s="935"/>
      <c r="D860" s="936"/>
      <c r="E860" s="937"/>
      <c r="F860" s="949"/>
      <c r="G860" s="938"/>
      <c r="H860" s="940"/>
      <c r="I860" s="939"/>
      <c r="J860" s="940"/>
      <c r="K860" s="947"/>
      <c r="L860" s="940"/>
      <c r="M860" s="940"/>
    </row>
    <row r="861" spans="1:13" x14ac:dyDescent="0.3">
      <c r="A861" s="946"/>
      <c r="B861" s="948"/>
      <c r="C861" s="935"/>
      <c r="D861" s="936"/>
      <c r="E861" s="937"/>
      <c r="F861" s="949"/>
      <c r="G861" s="938"/>
      <c r="H861" s="940"/>
      <c r="I861" s="939"/>
      <c r="J861" s="940"/>
      <c r="K861" s="947"/>
      <c r="L861" s="940"/>
      <c r="M861" s="940"/>
    </row>
    <row r="862" spans="1:13" x14ac:dyDescent="0.3">
      <c r="A862" s="946"/>
      <c r="B862" s="948"/>
      <c r="C862" s="935"/>
      <c r="D862" s="936"/>
      <c r="E862" s="937"/>
      <c r="F862" s="949"/>
      <c r="G862" s="938"/>
      <c r="H862" s="940"/>
      <c r="I862" s="939"/>
      <c r="J862" s="940"/>
      <c r="K862" s="947"/>
      <c r="L862" s="940"/>
      <c r="M862" s="940"/>
    </row>
    <row r="863" spans="1:13" x14ac:dyDescent="0.3">
      <c r="A863" s="946"/>
      <c r="B863" s="948"/>
      <c r="C863" s="935"/>
      <c r="D863" s="936"/>
      <c r="E863" s="937"/>
      <c r="F863" s="949"/>
      <c r="G863" s="938"/>
      <c r="H863" s="940"/>
      <c r="I863" s="939"/>
      <c r="J863" s="940"/>
      <c r="K863" s="947"/>
      <c r="L863" s="940"/>
      <c r="M863" s="940"/>
    </row>
    <row r="864" spans="1:13" x14ac:dyDescent="0.3">
      <c r="A864" s="946"/>
      <c r="B864" s="948"/>
      <c r="C864" s="935"/>
      <c r="D864" s="936"/>
      <c r="E864" s="937"/>
      <c r="F864" s="949"/>
      <c r="G864" s="938"/>
      <c r="H864" s="940"/>
      <c r="I864" s="939"/>
      <c r="J864" s="940"/>
      <c r="K864" s="947"/>
      <c r="L864" s="940"/>
      <c r="M864" s="940"/>
    </row>
    <row r="865" spans="1:13" x14ac:dyDescent="0.3">
      <c r="A865" s="946"/>
      <c r="B865" s="948"/>
      <c r="C865" s="935"/>
      <c r="D865" s="936"/>
      <c r="E865" s="937"/>
      <c r="F865" s="949"/>
      <c r="G865" s="938"/>
      <c r="H865" s="940"/>
      <c r="I865" s="939"/>
      <c r="J865" s="940"/>
      <c r="K865" s="947"/>
      <c r="L865" s="940"/>
      <c r="M865" s="940"/>
    </row>
    <row r="866" spans="1:13" x14ac:dyDescent="0.3">
      <c r="A866" s="946"/>
      <c r="B866" s="948"/>
      <c r="C866" s="935"/>
      <c r="D866" s="936"/>
      <c r="E866" s="937"/>
      <c r="F866" s="949"/>
      <c r="G866" s="938"/>
      <c r="H866" s="940"/>
      <c r="I866" s="939"/>
      <c r="J866" s="940"/>
      <c r="K866" s="947"/>
      <c r="L866" s="940"/>
      <c r="M866" s="940"/>
    </row>
    <row r="867" spans="1:13" x14ac:dyDescent="0.3">
      <c r="A867" s="946"/>
      <c r="B867" s="948"/>
      <c r="C867" s="935"/>
      <c r="D867" s="936"/>
      <c r="E867" s="937"/>
      <c r="F867" s="949"/>
      <c r="G867" s="938"/>
      <c r="H867" s="940"/>
      <c r="I867" s="939"/>
      <c r="J867" s="940"/>
      <c r="K867" s="947"/>
      <c r="L867" s="940"/>
      <c r="M867" s="940"/>
    </row>
    <row r="868" spans="1:13" x14ac:dyDescent="0.3">
      <c r="A868" s="946"/>
      <c r="B868" s="948"/>
      <c r="C868" s="935"/>
      <c r="D868" s="936"/>
      <c r="E868" s="937"/>
      <c r="F868" s="949"/>
      <c r="G868" s="938"/>
      <c r="H868" s="940"/>
      <c r="I868" s="939"/>
      <c r="J868" s="940"/>
      <c r="K868" s="947"/>
      <c r="L868" s="940"/>
      <c r="M868" s="940"/>
    </row>
    <row r="869" spans="1:13" x14ac:dyDescent="0.3">
      <c r="A869" s="946"/>
      <c r="B869" s="948"/>
      <c r="C869" s="935"/>
      <c r="D869" s="936"/>
      <c r="E869" s="937"/>
      <c r="F869" s="949"/>
      <c r="G869" s="938"/>
      <c r="H869" s="940"/>
      <c r="I869" s="939"/>
      <c r="J869" s="940"/>
      <c r="K869" s="947"/>
      <c r="L869" s="940"/>
      <c r="M869" s="940"/>
    </row>
    <row r="870" spans="1:13" x14ac:dyDescent="0.3">
      <c r="A870" s="946"/>
      <c r="B870" s="948"/>
      <c r="C870" s="935"/>
      <c r="D870" s="936"/>
      <c r="E870" s="937"/>
      <c r="F870" s="949"/>
      <c r="G870" s="938"/>
      <c r="H870" s="940"/>
      <c r="I870" s="939"/>
      <c r="J870" s="940"/>
      <c r="K870" s="947"/>
      <c r="L870" s="940"/>
      <c r="M870" s="940"/>
    </row>
    <row r="871" spans="1:13" x14ac:dyDescent="0.3">
      <c r="A871" s="946"/>
      <c r="B871" s="948"/>
      <c r="C871" s="935"/>
      <c r="D871" s="936"/>
      <c r="E871" s="937"/>
      <c r="F871" s="949"/>
      <c r="G871" s="938"/>
      <c r="H871" s="940"/>
      <c r="I871" s="939"/>
      <c r="J871" s="940"/>
      <c r="K871" s="947"/>
      <c r="L871" s="940"/>
      <c r="M871" s="940"/>
    </row>
    <row r="872" spans="1:13" x14ac:dyDescent="0.3">
      <c r="A872" s="946"/>
      <c r="B872" s="948"/>
      <c r="C872" s="935"/>
      <c r="D872" s="936"/>
      <c r="E872" s="937"/>
      <c r="F872" s="949"/>
      <c r="G872" s="938"/>
      <c r="H872" s="940"/>
      <c r="I872" s="939"/>
      <c r="J872" s="940"/>
      <c r="K872" s="947"/>
      <c r="L872" s="940"/>
      <c r="M872" s="940"/>
    </row>
    <row r="873" spans="1:13" x14ac:dyDescent="0.3">
      <c r="A873" s="946"/>
      <c r="B873" s="948"/>
      <c r="C873" s="935"/>
      <c r="D873" s="936"/>
      <c r="E873" s="937"/>
      <c r="F873" s="949"/>
      <c r="G873" s="938"/>
      <c r="H873" s="940"/>
      <c r="I873" s="939"/>
      <c r="J873" s="940"/>
      <c r="K873" s="947"/>
      <c r="L873" s="940"/>
      <c r="M873" s="940"/>
    </row>
    <row r="874" spans="1:13" x14ac:dyDescent="0.3">
      <c r="A874" s="946"/>
      <c r="B874" s="948"/>
      <c r="C874" s="935"/>
      <c r="D874" s="936"/>
      <c r="E874" s="937"/>
      <c r="F874" s="949"/>
      <c r="G874" s="938"/>
      <c r="H874" s="940"/>
      <c r="I874" s="939"/>
      <c r="J874" s="940"/>
      <c r="K874" s="947"/>
      <c r="L874" s="940"/>
      <c r="M874" s="940"/>
    </row>
    <row r="875" spans="1:13" x14ac:dyDescent="0.3">
      <c r="A875" s="946"/>
      <c r="B875" s="948"/>
      <c r="C875" s="935"/>
      <c r="D875" s="936"/>
      <c r="E875" s="937"/>
      <c r="F875" s="949"/>
      <c r="G875" s="938"/>
      <c r="H875" s="940"/>
      <c r="I875" s="939"/>
      <c r="J875" s="940"/>
      <c r="K875" s="947"/>
      <c r="L875" s="940"/>
      <c r="M875" s="940"/>
    </row>
    <row r="876" spans="1:13" x14ac:dyDescent="0.3">
      <c r="A876" s="946"/>
      <c r="B876" s="948"/>
      <c r="C876" s="935"/>
      <c r="D876" s="936"/>
      <c r="E876" s="937"/>
      <c r="F876" s="949"/>
      <c r="G876" s="938"/>
      <c r="H876" s="940"/>
      <c r="I876" s="939"/>
      <c r="J876" s="940"/>
      <c r="K876" s="947"/>
      <c r="L876" s="940"/>
      <c r="M876" s="940"/>
    </row>
    <row r="877" spans="1:13" x14ac:dyDescent="0.3">
      <c r="A877" s="946"/>
      <c r="B877" s="948"/>
      <c r="C877" s="935"/>
      <c r="D877" s="936"/>
      <c r="E877" s="937"/>
      <c r="F877" s="949"/>
      <c r="G877" s="938"/>
      <c r="H877" s="940"/>
      <c r="I877" s="939"/>
      <c r="J877" s="940"/>
      <c r="K877" s="947"/>
      <c r="L877" s="940"/>
      <c r="M877" s="940"/>
    </row>
    <row r="878" spans="1:13" x14ac:dyDescent="0.3">
      <c r="A878" s="946"/>
      <c r="B878" s="948"/>
      <c r="C878" s="935"/>
      <c r="D878" s="936"/>
      <c r="E878" s="937"/>
      <c r="F878" s="949"/>
      <c r="G878" s="938"/>
      <c r="H878" s="940"/>
      <c r="I878" s="939"/>
      <c r="J878" s="940"/>
      <c r="K878" s="947"/>
      <c r="L878" s="940"/>
      <c r="M878" s="940"/>
    </row>
    <row r="879" spans="1:13" x14ac:dyDescent="0.3">
      <c r="A879" s="946"/>
      <c r="B879" s="948"/>
      <c r="C879" s="935"/>
      <c r="D879" s="936"/>
      <c r="E879" s="937"/>
      <c r="F879" s="949"/>
      <c r="G879" s="938"/>
      <c r="H879" s="940"/>
      <c r="I879" s="939"/>
      <c r="J879" s="940"/>
      <c r="K879" s="947"/>
      <c r="L879" s="940"/>
      <c r="M879" s="940"/>
    </row>
    <row r="880" spans="1:13" x14ac:dyDescent="0.3">
      <c r="A880" s="946"/>
      <c r="B880" s="948"/>
      <c r="C880" s="935"/>
      <c r="D880" s="936"/>
      <c r="E880" s="937"/>
      <c r="F880" s="949"/>
      <c r="G880" s="938"/>
      <c r="H880" s="940"/>
      <c r="I880" s="939"/>
      <c r="J880" s="940"/>
      <c r="K880" s="947"/>
      <c r="L880" s="940"/>
      <c r="M880" s="940"/>
    </row>
    <row r="881" spans="1:13" x14ac:dyDescent="0.3">
      <c r="A881" s="946"/>
      <c r="B881" s="948"/>
      <c r="C881" s="935"/>
      <c r="D881" s="936"/>
      <c r="E881" s="937"/>
      <c r="F881" s="949"/>
      <c r="G881" s="938"/>
      <c r="H881" s="940"/>
      <c r="I881" s="939"/>
      <c r="J881" s="940"/>
      <c r="K881" s="947"/>
      <c r="L881" s="940"/>
      <c r="M881" s="940"/>
    </row>
    <row r="882" spans="1:13" x14ac:dyDescent="0.3">
      <c r="A882" s="946"/>
      <c r="B882" s="948"/>
      <c r="C882" s="935"/>
      <c r="D882" s="936"/>
      <c r="E882" s="937"/>
      <c r="F882" s="949"/>
      <c r="G882" s="938"/>
      <c r="H882" s="940"/>
      <c r="I882" s="939"/>
      <c r="J882" s="940"/>
      <c r="K882" s="947"/>
      <c r="L882" s="940"/>
      <c r="M882" s="940"/>
    </row>
    <row r="883" spans="1:13" x14ac:dyDescent="0.3">
      <c r="A883" s="946"/>
      <c r="B883" s="948"/>
      <c r="C883" s="935"/>
      <c r="D883" s="936"/>
      <c r="E883" s="937"/>
      <c r="F883" s="949"/>
      <c r="G883" s="938"/>
      <c r="H883" s="940"/>
      <c r="I883" s="939"/>
      <c r="J883" s="940"/>
      <c r="K883" s="947"/>
      <c r="L883" s="940"/>
      <c r="M883" s="940"/>
    </row>
    <row r="884" spans="1:13" x14ac:dyDescent="0.3">
      <c r="A884" s="946"/>
      <c r="B884" s="948"/>
      <c r="C884" s="935"/>
      <c r="D884" s="936"/>
      <c r="E884" s="937"/>
      <c r="F884" s="949"/>
      <c r="G884" s="938"/>
      <c r="H884" s="940"/>
      <c r="I884" s="939"/>
      <c r="J884" s="940"/>
      <c r="K884" s="947"/>
      <c r="L884" s="940"/>
      <c r="M884" s="940"/>
    </row>
    <row r="885" spans="1:13" x14ac:dyDescent="0.3">
      <c r="A885" s="946"/>
      <c r="B885" s="948"/>
      <c r="C885" s="935"/>
      <c r="D885" s="936"/>
      <c r="E885" s="937"/>
      <c r="F885" s="949"/>
      <c r="G885" s="938"/>
      <c r="H885" s="940"/>
      <c r="I885" s="939"/>
      <c r="J885" s="940"/>
      <c r="K885" s="947"/>
      <c r="L885" s="940"/>
      <c r="M885" s="940"/>
    </row>
    <row r="886" spans="1:13" x14ac:dyDescent="0.3">
      <c r="A886" s="946"/>
      <c r="B886" s="948"/>
      <c r="C886" s="935"/>
      <c r="D886" s="936"/>
      <c r="E886" s="937"/>
      <c r="F886" s="949"/>
      <c r="G886" s="938"/>
      <c r="H886" s="940"/>
      <c r="I886" s="939"/>
      <c r="J886" s="940"/>
      <c r="K886" s="947"/>
      <c r="L886" s="940"/>
      <c r="M886" s="940"/>
    </row>
    <row r="887" spans="1:13" x14ac:dyDescent="0.3">
      <c r="A887" s="946"/>
      <c r="B887" s="948"/>
      <c r="C887" s="935"/>
      <c r="D887" s="936"/>
      <c r="E887" s="937"/>
      <c r="F887" s="949"/>
      <c r="G887" s="938"/>
      <c r="H887" s="940"/>
      <c r="I887" s="939"/>
      <c r="J887" s="940"/>
      <c r="K887" s="947"/>
      <c r="L887" s="940"/>
      <c r="M887" s="940"/>
    </row>
    <row r="888" spans="1:13" x14ac:dyDescent="0.3">
      <c r="A888" s="946"/>
      <c r="B888" s="948"/>
      <c r="C888" s="935"/>
      <c r="D888" s="936"/>
      <c r="E888" s="937"/>
      <c r="F888" s="949"/>
      <c r="G888" s="938"/>
      <c r="H888" s="940"/>
      <c r="I888" s="939"/>
      <c r="J888" s="940"/>
      <c r="K888" s="947"/>
      <c r="L888" s="940"/>
      <c r="M888" s="940"/>
    </row>
    <row r="889" spans="1:13" x14ac:dyDescent="0.3">
      <c r="A889" s="946"/>
      <c r="B889" s="948"/>
      <c r="C889" s="935"/>
      <c r="D889" s="936"/>
      <c r="E889" s="937"/>
      <c r="F889" s="949"/>
      <c r="G889" s="938"/>
      <c r="H889" s="940"/>
      <c r="I889" s="939"/>
      <c r="J889" s="940"/>
      <c r="K889" s="947"/>
      <c r="L889" s="940"/>
      <c r="M889" s="940"/>
    </row>
    <row r="890" spans="1:13" x14ac:dyDescent="0.3">
      <c r="A890" s="946"/>
      <c r="B890" s="948"/>
      <c r="C890" s="935"/>
      <c r="D890" s="936"/>
      <c r="E890" s="937"/>
      <c r="F890" s="949"/>
      <c r="G890" s="938"/>
      <c r="H890" s="940"/>
      <c r="I890" s="939"/>
      <c r="J890" s="940"/>
      <c r="K890" s="947"/>
      <c r="L890" s="940"/>
      <c r="M890" s="940"/>
    </row>
    <row r="891" spans="1:13" x14ac:dyDescent="0.3">
      <c r="A891" s="946"/>
      <c r="B891" s="948"/>
      <c r="C891" s="935"/>
      <c r="D891" s="936"/>
      <c r="E891" s="937"/>
      <c r="F891" s="949"/>
      <c r="G891" s="938"/>
      <c r="H891" s="940"/>
      <c r="I891" s="939"/>
      <c r="J891" s="940"/>
      <c r="K891" s="947"/>
      <c r="L891" s="940"/>
      <c r="M891" s="940"/>
    </row>
    <row r="892" spans="1:13" x14ac:dyDescent="0.3">
      <c r="A892" s="946"/>
      <c r="B892" s="948"/>
      <c r="C892" s="935"/>
      <c r="D892" s="936"/>
      <c r="E892" s="937"/>
      <c r="F892" s="949"/>
      <c r="G892" s="938"/>
      <c r="H892" s="940"/>
      <c r="I892" s="939"/>
      <c r="J892" s="940"/>
      <c r="K892" s="947"/>
      <c r="L892" s="940"/>
      <c r="M892" s="940"/>
    </row>
    <row r="893" spans="1:13" x14ac:dyDescent="0.3">
      <c r="A893" s="946"/>
      <c r="B893" s="948"/>
      <c r="C893" s="935"/>
      <c r="D893" s="936"/>
      <c r="E893" s="937"/>
      <c r="F893" s="949"/>
      <c r="G893" s="938"/>
      <c r="H893" s="940"/>
      <c r="I893" s="939"/>
      <c r="J893" s="940"/>
      <c r="K893" s="947"/>
      <c r="L893" s="940"/>
      <c r="M893" s="940"/>
    </row>
    <row r="894" spans="1:13" x14ac:dyDescent="0.3">
      <c r="A894" s="946"/>
      <c r="B894" s="948"/>
      <c r="C894" s="935"/>
      <c r="D894" s="936"/>
      <c r="E894" s="937"/>
      <c r="F894" s="949"/>
      <c r="G894" s="938"/>
      <c r="H894" s="940"/>
      <c r="I894" s="939"/>
      <c r="J894" s="940"/>
      <c r="K894" s="947"/>
      <c r="L894" s="940"/>
      <c r="M894" s="940"/>
    </row>
    <row r="895" spans="1:13" x14ac:dyDescent="0.3">
      <c r="A895" s="946"/>
      <c r="B895" s="948"/>
      <c r="C895" s="935"/>
      <c r="D895" s="936"/>
      <c r="E895" s="937"/>
      <c r="F895" s="949"/>
      <c r="G895" s="938"/>
      <c r="H895" s="940"/>
      <c r="I895" s="939"/>
      <c r="J895" s="940"/>
      <c r="K895" s="947"/>
      <c r="L895" s="940"/>
      <c r="M895" s="940"/>
    </row>
    <row r="896" spans="1:13" x14ac:dyDescent="0.3">
      <c r="A896" s="946"/>
      <c r="B896" s="948"/>
      <c r="C896" s="935"/>
      <c r="D896" s="936"/>
      <c r="E896" s="937"/>
      <c r="F896" s="949"/>
      <c r="G896" s="938"/>
      <c r="H896" s="940"/>
      <c r="I896" s="939"/>
      <c r="J896" s="940"/>
      <c r="K896" s="947"/>
      <c r="L896" s="940"/>
      <c r="M896" s="940"/>
    </row>
    <row r="897" spans="1:13" x14ac:dyDescent="0.3">
      <c r="A897" s="946"/>
      <c r="B897" s="948"/>
      <c r="C897" s="935"/>
      <c r="D897" s="936"/>
      <c r="E897" s="937"/>
      <c r="F897" s="949"/>
      <c r="G897" s="938"/>
      <c r="H897" s="940"/>
      <c r="I897" s="939"/>
      <c r="J897" s="940"/>
      <c r="K897" s="947"/>
      <c r="L897" s="940"/>
      <c r="M897" s="940"/>
    </row>
    <row r="898" spans="1:13" x14ac:dyDescent="0.3">
      <c r="A898" s="946"/>
      <c r="B898" s="948"/>
      <c r="C898" s="935"/>
      <c r="D898" s="936"/>
      <c r="E898" s="937"/>
      <c r="F898" s="949"/>
      <c r="G898" s="938"/>
      <c r="H898" s="940"/>
      <c r="I898" s="939"/>
      <c r="J898" s="940"/>
      <c r="K898" s="947"/>
      <c r="L898" s="940"/>
      <c r="M898" s="940"/>
    </row>
    <row r="899" spans="1:13" x14ac:dyDescent="0.3">
      <c r="A899" s="946"/>
      <c r="B899" s="948"/>
      <c r="C899" s="935"/>
      <c r="D899" s="936"/>
      <c r="E899" s="937"/>
      <c r="F899" s="949"/>
      <c r="G899" s="938"/>
      <c r="H899" s="940"/>
      <c r="I899" s="939"/>
      <c r="J899" s="940"/>
      <c r="K899" s="947"/>
      <c r="L899" s="940"/>
      <c r="M899" s="940"/>
    </row>
    <row r="900" spans="1:13" x14ac:dyDescent="0.3">
      <c r="A900" s="946"/>
      <c r="B900" s="948"/>
      <c r="C900" s="935"/>
      <c r="D900" s="936"/>
      <c r="E900" s="937"/>
      <c r="F900" s="949"/>
      <c r="G900" s="938"/>
      <c r="H900" s="940"/>
      <c r="I900" s="939"/>
      <c r="J900" s="940"/>
      <c r="K900" s="947"/>
      <c r="L900" s="940"/>
      <c r="M900" s="940"/>
    </row>
    <row r="901" spans="1:13" x14ac:dyDescent="0.3">
      <c r="A901" s="946"/>
      <c r="B901" s="948"/>
      <c r="C901" s="935"/>
      <c r="D901" s="936"/>
      <c r="E901" s="937"/>
      <c r="F901" s="949"/>
      <c r="G901" s="938"/>
      <c r="H901" s="940"/>
      <c r="I901" s="939"/>
      <c r="J901" s="940"/>
      <c r="K901" s="947"/>
      <c r="L901" s="940"/>
      <c r="M901" s="940"/>
    </row>
    <row r="902" spans="1:13" x14ac:dyDescent="0.3">
      <c r="A902" s="946"/>
      <c r="B902" s="948"/>
      <c r="C902" s="935"/>
      <c r="D902" s="936"/>
      <c r="E902" s="937"/>
      <c r="F902" s="949"/>
      <c r="G902" s="938"/>
      <c r="H902" s="940"/>
      <c r="I902" s="939"/>
      <c r="J902" s="940"/>
      <c r="K902" s="947"/>
      <c r="L902" s="940"/>
      <c r="M902" s="940"/>
    </row>
    <row r="903" spans="1:13" x14ac:dyDescent="0.3">
      <c r="A903" s="946"/>
      <c r="B903" s="948"/>
      <c r="C903" s="935"/>
      <c r="D903" s="936"/>
      <c r="E903" s="937"/>
      <c r="F903" s="949"/>
      <c r="G903" s="938"/>
      <c r="H903" s="940"/>
      <c r="I903" s="939"/>
      <c r="J903" s="940"/>
      <c r="K903" s="947"/>
      <c r="L903" s="940"/>
      <c r="M903" s="940"/>
    </row>
    <row r="904" spans="1:13" x14ac:dyDescent="0.3">
      <c r="A904" s="946"/>
      <c r="B904" s="948"/>
      <c r="C904" s="935"/>
      <c r="D904" s="936"/>
      <c r="E904" s="937"/>
      <c r="F904" s="949"/>
      <c r="G904" s="938"/>
      <c r="H904" s="940"/>
      <c r="I904" s="939"/>
      <c r="J904" s="940"/>
      <c r="K904" s="947"/>
      <c r="L904" s="940"/>
      <c r="M904" s="940"/>
    </row>
    <row r="905" spans="1:13" x14ac:dyDescent="0.3">
      <c r="A905" s="946"/>
      <c r="B905" s="948"/>
      <c r="C905" s="935"/>
      <c r="D905" s="936"/>
      <c r="E905" s="937"/>
      <c r="F905" s="949"/>
      <c r="G905" s="938"/>
      <c r="H905" s="940"/>
      <c r="I905" s="939"/>
      <c r="J905" s="940"/>
      <c r="K905" s="947"/>
      <c r="L905" s="940"/>
      <c r="M905" s="940"/>
    </row>
    <row r="906" spans="1:13" x14ac:dyDescent="0.3">
      <c r="A906" s="946"/>
      <c r="B906" s="948"/>
      <c r="C906" s="935"/>
      <c r="D906" s="936"/>
      <c r="E906" s="937"/>
      <c r="F906" s="949"/>
      <c r="G906" s="938"/>
      <c r="H906" s="940"/>
      <c r="I906" s="939"/>
      <c r="J906" s="940"/>
      <c r="K906" s="947"/>
      <c r="L906" s="940"/>
      <c r="M906" s="940"/>
    </row>
    <row r="907" spans="1:13" x14ac:dyDescent="0.3">
      <c r="A907" s="946"/>
      <c r="B907" s="948"/>
      <c r="C907" s="935"/>
      <c r="D907" s="936"/>
      <c r="E907" s="937"/>
      <c r="F907" s="949"/>
      <c r="G907" s="938"/>
      <c r="H907" s="940"/>
      <c r="I907" s="939"/>
      <c r="J907" s="940"/>
      <c r="K907" s="947"/>
      <c r="L907" s="940"/>
      <c r="M907" s="940"/>
    </row>
    <row r="908" spans="1:13" x14ac:dyDescent="0.3">
      <c r="A908" s="946"/>
      <c r="B908" s="948"/>
      <c r="C908" s="935"/>
      <c r="D908" s="936"/>
      <c r="E908" s="937"/>
      <c r="F908" s="949"/>
      <c r="G908" s="938"/>
      <c r="H908" s="940"/>
      <c r="I908" s="939"/>
      <c r="J908" s="940"/>
      <c r="K908" s="947"/>
      <c r="L908" s="940"/>
      <c r="M908" s="940"/>
    </row>
    <row r="909" spans="1:13" x14ac:dyDescent="0.3">
      <c r="A909" s="946"/>
      <c r="B909" s="948"/>
      <c r="C909" s="935"/>
      <c r="D909" s="936"/>
      <c r="E909" s="937"/>
      <c r="F909" s="949"/>
      <c r="G909" s="938"/>
      <c r="H909" s="940"/>
      <c r="I909" s="939"/>
      <c r="J909" s="940"/>
      <c r="K909" s="947"/>
      <c r="L909" s="940"/>
      <c r="M909" s="940"/>
    </row>
    <row r="910" spans="1:13" x14ac:dyDescent="0.3">
      <c r="A910" s="946"/>
      <c r="B910" s="948"/>
      <c r="C910" s="935"/>
      <c r="D910" s="936"/>
      <c r="E910" s="937"/>
      <c r="F910" s="949"/>
      <c r="G910" s="938"/>
      <c r="H910" s="940"/>
      <c r="I910" s="939"/>
      <c r="J910" s="940"/>
      <c r="K910" s="947"/>
      <c r="L910" s="940"/>
      <c r="M910" s="940"/>
    </row>
    <row r="911" spans="1:13" x14ac:dyDescent="0.3">
      <c r="A911" s="946"/>
      <c r="B911" s="948"/>
      <c r="C911" s="935"/>
      <c r="D911" s="936"/>
      <c r="E911" s="937"/>
      <c r="F911" s="949"/>
      <c r="G911" s="938"/>
      <c r="H911" s="940"/>
      <c r="I911" s="939"/>
      <c r="J911" s="940"/>
      <c r="K911" s="947"/>
      <c r="L911" s="940"/>
      <c r="M911" s="940"/>
    </row>
    <row r="912" spans="1:13" x14ac:dyDescent="0.3">
      <c r="A912" s="946"/>
      <c r="B912" s="948"/>
      <c r="C912" s="935"/>
      <c r="D912" s="936"/>
      <c r="E912" s="937"/>
      <c r="F912" s="949"/>
      <c r="G912" s="938"/>
      <c r="H912" s="940"/>
      <c r="I912" s="939"/>
      <c r="J912" s="940"/>
      <c r="K912" s="947"/>
      <c r="L912" s="940"/>
      <c r="M912" s="940"/>
    </row>
    <row r="913" spans="1:13" x14ac:dyDescent="0.3">
      <c r="A913" s="946"/>
      <c r="B913" s="948"/>
      <c r="C913" s="935"/>
      <c r="D913" s="936"/>
      <c r="E913" s="937"/>
      <c r="F913" s="949"/>
      <c r="G913" s="938"/>
      <c r="H913" s="940"/>
      <c r="I913" s="939"/>
      <c r="J913" s="940"/>
      <c r="K913" s="947"/>
      <c r="L913" s="940"/>
      <c r="M913" s="940"/>
    </row>
    <row r="914" spans="1:13" x14ac:dyDescent="0.3">
      <c r="A914" s="946"/>
      <c r="B914" s="948"/>
      <c r="C914" s="935"/>
      <c r="D914" s="936"/>
      <c r="E914" s="937"/>
      <c r="F914" s="949"/>
      <c r="G914" s="938"/>
      <c r="H914" s="940"/>
      <c r="I914" s="939"/>
      <c r="J914" s="940"/>
      <c r="K914" s="947"/>
      <c r="L914" s="940"/>
      <c r="M914" s="940"/>
    </row>
    <row r="915" spans="1:13" x14ac:dyDescent="0.3">
      <c r="A915" s="946"/>
      <c r="B915" s="948"/>
      <c r="C915" s="935"/>
      <c r="D915" s="936"/>
      <c r="E915" s="937"/>
      <c r="F915" s="949"/>
      <c r="G915" s="938"/>
      <c r="H915" s="940"/>
      <c r="I915" s="939"/>
      <c r="J915" s="940"/>
      <c r="K915" s="947"/>
      <c r="L915" s="940"/>
      <c r="M915" s="940"/>
    </row>
    <row r="916" spans="1:13" x14ac:dyDescent="0.3">
      <c r="A916" s="946"/>
      <c r="B916" s="948"/>
      <c r="C916" s="935"/>
      <c r="D916" s="936"/>
      <c r="E916" s="937"/>
      <c r="F916" s="949"/>
      <c r="G916" s="938"/>
      <c r="H916" s="940"/>
      <c r="I916" s="939"/>
      <c r="J916" s="940"/>
      <c r="K916" s="947"/>
      <c r="L916" s="940"/>
      <c r="M916" s="940"/>
    </row>
    <row r="917" spans="1:13" x14ac:dyDescent="0.3">
      <c r="A917" s="946"/>
      <c r="B917" s="948"/>
      <c r="C917" s="935"/>
      <c r="D917" s="936"/>
      <c r="E917" s="937"/>
      <c r="F917" s="949"/>
      <c r="G917" s="938"/>
      <c r="H917" s="940"/>
      <c r="I917" s="939"/>
      <c r="J917" s="940"/>
      <c r="K917" s="947"/>
      <c r="L917" s="940"/>
      <c r="M917" s="940"/>
    </row>
    <row r="918" spans="1:13" x14ac:dyDescent="0.3">
      <c r="A918" s="946"/>
      <c r="B918" s="948"/>
      <c r="C918" s="935"/>
      <c r="D918" s="936"/>
      <c r="E918" s="937"/>
      <c r="F918" s="949"/>
      <c r="G918" s="938"/>
      <c r="H918" s="940"/>
      <c r="I918" s="939"/>
      <c r="J918" s="940"/>
      <c r="K918" s="947"/>
      <c r="L918" s="940"/>
      <c r="M918" s="940"/>
    </row>
    <row r="919" spans="1:13" x14ac:dyDescent="0.3">
      <c r="A919" s="946"/>
      <c r="B919" s="948"/>
      <c r="C919" s="935"/>
      <c r="D919" s="936"/>
      <c r="E919" s="937"/>
      <c r="F919" s="949"/>
      <c r="G919" s="938"/>
      <c r="H919" s="940"/>
      <c r="I919" s="939"/>
      <c r="J919" s="940"/>
      <c r="K919" s="947"/>
      <c r="L919" s="940"/>
      <c r="M919" s="940"/>
    </row>
    <row r="920" spans="1:13" x14ac:dyDescent="0.3">
      <c r="A920" s="946"/>
      <c r="B920" s="948"/>
      <c r="C920" s="935"/>
      <c r="D920" s="936"/>
      <c r="E920" s="937"/>
      <c r="F920" s="949"/>
      <c r="G920" s="938"/>
      <c r="H920" s="940"/>
      <c r="I920" s="939"/>
      <c r="J920" s="940"/>
      <c r="K920" s="947"/>
      <c r="L920" s="940"/>
      <c r="M920" s="940"/>
    </row>
    <row r="921" spans="1:13" x14ac:dyDescent="0.3">
      <c r="A921" s="946"/>
      <c r="B921" s="948"/>
      <c r="C921" s="935"/>
      <c r="D921" s="936"/>
      <c r="E921" s="937"/>
      <c r="F921" s="949"/>
      <c r="G921" s="938"/>
      <c r="H921" s="940"/>
      <c r="I921" s="939"/>
      <c r="J921" s="940"/>
      <c r="K921" s="947"/>
      <c r="L921" s="940"/>
      <c r="M921" s="940"/>
    </row>
    <row r="922" spans="1:13" x14ac:dyDescent="0.3">
      <c r="A922" s="946"/>
      <c r="B922" s="948"/>
      <c r="C922" s="935"/>
      <c r="D922" s="936"/>
      <c r="E922" s="937"/>
      <c r="F922" s="949"/>
      <c r="G922" s="938"/>
      <c r="H922" s="940"/>
      <c r="I922" s="939"/>
      <c r="J922" s="940"/>
      <c r="K922" s="947"/>
      <c r="L922" s="940"/>
      <c r="M922" s="940"/>
    </row>
    <row r="923" spans="1:13" x14ac:dyDescent="0.3">
      <c r="A923" s="946"/>
      <c r="B923" s="948"/>
      <c r="C923" s="935"/>
      <c r="D923" s="936"/>
      <c r="E923" s="937"/>
      <c r="F923" s="949"/>
      <c r="G923" s="938"/>
      <c r="H923" s="940"/>
      <c r="I923" s="939"/>
      <c r="J923" s="940"/>
      <c r="K923" s="947"/>
      <c r="L923" s="940"/>
      <c r="M923" s="940"/>
    </row>
    <row r="924" spans="1:13" x14ac:dyDescent="0.3">
      <c r="A924" s="946"/>
      <c r="B924" s="948"/>
      <c r="C924" s="935"/>
      <c r="D924" s="936"/>
      <c r="E924" s="937"/>
      <c r="F924" s="949"/>
      <c r="G924" s="938"/>
      <c r="H924" s="940"/>
      <c r="I924" s="939"/>
      <c r="J924" s="940"/>
      <c r="K924" s="947"/>
      <c r="L924" s="940"/>
      <c r="M924" s="940"/>
    </row>
    <row r="925" spans="1:13" x14ac:dyDescent="0.3">
      <c r="A925" s="946"/>
      <c r="B925" s="948"/>
      <c r="C925" s="935"/>
      <c r="D925" s="936"/>
      <c r="E925" s="937"/>
      <c r="F925" s="949"/>
      <c r="G925" s="938"/>
      <c r="H925" s="940"/>
      <c r="I925" s="939"/>
      <c r="J925" s="940"/>
      <c r="K925" s="947"/>
      <c r="L925" s="940"/>
      <c r="M925" s="940"/>
    </row>
    <row r="926" spans="1:13" x14ac:dyDescent="0.3">
      <c r="A926" s="946"/>
      <c r="B926" s="948"/>
      <c r="C926" s="935"/>
      <c r="D926" s="936"/>
      <c r="E926" s="937"/>
      <c r="F926" s="949"/>
      <c r="G926" s="938"/>
      <c r="H926" s="940"/>
      <c r="I926" s="939"/>
      <c r="J926" s="940"/>
      <c r="K926" s="947"/>
      <c r="L926" s="940"/>
      <c r="M926" s="940"/>
    </row>
    <row r="927" spans="1:13" x14ac:dyDescent="0.3">
      <c r="A927" s="946"/>
      <c r="B927" s="948"/>
      <c r="C927" s="935"/>
      <c r="D927" s="936"/>
      <c r="E927" s="937"/>
      <c r="F927" s="949"/>
      <c r="G927" s="938"/>
      <c r="H927" s="940"/>
      <c r="I927" s="939"/>
      <c r="J927" s="940"/>
      <c r="K927" s="947"/>
      <c r="L927" s="940"/>
      <c r="M927" s="940"/>
    </row>
    <row r="928" spans="1:13" x14ac:dyDescent="0.3">
      <c r="A928" s="946"/>
      <c r="B928" s="948"/>
      <c r="C928" s="935"/>
      <c r="D928" s="936"/>
      <c r="E928" s="937"/>
      <c r="F928" s="949"/>
      <c r="G928" s="938"/>
      <c r="H928" s="940"/>
      <c r="I928" s="939"/>
      <c r="J928" s="940"/>
      <c r="K928" s="947"/>
      <c r="L928" s="940"/>
      <c r="M928" s="940"/>
    </row>
    <row r="929" spans="1:13" x14ac:dyDescent="0.3">
      <c r="A929" s="946"/>
      <c r="B929" s="948"/>
      <c r="C929" s="935"/>
      <c r="D929" s="936"/>
      <c r="E929" s="937"/>
      <c r="F929" s="949"/>
      <c r="G929" s="938"/>
      <c r="H929" s="940"/>
      <c r="I929" s="939"/>
      <c r="J929" s="940"/>
      <c r="K929" s="947"/>
      <c r="L929" s="940"/>
      <c r="M929" s="940"/>
    </row>
    <row r="930" spans="1:13" x14ac:dyDescent="0.3">
      <c r="A930" s="946"/>
      <c r="B930" s="948"/>
      <c r="C930" s="935"/>
      <c r="D930" s="936"/>
      <c r="E930" s="937"/>
      <c r="F930" s="949"/>
      <c r="G930" s="938"/>
      <c r="H930" s="940"/>
      <c r="I930" s="939"/>
      <c r="J930" s="940"/>
      <c r="K930" s="947"/>
      <c r="L930" s="940"/>
      <c r="M930" s="940"/>
    </row>
    <row r="931" spans="1:13" x14ac:dyDescent="0.3">
      <c r="A931" s="946"/>
      <c r="B931" s="948"/>
      <c r="C931" s="935"/>
      <c r="D931" s="936"/>
      <c r="E931" s="937"/>
      <c r="F931" s="949"/>
      <c r="G931" s="938"/>
      <c r="H931" s="940"/>
      <c r="I931" s="939"/>
      <c r="J931" s="940"/>
      <c r="K931" s="947"/>
      <c r="L931" s="940"/>
      <c r="M931" s="940"/>
    </row>
    <row r="932" spans="1:13" x14ac:dyDescent="0.3">
      <c r="A932" s="946"/>
      <c r="B932" s="948"/>
      <c r="C932" s="935"/>
      <c r="D932" s="936"/>
      <c r="E932" s="937"/>
      <c r="F932" s="949"/>
      <c r="G932" s="938"/>
      <c r="H932" s="940"/>
      <c r="I932" s="939"/>
      <c r="J932" s="940"/>
      <c r="K932" s="947"/>
      <c r="L932" s="940"/>
      <c r="M932" s="940"/>
    </row>
    <row r="933" spans="1:13" x14ac:dyDescent="0.3">
      <c r="A933" s="946"/>
      <c r="B933" s="948"/>
      <c r="C933" s="935"/>
      <c r="D933" s="936"/>
      <c r="E933" s="937"/>
      <c r="F933" s="949"/>
      <c r="G933" s="938"/>
      <c r="H933" s="940"/>
      <c r="I933" s="939"/>
      <c r="J933" s="940"/>
      <c r="K933" s="947"/>
      <c r="L933" s="940"/>
      <c r="M933" s="940"/>
    </row>
    <row r="934" spans="1:13" x14ac:dyDescent="0.3">
      <c r="A934" s="946"/>
      <c r="B934" s="948"/>
      <c r="C934" s="935"/>
      <c r="D934" s="936"/>
      <c r="E934" s="937"/>
      <c r="F934" s="949"/>
      <c r="G934" s="938"/>
      <c r="H934" s="940"/>
      <c r="I934" s="939"/>
      <c r="J934" s="940"/>
      <c r="K934" s="947"/>
      <c r="L934" s="940"/>
      <c r="M934" s="940"/>
    </row>
    <row r="935" spans="1:13" x14ac:dyDescent="0.3">
      <c r="A935" s="946"/>
      <c r="B935" s="948"/>
      <c r="C935" s="935"/>
      <c r="D935" s="936"/>
      <c r="E935" s="937"/>
      <c r="F935" s="949"/>
      <c r="G935" s="938"/>
      <c r="H935" s="940"/>
      <c r="I935" s="939"/>
      <c r="J935" s="940"/>
      <c r="K935" s="947"/>
      <c r="L935" s="940"/>
      <c r="M935" s="940"/>
    </row>
    <row r="936" spans="1:13" x14ac:dyDescent="0.3">
      <c r="A936" s="946"/>
      <c r="B936" s="948"/>
      <c r="C936" s="935"/>
      <c r="D936" s="936"/>
      <c r="E936" s="937"/>
      <c r="F936" s="949"/>
      <c r="G936" s="938"/>
      <c r="H936" s="940"/>
      <c r="I936" s="939"/>
      <c r="J936" s="940"/>
      <c r="K936" s="947"/>
      <c r="L936" s="940"/>
      <c r="M936" s="940"/>
    </row>
    <row r="937" spans="1:13" x14ac:dyDescent="0.3">
      <c r="A937" s="946"/>
      <c r="B937" s="948"/>
      <c r="C937" s="935"/>
      <c r="D937" s="936"/>
      <c r="E937" s="937"/>
      <c r="F937" s="949"/>
      <c r="G937" s="938"/>
      <c r="H937" s="940"/>
      <c r="I937" s="939"/>
      <c r="J937" s="940"/>
      <c r="K937" s="947"/>
      <c r="L937" s="940"/>
      <c r="M937" s="940"/>
    </row>
    <row r="938" spans="1:13" x14ac:dyDescent="0.3">
      <c r="A938" s="946"/>
      <c r="B938" s="948"/>
      <c r="C938" s="935"/>
      <c r="D938" s="936"/>
      <c r="E938" s="937"/>
      <c r="F938" s="949"/>
      <c r="G938" s="938"/>
      <c r="H938" s="940"/>
      <c r="I938" s="939"/>
      <c r="J938" s="940"/>
      <c r="K938" s="947"/>
      <c r="L938" s="940"/>
      <c r="M938" s="940"/>
    </row>
    <row r="939" spans="1:13" x14ac:dyDescent="0.3">
      <c r="A939" s="946"/>
      <c r="B939" s="948"/>
      <c r="C939" s="935"/>
      <c r="D939" s="936"/>
      <c r="E939" s="937"/>
      <c r="F939" s="949"/>
      <c r="G939" s="938"/>
      <c r="H939" s="940"/>
      <c r="I939" s="939"/>
      <c r="J939" s="940"/>
      <c r="K939" s="947"/>
      <c r="L939" s="940"/>
      <c r="M939" s="940"/>
    </row>
    <row r="940" spans="1:13" x14ac:dyDescent="0.3">
      <c r="A940" s="946"/>
      <c r="B940" s="948"/>
      <c r="C940" s="935"/>
      <c r="D940" s="936"/>
      <c r="E940" s="937"/>
      <c r="F940" s="949"/>
      <c r="G940" s="938"/>
      <c r="H940" s="940"/>
      <c r="I940" s="939"/>
      <c r="J940" s="940"/>
      <c r="K940" s="947"/>
      <c r="L940" s="940"/>
      <c r="M940" s="940"/>
    </row>
    <row r="941" spans="1:13" x14ac:dyDescent="0.3">
      <c r="A941" s="946"/>
      <c r="B941" s="948"/>
      <c r="C941" s="935"/>
      <c r="D941" s="936"/>
      <c r="E941" s="937"/>
      <c r="F941" s="949"/>
      <c r="G941" s="938"/>
      <c r="H941" s="940"/>
      <c r="I941" s="939"/>
      <c r="J941" s="940"/>
      <c r="K941" s="947"/>
      <c r="L941" s="940"/>
      <c r="M941" s="940"/>
    </row>
  </sheetData>
  <autoFilter ref="A2:P441">
    <filterColumn colId="8">
      <filters>
        <dateGroupItem year="2017" month="10" dateTimeGrouping="month"/>
        <dateGroupItem year="2017" month="11" dateTimeGrouping="month"/>
      </filters>
    </filterColumn>
    <filterColumn colId="13" showButton="0"/>
  </autoFilter>
  <mergeCells count="2">
    <mergeCell ref="N2:O2"/>
    <mergeCell ref="A1:P1"/>
  </mergeCells>
  <conditionalFormatting sqref="F3:F1048576">
    <cfRule type="duplicateValues" dxfId="14" priority="807"/>
  </conditionalFormatting>
  <conditionalFormatting sqref="H2:J2 H244:J308 H309:I309 H310:J1048576">
    <cfRule type="cellIs" dxfId="13" priority="7" operator="between">
      <formula>63</formula>
      <formula>70</formula>
    </cfRule>
    <cfRule type="cellIs" dxfId="12" priority="8" operator="equal">
      <formula>40</formula>
    </cfRule>
    <cfRule type="cellIs" dxfId="11" priority="9" operator="equal">
      <formula>30</formula>
    </cfRule>
  </conditionalFormatting>
  <conditionalFormatting sqref="K499:K1048576">
    <cfRule type="timePeriod" dxfId="10" priority="5" timePeriod="today">
      <formula>FLOOR(K499,1)=TODAY()</formula>
    </cfRule>
  </conditionalFormatting>
  <conditionalFormatting sqref="M3:M1048576">
    <cfRule type="cellIs" dxfId="9" priority="4" operator="between">
      <formula>0</formula>
      <formula>7</formula>
    </cfRule>
  </conditionalFormatting>
  <conditionalFormatting sqref="L3:L1048576">
    <cfRule type="cellIs" dxfId="8" priority="1" operator="greaterThan">
      <formula>6</formula>
    </cfRule>
    <cfRule type="cellIs" dxfId="7" priority="2" operator="lessThan">
      <formula>0</formula>
    </cfRule>
    <cfRule type="cellIs" dxfId="6" priority="3" operator="between">
      <formula>0</formula>
      <formula>6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L30"/>
  <sheetViews>
    <sheetView topLeftCell="A10" workbookViewId="0">
      <selection activeCell="A15" sqref="A15:L15"/>
    </sheetView>
  </sheetViews>
  <sheetFormatPr defaultRowHeight="12.75" x14ac:dyDescent="0.2"/>
  <cols>
    <col min="1" max="1" width="9.140625" customWidth="1"/>
  </cols>
  <sheetData>
    <row r="1" spans="1:12" s="140" customFormat="1" ht="30" customHeight="1" thickBot="1" x14ac:dyDescent="0.35">
      <c r="A1" s="1103" t="s">
        <v>2045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</row>
    <row r="2" spans="1:12" ht="13.5" thickBot="1" x14ac:dyDescent="0.25">
      <c r="A2" s="142"/>
      <c r="B2" s="1115">
        <f ca="1">TODAY()</f>
        <v>43134</v>
      </c>
      <c r="C2" s="1116"/>
      <c r="D2" s="1116"/>
      <c r="E2" s="1116"/>
      <c r="F2" s="1116"/>
      <c r="G2" s="1116"/>
      <c r="H2" s="1116"/>
      <c r="I2" s="1116"/>
      <c r="J2" s="1116"/>
      <c r="K2" s="1117"/>
      <c r="L2" s="143"/>
    </row>
    <row r="3" spans="1:12" s="141" customFormat="1" ht="20.100000000000001" customHeight="1" thickBot="1" x14ac:dyDescent="0.25">
      <c r="A3" s="1104" t="s">
        <v>2046</v>
      </c>
      <c r="B3" s="1105"/>
      <c r="C3" s="1105"/>
      <c r="D3" s="1105"/>
      <c r="E3" s="1105"/>
      <c r="F3" s="1105"/>
      <c r="G3" s="1105"/>
      <c r="H3" s="1105"/>
      <c r="I3" s="1105"/>
      <c r="J3" s="1105"/>
      <c r="K3" s="1105"/>
      <c r="L3" s="1106"/>
    </row>
    <row r="4" spans="1:12" s="141" customFormat="1" ht="35.1" customHeight="1" thickBot="1" x14ac:dyDescent="0.25">
      <c r="A4" s="1107">
        <f ca="1">COUNTIF(worksheet!O3:O2092,"&gt;-1")</f>
        <v>558</v>
      </c>
      <c r="B4" s="1108"/>
      <c r="C4" s="1108"/>
      <c r="D4" s="1108"/>
      <c r="E4" s="1108"/>
      <c r="F4" s="1108"/>
      <c r="G4" s="1108"/>
      <c r="H4" s="1108"/>
      <c r="I4" s="1108"/>
      <c r="J4" s="1108"/>
      <c r="K4" s="1108"/>
      <c r="L4" s="1109"/>
    </row>
    <row r="5" spans="1:12" s="141" customFormat="1" ht="35.1" customHeight="1" thickBot="1" x14ac:dyDescent="0.25">
      <c r="A5" s="144" t="s">
        <v>2048</v>
      </c>
      <c r="B5" s="144" t="s">
        <v>2049</v>
      </c>
      <c r="C5" s="144" t="s">
        <v>2050</v>
      </c>
      <c r="D5" s="144" t="s">
        <v>2051</v>
      </c>
      <c r="E5" s="144" t="s">
        <v>2052</v>
      </c>
      <c r="F5" s="144" t="s">
        <v>2053</v>
      </c>
      <c r="G5" s="144" t="s">
        <v>2054</v>
      </c>
      <c r="H5" s="144" t="s">
        <v>2055</v>
      </c>
      <c r="I5" s="144" t="s">
        <v>2056</v>
      </c>
      <c r="J5" s="144" t="s">
        <v>2057</v>
      </c>
      <c r="K5" s="144" t="s">
        <v>2058</v>
      </c>
      <c r="L5" s="144" t="s">
        <v>2059</v>
      </c>
    </row>
    <row r="6" spans="1:12" s="141" customFormat="1" ht="24.95" customHeight="1" thickBot="1" x14ac:dyDescent="0.25">
      <c r="A6" s="145">
        <f>COUNTIF(worksheet!P3:P2092,"1")</f>
        <v>143</v>
      </c>
      <c r="B6" s="145">
        <f>COUNTIF(worksheet!P3:P2092,"2")</f>
        <v>231</v>
      </c>
      <c r="C6" s="145">
        <f>COUNTIF(worksheet!P3:P2092,"3")</f>
        <v>86</v>
      </c>
      <c r="D6" s="145">
        <f>COUNTIF(worksheet!P3:P2092,"4")</f>
        <v>57</v>
      </c>
      <c r="E6" s="145">
        <f>COUNTIF(worksheet!P3:P2092,"5")</f>
        <v>25</v>
      </c>
      <c r="F6" s="145">
        <f>COUNTIF(worksheet!P3:P2092,"6")</f>
        <v>11</v>
      </c>
      <c r="G6" s="145">
        <f>COUNTIF(worksheet!P3:P2092,"7")</f>
        <v>1</v>
      </c>
      <c r="H6" s="145">
        <f>COUNTIF(worksheet!P3:P2092,"8")</f>
        <v>0</v>
      </c>
      <c r="I6" s="145">
        <f>COUNTIF(worksheet!P3:P2092,"9")</f>
        <v>2</v>
      </c>
      <c r="J6" s="145">
        <f>COUNTIF(worksheet!P3:P2092,"10")</f>
        <v>1</v>
      </c>
      <c r="K6" s="145">
        <f>COUNTIF(worksheet!P3:P2092,"11")</f>
        <v>0</v>
      </c>
      <c r="L6" s="145">
        <f>COUNTIF(worksheet!P3:P2092,"12")</f>
        <v>0</v>
      </c>
    </row>
    <row r="7" spans="1:12" s="141" customFormat="1" ht="15.95" customHeight="1" thickBot="1" x14ac:dyDescent="0.25">
      <c r="A7" s="1120" t="s">
        <v>2060</v>
      </c>
      <c r="B7" s="1121"/>
      <c r="C7" s="1121"/>
      <c r="D7" s="1121"/>
      <c r="E7" s="1121"/>
      <c r="F7" s="1121"/>
      <c r="G7" s="1121"/>
      <c r="H7" s="1121"/>
      <c r="I7" s="1121"/>
      <c r="J7" s="1121"/>
      <c r="K7" s="1121"/>
      <c r="L7" s="1122"/>
    </row>
    <row r="8" spans="1:12" s="141" customFormat="1" ht="20.100000000000001" customHeight="1" thickBot="1" x14ac:dyDescent="0.25">
      <c r="A8" s="146">
        <f ca="1">A6/A4</f>
        <v>0.25627240143369173</v>
      </c>
      <c r="B8" s="146">
        <f ca="1">B6/A4</f>
        <v>0.41397849462365593</v>
      </c>
      <c r="C8" s="146">
        <f ca="1">C6/A4</f>
        <v>0.15412186379928317</v>
      </c>
      <c r="D8" s="146">
        <f ca="1">D6/A4</f>
        <v>0.10215053763440861</v>
      </c>
      <c r="E8" s="146">
        <f ca="1">E6/A4</f>
        <v>4.4802867383512544E-2</v>
      </c>
      <c r="F8" s="146">
        <f ca="1">F6/A4</f>
        <v>1.9713261648745518E-2</v>
      </c>
      <c r="G8" s="146">
        <f ca="1">G6/A4</f>
        <v>1.7921146953405018E-3</v>
      </c>
      <c r="H8" s="146">
        <f ca="1">H6/A4</f>
        <v>0</v>
      </c>
      <c r="I8" s="146">
        <f ca="1">I6/A4</f>
        <v>3.5842293906810036E-3</v>
      </c>
      <c r="J8" s="146">
        <f ca="1">J6/A4</f>
        <v>1.7921146953405018E-3</v>
      </c>
      <c r="K8" s="146">
        <f ca="1">K6/A4</f>
        <v>0</v>
      </c>
      <c r="L8" s="146">
        <f ca="1">L6/A4</f>
        <v>0</v>
      </c>
    </row>
    <row r="9" spans="1:12" s="135" customFormat="1" ht="20.100000000000001" customHeight="1" thickBot="1" x14ac:dyDescent="0.25">
      <c r="A9" s="1112" t="s">
        <v>2047</v>
      </c>
      <c r="B9" s="1113"/>
      <c r="C9" s="1113"/>
      <c r="D9" s="1113"/>
      <c r="E9" s="1113"/>
      <c r="F9" s="1113"/>
      <c r="G9" s="1113"/>
      <c r="H9" s="1113"/>
      <c r="I9" s="1113"/>
      <c r="J9" s="1114"/>
      <c r="K9" s="1110" t="s">
        <v>910</v>
      </c>
      <c r="L9" s="1111"/>
    </row>
    <row r="10" spans="1:12" s="141" customFormat="1" ht="35.1" customHeight="1" thickBot="1" x14ac:dyDescent="0.25">
      <c r="A10" s="1107">
        <f>'СВОДКА РАЗМЕЩЕНИЯ КРС'!A14:P14</f>
        <v>479</v>
      </c>
      <c r="B10" s="1108"/>
      <c r="C10" s="1108"/>
      <c r="D10" s="1108"/>
      <c r="E10" s="1108"/>
      <c r="F10" s="1108"/>
      <c r="G10" s="1108"/>
      <c r="H10" s="1108"/>
      <c r="I10" s="1108"/>
      <c r="J10" s="1109"/>
      <c r="K10" s="1118">
        <f ca="1">A4-A10</f>
        <v>79</v>
      </c>
      <c r="L10" s="1119"/>
    </row>
    <row r="11" spans="1:12" s="141" customFormat="1" ht="35.1" customHeight="1" thickBot="1" x14ac:dyDescent="0.25">
      <c r="A11" s="1123" t="s">
        <v>2062</v>
      </c>
      <c r="B11" s="1124"/>
      <c r="C11" s="1123" t="s">
        <v>2063</v>
      </c>
      <c r="D11" s="1124"/>
      <c r="E11" s="1125" t="s">
        <v>2065</v>
      </c>
      <c r="F11" s="1126"/>
      <c r="G11" s="1123" t="s">
        <v>2064</v>
      </c>
      <c r="H11" s="1124"/>
      <c r="I11" s="1127" t="s">
        <v>2061</v>
      </c>
      <c r="J11" s="1128"/>
      <c r="K11" s="1129" t="s">
        <v>2069</v>
      </c>
      <c r="L11" s="1130"/>
    </row>
    <row r="12" spans="1:12" s="141" customFormat="1" ht="24.95" customHeight="1" thickBot="1" x14ac:dyDescent="0.25">
      <c r="A12" s="1131">
        <f ca="1">COUNTIFS(worksheet!O3:O2092,"&gt;-1",worksheet!Y3:Y2092,"1")</f>
        <v>298</v>
      </c>
      <c r="B12" s="1132"/>
      <c r="C12" s="1131">
        <f ca="1">COUNTIFS(worksheet!O3:O2092,"&gt;-1",worksheet!Y3:Y2092,"3")</f>
        <v>119</v>
      </c>
      <c r="D12" s="1132"/>
      <c r="E12" s="1133">
        <f ca="1">COUNTIF(worksheet!AE3:AE2092,"ЯЛОВАЯ")</f>
        <v>81</v>
      </c>
      <c r="F12" s="1134"/>
      <c r="G12" s="1131">
        <f ca="1">COUNTIFS(worksheet!Y3:Y2092,"0",worksheet!O3:O2092,"&gt;-1",worksheet!O3:O2092,"&lt;141")</f>
        <v>70</v>
      </c>
      <c r="H12" s="1132"/>
      <c r="I12" s="147">
        <f ca="1">COUNTIF(worksheet!AP3:AP2092,"БРАК")</f>
        <v>33</v>
      </c>
      <c r="J12" s="147">
        <f>COUNTIF(worksheet!AQ3:AQ2092,"Б*")</f>
        <v>40</v>
      </c>
      <c r="K12" s="1135">
        <f ca="1">COUNTIFS(worksheet!Y3:Y2092,"0",worksheet!O3:O2092,"&gt;-1",worksheet!O3:O2092,"&lt;61")</f>
        <v>0</v>
      </c>
      <c r="L12" s="1136"/>
    </row>
    <row r="13" spans="1:12" s="141" customFormat="1" ht="20.100000000000001" customHeight="1" thickBot="1" x14ac:dyDescent="0.25">
      <c r="A13" s="1141">
        <f ca="1">A12/A4</f>
        <v>0.53405017921146958</v>
      </c>
      <c r="B13" s="1142"/>
      <c r="C13" s="1141">
        <f ca="1">C12/A4</f>
        <v>0.2132616487455197</v>
      </c>
      <c r="D13" s="1142"/>
      <c r="E13" s="1141">
        <f ca="1">E12/A4</f>
        <v>0.14516129032258066</v>
      </c>
      <c r="F13" s="1142"/>
      <c r="G13" s="1141">
        <f ca="1">G12/A4</f>
        <v>0.12544802867383512</v>
      </c>
      <c r="H13" s="1142"/>
      <c r="I13" s="146">
        <f ca="1">I12/A4</f>
        <v>5.9139784946236562E-2</v>
      </c>
      <c r="J13" s="146">
        <f ca="1">J12/A4</f>
        <v>7.1684587813620068E-2</v>
      </c>
      <c r="K13" s="1141">
        <f ca="1">K12/A4</f>
        <v>0</v>
      </c>
      <c r="L13" s="1142"/>
    </row>
    <row r="14" spans="1:12" s="141" customFormat="1" ht="20.100000000000001" customHeight="1" thickBot="1" x14ac:dyDescent="0.25">
      <c r="A14" s="1137" t="s">
        <v>2929</v>
      </c>
      <c r="B14" s="1138"/>
      <c r="C14" s="1138"/>
      <c r="D14" s="1138"/>
      <c r="E14" s="1138"/>
      <c r="F14" s="1138"/>
      <c r="G14" s="1138"/>
      <c r="H14" s="1138"/>
      <c r="I14" s="1138"/>
      <c r="J14" s="1138"/>
      <c r="K14" s="1138"/>
      <c r="L14" s="1139"/>
    </row>
    <row r="15" spans="1:12" s="141" customFormat="1" ht="35.1" customHeight="1" thickBot="1" x14ac:dyDescent="0.25">
      <c r="A15" s="1140">
        <f>COUNTIF(worksheet!AR3:AR2100,"НЕТЕЛЬ")</f>
        <v>214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9"/>
    </row>
    <row r="16" spans="1:12" ht="4.5" customHeight="1" thickBot="1" x14ac:dyDescent="0.25"/>
    <row r="17" spans="1:12" x14ac:dyDescent="0.2">
      <c r="A17" s="1091" t="s">
        <v>2319</v>
      </c>
      <c r="B17" s="1092"/>
      <c r="C17" s="1092"/>
      <c r="D17" s="1092"/>
      <c r="E17" s="1092"/>
      <c r="F17" s="1092"/>
      <c r="G17" s="1092"/>
      <c r="H17" s="1092"/>
      <c r="I17" s="1092"/>
      <c r="J17" s="1092"/>
      <c r="K17" s="1092"/>
      <c r="L17" s="1093"/>
    </row>
    <row r="18" spans="1:12" ht="13.5" thickBot="1" x14ac:dyDescent="0.25">
      <c r="A18" s="1094"/>
      <c r="B18" s="1095"/>
      <c r="C18" s="1095"/>
      <c r="D18" s="1095"/>
      <c r="E18" s="1095"/>
      <c r="F18" s="1095"/>
      <c r="G18" s="1095"/>
      <c r="H18" s="1095"/>
      <c r="I18" s="1095"/>
      <c r="J18" s="1095"/>
      <c r="K18" s="1095"/>
      <c r="L18" s="1096"/>
    </row>
    <row r="19" spans="1:12" x14ac:dyDescent="0.2">
      <c r="A19" s="1097">
        <f>AVERAGE(worksheet!P3:P4169)</f>
        <v>2.3644524236983844</v>
      </c>
      <c r="B19" s="1098"/>
      <c r="C19" s="1098"/>
      <c r="D19" s="1098"/>
      <c r="E19" s="1098"/>
      <c r="F19" s="1098"/>
      <c r="G19" s="1098"/>
      <c r="H19" s="1098"/>
      <c r="I19" s="1098"/>
      <c r="J19" s="1098"/>
      <c r="K19" s="1098"/>
      <c r="L19" s="1099"/>
    </row>
    <row r="20" spans="1:12" ht="13.5" thickBot="1" x14ac:dyDescent="0.25">
      <c r="A20" s="1100"/>
      <c r="B20" s="1101"/>
      <c r="C20" s="1101"/>
      <c r="D20" s="1101"/>
      <c r="E20" s="1101"/>
      <c r="F20" s="1101"/>
      <c r="G20" s="1101"/>
      <c r="H20" s="1101"/>
      <c r="I20" s="1101"/>
      <c r="J20" s="1101"/>
      <c r="K20" s="1101"/>
      <c r="L20" s="1102"/>
    </row>
    <row r="21" spans="1:12" s="334" customFormat="1" ht="5.25" customHeight="1" thickBot="1" x14ac:dyDescent="0.25">
      <c r="A21" s="1067"/>
      <c r="B21" s="1068"/>
      <c r="C21" s="1068"/>
      <c r="D21" s="1068"/>
      <c r="E21" s="1068"/>
      <c r="F21" s="1068"/>
      <c r="G21" s="1068"/>
      <c r="H21" s="1068"/>
      <c r="I21" s="1068"/>
      <c r="J21" s="1068"/>
      <c r="K21" s="1068"/>
      <c r="L21" s="1069"/>
    </row>
    <row r="22" spans="1:12" s="334" customFormat="1" x14ac:dyDescent="0.2">
      <c r="A22" s="1070" t="s">
        <v>2924</v>
      </c>
      <c r="B22" s="1071"/>
      <c r="C22" s="1071"/>
      <c r="D22" s="1071"/>
      <c r="E22" s="1071"/>
      <c r="F22" s="1071"/>
      <c r="G22" s="1071"/>
      <c r="H22" s="1071"/>
      <c r="I22" s="1071"/>
      <c r="J22" s="1071"/>
      <c r="K22" s="1071"/>
      <c r="L22" s="1072"/>
    </row>
    <row r="23" spans="1:12" s="334" customFormat="1" ht="13.5" thickBot="1" x14ac:dyDescent="0.25">
      <c r="A23" s="1073"/>
      <c r="B23" s="1074"/>
      <c r="C23" s="1074"/>
      <c r="D23" s="1074"/>
      <c r="E23" s="1074"/>
      <c r="F23" s="1074"/>
      <c r="G23" s="1074"/>
      <c r="H23" s="1074"/>
      <c r="I23" s="1074"/>
      <c r="J23" s="1074"/>
      <c r="K23" s="1074"/>
      <c r="L23" s="1075"/>
    </row>
    <row r="24" spans="1:12" s="334" customFormat="1" x14ac:dyDescent="0.2">
      <c r="A24" s="1076">
        <f ca="1">SUMIFS(worksheet!W3:W3338,worksheet!O3:O3338,"&gt;-1",worksheet!Y3:Y3338,"1")/COUNTIFS(worksheet!O3:O3338,"&gt;-1",worksheet!Y3:Y3338,"1")</f>
        <v>2.1577181208053693</v>
      </c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8"/>
    </row>
    <row r="25" spans="1:12" s="334" customFormat="1" ht="13.5" thickBot="1" x14ac:dyDescent="0.25">
      <c r="A25" s="1079"/>
      <c r="B25" s="1080"/>
      <c r="C25" s="1080"/>
      <c r="D25" s="1080"/>
      <c r="E25" s="1080"/>
      <c r="F25" s="1080"/>
      <c r="G25" s="1080"/>
      <c r="H25" s="1080"/>
      <c r="I25" s="1080"/>
      <c r="J25" s="1080"/>
      <c r="K25" s="1080"/>
      <c r="L25" s="1081"/>
    </row>
    <row r="26" spans="1:12" s="334" customFormat="1" ht="5.25" customHeight="1" thickBot="1" x14ac:dyDescent="0.25">
      <c r="A26" s="1082"/>
      <c r="B26" s="1083"/>
      <c r="C26" s="1083"/>
      <c r="D26" s="1083"/>
      <c r="E26" s="1083"/>
      <c r="F26" s="1083"/>
      <c r="G26" s="1083"/>
      <c r="H26" s="1083"/>
      <c r="I26" s="1083"/>
      <c r="J26" s="1083"/>
      <c r="K26" s="1083"/>
      <c r="L26" s="1084"/>
    </row>
    <row r="27" spans="1:12" s="334" customFormat="1" ht="12.75" customHeight="1" x14ac:dyDescent="0.2">
      <c r="A27" s="1085" t="s">
        <v>2925</v>
      </c>
      <c r="B27" s="1086"/>
      <c r="C27" s="1086"/>
      <c r="D27" s="1086"/>
      <c r="E27" s="1086"/>
      <c r="F27" s="1086"/>
      <c r="G27" s="1086"/>
      <c r="H27" s="1086"/>
      <c r="I27" s="1086"/>
      <c r="J27" s="1086"/>
      <c r="K27" s="1086"/>
      <c r="L27" s="1087"/>
    </row>
    <row r="28" spans="1:12" s="334" customFormat="1" ht="13.5" customHeight="1" thickBot="1" x14ac:dyDescent="0.25">
      <c r="A28" s="1088"/>
      <c r="B28" s="1089"/>
      <c r="C28" s="1089"/>
      <c r="D28" s="1089"/>
      <c r="E28" s="1089"/>
      <c r="F28" s="1089"/>
      <c r="G28" s="1089"/>
      <c r="H28" s="1089"/>
      <c r="I28" s="1089"/>
      <c r="J28" s="1089"/>
      <c r="K28" s="1089"/>
      <c r="L28" s="1090"/>
    </row>
    <row r="29" spans="1:12" s="334" customFormat="1" x14ac:dyDescent="0.2">
      <c r="A29" s="1076">
        <f>SUMIFS(worksheet!W3:W4838,worksheet!AR3:AR4838,"НЕТЕЛЬ")/COUNTIF(worksheet!AR3:AR4838,"НЕТЕЛЬ")</f>
        <v>1.294392523364486</v>
      </c>
      <c r="B29" s="1077"/>
      <c r="C29" s="1077"/>
      <c r="D29" s="1077"/>
      <c r="E29" s="1077"/>
      <c r="F29" s="1077"/>
      <c r="G29" s="1077"/>
      <c r="H29" s="1077"/>
      <c r="I29" s="1077"/>
      <c r="J29" s="1077"/>
      <c r="K29" s="1077"/>
      <c r="L29" s="1078"/>
    </row>
    <row r="30" spans="1:12" s="334" customFormat="1" ht="13.5" thickBot="1" x14ac:dyDescent="0.25">
      <c r="A30" s="1079"/>
      <c r="B30" s="1080"/>
      <c r="C30" s="1080"/>
      <c r="D30" s="1080"/>
      <c r="E30" s="1080"/>
      <c r="F30" s="1080"/>
      <c r="G30" s="1080"/>
      <c r="H30" s="1080"/>
      <c r="I30" s="1080"/>
      <c r="J30" s="1080"/>
      <c r="K30" s="1080"/>
      <c r="L30" s="1081"/>
    </row>
  </sheetData>
  <mergeCells count="35">
    <mergeCell ref="A14:L14"/>
    <mergeCell ref="A15:L15"/>
    <mergeCell ref="A13:B13"/>
    <mergeCell ref="C13:D13"/>
    <mergeCell ref="E13:F13"/>
    <mergeCell ref="G13:H13"/>
    <mergeCell ref="K13:L13"/>
    <mergeCell ref="I11:J11"/>
    <mergeCell ref="K11:L11"/>
    <mergeCell ref="A12:B12"/>
    <mergeCell ref="C12:D12"/>
    <mergeCell ref="E12:F12"/>
    <mergeCell ref="G12:H12"/>
    <mergeCell ref="K12:L12"/>
    <mergeCell ref="A29:L30"/>
    <mergeCell ref="A17:L18"/>
    <mergeCell ref="A19:L20"/>
    <mergeCell ref="A1:L1"/>
    <mergeCell ref="A3:L3"/>
    <mergeCell ref="A4:L4"/>
    <mergeCell ref="K9:L9"/>
    <mergeCell ref="A9:J9"/>
    <mergeCell ref="B2:K2"/>
    <mergeCell ref="A10:J10"/>
    <mergeCell ref="K10:L10"/>
    <mergeCell ref="A7:L7"/>
    <mergeCell ref="A11:B11"/>
    <mergeCell ref="C11:D11"/>
    <mergeCell ref="E11:F11"/>
    <mergeCell ref="G11:H11"/>
    <mergeCell ref="A21:L21"/>
    <mergeCell ref="A22:L23"/>
    <mergeCell ref="A24:L25"/>
    <mergeCell ref="A26:L26"/>
    <mergeCell ref="A27:L28"/>
  </mergeCells>
  <pageMargins left="0.62" right="0.11811023622047245" top="0.38" bottom="0.74803149606299213" header="0.31496062992125984" footer="0.31496062992125984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M27"/>
  <sheetViews>
    <sheetView workbookViewId="0">
      <selection activeCell="P7" sqref="P7"/>
    </sheetView>
  </sheetViews>
  <sheetFormatPr defaultRowHeight="12.75" x14ac:dyDescent="0.2"/>
  <cols>
    <col min="1" max="1" width="9.140625" style="173"/>
    <col min="2" max="2" width="22.28515625" customWidth="1"/>
    <col min="3" max="3" width="10.7109375" style="122" customWidth="1"/>
    <col min="4" max="4" width="8.42578125" style="122" customWidth="1"/>
    <col min="5" max="6" width="12.85546875" style="122" customWidth="1"/>
    <col min="7" max="7" width="11.28515625" style="122" customWidth="1"/>
    <col min="8" max="8" width="14.7109375" style="122" customWidth="1"/>
    <col min="9" max="9" width="8.85546875" style="122" customWidth="1"/>
    <col min="10" max="10" width="9.85546875" style="122" customWidth="1"/>
    <col min="11" max="11" width="10.28515625" style="122" customWidth="1"/>
    <col min="12" max="12" width="12.5703125" style="122" customWidth="1"/>
    <col min="13" max="13" width="7.140625" customWidth="1"/>
  </cols>
  <sheetData>
    <row r="1" spans="1:13" ht="4.5" customHeight="1" thickBot="1" x14ac:dyDescent="0.25"/>
    <row r="2" spans="1:13" ht="9.9499999999999993" customHeight="1" thickTop="1" x14ac:dyDescent="0.2">
      <c r="K2" s="1150">
        <f ca="1">TODAY()</f>
        <v>43134</v>
      </c>
      <c r="L2" s="1151"/>
    </row>
    <row r="3" spans="1:13" ht="9.9499999999999993" customHeight="1" thickBot="1" x14ac:dyDescent="0.25">
      <c r="K3" s="1152"/>
      <c r="L3" s="1153"/>
    </row>
    <row r="4" spans="1:13" ht="21" thickTop="1" x14ac:dyDescent="0.2">
      <c r="A4" s="1162" t="s">
        <v>2186</v>
      </c>
      <c r="B4" s="1163"/>
      <c r="C4" s="1163"/>
      <c r="D4" s="1163"/>
      <c r="E4" s="1163"/>
      <c r="F4" s="1163"/>
      <c r="G4" s="1163"/>
      <c r="H4" s="1163"/>
      <c r="I4" s="1163"/>
      <c r="J4" s="1163"/>
      <c r="K4" s="1163"/>
      <c r="L4" s="1163"/>
    </row>
    <row r="5" spans="1:13" ht="13.5" thickBot="1" x14ac:dyDescent="0.25"/>
    <row r="6" spans="1:13" ht="51.75" thickBot="1" x14ac:dyDescent="0.25">
      <c r="A6" s="174" t="s">
        <v>21</v>
      </c>
      <c r="B6" s="174" t="s">
        <v>2171</v>
      </c>
      <c r="C6" s="174" t="s">
        <v>2172</v>
      </c>
      <c r="D6" s="177" t="s">
        <v>2185</v>
      </c>
      <c r="E6" s="174" t="s">
        <v>2173</v>
      </c>
      <c r="F6" s="174" t="s">
        <v>2184</v>
      </c>
      <c r="G6" s="174" t="s">
        <v>2174</v>
      </c>
      <c r="H6" s="174" t="s">
        <v>2175</v>
      </c>
      <c r="I6" s="174" t="s">
        <v>2176</v>
      </c>
      <c r="J6" s="174" t="s">
        <v>2177</v>
      </c>
      <c r="K6" s="174" t="s">
        <v>2178</v>
      </c>
      <c r="L6" s="174" t="s">
        <v>2179</v>
      </c>
    </row>
    <row r="7" spans="1:13" ht="15" customHeight="1" thickBot="1" x14ac:dyDescent="0.25">
      <c r="A7" s="1164" t="s">
        <v>2135</v>
      </c>
      <c r="B7" s="175" t="s">
        <v>504</v>
      </c>
      <c r="C7" s="1165">
        <f ca="1">SUM(D7:I10)</f>
        <v>167</v>
      </c>
      <c r="D7" s="1154">
        <f>COUNTIFS(worksheet!C3:C1626,"К1",worksheet!Y3:Y1626,"5")</f>
        <v>1</v>
      </c>
      <c r="E7" s="1154">
        <f>COUNTIFS(worksheet!C3:C1626,"К1",worksheet!Y3:Y1626,"3")</f>
        <v>53</v>
      </c>
      <c r="F7" s="1154">
        <f>COUNTIFS(worksheet!C3:C1626,"К1",worksheet!Y3:Y1626,"2")</f>
        <v>6</v>
      </c>
      <c r="G7" s="1154">
        <f>COUNTIFS(worksheet!C3:C1626,"К1",worksheet!Y3:Y1626,"1")</f>
        <v>66</v>
      </c>
      <c r="H7" s="1154">
        <f ca="1">COUNTIFS(worksheet!C3:C1626,"К1",worksheet!Y3:Y1626,"0",worksheet!O3:O1626,"&gt;-1",worksheet!O3:O1626,"&lt;120")</f>
        <v>13</v>
      </c>
      <c r="I7" s="1154">
        <f ca="1">COUNTIFS(worksheet!C3:C1626,"К1",worksheet!AE3:AE1626,"яловая")</f>
        <v>28</v>
      </c>
      <c r="J7" s="1159">
        <f>COUNTIFS(worksheet!C3:C1626,"К1",worksheet!AQ3:AQ1626,"Б*")</f>
        <v>5</v>
      </c>
      <c r="K7" s="1154"/>
      <c r="L7" s="1154"/>
      <c r="M7" s="1149"/>
    </row>
    <row r="8" spans="1:13" ht="15" customHeight="1" thickBot="1" x14ac:dyDescent="0.25">
      <c r="A8" s="1164"/>
      <c r="B8" s="175" t="s">
        <v>909</v>
      </c>
      <c r="C8" s="1166"/>
      <c r="D8" s="1155"/>
      <c r="E8" s="1157"/>
      <c r="F8" s="1155"/>
      <c r="G8" s="1157"/>
      <c r="H8" s="1157"/>
      <c r="I8" s="1157"/>
      <c r="J8" s="1160"/>
      <c r="K8" s="1157"/>
      <c r="L8" s="1157"/>
      <c r="M8" s="1149"/>
    </row>
    <row r="9" spans="1:13" ht="15" customHeight="1" thickBot="1" x14ac:dyDescent="0.25">
      <c r="A9" s="1164"/>
      <c r="B9" s="175" t="s">
        <v>1439</v>
      </c>
      <c r="C9" s="1166"/>
      <c r="D9" s="1155"/>
      <c r="E9" s="1157"/>
      <c r="F9" s="1155"/>
      <c r="G9" s="1157"/>
      <c r="H9" s="1157"/>
      <c r="I9" s="1157"/>
      <c r="J9" s="1160"/>
      <c r="K9" s="1157"/>
      <c r="L9" s="1157"/>
      <c r="M9" s="1149"/>
    </row>
    <row r="10" spans="1:13" ht="15" customHeight="1" thickBot="1" x14ac:dyDescent="0.25">
      <c r="A10" s="1164"/>
      <c r="B10" s="175"/>
      <c r="C10" s="1167"/>
      <c r="D10" s="1156"/>
      <c r="E10" s="1158"/>
      <c r="F10" s="1156"/>
      <c r="G10" s="1158"/>
      <c r="H10" s="1158"/>
      <c r="I10" s="1158"/>
      <c r="J10" s="1161"/>
      <c r="K10" s="1158"/>
      <c r="L10" s="1158"/>
      <c r="M10" s="1149"/>
    </row>
    <row r="11" spans="1:13" ht="15.75" thickBot="1" x14ac:dyDescent="0.25">
      <c r="A11" s="1168"/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70"/>
      <c r="M11" s="119"/>
    </row>
    <row r="12" spans="1:13" ht="15" customHeight="1" thickBot="1" x14ac:dyDescent="0.25">
      <c r="A12" s="1164" t="s">
        <v>2851</v>
      </c>
      <c r="B12" s="175" t="s">
        <v>904</v>
      </c>
      <c r="C12" s="1165">
        <f>SUM(D12:I15)</f>
        <v>0</v>
      </c>
      <c r="D12" s="1154">
        <f>COUNTIFS(worksheet!D3:D1626,"ВЕРХНИЙ ОТГОН",worksheet!Y3:Y1626,"5")</f>
        <v>0</v>
      </c>
      <c r="E12" s="1154">
        <f>COUNTIFS(worksheet!D3:D1626,"ВЕРХНИЙ ОТГОН",worksheet!Y3:Y1626,"3")</f>
        <v>0</v>
      </c>
      <c r="F12" s="1154">
        <f>COUNTIFS(worksheet!D3:D1626,"ВЕРХНИЙ ОТГОН",worksheet!Y3:Y1626,"2")</f>
        <v>0</v>
      </c>
      <c r="G12" s="1154">
        <f>COUNTIFS(worksheet!D3:D1626,"ВЕРХНИЙ ОТГОН",worksheet!Y3:Y1626,"1")</f>
        <v>0</v>
      </c>
      <c r="H12" s="1154">
        <f>COUNTIFS(worksheet!D3:D1626,"ВЕРХНИЙ ОТГОН",worksheet!Y3:Y1626,"0",worksheet!O3:O1626,"&gt;-1",worksheet!O3:O1626,"&lt;120")</f>
        <v>0</v>
      </c>
      <c r="I12" s="1154">
        <f>COUNTIFS(worksheet!D3:D1626,"ВЕРХНИЙ ОТГОН",worksheet!AE3:AE1626,"яловая")</f>
        <v>0</v>
      </c>
      <c r="J12" s="1159">
        <f>COUNTIFS(worksheet!D3:D1626,"ВЕРХНИЙ ОТГОН",worksheet!AQ3:AQ1626,"Б*")</f>
        <v>0</v>
      </c>
      <c r="K12" s="1154"/>
      <c r="L12" s="1154"/>
      <c r="M12" s="1149"/>
    </row>
    <row r="13" spans="1:13" ht="15" customHeight="1" thickBot="1" x14ac:dyDescent="0.25">
      <c r="A13" s="1164"/>
      <c r="B13" s="175" t="s">
        <v>903</v>
      </c>
      <c r="C13" s="1166"/>
      <c r="D13" s="1155"/>
      <c r="E13" s="1157"/>
      <c r="F13" s="1155"/>
      <c r="G13" s="1157"/>
      <c r="H13" s="1157"/>
      <c r="I13" s="1157"/>
      <c r="J13" s="1160"/>
      <c r="K13" s="1157"/>
      <c r="L13" s="1157"/>
      <c r="M13" s="1149"/>
    </row>
    <row r="14" spans="1:13" ht="15" customHeight="1" thickBot="1" x14ac:dyDescent="0.25">
      <c r="A14" s="1164"/>
      <c r="B14" s="175" t="s">
        <v>2180</v>
      </c>
      <c r="C14" s="1166"/>
      <c r="D14" s="1155"/>
      <c r="E14" s="1157"/>
      <c r="F14" s="1155"/>
      <c r="G14" s="1157"/>
      <c r="H14" s="1157"/>
      <c r="I14" s="1157"/>
      <c r="J14" s="1160"/>
      <c r="K14" s="1157"/>
      <c r="L14" s="1157"/>
      <c r="M14" s="1149"/>
    </row>
    <row r="15" spans="1:13" ht="15" customHeight="1" thickBot="1" x14ac:dyDescent="0.25">
      <c r="A15" s="1164"/>
      <c r="B15" s="175"/>
      <c r="C15" s="1167"/>
      <c r="D15" s="1156"/>
      <c r="E15" s="1158"/>
      <c r="F15" s="1156"/>
      <c r="G15" s="1158"/>
      <c r="H15" s="1158"/>
      <c r="I15" s="1158"/>
      <c r="J15" s="1161"/>
      <c r="K15" s="1158"/>
      <c r="L15" s="1158"/>
      <c r="M15" s="1149"/>
    </row>
    <row r="16" spans="1:13" ht="15.75" thickBot="1" x14ac:dyDescent="0.25">
      <c r="A16" s="1168"/>
      <c r="B16" s="1169"/>
      <c r="C16" s="1169"/>
      <c r="D16" s="1169"/>
      <c r="E16" s="1169"/>
      <c r="F16" s="1169"/>
      <c r="G16" s="1169"/>
      <c r="H16" s="1169"/>
      <c r="I16" s="1169"/>
      <c r="J16" s="1169"/>
      <c r="K16" s="1169"/>
      <c r="L16" s="1170"/>
      <c r="M16" s="119"/>
    </row>
    <row r="17" spans="1:13" ht="24.95" customHeight="1" thickBot="1" x14ac:dyDescent="0.25">
      <c r="A17" s="1164" t="s">
        <v>2850</v>
      </c>
      <c r="B17" s="175" t="s">
        <v>908</v>
      </c>
      <c r="C17" s="1147">
        <f>SUM(D17:I17)</f>
        <v>0</v>
      </c>
      <c r="D17" s="1143">
        <f>COUNTIFS(worksheet!D3:D1626,"НИЖНИЙ ОТГОН",worksheet!Y3:Y1626,"5")</f>
        <v>0</v>
      </c>
      <c r="E17" s="1143">
        <f>COUNTIFS(worksheet!D3:D1626,"НИЖНИЙ ОТГОН",worksheet!Y3:Y1626,"3")</f>
        <v>0</v>
      </c>
      <c r="F17" s="1143">
        <f>COUNTIFS(worksheet!D3:D1626,"НИЖНИЙ ОТГОН",worksheet!Y3:Y1626,"2")</f>
        <v>0</v>
      </c>
      <c r="G17" s="1143">
        <f>COUNTIFS(worksheet!D3:D1626,"НИЖНИЙ ОТГОН",worksheet!Y3:Y1626,"1")</f>
        <v>0</v>
      </c>
      <c r="H17" s="1143">
        <f>COUNTIFS(worksheet!D3:D1626,"НИЖНИЙ ОТГОН",worksheet!Y3:Y1626,"0",worksheet!O3:O1626,"&gt;-1",worksheet!O3:O1626,"&lt;120")</f>
        <v>0</v>
      </c>
      <c r="I17" s="1143">
        <f>COUNTIFS(worksheet!D3:D1626,"НИЖНИЙ ОТГОН",worksheet!AE3:AE1626,"яловая")</f>
        <v>0</v>
      </c>
      <c r="J17" s="1145">
        <f>COUNTIFS(worksheet!D3:D1626,"НИЖНИЙ ОТГОН",worksheet!AQ3:AQ1626,"Б*")</f>
        <v>0</v>
      </c>
      <c r="K17" s="1143"/>
      <c r="L17" s="1143"/>
      <c r="M17" s="119"/>
    </row>
    <row r="18" spans="1:13" ht="24.95" customHeight="1" thickBot="1" x14ac:dyDescent="0.25">
      <c r="A18" s="1164"/>
      <c r="B18" s="175" t="s">
        <v>1633</v>
      </c>
      <c r="C18" s="1148"/>
      <c r="D18" s="1144"/>
      <c r="E18" s="1144"/>
      <c r="F18" s="1144"/>
      <c r="G18" s="1144"/>
      <c r="H18" s="1144"/>
      <c r="I18" s="1144"/>
      <c r="J18" s="1146"/>
      <c r="K18" s="1144"/>
      <c r="L18" s="1144"/>
      <c r="M18" s="119"/>
    </row>
    <row r="19" spans="1:13" ht="15.75" thickBot="1" x14ac:dyDescent="0.25">
      <c r="A19" s="1168"/>
      <c r="B19" s="1169"/>
      <c r="C19" s="1169"/>
      <c r="D19" s="1169"/>
      <c r="E19" s="1169"/>
      <c r="F19" s="1169"/>
      <c r="G19" s="1169"/>
      <c r="H19" s="1169"/>
      <c r="I19" s="1169"/>
      <c r="J19" s="1169"/>
      <c r="K19" s="1169"/>
      <c r="L19" s="1170"/>
      <c r="M19" s="119"/>
    </row>
    <row r="20" spans="1:13" ht="24.95" customHeight="1" thickBot="1" x14ac:dyDescent="0.25">
      <c r="A20" s="1164" t="s">
        <v>906</v>
      </c>
      <c r="B20" s="175" t="s">
        <v>2917</v>
      </c>
      <c r="C20" s="1147">
        <f>SUM(D20:I20)</f>
        <v>0</v>
      </c>
      <c r="D20" s="1143">
        <f>COUNTIFS(worksheet!D6:D1629,"Сулейманова И.Л.",worksheet!Y6:Y1629,"5")</f>
        <v>0</v>
      </c>
      <c r="E20" s="1143">
        <f>COUNTIFS(worksheet!D6:D1629,"Сулейманова И.Л.",worksheet!Y6:Y1629,"3")</f>
        <v>0</v>
      </c>
      <c r="F20" s="1143">
        <f>COUNTIFS(worksheet!D6:D1629,"Сулейманова И.Л.",worksheet!Y6:Y1629,"2")</f>
        <v>0</v>
      </c>
      <c r="G20" s="1143">
        <f>COUNTIFS(worksheet!D6:D1629,"Сулейманова И.Л.",worksheet!Y6:Y1629,"1")</f>
        <v>0</v>
      </c>
      <c r="H20" s="1143">
        <f>COUNTIFS(worksheet!D6:D1629,"Сулейманова И.Л.",worksheet!Y6:Y1629,"0",worksheet!O6:O1629,"&gt;-1",worksheet!O6:O1629,"&lt;120")</f>
        <v>0</v>
      </c>
      <c r="I20" s="1143">
        <f>COUNTIFS(worksheet!D6:D1629,"Сулейманова И.Л.",worksheet!AE6:AE1629,"яловая")</f>
        <v>0</v>
      </c>
      <c r="J20" s="1145">
        <f>COUNTIFS(worksheet!D6:D1629,"Сулейманова И.Л.",worksheet!AQ6:AQ1629,"Б*")</f>
        <v>0</v>
      </c>
      <c r="K20" s="1143"/>
      <c r="L20" s="1143"/>
      <c r="M20" s="119"/>
    </row>
    <row r="21" spans="1:13" ht="24.95" customHeight="1" thickBot="1" x14ac:dyDescent="0.25">
      <c r="A21" s="1164"/>
      <c r="B21" s="175"/>
      <c r="C21" s="1148"/>
      <c r="D21" s="1144"/>
      <c r="E21" s="1144"/>
      <c r="F21" s="1144"/>
      <c r="G21" s="1144"/>
      <c r="H21" s="1144"/>
      <c r="I21" s="1144"/>
      <c r="J21" s="1146"/>
      <c r="K21" s="1144"/>
      <c r="L21" s="1144"/>
      <c r="M21" s="119"/>
    </row>
    <row r="22" spans="1:13" ht="20.100000000000001" customHeight="1" thickBot="1" x14ac:dyDescent="0.25">
      <c r="A22" s="1177" t="s">
        <v>475</v>
      </c>
      <c r="B22" s="1177"/>
      <c r="C22" s="178">
        <f ca="1">ФСС!K10</f>
        <v>79</v>
      </c>
      <c r="D22" s="176"/>
      <c r="E22" s="176"/>
      <c r="F22" s="176"/>
      <c r="G22" s="138">
        <f ca="1">C22</f>
        <v>79</v>
      </c>
      <c r="H22" s="1183"/>
      <c r="I22" s="1179"/>
      <c r="J22" s="1179"/>
      <c r="K22" s="1179"/>
      <c r="L22" s="1180"/>
      <c r="M22" s="119"/>
    </row>
    <row r="23" spans="1:13" ht="20.100000000000001" customHeight="1" thickBot="1" x14ac:dyDescent="0.25">
      <c r="A23" s="1181" t="s">
        <v>2182</v>
      </c>
      <c r="B23" s="1182"/>
      <c r="C23" s="178">
        <f>COUNTIF(worksheet!D3:D1626,"РО_Дойные")</f>
        <v>26</v>
      </c>
      <c r="D23" s="138">
        <f>COUNTIFS(worksheet!D3:D1626,"РО_Дойные",worksheet!Y3:Y1626,"5")</f>
        <v>0</v>
      </c>
      <c r="E23" s="138">
        <f>COUNTIFS(worksheet!D3:D1626,"РО_Дойные",worksheet!Y3:Y1626,"3")</f>
        <v>0</v>
      </c>
      <c r="F23" s="138">
        <f>COUNTIFS(worksheet!D3:D1626,"РО_Дойные",worksheet!Y3:Y1626,"2")</f>
        <v>0</v>
      </c>
      <c r="G23" s="138">
        <f>COUNTIFS(worksheet!D3:D1626,"РО_Дойные",worksheet!Y3:Y1626,"1")</f>
        <v>1</v>
      </c>
      <c r="H23" s="138">
        <f ca="1">COUNTIFS(worksheet!D3:D1626,"РО_Дойные",worksheet!Y3:Y1626,"0",worksheet!O3:O1626,"&gt;-1",worksheet!O3:O1626,"&lt;141")</f>
        <v>22</v>
      </c>
      <c r="I23" s="138">
        <f ca="1">COUNTIFS(worksheet!D3:D1626,"РО_Дойные",worksheet!AE3:AE1626,"яловая")</f>
        <v>3</v>
      </c>
      <c r="J23" s="176">
        <f>COUNTIFS(worksheet!D3:D1626,"РО_Дойные",worksheet!AQ3:AQ1626,"Б*")</f>
        <v>0</v>
      </c>
      <c r="K23" s="138"/>
      <c r="L23" s="138"/>
      <c r="M23" s="119"/>
    </row>
    <row r="24" spans="1:13" ht="20.100000000000001" customHeight="1" thickBot="1" x14ac:dyDescent="0.25">
      <c r="A24" s="1179" t="s">
        <v>2183</v>
      </c>
      <c r="B24" s="1180"/>
      <c r="C24" s="1183">
        <f ca="1">SUM(C23,C18,C17,C12,C7,C20)</f>
        <v>193</v>
      </c>
      <c r="D24" s="1179"/>
      <c r="E24" s="1179"/>
      <c r="F24" s="1179"/>
      <c r="G24" s="1179"/>
      <c r="H24" s="1179"/>
      <c r="I24" s="1179"/>
      <c r="J24" s="1179"/>
      <c r="K24" s="1179"/>
      <c r="L24" s="1180"/>
      <c r="M24" s="119"/>
    </row>
    <row r="25" spans="1:13" ht="21" thickBot="1" x14ac:dyDescent="0.25">
      <c r="A25" s="1178" t="s">
        <v>1484</v>
      </c>
      <c r="B25" s="1178"/>
      <c r="C25" s="138">
        <f ca="1">SUM(C24,C22)</f>
        <v>272</v>
      </c>
      <c r="D25" s="138">
        <f>SUM(D7,D12,D17,D18,D23,D20)</f>
        <v>1</v>
      </c>
      <c r="E25" s="138">
        <f t="shared" ref="E25:I25" si="0">SUM(E7,E12,E17,E18,E23,E20)</f>
        <v>53</v>
      </c>
      <c r="F25" s="138">
        <f t="shared" si="0"/>
        <v>6</v>
      </c>
      <c r="G25" s="138">
        <f t="shared" si="0"/>
        <v>67</v>
      </c>
      <c r="H25" s="138">
        <f t="shared" ca="1" si="0"/>
        <v>35</v>
      </c>
      <c r="I25" s="138">
        <f t="shared" ca="1" si="0"/>
        <v>31</v>
      </c>
      <c r="J25" s="333">
        <f>SUM(J7,J12,J17,J18,J23,J20)</f>
        <v>5</v>
      </c>
      <c r="K25" s="138"/>
      <c r="L25" s="138"/>
      <c r="M25" s="119"/>
    </row>
    <row r="26" spans="1:13" ht="12.75" customHeight="1" x14ac:dyDescent="0.2">
      <c r="E26" s="1171">
        <f>SUM(E25:G25)</f>
        <v>126</v>
      </c>
      <c r="F26" s="1172"/>
      <c r="G26" s="1173"/>
    </row>
    <row r="27" spans="1:13" ht="13.5" customHeight="1" thickBot="1" x14ac:dyDescent="0.25">
      <c r="E27" s="1174"/>
      <c r="F27" s="1175"/>
      <c r="G27" s="1176"/>
    </row>
  </sheetData>
  <mergeCells count="58">
    <mergeCell ref="I7:I10"/>
    <mergeCell ref="J7:J10"/>
    <mergeCell ref="K7:K10"/>
    <mergeCell ref="L7:L10"/>
    <mergeCell ref="D7:D10"/>
    <mergeCell ref="E26:G27"/>
    <mergeCell ref="A16:L16"/>
    <mergeCell ref="A17:A18"/>
    <mergeCell ref="A22:B22"/>
    <mergeCell ref="A25:B25"/>
    <mergeCell ref="A24:B24"/>
    <mergeCell ref="A23:B23"/>
    <mergeCell ref="C24:L24"/>
    <mergeCell ref="H22:L22"/>
    <mergeCell ref="A19:L19"/>
    <mergeCell ref="A20:A21"/>
    <mergeCell ref="C17:C18"/>
    <mergeCell ref="D17:D18"/>
    <mergeCell ref="E17:E18"/>
    <mergeCell ref="F17:F18"/>
    <mergeCell ref="G17:G18"/>
    <mergeCell ref="A11:L11"/>
    <mergeCell ref="A12:A15"/>
    <mergeCell ref="C12:C15"/>
    <mergeCell ref="E12:E15"/>
    <mergeCell ref="G12:G15"/>
    <mergeCell ref="D12:D15"/>
    <mergeCell ref="M12:M15"/>
    <mergeCell ref="M7:M10"/>
    <mergeCell ref="K2:L3"/>
    <mergeCell ref="F7:F10"/>
    <mergeCell ref="F12:F15"/>
    <mergeCell ref="H12:H15"/>
    <mergeCell ref="I12:I15"/>
    <mergeCell ref="J12:J15"/>
    <mergeCell ref="K12:K15"/>
    <mergeCell ref="L12:L15"/>
    <mergeCell ref="A4:L4"/>
    <mergeCell ref="A7:A10"/>
    <mergeCell ref="C7:C10"/>
    <mergeCell ref="E7:E10"/>
    <mergeCell ref="G7:G10"/>
    <mergeCell ref="H7:H10"/>
    <mergeCell ref="H17:H18"/>
    <mergeCell ref="I17:I18"/>
    <mergeCell ref="J17:J18"/>
    <mergeCell ref="K17:K18"/>
    <mergeCell ref="L17:L18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</mergeCells>
  <pageMargins left="0.16" right="0.15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B1:M61"/>
  <sheetViews>
    <sheetView workbookViewId="0">
      <selection activeCell="J2" sqref="J2:M2"/>
    </sheetView>
  </sheetViews>
  <sheetFormatPr defaultRowHeight="12.75" x14ac:dyDescent="0.2"/>
  <cols>
    <col min="1" max="1" width="3.7109375" customWidth="1"/>
    <col min="2" max="13" width="6.7109375" customWidth="1"/>
    <col min="14" max="55" width="5.7109375" customWidth="1"/>
  </cols>
  <sheetData>
    <row r="1" spans="2:13" ht="13.5" thickBot="1" x14ac:dyDescent="0.25">
      <c r="J1" s="1195" t="s">
        <v>2036</v>
      </c>
      <c r="K1" s="1195"/>
      <c r="L1" s="1195"/>
      <c r="M1" s="1195"/>
    </row>
    <row r="2" spans="2:13" ht="14.25" thickTop="1" thickBot="1" x14ac:dyDescent="0.25">
      <c r="J2" s="1192">
        <f ca="1">TODAY()</f>
        <v>43134</v>
      </c>
      <c r="K2" s="1193"/>
      <c r="L2" s="1193"/>
      <c r="M2" s="1194"/>
    </row>
    <row r="3" spans="2:13" ht="24.95" customHeight="1" thickTop="1" x14ac:dyDescent="0.2">
      <c r="B3" s="1196" t="s">
        <v>2038</v>
      </c>
      <c r="C3" s="1196"/>
      <c r="D3" s="1196"/>
      <c r="E3" s="1196"/>
      <c r="F3" s="1196"/>
      <c r="G3" s="1196"/>
      <c r="H3" s="1197" t="s">
        <v>2037</v>
      </c>
      <c r="I3" s="1197"/>
      <c r="J3" s="1198"/>
      <c r="K3" s="1198"/>
      <c r="L3" s="1198"/>
      <c r="M3" s="1198"/>
    </row>
    <row r="4" spans="2:13" ht="13.5" customHeight="1" x14ac:dyDescent="0.2">
      <c r="B4" s="1184" t="s">
        <v>2032</v>
      </c>
      <c r="C4" s="1185"/>
      <c r="D4" s="1184" t="s">
        <v>2033</v>
      </c>
      <c r="E4" s="1185"/>
      <c r="F4" s="1184" t="s">
        <v>2034</v>
      </c>
      <c r="G4" s="1185"/>
      <c r="H4" s="1242" t="s">
        <v>2032</v>
      </c>
      <c r="I4" s="1243"/>
      <c r="J4" s="1242" t="s">
        <v>2035</v>
      </c>
      <c r="K4" s="1243"/>
      <c r="L4" s="1242" t="s">
        <v>2034</v>
      </c>
      <c r="M4" s="1243"/>
    </row>
    <row r="5" spans="2:13" ht="24.95" customHeight="1" x14ac:dyDescent="0.2">
      <c r="B5" s="1224">
        <v>175</v>
      </c>
      <c r="C5" s="1225"/>
      <c r="D5" s="1204">
        <f ca="1">AVERAGEIFS(worksheet!O3:O2092,worksheet!N3:N2092,"&gt;0",worksheet!AT3:AT2092,"&lt;&gt;DRY COW")</f>
        <v>265.07933194154487</v>
      </c>
      <c r="E5" s="1205"/>
      <c r="F5" s="1226">
        <f ca="1">B5-D5</f>
        <v>-90.079331941544865</v>
      </c>
      <c r="G5" s="1227"/>
      <c r="H5" s="1228">
        <v>120</v>
      </c>
      <c r="I5" s="1229"/>
      <c r="J5" s="1204">
        <f>AVERAGEIFS(worksheet!X3:X1592,worksheet!Y3:Y1592,"1")</f>
        <v>120.73489932885906</v>
      </c>
      <c r="K5" s="1205"/>
      <c r="L5" s="1202">
        <f>H5-J5</f>
        <v>-0.73489932885905773</v>
      </c>
      <c r="M5" s="1203"/>
    </row>
    <row r="6" spans="2:13" ht="6" customHeight="1" thickBot="1" x14ac:dyDescent="0.25"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</row>
    <row r="7" spans="2:13" ht="20.100000000000001" customHeight="1" thickBot="1" x14ac:dyDescent="0.25">
      <c r="B7" s="1206" t="s">
        <v>2044</v>
      </c>
      <c r="C7" s="1207"/>
      <c r="D7" s="1207"/>
      <c r="E7" s="1207"/>
      <c r="F7" s="1207"/>
      <c r="G7" s="1207"/>
      <c r="H7" s="1207"/>
      <c r="I7" s="1207"/>
      <c r="J7" s="1207"/>
      <c r="K7" s="1207"/>
      <c r="L7" s="1207"/>
      <c r="M7" s="1208"/>
    </row>
    <row r="8" spans="2:13" ht="12.75" customHeight="1" thickBot="1" x14ac:dyDescent="0.25">
      <c r="B8" s="1233" t="s">
        <v>2031</v>
      </c>
      <c r="C8" s="1234"/>
      <c r="D8" s="1234"/>
      <c r="E8" s="1234"/>
      <c r="F8" s="1234"/>
      <c r="G8" s="1234"/>
      <c r="H8" s="1234"/>
      <c r="I8" s="1234"/>
      <c r="J8" s="1234"/>
      <c r="K8" s="1234"/>
      <c r="L8" s="1234"/>
      <c r="M8" s="1235"/>
    </row>
    <row r="9" spans="2:13" ht="50.1" customHeight="1" thickBot="1" x14ac:dyDescent="0.25">
      <c r="B9" s="134" t="s">
        <v>2018</v>
      </c>
      <c r="C9" s="134" t="s">
        <v>2019</v>
      </c>
      <c r="D9" s="134" t="s">
        <v>2020</v>
      </c>
      <c r="E9" s="134" t="s">
        <v>2021</v>
      </c>
      <c r="F9" s="134" t="s">
        <v>2022</v>
      </c>
      <c r="G9" s="134" t="s">
        <v>2023</v>
      </c>
      <c r="H9" s="134" t="s">
        <v>2024</v>
      </c>
      <c r="I9" s="134" t="s">
        <v>2025</v>
      </c>
      <c r="J9" s="134" t="s">
        <v>2026</v>
      </c>
      <c r="K9" s="134" t="s">
        <v>2027</v>
      </c>
      <c r="L9" s="134" t="s">
        <v>2028</v>
      </c>
      <c r="M9" s="134" t="s">
        <v>2029</v>
      </c>
    </row>
    <row r="10" spans="2:13" ht="24.95" customHeight="1" thickBot="1" x14ac:dyDescent="0.25">
      <c r="B10" s="151">
        <f>COUNTIFS(worksheet!Y3:Y835,"1",worksheet!T3:T835,"&gt;31.12.2015",worksheet!T3:T835,"&lt;01.02.2016")</f>
        <v>0</v>
      </c>
      <c r="C10" s="151">
        <f>COUNTIFS(worksheet!Y3:Y835,"1",worksheet!T3:T835,"&gt;31.01.2016",worksheet!T3:T835,"&lt;01.03.2016")</f>
        <v>0</v>
      </c>
      <c r="D10" s="151">
        <f>COUNTIFS(worksheet!Y3:Y835,"1",worksheet!T3:T835,"&gt;29.02.2016",worksheet!T3:T835,"&lt;01.04.2016")</f>
        <v>0</v>
      </c>
      <c r="E10" s="151">
        <f>COUNTIFS(worksheet!Y3:Y835,"1",worksheet!T3:T835,"&gt;31.03.2016",worksheet!T3:T835,"&lt;01.05.2016")</f>
        <v>0</v>
      </c>
      <c r="F10" s="151">
        <f>COUNTIFS(worksheet!Y3:Y1592,"1",worksheet!T3:T1592,"&gt;30.04.2016",worksheet!T3:T1592,"&lt;01.06.2016")</f>
        <v>0</v>
      </c>
      <c r="G10" s="151">
        <f>COUNTIFS(worksheet!Y3:Y835,"1",worksheet!T3:T835,"&gt;31.05.2016",worksheet!T3:T835,"&lt;01.07.2016")</f>
        <v>0</v>
      </c>
      <c r="H10" s="151">
        <f>COUNTIFS(worksheet!Y3:Y835,"1",worksheet!T3:T835,"&gt;30.06.2016",worksheet!T3:T835,"&lt;01.08.2016")</f>
        <v>0</v>
      </c>
      <c r="I10" s="151">
        <f>COUNTIFS(worksheet!Y3:Y835,"1",worksheet!T3:T835,"&gt;31.07.2016",worksheet!T3:T835,"&lt;01.09.2016")</f>
        <v>0</v>
      </c>
      <c r="J10" s="151">
        <f>COUNTIFS(worksheet!Y3:Y835,"1",worksheet!T3:T835,"&gt;31.08.2016",worksheet!T3:T835,"&lt;01.10.2016")</f>
        <v>0</v>
      </c>
      <c r="K10" s="151">
        <f>COUNTIFS(worksheet!Y3:Y835,"1",worksheet!T3:T835,"&gt;30.09.2016",worksheet!T3:T835,"&lt;01.11.2016")</f>
        <v>0</v>
      </c>
      <c r="L10" s="151">
        <f>COUNTIFS(worksheet!Y3:Y835,"1",worksheet!T3:T835,"&gt;31.10.2016",worksheet!T3:T835,"&lt;01.12.2016")</f>
        <v>0</v>
      </c>
      <c r="M10" s="151">
        <f>COUNTIFS(worksheet!Y3:Y835,"1",worksheet!T3:T835,"&gt;30.11.2016",worksheet!T3:T835,"&lt;01.01.2017")</f>
        <v>0</v>
      </c>
    </row>
    <row r="11" spans="2:13" ht="14.1" customHeight="1" thickBot="1" x14ac:dyDescent="0.25">
      <c r="B11" s="1209" t="s">
        <v>2039</v>
      </c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1"/>
    </row>
    <row r="12" spans="2:13" ht="24.95" customHeight="1" thickBot="1" x14ac:dyDescent="0.25">
      <c r="B12" s="156">
        <v>127</v>
      </c>
      <c r="C12" s="156">
        <v>117</v>
      </c>
      <c r="D12" s="156">
        <v>122</v>
      </c>
      <c r="E12" s="156">
        <v>129</v>
      </c>
      <c r="F12" s="156">
        <v>112</v>
      </c>
      <c r="G12" s="156">
        <v>138</v>
      </c>
      <c r="H12" s="156">
        <v>161</v>
      </c>
      <c r="I12" s="156">
        <v>140</v>
      </c>
      <c r="J12" s="156">
        <v>138</v>
      </c>
      <c r="K12" s="156">
        <v>163</v>
      </c>
      <c r="L12" s="156">
        <v>126</v>
      </c>
      <c r="M12" s="156">
        <v>122</v>
      </c>
    </row>
    <row r="13" spans="2:13" ht="14.1" customHeight="1" thickBot="1" x14ac:dyDescent="0.25">
      <c r="B13" s="1199" t="s">
        <v>2030</v>
      </c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1"/>
    </row>
    <row r="14" spans="2:13" ht="24.95" customHeight="1" thickBot="1" x14ac:dyDescent="0.25">
      <c r="B14" s="155">
        <f>B10/B12</f>
        <v>0</v>
      </c>
      <c r="C14" s="155">
        <f t="shared" ref="C14:M14" si="0">C10/C12</f>
        <v>0</v>
      </c>
      <c r="D14" s="155">
        <f t="shared" si="0"/>
        <v>0</v>
      </c>
      <c r="E14" s="155">
        <f t="shared" si="0"/>
        <v>0</v>
      </c>
      <c r="F14" s="155">
        <f t="shared" si="0"/>
        <v>0</v>
      </c>
      <c r="G14" s="155">
        <f t="shared" si="0"/>
        <v>0</v>
      </c>
      <c r="H14" s="155">
        <f t="shared" si="0"/>
        <v>0</v>
      </c>
      <c r="I14" s="155">
        <f t="shared" si="0"/>
        <v>0</v>
      </c>
      <c r="J14" s="155">
        <f t="shared" si="0"/>
        <v>0</v>
      </c>
      <c r="K14" s="155">
        <f t="shared" si="0"/>
        <v>0</v>
      </c>
      <c r="L14" s="155">
        <f t="shared" si="0"/>
        <v>0</v>
      </c>
      <c r="M14" s="155">
        <f t="shared" si="0"/>
        <v>0</v>
      </c>
    </row>
    <row r="15" spans="2:13" s="334" customFormat="1" ht="20.100000000000001" customHeight="1" thickTop="1" thickBot="1" x14ac:dyDescent="0.25">
      <c r="B15" s="1212" t="s">
        <v>2926</v>
      </c>
      <c r="C15" s="1213"/>
      <c r="D15" s="1213"/>
      <c r="E15" s="1213"/>
      <c r="F15" s="1213"/>
      <c r="G15" s="1213"/>
      <c r="H15" s="1213"/>
      <c r="I15" s="1213"/>
      <c r="J15" s="1213"/>
      <c r="K15" s="1213"/>
      <c r="L15" s="1213"/>
      <c r="M15" s="1214"/>
    </row>
    <row r="16" spans="2:13" s="334" customFormat="1" ht="12.75" customHeight="1" thickBot="1" x14ac:dyDescent="0.25">
      <c r="B16" s="1215" t="s">
        <v>2031</v>
      </c>
      <c r="C16" s="1216"/>
      <c r="D16" s="1216"/>
      <c r="E16" s="1216"/>
      <c r="F16" s="1216"/>
      <c r="G16" s="1216"/>
      <c r="H16" s="1216"/>
      <c r="I16" s="1216"/>
      <c r="J16" s="1216"/>
      <c r="K16" s="1216"/>
      <c r="L16" s="1216"/>
      <c r="M16" s="1217"/>
    </row>
    <row r="17" spans="2:13" s="334" customFormat="1" ht="50.1" customHeight="1" thickBot="1" x14ac:dyDescent="0.25">
      <c r="B17" s="335" t="s">
        <v>2018</v>
      </c>
      <c r="C17" s="336" t="s">
        <v>2019</v>
      </c>
      <c r="D17" s="336" t="s">
        <v>2020</v>
      </c>
      <c r="E17" s="336" t="s">
        <v>2021</v>
      </c>
      <c r="F17" s="336" t="s">
        <v>2022</v>
      </c>
      <c r="G17" s="336" t="s">
        <v>2023</v>
      </c>
      <c r="H17" s="336" t="s">
        <v>2024</v>
      </c>
      <c r="I17" s="336" t="s">
        <v>2025</v>
      </c>
      <c r="J17" s="336" t="s">
        <v>2026</v>
      </c>
      <c r="K17" s="336" t="s">
        <v>2027</v>
      </c>
      <c r="L17" s="336" t="s">
        <v>2028</v>
      </c>
      <c r="M17" s="337" t="s">
        <v>2029</v>
      </c>
    </row>
    <row r="18" spans="2:13" s="334" customFormat="1" ht="24.95" customHeight="1" thickBot="1" x14ac:dyDescent="0.25">
      <c r="B18" s="343">
        <f ca="1">COUNTIFS(worksheet!O3:O4838,"&gt;-1",worksheet!Y3:Y4838,"1",worksheet!T3:T4838,"&gt;31.12.2016",worksheet!T3:T4838,"&lt;01.02.2017")</f>
        <v>0</v>
      </c>
      <c r="C18" s="344">
        <f ca="1">COUNTIFS(worksheet!O3:O1338,"&gt;=0",worksheet!Y3:Y1338,"1",worksheet!T3:T1338,"&gt;31.01.2017",worksheet!T3:T1338,"&lt;01.03.2017")</f>
        <v>21</v>
      </c>
      <c r="D18" s="344">
        <f ca="1">COUNTIFS(worksheet!O3:O1338,"&gt;=0",worksheet!Y3:Y1338,"1",worksheet!T3:T1338,"&gt;28.02.2017",worksheet!T3:T1338,"&lt;01.04.2017")</f>
        <v>37</v>
      </c>
      <c r="E18" s="344">
        <f ca="1">COUNTIFS(worksheet!O3:O1338,"&gt;=0",worksheet!Y3:Y1338,"1",worksheet!T3:T1338,"&gt;31.03.2017",worksheet!T3:T1338,"&lt;01.05.2017")</f>
        <v>25</v>
      </c>
      <c r="F18" s="344">
        <f ca="1">COUNTIFS(worksheet!O3:O1338,"&gt;=0",worksheet!Y3:Y1338,"1",worksheet!T3:T1338,"&gt;30.04.2017",worksheet!T3:T1338,"&lt;01.06.2017")</f>
        <v>36</v>
      </c>
      <c r="G18" s="344">
        <f ca="1">COUNTIFS(worksheet!O3:O1338,"&gt;=0",worksheet!Y3:Y1338,"1",worksheet!T3:T1338,"&gt;31.05.2017",worksheet!T3:T1338,"&lt;01.07.2017")</f>
        <v>38</v>
      </c>
      <c r="H18" s="344">
        <f ca="1">COUNTIFS(worksheet!O3:O1338,"&gt;=0",worksheet!Y3:Y1338,"1",worksheet!T3:T1338,"&gt;30.06.2017",worksheet!T3:T1338,"&lt;01.08.2017")</f>
        <v>45</v>
      </c>
      <c r="I18" s="344">
        <f ca="1">COUNTIFS(worksheet!O3:O1338,"&gt;=0",worksheet!Y3:Y1338,"1",worksheet!T3:T1338,"&gt;31.07.2017",worksheet!T3:T1338,"&lt;01.09.2017")</f>
        <v>34</v>
      </c>
      <c r="J18" s="344">
        <f ca="1">COUNTIFS(worksheet!O3:O1338,"&gt;=0",worksheet!Y3:Y1338,"1",worksheet!T3:T1338,"&gt;31.08.2017",worksheet!T3:T1338,"&lt;01.10.2017")</f>
        <v>34</v>
      </c>
      <c r="K18" s="344">
        <f ca="1">COUNTIFS(worksheet!O3:O1338,"&gt;=0",worksheet!Y3:Y1338,"1",worksheet!T3:T1338,"&gt;30.09.2017",worksheet!T3:T1338,"&lt;01.11.2017")</f>
        <v>28</v>
      </c>
      <c r="L18" s="344">
        <f ca="1">COUNTIFS(worksheet!O3:O1338,"&gt;=0",worksheet!Y3:Y1338,"1",worksheet!T3:T1338,"&gt;31.10.2017",worksheet!T3:T1338,"&lt;01.12.2017")</f>
        <v>0</v>
      </c>
      <c r="M18" s="345">
        <f ca="1">COUNTIFS(worksheet!O3:O1338,"&gt;=0",worksheet!Y3:Y1338,"1",worksheet!T3:T1338,"&gt;30.11.2017",worksheet!T3:T1338,"&lt;01.01.2018")</f>
        <v>0</v>
      </c>
    </row>
    <row r="19" spans="2:13" s="334" customFormat="1" ht="14.1" customHeight="1" thickBot="1" x14ac:dyDescent="0.25">
      <c r="B19" s="1218" t="s">
        <v>2315</v>
      </c>
      <c r="C19" s="1219"/>
      <c r="D19" s="1219"/>
      <c r="E19" s="1219"/>
      <c r="F19" s="1219"/>
      <c r="G19" s="1219"/>
      <c r="H19" s="1219"/>
      <c r="I19" s="1219"/>
      <c r="J19" s="1219"/>
      <c r="K19" s="1219"/>
      <c r="L19" s="1219"/>
      <c r="M19" s="1220"/>
    </row>
    <row r="20" spans="2:13" s="334" customFormat="1" ht="24.95" customHeight="1" thickBot="1" x14ac:dyDescent="0.25">
      <c r="B20" s="353">
        <v>81</v>
      </c>
      <c r="C20" s="354">
        <v>97</v>
      </c>
      <c r="D20" s="354">
        <v>94</v>
      </c>
      <c r="E20" s="354">
        <v>65</v>
      </c>
      <c r="F20" s="354">
        <v>90</v>
      </c>
      <c r="G20" s="354">
        <v>132</v>
      </c>
      <c r="H20" s="354"/>
      <c r="I20" s="354"/>
      <c r="J20" s="354"/>
      <c r="K20" s="354"/>
      <c r="L20" s="354"/>
      <c r="M20" s="355"/>
    </row>
    <row r="21" spans="2:13" s="334" customFormat="1" ht="14.1" customHeight="1" thickBot="1" x14ac:dyDescent="0.25">
      <c r="B21" s="1221" t="s">
        <v>2030</v>
      </c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3"/>
    </row>
    <row r="22" spans="2:13" s="334" customFormat="1" ht="24.95" customHeight="1" thickBot="1" x14ac:dyDescent="0.25">
      <c r="B22" s="338">
        <f ca="1">B18/B20</f>
        <v>0</v>
      </c>
      <c r="C22" s="201">
        <f t="shared" ref="C22:M22" ca="1" si="1">C18/C20</f>
        <v>0.21649484536082475</v>
      </c>
      <c r="D22" s="201">
        <f t="shared" ca="1" si="1"/>
        <v>0.39361702127659576</v>
      </c>
      <c r="E22" s="201">
        <f t="shared" ca="1" si="1"/>
        <v>0.38461538461538464</v>
      </c>
      <c r="F22" s="201">
        <f t="shared" ca="1" si="1"/>
        <v>0.4</v>
      </c>
      <c r="G22" s="201">
        <f t="shared" ca="1" si="1"/>
        <v>0.2878787878787879</v>
      </c>
      <c r="H22" s="201" t="e">
        <f t="shared" ca="1" si="1"/>
        <v>#DIV/0!</v>
      </c>
      <c r="I22" s="201" t="e">
        <f t="shared" ca="1" si="1"/>
        <v>#DIV/0!</v>
      </c>
      <c r="J22" s="201" t="e">
        <f t="shared" ca="1" si="1"/>
        <v>#DIV/0!</v>
      </c>
      <c r="K22" s="201" t="e">
        <f t="shared" ca="1" si="1"/>
        <v>#DIV/0!</v>
      </c>
      <c r="L22" s="201" t="e">
        <f t="shared" ca="1" si="1"/>
        <v>#DIV/0!</v>
      </c>
      <c r="M22" s="339" t="e">
        <f t="shared" ca="1" si="1"/>
        <v>#DIV/0!</v>
      </c>
    </row>
    <row r="23" spans="2:13" s="334" customFormat="1" ht="20.100000000000001" customHeight="1" thickTop="1" thickBot="1" x14ac:dyDescent="0.25">
      <c r="B23" s="1236" t="s">
        <v>2927</v>
      </c>
      <c r="C23" s="1237"/>
      <c r="D23" s="1237"/>
      <c r="E23" s="1237"/>
      <c r="F23" s="1237"/>
      <c r="G23" s="1237"/>
      <c r="H23" s="1237"/>
      <c r="I23" s="1237"/>
      <c r="J23" s="1237"/>
      <c r="K23" s="1237"/>
      <c r="L23" s="1237"/>
      <c r="M23" s="1238"/>
    </row>
    <row r="24" spans="2:13" s="334" customFormat="1" ht="12.75" customHeight="1" thickBot="1" x14ac:dyDescent="0.25">
      <c r="B24" s="1239" t="s">
        <v>2031</v>
      </c>
      <c r="C24" s="1240"/>
      <c r="D24" s="1240"/>
      <c r="E24" s="1240"/>
      <c r="F24" s="1240"/>
      <c r="G24" s="1240"/>
      <c r="H24" s="1240"/>
      <c r="I24" s="1240"/>
      <c r="J24" s="1240"/>
      <c r="K24" s="1240"/>
      <c r="L24" s="1240"/>
      <c r="M24" s="1241"/>
    </row>
    <row r="25" spans="2:13" s="334" customFormat="1" ht="50.1" customHeight="1" thickBot="1" x14ac:dyDescent="0.25">
      <c r="B25" s="340" t="s">
        <v>2018</v>
      </c>
      <c r="C25" s="341" t="s">
        <v>2019</v>
      </c>
      <c r="D25" s="341" t="s">
        <v>2020</v>
      </c>
      <c r="E25" s="341" t="s">
        <v>2021</v>
      </c>
      <c r="F25" s="341" t="s">
        <v>2022</v>
      </c>
      <c r="G25" s="341" t="s">
        <v>2023</v>
      </c>
      <c r="H25" s="341" t="s">
        <v>2024</v>
      </c>
      <c r="I25" s="341" t="s">
        <v>2025</v>
      </c>
      <c r="J25" s="341" t="s">
        <v>2026</v>
      </c>
      <c r="K25" s="341" t="s">
        <v>2027</v>
      </c>
      <c r="L25" s="341" t="s">
        <v>2028</v>
      </c>
      <c r="M25" s="342" t="s">
        <v>2029</v>
      </c>
    </row>
    <row r="26" spans="2:13" s="334" customFormat="1" ht="24.95" customHeight="1" thickBot="1" x14ac:dyDescent="0.25">
      <c r="B26" s="346">
        <f>COUNTIFS(worksheet!AR3:AR1838,"НЕТЕЛЬ",worksheet!T3:T1838,"&gt;31.12.2016",worksheet!T3:T1838,"&lt;01.02.2017")</f>
        <v>0</v>
      </c>
      <c r="C26" s="347">
        <f>COUNTIFS(worksheet!AR3:AR1838,"НЕТЕЛЬ",worksheet!T3:T1838,"&gt;31.01.2017",worksheet!T3:T1838,"&lt;01.03.2017")</f>
        <v>4</v>
      </c>
      <c r="D26" s="347">
        <f>COUNTIFS(worksheet!AR3:AR1838,"НЕТЕЛЬ",worksheet!T3:T1838,"&gt;28.02.2017",worksheet!T3:T1838,"&lt;01.04.2017")</f>
        <v>19</v>
      </c>
      <c r="E26" s="347">
        <f>COUNTIFS(worksheet!AR3:AR1838,"НЕТЕЛЬ",worksheet!T3:T1838,"&gt;31.03.2017",worksheet!T3:T1838,"&lt;01.05.2017")</f>
        <v>28</v>
      </c>
      <c r="F26" s="347">
        <f>COUNTIFS(worksheet!AR3:AR1838,"НЕТЕЛЬ",worksheet!T3:T1838,"&gt;30.04.2017",worksheet!T3:T1838,"&lt;01.06.2017")</f>
        <v>46</v>
      </c>
      <c r="G26" s="347">
        <f>COUNTIFS(worksheet!AR3:AR1838,"НЕТЕЛЬ",worksheet!T3:T1838,"&gt;31.05.2017",worksheet!T3:T1838,"&lt;01.07.2017")</f>
        <v>41</v>
      </c>
      <c r="H26" s="347">
        <f>COUNTIFS(worksheet!AR3:AR1838,"НЕТЕЛЬ",worksheet!T3:T1838,"&gt;30.06.2017",worksheet!T3:T1838,"&lt;01.08.2017")</f>
        <v>35</v>
      </c>
      <c r="I26" s="347">
        <f>COUNTIFS(worksheet!AR3:AR1838,"НЕТЕЛЬ",worksheet!T3:T1838,"&gt;31.07.2017",worksheet!T3:T1838,"&lt;01.09.2017")</f>
        <v>38</v>
      </c>
      <c r="J26" s="347">
        <f>COUNTIFS(worksheet!AR3:AR1838,"НЕТЕЛЬ",worksheet!T3:T1838,"&gt;31.08.2017",worksheet!T3:T1838,"&lt;01.10.2017")</f>
        <v>3</v>
      </c>
      <c r="K26" s="347">
        <f>COUNTIFS(worksheet!AR3:AR1838,"НЕТЕЛЬ",worksheet!T3:T1838,"&gt;30.09.2017",worksheet!T3:T1838,"&lt;01.11.2017")</f>
        <v>0</v>
      </c>
      <c r="L26" s="347">
        <f>COUNTIFS(worksheet!AR3:AR1838,"НЕТЕЛЬ",worksheet!T3:T1838,"&gt;31.10.2017",worksheet!T3:T1838,"&lt;01.12.2017")</f>
        <v>0</v>
      </c>
      <c r="M26" s="348">
        <f>COUNTIFS(worksheet!AR3:AR1838,"НЕТЕЛЬ",worksheet!T3:T1838,"&gt;30.11.2017",worksheet!T3:T1838,"&lt;01.01.2018")</f>
        <v>0</v>
      </c>
    </row>
    <row r="27" spans="2:13" s="334" customFormat="1" ht="14.1" customHeight="1" thickBot="1" x14ac:dyDescent="0.25">
      <c r="B27" s="1186" t="s">
        <v>2315</v>
      </c>
      <c r="C27" s="1187"/>
      <c r="D27" s="1187"/>
      <c r="E27" s="1187"/>
      <c r="F27" s="1187"/>
      <c r="G27" s="1187"/>
      <c r="H27" s="1187"/>
      <c r="I27" s="1187"/>
      <c r="J27" s="1187"/>
      <c r="K27" s="1187"/>
      <c r="L27" s="1187"/>
      <c r="M27" s="1188"/>
    </row>
    <row r="28" spans="2:13" s="334" customFormat="1" ht="24.95" customHeight="1" thickBot="1" x14ac:dyDescent="0.25">
      <c r="B28" s="353">
        <v>24</v>
      </c>
      <c r="C28" s="354">
        <v>20</v>
      </c>
      <c r="D28" s="354">
        <v>31</v>
      </c>
      <c r="E28" s="354">
        <v>17</v>
      </c>
      <c r="F28" s="354">
        <v>21</v>
      </c>
      <c r="G28" s="354">
        <v>40</v>
      </c>
      <c r="H28" s="354"/>
      <c r="I28" s="354"/>
      <c r="J28" s="354"/>
      <c r="K28" s="354"/>
      <c r="L28" s="354"/>
      <c r="M28" s="355"/>
    </row>
    <row r="29" spans="2:13" s="334" customFormat="1" ht="14.1" customHeight="1" thickBot="1" x14ac:dyDescent="0.25">
      <c r="B29" s="1189" t="s">
        <v>2030</v>
      </c>
      <c r="C29" s="1190"/>
      <c r="D29" s="1190"/>
      <c r="E29" s="1190"/>
      <c r="F29" s="1190"/>
      <c r="G29" s="1190"/>
      <c r="H29" s="1190"/>
      <c r="I29" s="1190"/>
      <c r="J29" s="1190"/>
      <c r="K29" s="1190"/>
      <c r="L29" s="1190"/>
      <c r="M29" s="1191"/>
    </row>
    <row r="30" spans="2:13" s="334" customFormat="1" ht="24.95" customHeight="1" thickBot="1" x14ac:dyDescent="0.25">
      <c r="B30" s="370">
        <f>B26/B28</f>
        <v>0</v>
      </c>
      <c r="C30" s="371">
        <f t="shared" ref="C30:M30" si="2">C26/C28</f>
        <v>0.2</v>
      </c>
      <c r="D30" s="371">
        <f t="shared" si="2"/>
        <v>0.61290322580645162</v>
      </c>
      <c r="E30" s="371">
        <f t="shared" si="2"/>
        <v>1.6470588235294117</v>
      </c>
      <c r="F30" s="371">
        <f t="shared" si="2"/>
        <v>2.1904761904761907</v>
      </c>
      <c r="G30" s="371">
        <f t="shared" si="2"/>
        <v>1.0249999999999999</v>
      </c>
      <c r="H30" s="371" t="e">
        <f t="shared" si="2"/>
        <v>#DIV/0!</v>
      </c>
      <c r="I30" s="371" t="e">
        <f t="shared" si="2"/>
        <v>#DIV/0!</v>
      </c>
      <c r="J30" s="371" t="e">
        <f t="shared" si="2"/>
        <v>#DIV/0!</v>
      </c>
      <c r="K30" s="371" t="e">
        <f t="shared" si="2"/>
        <v>#DIV/0!</v>
      </c>
      <c r="L30" s="371" t="e">
        <f t="shared" si="2"/>
        <v>#DIV/0!</v>
      </c>
      <c r="M30" s="372" t="e">
        <f t="shared" si="2"/>
        <v>#DIV/0!</v>
      </c>
    </row>
    <row r="31" spans="2:13" ht="20.100000000000001" customHeight="1" thickTop="1" thickBot="1" x14ac:dyDescent="0.25">
      <c r="B31" s="1230" t="s">
        <v>2969</v>
      </c>
      <c r="C31" s="1231"/>
      <c r="D31" s="1231"/>
      <c r="E31" s="1231"/>
      <c r="F31" s="1231"/>
      <c r="G31" s="1231"/>
      <c r="H31" s="1231"/>
      <c r="I31" s="1231"/>
      <c r="J31" s="1231"/>
      <c r="K31" s="1231"/>
      <c r="L31" s="1231"/>
      <c r="M31" s="1232"/>
    </row>
    <row r="32" spans="2:13" ht="24.95" customHeight="1" thickBot="1" x14ac:dyDescent="0.25">
      <c r="B32" s="373">
        <f>COUNTIFS(worksheet!Y3:Y1592,"1",worksheet!AM3:AM1592,"&gt;31.12.2017",worksheet!AM3:AM1592,"&lt;01.02.2018")</f>
        <v>55</v>
      </c>
      <c r="C32" s="369">
        <f>COUNTIFS(worksheet!Y3:Y1592,"1",worksheet!AM3:AM1592,"&gt;31.01.2018",worksheet!AM3:AM1592,"&lt;01.03.2018")</f>
        <v>83</v>
      </c>
      <c r="D32" s="369">
        <f>COUNTIFS(worksheet!Y3:Y1592,"1",worksheet!AM3:AM1592,"&gt;28.02.2018",worksheet!AM3:AM1592,"&lt;01.04.2018")</f>
        <v>76</v>
      </c>
      <c r="E32" s="369">
        <f>COUNTIFS(worksheet!Y3:Y1592,"1",worksheet!AM3:AM1592,"&gt;31.03.2018",worksheet!AM3:AM1592,"&lt;01.05.2018")</f>
        <v>72</v>
      </c>
      <c r="F32" s="369">
        <f>COUNTIFS(worksheet!Y3:Y1592,"1",worksheet!AM3:AM1592,"&gt;30.04.2018",worksheet!AM3:AM1592,"&lt;01.06.2018")</f>
        <v>82</v>
      </c>
      <c r="G32" s="369">
        <f>COUNTIFS(worksheet!Y3:Y1592,"1",worksheet!AM3:AM1592,"&gt;31.05.2018",worksheet!AM3:AM1592,"&lt;01.07.2018")</f>
        <v>40</v>
      </c>
      <c r="H32" s="152">
        <f>COUNTIFS(worksheet!Y3:Y1592,"1",worksheet!AM3:AM1592,"&gt;30.06.2017",worksheet!AM3:AM1592,"&lt;01.08.2017")</f>
        <v>0</v>
      </c>
      <c r="I32" s="152">
        <f>COUNTIFS(worksheet!Y3:Y1592,"1",worksheet!AM3:AM1592,"&gt;31.07.2017",worksheet!AM3:AM1592,"&lt;01.09.2017")</f>
        <v>0</v>
      </c>
      <c r="J32" s="152">
        <f>COUNTIFS(worksheet!Y3:Y1592,"1",worksheet!AM3:AM1592,"&gt;31.08.2017",worksheet!AM3:AM1592,"&lt;01.10.2017")</f>
        <v>0</v>
      </c>
      <c r="K32" s="152">
        <f>COUNTIFS(worksheet!Y3:Y1592,"1",worksheet!AM3:AM1592,"&gt;30.09.2017",worksheet!AM3:AM1592,"&lt;01.11.2017")</f>
        <v>0</v>
      </c>
      <c r="L32" s="152">
        <f>COUNTIFS(worksheet!Y3:Y1592,"1",worksheet!AM3:AM1592,"&gt;31.10.2017",worksheet!AM3:AM1592,"&lt;01.12.2017")</f>
        <v>18</v>
      </c>
      <c r="M32" s="374">
        <f>COUNTIFS(worksheet!Y3:Y1592,"1",worksheet!AM3:AM1592,"&gt;30.11.2017",worksheet!AM3:AM1592,"&lt;01.01.2018")</f>
        <v>50</v>
      </c>
    </row>
    <row r="33" spans="2:13" ht="20.100000000000001" customHeight="1" thickBot="1" x14ac:dyDescent="0.25">
      <c r="B33" s="1247" t="s">
        <v>2970</v>
      </c>
      <c r="C33" s="1248"/>
      <c r="D33" s="1248"/>
      <c r="E33" s="1248"/>
      <c r="F33" s="1248"/>
      <c r="G33" s="1248"/>
      <c r="H33" s="1248"/>
      <c r="I33" s="1248"/>
      <c r="J33" s="1248"/>
      <c r="K33" s="1248"/>
      <c r="L33" s="1248"/>
      <c r="M33" s="1249"/>
    </row>
    <row r="34" spans="2:13" ht="24.95" customHeight="1" thickBot="1" x14ac:dyDescent="0.25">
      <c r="B34" s="375">
        <f>COUNTIFS(worksheet!AR3:AR1762,"НЕТЕЛЬ",worksheet!Y3:Y1762,"1",worksheet!AM3:AM1762,"&gt;31.12.2017",worksheet!AM3:AM1762,"&lt;01.02.2018")</f>
        <v>25</v>
      </c>
      <c r="C34" s="376">
        <f>COUNTIFS(worksheet!AR3:AR1762,"НЕТЕЛЬ",worksheet!Y3:Y1762,"1",worksheet!AM3:AM1762,"&gt;31.01.2018",worksheet!AM3:AM1762,"&lt;01.03.2018")</f>
        <v>46</v>
      </c>
      <c r="D34" s="376">
        <f>COUNTIFS(worksheet!AR3:AR1762,"НЕТЕЛЬ",worksheet!Y3:Y1762,"1",worksheet!AM3:AM1762,"&gt;28.02.2018",worksheet!AM3:AM1762,"&lt;01.04.2018")</f>
        <v>46</v>
      </c>
      <c r="E34" s="376">
        <f>COUNTIFS(worksheet!AR3:AR1762,"НЕТЕЛЬ",worksheet!Y3:Y1762,"1",worksheet!AM3:AM1762,"&gt;31.03.2018",worksheet!AM3:AM1762,"&lt;01.05.2018")</f>
        <v>27</v>
      </c>
      <c r="F34" s="376">
        <f>COUNTIFS(worksheet!AR3:AR1762,"НЕТЕЛЬ",worksheet!Y3:Y1762,"1",worksheet!AM3:AM1762,"&gt;30.04.2018",worksheet!AM3:AM1762,"&lt;01.06.2018")</f>
        <v>42</v>
      </c>
      <c r="G34" s="376">
        <f>COUNTIFS(worksheet!AR3:AR1762,"НЕТЕЛЬ",worksheet!Y3:Y1762,"1",worksheet!AM3:AM1762,"&gt;31.05.2018",worksheet!AM3:AM1762,"&lt;01.07.2018")</f>
        <v>9</v>
      </c>
      <c r="H34" s="377">
        <f>COUNTIFS(worksheet!AR3:AR1762,"НЕТЕЛЬ",worksheet!Y3:Y1762,"1",worksheet!AM3:AM1762,"&gt;30.06.2017",worksheet!AM3:AM1762,"&lt;01.08.2017")</f>
        <v>0</v>
      </c>
      <c r="I34" s="377">
        <f>COUNTIFS(worksheet!AR3:AR1762,"НЕТЕЛЬ",worksheet!Y3:Y1762,"1",worksheet!AM3:AM1762,"&gt;31.07.2017",worksheet!AM3:AM1762,"&lt;01.09.2017")</f>
        <v>0</v>
      </c>
      <c r="J34" s="377">
        <f>COUNTIFS(worksheet!AR3:AR1762,"НЕТЕЛЬ",worksheet!Y3:Y1762,"1",worksheet!AM3:AM1762,"&gt;31.08.2017",worksheet!AM3:AM1762,"&lt;01.10.2017")</f>
        <v>0</v>
      </c>
      <c r="K34" s="377">
        <f>COUNTIFS(worksheet!AR3:AR1762,"НЕТЕЛЬ",worksheet!Y3:Y1762,"1",worksheet!AM3:AM1762,"&gt;30.09.2017",worksheet!AM3:AM1762,"&lt;01.11.2017")</f>
        <v>0</v>
      </c>
      <c r="L34" s="377">
        <f>COUNTIFS(worksheet!AR3:AR1762,"НЕТЕЛЬ",worksheet!Y3:Y1762,"1",worksheet!AM3:AM1762,"&gt;31.10.2017",worksheet!AM3:AM1762,"&lt;01.12.2017")</f>
        <v>1</v>
      </c>
      <c r="M34" s="378">
        <f>COUNTIFS(worksheet!AR3:AR1762,"НЕТЕЛЬ",worksheet!Y3:Y1762,"1",worksheet!AM3:AM1762,"&gt;30.11.2017",worksheet!AM3:AM1762,"&lt;01.01.2018")</f>
        <v>18</v>
      </c>
    </row>
    <row r="35" spans="2:13" ht="20.100000000000001" customHeight="1" thickTop="1" thickBot="1" x14ac:dyDescent="0.25">
      <c r="B35" s="1268" t="s">
        <v>2066</v>
      </c>
      <c r="C35" s="1269"/>
      <c r="D35" s="1269"/>
      <c r="E35" s="1269"/>
      <c r="F35" s="1269"/>
      <c r="G35" s="1269"/>
      <c r="H35" s="1269"/>
      <c r="I35" s="1269"/>
      <c r="J35" s="1269"/>
      <c r="K35" s="1269"/>
      <c r="L35" s="1269"/>
      <c r="M35" s="1270"/>
    </row>
    <row r="36" spans="2:13" ht="10.5" customHeight="1" thickBot="1" x14ac:dyDescent="0.25">
      <c r="B36" s="148">
        <v>1</v>
      </c>
      <c r="C36" s="149">
        <v>2</v>
      </c>
      <c r="D36" s="150">
        <v>3</v>
      </c>
      <c r="E36" s="149">
        <v>4</v>
      </c>
      <c r="F36" s="150">
        <v>5</v>
      </c>
      <c r="G36" s="149">
        <v>6</v>
      </c>
      <c r="H36" s="150">
        <v>7</v>
      </c>
      <c r="I36" s="149">
        <v>8</v>
      </c>
      <c r="J36" s="150">
        <v>9</v>
      </c>
      <c r="K36" s="149">
        <v>10</v>
      </c>
      <c r="L36" s="150">
        <v>11</v>
      </c>
      <c r="M36" s="149">
        <v>12</v>
      </c>
    </row>
    <row r="37" spans="2:13" ht="24.95" customHeight="1" thickBot="1" x14ac:dyDescent="0.25">
      <c r="B37" s="153">
        <f ca="1">COUNTIFS(worksheet!Y3:Y2092,"1",worksheet!W3:W2092,"1",worksheet!O3:O2092,"&gt;-1")</f>
        <v>127</v>
      </c>
      <c r="C37" s="153">
        <f ca="1">COUNTIFS(worksheet!Y3:Y2092,"1",worksheet!W3:W2092,"2",worksheet!O3:O2092,"&gt;-1")</f>
        <v>71</v>
      </c>
      <c r="D37" s="153">
        <f ca="1">COUNTIFS(worksheet!Y3:Y2092,"1",worksheet!W3:W2092,"3",worksheet!O3:O2092,"&gt;-1")</f>
        <v>47</v>
      </c>
      <c r="E37" s="153">
        <f ca="1">COUNTIFS(worksheet!Y3:Y2092,"1",worksheet!W3:W2092,"4",worksheet!O3:O2092,"&gt;-1")</f>
        <v>39</v>
      </c>
      <c r="F37" s="153">
        <f ca="1">COUNTIFS(worksheet!Y3:Y2092,"1",worksheet!W3:W2092,"5",worksheet!O3:O2092,"&gt;-1")</f>
        <v>9</v>
      </c>
      <c r="G37" s="153">
        <f ca="1">COUNTIFS(worksheet!Y3:Y2092,"1",worksheet!W3:W2092,"6",worksheet!O3:O2092,"&gt;-1")</f>
        <v>3</v>
      </c>
      <c r="H37" s="153">
        <f ca="1">COUNTIFS(worksheet!Y3:Y2092,"1",worksheet!W3:W2092,"7",worksheet!O3:O2092,"&gt;-1")</f>
        <v>2</v>
      </c>
      <c r="I37" s="153">
        <f>COUNTIFS(worksheet!Y3:Y2092,"1",worksheet!W3:W2092,"8",worksheet!O3:O2092,"&gt;-1")</f>
        <v>0</v>
      </c>
      <c r="J37" s="153">
        <f>COUNTIFS(worksheet!Y3:Y2092,"1",worksheet!W3:W2092,"9",worksheet!O3:O2092,"&gt;-1")</f>
        <v>0</v>
      </c>
      <c r="K37" s="153">
        <f>COUNTIFS(worksheet!Y3:Y2092,"1",worksheet!W3:W2092,"10",worksheet!O3:O2092,"&gt;-1")</f>
        <v>0</v>
      </c>
      <c r="L37" s="153">
        <f>COUNTIFS(worksheet!Y3:Y2092,"1",worksheet!W3:W2092,"11",worksheet!O3:O2092,"&gt;-1")</f>
        <v>0</v>
      </c>
      <c r="M37" s="153">
        <f>COUNTIFS(worksheet!Y3:Y2092,"1",worksheet!W3:W2092,"12",worksheet!O3:O2092,"&gt;-1")</f>
        <v>0</v>
      </c>
    </row>
    <row r="38" spans="2:13" ht="14.1" customHeight="1" thickBot="1" x14ac:dyDescent="0.25">
      <c r="B38" s="1271" t="s">
        <v>1484</v>
      </c>
      <c r="C38" s="1272"/>
      <c r="D38" s="1272"/>
      <c r="E38" s="1272"/>
      <c r="F38" s="1272"/>
      <c r="G38" s="1272"/>
      <c r="H38" s="1272"/>
      <c r="I38" s="1272"/>
      <c r="J38" s="1272"/>
      <c r="K38" s="1272"/>
      <c r="L38" s="1272"/>
      <c r="M38" s="1273"/>
    </row>
    <row r="39" spans="2:13" ht="24.95" customHeight="1" thickBot="1" x14ac:dyDescent="0.25">
      <c r="B39" s="1183">
        <f ca="1">SUM(B37:M37)</f>
        <v>298</v>
      </c>
      <c r="C39" s="1179"/>
      <c r="D39" s="1179"/>
      <c r="E39" s="1179"/>
      <c r="F39" s="1179"/>
      <c r="G39" s="1179"/>
      <c r="H39" s="1179"/>
      <c r="I39" s="1179"/>
      <c r="J39" s="1179"/>
      <c r="K39" s="1179"/>
      <c r="L39" s="1179"/>
      <c r="M39" s="1180"/>
    </row>
    <row r="40" spans="2:13" ht="14.1" customHeight="1" thickBot="1" x14ac:dyDescent="0.25">
      <c r="B40" s="1271" t="s">
        <v>2067</v>
      </c>
      <c r="C40" s="1272"/>
      <c r="D40" s="1272"/>
      <c r="E40" s="1272"/>
      <c r="F40" s="1272"/>
      <c r="G40" s="1272"/>
      <c r="H40" s="1272"/>
      <c r="I40" s="1272"/>
      <c r="J40" s="1272"/>
      <c r="K40" s="1272"/>
      <c r="L40" s="1272"/>
      <c r="M40" s="1273"/>
    </row>
    <row r="41" spans="2:13" ht="24.95" customHeight="1" thickBot="1" x14ac:dyDescent="0.25">
      <c r="B41" s="154">
        <f ca="1">B37/B39</f>
        <v>0.4261744966442953</v>
      </c>
      <c r="C41" s="154">
        <f ca="1">C37/B39</f>
        <v>0.23825503355704697</v>
      </c>
      <c r="D41" s="154">
        <f ca="1">D37/B39</f>
        <v>0.15771812080536912</v>
      </c>
      <c r="E41" s="154">
        <f ca="1">E37/B39</f>
        <v>0.13087248322147652</v>
      </c>
      <c r="F41" s="154">
        <f ca="1">F37/B39</f>
        <v>3.0201342281879196E-2</v>
      </c>
      <c r="G41" s="154">
        <f ca="1">G37/B39</f>
        <v>1.0067114093959731E-2</v>
      </c>
      <c r="H41" s="154">
        <f ca="1">H37/B39</f>
        <v>6.7114093959731542E-3</v>
      </c>
      <c r="I41" s="154">
        <f ca="1">I37/B39</f>
        <v>0</v>
      </c>
      <c r="J41" s="154">
        <f ca="1">J37/B39</f>
        <v>0</v>
      </c>
      <c r="K41" s="154">
        <f ca="1">K37/B39</f>
        <v>0</v>
      </c>
      <c r="L41" s="154">
        <f ca="1">L37/B39</f>
        <v>0</v>
      </c>
      <c r="M41" s="154">
        <f ca="1">M37/B39</f>
        <v>0</v>
      </c>
    </row>
    <row r="42" spans="2:13" ht="20.100000000000001" customHeight="1" thickBot="1" x14ac:dyDescent="0.25">
      <c r="B42" s="1262" t="s">
        <v>2132</v>
      </c>
      <c r="C42" s="1263"/>
      <c r="D42" s="1263"/>
      <c r="E42" s="1263"/>
      <c r="F42" s="1263"/>
      <c r="G42" s="1263"/>
      <c r="H42" s="1263"/>
      <c r="I42" s="1263"/>
      <c r="J42" s="1263"/>
      <c r="K42" s="1263"/>
      <c r="L42" s="1263"/>
      <c r="M42" s="1264"/>
    </row>
    <row r="43" spans="2:13" ht="50.1" customHeight="1" thickBot="1" x14ac:dyDescent="0.25">
      <c r="B43" s="134" t="s">
        <v>2018</v>
      </c>
      <c r="C43" s="134" t="s">
        <v>2019</v>
      </c>
      <c r="D43" s="134" t="s">
        <v>2020</v>
      </c>
      <c r="E43" s="134" t="s">
        <v>2021</v>
      </c>
      <c r="F43" s="134" t="s">
        <v>2022</v>
      </c>
      <c r="G43" s="134" t="s">
        <v>2023</v>
      </c>
      <c r="H43" s="134" t="s">
        <v>2024</v>
      </c>
      <c r="I43" s="134" t="s">
        <v>2025</v>
      </c>
      <c r="J43" s="134" t="s">
        <v>2026</v>
      </c>
      <c r="K43" s="134" t="s">
        <v>2027</v>
      </c>
      <c r="L43" s="134" t="s">
        <v>2028</v>
      </c>
      <c r="M43" s="134" t="s">
        <v>2029</v>
      </c>
    </row>
    <row r="44" spans="2:13" ht="24.95" customHeight="1" thickBot="1" x14ac:dyDescent="0.25">
      <c r="B44" s="159">
        <f>COUNTIFS(worksheet!N3:N2097,"&gt;31.12.2015",worksheet!N3:N2097,"&lt;01.02.2016")</f>
        <v>0</v>
      </c>
      <c r="C44" s="160">
        <f>COUNTIFS(worksheet!N3:N2097,"&gt;31.01.2016",worksheet!N3:N2097,"&lt;01.03.2016")</f>
        <v>1</v>
      </c>
      <c r="D44" s="160">
        <f>COUNTIFS(worksheet!N3:N2097,"&gt;29.02.2016",worksheet!N3:N2097,"&lt;01.04.2016")</f>
        <v>0</v>
      </c>
      <c r="E44" s="160">
        <f>COUNTIFS(worksheet!N3:N2097,"&gt;31.03.2016",worksheet!N3:N2097,"&lt;01.05.2016")</f>
        <v>5</v>
      </c>
      <c r="F44" s="160">
        <f>COUNTIFS(worksheet!N3:N2097,"&gt;30.04.2016",worksheet!N3:N2097,"&lt;01.06.2016")</f>
        <v>6</v>
      </c>
      <c r="G44" s="160">
        <f>COUNTIFS(worksheet!N3:N2097,"&gt;31.05.2016",worksheet!N3:N2097,"&lt;01.07.2016")</f>
        <v>4</v>
      </c>
      <c r="H44" s="160">
        <f>COUNTIFS(worksheet!N3:N2097,"&gt;30.06.2016",worksheet!N3:N2097,"&lt;01.08.2016")</f>
        <v>12</v>
      </c>
      <c r="I44" s="160">
        <f>COUNTIFS(worksheet!N3:N2097,"&gt;31.07.2016",worksheet!N3:N2097,"&lt;01.09.2016")</f>
        <v>10</v>
      </c>
      <c r="J44" s="160">
        <f>COUNTIFS(worksheet!N3:N2097,"&gt;31.08.2016",worksheet!N3:N2097,"&lt;01.10.2016")</f>
        <v>9</v>
      </c>
      <c r="K44" s="160">
        <f>COUNTIFS(worksheet!N3:N2097,"&gt;30.09.2016",worksheet!N3:N2097,"&lt;01.11.2016")</f>
        <v>7</v>
      </c>
      <c r="L44" s="160">
        <f>COUNTIFS(worksheet!N3:N2097,"&gt;31.10.2016",worksheet!N3:N2097,"&lt;01.12.2016")</f>
        <v>23</v>
      </c>
      <c r="M44" s="161">
        <f>COUNTIFS(worksheet!N3:N2097,"&gt;30.11.2016",worksheet!N3:N2097,"&lt;01.01.2017")</f>
        <v>35</v>
      </c>
    </row>
    <row r="45" spans="2:13" ht="14.1" customHeight="1" thickBot="1" x14ac:dyDescent="0.25">
      <c r="B45" s="1265" t="s">
        <v>2136</v>
      </c>
      <c r="C45" s="1266"/>
      <c r="D45" s="1266"/>
      <c r="E45" s="1266"/>
      <c r="F45" s="1266"/>
      <c r="G45" s="1266"/>
      <c r="H45" s="1266"/>
      <c r="I45" s="1266"/>
      <c r="J45" s="1266"/>
      <c r="K45" s="1266"/>
      <c r="L45" s="1266"/>
      <c r="M45" s="1267"/>
    </row>
    <row r="46" spans="2:13" ht="24.95" customHeight="1" thickBot="1" x14ac:dyDescent="0.25">
      <c r="B46" s="1183">
        <f>SUM(B44:M44)</f>
        <v>112</v>
      </c>
      <c r="C46" s="1179"/>
      <c r="D46" s="1179"/>
      <c r="E46" s="1179"/>
      <c r="F46" s="1179"/>
      <c r="G46" s="1179"/>
      <c r="H46" s="1179"/>
      <c r="I46" s="1179"/>
      <c r="J46" s="1179"/>
      <c r="K46" s="1179"/>
      <c r="L46" s="1179"/>
      <c r="M46" s="1180"/>
    </row>
    <row r="47" spans="2:13" ht="14.1" customHeight="1" thickBot="1" x14ac:dyDescent="0.25">
      <c r="B47" s="1259" t="s">
        <v>2137</v>
      </c>
      <c r="C47" s="1260"/>
      <c r="D47" s="1260"/>
      <c r="E47" s="1260"/>
      <c r="F47" s="1260"/>
      <c r="G47" s="1260"/>
      <c r="H47" s="1260"/>
      <c r="I47" s="1260"/>
      <c r="J47" s="1260"/>
      <c r="K47" s="1260"/>
      <c r="L47" s="1260"/>
      <c r="M47" s="1261"/>
    </row>
    <row r="48" spans="2:13" ht="24.95" customHeight="1" thickBot="1" x14ac:dyDescent="0.25">
      <c r="B48" s="165">
        <f>B51-B44</f>
        <v>32</v>
      </c>
      <c r="C48" s="165">
        <f t="shared" ref="C48:M48" si="3">C51-C44</f>
        <v>40</v>
      </c>
      <c r="D48" s="165">
        <f t="shared" si="3"/>
        <v>31</v>
      </c>
      <c r="E48" s="165">
        <f t="shared" si="3"/>
        <v>62</v>
      </c>
      <c r="F48" s="165">
        <f t="shared" si="3"/>
        <v>76</v>
      </c>
      <c r="G48" s="165">
        <f t="shared" si="3"/>
        <v>74</v>
      </c>
      <c r="H48" s="165">
        <f t="shared" si="3"/>
        <v>71</v>
      </c>
      <c r="I48" s="165">
        <f t="shared" si="3"/>
        <v>29</v>
      </c>
      <c r="J48" s="165">
        <f t="shared" si="3"/>
        <v>23</v>
      </c>
      <c r="K48" s="165">
        <f t="shared" si="3"/>
        <v>23</v>
      </c>
      <c r="L48" s="165">
        <f t="shared" si="3"/>
        <v>15</v>
      </c>
      <c r="M48" s="165">
        <f t="shared" si="3"/>
        <v>6</v>
      </c>
    </row>
    <row r="49" spans="2:13" ht="24.95" customHeight="1" thickBot="1" x14ac:dyDescent="0.25">
      <c r="B49" s="166">
        <f>IF(AND(B51&gt;0,B48&gt;0),B48/B51,"-")</f>
        <v>1</v>
      </c>
      <c r="C49" s="166">
        <f t="shared" ref="C49:M49" si="4">IF(AND(C51&gt;0,C48&gt;0),C48/C51,"-")</f>
        <v>0.97560975609756095</v>
      </c>
      <c r="D49" s="166">
        <f t="shared" si="4"/>
        <v>1</v>
      </c>
      <c r="E49" s="166">
        <f t="shared" si="4"/>
        <v>0.92537313432835822</v>
      </c>
      <c r="F49" s="166">
        <f t="shared" si="4"/>
        <v>0.92682926829268297</v>
      </c>
      <c r="G49" s="166">
        <f t="shared" si="4"/>
        <v>0.94871794871794868</v>
      </c>
      <c r="H49" s="166">
        <f t="shared" si="4"/>
        <v>0.85542168674698793</v>
      </c>
      <c r="I49" s="166">
        <f t="shared" si="4"/>
        <v>0.74358974358974361</v>
      </c>
      <c r="J49" s="166">
        <f t="shared" si="4"/>
        <v>0.71875</v>
      </c>
      <c r="K49" s="166">
        <f t="shared" si="4"/>
        <v>0.76666666666666672</v>
      </c>
      <c r="L49" s="166">
        <f t="shared" si="4"/>
        <v>0.39473684210526316</v>
      </c>
      <c r="M49" s="166">
        <f t="shared" si="4"/>
        <v>0.14634146341463414</v>
      </c>
    </row>
    <row r="50" spans="2:13" ht="20.100000000000001" customHeight="1" thickBot="1" x14ac:dyDescent="0.25">
      <c r="B50" s="1262" t="s">
        <v>2138</v>
      </c>
      <c r="C50" s="1263"/>
      <c r="D50" s="1263"/>
      <c r="E50" s="1263"/>
      <c r="F50" s="1263"/>
      <c r="G50" s="1263"/>
      <c r="H50" s="1263"/>
      <c r="I50" s="1263"/>
      <c r="J50" s="1263"/>
      <c r="K50" s="1263"/>
      <c r="L50" s="1263"/>
      <c r="M50" s="1264"/>
    </row>
    <row r="51" spans="2:13" ht="24.95" customHeight="1" thickBot="1" x14ac:dyDescent="0.25">
      <c r="B51" s="162">
        <v>32</v>
      </c>
      <c r="C51" s="163">
        <v>41</v>
      </c>
      <c r="D51" s="163">
        <v>31</v>
      </c>
      <c r="E51" s="163">
        <v>67</v>
      </c>
      <c r="F51" s="163">
        <v>82</v>
      </c>
      <c r="G51" s="163">
        <v>78</v>
      </c>
      <c r="H51" s="163">
        <v>83</v>
      </c>
      <c r="I51" s="163">
        <v>39</v>
      </c>
      <c r="J51" s="163">
        <v>32</v>
      </c>
      <c r="K51" s="163">
        <v>30</v>
      </c>
      <c r="L51" s="163">
        <v>38</v>
      </c>
      <c r="M51" s="164">
        <v>41</v>
      </c>
    </row>
    <row r="52" spans="2:13" ht="20.100000000000001" customHeight="1" thickBot="1" x14ac:dyDescent="0.25">
      <c r="B52" s="1250" t="s">
        <v>2316</v>
      </c>
      <c r="C52" s="1251"/>
      <c r="D52" s="1251"/>
      <c r="E52" s="1251"/>
      <c r="F52" s="1251"/>
      <c r="G52" s="1251"/>
      <c r="H52" s="1251"/>
      <c r="I52" s="1251"/>
      <c r="J52" s="1251"/>
      <c r="K52" s="1251"/>
      <c r="L52" s="1251"/>
      <c r="M52" s="1252"/>
    </row>
    <row r="53" spans="2:13" ht="50.1" customHeight="1" thickBot="1" x14ac:dyDescent="0.25">
      <c r="B53" s="200" t="s">
        <v>2018</v>
      </c>
      <c r="C53" s="200" t="s">
        <v>2019</v>
      </c>
      <c r="D53" s="200" t="s">
        <v>2020</v>
      </c>
      <c r="E53" s="200" t="s">
        <v>2021</v>
      </c>
      <c r="F53" s="200" t="s">
        <v>2022</v>
      </c>
      <c r="G53" s="200" t="s">
        <v>2023</v>
      </c>
      <c r="H53" s="200" t="s">
        <v>2024</v>
      </c>
      <c r="I53" s="200" t="s">
        <v>2025</v>
      </c>
      <c r="J53" s="200" t="s">
        <v>2026</v>
      </c>
      <c r="K53" s="200" t="s">
        <v>2027</v>
      </c>
      <c r="L53" s="200" t="s">
        <v>2028</v>
      </c>
      <c r="M53" s="200" t="s">
        <v>2029</v>
      </c>
    </row>
    <row r="54" spans="2:13" ht="24.95" customHeight="1" thickBot="1" x14ac:dyDescent="0.25">
      <c r="B54" s="202">
        <f>COUNTIFS(worksheet!N3:N2107,"&gt;31.12.2016",worksheet!N3:N2107,"&lt;01.02.2017")</f>
        <v>47</v>
      </c>
      <c r="C54" s="203">
        <f>COUNTIFS(worksheet!N3:N2107,"&gt;31.01.2017",worksheet!N3:N2107,"&lt;01.03.2017")</f>
        <v>24</v>
      </c>
      <c r="D54" s="203">
        <f>COUNTIFS(worksheet!N3:N2107,"&gt;28.02.2017",worksheet!N3:N2107,"&lt;01.04.2017")</f>
        <v>55</v>
      </c>
      <c r="E54" s="203">
        <f>COUNTIFS(worksheet!N3:N2107,"&gt;31.03.2017",worksheet!N3:N2107,"&lt;01.05.2017")</f>
        <v>42</v>
      </c>
      <c r="F54" s="203">
        <f>COUNTIFS(worksheet!N3:N2107,"&gt;30.04.2017",worksheet!N3:N2107,"&lt;01.06.2017")</f>
        <v>51</v>
      </c>
      <c r="G54" s="203">
        <f>COUNTIFS(worksheet!N3:N2107,"&gt;31.05.2017",worksheet!N3:N2107,"&lt;01.07.2017")</f>
        <v>39</v>
      </c>
      <c r="H54" s="203">
        <f>COUNTIFS(worksheet!N3:N2107,"&gt;30.06.2017",worksheet!N3:N2107,"&lt;01.08.2017")</f>
        <v>36</v>
      </c>
      <c r="I54" s="203">
        <f>COUNTIFS(worksheet!N3:N2107,"&gt;31.07.2017",worksheet!N3:N2107,"&lt;01.09.2017")</f>
        <v>46</v>
      </c>
      <c r="J54" s="203">
        <f>COUNTIFS(worksheet!N3:N2107,"&gt;31.08.2017",worksheet!N3:N2107,"&lt;01.10.2017")</f>
        <v>51</v>
      </c>
      <c r="K54" s="203">
        <f>COUNTIFS(worksheet!N3:N2107,"&gt;30.09.2017",worksheet!N3:N2107,"&lt;01.11.2017")</f>
        <v>37</v>
      </c>
      <c r="L54" s="203">
        <f>COUNTIFS(worksheet!N3:N2107,"&gt;31.10.2017",worksheet!N3:N2107,"&lt;01.12.2017")</f>
        <v>18</v>
      </c>
      <c r="M54" s="204">
        <f>COUNTIFS(worksheet!N3:N2107,"&gt;30.11.2017",worksheet!N3:N2107,"&lt;01.01.2018")</f>
        <v>0</v>
      </c>
    </row>
    <row r="55" spans="2:13" ht="14.1" customHeight="1" thickBot="1" x14ac:dyDescent="0.25">
      <c r="B55" s="1253" t="s">
        <v>2136</v>
      </c>
      <c r="C55" s="1254"/>
      <c r="D55" s="1254"/>
      <c r="E55" s="1254"/>
      <c r="F55" s="1254"/>
      <c r="G55" s="1254"/>
      <c r="H55" s="1254"/>
      <c r="I55" s="1254"/>
      <c r="J55" s="1254"/>
      <c r="K55" s="1254"/>
      <c r="L55" s="1254"/>
      <c r="M55" s="1255"/>
    </row>
    <row r="56" spans="2:13" ht="24.95" customHeight="1" thickBot="1" x14ac:dyDescent="0.25">
      <c r="B56" s="1256">
        <f>SUM(B54:M54)</f>
        <v>446</v>
      </c>
      <c r="C56" s="1257"/>
      <c r="D56" s="1257"/>
      <c r="E56" s="1257"/>
      <c r="F56" s="1257"/>
      <c r="G56" s="1257"/>
      <c r="H56" s="1257"/>
      <c r="I56" s="1257"/>
      <c r="J56" s="1257"/>
      <c r="K56" s="1257"/>
      <c r="L56" s="1257"/>
      <c r="M56" s="1258"/>
    </row>
    <row r="57" spans="2:13" ht="14.1" customHeight="1" thickBot="1" x14ac:dyDescent="0.25">
      <c r="B57" s="1259" t="s">
        <v>2137</v>
      </c>
      <c r="C57" s="1260"/>
      <c r="D57" s="1260"/>
      <c r="E57" s="1260"/>
      <c r="F57" s="1260"/>
      <c r="G57" s="1260"/>
      <c r="H57" s="1260"/>
      <c r="I57" s="1260"/>
      <c r="J57" s="1260"/>
      <c r="K57" s="1260"/>
      <c r="L57" s="1260"/>
      <c r="M57" s="1261"/>
    </row>
    <row r="58" spans="2:13" ht="24.95" customHeight="1" thickBot="1" x14ac:dyDescent="0.25">
      <c r="B58" s="165">
        <f>B61-B54</f>
        <v>6</v>
      </c>
      <c r="C58" s="165">
        <f>C61-C54</f>
        <v>10</v>
      </c>
      <c r="D58" s="165">
        <f t="shared" ref="D58:M58" si="5">D61-D54</f>
        <v>6</v>
      </c>
      <c r="E58" s="165">
        <f t="shared" si="5"/>
        <v>7</v>
      </c>
      <c r="F58" s="165">
        <f t="shared" si="5"/>
        <v>9</v>
      </c>
      <c r="G58" s="165">
        <f t="shared" si="5"/>
        <v>6</v>
      </c>
      <c r="H58" s="165">
        <f t="shared" si="5"/>
        <v>-36</v>
      </c>
      <c r="I58" s="165">
        <f t="shared" si="5"/>
        <v>-46</v>
      </c>
      <c r="J58" s="165">
        <f t="shared" si="5"/>
        <v>-51</v>
      </c>
      <c r="K58" s="165">
        <f t="shared" si="5"/>
        <v>-37</v>
      </c>
      <c r="L58" s="165">
        <f t="shared" si="5"/>
        <v>-18</v>
      </c>
      <c r="M58" s="165">
        <f t="shared" si="5"/>
        <v>0</v>
      </c>
    </row>
    <row r="59" spans="2:13" ht="24.95" customHeight="1" thickBot="1" x14ac:dyDescent="0.25">
      <c r="B59" s="166">
        <f>IF(AND(B61&gt;0,B58&gt;0),B58/B61,"-")</f>
        <v>0.11320754716981132</v>
      </c>
      <c r="C59" s="166">
        <f t="shared" ref="C59:M59" si="6">IF(AND(C61&gt;0,C58&gt;0),C58/C61,"-")</f>
        <v>0.29411764705882354</v>
      </c>
      <c r="D59" s="166">
        <f t="shared" si="6"/>
        <v>9.8360655737704916E-2</v>
      </c>
      <c r="E59" s="166">
        <f t="shared" si="6"/>
        <v>0.14285714285714285</v>
      </c>
      <c r="F59" s="166">
        <f t="shared" si="6"/>
        <v>0.15</v>
      </c>
      <c r="G59" s="166">
        <f t="shared" si="6"/>
        <v>0.13333333333333333</v>
      </c>
      <c r="H59" s="166" t="str">
        <f t="shared" si="6"/>
        <v>-</v>
      </c>
      <c r="I59" s="166" t="str">
        <f t="shared" si="6"/>
        <v>-</v>
      </c>
      <c r="J59" s="166" t="str">
        <f t="shared" si="6"/>
        <v>-</v>
      </c>
      <c r="K59" s="166" t="str">
        <f t="shared" si="6"/>
        <v>-</v>
      </c>
      <c r="L59" s="166" t="str">
        <f t="shared" si="6"/>
        <v>-</v>
      </c>
      <c r="M59" s="166" t="str">
        <f t="shared" si="6"/>
        <v>-</v>
      </c>
    </row>
    <row r="60" spans="2:13" ht="20.100000000000001" customHeight="1" thickBot="1" x14ac:dyDescent="0.25">
      <c r="B60" s="1244" t="s">
        <v>2317</v>
      </c>
      <c r="C60" s="1245"/>
      <c r="D60" s="1245"/>
      <c r="E60" s="1245"/>
      <c r="F60" s="1245"/>
      <c r="G60" s="1245"/>
      <c r="H60" s="1245"/>
      <c r="I60" s="1245"/>
      <c r="J60" s="1245"/>
      <c r="K60" s="1245"/>
      <c r="L60" s="1245"/>
      <c r="M60" s="1246"/>
    </row>
    <row r="61" spans="2:13" ht="24.95" customHeight="1" thickBot="1" x14ac:dyDescent="0.25">
      <c r="B61" s="202">
        <v>53</v>
      </c>
      <c r="C61" s="203">
        <v>34</v>
      </c>
      <c r="D61" s="203">
        <v>61</v>
      </c>
      <c r="E61" s="203">
        <v>49</v>
      </c>
      <c r="F61" s="203">
        <v>60</v>
      </c>
      <c r="G61" s="203">
        <v>45</v>
      </c>
      <c r="H61" s="203"/>
      <c r="I61" s="203"/>
      <c r="J61" s="203"/>
      <c r="K61" s="203"/>
      <c r="L61" s="203"/>
      <c r="M61" s="204"/>
    </row>
  </sheetData>
  <mergeCells count="44">
    <mergeCell ref="B60:M60"/>
    <mergeCell ref="B33:M33"/>
    <mergeCell ref="B52:M52"/>
    <mergeCell ref="B55:M55"/>
    <mergeCell ref="B56:M56"/>
    <mergeCell ref="B57:M57"/>
    <mergeCell ref="B50:M50"/>
    <mergeCell ref="B47:M47"/>
    <mergeCell ref="B45:M45"/>
    <mergeCell ref="B46:M46"/>
    <mergeCell ref="B35:M35"/>
    <mergeCell ref="B42:M42"/>
    <mergeCell ref="B40:M40"/>
    <mergeCell ref="B39:M39"/>
    <mergeCell ref="B38:M38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B31:M31"/>
    <mergeCell ref="B8:M8"/>
    <mergeCell ref="B23:M23"/>
    <mergeCell ref="B24:M24"/>
    <mergeCell ref="B4:C4"/>
    <mergeCell ref="B27:M27"/>
    <mergeCell ref="B29:M29"/>
    <mergeCell ref="J2:M2"/>
    <mergeCell ref="J1:M1"/>
    <mergeCell ref="B3:G3"/>
    <mergeCell ref="H3:M3"/>
    <mergeCell ref="B13:M13"/>
    <mergeCell ref="L5:M5"/>
    <mergeCell ref="J5:K5"/>
    <mergeCell ref="B7:M7"/>
    <mergeCell ref="B11:M11"/>
    <mergeCell ref="B15:M15"/>
    <mergeCell ref="B16:M16"/>
    <mergeCell ref="B19:M19"/>
    <mergeCell ref="B21:M21"/>
  </mergeCells>
  <pageMargins left="0.7" right="0.7" top="0.16" bottom="0.16" header="0.16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pageSetUpPr fitToPage="1"/>
  </sheetPr>
  <dimension ref="A1:K19"/>
  <sheetViews>
    <sheetView topLeftCell="A16" workbookViewId="0">
      <selection activeCell="L15" sqref="L15"/>
    </sheetView>
  </sheetViews>
  <sheetFormatPr defaultRowHeight="12.75" x14ac:dyDescent="0.2"/>
  <cols>
    <col min="1" max="1" width="35.7109375" customWidth="1"/>
    <col min="2" max="2" width="9.140625" style="213"/>
    <col min="3" max="3" width="10.7109375" style="224" customWidth="1"/>
    <col min="4" max="4" width="9.140625" style="213"/>
    <col min="5" max="5" width="10.7109375" style="224" customWidth="1"/>
    <col min="6" max="6" width="9.140625" style="213"/>
    <col min="7" max="7" width="10.7109375" style="224" customWidth="1"/>
    <col min="8" max="8" width="9.140625" style="213"/>
    <col min="9" max="9" width="10.7109375" style="224" customWidth="1"/>
    <col min="10" max="10" width="9.140625" style="213"/>
    <col min="11" max="11" width="10.7109375" style="224" customWidth="1"/>
  </cols>
  <sheetData>
    <row r="1" spans="1:11" ht="3.75" customHeight="1" thickBot="1" x14ac:dyDescent="0.25"/>
    <row r="2" spans="1:11" ht="18.75" thickBot="1" x14ac:dyDescent="0.25">
      <c r="J2" s="1275">
        <f ca="1">TODAY()</f>
        <v>43134</v>
      </c>
      <c r="K2" s="1276"/>
    </row>
    <row r="3" spans="1:11" ht="35.1" customHeight="1" x14ac:dyDescent="0.3">
      <c r="A3" s="1274" t="s">
        <v>2376</v>
      </c>
      <c r="B3" s="1274"/>
      <c r="C3" s="1274"/>
      <c r="D3" s="1274"/>
      <c r="E3" s="1274"/>
      <c r="F3" s="1274"/>
      <c r="G3" s="1274"/>
      <c r="H3" s="1274"/>
      <c r="I3" s="1274"/>
      <c r="J3" s="1274"/>
      <c r="K3" s="1274"/>
    </row>
    <row r="5" spans="1:11" x14ac:dyDescent="0.2">
      <c r="A5" s="1281" t="s">
        <v>2369</v>
      </c>
      <c r="B5" s="1277" t="s">
        <v>2370</v>
      </c>
      <c r="C5" s="1277"/>
      <c r="D5" s="1278" t="s">
        <v>2372</v>
      </c>
      <c r="E5" s="1278"/>
      <c r="F5" s="1278" t="s">
        <v>2373</v>
      </c>
      <c r="G5" s="1278"/>
      <c r="H5" s="1279" t="s">
        <v>2371</v>
      </c>
      <c r="I5" s="1279"/>
      <c r="J5" s="1280" t="s">
        <v>2374</v>
      </c>
      <c r="K5" s="1280"/>
    </row>
    <row r="6" spans="1:11" x14ac:dyDescent="0.2">
      <c r="A6" s="1281"/>
      <c r="B6" s="1277"/>
      <c r="C6" s="1277"/>
      <c r="D6" s="1278"/>
      <c r="E6" s="1278"/>
      <c r="F6" s="1278"/>
      <c r="G6" s="1278"/>
      <c r="H6" s="1279"/>
      <c r="I6" s="1279"/>
      <c r="J6" s="1280"/>
      <c r="K6" s="1280"/>
    </row>
    <row r="7" spans="1:11" x14ac:dyDescent="0.2">
      <c r="A7" s="1281"/>
      <c r="B7" s="215" t="s">
        <v>2367</v>
      </c>
      <c r="C7" s="222" t="s">
        <v>2368</v>
      </c>
      <c r="D7" s="214" t="s">
        <v>2367</v>
      </c>
      <c r="E7" s="225" t="s">
        <v>2368</v>
      </c>
      <c r="F7" s="214" t="s">
        <v>2367</v>
      </c>
      <c r="G7" s="225" t="s">
        <v>2368</v>
      </c>
      <c r="H7" s="216" t="s">
        <v>2367</v>
      </c>
      <c r="I7" s="226" t="s">
        <v>2368</v>
      </c>
      <c r="J7" s="218" t="s">
        <v>2367</v>
      </c>
      <c r="K7" s="228" t="s">
        <v>2368</v>
      </c>
    </row>
    <row r="8" spans="1:11" s="119" customFormat="1" ht="35.1" customHeight="1" x14ac:dyDescent="0.2">
      <c r="A8" s="217" t="s">
        <v>1451</v>
      </c>
      <c r="B8" s="229">
        <f>COUNTIFS(worksheet!Q3:Q4184,"Филиппова Л.Н.",worksheet!Y3:Y4184,"1")</f>
        <v>206</v>
      </c>
      <c r="C8" s="222">
        <f>B8/B19</f>
        <v>0.46396396396396394</v>
      </c>
      <c r="D8" s="229">
        <f>COUNTIFS(worksheet!Q3:Q4184,"Филиппова Л.Н.",worksheet!Y3:Y4184,"3")</f>
        <v>72</v>
      </c>
      <c r="E8" s="225">
        <f>D8/D19</f>
        <v>0.41142857142857142</v>
      </c>
      <c r="F8" s="229">
        <f>COUNTIFS(worksheet!Q3:Q4184,"Филиппова Л.Н.",worksheet!Y3:Y4184,"2")</f>
        <v>9</v>
      </c>
      <c r="G8" s="225">
        <f>F8/F19</f>
        <v>0.75</v>
      </c>
      <c r="H8" s="230">
        <f ca="1">COUNTIFS(worksheet!Q3:Q4184,"Филиппова Л.Н.",worksheet!AE3:AE4184,"ЯЛОВАЯ")</f>
        <v>16</v>
      </c>
      <c r="I8" s="227">
        <f ca="1">H8/H19</f>
        <v>0.42105263157894735</v>
      </c>
      <c r="J8" s="218">
        <f ca="1">SUM(B8,D8,F8,H8)</f>
        <v>303</v>
      </c>
      <c r="K8" s="228">
        <f ca="1">J8/J19</f>
        <v>0.452914798206278</v>
      </c>
    </row>
    <row r="9" spans="1:11" s="119" customFormat="1" ht="35.1" customHeight="1" x14ac:dyDescent="0.2">
      <c r="A9" s="217" t="s">
        <v>1448</v>
      </c>
      <c r="B9" s="229">
        <f>COUNTIFS(worksheet!Q3:Q4184,"Горшкова Н.В.",worksheet!Y3:Y4184,"1")</f>
        <v>1</v>
      </c>
      <c r="C9" s="222">
        <f>B9/B19</f>
        <v>2.2522522522522522E-3</v>
      </c>
      <c r="D9" s="229">
        <f>COUNTIFS(worksheet!Q3:Q4184,"Горшкова Н.В.",worksheet!Y3:Y4184,"3")</f>
        <v>0</v>
      </c>
      <c r="E9" s="225">
        <f>D9/D19</f>
        <v>0</v>
      </c>
      <c r="F9" s="229">
        <f>COUNTIFS(worksheet!Q3:Q4184,"Горшкова Н.В.",worksheet!Y3:Y4184,"2")</f>
        <v>0</v>
      </c>
      <c r="G9" s="225">
        <f>F9/F19</f>
        <v>0</v>
      </c>
      <c r="H9" s="230">
        <f ca="1">COUNTIFS(worksheet!Q3:Q4184,"Горшкова Н.В.",worksheet!AE3:AE4184,"ЯЛОВАЯ")</f>
        <v>3</v>
      </c>
      <c r="I9" s="227">
        <f ca="1">H9/H19</f>
        <v>7.8947368421052627E-2</v>
      </c>
      <c r="J9" s="218">
        <f t="shared" ref="J9:J19" ca="1" si="0">SUM(B9,D9,F9,H9)</f>
        <v>4</v>
      </c>
      <c r="K9" s="228">
        <f ca="1">J9/J19</f>
        <v>5.9790732436472349E-3</v>
      </c>
    </row>
    <row r="10" spans="1:11" s="119" customFormat="1" ht="35.1" customHeight="1" x14ac:dyDescent="0.2">
      <c r="A10" s="217" t="s">
        <v>2309</v>
      </c>
      <c r="B10" s="229">
        <f>COUNTIFS(worksheet!Q3:Q4184,"Клочкова Ю.А.",worksheet!Y3:Y4184,"1")</f>
        <v>21</v>
      </c>
      <c r="C10" s="222">
        <f>B10/B19</f>
        <v>4.72972972972973E-2</v>
      </c>
      <c r="D10" s="229">
        <f>COUNTIFS(worksheet!Q3:Q4184,"Клочкова Ю.А.",worksheet!Y3:Y4184,"3")</f>
        <v>0</v>
      </c>
      <c r="E10" s="225">
        <f>D10/D19</f>
        <v>0</v>
      </c>
      <c r="F10" s="229">
        <f>COUNTIFS(worksheet!Q3:Q4184,"Клочкова Ю.А.",worksheet!Y3:Y4184,"2")</f>
        <v>0</v>
      </c>
      <c r="G10" s="225">
        <f>F10/F19</f>
        <v>0</v>
      </c>
      <c r="H10" s="230">
        <f ca="1">COUNTIFS(worksheet!Q3:Q4184,"Клочкова Ю.А.",worksheet!AE3:AE4184,"ЯЛОВАЯ")</f>
        <v>1</v>
      </c>
      <c r="I10" s="227">
        <f ca="1">H10/H19</f>
        <v>2.6315789473684209E-2</v>
      </c>
      <c r="J10" s="218">
        <f t="shared" ca="1" si="0"/>
        <v>22</v>
      </c>
      <c r="K10" s="228">
        <f ca="1">J10/J19</f>
        <v>3.2884902840059793E-2</v>
      </c>
    </row>
    <row r="11" spans="1:11" s="119" customFormat="1" ht="35.1" customHeight="1" x14ac:dyDescent="0.2">
      <c r="A11" s="217" t="s">
        <v>2366</v>
      </c>
      <c r="B11" s="229">
        <f>COUNTIFS(worksheet!Q3:Q4184,"Воздвиженская Ю.Н.",worksheet!Y3:Y4184,"1")</f>
        <v>211</v>
      </c>
      <c r="C11" s="222">
        <f>B11/B19</f>
        <v>0.4752252252252252</v>
      </c>
      <c r="D11" s="229">
        <f>COUNTIFS(worksheet!Q3:Q4184,"Воздвиженская Ю.Н.",worksheet!Y3:Y4184,"3")</f>
        <v>103</v>
      </c>
      <c r="E11" s="225">
        <f>D11/D19</f>
        <v>0.58857142857142852</v>
      </c>
      <c r="F11" s="229">
        <f>COUNTIFS(worksheet!Q3:Q4184,"Воздвиженская Ю.Н.",worksheet!Y3:Y4184,"2")</f>
        <v>3</v>
      </c>
      <c r="G11" s="225">
        <f>F11/F19</f>
        <v>0.25</v>
      </c>
      <c r="H11" s="230">
        <f ca="1">COUNTIFS(worksheet!Q3:Q4184,"Воздвиженская Ю.Н.",worksheet!AE3:AE4184,"ЯЛОВАЯ")</f>
        <v>16</v>
      </c>
      <c r="I11" s="227">
        <f ca="1">H11/H19</f>
        <v>0.42105263157894735</v>
      </c>
      <c r="J11" s="218">
        <f t="shared" ca="1" si="0"/>
        <v>333</v>
      </c>
      <c r="K11" s="228">
        <f ca="1">J11/J19</f>
        <v>0.49775784753363228</v>
      </c>
    </row>
    <row r="12" spans="1:11" s="119" customFormat="1" ht="35.1" customHeight="1" x14ac:dyDescent="0.2">
      <c r="A12" s="221" t="s">
        <v>2327</v>
      </c>
      <c r="B12" s="229">
        <f>COUNTIFS(worksheet!Q3:Q4185,"Бык(В)",worksheet!Y3:Y4185,"1")</f>
        <v>1</v>
      </c>
      <c r="C12" s="222">
        <f>B12/B19</f>
        <v>2.2522522522522522E-3</v>
      </c>
      <c r="D12" s="229">
        <f>COUNTIFS(worksheet!Q3:Q4185,"Бык(В)",worksheet!Y3:Y4185,"3")</f>
        <v>0</v>
      </c>
      <c r="E12" s="225">
        <f>D12/D19</f>
        <v>0</v>
      </c>
      <c r="F12" s="229">
        <f>COUNTIFS(worksheet!Q3:Q4185,"Бык(В)",worksheet!Y3:Y4185,"2")</f>
        <v>0</v>
      </c>
      <c r="G12" s="225">
        <f>F12/F19</f>
        <v>0</v>
      </c>
      <c r="H12" s="230">
        <f ca="1">COUNTIFS(worksheet!Q3:Q4185,"Бык(В)",worksheet!AE3:AE4185,"ЯЛОВАЯ")</f>
        <v>0</v>
      </c>
      <c r="I12" s="227">
        <f ca="1">H12/H19</f>
        <v>0</v>
      </c>
      <c r="J12" s="218">
        <f t="shared" ca="1" si="0"/>
        <v>1</v>
      </c>
      <c r="K12" s="228">
        <f ca="1">J12/J19</f>
        <v>1.4947683109118087E-3</v>
      </c>
    </row>
    <row r="13" spans="1:11" s="119" customFormat="1" ht="35.1" customHeight="1" x14ac:dyDescent="0.2">
      <c r="A13" s="221" t="s">
        <v>1481</v>
      </c>
      <c r="B13" s="229">
        <f>COUNTIFS(worksheet!Q3:Q4185,"Бык(Г)",worksheet!Y3:Y4185,"1")</f>
        <v>0</v>
      </c>
      <c r="C13" s="222">
        <f>B13/B19</f>
        <v>0</v>
      </c>
      <c r="D13" s="229">
        <f>COUNTIFS(worksheet!Q3:Q4185,"Бык(Г)",worksheet!Y3:Y4185,"3")</f>
        <v>0</v>
      </c>
      <c r="E13" s="225">
        <f>D13/D19</f>
        <v>0</v>
      </c>
      <c r="F13" s="229">
        <f>COUNTIFS(worksheet!Q3:Q4185,"Бык(Г)",worksheet!Y3:Y4185,"2")</f>
        <v>0</v>
      </c>
      <c r="G13" s="225">
        <f>F13/F19</f>
        <v>0</v>
      </c>
      <c r="H13" s="230">
        <f>COUNTIFS(worksheet!Q3:Q4185,"Бык(Г)",worksheet!AE3:AE4185,"ЯЛОВАЯ")</f>
        <v>0</v>
      </c>
      <c r="I13" s="227">
        <f ca="1">H13/H19</f>
        <v>0</v>
      </c>
      <c r="J13" s="218">
        <f t="shared" si="0"/>
        <v>0</v>
      </c>
      <c r="K13" s="228">
        <f ca="1">J13/J19</f>
        <v>0</v>
      </c>
    </row>
    <row r="14" spans="1:11" s="119" customFormat="1" ht="35.1" customHeight="1" x14ac:dyDescent="0.2">
      <c r="A14" s="221" t="s">
        <v>2170</v>
      </c>
      <c r="B14" s="229">
        <f>COUNTIFS(worksheet!Q3:Q4185,"Бык(Р)",worksheet!Y3:Y4185,"1")</f>
        <v>0</v>
      </c>
      <c r="C14" s="222">
        <f>B14/B19</f>
        <v>0</v>
      </c>
      <c r="D14" s="229">
        <f>COUNTIFS(worksheet!Q3:Q4185,"Бык(Р)",worksheet!Y3:Y4185,"3")</f>
        <v>0</v>
      </c>
      <c r="E14" s="225">
        <f>D14/D19</f>
        <v>0</v>
      </c>
      <c r="F14" s="229">
        <f>COUNTIFS(worksheet!Q3:Q4185,"Бык(Р)",worksheet!Y3:Y4185,"2")</f>
        <v>0</v>
      </c>
      <c r="G14" s="225">
        <f>F14/F19</f>
        <v>0</v>
      </c>
      <c r="H14" s="230">
        <f ca="1">COUNTIFS(worksheet!Q3:Q4185,"Бык(Р)",worksheet!AE3:AE4185,"ЯЛОВАЯ")</f>
        <v>1</v>
      </c>
      <c r="I14" s="227">
        <f ca="1">H14/H19</f>
        <v>2.6315789473684209E-2</v>
      </c>
      <c r="J14" s="218">
        <f ca="1">SUM(B14,D14,F14,H14)</f>
        <v>1</v>
      </c>
      <c r="K14" s="228">
        <f ca="1">J14/J19</f>
        <v>1.4947683109118087E-3</v>
      </c>
    </row>
    <row r="15" spans="1:11" s="119" customFormat="1" ht="35.1" customHeight="1" x14ac:dyDescent="0.2">
      <c r="A15" s="221" t="s">
        <v>2677</v>
      </c>
      <c r="B15" s="229">
        <f>COUNTIFS(worksheet!Q3:Q4185,"Бык(к)",worksheet!Y3:Y4185,"1")</f>
        <v>2</v>
      </c>
      <c r="C15" s="222">
        <f>B15/B19</f>
        <v>4.5045045045045045E-3</v>
      </c>
      <c r="D15" s="229">
        <f>COUNTIFS(worksheet!Q3:Q4185,"Бык(к)",worksheet!Y3:Y4185,"3")</f>
        <v>0</v>
      </c>
      <c r="E15" s="225">
        <f>D15/D19</f>
        <v>0</v>
      </c>
      <c r="F15" s="229">
        <f>COUNTIFS(worksheet!Q3:Q4185,"Бык(К)",worksheet!Y3:Y4185,"2")</f>
        <v>0</v>
      </c>
      <c r="G15" s="225">
        <f>F15/F19</f>
        <v>0</v>
      </c>
      <c r="H15" s="230">
        <f ca="1">COUNTIFS(worksheet!Q3:Q4185,"Бык(К)",worksheet!AE3:AE4185,"ЯЛОВАЯ")</f>
        <v>1</v>
      </c>
      <c r="I15" s="227">
        <f ca="1">H15/H19</f>
        <v>2.6315789473684209E-2</v>
      </c>
      <c r="J15" s="291">
        <f ca="1">SUM(B15,D15,F15,H15)</f>
        <v>3</v>
      </c>
      <c r="K15" s="228">
        <f ca="1">J15/J19</f>
        <v>4.4843049327354259E-3</v>
      </c>
    </row>
    <row r="16" spans="1:11" s="119" customFormat="1" ht="35.1" customHeight="1" x14ac:dyDescent="0.2">
      <c r="A16" s="221" t="s">
        <v>1482</v>
      </c>
      <c r="B16" s="229">
        <f>COUNTIFS(worksheet!Q3:Q4185,"Бык(Ф)",worksheet!Y3:Y4185,"1")</f>
        <v>2</v>
      </c>
      <c r="C16" s="222">
        <f>B16/B19</f>
        <v>4.5045045045045045E-3</v>
      </c>
      <c r="D16" s="229">
        <f>COUNTIFS(worksheet!Q3:Q4185,"Бык(Ф)",worksheet!Y3:Y4185,"3")</f>
        <v>0</v>
      </c>
      <c r="E16" s="225">
        <f>D16/D19</f>
        <v>0</v>
      </c>
      <c r="F16" s="229">
        <f>COUNTIFS(worksheet!Q3:Q4185,"Бык(Ф)",worksheet!Y3:Y4185,"2")</f>
        <v>0</v>
      </c>
      <c r="G16" s="225">
        <f>F16/F19</f>
        <v>0</v>
      </c>
      <c r="H16" s="230">
        <f ca="1">COUNTIFS(worksheet!Q3:Q4185,"Бык(Ф)",worksheet!AE3:AE4185,"ЯЛОВАЯ")</f>
        <v>0</v>
      </c>
      <c r="I16" s="227">
        <f ca="1">H16/H19</f>
        <v>0</v>
      </c>
      <c r="J16" s="218">
        <f t="shared" ca="1" si="0"/>
        <v>2</v>
      </c>
      <c r="K16" s="228">
        <f ca="1">J16/J19</f>
        <v>2.9895366218236174E-3</v>
      </c>
    </row>
    <row r="17" spans="1:11" s="119" customFormat="1" ht="35.1" customHeight="1" x14ac:dyDescent="0.2">
      <c r="A17" s="220" t="s">
        <v>2377</v>
      </c>
      <c r="B17" s="229">
        <f>COUNTIFS(worksheet!Q7:Q4188,"В+Ф",worksheet!Y7:Y4188,"1")</f>
        <v>0</v>
      </c>
      <c r="C17" s="222">
        <f>B17/B19</f>
        <v>0</v>
      </c>
      <c r="D17" s="229">
        <f>COUNTIFS(worksheet!Q7:Q4188,"В+Ф",worksheet!Y7:Y4188,"3")</f>
        <v>0</v>
      </c>
      <c r="E17" s="225">
        <f>D17/D19</f>
        <v>0</v>
      </c>
      <c r="F17" s="229">
        <f>COUNTIFS(worksheet!Q7:Q4188,"В+Ф",worksheet!Y7:Y4188,"2")</f>
        <v>0</v>
      </c>
      <c r="G17" s="225">
        <f>F17/F19</f>
        <v>0</v>
      </c>
      <c r="H17" s="230">
        <f>COUNTIFS(worksheet!Q7:Q4188,"В+Ф",worksheet!AE7:AE4188,"ЯЛОВАЯ")</f>
        <v>0</v>
      </c>
      <c r="I17" s="227">
        <f ca="1">H17/H19</f>
        <v>0</v>
      </c>
      <c r="J17" s="233">
        <f t="shared" ref="J17" si="1">SUM(B17,D17,F17,H17)</f>
        <v>0</v>
      </c>
      <c r="K17" s="228">
        <f ca="1">J17/J19</f>
        <v>0</v>
      </c>
    </row>
    <row r="18" spans="1:11" s="119" customFormat="1" ht="35.1" customHeight="1" x14ac:dyDescent="0.2">
      <c r="A18" s="220" t="s">
        <v>1483</v>
      </c>
      <c r="B18" s="229">
        <f>COUNTIFS(worksheet!Q8:Q4189,"Г+Ф",worksheet!Y8:Y4189,"1")</f>
        <v>0</v>
      </c>
      <c r="C18" s="222">
        <f>B18/B19</f>
        <v>0</v>
      </c>
      <c r="D18" s="229">
        <f>COUNTIFS(worksheet!Q8:Q4189,"Г+Ф",worksheet!Y8:Y4189,"3")</f>
        <v>0</v>
      </c>
      <c r="E18" s="225">
        <f>D18/D19</f>
        <v>0</v>
      </c>
      <c r="F18" s="229">
        <f>COUNTIFS(worksheet!Q8:Q4189,"Г+Ф",worksheet!Y8:Y4189,"2")</f>
        <v>0</v>
      </c>
      <c r="G18" s="225">
        <f>F18/F19</f>
        <v>0</v>
      </c>
      <c r="H18" s="230">
        <f>COUNTIFS(worksheet!Q8:Q4189,"Г+Ф",worksheet!AE8:AE4189,"ЯЛОВАЯ")</f>
        <v>0</v>
      </c>
      <c r="I18" s="227">
        <f ca="1">H18/H19</f>
        <v>0</v>
      </c>
      <c r="J18" s="218">
        <f t="shared" si="0"/>
        <v>0</v>
      </c>
      <c r="K18" s="228">
        <f ca="1">J18/J19</f>
        <v>0</v>
      </c>
    </row>
    <row r="19" spans="1:11" s="119" customFormat="1" ht="35.1" customHeight="1" x14ac:dyDescent="0.2">
      <c r="A19" s="219" t="s">
        <v>2375</v>
      </c>
      <c r="B19" s="231">
        <f>SUM(B8:B18)</f>
        <v>444</v>
      </c>
      <c r="C19" s="223">
        <f t="shared" ref="C19:I19" si="2">SUM(C8:C18)</f>
        <v>0.99999999999999989</v>
      </c>
      <c r="D19" s="231">
        <f t="shared" si="2"/>
        <v>175</v>
      </c>
      <c r="E19" s="223">
        <f t="shared" si="2"/>
        <v>1</v>
      </c>
      <c r="F19" s="231">
        <f t="shared" si="2"/>
        <v>12</v>
      </c>
      <c r="G19" s="223">
        <f>SUM(G8:G18)</f>
        <v>1</v>
      </c>
      <c r="H19" s="231">
        <f t="shared" ca="1" si="2"/>
        <v>38</v>
      </c>
      <c r="I19" s="223">
        <f t="shared" ca="1" si="2"/>
        <v>0.99999999999999989</v>
      </c>
      <c r="J19" s="232">
        <f t="shared" ca="1" si="0"/>
        <v>669</v>
      </c>
      <c r="K19" s="223">
        <f ca="1">SUM(K8:K18)</f>
        <v>0.99999999999999989</v>
      </c>
    </row>
  </sheetData>
  <mergeCells count="8">
    <mergeCell ref="A3:K3"/>
    <mergeCell ref="J2:K2"/>
    <mergeCell ref="B5:C6"/>
    <mergeCell ref="D5:E6"/>
    <mergeCell ref="F5:G6"/>
    <mergeCell ref="H5:I6"/>
    <mergeCell ref="J5:K6"/>
    <mergeCell ref="A5:A7"/>
  </mergeCells>
  <pageMargins left="0.7" right="0.7" top="0.75" bottom="0.75" header="0.3" footer="0.3"/>
  <pageSetup paperSize="9" scale="9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M36"/>
  <sheetViews>
    <sheetView workbookViewId="0">
      <pane ySplit="3" topLeftCell="A4" activePane="bottomLeft" state="frozen"/>
      <selection pane="bottomLeft" activeCell="I4" sqref="I4"/>
    </sheetView>
  </sheetViews>
  <sheetFormatPr defaultRowHeight="12.75" x14ac:dyDescent="0.2"/>
  <cols>
    <col min="1" max="1" width="12.7109375" customWidth="1"/>
  </cols>
  <sheetData>
    <row r="1" spans="1:13" ht="50.1" customHeight="1" thickBot="1" x14ac:dyDescent="0.4">
      <c r="A1" s="1285" t="s">
        <v>2438</v>
      </c>
      <c r="B1" s="1285"/>
      <c r="C1" s="1285"/>
      <c r="D1" s="1285"/>
      <c r="E1" s="1285"/>
      <c r="F1" s="1285"/>
      <c r="G1" s="1285"/>
      <c r="H1" s="1285"/>
      <c r="I1" s="1285"/>
      <c r="J1" s="1285"/>
      <c r="K1" s="1285"/>
      <c r="L1" s="1285"/>
      <c r="M1" s="1285"/>
    </row>
    <row r="2" spans="1:13" ht="15.75" customHeight="1" thickBot="1" x14ac:dyDescent="0.25">
      <c r="A2" s="1286" t="s">
        <v>2041</v>
      </c>
      <c r="B2" s="1287"/>
      <c r="C2" s="1287"/>
      <c r="D2" s="1287"/>
      <c r="E2" s="1287"/>
      <c r="F2" s="1287"/>
      <c r="G2" s="1287"/>
      <c r="H2" s="1287"/>
      <c r="I2" s="1287"/>
      <c r="J2" s="1287"/>
      <c r="K2" s="1287"/>
      <c r="L2" s="1287"/>
      <c r="M2" s="1288"/>
    </row>
    <row r="3" spans="1:13" s="136" customFormat="1" ht="30" customHeight="1" thickBot="1" x14ac:dyDescent="0.25">
      <c r="A3" s="205" t="s">
        <v>2040</v>
      </c>
      <c r="B3" s="205" t="s">
        <v>2018</v>
      </c>
      <c r="C3" s="205" t="s">
        <v>2019</v>
      </c>
      <c r="D3" s="205" t="s">
        <v>2020</v>
      </c>
      <c r="E3" s="205" t="s">
        <v>2021</v>
      </c>
      <c r="F3" s="205" t="s">
        <v>2022</v>
      </c>
      <c r="G3" s="205" t="s">
        <v>2023</v>
      </c>
      <c r="H3" s="205" t="s">
        <v>2024</v>
      </c>
      <c r="I3" s="205" t="s">
        <v>2025</v>
      </c>
      <c r="J3" s="205" t="s">
        <v>2026</v>
      </c>
      <c r="K3" s="205" t="s">
        <v>2027</v>
      </c>
      <c r="L3" s="205" t="s">
        <v>2028</v>
      </c>
      <c r="M3" s="205" t="s">
        <v>2029</v>
      </c>
    </row>
    <row r="4" spans="1:13" ht="16.5" thickBot="1" x14ac:dyDescent="0.25">
      <c r="A4" s="206">
        <v>1</v>
      </c>
      <c r="B4" s="138">
        <f>COUNTIFS(worksheet!Y3:Y1592,"3",worksheet!T3:T1592,"=01.01.17")</f>
        <v>0</v>
      </c>
      <c r="C4" s="138">
        <f>COUNTIFS(worksheet!Y3:Y1592,"3",worksheet!T3:T1592,"=01.02.17")</f>
        <v>0</v>
      </c>
      <c r="D4" s="138">
        <f>COUNTIFS(worksheet!Y3:Y1592,"3",worksheet!T3:T1592,"=01.03.17")</f>
        <v>0</v>
      </c>
      <c r="E4" s="138">
        <f>COUNTIFS(worksheet!Y3:Y1592,"3",worksheet!T3:T1592,"=01.04.17")</f>
        <v>0</v>
      </c>
      <c r="F4" s="138">
        <f>COUNTIFS(worksheet!Y3:Y1592,"3",worksheet!T3:T1592,"=01.05.17")</f>
        <v>0</v>
      </c>
      <c r="G4" s="138">
        <f>COUNTIFS(worksheet!Y3:Y1592,"3",worksheet!T3:T1592,"=01.06.17")</f>
        <v>0</v>
      </c>
      <c r="H4" s="138">
        <f>COUNTIFS(worksheet!Y3:Y1592,"3",worksheet!T3:T1592,"=01.07.17")</f>
        <v>0</v>
      </c>
      <c r="I4" s="138">
        <f>COUNTIFS(worksheet!Y3:Y1592,"3",worksheet!T3:T1592,"=01.08.17")</f>
        <v>0</v>
      </c>
      <c r="J4" s="138">
        <f>COUNTIFS(worksheet!Y3:Y1592,"3",worksheet!T3:T1592,"=01.09.17")</f>
        <v>0</v>
      </c>
      <c r="K4" s="138">
        <f>COUNTIFS(worksheet!Y3:Y1592,"3",worksheet!T3:T1592,"=01.10.17")</f>
        <v>0</v>
      </c>
      <c r="L4" s="138">
        <f>COUNTIFS(worksheet!Y3:Y1592,"3",worksheet!T3:T1592,"=01.11.17")</f>
        <v>0</v>
      </c>
      <c r="M4" s="138">
        <f>COUNTIFS(worksheet!Y3:Y1592,"3",worksheet!T3:T1592,"=01.12.17")</f>
        <v>0</v>
      </c>
    </row>
    <row r="5" spans="1:13" ht="16.5" thickBot="1" x14ac:dyDescent="0.25">
      <c r="A5" s="206">
        <v>2</v>
      </c>
      <c r="B5" s="138">
        <f>COUNTIFS(worksheet!Y3:Y1592,"3",worksheet!T3:T1592,"=02.01.17")</f>
        <v>0</v>
      </c>
      <c r="C5" s="138">
        <f>COUNTIFS(worksheet!Y3:Y1592,"3",worksheet!T3:T1592,"=02.02.17")</f>
        <v>0</v>
      </c>
      <c r="D5" s="138">
        <f>COUNTIFS(worksheet!Y3:Y1592,"3",worksheet!T3:T1592,"=02.03.17")</f>
        <v>0</v>
      </c>
      <c r="E5" s="138">
        <f>COUNTIFS(worksheet!Y3:Y1592,"3",worksheet!T3:T1592,"=02.04.17")</f>
        <v>0</v>
      </c>
      <c r="F5" s="138">
        <f>COUNTIFS(worksheet!Y3:Y1592,"3",worksheet!T3:T1592,"=02.05.17")</f>
        <v>0</v>
      </c>
      <c r="G5" s="138">
        <f>COUNTIFS(worksheet!Y3:Y1592,"3",worksheet!T3:T1592,"=02.06.17")</f>
        <v>0</v>
      </c>
      <c r="H5" s="138">
        <f>COUNTIFS(worksheet!Y3:Y1592,"3",worksheet!T3:T1592,"=02.07.17")</f>
        <v>0</v>
      </c>
      <c r="I5" s="138">
        <f>COUNTIFS(worksheet!Y3:Y1592,"3",worksheet!T3:T1592,"=02.08.17")</f>
        <v>0</v>
      </c>
      <c r="J5" s="138">
        <f>COUNTIFS(worksheet!Y3:Y1592,"3",worksheet!T3:T1592,"=02.09.17")</f>
        <v>1</v>
      </c>
      <c r="K5" s="138">
        <f>COUNTIFS(worksheet!Y3:Y1592,"3",worksheet!T3:T1592,"=02.10.17")</f>
        <v>0</v>
      </c>
      <c r="L5" s="138">
        <f>COUNTIFS(worksheet!Y3:Y1592,"3",worksheet!T3:T1592,"=02.11.17")</f>
        <v>7</v>
      </c>
      <c r="M5" s="138">
        <f>COUNTIFS(worksheet!Y3:Y1592,"3",worksheet!T3:T1592,"=02.12.17")</f>
        <v>0</v>
      </c>
    </row>
    <row r="6" spans="1:13" ht="16.5" thickBot="1" x14ac:dyDescent="0.25">
      <c r="A6" s="206">
        <v>3</v>
      </c>
      <c r="B6" s="138">
        <f>COUNTIFS(worksheet!Y3:Y1592,"3",worksheet!T3:T1592,"=03.01.17")</f>
        <v>0</v>
      </c>
      <c r="C6" s="138">
        <f>COUNTIFS(worksheet!Y3:Y1592,"3",worksheet!T3:T1592,"=03.02.17")</f>
        <v>0</v>
      </c>
      <c r="D6" s="138">
        <f>COUNTIFS(worksheet!Y3:Y1592,"3",worksheet!T3:T1592,"=03.03.17")</f>
        <v>0</v>
      </c>
      <c r="E6" s="138">
        <f>COUNTIFS(worksheet!Y3:Y1592,"3",worksheet!T3:T1592,"=03.04.17")</f>
        <v>0</v>
      </c>
      <c r="F6" s="138">
        <f>COUNTIFS(worksheet!Y3:Y1592,"3",worksheet!T3:T1592,"=03.05.17")</f>
        <v>0</v>
      </c>
      <c r="G6" s="138">
        <f>COUNTIFS(worksheet!Y3:Y1592,"3",worksheet!T3:T1592,"=03.06.17")</f>
        <v>0</v>
      </c>
      <c r="H6" s="138">
        <f>COUNTIFS(worksheet!Y3:Y1592,"3",worksheet!T3:T1592,"=03.07.17")</f>
        <v>0</v>
      </c>
      <c r="I6" s="138">
        <f>COUNTIFS(worksheet!Y3:Y1592,"3",worksheet!T3:T1592,"=03.08.17")</f>
        <v>0</v>
      </c>
      <c r="J6" s="138">
        <f>COUNTIFS(worksheet!Y3:Y1592,"3",worksheet!T3:T1592,"=03.09.17")</f>
        <v>1</v>
      </c>
      <c r="K6" s="138">
        <f>COUNTIFS(worksheet!Y3:Y1592,"3",worksheet!T3:T1592,"=03.10.17")</f>
        <v>0</v>
      </c>
      <c r="L6" s="138">
        <f>COUNTIFS(worksheet!Y3:Y1592,"3",worksheet!T3:T1592,"=03.11.17")</f>
        <v>10</v>
      </c>
      <c r="M6" s="138">
        <f>COUNTIFS(worksheet!Y3:Y1592,"3",worksheet!T3:T1592,"=03.12.17")</f>
        <v>0</v>
      </c>
    </row>
    <row r="7" spans="1:13" ht="16.5" thickBot="1" x14ac:dyDescent="0.25">
      <c r="A7" s="206">
        <v>4</v>
      </c>
      <c r="B7" s="138">
        <f>COUNTIFS(worksheet!Y3:Y1592,"3",worksheet!T3:T1592,"=04.01.17")</f>
        <v>0</v>
      </c>
      <c r="C7" s="138">
        <f>COUNTIFS(worksheet!Y3:Y1592,"3",worksheet!T3:T1592,"=04.02.17")</f>
        <v>0</v>
      </c>
      <c r="D7" s="138">
        <f>COUNTIFS(worksheet!Y3:Y1592,"3",worksheet!T3:T1592,"=04.03.17")</f>
        <v>0</v>
      </c>
      <c r="E7" s="138">
        <f>COUNTIFS(worksheet!Y3:Y1592,"3",worksheet!T3:T1592,"=04.04.17")</f>
        <v>0</v>
      </c>
      <c r="F7" s="138">
        <f>COUNTIFS(worksheet!Y3:Y1592,"3",worksheet!T3:T1592,"=04.05.17")</f>
        <v>0</v>
      </c>
      <c r="G7" s="138">
        <f>COUNTIFS(worksheet!Y3:Y1592,"3",worksheet!T3:T1592,"=04.06.17")</f>
        <v>0</v>
      </c>
      <c r="H7" s="138">
        <f>COUNTIFS(worksheet!Y3:Y1592,"3",worksheet!T3:T1592,"=04.07.17")</f>
        <v>0</v>
      </c>
      <c r="I7" s="138">
        <f>COUNTIFS(worksheet!Y3:Y1592,"3",worksheet!T3:T1592,"=04.08.17")</f>
        <v>0</v>
      </c>
      <c r="J7" s="138">
        <f>COUNTIFS(worksheet!Y3:Y1592,"3",worksheet!T3:T1592,"=04.09.17")</f>
        <v>1</v>
      </c>
      <c r="K7" s="138">
        <f>COUNTIFS(worksheet!Y3:Y1592,"3",worksheet!T3:T1592,"=04.10.17")</f>
        <v>2</v>
      </c>
      <c r="L7" s="138">
        <f>COUNTIFS(worksheet!Y3:Y1592,"3",worksheet!T3:T1592,"=04.11.17")</f>
        <v>3</v>
      </c>
      <c r="M7" s="138">
        <f>COUNTIFS(worksheet!Y3:Y1592,"3",worksheet!T3:T1592,"=04.12.17")</f>
        <v>0</v>
      </c>
    </row>
    <row r="8" spans="1:13" ht="16.5" thickBot="1" x14ac:dyDescent="0.25">
      <c r="A8" s="206">
        <v>5</v>
      </c>
      <c r="B8" s="138">
        <f>COUNTIFS(worksheet!Y3:Y1592,"3",worksheet!T3:T1592,"=05.01.17")</f>
        <v>0</v>
      </c>
      <c r="C8" s="138">
        <f>COUNTIFS(worksheet!Y3:Y1592,"3",worksheet!T3:T1592,"=05.02.17")</f>
        <v>0</v>
      </c>
      <c r="D8" s="138">
        <f>COUNTIFS(worksheet!Y3:Y1592,"3",worksheet!T3:T1592,"=05.03.17")</f>
        <v>0</v>
      </c>
      <c r="E8" s="138">
        <f>COUNTIFS(worksheet!Y3:Y1592,"3",worksheet!T3:T1592,"=05.04.17")</f>
        <v>0</v>
      </c>
      <c r="F8" s="138">
        <f>COUNTIFS(worksheet!Y3:Y1592,"3",worksheet!T3:T1592,"=05.05.17")</f>
        <v>0</v>
      </c>
      <c r="G8" s="138">
        <f>COUNTIFS(worksheet!Y3:Y1592,"3",worksheet!T3:T1592,"=05.06.17")</f>
        <v>0</v>
      </c>
      <c r="H8" s="138">
        <f>COUNTIFS(worksheet!Y3:Y1592,"3",worksheet!T3:T1592,"=05.07.17")</f>
        <v>0</v>
      </c>
      <c r="I8" s="138">
        <f>COUNTIFS(worksheet!Y3:Y1592,"3",worksheet!T3:T1592,"=05.08.17")</f>
        <v>0</v>
      </c>
      <c r="J8" s="138">
        <f>COUNTIFS(worksheet!Y3:Y1592,"3",worksheet!T3:T1592,"=05.09.17")</f>
        <v>0</v>
      </c>
      <c r="K8" s="138">
        <f>COUNTIFS(worksheet!Y3:Y1592,"3",worksheet!T3:T1592,"=05.10.17")</f>
        <v>0</v>
      </c>
      <c r="L8" s="138">
        <f>COUNTIFS(worksheet!Y3:Y1592,"3",worksheet!T3:T1592,"=05.11.17")</f>
        <v>2</v>
      </c>
      <c r="M8" s="138">
        <f>COUNTIFS(worksheet!Y3:Y1592,"3",worksheet!T3:T1592,"=05.12.17")</f>
        <v>0</v>
      </c>
    </row>
    <row r="9" spans="1:13" ht="16.5" thickBot="1" x14ac:dyDescent="0.25">
      <c r="A9" s="206">
        <v>6</v>
      </c>
      <c r="B9" s="138">
        <f>COUNTIFS(worksheet!Y3:Y1592,"3",worksheet!T3:T1592,"=06.01.17")</f>
        <v>0</v>
      </c>
      <c r="C9" s="138">
        <f>COUNTIFS(worksheet!Y3:Y1592,"3",worksheet!T3:T1592,"=06.02.17")</f>
        <v>0</v>
      </c>
      <c r="D9" s="138">
        <f>COUNTIFS(worksheet!Y3:Y1592,"3",worksheet!T3:T1592,"=06.03.17")</f>
        <v>0</v>
      </c>
      <c r="E9" s="138">
        <f>COUNTIFS(worksheet!Y3:Y1592,"3",worksheet!T3:T1592,"=06.04.17")</f>
        <v>0</v>
      </c>
      <c r="F9" s="138">
        <f>COUNTIFS(worksheet!Y3:Y1592,"3",worksheet!T3:T1592,"=06.05.17")</f>
        <v>0</v>
      </c>
      <c r="G9" s="138">
        <f>COUNTIFS(worksheet!Y3:Y1592,"3",worksheet!T3:T1592,"=06.06.17")</f>
        <v>0</v>
      </c>
      <c r="H9" s="138">
        <f>COUNTIFS(worksheet!Y3:Y1592,"3",worksheet!T3:T1592,"=06.07.17")</f>
        <v>0</v>
      </c>
      <c r="I9" s="138">
        <f>COUNTIFS(worksheet!Y3:Y1592,"3",worksheet!T3:T1592,"=06.08.17")</f>
        <v>0</v>
      </c>
      <c r="J9" s="138">
        <f>COUNTIFS(worksheet!Y3:Y1592,"3",worksheet!T3:T1592,"=06.09.17")</f>
        <v>1</v>
      </c>
      <c r="K9" s="138">
        <f>COUNTIFS(worksheet!Y3:Y1592,"3",worksheet!T3:T1592,"=06.10.17")</f>
        <v>0</v>
      </c>
      <c r="L9" s="138">
        <f>COUNTIFS(worksheet!Y3:Y1592,"3",worksheet!T3:T1592,"=06.11.17")</f>
        <v>6</v>
      </c>
      <c r="M9" s="138">
        <f>COUNTIFS(worksheet!Y3:Y1592,"3",worksheet!T3:T1592,"=06.12.17")</f>
        <v>0</v>
      </c>
    </row>
    <row r="10" spans="1:13" ht="16.5" thickBot="1" x14ac:dyDescent="0.25">
      <c r="A10" s="206">
        <v>7</v>
      </c>
      <c r="B10" s="138">
        <f>COUNTIFS(worksheet!Y3:Y1592,"3",worksheet!T3:T1592,"=07.01.17")</f>
        <v>0</v>
      </c>
      <c r="C10" s="138">
        <f>COUNTIFS(worksheet!Y3:Y1592,"3",worksheet!T3:T1592,"=07.02.17")</f>
        <v>0</v>
      </c>
      <c r="D10" s="138">
        <f>COUNTIFS(worksheet!Y3:Y1592,"3",worksheet!T3:T1592,"=07.03.17")</f>
        <v>0</v>
      </c>
      <c r="E10" s="138">
        <f>COUNTIFS(worksheet!Y3:Y1592,"3",worksheet!T3:T1592,"=07.04.17")</f>
        <v>0</v>
      </c>
      <c r="F10" s="138">
        <f>COUNTIFS(worksheet!Y3:Y1592,"3",worksheet!T3:T1592,"=07.05.17")</f>
        <v>0</v>
      </c>
      <c r="G10" s="138">
        <f>COUNTIFS(worksheet!Y3:Y1592,"3",worksheet!T3:T1592,"=07.06.17")</f>
        <v>0</v>
      </c>
      <c r="H10" s="138">
        <f>COUNTIFS(worksheet!Y3:Y1592,"3",worksheet!T3:T1592,"=07.07.17")</f>
        <v>0</v>
      </c>
      <c r="I10" s="138">
        <f>COUNTIFS(worksheet!Y3:Y1592,"3",worksheet!T3:T1592,"=07.08.17")</f>
        <v>0</v>
      </c>
      <c r="J10" s="138">
        <f>COUNTIFS(worksheet!Y3:Y1592,"3",worksheet!T3:T1592,"=07.09.17")</f>
        <v>1</v>
      </c>
      <c r="K10" s="138">
        <f>COUNTIFS(worksheet!Y3:Y1592,"3",worksheet!T3:T1592,"=07.10.17")</f>
        <v>0</v>
      </c>
      <c r="L10" s="138">
        <f>COUNTIFS(worksheet!Y3:Y1592,"3",worksheet!T3:T1592,"=07.11.17")</f>
        <v>1</v>
      </c>
      <c r="M10" s="138">
        <f>COUNTIFS(worksheet!Y3:Y1592,"3",worksheet!T3:T1592,"=07.12.17")</f>
        <v>0</v>
      </c>
    </row>
    <row r="11" spans="1:13" ht="16.5" thickBot="1" x14ac:dyDescent="0.25">
      <c r="A11" s="206">
        <v>8</v>
      </c>
      <c r="B11" s="138">
        <f>COUNTIFS(worksheet!Y3:Y1592,"3",worksheet!T3:T1592,"=08.01.17")</f>
        <v>0</v>
      </c>
      <c r="C11" s="138">
        <f>COUNTIFS(worksheet!Y3:Y1592,"3",worksheet!T3:T1592,"=08.02.17")</f>
        <v>0</v>
      </c>
      <c r="D11" s="138">
        <f>COUNTIFS(worksheet!Y3:Y1592,"3",worksheet!T3:T1592,"=08.03.17")</f>
        <v>0</v>
      </c>
      <c r="E11" s="138">
        <f>COUNTIFS(worksheet!Y3:Y1592,"3",worksheet!T3:T1592,"=08.04.17")</f>
        <v>0</v>
      </c>
      <c r="F11" s="138">
        <f>COUNTIFS(worksheet!Y3:Y1592,"3",worksheet!T3:T1592,"=08.05.17")</f>
        <v>0</v>
      </c>
      <c r="G11" s="138">
        <f>COUNTIFS(worksheet!Y3:Y1592,"3",worksheet!T3:T1592,"=08.06.17")</f>
        <v>0</v>
      </c>
      <c r="H11" s="138">
        <f>COUNTIFS(worksheet!Y3:Y1592,"3",worksheet!T3:T1592,"=08.07.17")</f>
        <v>0</v>
      </c>
      <c r="I11" s="138">
        <f>COUNTIFS(worksheet!Y3:Y1592,"3",worksheet!T3:T1592,"=08.08.17")</f>
        <v>0</v>
      </c>
      <c r="J11" s="138">
        <f>COUNTIFS(worksheet!Y3:Y1592,"3",worksheet!T3:T1592,"=08.09.17")</f>
        <v>0</v>
      </c>
      <c r="K11" s="138">
        <f>COUNTIFS(worksheet!Y3:Y1592,"3",worksheet!T3:T1592,"=08.10.17")</f>
        <v>3</v>
      </c>
      <c r="L11" s="138">
        <f>COUNTIFS(worksheet!Y3:Y1592,"3",worksheet!T3:T1592,"=08.11.17")</f>
        <v>1</v>
      </c>
      <c r="M11" s="138">
        <f>COUNTIFS(worksheet!Y3:Y1592,"3",worksheet!T3:T1592,"=08.12.17")</f>
        <v>0</v>
      </c>
    </row>
    <row r="12" spans="1:13" ht="16.5" thickBot="1" x14ac:dyDescent="0.25">
      <c r="A12" s="206">
        <v>9</v>
      </c>
      <c r="B12" s="138">
        <f>COUNTIFS(worksheet!Y3:Y1592,"3",worksheet!T3:T1592,"=09.01.17")</f>
        <v>0</v>
      </c>
      <c r="C12" s="138">
        <f>COUNTIFS(worksheet!Y3:Y1592,"3",worksheet!T3:T1592,"=09.02.17")</f>
        <v>0</v>
      </c>
      <c r="D12" s="138">
        <f>COUNTIFS(worksheet!Y3:Y1592,"3",worksheet!T3:T1592,"=09.03.17")</f>
        <v>0</v>
      </c>
      <c r="E12" s="138">
        <f>COUNTIFS(worksheet!Y3:Y1592,"3",worksheet!T3:T1592,"=09.04.17")</f>
        <v>0</v>
      </c>
      <c r="F12" s="138">
        <f>COUNTIFS(worksheet!Y3:Y1592,"3",worksheet!T3:T1592,"=09.05.17")</f>
        <v>0</v>
      </c>
      <c r="G12" s="138">
        <f>COUNTIFS(worksheet!Y3:Y1592,"3",worksheet!T3:T1592,"=09.06.17")</f>
        <v>0</v>
      </c>
      <c r="H12" s="138">
        <f>COUNTIFS(worksheet!Y3:Y1592,"3",worksheet!T3:T1592,"=09.07.17")</f>
        <v>0</v>
      </c>
      <c r="I12" s="138">
        <f>COUNTIFS(worksheet!Y3:Y1592,"3",worksheet!T3:T1592,"=09.08.17")</f>
        <v>0</v>
      </c>
      <c r="J12" s="138">
        <f>COUNTIFS(worksheet!Y3:Y1592,"3",worksheet!T3:T1592,"=09.09.17")</f>
        <v>0</v>
      </c>
      <c r="K12" s="138">
        <f>COUNTIFS(worksheet!Y3:Y1592,"3",worksheet!T3:T1592,"=09.10.17")</f>
        <v>0</v>
      </c>
      <c r="L12" s="138">
        <f>COUNTIFS(worksheet!Y3:Y1592,"3",worksheet!T3:T1592,"=09.11.17")</f>
        <v>13</v>
      </c>
      <c r="M12" s="138">
        <f>COUNTIFS(worksheet!Y3:Y1592,"3",worksheet!T3:T1592,"=09.12.17")</f>
        <v>0</v>
      </c>
    </row>
    <row r="13" spans="1:13" ht="16.5" thickBot="1" x14ac:dyDescent="0.25">
      <c r="A13" s="206">
        <v>10</v>
      </c>
      <c r="B13" s="138">
        <f>COUNTIFS(worksheet!Y3:Y1592,"3",worksheet!T3:T1592,"=10.01.17")</f>
        <v>0</v>
      </c>
      <c r="C13" s="138">
        <f>COUNTIFS(worksheet!Y3:Y1592,"3",worksheet!T3:T1592,"=10.02.17")</f>
        <v>0</v>
      </c>
      <c r="D13" s="138">
        <f>COUNTIFS(worksheet!Y3:Y1592,"3",worksheet!T3:T1592,"=10.03.17")</f>
        <v>0</v>
      </c>
      <c r="E13" s="138">
        <f>COUNTIFS(worksheet!Y3:Y1592,"3",worksheet!T3:T1592,"=10.04.17")</f>
        <v>0</v>
      </c>
      <c r="F13" s="138">
        <f>COUNTIFS(worksheet!Y3:Y1592,"3",worksheet!T3:T1592,"=10.05.17")</f>
        <v>0</v>
      </c>
      <c r="G13" s="138">
        <f>COUNTIFS(worksheet!Y3:Y1592,"3",worksheet!T3:T1592,"=10.06.17")</f>
        <v>0</v>
      </c>
      <c r="H13" s="138">
        <f>COUNTIFS(worksheet!Y3:Y1592,"3",worksheet!T3:T1592,"=10.07.17")</f>
        <v>0</v>
      </c>
      <c r="I13" s="138">
        <f>COUNTIFS(worksheet!Y3:Y1592,"3",worksheet!T3:T1592,"=10.08.17")</f>
        <v>0</v>
      </c>
      <c r="J13" s="138">
        <f>COUNTIFS(worksheet!Y3:Y1592,"3",worksheet!T3:T1592,"=10.09.17")</f>
        <v>0</v>
      </c>
      <c r="K13" s="138">
        <f>COUNTIFS(worksheet!Y3:Y1592,"3",worksheet!T3:T1592,"=10.10.17")</f>
        <v>0</v>
      </c>
      <c r="L13" s="138">
        <f>COUNTIFS(worksheet!Y3:Y1592,"3",worksheet!T3:T1592,"=10.11.17")</f>
        <v>3</v>
      </c>
      <c r="M13" s="138">
        <f>COUNTIFS(worksheet!Y3:Y1592,"3",worksheet!T3:T1592,"=10.12.17")</f>
        <v>0</v>
      </c>
    </row>
    <row r="14" spans="1:13" ht="16.5" thickBot="1" x14ac:dyDescent="0.25">
      <c r="A14" s="206">
        <v>11</v>
      </c>
      <c r="B14" s="138">
        <f>COUNTIFS(worksheet!Y3:Y1592,"3",worksheet!T3:T1592,"=11.01.17")</f>
        <v>0</v>
      </c>
      <c r="C14" s="138">
        <f>COUNTIFS(worksheet!Y3:Y1592,"3",worksheet!T3:T1592,"=11.02.17")</f>
        <v>0</v>
      </c>
      <c r="D14" s="138">
        <f>COUNTIFS(worksheet!Y3:Y1592,"3",worksheet!T3:T1592,"=11.03.17")</f>
        <v>0</v>
      </c>
      <c r="E14" s="138">
        <f>COUNTIFS(worksheet!Y3:Y1592,"3",worksheet!T3:T1592,"=11.04.17")</f>
        <v>0</v>
      </c>
      <c r="F14" s="138">
        <f>COUNTIFS(worksheet!Y3:Y1592,"3",worksheet!T3:T1592,"=11.05.17")</f>
        <v>0</v>
      </c>
      <c r="G14" s="138">
        <f>COUNTIFS(worksheet!Y3:Y1592,"3",worksheet!T3:T1592,"=11.06.17")</f>
        <v>0</v>
      </c>
      <c r="H14" s="138">
        <f>COUNTIFS(worksheet!Y3:Y1592,"3",worksheet!T3:T1592,"=11.07.17")</f>
        <v>0</v>
      </c>
      <c r="I14" s="138">
        <f>COUNTIFS(worksheet!Y3:Y1592,"3",worksheet!T3:T1592,"=11.08.17")</f>
        <v>0</v>
      </c>
      <c r="J14" s="138">
        <f>COUNTIFS(worksheet!Y3:Y1592,"3",worksheet!T3:T1592,"=11.09.17")</f>
        <v>1</v>
      </c>
      <c r="K14" s="138">
        <f>COUNTIFS(worksheet!Y3:Y1592,"3",worksheet!T3:T1592,"=11.10.17")</f>
        <v>2</v>
      </c>
      <c r="L14" s="138">
        <f>COUNTIFS(worksheet!Y3:Y1592,"3",worksheet!T3:T1592,"=11.11.17")</f>
        <v>0</v>
      </c>
      <c r="M14" s="138">
        <f>COUNTIFS(worksheet!Y3:Y1592,"3",worksheet!T3:T1592,"=11.12.17")</f>
        <v>0</v>
      </c>
    </row>
    <row r="15" spans="1:13" ht="16.5" thickBot="1" x14ac:dyDescent="0.25">
      <c r="A15" s="206">
        <v>12</v>
      </c>
      <c r="B15" s="138">
        <f>COUNTIFS(worksheet!Y3:Y1592,"3",worksheet!T3:T1592,"=12.01.17")</f>
        <v>0</v>
      </c>
      <c r="C15" s="138">
        <f>COUNTIFS(worksheet!Y3:Y1592,"3",worksheet!T3:T1592,"=12.02.17")</f>
        <v>0</v>
      </c>
      <c r="D15" s="138">
        <f>COUNTIFS(worksheet!Y3:Y1592,"3",worksheet!T3:T1592,"=12.03.17")</f>
        <v>0</v>
      </c>
      <c r="E15" s="138">
        <f>COUNTIFS(worksheet!Y3:Y1592,"3",worksheet!T3:T1592,"=12.04.17")</f>
        <v>0</v>
      </c>
      <c r="F15" s="138">
        <f>COUNTIFS(worksheet!Y3:Y1592,"3",worksheet!T3:T1592,"=12.05.17")</f>
        <v>0</v>
      </c>
      <c r="G15" s="138">
        <f>COUNTIFS(worksheet!Y3:Y1592,"3",worksheet!T3:T1592,"=12.06.17")</f>
        <v>0</v>
      </c>
      <c r="H15" s="138">
        <f>COUNTIFS(worksheet!Y3:Y1592,"3",worksheet!T3:T1592,"=12.07.17")</f>
        <v>0</v>
      </c>
      <c r="I15" s="138">
        <f>COUNTIFS(worksheet!Y3:Y1592,"3",worksheet!T3:T1592,"=12.08.17")</f>
        <v>0</v>
      </c>
      <c r="J15" s="138">
        <f>COUNTIFS(worksheet!Y3:Y1592,"3",worksheet!T3:T1592,"=12.09.17")</f>
        <v>1</v>
      </c>
      <c r="K15" s="138">
        <f>COUNTIFS(worksheet!Y3:Y1592,"3",worksheet!T3:T1592,"=12.10.17")</f>
        <v>0</v>
      </c>
      <c r="L15" s="138">
        <f>COUNTIFS(worksheet!Y3:Y1592,"3",worksheet!T3:T1592,"=12.11.17")</f>
        <v>0</v>
      </c>
      <c r="M15" s="138">
        <f>COUNTIFS(worksheet!Y3:Y1592,"3",worksheet!T3:T1592,"=12.12.17")</f>
        <v>0</v>
      </c>
    </row>
    <row r="16" spans="1:13" ht="16.5" thickBot="1" x14ac:dyDescent="0.25">
      <c r="A16" s="206">
        <v>13</v>
      </c>
      <c r="B16" s="138">
        <f>COUNTIFS(worksheet!Y3:Y1592,"3",worksheet!T3:T1592,"=13.01.17")</f>
        <v>0</v>
      </c>
      <c r="C16" s="138">
        <f>COUNTIFS(worksheet!Y3:Y1592,"3",worksheet!T3:T1592,"=13.02.17")</f>
        <v>0</v>
      </c>
      <c r="D16" s="138">
        <f>COUNTIFS(worksheet!Y3:Y1592,"3",worksheet!T3:T1592,"=13.03.17")</f>
        <v>0</v>
      </c>
      <c r="E16" s="138">
        <f>COUNTIFS(worksheet!Y3:Y1592,"3",worksheet!T3:T1592,"=13.04.17")</f>
        <v>0</v>
      </c>
      <c r="F16" s="138">
        <f>COUNTIFS(worksheet!Y3:Y1592,"3",worksheet!T3:T1592,"=13.05.17")</f>
        <v>0</v>
      </c>
      <c r="G16" s="138">
        <f>COUNTIFS(worksheet!Y3:Y1592,"3",worksheet!T3:T1592,"=13.06.17")</f>
        <v>0</v>
      </c>
      <c r="H16" s="138">
        <f>COUNTIFS(worksheet!Y3:Y1592,"3",worksheet!T3:T1592,"=13.07.17")</f>
        <v>0</v>
      </c>
      <c r="I16" s="138">
        <f>COUNTIFS(worksheet!Y3:Y1592,"3",worksheet!T3:T1592,"=13.08.17")</f>
        <v>0</v>
      </c>
      <c r="J16" s="138">
        <f>COUNTIFS(worksheet!Y3:Y1592,"3",worksheet!T3:T1592,"=13.09.17")</f>
        <v>0</v>
      </c>
      <c r="K16" s="138">
        <f>COUNTIFS(worksheet!Y3:Y1592,"3",worksheet!T3:T1592,"=13.10.17")</f>
        <v>0</v>
      </c>
      <c r="L16" s="138">
        <f>COUNTIFS(worksheet!Y3:Y1592,"3",worksheet!T3:T1592,"=13.11.17")</f>
        <v>0</v>
      </c>
      <c r="M16" s="138">
        <f>COUNTIFS(worksheet!Y3:Y1592,"3",worksheet!T3:T1592,"=13.12.17")</f>
        <v>0</v>
      </c>
    </row>
    <row r="17" spans="1:13" ht="16.5" thickBot="1" x14ac:dyDescent="0.25">
      <c r="A17" s="206">
        <v>14</v>
      </c>
      <c r="B17" s="138">
        <f>COUNTIFS(worksheet!Y3:Y1592,"3",worksheet!T3:T1592,"=14.01.17")</f>
        <v>0</v>
      </c>
      <c r="C17" s="138">
        <f>COUNTIFS(worksheet!Y3:Y1592,"3",worksheet!T3:T1592,"=14.02.17")</f>
        <v>0</v>
      </c>
      <c r="D17" s="138">
        <f>COUNTIFS(worksheet!Y3:Y1592,"3",worksheet!T3:T1592,"=14.03.17")</f>
        <v>0</v>
      </c>
      <c r="E17" s="138">
        <f>COUNTIFS(worksheet!Y3:Y1592,"3",worksheet!T3:T1592,"=14.04.17")</f>
        <v>0</v>
      </c>
      <c r="F17" s="138">
        <f>COUNTIFS(worksheet!Y3:Y1592,"3",worksheet!T3:T1592,"=14.05.17")</f>
        <v>0</v>
      </c>
      <c r="G17" s="138">
        <f>COUNTIFS(worksheet!Y3:Y1592,"3",worksheet!T3:T1592,"=14.06.17")</f>
        <v>0</v>
      </c>
      <c r="H17" s="138">
        <f>COUNTIFS(worksheet!Y3:Y1592,"3",worksheet!T3:T1592,"=14.07.17")</f>
        <v>0</v>
      </c>
      <c r="I17" s="138">
        <f>COUNTIFS(worksheet!Y3:Y1592,"3",worksheet!T3:T1592,"=14.08.17")</f>
        <v>0</v>
      </c>
      <c r="J17" s="138">
        <f>COUNTIFS(worksheet!Y3:Y1592,"3",worksheet!T3:T1592,"=14.09.17")</f>
        <v>2</v>
      </c>
      <c r="K17" s="138">
        <f>COUNTIFS(worksheet!Y3:Y1592,"3",worksheet!T3:T1592,"=14.10.17")</f>
        <v>1</v>
      </c>
      <c r="L17" s="138">
        <f>COUNTIFS(worksheet!Y3:Y1592,"3",worksheet!T3:T1592,"=14.11.17")</f>
        <v>3</v>
      </c>
      <c r="M17" s="138">
        <f>COUNTIFS(worksheet!Y3:Y1592,"3",worksheet!T3:T1592,"=14.12.17")</f>
        <v>0</v>
      </c>
    </row>
    <row r="18" spans="1:13" ht="16.5" thickBot="1" x14ac:dyDescent="0.25">
      <c r="A18" s="206">
        <v>15</v>
      </c>
      <c r="B18" s="138">
        <f>COUNTIFS(worksheet!Y3:Y1592,"3",worksheet!T3:T1592,"=15.01.17")</f>
        <v>0</v>
      </c>
      <c r="C18" s="138">
        <f>COUNTIFS(worksheet!Y3:Y1592,"3",worksheet!T3:T1592,"=15.02.17")</f>
        <v>0</v>
      </c>
      <c r="D18" s="138">
        <f>COUNTIFS(worksheet!Y3:Y1592,"3",worksheet!T3:T1592,"=15.03.17")</f>
        <v>0</v>
      </c>
      <c r="E18" s="138">
        <f>COUNTIFS(worksheet!Y3:Y1592,"3",worksheet!T3:T1592,"=15.04.17")</f>
        <v>0</v>
      </c>
      <c r="F18" s="138">
        <f>COUNTIFS(worksheet!Y3:Y1592,"3",worksheet!T3:T1592,"=15.05.17")</f>
        <v>0</v>
      </c>
      <c r="G18" s="138">
        <f>COUNTIFS(worksheet!Y3:Y1592,"3",worksheet!T3:T1592,"=15.06.17")</f>
        <v>0</v>
      </c>
      <c r="H18" s="138">
        <f>COUNTIFS(worksheet!Y3:Y1592,"3",worksheet!T3:T1592,"=15.07.17")</f>
        <v>0</v>
      </c>
      <c r="I18" s="138">
        <f>COUNTIFS(worksheet!Y3:Y1592,"3",worksheet!T3:T1592,"=15.08.17")</f>
        <v>0</v>
      </c>
      <c r="J18" s="138">
        <f>COUNTIFS(worksheet!Y3:Y1592,"3",worksheet!T3:T1592,"=15.09.17")</f>
        <v>3</v>
      </c>
      <c r="K18" s="138">
        <f>COUNTIFS(worksheet!Y3:Y1592,"3",worksheet!T3:T1592,"=15.10.17")</f>
        <v>0</v>
      </c>
      <c r="L18" s="138">
        <f>COUNTIFS(worksheet!Y3:Y1592,"3",worksheet!T3:T1592,"=15.11.17")</f>
        <v>1</v>
      </c>
      <c r="M18" s="138">
        <f>COUNTIFS(worksheet!Y3:Y1592,"3",worksheet!T3:T1592,"=15.12.17")</f>
        <v>0</v>
      </c>
    </row>
    <row r="19" spans="1:13" ht="16.5" thickBot="1" x14ac:dyDescent="0.25">
      <c r="A19" s="206">
        <v>16</v>
      </c>
      <c r="B19" s="138">
        <f>COUNTIFS(worksheet!Y3:Y1592,"3",worksheet!T3:T1592,"=16.01.17")</f>
        <v>0</v>
      </c>
      <c r="C19" s="138">
        <f>COUNTIFS(worksheet!Y3:Y1592,"3",worksheet!T3:T1592,"=16.02.17")</f>
        <v>0</v>
      </c>
      <c r="D19" s="138">
        <f>COUNTIFS(worksheet!Y3:Y1592,"3",worksheet!T3:T1592,"=16.03.17")</f>
        <v>0</v>
      </c>
      <c r="E19" s="138">
        <f>COUNTIFS(worksheet!Y3:Y1592,"3",worksheet!T3:T1592,"=16.04.17")</f>
        <v>0</v>
      </c>
      <c r="F19" s="138">
        <f>COUNTIFS(worksheet!Y3:Y1592,"3",worksheet!T3:T1592,"=16.05.17")</f>
        <v>0</v>
      </c>
      <c r="G19" s="138">
        <f>COUNTIFS(worksheet!Y3:Y1592,"3",worksheet!T3:T1592,"=16.06.17")</f>
        <v>0</v>
      </c>
      <c r="H19" s="138">
        <f>COUNTIFS(worksheet!Y3:Y1592,"3",worksheet!T3:T1592,"=16.07.17")</f>
        <v>0</v>
      </c>
      <c r="I19" s="138">
        <f>COUNTIFS(worksheet!Y3:Y1592,"3",worksheet!T3:T1592,"=16.08.17")</f>
        <v>0</v>
      </c>
      <c r="J19" s="138">
        <f>COUNTIFS(worksheet!Y3:Y1592,"3",worksheet!T3:T1592,"=16.09.17")</f>
        <v>1</v>
      </c>
      <c r="K19" s="138">
        <f>COUNTIFS(worksheet!Y3:Y1592,"3",worksheet!T3:T1592,"=16.10.17")</f>
        <v>1</v>
      </c>
      <c r="L19" s="138">
        <f>COUNTIFS(worksheet!Y3:Y1592,"3",worksheet!T3:T1592,"=16.11.17")</f>
        <v>16</v>
      </c>
      <c r="M19" s="138">
        <f>COUNTIFS(worksheet!Y3:Y1592,"3",worksheet!T3:T1592,"=16.12.17")</f>
        <v>0</v>
      </c>
    </row>
    <row r="20" spans="1:13" ht="16.5" thickBot="1" x14ac:dyDescent="0.25">
      <c r="A20" s="206">
        <v>17</v>
      </c>
      <c r="B20" s="138">
        <f>COUNTIFS(worksheet!Y3:Y1592,"3",worksheet!T3:T1592,"=17.01.17")</f>
        <v>0</v>
      </c>
      <c r="C20" s="138">
        <f>COUNTIFS(worksheet!Y3:Y1592,"3",worksheet!T3:T1592,"=17.02.17")</f>
        <v>0</v>
      </c>
      <c r="D20" s="138">
        <f>COUNTIFS(worksheet!Y3:Y1592,"3",worksheet!T3:T1592,"=17.03.17")</f>
        <v>0</v>
      </c>
      <c r="E20" s="138">
        <f>COUNTIFS(worksheet!Y3:Y1592,"3",worksheet!T3:T1592,"=17.04.17")</f>
        <v>0</v>
      </c>
      <c r="F20" s="138">
        <f>COUNTIFS(worksheet!Y3:Y1592,"3",worksheet!T3:T1592,"=17.05.17")</f>
        <v>0</v>
      </c>
      <c r="G20" s="138">
        <f>COUNTIFS(worksheet!Y3:Y1592,"3",worksheet!T3:T1592,"=17.06.17")</f>
        <v>0</v>
      </c>
      <c r="H20" s="138">
        <f>COUNTIFS(worksheet!Y3:Y1592,"3",worksheet!T3:T1592,"=17.07.17")</f>
        <v>1</v>
      </c>
      <c r="I20" s="138">
        <f>COUNTIFS(worksheet!Y3:Y1592,"3",worksheet!T3:T1592,"=17.08.17")</f>
        <v>0</v>
      </c>
      <c r="J20" s="138">
        <f>COUNTIFS(worksheet!Y3:Y1592,"3",worksheet!T3:T1592,"=17.09.17")</f>
        <v>0</v>
      </c>
      <c r="K20" s="138">
        <f>COUNTIFS(worksheet!Y3:Y1592,"3",worksheet!T3:T1592,"=17.10.17")</f>
        <v>2</v>
      </c>
      <c r="L20" s="138">
        <f>COUNTIFS(worksheet!Y3:Y1592,"3",worksheet!T3:T1592,"=17.11.17")</f>
        <v>15</v>
      </c>
      <c r="M20" s="138">
        <f>COUNTIFS(worksheet!Y3:Y1592,"3",worksheet!T3:T1592,"=17.12.17")</f>
        <v>0</v>
      </c>
    </row>
    <row r="21" spans="1:13" ht="16.5" thickBot="1" x14ac:dyDescent="0.25">
      <c r="A21" s="206">
        <v>18</v>
      </c>
      <c r="B21" s="138">
        <f>COUNTIFS(worksheet!Y3:Y1592,"3",worksheet!T3:T1592,"=18.01.17")</f>
        <v>0</v>
      </c>
      <c r="C21" s="138">
        <f>COUNTIFS(worksheet!Y3:Y1592,"3",worksheet!T3:T1592,"=18.02.17")</f>
        <v>0</v>
      </c>
      <c r="D21" s="138">
        <f>COUNTIFS(worksheet!Y3:Y1592,"3",worksheet!T3:T1592,"=18.03.17")</f>
        <v>0</v>
      </c>
      <c r="E21" s="138">
        <f>COUNTIFS(worksheet!Y3:Y1592,"3",worksheet!T3:T1592,"=18.04.17")</f>
        <v>0</v>
      </c>
      <c r="F21" s="138">
        <f>COUNTIFS(worksheet!Y3:Y1592,"3",worksheet!T3:T1592,"=18.05.17")</f>
        <v>0</v>
      </c>
      <c r="G21" s="138">
        <f>COUNTIFS(worksheet!Y3:Y1592,"3",worksheet!T3:T1592,"=18.06.17")</f>
        <v>0</v>
      </c>
      <c r="H21" s="138">
        <f>COUNTIFS(worksheet!Y3:Y1592,"3",worksheet!T3:T1592,"=18.07.17")</f>
        <v>0</v>
      </c>
      <c r="I21" s="138">
        <f>COUNTIFS(worksheet!Y3:Y1592,"3",worksheet!T3:T1592,"=18.08.17")</f>
        <v>0</v>
      </c>
      <c r="J21" s="138">
        <f>COUNTIFS(worksheet!Y3:Y1592,"3",worksheet!T3:T1592,"=18.09.17")</f>
        <v>0</v>
      </c>
      <c r="K21" s="138">
        <f>COUNTIFS(worksheet!Y3:Y1592,"3",worksheet!T3:T1592,"=18.10.17")</f>
        <v>0</v>
      </c>
      <c r="L21" s="138">
        <f>COUNTIFS(worksheet!Y3:Y1592,"3",worksheet!T3:T1592,"=18.11.17")</f>
        <v>0</v>
      </c>
      <c r="M21" s="138">
        <f>COUNTIFS(worksheet!Y3:Y1592,"3",worksheet!T3:T1592,"=18.12.17")</f>
        <v>0</v>
      </c>
    </row>
    <row r="22" spans="1:13" ht="16.5" thickBot="1" x14ac:dyDescent="0.25">
      <c r="A22" s="206">
        <v>19</v>
      </c>
      <c r="B22" s="138">
        <f>COUNTIFS(worksheet!Y3:Y1592,"3",worksheet!T3:T1592,"=19.01.17")</f>
        <v>0</v>
      </c>
      <c r="C22" s="138">
        <f>COUNTIFS(worksheet!Y3:Y1592,"3",worksheet!T3:T1592,"=19.02.17")</f>
        <v>0</v>
      </c>
      <c r="D22" s="138">
        <f>COUNTIFS(worksheet!Y3:Y1592,"3",worksheet!T3:T1592,"=19.03.17")</f>
        <v>0</v>
      </c>
      <c r="E22" s="138">
        <f>COUNTIFS(worksheet!Y3:Y1592,"3",worksheet!T3:T1592,"=19.04.17")</f>
        <v>0</v>
      </c>
      <c r="F22" s="138">
        <f>COUNTIFS(worksheet!Y3:Y1592,"3",worksheet!T3:T1592,"=19.05.17")</f>
        <v>0</v>
      </c>
      <c r="G22" s="138">
        <f>COUNTIFS(worksheet!Y3:Y1592,"3",worksheet!T3:T1592,"=19.06.17")</f>
        <v>0</v>
      </c>
      <c r="H22" s="138">
        <f>COUNTIFS(worksheet!Y3:Y1592,"3",worksheet!T3:T1592,"=19.07.17")</f>
        <v>0</v>
      </c>
      <c r="I22" s="138">
        <f>COUNTIFS(worksheet!Y3:Y1592,"3",worksheet!T3:T1592,"=19.08.17")</f>
        <v>0</v>
      </c>
      <c r="J22" s="138">
        <f>COUNTIFS(worksheet!Y3:Y1592,"3",worksheet!T3:T1592,"=19.09.17")</f>
        <v>3</v>
      </c>
      <c r="K22" s="138">
        <f>COUNTIFS(worksheet!Y3:Y1592,"3",worksheet!T3:T1592,"=19.10.17")</f>
        <v>7</v>
      </c>
      <c r="L22" s="138">
        <f>COUNTIFS(worksheet!Y3:Y1592,"3",worksheet!T3:T1592,"=19.11.17")</f>
        <v>0</v>
      </c>
      <c r="M22" s="138">
        <f>COUNTIFS(worksheet!Y3:Y1592,"3",worksheet!T3:T1592,"=19.12.17")</f>
        <v>0</v>
      </c>
    </row>
    <row r="23" spans="1:13" ht="16.5" thickBot="1" x14ac:dyDescent="0.25">
      <c r="A23" s="206">
        <v>20</v>
      </c>
      <c r="B23" s="138">
        <f>COUNTIFS(worksheet!Y3:Y1592,"3",worksheet!T3:T1592,"=20.01.17")</f>
        <v>0</v>
      </c>
      <c r="C23" s="138">
        <f>COUNTIFS(worksheet!Y3:Y1592,"3",worksheet!T3:T1592,"=20.02.17")</f>
        <v>0</v>
      </c>
      <c r="D23" s="138">
        <f>COUNTIFS(worksheet!Y3:Y1592,"3",worksheet!T3:T1592,"=20.03.17")</f>
        <v>0</v>
      </c>
      <c r="E23" s="138">
        <f>COUNTIFS(worksheet!Y3:Y1592,"3",worksheet!T3:T1592,"=20.04.17")</f>
        <v>0</v>
      </c>
      <c r="F23" s="138">
        <f>COUNTIFS(worksheet!Y3:Y1592,"3",worksheet!T3:T1592,"=20.05.17")</f>
        <v>0</v>
      </c>
      <c r="G23" s="138">
        <f>COUNTIFS(worksheet!Y3:Y1592,"3",worksheet!T3:T1592,"=20.06.17")</f>
        <v>0</v>
      </c>
      <c r="H23" s="138">
        <f>COUNTIFS(worksheet!Y3:Y1592,"3",worksheet!T3:T1592,"=20.07.17")</f>
        <v>0</v>
      </c>
      <c r="I23" s="138">
        <f>COUNTIFS(worksheet!Y3:Y1592,"3",worksheet!T3:T1592,"=20.08.17")</f>
        <v>0</v>
      </c>
      <c r="J23" s="138">
        <f>COUNTIFS(worksheet!Y3:Y1592,"3",worksheet!T3:T1592,"=20.09.17")</f>
        <v>0</v>
      </c>
      <c r="K23" s="138">
        <f>COUNTIFS(worksheet!Y3:Y1592,"3",worksheet!T3:T1592,"=20.10.17")</f>
        <v>13</v>
      </c>
      <c r="L23" s="138">
        <f>COUNTIFS(worksheet!Y3:Y1592,"3",worksheet!T3:T1592,"=20.11.17")</f>
        <v>0</v>
      </c>
      <c r="M23" s="138">
        <f>COUNTIFS(worksheet!Y3:Y1592,"3",worksheet!T3:T1592,"=20.12.17")</f>
        <v>0</v>
      </c>
    </row>
    <row r="24" spans="1:13" ht="16.5" thickBot="1" x14ac:dyDescent="0.25">
      <c r="A24" s="206">
        <v>21</v>
      </c>
      <c r="B24" s="138">
        <f>COUNTIFS(worksheet!Y3:Y1592,"3",worksheet!T3:T1592,"=21.01.17")</f>
        <v>0</v>
      </c>
      <c r="C24" s="138">
        <f>COUNTIFS(worksheet!Y3:Y1592,"3",worksheet!T3:T1592,"=21.02.17")</f>
        <v>0</v>
      </c>
      <c r="D24" s="138">
        <f>COUNTIFS(worksheet!Y3:Y1592,"3",worksheet!T3:T1592,"=21.03.17")</f>
        <v>0</v>
      </c>
      <c r="E24" s="138">
        <f>COUNTIFS(worksheet!Y3:Y1592,"3",worksheet!T3:T1592,"=21.04.17")</f>
        <v>0</v>
      </c>
      <c r="F24" s="138">
        <f>COUNTIFS(worksheet!Y3:Y1592,"3",worksheet!T3:T1592,"=20.05.17")</f>
        <v>0</v>
      </c>
      <c r="G24" s="138">
        <f>COUNTIFS(worksheet!Y3:Y1592,"3",worksheet!T3:T1592,"=21.06.17")</f>
        <v>0</v>
      </c>
      <c r="H24" s="138">
        <f>COUNTIFS(worksheet!Y3:Y1592,"3",worksheet!T3:T1592,"=21.07.17")</f>
        <v>0</v>
      </c>
      <c r="I24" s="138">
        <f>COUNTIFS(worksheet!Y3:Y1592,"3",worksheet!T3:T1592,"=21.08.17")</f>
        <v>0</v>
      </c>
      <c r="J24" s="138">
        <f>COUNTIFS(worksheet!Y3:Y1592,"3",worksheet!T3:T1592,"=21.09.17")</f>
        <v>0</v>
      </c>
      <c r="K24" s="138">
        <f>COUNTIFS(worksheet!Y3:Y1592,"3",worksheet!T3:T1592,"=21.10.17")</f>
        <v>1</v>
      </c>
      <c r="L24" s="138">
        <f>COUNTIFS(worksheet!Y3:Y1592,"3",worksheet!T3:T1592,"=21.11.17")</f>
        <v>0</v>
      </c>
      <c r="M24" s="138">
        <f>COUNTIFS(worksheet!Y3:Y1592,"3",worksheet!T3:T1592,"=21.12.17")</f>
        <v>0</v>
      </c>
    </row>
    <row r="25" spans="1:13" ht="16.5" thickBot="1" x14ac:dyDescent="0.25">
      <c r="A25" s="206">
        <v>22</v>
      </c>
      <c r="B25" s="138">
        <f>COUNTIFS(worksheet!Y3:Y1592,"3",worksheet!T3:T1592,"=22.01.17")</f>
        <v>0</v>
      </c>
      <c r="C25" s="138">
        <f>COUNTIFS(worksheet!Y3:Y1592,"3",worksheet!T3:T1592,"=22.02.17")</f>
        <v>0</v>
      </c>
      <c r="D25" s="138">
        <f>COUNTIFS(worksheet!Y3:Y1592,"3",worksheet!T3:T1592,"=22.03.17")</f>
        <v>0</v>
      </c>
      <c r="E25" s="138">
        <f>COUNTIFS(worksheet!Y3:Y1592,"3",worksheet!T3:T1592,"=22.04.17")</f>
        <v>0</v>
      </c>
      <c r="F25" s="138">
        <f>COUNTIFS(worksheet!Y3:Y1592,"3",worksheet!T3:T1592,"=22.05.17")</f>
        <v>0</v>
      </c>
      <c r="G25" s="138">
        <f>COUNTIFS(worksheet!Y3:Y1592,"3",worksheet!T3:T1592,"=22.06.17")</f>
        <v>0</v>
      </c>
      <c r="H25" s="138">
        <f>COUNTIFS(worksheet!Y3:Y1592,"3",worksheet!T3:T1592,"=22.07.17")</f>
        <v>0</v>
      </c>
      <c r="I25" s="138">
        <f>COUNTIFS(worksheet!Y3:Y1592,"3",worksheet!T3:T1592,"=22.08.17")</f>
        <v>0</v>
      </c>
      <c r="J25" s="138">
        <f>COUNTIFS(worksheet!Y3:Y1592,"3",worksheet!T3:T1592,"=22.09.17")</f>
        <v>0</v>
      </c>
      <c r="K25" s="138">
        <f>COUNTIFS(worksheet!Y3:Y1592,"3",worksheet!T3:T1592,"=22.10.17")</f>
        <v>3</v>
      </c>
      <c r="L25" s="138">
        <f>COUNTIFS(worksheet!Y3:Y1592,"3",worksheet!T3:T1592,"=22.11.17")</f>
        <v>0</v>
      </c>
      <c r="M25" s="138">
        <f>COUNTIFS(worksheet!Y3:Y1592,"3",worksheet!T3:T1592,"=22.12.17")</f>
        <v>0</v>
      </c>
    </row>
    <row r="26" spans="1:13" ht="16.5" thickBot="1" x14ac:dyDescent="0.25">
      <c r="A26" s="206">
        <v>23</v>
      </c>
      <c r="B26" s="138">
        <f>COUNTIFS(worksheet!Y3:Y1592,"3",worksheet!T3:T1592,"=23.01.17")</f>
        <v>0</v>
      </c>
      <c r="C26" s="138">
        <f>COUNTIFS(worksheet!Y3:Y1592,"3",worksheet!T3:T1592,"=23.02.17")</f>
        <v>0</v>
      </c>
      <c r="D26" s="138">
        <f>COUNTIFS(worksheet!Y3:Y1592,"3",worksheet!T3:T1592,"=23.03.17")</f>
        <v>0</v>
      </c>
      <c r="E26" s="138">
        <f>COUNTIFS(worksheet!Y3:Y1592,"3",worksheet!T3:T1592,"=23.04.17")</f>
        <v>0</v>
      </c>
      <c r="F26" s="138">
        <f>COUNTIFS(worksheet!Y3:Y1592,"3",worksheet!T3:T1592,"=23.05.17")</f>
        <v>0</v>
      </c>
      <c r="G26" s="138">
        <f>COUNTIFS(worksheet!Y3:Y1592,"3",worksheet!T3:T1592,"=23.06.17")</f>
        <v>0</v>
      </c>
      <c r="H26" s="138">
        <f>COUNTIFS(worksheet!Y3:Y1592,"3",worksheet!T3:T1592,"=23.07.17")</f>
        <v>0</v>
      </c>
      <c r="I26" s="138">
        <f>COUNTIFS(worksheet!Y3:Y1592,"3",worksheet!T3:T1592,"=23.08.17")</f>
        <v>0</v>
      </c>
      <c r="J26" s="138">
        <f>COUNTIFS(worksheet!Y3:Y1592,"3",worksheet!T3:T1592,"=23.09.17")</f>
        <v>0</v>
      </c>
      <c r="K26" s="138">
        <f>COUNTIFS(worksheet!Y3:Y1592,"3",worksheet!T3:T1592,"=23.10.17")</f>
        <v>0</v>
      </c>
      <c r="L26" s="138">
        <f>COUNTIFS(worksheet!Y3:Y1592,"3",worksheet!T3:T1592,"=23.11.17")</f>
        <v>0</v>
      </c>
      <c r="M26" s="138">
        <f>COUNTIFS(worksheet!Y3:Y1592,"3",worksheet!T3:T1592,"=23.12.17")</f>
        <v>0</v>
      </c>
    </row>
    <row r="27" spans="1:13" ht="16.5" thickBot="1" x14ac:dyDescent="0.25">
      <c r="A27" s="206">
        <v>24</v>
      </c>
      <c r="B27" s="138">
        <f>COUNTIFS(worksheet!Y3:Y1592,"3",worksheet!T3:T1592,"=24.01.17")</f>
        <v>0</v>
      </c>
      <c r="C27" s="138">
        <f>COUNTIFS(worksheet!Y3:Y1592,"3",worksheet!T3:T1592,"=24.02.17")</f>
        <v>0</v>
      </c>
      <c r="D27" s="138">
        <f>COUNTIFS(worksheet!Y3:Y1592,"3",worksheet!T3:T1592,"=24.03.17")</f>
        <v>0</v>
      </c>
      <c r="E27" s="138">
        <f>COUNTIFS(worksheet!Y3:Y1592,"3",worksheet!T3:T1592,"=24.04.17")</f>
        <v>0</v>
      </c>
      <c r="F27" s="138">
        <f>COUNTIFS(worksheet!Y3:Y1592,"3",worksheet!T3:T1592,"=24.05.17")</f>
        <v>0</v>
      </c>
      <c r="G27" s="138">
        <f>COUNTIFS(worksheet!Y3:Y1592,"3",worksheet!T3:T1592,"=24.06.17")</f>
        <v>0</v>
      </c>
      <c r="H27" s="138">
        <f>COUNTIFS(worksheet!Y3:Y1592,"3",worksheet!T3:T1592,"=24.07.17")</f>
        <v>0</v>
      </c>
      <c r="I27" s="138">
        <f>COUNTIFS(worksheet!Y3:Y1592,"3",worksheet!T3:T1592,"=24.08.17")</f>
        <v>0</v>
      </c>
      <c r="J27" s="138">
        <f>COUNTIFS(worksheet!Y3:Y1592,"3",worksheet!T3:T1592,"=24.09.17")</f>
        <v>1</v>
      </c>
      <c r="K27" s="138">
        <f>COUNTIFS(worksheet!Y3:Y1592,"3",worksheet!T3:T1592,"=24.10.17")</f>
        <v>0</v>
      </c>
      <c r="L27" s="138">
        <f>COUNTIFS(worksheet!Y3:Y1592,"3",worksheet!T3:T1592,"=24.11.17")</f>
        <v>0</v>
      </c>
      <c r="M27" s="138">
        <f>COUNTIFS(worksheet!Y3:Y1592,"3",worksheet!T3:T1592,"=24.12.17")</f>
        <v>0</v>
      </c>
    </row>
    <row r="28" spans="1:13" ht="16.5" thickBot="1" x14ac:dyDescent="0.25">
      <c r="A28" s="206">
        <v>25</v>
      </c>
      <c r="B28" s="138">
        <f>COUNTIFS(worksheet!Y3:Y1592,"3",worksheet!T3:T1592,"=25.01.17")</f>
        <v>0</v>
      </c>
      <c r="C28" s="138">
        <f>COUNTIFS(worksheet!Y3:Y1592,"3",worksheet!T3:T1592,"=25.02.17")</f>
        <v>0</v>
      </c>
      <c r="D28" s="138">
        <f>COUNTIFS(worksheet!Y3:Y1592,"3",worksheet!T3:T1592,"=25.03.17")</f>
        <v>0</v>
      </c>
      <c r="E28" s="138">
        <f>COUNTIFS(worksheet!Y3:Y1592,"3",worksheet!T3:T1592,"=25.04.17")</f>
        <v>0</v>
      </c>
      <c r="F28" s="138">
        <f>COUNTIFS(worksheet!Y3:Y1592,"3",worksheet!T3:T1592,"=25.05.17")</f>
        <v>0</v>
      </c>
      <c r="G28" s="138">
        <f>COUNTIFS(worksheet!Y3:Y1592,"3",worksheet!T3:T1592,"=25.06.17")</f>
        <v>0</v>
      </c>
      <c r="H28" s="138">
        <f>COUNTIFS(worksheet!Y3:Y1592,"3",worksheet!T3:T1592,"=25.07.17")</f>
        <v>0</v>
      </c>
      <c r="I28" s="138">
        <f>COUNTIFS(worksheet!Y3:Y1592,"3",worksheet!T3:T1592,"=25.08.17")</f>
        <v>0</v>
      </c>
      <c r="J28" s="138">
        <f>COUNTIFS(worksheet!Y3:Y1592,"3",worksheet!T3:T1592,"=25.09.17")</f>
        <v>2</v>
      </c>
      <c r="K28" s="138">
        <f>COUNTIFS(worksheet!Y3:Y1592,"3",worksheet!T3:T1592,"=25.10.17")</f>
        <v>3</v>
      </c>
      <c r="L28" s="138">
        <f>COUNTIFS(worksheet!Y3:Y1592,"3",worksheet!T3:T1592,"=25.11.17")</f>
        <v>0</v>
      </c>
      <c r="M28" s="138">
        <f>COUNTIFS(worksheet!Y3:Y1592,"3",worksheet!T3:T1592,"=25.12.17")</f>
        <v>0</v>
      </c>
    </row>
    <row r="29" spans="1:13" ht="16.5" thickBot="1" x14ac:dyDescent="0.25">
      <c r="A29" s="206">
        <v>26</v>
      </c>
      <c r="B29" s="138">
        <f>COUNTIFS(worksheet!Y3:Y1592,"3",worksheet!T3:T1592,"=26.01.17")</f>
        <v>0</v>
      </c>
      <c r="C29" s="138">
        <f>COUNTIFS(worksheet!Y3:Y1592,"3",worksheet!T3:T1592,"=26.02.17")</f>
        <v>0</v>
      </c>
      <c r="D29" s="138">
        <f>COUNTIFS(worksheet!Y3:Y1592,"3",worksheet!T3:T1592,"=26.03.17")</f>
        <v>0</v>
      </c>
      <c r="E29" s="138">
        <f>COUNTIFS(worksheet!Y3:Y1592,"3",worksheet!T3:T1592,"=26.04.17")</f>
        <v>0</v>
      </c>
      <c r="F29" s="138">
        <f>COUNTIFS(worksheet!Y3:Y1592,"3",worksheet!T3:T1592,"=26.05.17")</f>
        <v>0</v>
      </c>
      <c r="G29" s="138">
        <f>COUNTIFS(worksheet!Y3:Y1592,"3",worksheet!T3:T1592,"=26.06.17")</f>
        <v>0</v>
      </c>
      <c r="H29" s="138">
        <f>COUNTIFS(worksheet!Y3:Y1592,"3",worksheet!T3:T1592,"=26.07.17")</f>
        <v>0</v>
      </c>
      <c r="I29" s="138">
        <f>COUNTIFS(worksheet!Y3:Y1592,"3",worksheet!T3:T1592,"=26.08.17")</f>
        <v>0</v>
      </c>
      <c r="J29" s="138">
        <f>COUNTIFS(worksheet!Y3:Y1592,"3",worksheet!T3:T1592,"=26.09.17")</f>
        <v>0</v>
      </c>
      <c r="K29" s="138">
        <f>COUNTIFS(worksheet!Y3:Y1592,"3",worksheet!T3:T1592,"=26.10.17")</f>
        <v>9</v>
      </c>
      <c r="L29" s="138">
        <f>COUNTIFS(worksheet!Y3:Y1592,"3",worksheet!T3:T1592,"=26.11.17")</f>
        <v>0</v>
      </c>
      <c r="M29" s="138">
        <f>COUNTIFS(worksheet!Y3:Y1592,"3",worksheet!T3:T1592,"=26.12.17")</f>
        <v>0</v>
      </c>
    </row>
    <row r="30" spans="1:13" ht="16.5" thickBot="1" x14ac:dyDescent="0.25">
      <c r="A30" s="206">
        <v>27</v>
      </c>
      <c r="B30" s="138">
        <f>COUNTIFS(worksheet!Y3:Y1592,"3",worksheet!T3:T1592,"=27.01.17")</f>
        <v>0</v>
      </c>
      <c r="C30" s="138">
        <f>COUNTIFS(worksheet!Y3:Y1592,"3",worksheet!T3:T1592,"=27.02.17")</f>
        <v>0</v>
      </c>
      <c r="D30" s="138">
        <f>COUNTIFS(worksheet!Y3:Y1592,"3",worksheet!T3:T1592,"=27.03.17")</f>
        <v>0</v>
      </c>
      <c r="E30" s="138">
        <f>COUNTIFS(worksheet!Y3:Y1592,"3",worksheet!T3:T1592,"=27.04.17")</f>
        <v>0</v>
      </c>
      <c r="F30" s="138">
        <f>COUNTIFS(worksheet!Y3:Y1592,"3",worksheet!T3:T1592,"=27.05.17")</f>
        <v>0</v>
      </c>
      <c r="G30" s="138">
        <f>COUNTIFS(worksheet!Y3:Y1592,"3",worksheet!T3:T1592,"=27.06.17")</f>
        <v>0</v>
      </c>
      <c r="H30" s="138">
        <f>COUNTIFS(worksheet!Y3:Y1592,"3",worksheet!T3:T1592,"=27.07.17")</f>
        <v>0</v>
      </c>
      <c r="I30" s="138">
        <f>COUNTIFS(worksheet!Y3:Y1592,"3",worksheet!T3:T1592,"=27.08.17")</f>
        <v>0</v>
      </c>
      <c r="J30" s="138">
        <f>COUNTIFS(worksheet!Y3:Y1592,"3",worksheet!T3:T1592,"=27.09.17")</f>
        <v>2</v>
      </c>
      <c r="K30" s="138">
        <f>COUNTIFS(worksheet!Y3:Y1592,"3",worksheet!T3:T1592,"=27.10.17")</f>
        <v>15</v>
      </c>
      <c r="L30" s="138">
        <f>COUNTIFS(worksheet!Y3:Y1592,"3",worksheet!T3:T1592,"=27.11.17")</f>
        <v>0</v>
      </c>
      <c r="M30" s="138">
        <f>COUNTIFS(worksheet!Y3:Y1592,"3",worksheet!T3:T1592,"=27.12.17")</f>
        <v>0</v>
      </c>
    </row>
    <row r="31" spans="1:13" ht="16.5" thickBot="1" x14ac:dyDescent="0.25">
      <c r="A31" s="206">
        <v>28</v>
      </c>
      <c r="B31" s="138">
        <f>COUNTIFS(worksheet!Y3:Y1592,"3",worksheet!T3:T1592,"=28.01.17")</f>
        <v>0</v>
      </c>
      <c r="C31" s="138">
        <f>COUNTIFS(worksheet!Y3:Y1592,"3",worksheet!T3:T1592,"=28.02.17")</f>
        <v>0</v>
      </c>
      <c r="D31" s="138">
        <f>COUNTIFS(worksheet!Y3:Y1592,"3",worksheet!T3:T1592,"=28.03.17")</f>
        <v>0</v>
      </c>
      <c r="E31" s="138">
        <f>COUNTIFS(worksheet!Y3:Y1592,"3",worksheet!T3:T1592,"=28.04.17")</f>
        <v>0</v>
      </c>
      <c r="F31" s="138">
        <f>COUNTIFS(worksheet!Y3:Y1592,"3",worksheet!T3:T1592,"=28.05.17")</f>
        <v>0</v>
      </c>
      <c r="G31" s="138">
        <f>COUNTIFS(worksheet!Y3:Y1592,"3",worksheet!T3:T1592,"=28.06.17")</f>
        <v>0</v>
      </c>
      <c r="H31" s="138">
        <f>COUNTIFS(worksheet!Y3:Y1592,"3",worksheet!T3:T1592,"=28.07.17")</f>
        <v>0</v>
      </c>
      <c r="I31" s="138">
        <f>COUNTIFS(worksheet!Y3:Y1592,"3",worksheet!T3:T1592,"=28.08.17")</f>
        <v>0</v>
      </c>
      <c r="J31" s="138">
        <f>COUNTIFS(worksheet!Y3:Y1592,"3",worksheet!T3:T1592,"=28.09.17")</f>
        <v>2</v>
      </c>
      <c r="K31" s="138">
        <f>COUNTIFS(worksheet!Y3:Y1592,"3",worksheet!T3:T1592,"=28.10.17")</f>
        <v>3</v>
      </c>
      <c r="L31" s="138">
        <f>COUNTIFS(worksheet!Y3:Y1592,"3",worksheet!T3:T1592,"=28.11.17")</f>
        <v>0</v>
      </c>
      <c r="M31" s="138">
        <f>COUNTIFS(worksheet!Y3:Y1592,"3",worksheet!T3:T1592,"=28.12.17")</f>
        <v>0</v>
      </c>
    </row>
    <row r="32" spans="1:13" ht="16.5" thickBot="1" x14ac:dyDescent="0.25">
      <c r="A32" s="206">
        <v>29</v>
      </c>
      <c r="B32" s="138">
        <f>COUNTIFS(worksheet!Y3:Y1592,"3",worksheet!T3:T1592,"=29.01.17")</f>
        <v>0</v>
      </c>
      <c r="C32" s="207"/>
      <c r="D32" s="138">
        <f>COUNTIFS(worksheet!Y3:Y1592,"3",worksheet!T3:T1592,"=29.03.17")</f>
        <v>0</v>
      </c>
      <c r="E32" s="138">
        <f>COUNTIFS(worksheet!Y3:Y1592,"3",worksheet!T3:T1592,"=29.04.17")</f>
        <v>0</v>
      </c>
      <c r="F32" s="138">
        <f>COUNTIFS(worksheet!Y3:Y1592,"3",worksheet!T3:T1592,"=29.05.17")</f>
        <v>0</v>
      </c>
      <c r="G32" s="138">
        <f>COUNTIFS(worksheet!Y3:Y1592,"3",worksheet!T3:T1592,"=29.06.17")</f>
        <v>0</v>
      </c>
      <c r="H32" s="138">
        <f>COUNTIFS(worksheet!Y3:Y1592,"3",worksheet!T3:T1592,"=29.07.17")</f>
        <v>0</v>
      </c>
      <c r="I32" s="138">
        <f>COUNTIFS(worksheet!Y3:Y1592,"3",worksheet!T3:T1592,"=29.08.17")</f>
        <v>0</v>
      </c>
      <c r="J32" s="138">
        <f>COUNTIFS(worksheet!Y3:Y1592,"3",worksheet!T3:T1592,"=29.09.17")</f>
        <v>0</v>
      </c>
      <c r="K32" s="138">
        <f>COUNTIFS(worksheet!Y3:Y1592,"3",worksheet!T3:T1592,"=29.10.17")</f>
        <v>1</v>
      </c>
      <c r="L32" s="138">
        <f>COUNTIFS(worksheet!Y3:Y1592,"3",worksheet!T3:T1592,"=29.11.17")</f>
        <v>0</v>
      </c>
      <c r="M32" s="138">
        <f>COUNTIFS(worksheet!Y3:Y1592,"3",worksheet!T3:T1592,"=29.12.17")</f>
        <v>0</v>
      </c>
    </row>
    <row r="33" spans="1:13" ht="16.5" thickBot="1" x14ac:dyDescent="0.25">
      <c r="A33" s="206">
        <v>30</v>
      </c>
      <c r="B33" s="138">
        <f>COUNTIFS(worksheet!Y3:Y1592,"3",worksheet!T3:T1592,"=30.01.17")</f>
        <v>0</v>
      </c>
      <c r="C33" s="207"/>
      <c r="D33" s="138">
        <f>COUNTIFS(worksheet!Y3:Y1592,"3",worksheet!T3:T1592,"=30.03.17")</f>
        <v>0</v>
      </c>
      <c r="E33" s="138">
        <f>COUNTIFS(worksheet!Y3:Y1592,"3",worksheet!T3:T1592,"=30.04.17")</f>
        <v>0</v>
      </c>
      <c r="F33" s="138">
        <f>COUNTIFS(worksheet!Y3:Y1592,"3",worksheet!T3:T1592,"=30.05.17")</f>
        <v>0</v>
      </c>
      <c r="G33" s="138">
        <f>COUNTIFS(worksheet!Y3:Y1592,"3",worksheet!T3:T1592,"=30.06.17")</f>
        <v>0</v>
      </c>
      <c r="H33" s="138">
        <f>COUNTIFS(worksheet!Y3:Y1592,"3",worksheet!T3:T1592,"=30.07.17")</f>
        <v>0</v>
      </c>
      <c r="I33" s="138">
        <f>COUNTIFS(worksheet!Y3:Y1592,"3",worksheet!T3:T1592,"=30.08.17")</f>
        <v>0</v>
      </c>
      <c r="J33" s="138">
        <f>COUNTIFS(worksheet!Y3:Y1592,"3",worksheet!T3:T1592,"=30.09.17")</f>
        <v>3</v>
      </c>
      <c r="K33" s="138">
        <f>COUNTIFS(worksheet!Y3:Y1592,"3",worksheet!T3:T1592,"=30.10.17")</f>
        <v>1</v>
      </c>
      <c r="L33" s="138">
        <f>COUNTIFS(worksheet!Y3:Y1592,"3",worksheet!T3:T1592,"=30.11.17")</f>
        <v>0</v>
      </c>
      <c r="M33" s="138">
        <f>COUNTIFS(worksheet!Y3:Y1592,"3",worksheet!T3:T1592,"=30.12.17")</f>
        <v>0</v>
      </c>
    </row>
    <row r="34" spans="1:13" ht="16.5" thickBot="1" x14ac:dyDescent="0.25">
      <c r="A34" s="206">
        <v>31</v>
      </c>
      <c r="B34" s="138">
        <f>COUNTIFS(worksheet!Y3:Y1592,"3",worksheet!T3:T1592,"=31.01.17")</f>
        <v>0</v>
      </c>
      <c r="C34" s="207"/>
      <c r="D34" s="138">
        <f>COUNTIFS(worksheet!Y3:Y1592,"3",worksheet!T3:T1592,"=31.03.17")</f>
        <v>0</v>
      </c>
      <c r="E34" s="207"/>
      <c r="F34" s="138">
        <f>COUNTIFS(worksheet!Y3:Y1592,"3",worksheet!T3:T1592,"=31.05.17")</f>
        <v>0</v>
      </c>
      <c r="G34" s="207"/>
      <c r="H34" s="138">
        <f>COUNTIFS(worksheet!Y3:Y1592,"3",worksheet!T3:T1592,"=31.07.17")</f>
        <v>0</v>
      </c>
      <c r="I34" s="138">
        <f>COUNTIFS(worksheet!Y3:Y1592,"3",worksheet!T3:T1592,"=31.08.17")</f>
        <v>0</v>
      </c>
      <c r="J34" s="207"/>
      <c r="K34" s="138">
        <f>COUNTIFS(worksheet!Y3:Y1592,"3",worksheet!T3:T1592,"=31.10.17")</f>
        <v>0</v>
      </c>
      <c r="L34" s="138">
        <f>COUNTIFS(worksheet!Y3:Y1592,"3",worksheet!T3:T1592,"=31.11.17")</f>
        <v>0</v>
      </c>
      <c r="M34" s="138">
        <f>COUNTIFS(worksheet!Y3:Y1592,"3",worksheet!T3:T1592,"=31.12.17")</f>
        <v>0</v>
      </c>
    </row>
    <row r="35" spans="1:13" ht="30" customHeight="1" thickBot="1" x14ac:dyDescent="0.25">
      <c r="A35" s="1289" t="s">
        <v>2042</v>
      </c>
      <c r="B35" s="139">
        <f>SUM(B4:B34)</f>
        <v>0</v>
      </c>
      <c r="C35" s="139">
        <f t="shared" ref="C35:M35" si="0">SUM(C4:C34)</f>
        <v>0</v>
      </c>
      <c r="D35" s="139">
        <f t="shared" si="0"/>
        <v>0</v>
      </c>
      <c r="E35" s="139">
        <f t="shared" si="0"/>
        <v>0</v>
      </c>
      <c r="F35" s="139">
        <f t="shared" si="0"/>
        <v>0</v>
      </c>
      <c r="G35" s="139">
        <f t="shared" si="0"/>
        <v>0</v>
      </c>
      <c r="H35" s="139">
        <f t="shared" si="0"/>
        <v>1</v>
      </c>
      <c r="I35" s="139">
        <f t="shared" si="0"/>
        <v>0</v>
      </c>
      <c r="J35" s="139">
        <f t="shared" si="0"/>
        <v>26</v>
      </c>
      <c r="K35" s="139">
        <f t="shared" si="0"/>
        <v>67</v>
      </c>
      <c r="L35" s="139">
        <f t="shared" si="0"/>
        <v>81</v>
      </c>
      <c r="M35" s="139">
        <f t="shared" si="0"/>
        <v>0</v>
      </c>
    </row>
    <row r="36" spans="1:13" ht="30" customHeight="1" thickBot="1" x14ac:dyDescent="0.25">
      <c r="A36" s="1290"/>
      <c r="B36" s="1282">
        <f>SUM(B35:M35)</f>
        <v>175</v>
      </c>
      <c r="C36" s="1283"/>
      <c r="D36" s="1283"/>
      <c r="E36" s="1283"/>
      <c r="F36" s="1283"/>
      <c r="G36" s="1283"/>
      <c r="H36" s="1283"/>
      <c r="I36" s="1283"/>
      <c r="J36" s="1283"/>
      <c r="K36" s="1283"/>
      <c r="L36" s="1283"/>
      <c r="M36" s="1284"/>
    </row>
  </sheetData>
  <mergeCells count="4">
    <mergeCell ref="B36:M36"/>
    <mergeCell ref="A1:M1"/>
    <mergeCell ref="A2:M2"/>
    <mergeCell ref="A35:A36"/>
  </mergeCells>
  <conditionalFormatting sqref="B4:M31 K34:M34 H34:I34 D34 F34 B32:B34 D32:M33">
    <cfRule type="cellIs" dxfId="5" priority="2" operator="equal">
      <formula>0</formula>
    </cfRule>
  </conditionalFormatting>
  <conditionalFormatting sqref="B4:M31 B32 D32:M32 B33:M34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M36"/>
  <sheetViews>
    <sheetView workbookViewId="0">
      <selection activeCell="K4" sqref="K4"/>
    </sheetView>
  </sheetViews>
  <sheetFormatPr defaultRowHeight="12.75" x14ac:dyDescent="0.2"/>
  <cols>
    <col min="1" max="1" width="12.7109375" customWidth="1"/>
  </cols>
  <sheetData>
    <row r="1" spans="1:13" ht="30" customHeight="1" thickBot="1" x14ac:dyDescent="0.4">
      <c r="A1" s="1291" t="s">
        <v>2318</v>
      </c>
      <c r="B1" s="1291"/>
      <c r="C1" s="1291"/>
      <c r="D1" s="1291"/>
      <c r="E1" s="1291"/>
      <c r="F1" s="1291"/>
      <c r="G1" s="1291"/>
      <c r="H1" s="1291"/>
      <c r="I1" s="1291"/>
      <c r="J1" s="1291"/>
      <c r="K1" s="1291"/>
      <c r="L1" s="1291"/>
      <c r="M1" s="1291"/>
    </row>
    <row r="2" spans="1:13" ht="15.75" customHeight="1" thickBot="1" x14ac:dyDescent="0.25">
      <c r="A2" s="1286" t="s">
        <v>2043</v>
      </c>
      <c r="B2" s="1287"/>
      <c r="C2" s="1287"/>
      <c r="D2" s="1287"/>
      <c r="E2" s="1287"/>
      <c r="F2" s="1287"/>
      <c r="G2" s="1287"/>
      <c r="H2" s="1287"/>
      <c r="I2" s="1287"/>
      <c r="J2" s="1287"/>
      <c r="K2" s="1287"/>
      <c r="L2" s="1287"/>
      <c r="M2" s="1288"/>
    </row>
    <row r="3" spans="1:13" ht="30" customHeight="1" thickBot="1" x14ac:dyDescent="0.25">
      <c r="A3" s="208" t="s">
        <v>2040</v>
      </c>
      <c r="B3" s="205" t="s">
        <v>2018</v>
      </c>
      <c r="C3" s="205" t="s">
        <v>2019</v>
      </c>
      <c r="D3" s="205" t="s">
        <v>2020</v>
      </c>
      <c r="E3" s="205" t="s">
        <v>2021</v>
      </c>
      <c r="F3" s="205" t="s">
        <v>2022</v>
      </c>
      <c r="G3" s="205" t="s">
        <v>2023</v>
      </c>
      <c r="H3" s="205" t="s">
        <v>2024</v>
      </c>
      <c r="I3" s="205" t="s">
        <v>2025</v>
      </c>
      <c r="J3" s="205" t="s">
        <v>2026</v>
      </c>
      <c r="K3" s="137" t="s">
        <v>2027</v>
      </c>
      <c r="L3" s="137" t="s">
        <v>2028</v>
      </c>
      <c r="M3" s="137" t="s">
        <v>2029</v>
      </c>
    </row>
    <row r="4" spans="1:13" ht="16.5" thickBot="1" x14ac:dyDescent="0.25">
      <c r="A4" s="209">
        <v>1</v>
      </c>
      <c r="B4" s="138">
        <f>COUNTIFS(worksheet!Y3:Y1592,"1",worksheet!T3:T1592,"=01.01.17")</f>
        <v>0</v>
      </c>
      <c r="C4" s="138">
        <f>COUNTIFS(worksheet!Y3:Y1592,"1",worksheet!T3:T1592,"=01.02.17")</f>
        <v>0</v>
      </c>
      <c r="D4" s="138">
        <f>COUNTIFS(worksheet!Y3:Y1592,"1",worksheet!T3:T1592,"=01.03.17")</f>
        <v>1</v>
      </c>
      <c r="E4" s="138">
        <f>COUNTIFS(worksheet!Y3:Y1592,"1",worksheet!T3:T1592,"=01.04.17")</f>
        <v>0</v>
      </c>
      <c r="F4" s="138">
        <f>COUNTIFS(worksheet!Y3:Y1592,"1",worksheet!T3:T1592,"=01.05.17")</f>
        <v>4</v>
      </c>
      <c r="G4" s="138">
        <f>COUNTIFS(worksheet!Y3:Y1592,"1",worksheet!T3:T1592,"=01.06.17")</f>
        <v>5</v>
      </c>
      <c r="H4" s="138">
        <f>COUNTIFS(worksheet!Y3:Y1592,"1",worksheet!T3:T1592,"=01.07.17")</f>
        <v>1</v>
      </c>
      <c r="I4" s="138">
        <f>COUNTIFS(worksheet!Y3:Y1592,"1",worksheet!T3:T1592,"=01.08.17")</f>
        <v>1</v>
      </c>
      <c r="J4" s="138">
        <f>COUNTIFS(worksheet!Y3:Y1592,"1",worksheet!T3:T1592,"=01.09.17")</f>
        <v>4</v>
      </c>
      <c r="K4" s="138">
        <f>COUNTIFS(worksheet!Y3:Y1592,"1",worksheet!T3:T1592,"=01.10.16")</f>
        <v>0</v>
      </c>
      <c r="L4" s="138">
        <f>COUNTIFS(worksheet!Y3:Y1592,"1",worksheet!T3:T1592,"=01.11.16")</f>
        <v>0</v>
      </c>
      <c r="M4" s="138">
        <f>COUNTIFS(worksheet!Y3:Y1592,"1",worksheet!T3:T1592,"=01.12.16")</f>
        <v>0</v>
      </c>
    </row>
    <row r="5" spans="1:13" ht="16.5" thickBot="1" x14ac:dyDescent="0.25">
      <c r="A5" s="209">
        <v>2</v>
      </c>
      <c r="B5" s="138">
        <f>COUNTIFS(worksheet!Y3:Y1592,"1",worksheet!T3:T1592,"=02.01.17")</f>
        <v>0</v>
      </c>
      <c r="C5" s="138">
        <f>COUNTIFS(worksheet!Y3:Y1592,"1",worksheet!T3:T1592,"=02.02.17")</f>
        <v>0</v>
      </c>
      <c r="D5" s="138">
        <f>COUNTIFS(worksheet!Y3:Y1592,"1",worksheet!T3:T1592,"=02.03.17")</f>
        <v>3</v>
      </c>
      <c r="E5" s="138">
        <f>COUNTIFS(worksheet!Y3:Y1592,"1",worksheet!T3:T1592,"=02.04.17")</f>
        <v>1</v>
      </c>
      <c r="F5" s="138">
        <f>COUNTIFS(worksheet!Y3:Y1592,"1",worksheet!T3:T1592,"=02.05.17")</f>
        <v>0</v>
      </c>
      <c r="G5" s="138">
        <f>COUNTIFS(worksheet!Y3:Y1592,"1",worksheet!T3:T1592,"=02.06.17")</f>
        <v>1</v>
      </c>
      <c r="H5" s="138">
        <f>COUNTIFS(worksheet!Y3:Y1592,"1",worksheet!T3:T1592,"=02.07.17")</f>
        <v>0</v>
      </c>
      <c r="I5" s="138">
        <f>COUNTIFS(worksheet!Y3:Y1592,"1",worksheet!T3:T1592,"=02.08.17")</f>
        <v>1</v>
      </c>
      <c r="J5" s="138">
        <f>COUNTIFS(worksheet!Y3:Y1592,"1",worksheet!T3:T1592,"=02.09.17")</f>
        <v>0</v>
      </c>
      <c r="K5" s="138">
        <f>COUNTIFS(worksheet!Y3:Y1592,"1",worksheet!T3:T1592,"=02.10.16")</f>
        <v>0</v>
      </c>
      <c r="L5" s="138">
        <f>COUNTIFS(worksheet!Y3:Y1592,"1",worksheet!T3:T1592,"=02.11.16")</f>
        <v>0</v>
      </c>
      <c r="M5" s="138">
        <f>COUNTIFS(worksheet!Y3:Y1592,"1",worksheet!T3:T1592,"=02.12.16")</f>
        <v>0</v>
      </c>
    </row>
    <row r="6" spans="1:13" ht="16.5" thickBot="1" x14ac:dyDescent="0.25">
      <c r="A6" s="209">
        <v>3</v>
      </c>
      <c r="B6" s="138">
        <f>COUNTIFS(worksheet!Y3:Y1592,"1",worksheet!T3:T1592,"=03.01.17")</f>
        <v>0</v>
      </c>
      <c r="C6" s="138">
        <f>COUNTIFS(worksheet!Y3:Y1592,"1",worksheet!T3:T1592,"=03.02.17")</f>
        <v>0</v>
      </c>
      <c r="D6" s="138">
        <f>COUNTIFS(worksheet!Y3:Y1592,"1",worksheet!T3:T1592,"=03.03.17")</f>
        <v>4</v>
      </c>
      <c r="E6" s="138">
        <f>COUNTIFS(worksheet!Y3:Y1592,"1",worksheet!T3:T1592,"=03.04.17")</f>
        <v>1</v>
      </c>
      <c r="F6" s="138">
        <f>COUNTIFS(worksheet!Y3:Y1592,"1",worksheet!T3:T1592,"=03.05.17")</f>
        <v>5</v>
      </c>
      <c r="G6" s="138">
        <f>COUNTIFS(worksheet!Y3:Y1592,"1",worksheet!T3:T1592,"=03.06.17")</f>
        <v>4</v>
      </c>
      <c r="H6" s="138">
        <f>COUNTIFS(worksheet!Y3:Y1592,"1",worksheet!T3:T1592,"=03.07.17")</f>
        <v>3</v>
      </c>
      <c r="I6" s="138">
        <f>COUNTIFS(worksheet!Y3:Y1592,"1",worksheet!T3:T1592,"=03.08.17")</f>
        <v>4</v>
      </c>
      <c r="J6" s="138">
        <f>COUNTIFS(worksheet!Y3:Y1592,"1",worksheet!T3:T1592,"=03.09.17")</f>
        <v>0</v>
      </c>
      <c r="K6" s="138">
        <f>COUNTIFS(worksheet!Y3:Y1592,"1",worksheet!T3:T1592,"=03.10.16")</f>
        <v>0</v>
      </c>
      <c r="L6" s="138">
        <f>COUNTIFS(worksheet!Y3:Y1592,"1",worksheet!T3:T1592,"=03.11.16")</f>
        <v>0</v>
      </c>
      <c r="M6" s="138">
        <f>COUNTIFS(worksheet!Y3:Y1592,"1",worksheet!T3:T1592,"=03.12.16")</f>
        <v>0</v>
      </c>
    </row>
    <row r="7" spans="1:13" ht="16.5" thickBot="1" x14ac:dyDescent="0.25">
      <c r="A7" s="209">
        <v>4</v>
      </c>
      <c r="B7" s="138">
        <f>COUNTIFS(worksheet!Y3:Y1592,"1",worksheet!T3:T1592,"=04.01.17")</f>
        <v>0</v>
      </c>
      <c r="C7" s="138">
        <f>COUNTIFS(worksheet!Y3:Y1592,"1",worksheet!T3:T1592,"=04.02.17")</f>
        <v>1</v>
      </c>
      <c r="D7" s="138">
        <f>COUNTIFS(worksheet!Y3:Y1592,"1",worksheet!T3:T1592,"=04.03.17")</f>
        <v>0</v>
      </c>
      <c r="E7" s="138">
        <f>COUNTIFS(worksheet!Y3:Y1592,"1",worksheet!T3:T1592,"=04.04.17")</f>
        <v>0</v>
      </c>
      <c r="F7" s="138">
        <f>COUNTIFS(worksheet!Y3:Y1592,"1",worksheet!T3:T1592,"=04.05.17")</f>
        <v>10</v>
      </c>
      <c r="G7" s="138">
        <f>COUNTIFS(worksheet!Y3:Y1592,"1",worksheet!T3:T1592,"=04.06.17")</f>
        <v>2</v>
      </c>
      <c r="H7" s="138">
        <f>COUNTIFS(worksheet!Y3:Y1592,"1",worksheet!T3:T1592,"=04.07.17")</f>
        <v>2</v>
      </c>
      <c r="I7" s="138">
        <f>COUNTIFS(worksheet!Y3:Y1592,"1",worksheet!T3:T1592,"=04.08.17")</f>
        <v>3</v>
      </c>
      <c r="J7" s="138">
        <f>COUNTIFS(worksheet!Y3:Y1592,"1",worksheet!T3:T1592,"=04.09.17")</f>
        <v>0</v>
      </c>
      <c r="K7" s="138">
        <f>COUNTIFS(worksheet!Y3:Y1592,"1",worksheet!T3:T1592,"=04.10.16")</f>
        <v>0</v>
      </c>
      <c r="L7" s="138">
        <f>COUNTIFS(worksheet!Y3:Y1592,"1",worksheet!T3:T1592,"=04.11.16")</f>
        <v>0</v>
      </c>
      <c r="M7" s="138">
        <f>COUNTIFS(worksheet!Y3:Y1592,"1",worksheet!T3:T1592,"=04.12.16")</f>
        <v>0</v>
      </c>
    </row>
    <row r="8" spans="1:13" ht="16.5" thickBot="1" x14ac:dyDescent="0.25">
      <c r="A8" s="209">
        <v>5</v>
      </c>
      <c r="B8" s="138">
        <f>COUNTIFS(worksheet!Y3:Y1592,"1",worksheet!T3:T1592,"=05.01.17")</f>
        <v>0</v>
      </c>
      <c r="C8" s="138">
        <f>COUNTIFS(worksheet!Y3:Y1592,"1",worksheet!T3:T1592,"=05.02.17")</f>
        <v>0</v>
      </c>
      <c r="D8" s="138">
        <f>COUNTIFS(worksheet!Y3:Y1592,"1",worksheet!T3:T1592,"=05.03.17")</f>
        <v>0</v>
      </c>
      <c r="E8" s="138">
        <f>COUNTIFS(worksheet!Y3:Y1592,"1",worksheet!T3:T1592,"=05.04.17")</f>
        <v>1</v>
      </c>
      <c r="F8" s="138">
        <f>COUNTIFS(worksheet!Y3:Y1592,"1",worksheet!T3:T1592,"=05.05.17")</f>
        <v>1</v>
      </c>
      <c r="G8" s="138">
        <f>COUNTIFS(worksheet!Y3:Y1592,"1",worksheet!T3:T1592,"=05.06.17")</f>
        <v>1</v>
      </c>
      <c r="H8" s="138">
        <f>COUNTIFS(worksheet!Y3:Y1592,"1",worksheet!T3:T1592,"=05.07.17")</f>
        <v>0</v>
      </c>
      <c r="I8" s="138">
        <f>COUNTIFS(worksheet!Y3:Y1592,"1",worksheet!T3:T1592,"=05.08.17")</f>
        <v>3</v>
      </c>
      <c r="J8" s="138">
        <f>COUNTIFS(worksheet!Y3:Y1592,"1",worksheet!T3:T1592,"=05.09.17")</f>
        <v>0</v>
      </c>
      <c r="K8" s="138">
        <f>COUNTIFS(worksheet!Y3:Y1592,"1",worksheet!T3:T1592,"=05.10.16")</f>
        <v>0</v>
      </c>
      <c r="L8" s="138">
        <f>COUNTIFS(worksheet!Y3:Y1592,"1",worksheet!T3:T1592,"=05.11.16")</f>
        <v>0</v>
      </c>
      <c r="M8" s="138">
        <f>COUNTIFS(worksheet!Y3:Y1592,"1",worksheet!T3:T1592,"=05.12.16")</f>
        <v>0</v>
      </c>
    </row>
    <row r="9" spans="1:13" ht="16.5" thickBot="1" x14ac:dyDescent="0.25">
      <c r="A9" s="209">
        <v>6</v>
      </c>
      <c r="B9" s="138">
        <f>COUNTIFS(worksheet!Y3:Y1592,"1",worksheet!T3:T1592,"=06.01.17")</f>
        <v>0</v>
      </c>
      <c r="C9" s="138">
        <f>COUNTIFS(worksheet!Y3:Y1592,"1",worksheet!T3:T1592,"=06.02.17")</f>
        <v>0</v>
      </c>
      <c r="D9" s="138">
        <f>COUNTIFS(worksheet!Y3:Y1592,"1",worksheet!T3:T1592,"=06.03.17")</f>
        <v>1</v>
      </c>
      <c r="E9" s="138">
        <f>COUNTIFS(worksheet!Y3:Y1592,"1",worksheet!T3:T1592,"=06.04.17")</f>
        <v>2</v>
      </c>
      <c r="F9" s="138">
        <f>COUNTIFS(worksheet!Y3:Y1592,"1",worksheet!T3:T1592,"=06.05.17")</f>
        <v>2</v>
      </c>
      <c r="G9" s="138">
        <f>COUNTIFS(worksheet!Y3:Y1592,"1",worksheet!T3:T1592,"=06.06.17")</f>
        <v>3</v>
      </c>
      <c r="H9" s="138">
        <f>COUNTIFS(worksheet!Y3:Y1592,"1",worksheet!T3:T1592,"=06.07.17")</f>
        <v>4</v>
      </c>
      <c r="I9" s="138">
        <f>COUNTIFS(worksheet!Y3:Y1592,"1",worksheet!T3:T1592,"=06.08.17")</f>
        <v>0</v>
      </c>
      <c r="J9" s="138">
        <f>COUNTIFS(worksheet!Y3:Y1592,"1",worksheet!T3:T1592,"=06.09.17")</f>
        <v>0</v>
      </c>
      <c r="K9" s="138">
        <f>COUNTIFS(worksheet!Y3:Y1592,"1",worksheet!T3:T1592,"=06.10.16")</f>
        <v>0</v>
      </c>
      <c r="L9" s="138">
        <f>COUNTIFS(worksheet!Y3:Y1592,"1",worksheet!T3:T1592,"=06.11.16")</f>
        <v>0</v>
      </c>
      <c r="M9" s="138">
        <f>COUNTIFS(worksheet!Y3:Y1592,"1",worksheet!T3:T1592,"=06.12.16")</f>
        <v>0</v>
      </c>
    </row>
    <row r="10" spans="1:13" ht="16.5" thickBot="1" x14ac:dyDescent="0.25">
      <c r="A10" s="209">
        <v>7</v>
      </c>
      <c r="B10" s="138">
        <f>COUNTIFS(worksheet!Y3:Y1592,"1",worksheet!T3:T1592,"=07.01.17")</f>
        <v>0</v>
      </c>
      <c r="C10" s="138">
        <f>COUNTIFS(worksheet!Y3:Y1592,"1",worksheet!T3:T1592,"=07.02.17")</f>
        <v>0</v>
      </c>
      <c r="D10" s="138">
        <f>COUNTIFS(worksheet!Y3:Y1592,"1",worksheet!T3:T1592,"=07.03.17")</f>
        <v>0</v>
      </c>
      <c r="E10" s="138">
        <f>COUNTIFS(worksheet!Y3:Y1592,"1",worksheet!T3:T1592,"=07.04.17")</f>
        <v>0</v>
      </c>
      <c r="F10" s="138">
        <f>COUNTIFS(worksheet!Y3:Y1592,"1",worksheet!T3:T1592,"=07.05.17")</f>
        <v>2</v>
      </c>
      <c r="G10" s="138">
        <f>COUNTIFS(worksheet!Y3:Y1592,"1",worksheet!T3:T1592,"=07.06.17")</f>
        <v>4</v>
      </c>
      <c r="H10" s="138">
        <f>COUNTIFS(worksheet!Y3:Y1592,"1",worksheet!T3:T1592,"=07.07.17")</f>
        <v>1</v>
      </c>
      <c r="I10" s="138">
        <f>COUNTIFS(worksheet!Y3:Y1592,"1",worksheet!T3:T1592,"=07.08.17")</f>
        <v>0</v>
      </c>
      <c r="J10" s="138">
        <f>COUNTIFS(worksheet!Y3:Y1592,"1",worksheet!T3:T1592,"=07.09.17")</f>
        <v>0</v>
      </c>
      <c r="K10" s="138">
        <f>COUNTIFS(worksheet!Y3:Y1592,"1",worksheet!T3:T1592,"=07.10.16")</f>
        <v>0</v>
      </c>
      <c r="L10" s="138">
        <f>COUNTIFS(worksheet!Y3:Y1592,"1",worksheet!T3:T1592,"=07.11.16")</f>
        <v>0</v>
      </c>
      <c r="M10" s="138">
        <f>COUNTIFS(worksheet!Y3:Y1592,"1",worksheet!T3:T1592,"=07.12.16")</f>
        <v>0</v>
      </c>
    </row>
    <row r="11" spans="1:13" ht="16.5" thickBot="1" x14ac:dyDescent="0.25">
      <c r="A11" s="209">
        <v>8</v>
      </c>
      <c r="B11" s="138">
        <f>COUNTIFS(worksheet!Y3:Y1592,"1",worksheet!T3:T1592,"=08.01.17")</f>
        <v>0</v>
      </c>
      <c r="C11" s="138">
        <f>COUNTIFS(worksheet!Y3:Y1592,"1",worksheet!T3:T1592,"=08.02.17")</f>
        <v>0</v>
      </c>
      <c r="D11" s="138">
        <f>COUNTIFS(worksheet!Y3:Y1592,"1",worksheet!T3:T1592,"=08.03.17")</f>
        <v>0</v>
      </c>
      <c r="E11" s="138">
        <f>COUNTIFS(worksheet!Y3:Y1592,"1",worksheet!T3:T1592,"=08.04.17")</f>
        <v>0</v>
      </c>
      <c r="F11" s="138">
        <f>COUNTIFS(worksheet!Y3:Y1592,"1",worksheet!T3:T1592,"=08.05.17")</f>
        <v>6</v>
      </c>
      <c r="G11" s="138">
        <f>COUNTIFS(worksheet!Y3:Y1592,"1",worksheet!T3:T1592,"=08.06.17")</f>
        <v>3</v>
      </c>
      <c r="H11" s="138">
        <f>COUNTIFS(worksheet!Y3:Y1592,"1",worksheet!T3:T1592,"=08.07.17")</f>
        <v>0</v>
      </c>
      <c r="I11" s="138">
        <f>COUNTIFS(worksheet!Y3:Y1592,"1",worksheet!T3:T1592,"=08.08.17")</f>
        <v>1</v>
      </c>
      <c r="J11" s="138">
        <f>COUNTIFS(worksheet!Y3:Y1592,"1",worksheet!T3:T1592,"=08.09.17")</f>
        <v>5</v>
      </c>
      <c r="K11" s="138">
        <f>COUNTIFS(worksheet!Y3:Y1592,"1",worksheet!T3:T1592,"=08.10.16")</f>
        <v>0</v>
      </c>
      <c r="L11" s="138">
        <f>COUNTIFS(worksheet!Y3:Y1592,"1",worksheet!T3:T1592,"=08.11.16")</f>
        <v>0</v>
      </c>
      <c r="M11" s="138">
        <f>COUNTIFS(worksheet!Y3:Y1592,"1",worksheet!T3:T1592,"=08.12.16")</f>
        <v>0</v>
      </c>
    </row>
    <row r="12" spans="1:13" ht="16.5" thickBot="1" x14ac:dyDescent="0.25">
      <c r="A12" s="209">
        <v>9</v>
      </c>
      <c r="B12" s="138">
        <f>COUNTIFS(worksheet!Y3:Y1592,"1",worksheet!T3:T1592,"=09.01.17")</f>
        <v>0</v>
      </c>
      <c r="C12" s="138">
        <f>COUNTIFS(worksheet!Y3:Y1592,"1",worksheet!T3:T1592,"=09.02.17")</f>
        <v>5</v>
      </c>
      <c r="D12" s="138">
        <f>COUNTIFS(worksheet!Y3:Y1592,"1",worksheet!T3:T1592,"=09.03.17")</f>
        <v>4</v>
      </c>
      <c r="E12" s="138">
        <f>COUNTIFS(worksheet!Y3:Y1592,"1",worksheet!T3:T1592,"=09.04.17")</f>
        <v>3</v>
      </c>
      <c r="F12" s="138">
        <f>COUNTIFS(worksheet!Y3:Y1592,"1",worksheet!T3:T1592,"=09.05.17")</f>
        <v>0</v>
      </c>
      <c r="G12" s="138">
        <f>COUNTIFS(worksheet!Y3:Y1592,"1",worksheet!T3:T1592,"=09.06.17")</f>
        <v>5</v>
      </c>
      <c r="H12" s="138">
        <f>COUNTIFS(worksheet!Y3:Y1592,"1",worksheet!T3:T1592,"=09.07.17")</f>
        <v>1</v>
      </c>
      <c r="I12" s="138">
        <f>COUNTIFS(worksheet!Y3:Y1592,"1",worksheet!T3:T1592,"=09.08.17")</f>
        <v>5</v>
      </c>
      <c r="J12" s="138">
        <f>COUNTIFS(worksheet!Y3:Y1592,"1",worksheet!T3:T1592,"=09.09.17")</f>
        <v>1</v>
      </c>
      <c r="K12" s="138">
        <f>COUNTIFS(worksheet!Y3:Y1592,"1",worksheet!T3:T1592,"=09.10.16")</f>
        <v>0</v>
      </c>
      <c r="L12" s="138">
        <f>COUNTIFS(worksheet!Y3:Y1592,"1",worksheet!T3:T1592,"=09.11.16")</f>
        <v>0</v>
      </c>
      <c r="M12" s="138">
        <f>COUNTIFS(worksheet!Y3:Y1592,"1",worksheet!T3:T1592,"=09.12.16")</f>
        <v>0</v>
      </c>
    </row>
    <row r="13" spans="1:13" ht="16.5" thickBot="1" x14ac:dyDescent="0.25">
      <c r="A13" s="209">
        <v>10</v>
      </c>
      <c r="B13" s="138">
        <f>COUNTIFS(worksheet!Y3:Y1592,"1",worksheet!T3:T1592,"=10.01.17")</f>
        <v>0</v>
      </c>
      <c r="C13" s="138">
        <f>COUNTIFS(worksheet!Y3:Y1592,"1",worksheet!T3:T1592,"=10.02.17")</f>
        <v>0</v>
      </c>
      <c r="D13" s="138">
        <f>COUNTIFS(worksheet!Y3:Y1592,"1",worksheet!T3:T1592,"=10.03.17")</f>
        <v>1</v>
      </c>
      <c r="E13" s="138">
        <f>COUNTIFS(worksheet!Y3:Y1592,"1",worksheet!T3:T1592,"=10.04.17")</f>
        <v>2</v>
      </c>
      <c r="F13" s="138">
        <f>COUNTIFS(worksheet!Y3:Y1592,"1",worksheet!T3:T1592,"=10.05.17")</f>
        <v>3</v>
      </c>
      <c r="G13" s="138">
        <f>COUNTIFS(worksheet!Y3:Y1592,"1",worksheet!T3:T1592,"=10.06.17")</f>
        <v>1</v>
      </c>
      <c r="H13" s="138">
        <f>COUNTIFS(worksheet!Y3:Y1592,"1",worksheet!T3:T1592,"=10.07.17")</f>
        <v>0</v>
      </c>
      <c r="I13" s="138">
        <f>COUNTIFS(worksheet!Y3:Y1592,"1",worksheet!T3:T1592,"=10.08.17")</f>
        <v>6</v>
      </c>
      <c r="J13" s="138">
        <f>COUNTIFS(worksheet!Y3:Y1592,"1",worksheet!T3:T1592,"=10.09.17")</f>
        <v>2</v>
      </c>
      <c r="K13" s="138">
        <f>COUNTIFS(worksheet!Y3:Y1592,"1",worksheet!T3:T1592,"=10.10.16")</f>
        <v>0</v>
      </c>
      <c r="L13" s="138">
        <f>COUNTIFS(worksheet!Y3:Y1592,"1",worksheet!T3:T1592,"=10.11.16")</f>
        <v>0</v>
      </c>
      <c r="M13" s="138">
        <f>COUNTIFS(worksheet!Y3:Y1592,"1",worksheet!T3:T1592,"=10.12.16")</f>
        <v>0</v>
      </c>
    </row>
    <row r="14" spans="1:13" ht="16.5" thickBot="1" x14ac:dyDescent="0.25">
      <c r="A14" s="209">
        <v>11</v>
      </c>
      <c r="B14" s="138">
        <f>COUNTIFS(worksheet!Y3:Y1592,"1",worksheet!T3:T1592,"=11.01.17")</f>
        <v>0</v>
      </c>
      <c r="C14" s="138">
        <f>COUNTIFS(worksheet!Y3:Y1592,"1",worksheet!T3:T1592,"=11.02.17")</f>
        <v>0</v>
      </c>
      <c r="D14" s="138">
        <f>COUNTIFS(worksheet!Y3:Y1592,"1",worksheet!T3:T1592,"=11.03.17")</f>
        <v>2</v>
      </c>
      <c r="E14" s="138">
        <f>COUNTIFS(worksheet!Y3:Y1592,"1",worksheet!T3:T1592,"=11.04.17")</f>
        <v>1</v>
      </c>
      <c r="F14" s="138">
        <f>COUNTIFS(worksheet!Y3:Y1592,"1",worksheet!T3:T1592,"=11.05.17")</f>
        <v>7</v>
      </c>
      <c r="G14" s="138">
        <f>COUNTIFS(worksheet!Y3:Y1592,"1",worksheet!T3:T1592,"=11.06.17")</f>
        <v>3</v>
      </c>
      <c r="H14" s="138">
        <f>COUNTIFS(worksheet!Y3:Y1592,"1",worksheet!T3:T1592,"=11.07.17")</f>
        <v>3</v>
      </c>
      <c r="I14" s="138">
        <f>COUNTIFS(worksheet!Y3:Y1592,"1",worksheet!T3:T1592,"=11.08.17")</f>
        <v>4</v>
      </c>
      <c r="J14" s="138">
        <f>COUNTIFS(worksheet!Y3:Y1592,"1",worksheet!T3:T1592,"=11.09.17")</f>
        <v>4</v>
      </c>
      <c r="K14" s="138">
        <f>COUNTIFS(worksheet!Y3:Y1592,"1",worksheet!T3:T1592,"=11.10.16")</f>
        <v>0</v>
      </c>
      <c r="L14" s="138">
        <f>COUNTIFS(worksheet!Y3:Y1592,"1",worksheet!T3:T1592,"=11.11.16")</f>
        <v>0</v>
      </c>
      <c r="M14" s="138">
        <f>COUNTIFS(worksheet!Y3:Y1592,"1",worksheet!T3:T1592,"=11.12.16")</f>
        <v>0</v>
      </c>
    </row>
    <row r="15" spans="1:13" ht="16.5" thickBot="1" x14ac:dyDescent="0.25">
      <c r="A15" s="209">
        <v>12</v>
      </c>
      <c r="B15" s="138">
        <f>COUNTIFS(worksheet!Y3:Y1592,"1",worksheet!T3:T1592,"=12.01.17")</f>
        <v>0</v>
      </c>
      <c r="C15" s="138">
        <f>COUNTIFS(worksheet!Y3:Y1592,"1",worksheet!T3:T1592,"=12.02.17")</f>
        <v>0</v>
      </c>
      <c r="D15" s="138">
        <f>COUNTIFS(worksheet!Y3:Y1592,"1",worksheet!T3:T1592,"=12.03.17")</f>
        <v>3</v>
      </c>
      <c r="E15" s="138">
        <f>COUNTIFS(worksheet!Y3:Y1592,"1",worksheet!T3:T1592,"=12.04.17")</f>
        <v>2</v>
      </c>
      <c r="F15" s="138">
        <f>COUNTIFS(worksheet!Y3:Y1592,"1",worksheet!T3:T1592,"=12.05.17")</f>
        <v>2</v>
      </c>
      <c r="G15" s="138">
        <f>COUNTIFS(worksheet!Y3:Y1592,"1",worksheet!T3:T1592,"=12.06.17")</f>
        <v>1</v>
      </c>
      <c r="H15" s="138">
        <f>COUNTIFS(worksheet!Y3:Y1592,"1",worksheet!T3:T1592,"=12.07.17")</f>
        <v>3</v>
      </c>
      <c r="I15" s="138">
        <f>COUNTIFS(worksheet!Y3:Y1592,"1",worksheet!T3:T1592,"=12.08.17")</f>
        <v>4</v>
      </c>
      <c r="J15" s="138">
        <f>COUNTIFS(worksheet!Y3:Y1592,"1",worksheet!T3:T1592,"=12.09.17")</f>
        <v>0</v>
      </c>
      <c r="K15" s="138">
        <f>COUNTIFS(worksheet!Y3:Y1592,"1",worksheet!T3:T1592,"=12.10.16")</f>
        <v>0</v>
      </c>
      <c r="L15" s="138">
        <f>COUNTIFS(worksheet!Y3:Y1592,"1",worksheet!T3:T1592,"=12.11.16")</f>
        <v>0</v>
      </c>
      <c r="M15" s="138">
        <f>COUNTIFS(worksheet!Y3:Y1592,"1",worksheet!T3:T1592,"=12.12.16")</f>
        <v>0</v>
      </c>
    </row>
    <row r="16" spans="1:13" ht="16.5" thickBot="1" x14ac:dyDescent="0.25">
      <c r="A16" s="209">
        <v>13</v>
      </c>
      <c r="B16" s="138">
        <f>COUNTIFS(worksheet!Y3:Y1592,"1",worksheet!T3:T1592,"=13.01.17")</f>
        <v>0</v>
      </c>
      <c r="C16" s="138">
        <f>COUNTIFS(worksheet!Y3:Y1592,"1",worksheet!T3:T1592,"=13.02.17")</f>
        <v>0</v>
      </c>
      <c r="D16" s="138">
        <f>COUNTIFS(worksheet!Y3:Y1592,"1",worksheet!T3:T1592,"=13.03.17")</f>
        <v>0</v>
      </c>
      <c r="E16" s="138">
        <f>COUNTIFS(worksheet!Y3:Y1592,"1",worksheet!T3:T1592,"=13.04.17")</f>
        <v>4</v>
      </c>
      <c r="F16" s="138">
        <f>COUNTIFS(worksheet!Y3:Y1592,"1",worksheet!T3:T1592,"=13.05.17")</f>
        <v>3</v>
      </c>
      <c r="G16" s="138">
        <f>COUNTIFS(worksheet!Y3:Y1592,"1",worksheet!T3:T1592,"=13.06.17")</f>
        <v>2</v>
      </c>
      <c r="H16" s="138">
        <f>COUNTIFS(worksheet!Y3:Y1592,"1",worksheet!T3:T1592,"=13.07.17")</f>
        <v>5</v>
      </c>
      <c r="I16" s="138">
        <f>COUNTIFS(worksheet!Y3:Y1592,"1",worksheet!T3:T1592,"=13.08.17")</f>
        <v>1</v>
      </c>
      <c r="J16" s="138">
        <f>COUNTIFS(worksheet!Y3:Y1592,"1",worksheet!T3:T1592,"=13.09.17")</f>
        <v>0</v>
      </c>
      <c r="K16" s="138">
        <f>COUNTIFS(worksheet!Y3:Y1592,"1",worksheet!T3:T1592,"=13.10.16")</f>
        <v>0</v>
      </c>
      <c r="L16" s="138">
        <f>COUNTIFS(worksheet!Y3:Y1592,"1",worksheet!T3:T1592,"=13.11.16")</f>
        <v>0</v>
      </c>
      <c r="M16" s="138">
        <f>COUNTIFS(worksheet!Y3:Y1592,"1",worksheet!T3:T1592,"=13.12.16")</f>
        <v>0</v>
      </c>
    </row>
    <row r="17" spans="1:13" ht="16.5" thickBot="1" x14ac:dyDescent="0.25">
      <c r="A17" s="209">
        <v>14</v>
      </c>
      <c r="B17" s="138">
        <f>COUNTIFS(worksheet!Y3:Y1592,"1",worksheet!T3:T1592,"=14.01.17")</f>
        <v>0</v>
      </c>
      <c r="C17" s="138">
        <f>COUNTIFS(worksheet!Y3:Y1592,"1",worksheet!T3:T1592,"=14.02.17")</f>
        <v>1</v>
      </c>
      <c r="D17" s="138">
        <f>COUNTIFS(worksheet!Y3:Y1592,"1",worksheet!T3:T1592,"=14.03.17")</f>
        <v>5</v>
      </c>
      <c r="E17" s="138">
        <f>COUNTIFS(worksheet!Y3:Y1592,"1",worksheet!T3:T1592,"=14.04.17")</f>
        <v>0</v>
      </c>
      <c r="F17" s="138">
        <f>COUNTIFS(worksheet!Y3:Y1592,"1",worksheet!T3:T1592,"=14.05.17")</f>
        <v>2</v>
      </c>
      <c r="G17" s="138">
        <f>COUNTIFS(worksheet!Y3:Y1592,"1",worksheet!T3:T1592,"=14.06.17")</f>
        <v>4</v>
      </c>
      <c r="H17" s="138">
        <f>COUNTIFS(worksheet!Y3:Y1592,"1",worksheet!T3:T1592,"=14.07.17")</f>
        <v>2</v>
      </c>
      <c r="I17" s="138">
        <f>COUNTIFS(worksheet!Y3:Y1592,"1",worksheet!T3:T1592,"=14.08.17")</f>
        <v>0</v>
      </c>
      <c r="J17" s="138">
        <f>COUNTIFS(worksheet!Y3:Y1592,"1",worksheet!T3:T1592,"=14.09.17")</f>
        <v>2</v>
      </c>
      <c r="K17" s="138">
        <f>COUNTIFS(worksheet!Y3:Y1592,"1",worksheet!T3:T1592,"=14.10.16")</f>
        <v>0</v>
      </c>
      <c r="L17" s="138">
        <f>COUNTIFS(worksheet!Y3:Y1592,"1",worksheet!T3:T1592,"=14.11.16")</f>
        <v>0</v>
      </c>
      <c r="M17" s="138">
        <f>COUNTIFS(worksheet!Y3:Y1592,"1",worksheet!T3:T1592,"=14.12.16")</f>
        <v>0</v>
      </c>
    </row>
    <row r="18" spans="1:13" ht="16.5" thickBot="1" x14ac:dyDescent="0.25">
      <c r="A18" s="209">
        <v>15</v>
      </c>
      <c r="B18" s="138">
        <f>COUNTIFS(worksheet!Y3:Y1592,"1",worksheet!T3:T1592,"=15.01.17")</f>
        <v>0</v>
      </c>
      <c r="C18" s="138">
        <f>COUNTIFS(worksheet!Y3:Y1592,"1",worksheet!T3:T1592,"=15.02.17")</f>
        <v>0</v>
      </c>
      <c r="D18" s="138">
        <f>COUNTIFS(worksheet!Y3:Y1592,"1",worksheet!T3:T1592,"=15.03.17")</f>
        <v>0</v>
      </c>
      <c r="E18" s="138">
        <f>COUNTIFS(worksheet!Y3:Y1592,"1",worksheet!T3:T1592,"=15.04.17")</f>
        <v>0</v>
      </c>
      <c r="F18" s="138">
        <f>COUNTIFS(worksheet!Y3:Y1592,"1",worksheet!T3:T1592,"=15.05.17")</f>
        <v>5</v>
      </c>
      <c r="G18" s="138">
        <f>COUNTIFS(worksheet!Y3:Y1592,"1",worksheet!T3:T1592,"=15.06.17")</f>
        <v>8</v>
      </c>
      <c r="H18" s="138">
        <f>COUNTIFS(worksheet!Y3:Y1592,"1",worksheet!T3:T1592,"=15.07.17")</f>
        <v>1</v>
      </c>
      <c r="I18" s="138">
        <f>COUNTIFS(worksheet!Y3:Y1592,"1",worksheet!T3:T1592,"=15.08.17")</f>
        <v>3</v>
      </c>
      <c r="J18" s="138">
        <f>COUNTIFS(worksheet!Y3:Y1592,"1",worksheet!T3:T1592,"=15.09.17")</f>
        <v>4</v>
      </c>
      <c r="K18" s="138">
        <f>COUNTIFS(worksheet!Y3:Y1592,"1",worksheet!T3:T1592,"=15.10.16")</f>
        <v>0</v>
      </c>
      <c r="L18" s="138">
        <f>COUNTIFS(worksheet!Y3:Y1592,"1",worksheet!T3:T1592,"=15.11.16")</f>
        <v>0</v>
      </c>
      <c r="M18" s="138">
        <f>COUNTIFS(worksheet!Y3:Y1592,"1",worksheet!T3:T1592,"=15.12.16")</f>
        <v>0</v>
      </c>
    </row>
    <row r="19" spans="1:13" ht="16.5" thickBot="1" x14ac:dyDescent="0.25">
      <c r="A19" s="209">
        <v>16</v>
      </c>
      <c r="B19" s="138">
        <f>COUNTIFS(worksheet!Y3:Y1592,"1",worksheet!T3:T1592,"=16.01.17")</f>
        <v>0</v>
      </c>
      <c r="C19" s="138">
        <f>COUNTIFS(worksheet!Y3:Y1592,"1",worksheet!T3:T1592,"=16.02.17")</f>
        <v>4</v>
      </c>
      <c r="D19" s="138">
        <f>COUNTIFS(worksheet!Y3:Y1592,"1",worksheet!T3:T1592,"=16.03.17")</f>
        <v>4</v>
      </c>
      <c r="E19" s="138">
        <f>COUNTIFS(worksheet!Y3:Y1592,"1",worksheet!T3:T1592,"=16.04.17")</f>
        <v>3</v>
      </c>
      <c r="F19" s="138">
        <f>COUNTIFS(worksheet!Y3:Y1592,"1",worksheet!T3:T1592,"=16.05.17")</f>
        <v>2</v>
      </c>
      <c r="G19" s="138">
        <f>COUNTIFS(worksheet!Y3:Y1592,"1",worksheet!T3:T1592,"=16.06.17")</f>
        <v>2</v>
      </c>
      <c r="H19" s="138">
        <f>COUNTIFS(worksheet!Y3:Y1592,"1",worksheet!T3:T1592,"=16.07.17")</f>
        <v>1</v>
      </c>
      <c r="I19" s="138">
        <f>COUNTIFS(worksheet!Y3:Y1592,"1",worksheet!T3:T1592,"=16.08.17")</f>
        <v>4</v>
      </c>
      <c r="J19" s="138">
        <f>COUNTIFS(worksheet!Y3:Y1592,"1",worksheet!T3:T1592,"=16.09.17")</f>
        <v>1</v>
      </c>
      <c r="K19" s="138">
        <f>COUNTIFS(worksheet!Y3:Y1592,"1",worksheet!T3:T1592,"=16.10.16")</f>
        <v>0</v>
      </c>
      <c r="L19" s="138">
        <f>COUNTIFS(worksheet!Y3:Y1592,"1",worksheet!T3:T1592,"=16.11.16")</f>
        <v>0</v>
      </c>
      <c r="M19" s="138">
        <f>COUNTIFS(worksheet!Y3:Y1592,"1",worksheet!T3:T1592,"=16.12.16")</f>
        <v>0</v>
      </c>
    </row>
    <row r="20" spans="1:13" ht="16.5" thickBot="1" x14ac:dyDescent="0.25">
      <c r="A20" s="209">
        <v>17</v>
      </c>
      <c r="B20" s="138">
        <f>COUNTIFS(worksheet!Y3:Y1592,"1",worksheet!T3:T1592,"=17.01.17")</f>
        <v>0</v>
      </c>
      <c r="C20" s="138">
        <f>COUNTIFS(worksheet!Y3:Y1592,"1",worksheet!T3:T1592,"=17.02.17")</f>
        <v>0</v>
      </c>
      <c r="D20" s="138">
        <f>COUNTIFS(worksheet!Y3:Y1592,"1",worksheet!T3:T1592,"=17.03.17")</f>
        <v>1</v>
      </c>
      <c r="E20" s="138">
        <f>COUNTIFS(worksheet!Y3:Y1592,"1",worksheet!T3:T1592,"=17.04.17")</f>
        <v>3</v>
      </c>
      <c r="F20" s="138">
        <f>COUNTIFS(worksheet!Y3:Y1592,"1",worksheet!T3:T1592,"=17.05.17")</f>
        <v>1</v>
      </c>
      <c r="G20" s="138">
        <f>COUNTIFS(worksheet!Y3:Y1592,"1",worksheet!T3:T1592,"=17.06.17")</f>
        <v>5</v>
      </c>
      <c r="H20" s="138">
        <f>COUNTIFS(worksheet!Y3:Y1592,"1",worksheet!T3:T1592,"=17.07.17")</f>
        <v>2</v>
      </c>
      <c r="I20" s="138">
        <f>COUNTIFS(worksheet!Y3:Y1592,"1",worksheet!T3:T1592,"=17.08.17")</f>
        <v>4</v>
      </c>
      <c r="J20" s="138">
        <f>COUNTIFS(worksheet!Y3:Y1592,"1",worksheet!T3:T1592,"=17.09.17")</f>
        <v>0</v>
      </c>
      <c r="K20" s="138">
        <f>COUNTIFS(worksheet!Y3:Y1592,"1",worksheet!T3:T1592,"=17.10.16")</f>
        <v>0</v>
      </c>
      <c r="L20" s="138">
        <f>COUNTIFS(worksheet!Y3:Y1592,"1",worksheet!T3:T1592,"=17.11.16")</f>
        <v>0</v>
      </c>
      <c r="M20" s="138">
        <f>COUNTIFS(worksheet!Y3:Y1592,"1",worksheet!T3:T1592,"=17.12.16")</f>
        <v>0</v>
      </c>
    </row>
    <row r="21" spans="1:13" ht="16.5" thickBot="1" x14ac:dyDescent="0.25">
      <c r="A21" s="209">
        <v>18</v>
      </c>
      <c r="B21" s="138">
        <f>COUNTIFS(worksheet!Y3:Y1592,"1",worksheet!T3:T1592,"=18.01.17")</f>
        <v>0</v>
      </c>
      <c r="C21" s="138">
        <f>COUNTIFS(worksheet!Y3:Y1592,"1",worksheet!T3:T1592,"=18.02.17")</f>
        <v>1</v>
      </c>
      <c r="D21" s="138">
        <f>COUNTIFS(worksheet!Y3:Y1592,"1",worksheet!T3:T1592,"=18.03.17")</f>
        <v>3</v>
      </c>
      <c r="E21" s="138">
        <f>COUNTIFS(worksheet!Y3:Y1592,"1",worksheet!T3:T1592,"=18.04.17")</f>
        <v>1</v>
      </c>
      <c r="F21" s="138">
        <f>COUNTIFS(worksheet!Y3:Y1592,"1",worksheet!T3:T1592,"=18.05.17")</f>
        <v>4</v>
      </c>
      <c r="G21" s="138">
        <f>COUNTIFS(worksheet!Y3:Y1592,"1",worksheet!T3:T1592,"=18.06.17")</f>
        <v>0</v>
      </c>
      <c r="H21" s="138">
        <f>COUNTIFS(worksheet!Y3:Y1592,"1",worksheet!T3:T1592,"=18.07.17")</f>
        <v>1</v>
      </c>
      <c r="I21" s="138">
        <f>COUNTIFS(worksheet!Y3:Y1592,"1",worksheet!T3:T1592,"=18.08.17")</f>
        <v>4</v>
      </c>
      <c r="J21" s="138">
        <f>COUNTIFS(worksheet!Y3:Y1592,"1",worksheet!T3:T1592,"=18.09.17")</f>
        <v>0</v>
      </c>
      <c r="K21" s="138">
        <f>COUNTIFS(worksheet!Y3:Y1592,"1",worksheet!T3:T1592,"=18.10.16")</f>
        <v>0</v>
      </c>
      <c r="L21" s="138">
        <f>COUNTIFS(worksheet!Y3:Y1592,"1",worksheet!T3:T1592,"=18.11.16")</f>
        <v>0</v>
      </c>
      <c r="M21" s="138">
        <f>COUNTIFS(worksheet!Y3:Y1592,"1",worksheet!T3:T1592,"=18.12.16")</f>
        <v>0</v>
      </c>
    </row>
    <row r="22" spans="1:13" ht="16.5" thickBot="1" x14ac:dyDescent="0.25">
      <c r="A22" s="209">
        <v>19</v>
      </c>
      <c r="B22" s="138">
        <f>COUNTIFS(worksheet!Y3:Y1592,"1",worksheet!T3:T1592,"=19.01.17")</f>
        <v>0</v>
      </c>
      <c r="C22" s="138">
        <f>COUNTIFS(worksheet!Y3:Y1592,"1",worksheet!T3:T1592,"=19.02.17")</f>
        <v>0</v>
      </c>
      <c r="D22" s="138">
        <f>COUNTIFS(worksheet!Y3:Y1592,"1",worksheet!T3:T1592,"=19.03.17")</f>
        <v>2</v>
      </c>
      <c r="E22" s="138">
        <f>COUNTIFS(worksheet!Y3:Y1592,"1",worksheet!T3:T1592,"=19.04.17")</f>
        <v>2</v>
      </c>
      <c r="F22" s="138">
        <f>COUNTIFS(worksheet!Y3:Y1592,"1",worksheet!T3:T1592,"=19.05.17")</f>
        <v>3</v>
      </c>
      <c r="G22" s="138">
        <f>COUNTIFS(worksheet!Y3:Y1592,"1",worksheet!T3:T1592,"=19.06.17")</f>
        <v>1</v>
      </c>
      <c r="H22" s="138">
        <f>COUNTIFS(worksheet!Y3:Y1592,"1",worksheet!T3:T1592,"=19.07.17")</f>
        <v>5</v>
      </c>
      <c r="I22" s="138">
        <f>COUNTIFS(worksheet!Y3:Y1592,"1",worksheet!T3:T1592,"=19.08.17")</f>
        <v>1</v>
      </c>
      <c r="J22" s="138">
        <f>COUNTIFS(worksheet!Y3:Y1592,"1",worksheet!T3:T1592,"=19.09.17")</f>
        <v>0</v>
      </c>
      <c r="K22" s="138">
        <f>COUNTIFS(worksheet!Y3:Y1592,"1",worksheet!T3:T1592,"=19.10.16")</f>
        <v>0</v>
      </c>
      <c r="L22" s="138">
        <f>COUNTIFS(worksheet!Y3:Y1592,"1",worksheet!T3:T1592,"=19.11.16")</f>
        <v>0</v>
      </c>
      <c r="M22" s="138">
        <f>COUNTIFS(worksheet!Y3:Y1592,"1",worksheet!T3:T1592,"=19.12.16")</f>
        <v>0</v>
      </c>
    </row>
    <row r="23" spans="1:13" ht="16.5" thickBot="1" x14ac:dyDescent="0.25">
      <c r="A23" s="209">
        <v>20</v>
      </c>
      <c r="B23" s="138">
        <f>COUNTIFS(worksheet!Y3:Y1592,"1",worksheet!T3:T1592,"=20.01.17")</f>
        <v>0</v>
      </c>
      <c r="C23" s="138">
        <f>COUNTIFS(worksheet!Y3:Y1592,"1",worksheet!T3:T1592,"=20.02.17")</f>
        <v>2</v>
      </c>
      <c r="D23" s="138">
        <f>COUNTIFS(worksheet!Y3:Y1592,"1",worksheet!T3:T1592,"=20.03.17")</f>
        <v>1</v>
      </c>
      <c r="E23" s="138">
        <f>COUNTIFS(worksheet!Y3:Y1592,"1",worksheet!T3:T1592,"=20.04.17")</f>
        <v>7</v>
      </c>
      <c r="F23" s="138">
        <f>COUNTIFS(worksheet!Y3:Y1592,"1",worksheet!T3:T1592,"=20.05.17")</f>
        <v>3</v>
      </c>
      <c r="G23" s="138">
        <f>COUNTIFS(worksheet!Y3:Y1592,"1",worksheet!T3:T1592,"=20.06.17")</f>
        <v>1</v>
      </c>
      <c r="H23" s="138">
        <f>COUNTIFS(worksheet!Y3:Y1592,"1",worksheet!T3:T1592,"=20.07.17")</f>
        <v>8</v>
      </c>
      <c r="I23" s="138">
        <f>COUNTIFS(worksheet!Y3:Y1592,"1",worksheet!T3:T1592,"=20.08.17")</f>
        <v>1</v>
      </c>
      <c r="J23" s="138">
        <f>COUNTIFS(worksheet!Y3:Y1592,"1",worksheet!T3:T1592,"=20.09.17")</f>
        <v>0</v>
      </c>
      <c r="K23" s="138">
        <f>COUNTIFS(worksheet!Y3:Y1592,"1",worksheet!T3:T1592,"=20.10.16")</f>
        <v>0</v>
      </c>
      <c r="L23" s="138">
        <f>COUNTIFS(worksheet!Y3:Y1592,"1",worksheet!T3:T1592,"=20.11.16")</f>
        <v>0</v>
      </c>
      <c r="M23" s="138">
        <f>COUNTIFS(worksheet!Y3:Y1592,"1",worksheet!T3:T1592,"=20.12.16")</f>
        <v>0</v>
      </c>
    </row>
    <row r="24" spans="1:13" ht="16.5" thickBot="1" x14ac:dyDescent="0.25">
      <c r="A24" s="209">
        <v>21</v>
      </c>
      <c r="B24" s="138">
        <f>COUNTIFS(worksheet!Y3:Y1592,"1",worksheet!T3:T1592,"=21.01.17")</f>
        <v>0</v>
      </c>
      <c r="C24" s="138">
        <f>COUNTIFS(worksheet!Y3:Y1592,"1",worksheet!T3:T1592,"=21.02.17")</f>
        <v>0</v>
      </c>
      <c r="D24" s="138">
        <f>COUNTIFS(worksheet!Y3:Y1592,"1",worksheet!T3:T1592,"=21.03.17")</f>
        <v>2</v>
      </c>
      <c r="E24" s="138">
        <f>COUNTIFS(worksheet!Y3:Y1592,"1",worksheet!T3:T1592,"=21.04.17")</f>
        <v>2</v>
      </c>
      <c r="F24" s="138">
        <f>COUNTIFS(worksheet!Y3:Y1592,"1",worksheet!T3:T1592,"=21.05.17")</f>
        <v>1</v>
      </c>
      <c r="G24" s="138">
        <f>COUNTIFS(worksheet!Y3:Y1592,"1",worksheet!T3:T1592,"=21.06.17")</f>
        <v>3</v>
      </c>
      <c r="H24" s="138">
        <f>COUNTIFS(worksheet!Y3:Y1592,"1",worksheet!T3:T1592,"=21.07.17")</f>
        <v>7</v>
      </c>
      <c r="I24" s="138">
        <f>COUNTIFS(worksheet!Y3:Y1592,"1",worksheet!T3:T1592,"=21.08.17")</f>
        <v>0</v>
      </c>
      <c r="J24" s="138">
        <f>COUNTIFS(worksheet!Y3:Y1592,"1",worksheet!T3:T1592,"=21.09.17")</f>
        <v>1</v>
      </c>
      <c r="K24" s="138">
        <f>COUNTIFS(worksheet!Y3:Y1592,"1",worksheet!T3:T1592,"=21.10.16")</f>
        <v>0</v>
      </c>
      <c r="L24" s="138">
        <f>COUNTIFS(worksheet!Y3:Y1592,"1",worksheet!T3:T1592,"=21.11.16")</f>
        <v>0</v>
      </c>
      <c r="M24" s="138">
        <f>COUNTIFS(worksheet!Y3:Y1592,"1",worksheet!T3:T1592,"=21.12.16")</f>
        <v>0</v>
      </c>
    </row>
    <row r="25" spans="1:13" ht="16.5" thickBot="1" x14ac:dyDescent="0.25">
      <c r="A25" s="209">
        <v>22</v>
      </c>
      <c r="B25" s="138">
        <f>COUNTIFS(worksheet!Y3:Y1592,"1",worksheet!T3:T1592,"=22.01.17")</f>
        <v>0</v>
      </c>
      <c r="C25" s="138">
        <f>COUNTIFS(worksheet!Y3:Y1592,"1",worksheet!T3:T1592,"=22.02.17")</f>
        <v>1</v>
      </c>
      <c r="D25" s="138">
        <f>COUNTIFS(worksheet!Y3:Y1592,"1",worksheet!T3:T1592,"=22.03.17")</f>
        <v>0</v>
      </c>
      <c r="E25" s="138">
        <f>COUNTIFS(worksheet!Y3:Y1592,"1",worksheet!T3:T1592,"=22.04.17")</f>
        <v>1</v>
      </c>
      <c r="F25" s="138">
        <f>COUNTIFS(worksheet!Y3:Y1592,"1",worksheet!T3:T1592,"=22.05.17")</f>
        <v>2</v>
      </c>
      <c r="G25" s="138">
        <f>COUNTIFS(worksheet!Y3:Y1592,"1",worksheet!T3:T1592,"=22.06.17")</f>
        <v>3</v>
      </c>
      <c r="H25" s="138">
        <f>COUNTIFS(worksheet!Y3:Y1592,"1",worksheet!T3:T1592,"=22.07.17")</f>
        <v>0</v>
      </c>
      <c r="I25" s="138">
        <f>COUNTIFS(worksheet!Y3:Y1592,"1",worksheet!T3:T1592,"=22.08.17")</f>
        <v>2</v>
      </c>
      <c r="J25" s="138">
        <f>COUNTIFS(worksheet!Y3:Y1592,"1",worksheet!T3:T1592,"=22.09.17")</f>
        <v>4</v>
      </c>
      <c r="K25" s="138">
        <f>COUNTIFS(worksheet!Y3:Y1592,"1",worksheet!T3:T1592,"=22.10.16")</f>
        <v>0</v>
      </c>
      <c r="L25" s="138">
        <f>COUNTIFS(worksheet!Y3:Y1592,"1",worksheet!T3:T1592,"=22.11.16")</f>
        <v>0</v>
      </c>
      <c r="M25" s="138">
        <f>COUNTIFS(worksheet!Y3:Y1592,"1",worksheet!T3:T1592,"=22.12.16")</f>
        <v>0</v>
      </c>
    </row>
    <row r="26" spans="1:13" ht="16.5" thickBot="1" x14ac:dyDescent="0.25">
      <c r="A26" s="209">
        <v>23</v>
      </c>
      <c r="B26" s="138">
        <f>COUNTIFS(worksheet!Y3:Y1592,"1",worksheet!T3:T1592,"=23.01.17")</f>
        <v>0</v>
      </c>
      <c r="C26" s="138">
        <f>COUNTIFS(worksheet!Y3:Y1592,"1",worksheet!T3:T1592,"=23.02.17")</f>
        <v>3</v>
      </c>
      <c r="D26" s="138">
        <f>COUNTIFS(worksheet!Y3:Y1592,"1",worksheet!T3:T1592,"=23.03.17")</f>
        <v>4</v>
      </c>
      <c r="E26" s="138">
        <f>COUNTIFS(worksheet!Y3:Y1592,"1",worksheet!T3:T1592,"=23.04.17")</f>
        <v>2</v>
      </c>
      <c r="F26" s="138">
        <f>COUNTIFS(worksheet!Y3:Y1592,"1",worksheet!T3:T1592,"=23.05.17")</f>
        <v>1</v>
      </c>
      <c r="G26" s="138">
        <f>COUNTIFS(worksheet!Y3:Y1592,"1",worksheet!T3:T1592,"=23.06.17")</f>
        <v>4</v>
      </c>
      <c r="H26" s="138">
        <f>COUNTIFS(worksheet!Y3:Y1592,"1",worksheet!T3:T1592,"=23.07.17")</f>
        <v>3</v>
      </c>
      <c r="I26" s="138">
        <f>COUNTIFS(worksheet!Y3:Y1592,"1",worksheet!T3:T1592,"=23.08.17")</f>
        <v>3</v>
      </c>
      <c r="J26" s="138">
        <f>COUNTIFS(worksheet!Y3:Y1592,"1",worksheet!T3:T1592,"=23.09.17")</f>
        <v>1</v>
      </c>
      <c r="K26" s="138">
        <f>COUNTIFS(worksheet!Y3:Y1592,"1",worksheet!T3:T1592,"=23.10.16")</f>
        <v>0</v>
      </c>
      <c r="L26" s="138">
        <f>COUNTIFS(worksheet!Y3:Y1592,"1",worksheet!T3:T1592,"=23.11.16")</f>
        <v>0</v>
      </c>
      <c r="M26" s="138">
        <f>COUNTIFS(worksheet!Y3:Y1592,"1",worksheet!T3:T1592,"=23.12.16")</f>
        <v>0</v>
      </c>
    </row>
    <row r="27" spans="1:13" ht="16.5" thickBot="1" x14ac:dyDescent="0.25">
      <c r="A27" s="209">
        <v>24</v>
      </c>
      <c r="B27" s="138">
        <f>COUNTIFS(worksheet!Y3:Y1592,"1",worksheet!T3:T1592,"=24.01.17")</f>
        <v>0</v>
      </c>
      <c r="C27" s="138">
        <f>COUNTIFS(worksheet!Y3:Y1592,"1",worksheet!T3:T1592,"=24.02.17")</f>
        <v>3</v>
      </c>
      <c r="D27" s="138">
        <f>COUNTIFS(worksheet!Y3:Y1592,"1",worksheet!T3:T1592,"=24.03.17")</f>
        <v>2</v>
      </c>
      <c r="E27" s="138">
        <f>COUNTIFS(worksheet!Y3:Y1592,"1",worksheet!T3:T1592,"=24.04.17")</f>
        <v>0</v>
      </c>
      <c r="F27" s="138">
        <f>COUNTIFS(worksheet!Y3:Y1592,"1",worksheet!T3:T1592,"=24.05.17")</f>
        <v>3</v>
      </c>
      <c r="G27" s="138">
        <f>COUNTIFS(worksheet!Y3:Y1592,"1",worksheet!T3:T1592,"=24.06.17")</f>
        <v>0</v>
      </c>
      <c r="H27" s="138">
        <f>COUNTIFS(worksheet!Y3:Y1592,"1",worksheet!T3:T1592,"=24.07.17")</f>
        <v>6</v>
      </c>
      <c r="I27" s="138">
        <f>COUNTIFS(worksheet!Y3:Y1592,"1",worksheet!T3:T1592,"=24.08.17")</f>
        <v>6</v>
      </c>
      <c r="J27" s="138">
        <f>COUNTIFS(worksheet!Y3:Y1592,"1",worksheet!T3:T1592,"=24.09.17")</f>
        <v>0</v>
      </c>
      <c r="K27" s="138">
        <f>COUNTIFS(worksheet!Y3:Y1592,"1",worksheet!T3:T1592,"=24.10.16")</f>
        <v>0</v>
      </c>
      <c r="L27" s="138">
        <f>COUNTIFS(worksheet!Y3:Y1592,"1",worksheet!T3:T1592,"=24.11.16")</f>
        <v>0</v>
      </c>
      <c r="M27" s="138">
        <f>COUNTIFS(worksheet!Y3:Y1592,"1",worksheet!T3:T1592,"=24.12.16")</f>
        <v>0</v>
      </c>
    </row>
    <row r="28" spans="1:13" ht="16.5" thickBot="1" x14ac:dyDescent="0.25">
      <c r="A28" s="209">
        <v>25</v>
      </c>
      <c r="B28" s="138">
        <f>COUNTIFS(worksheet!Y3:Y1592,"1",worksheet!T3:T1592,"=25.01.17")</f>
        <v>0</v>
      </c>
      <c r="C28" s="138">
        <f>COUNTIFS(worksheet!Y3:Y1592,"1",worksheet!T3:T1592,"=25.02.17")</f>
        <v>1</v>
      </c>
      <c r="D28" s="138">
        <f>COUNTIFS(worksheet!Y3:Y1592,"1",worksheet!T3:T1592,"=25.03.17")</f>
        <v>0</v>
      </c>
      <c r="E28" s="138">
        <f>COUNTIFS(worksheet!Y3:Y1592,"1",worksheet!T3:T1592,"=25.04.17")</f>
        <v>2</v>
      </c>
      <c r="F28" s="138">
        <f>COUNTIFS(worksheet!Y3:Y1592,"1",worksheet!T3:T1592,"=25.05.17")</f>
        <v>2</v>
      </c>
      <c r="G28" s="138">
        <f>COUNTIFS(worksheet!Y3:Y1592,"1",worksheet!T3:T1592,"=25.06.17")</f>
        <v>2</v>
      </c>
      <c r="H28" s="138">
        <f>COUNTIFS(worksheet!Y3:Y1592,"1",worksheet!T3:T1592,"=25.07.17")</f>
        <v>1</v>
      </c>
      <c r="I28" s="138">
        <f>COUNTIFS(worksheet!Y3:Y1592,"1",worksheet!T3:T1592,"=25.08.17")</f>
        <v>2</v>
      </c>
      <c r="J28" s="138">
        <f>COUNTIFS(worksheet!Y3:Y1592,"1",worksheet!T3:T1592,"=25.09.17")</f>
        <v>0</v>
      </c>
      <c r="K28" s="138">
        <f>COUNTIFS(worksheet!Y3:Y1592,"1",worksheet!T3:T1592,"=25.10.16")</f>
        <v>0</v>
      </c>
      <c r="L28" s="138">
        <f>COUNTIFS(worksheet!Y3:Y1592,"1",worksheet!T3:T1592,"=25.11.16")</f>
        <v>0</v>
      </c>
      <c r="M28" s="138">
        <f>COUNTIFS(worksheet!Y3:Y1592,"1",worksheet!T3:T1592,"=25.12.16")</f>
        <v>0</v>
      </c>
    </row>
    <row r="29" spans="1:13" ht="16.5" thickBot="1" x14ac:dyDescent="0.25">
      <c r="A29" s="209">
        <v>26</v>
      </c>
      <c r="B29" s="138">
        <f>COUNTIFS(worksheet!Y3:Y1592,"1",worksheet!T3:T1592,"=26.01.17")</f>
        <v>0</v>
      </c>
      <c r="C29" s="138">
        <f>COUNTIFS(worksheet!Y3:Y1592,"1",worksheet!T3:T1592,"=26.02.17")</f>
        <v>1</v>
      </c>
      <c r="D29" s="138">
        <f>COUNTIFS(worksheet!Y3:Y1592,"1",worksheet!T3:T1592,"=26.03.17")</f>
        <v>0</v>
      </c>
      <c r="E29" s="138">
        <f>COUNTIFS(worksheet!Y3:Y1592,"1",worksheet!T3:T1592,"=26.04.17")</f>
        <v>2</v>
      </c>
      <c r="F29" s="138">
        <f>COUNTIFS(worksheet!Y3:Y1592,"1",worksheet!T3:T1592,"=26.05.17")</f>
        <v>2</v>
      </c>
      <c r="G29" s="138">
        <f>COUNTIFS(worksheet!Y3:Y1592,"1",worksheet!T3:T1592,"=26.06.17")</f>
        <v>0</v>
      </c>
      <c r="H29" s="138">
        <f>COUNTIFS(worksheet!Y3:Y1592,"1",worksheet!T3:T1592,"=26.07.17")</f>
        <v>3</v>
      </c>
      <c r="I29" s="138">
        <f>COUNTIFS(worksheet!Y3:Y1592,"1",worksheet!T3:T1592,"=26.08.17")</f>
        <v>1</v>
      </c>
      <c r="J29" s="138">
        <f>COUNTIFS(worksheet!Y3:Y1592,"1",worksheet!T3:T1592,"=26.09.17")</f>
        <v>0</v>
      </c>
      <c r="K29" s="138">
        <f>COUNTIFS(worksheet!Y3:Y1592,"1",worksheet!T3:T1592,"=26.10.16")</f>
        <v>0</v>
      </c>
      <c r="L29" s="138">
        <f>COUNTIFS(worksheet!Y3:Y1592,"1",worksheet!T3:T1592,"=26.11.16")</f>
        <v>0</v>
      </c>
      <c r="M29" s="138">
        <f>COUNTIFS(worksheet!Y3:Y1592,"1",worksheet!T3:T1592,"=26.12.16")</f>
        <v>0</v>
      </c>
    </row>
    <row r="30" spans="1:13" ht="16.5" thickBot="1" x14ac:dyDescent="0.25">
      <c r="A30" s="209">
        <v>27</v>
      </c>
      <c r="B30" s="138">
        <f>COUNTIFS(worksheet!Y3:Y1592,"1",worksheet!T3:T1592,"=27.01.17")</f>
        <v>0</v>
      </c>
      <c r="C30" s="138">
        <f>COUNTIFS(worksheet!Y3:Y1592,"1",worksheet!T3:T1592,"=27.02.17")</f>
        <v>1</v>
      </c>
      <c r="D30" s="138">
        <f>COUNTIFS(worksheet!Y3:Y1592,"1",worksheet!T3:T1592,"=27.03.17")</f>
        <v>2</v>
      </c>
      <c r="E30" s="138">
        <f>COUNTIFS(worksheet!Y3:Y1592,"1",worksheet!T3:T1592,"=27.04.17")</f>
        <v>2</v>
      </c>
      <c r="F30" s="138">
        <f>COUNTIFS(worksheet!Y3:Y1592,"1",worksheet!T3:T1592,"=27.05.17")</f>
        <v>1</v>
      </c>
      <c r="G30" s="138">
        <f>COUNTIFS(worksheet!Y3:Y1592,"1",worksheet!T3:T1592,"=27.06.17")</f>
        <v>3</v>
      </c>
      <c r="H30" s="138">
        <f>COUNTIFS(worksheet!Y3:Y1592,"1",worksheet!T3:T1592,"=27.07.17")</f>
        <v>3</v>
      </c>
      <c r="I30" s="138">
        <f>COUNTIFS(worksheet!Y3:Y1592,"1",worksheet!T3:T1592,"=27.08.17")</f>
        <v>0</v>
      </c>
      <c r="J30" s="138">
        <f>COUNTIFS(worksheet!Y3:Y1592,"1",worksheet!T3:T1592,"=27.09.17")</f>
        <v>2</v>
      </c>
      <c r="K30" s="138">
        <f>COUNTIFS(worksheet!Y3:Y1592,"1",worksheet!T3:T1592,"=27.10.16")</f>
        <v>0</v>
      </c>
      <c r="L30" s="138">
        <f>COUNTIFS(worksheet!Y3:Y1592,"1",worksheet!T3:T1592,"=27.11.16")</f>
        <v>0</v>
      </c>
      <c r="M30" s="138">
        <f>COUNTIFS(worksheet!Y3:Y1592,"1",worksheet!T3:T1592,"=27.12.16")</f>
        <v>0</v>
      </c>
    </row>
    <row r="31" spans="1:13" ht="16.5" thickBot="1" x14ac:dyDescent="0.25">
      <c r="A31" s="209">
        <v>28</v>
      </c>
      <c r="B31" s="138">
        <f>COUNTIFS(worksheet!Y3:Y1592,"1",worksheet!T3:T1592,"=28.01.17")</f>
        <v>0</v>
      </c>
      <c r="C31" s="138">
        <f>COUNTIFS(worksheet!Y3:Y1592,"1",worksheet!T3:T1592,"=28.02.17")</f>
        <v>1</v>
      </c>
      <c r="D31" s="138">
        <f>COUNTIFS(worksheet!Y3:Y1592,"1",worksheet!T3:T1592,"=28.03.17")</f>
        <v>3</v>
      </c>
      <c r="E31" s="138">
        <f>COUNTIFS(worksheet!Y3:Y1592,"1",worksheet!T3:T1592,"=28.04.16")</f>
        <v>0</v>
      </c>
      <c r="F31" s="138">
        <f>COUNTIFS(worksheet!Y3:Y1592,"1",worksheet!T3:T1592,"=28.05.17")</f>
        <v>1</v>
      </c>
      <c r="G31" s="138">
        <f>COUNTIFS(worksheet!Y3:Y1592,"1",worksheet!T3:T1592,"=28.06.17")</f>
        <v>2</v>
      </c>
      <c r="H31" s="138">
        <f>COUNTIFS(worksheet!Y3:Y1592,"1",worksheet!T3:T1592,"=28.07.17")</f>
        <v>5</v>
      </c>
      <c r="I31" s="138">
        <f>COUNTIFS(worksheet!Y3:Y1592,"1",worksheet!T3:T1592,"=28.08.17")</f>
        <v>2</v>
      </c>
      <c r="J31" s="138">
        <f>COUNTIFS(worksheet!Y3:Y1592,"1",worksheet!T3:T1592,"=28.09.17")</f>
        <v>0</v>
      </c>
      <c r="K31" s="138">
        <f>COUNTIFS(worksheet!Y3:Y1592,"1",worksheet!T3:T1592,"=28.10.16")</f>
        <v>0</v>
      </c>
      <c r="L31" s="138">
        <f>COUNTIFS(worksheet!Y3:Y1592,"1",worksheet!T3:T1592,"=28.11.16")</f>
        <v>0</v>
      </c>
      <c r="M31" s="138">
        <f>COUNTIFS(worksheet!Y3:Y1592,"1",worksheet!T3:T1592,"=28.12.16")</f>
        <v>0</v>
      </c>
    </row>
    <row r="32" spans="1:13" ht="16.5" thickBot="1" x14ac:dyDescent="0.25">
      <c r="A32" s="209">
        <v>29</v>
      </c>
      <c r="B32" s="138">
        <f>COUNTIFS(worksheet!Y3:Y1592,"1",worksheet!T3:T1592,"=29.01.17")</f>
        <v>0</v>
      </c>
      <c r="C32" s="138">
        <f>COUNTIFS(worksheet!Y3:Y1592,"1",worksheet!T3:T1592,"=29.02.17")</f>
        <v>0</v>
      </c>
      <c r="D32" s="138">
        <f>COUNTIFS(worksheet!Y3:Y1592,"1",worksheet!T3:T1592,"=29.03.17")</f>
        <v>1</v>
      </c>
      <c r="E32" s="138">
        <f>COUNTIFS(worksheet!Y3:Y1592,"1",worksheet!T3:T1592,"=29.04.17")</f>
        <v>0</v>
      </c>
      <c r="F32" s="138">
        <f>COUNTIFS(worksheet!Y3:Y1592,"1",worksheet!T3:T1592,"=29.05.17")</f>
        <v>1</v>
      </c>
      <c r="G32" s="138">
        <f>COUNTIFS(worksheet!Y3:Y1592,"1",worksheet!T3:T1592,"=29.06.17")</f>
        <v>5</v>
      </c>
      <c r="H32" s="138">
        <f>COUNTIFS(worksheet!Y3:Y1592,"1",worksheet!T3:T1592,"=29.07.17")</f>
        <v>5</v>
      </c>
      <c r="I32" s="138">
        <f>COUNTIFS(worksheet!Y3:Y1592,"1",worksheet!T3:T1592,"=29.08.17")</f>
        <v>0</v>
      </c>
      <c r="J32" s="138">
        <f>COUNTIFS(worksheet!Y3:Y1592,"1",worksheet!T3:T1592,"=29.09.17")</f>
        <v>6</v>
      </c>
      <c r="K32" s="138">
        <f>COUNTIFS(worksheet!Y3:Y1592,"1",worksheet!T3:T1592,"=29.10.16")</f>
        <v>0</v>
      </c>
      <c r="L32" s="138">
        <f>COUNTIFS(worksheet!Y3:Y1592,"1",worksheet!T3:T1592,"=29.11.16")</f>
        <v>0</v>
      </c>
      <c r="M32" s="138">
        <f>COUNTIFS(worksheet!Y3:Y1592,"1",worksheet!T3:T1592,"=29.12.16")</f>
        <v>0</v>
      </c>
    </row>
    <row r="33" spans="1:13" ht="16.5" thickBot="1" x14ac:dyDescent="0.25">
      <c r="A33" s="209">
        <v>30</v>
      </c>
      <c r="B33" s="138">
        <f>COUNTIFS(worksheet!Y3:Y1592,"1",worksheet!T3:T1592,"=30.01.17")</f>
        <v>0</v>
      </c>
      <c r="C33" s="207"/>
      <c r="D33" s="138">
        <f>COUNTIFS(worksheet!Y3:Y1592,"1",worksheet!T3:T1592,"=30.03.17")</f>
        <v>6</v>
      </c>
      <c r="E33" s="138">
        <f>COUNTIFS(worksheet!Y3:Y1592,"1",worksheet!T3:T1592,"=30.04.17")</f>
        <v>5</v>
      </c>
      <c r="F33" s="138">
        <f>COUNTIFS(worksheet!Y3:Y1592,"1",worksheet!T3:T1592,"=30.05.17")</f>
        <v>1</v>
      </c>
      <c r="G33" s="138">
        <f>COUNTIFS(worksheet!Y3:Y1592,"1",worksheet!T3:T1592,"=30.07.17")</f>
        <v>3</v>
      </c>
      <c r="H33" s="138">
        <f>COUNTIFS(worksheet!Y3:Y1592,"1",worksheet!T3:T1592,"=30.07.17")</f>
        <v>3</v>
      </c>
      <c r="I33" s="138">
        <f>COUNTIFS(worksheet!Y3:Y1592,"1",worksheet!T3:T1592,"=30.08.17")</f>
        <v>2</v>
      </c>
      <c r="J33" s="138">
        <f>COUNTIFS(worksheet!Y3:Y1592,"1",worksheet!T3:T1592,"=30.09.17")</f>
        <v>0</v>
      </c>
      <c r="K33" s="138">
        <f>COUNTIFS(worksheet!Y3:Y1592,"1",worksheet!T3:T1592,"=30.10.16")</f>
        <v>0</v>
      </c>
      <c r="L33" s="138">
        <f>COUNTIFS(worksheet!Y3:Y1592,"1",worksheet!T3:T1592,"=30.11.16")</f>
        <v>0</v>
      </c>
      <c r="M33" s="138">
        <f>COUNTIFS(worksheet!Y3:Y1592,"1",worksheet!T3:T1592,"=30.12.16")</f>
        <v>0</v>
      </c>
    </row>
    <row r="34" spans="1:13" ht="16.5" thickBot="1" x14ac:dyDescent="0.25">
      <c r="A34" s="209">
        <v>31</v>
      </c>
      <c r="B34" s="138">
        <f>COUNTIFS(worksheet!Y3:Y1592,"1",worksheet!T3:T1592,"=31.01.17")</f>
        <v>0</v>
      </c>
      <c r="C34" s="207"/>
      <c r="D34" s="138">
        <f>COUNTIFS(worksheet!Y3:Y1592,"1",worksheet!T3:T1592,"=31.03.17")</f>
        <v>1</v>
      </c>
      <c r="E34" s="207"/>
      <c r="F34" s="138">
        <f>COUNTIFS(worksheet!Y3:Y1592,"1",worksheet!T3:T1592,"=31.05.17")</f>
        <v>2</v>
      </c>
      <c r="G34" s="207"/>
      <c r="H34" s="138">
        <f>COUNTIFS(worksheet!Y3:Y1592,"1",worksheet!T3:T1592,"=31.07.17")</f>
        <v>1</v>
      </c>
      <c r="I34" s="138">
        <f>COUNTIFS(worksheet!Y3:Y1592,"1",worksheet!T3:T1592,"=31.08.17")</f>
        <v>4</v>
      </c>
      <c r="J34" s="207"/>
      <c r="K34" s="138">
        <f>COUNTIFS(worksheet!Y3:Y1592,"1",worksheet!T3:T1592,"=31.10.16")</f>
        <v>0</v>
      </c>
      <c r="L34" s="138">
        <f>COUNTIFS(worksheet!Y3:Y1592,"1",worksheet!T3:T1592,"=31.11.16")</f>
        <v>0</v>
      </c>
      <c r="M34" s="138">
        <f>COUNTIFS(worksheet!Y3:Y1592,"1",worksheet!T3:T1592,"=31.12.16")</f>
        <v>0</v>
      </c>
    </row>
    <row r="35" spans="1:13" ht="16.5" thickBot="1" x14ac:dyDescent="0.25">
      <c r="A35" s="1292" t="s">
        <v>2042</v>
      </c>
      <c r="B35" s="139">
        <f>SUM(B4:B34)</f>
        <v>0</v>
      </c>
      <c r="C35" s="139">
        <f t="shared" ref="C35:M35" si="0">SUM(C4:C34)</f>
        <v>25</v>
      </c>
      <c r="D35" s="139">
        <f>SUM(D4:D34)</f>
        <v>56</v>
      </c>
      <c r="E35" s="139">
        <f t="shared" si="0"/>
        <v>49</v>
      </c>
      <c r="F35" s="139">
        <f>SUM(F4:F34)</f>
        <v>82</v>
      </c>
      <c r="G35" s="139">
        <f t="shared" si="0"/>
        <v>81</v>
      </c>
      <c r="H35" s="139">
        <f t="shared" si="0"/>
        <v>80</v>
      </c>
      <c r="I35" s="139">
        <f t="shared" si="0"/>
        <v>72</v>
      </c>
      <c r="J35" s="139">
        <f t="shared" si="0"/>
        <v>37</v>
      </c>
      <c r="K35" s="139">
        <f t="shared" si="0"/>
        <v>0</v>
      </c>
      <c r="L35" s="139">
        <f t="shared" si="0"/>
        <v>0</v>
      </c>
      <c r="M35" s="139">
        <f t="shared" si="0"/>
        <v>0</v>
      </c>
    </row>
    <row r="36" spans="1:13" ht="27" thickBot="1" x14ac:dyDescent="0.25">
      <c r="A36" s="1293"/>
      <c r="B36" s="1282">
        <f>SUM(B35:M35)</f>
        <v>482</v>
      </c>
      <c r="C36" s="1283"/>
      <c r="D36" s="1283"/>
      <c r="E36" s="1283"/>
      <c r="F36" s="1283"/>
      <c r="G36" s="1283"/>
      <c r="H36" s="1283"/>
      <c r="I36" s="1283"/>
      <c r="J36" s="1283"/>
      <c r="K36" s="1283"/>
      <c r="L36" s="1283"/>
      <c r="M36" s="1284"/>
    </row>
  </sheetData>
  <mergeCells count="4">
    <mergeCell ref="B36:M36"/>
    <mergeCell ref="A1:M1"/>
    <mergeCell ref="A2:M2"/>
    <mergeCell ref="A35:A36"/>
  </mergeCells>
  <conditionalFormatting sqref="B4:M32 K34:M34 H34:I34 D34 B33:B34 D33:M33 F34">
    <cfRule type="cellIs" dxfId="3" priority="2" operator="equal">
      <formula>0</formula>
    </cfRule>
  </conditionalFormatting>
  <conditionalFormatting sqref="B4:M34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pageSetUpPr fitToPage="1"/>
  </sheetPr>
  <dimension ref="A1:V51"/>
  <sheetViews>
    <sheetView zoomScale="90" zoomScaleNormal="90" workbookViewId="0">
      <selection activeCell="O9" sqref="O9"/>
    </sheetView>
  </sheetViews>
  <sheetFormatPr defaultRowHeight="12.75" x14ac:dyDescent="0.2"/>
  <cols>
    <col min="1" max="4" width="8.7109375" customWidth="1"/>
    <col min="5" max="5" width="5.7109375" customWidth="1"/>
    <col min="6" max="9" width="8.7109375" customWidth="1"/>
    <col min="10" max="10" width="5.7109375" customWidth="1"/>
    <col min="11" max="11" width="17.7109375" customWidth="1"/>
    <col min="12" max="12" width="8.7109375" customWidth="1"/>
    <col min="13" max="13" width="5.7109375" customWidth="1"/>
    <col min="14" max="14" width="17.7109375" customWidth="1"/>
    <col min="15" max="15" width="8.7109375" customWidth="1"/>
    <col min="16" max="16" width="5.7109375" customWidth="1"/>
  </cols>
  <sheetData>
    <row r="1" spans="1:22" ht="30.75" x14ac:dyDescent="0.2">
      <c r="A1" s="1297" t="s">
        <v>2508</v>
      </c>
      <c r="B1" s="1297"/>
      <c r="C1" s="1297"/>
      <c r="D1" s="1297"/>
      <c r="E1" s="1297"/>
      <c r="F1" s="1297"/>
      <c r="G1" s="1297"/>
      <c r="H1" s="1297"/>
      <c r="I1" s="1297"/>
      <c r="J1" s="1297"/>
      <c r="K1" s="1297"/>
      <c r="L1" s="1297"/>
      <c r="M1" s="1297"/>
      <c r="N1" s="1297"/>
      <c r="O1" s="1297"/>
      <c r="P1" s="1297"/>
      <c r="Q1" s="1297"/>
      <c r="R1" s="1297"/>
      <c r="S1" s="1297"/>
      <c r="T1" s="1297"/>
      <c r="U1" s="1297"/>
      <c r="V1" s="1297"/>
    </row>
    <row r="2" spans="1:22" ht="30" customHeight="1" thickBot="1" x14ac:dyDescent="0.25">
      <c r="A2" s="1298" t="s">
        <v>2135</v>
      </c>
      <c r="B2" s="1298"/>
      <c r="C2" s="1298"/>
      <c r="D2" s="1298"/>
      <c r="E2" s="241"/>
      <c r="F2" s="1298" t="s">
        <v>3079</v>
      </c>
      <c r="G2" s="1298"/>
      <c r="H2" s="1298"/>
      <c r="I2" s="1298"/>
      <c r="J2" s="241"/>
      <c r="K2" s="1298" t="s">
        <v>906</v>
      </c>
      <c r="L2" s="1298"/>
      <c r="M2" s="241"/>
      <c r="N2" s="1299" t="s">
        <v>2509</v>
      </c>
      <c r="O2" s="1299"/>
      <c r="P2" s="241"/>
      <c r="Q2" s="1300" t="s">
        <v>2510</v>
      </c>
      <c r="R2" s="1300"/>
      <c r="S2" s="1302" t="s">
        <v>2511</v>
      </c>
      <c r="T2" s="1302"/>
      <c r="U2" s="1302"/>
      <c r="V2" s="1302"/>
    </row>
    <row r="3" spans="1:22" ht="24.95" customHeight="1" x14ac:dyDescent="0.2">
      <c r="A3" s="242" t="s">
        <v>2863</v>
      </c>
      <c r="B3" s="242" t="s">
        <v>2862</v>
      </c>
      <c r="C3" s="242" t="s">
        <v>3206</v>
      </c>
      <c r="D3" s="242" t="s">
        <v>2864</v>
      </c>
      <c r="E3" s="243"/>
      <c r="F3" s="242" t="s">
        <v>2863</v>
      </c>
      <c r="G3" s="242" t="s">
        <v>2862</v>
      </c>
      <c r="H3" s="242" t="s">
        <v>3206</v>
      </c>
      <c r="I3" s="242" t="s">
        <v>2864</v>
      </c>
      <c r="J3" s="243"/>
      <c r="K3" s="242" t="s">
        <v>2863</v>
      </c>
      <c r="L3" s="242" t="s">
        <v>2862</v>
      </c>
      <c r="M3" s="243"/>
      <c r="N3" s="1299"/>
      <c r="O3" s="1299"/>
      <c r="P3" s="243"/>
      <c r="Q3" s="1300"/>
      <c r="R3" s="1301"/>
      <c r="S3" s="1311" t="s">
        <v>2512</v>
      </c>
      <c r="T3" s="1312"/>
      <c r="U3" s="1315" t="s">
        <v>2513</v>
      </c>
      <c r="V3" s="1316"/>
    </row>
    <row r="4" spans="1:22" ht="24.95" customHeight="1" thickBot="1" x14ac:dyDescent="0.25">
      <c r="A4" s="244">
        <f>COUNTIFS(worksheet!D3:D2891,"РЯД № 1",worksheet!C3:C2891,"К1")</f>
        <v>37</v>
      </c>
      <c r="B4" s="244">
        <f>COUNTIFS(worksheet!D3:D2891,"РЯД № 2",worksheet!C3:C2891,"К1")</f>
        <v>43</v>
      </c>
      <c r="C4" s="244">
        <f>COUNTIFS(worksheet!D3:D2891,"РЯД № 3",worksheet!C3:C2891,"К1")</f>
        <v>43</v>
      </c>
      <c r="D4" s="244">
        <f>COUNTIFS(worksheet!D3:D2891,"РЯД № 4",worksheet!C3:C2891,"К1")</f>
        <v>45</v>
      </c>
      <c r="E4" s="243"/>
      <c r="F4" s="244">
        <f>COUNTIFS(worksheet!D3:D2891,"РЯД № 1",worksheet!C3:C2891,"К2")</f>
        <v>48</v>
      </c>
      <c r="G4" s="244">
        <f>COUNTIFS(worksheet!D3:D2891,"РЯД № 2",worksheet!C3:C2891,"К2")</f>
        <v>48</v>
      </c>
      <c r="H4" s="244">
        <f>COUNTIFS(worksheet!D3:D2891,"РЯД № 3",worksheet!C3:C2891,"К2")</f>
        <v>50</v>
      </c>
      <c r="I4" s="244">
        <f>COUNTIFS(worksheet!D3:D2891,"РЯД № 4",worksheet!C3:C2891,"К2")</f>
        <v>49</v>
      </c>
      <c r="J4" s="243"/>
      <c r="K4" s="244">
        <f>COUNTIF(worksheet!D3:D2891,"Данькин А.И.")</f>
        <v>47</v>
      </c>
      <c r="L4" s="244">
        <f>COUNTIF(worksheet!D3:D2891,"Данькина Е.Ф.")</f>
        <v>43</v>
      </c>
      <c r="M4" s="243"/>
      <c r="N4" s="1308" t="s">
        <v>2522</v>
      </c>
      <c r="O4" s="1308"/>
      <c r="P4" s="243"/>
      <c r="Q4" s="496" t="s">
        <v>2599</v>
      </c>
      <c r="R4" s="499" t="s">
        <v>3207</v>
      </c>
      <c r="S4" s="1313"/>
      <c r="T4" s="1314"/>
      <c r="U4" s="1317"/>
      <c r="V4" s="1318"/>
    </row>
    <row r="5" spans="1:22" ht="30" customHeight="1" thickBot="1" x14ac:dyDescent="0.25">
      <c r="A5" s="1303">
        <f>SUM(A4:D4)</f>
        <v>168</v>
      </c>
      <c r="B5" s="1304"/>
      <c r="C5" s="1304"/>
      <c r="D5" s="1305"/>
      <c r="E5" s="245" t="s">
        <v>2368</v>
      </c>
      <c r="F5" s="1303">
        <f>SUM(F4:I4)</f>
        <v>195</v>
      </c>
      <c r="G5" s="1304"/>
      <c r="H5" s="1304"/>
      <c r="I5" s="1305"/>
      <c r="J5" s="245" t="s">
        <v>2368</v>
      </c>
      <c r="K5" s="1332">
        <f>SUM(K4:L4)</f>
        <v>90</v>
      </c>
      <c r="L5" s="1332"/>
      <c r="M5" s="245" t="s">
        <v>2368</v>
      </c>
      <c r="N5" s="1333">
        <f>COUNTIF(worksheet!D3:D2891,"РО_ДОЙНЫЕ")</f>
        <v>26</v>
      </c>
      <c r="O5" s="1333"/>
      <c r="P5" s="245" t="s">
        <v>2368</v>
      </c>
      <c r="Q5" s="495">
        <f>COUNTIFS(worksheet!AT3:AT2891,"DRY COW",worksheet!C3:C2891,"С1")</f>
        <v>48</v>
      </c>
      <c r="R5" s="500">
        <f>COUNTIFS(worksheet!AT3:AT2891,"DRY COW",worksheet!C3:C2891,"К4")</f>
        <v>31</v>
      </c>
      <c r="S5" s="1306">
        <f>COUNTIFS(worksheet!C3:C2891,"К4",worksheet!AT3:AT2891,"DRY COW",worksheet!D3:D2891,"РО_ТРАНЗИТ")</f>
        <v>25</v>
      </c>
      <c r="T5" s="1307"/>
      <c r="U5" s="1309">
        <f>COUNTIFS(worksheet!AR3:AR2891,"НЕТЕЛЬ",worksheet!D3:D2891,"РО_ТРАНЗИТ")</f>
        <v>8</v>
      </c>
      <c r="V5" s="1310"/>
    </row>
    <row r="6" spans="1:22" ht="23.25" customHeight="1" x14ac:dyDescent="0.2">
      <c r="A6" s="1294" t="s">
        <v>2185</v>
      </c>
      <c r="B6" s="1294"/>
      <c r="C6" s="1294"/>
      <c r="D6" s="246"/>
      <c r="E6" s="247">
        <f>D6/A5</f>
        <v>0</v>
      </c>
      <c r="F6" s="1294" t="s">
        <v>2185</v>
      </c>
      <c r="G6" s="1294"/>
      <c r="H6" s="1294"/>
      <c r="I6" s="246">
        <f>COUNTIFS(worksheet!C3:C1626,"ЛЛ",worksheet!Y3:Y1626,"5")</f>
        <v>0</v>
      </c>
      <c r="J6" s="247">
        <f>I6/F5</f>
        <v>0</v>
      </c>
      <c r="K6" s="248" t="s">
        <v>2185</v>
      </c>
      <c r="L6" s="246">
        <f>COUNTIFS(worksheet!C3:C1626,"К3",worksheet!Y3:Y1626,"5")</f>
        <v>1</v>
      </c>
      <c r="M6" s="247">
        <f>L6/K5</f>
        <v>1.1111111111111112E-2</v>
      </c>
      <c r="N6" s="248" t="s">
        <v>2185</v>
      </c>
      <c r="O6" s="246">
        <f>COUNTIFS(worksheet!D3:D1626,"РО_Дойные",worksheet!Y3:Y1626,"5")</f>
        <v>0</v>
      </c>
      <c r="P6" s="247">
        <f>O6/N5</f>
        <v>0</v>
      </c>
      <c r="Q6" s="249"/>
      <c r="R6" s="250"/>
      <c r="S6" s="501"/>
      <c r="T6" s="502"/>
      <c r="U6" s="1319" t="s">
        <v>3208</v>
      </c>
      <c r="V6" s="1320"/>
    </row>
    <row r="7" spans="1:22" ht="23.25" customHeight="1" x14ac:dyDescent="0.2">
      <c r="A7" s="1294" t="s">
        <v>2514</v>
      </c>
      <c r="B7" s="1294"/>
      <c r="C7" s="1294"/>
      <c r="D7" s="246"/>
      <c r="E7" s="247">
        <f>D7/A5</f>
        <v>0</v>
      </c>
      <c r="F7" s="1294" t="s">
        <v>2514</v>
      </c>
      <c r="G7" s="1294"/>
      <c r="H7" s="1294"/>
      <c r="I7" s="246">
        <f>COUNTIFS(worksheet!C3:C1626,"ЛЛ",worksheet!Y3:Y1626,"3")</f>
        <v>0</v>
      </c>
      <c r="J7" s="247">
        <f>I7/F5</f>
        <v>0</v>
      </c>
      <c r="K7" s="248" t="s">
        <v>2514</v>
      </c>
      <c r="L7" s="246">
        <f>COUNTIFS(worksheet!C3:C1626,"К3",worksheet!Y3:Y1626,"3")</f>
        <v>42</v>
      </c>
      <c r="M7" s="247">
        <f>L7/K5</f>
        <v>0.46666666666666667</v>
      </c>
      <c r="N7" s="248" t="s">
        <v>2514</v>
      </c>
      <c r="O7" s="246">
        <f>COUNTIFS(worksheet!D3:D1626,"РО_Дойные",worksheet!Y3:Y1626,"3")</f>
        <v>0</v>
      </c>
      <c r="P7" s="247">
        <f>O7/N5</f>
        <v>0</v>
      </c>
      <c r="Q7" s="249"/>
      <c r="R7" s="250"/>
      <c r="S7" s="251"/>
      <c r="T7" s="497"/>
      <c r="U7" s="1321"/>
      <c r="V7" s="1322"/>
    </row>
    <row r="8" spans="1:22" ht="23.25" customHeight="1" thickBot="1" x14ac:dyDescent="0.25">
      <c r="A8" s="1294" t="s">
        <v>2184</v>
      </c>
      <c r="B8" s="1294"/>
      <c r="C8" s="1294"/>
      <c r="D8" s="246"/>
      <c r="E8" s="247">
        <f>D8/A5</f>
        <v>0</v>
      </c>
      <c r="F8" s="1294" t="s">
        <v>2184</v>
      </c>
      <c r="G8" s="1294"/>
      <c r="H8" s="1294"/>
      <c r="I8" s="246">
        <f>COUNTIFS(worksheet!C3:C1626,"ЛЛ",worksheet!Y3:Y1626,"2")</f>
        <v>0</v>
      </c>
      <c r="J8" s="247">
        <f>I8/F5</f>
        <v>0</v>
      </c>
      <c r="K8" s="248" t="s">
        <v>2184</v>
      </c>
      <c r="L8" s="246">
        <f>COUNTIFS(worksheet!C3:C1626,"К3",worksheet!Y3:Y1626,"2")</f>
        <v>4</v>
      </c>
      <c r="M8" s="247">
        <f>L8/K5</f>
        <v>4.4444444444444446E-2</v>
      </c>
      <c r="N8" s="248" t="s">
        <v>2184</v>
      </c>
      <c r="O8" s="246">
        <f>COUNTIFS(worksheet!D3:D1626,"РО_Дойные",worksheet!Y3:Y1626,"2")</f>
        <v>0</v>
      </c>
      <c r="P8" s="247">
        <f>O8/N5</f>
        <v>0</v>
      </c>
      <c r="Q8" s="249"/>
      <c r="R8" s="250"/>
      <c r="S8" s="251"/>
      <c r="T8" s="497"/>
      <c r="U8" s="1321"/>
      <c r="V8" s="1322"/>
    </row>
    <row r="9" spans="1:22" ht="23.25" customHeight="1" x14ac:dyDescent="0.2">
      <c r="A9" s="1294" t="s">
        <v>2174</v>
      </c>
      <c r="B9" s="1294"/>
      <c r="C9" s="1294"/>
      <c r="D9" s="246"/>
      <c r="E9" s="247">
        <f>D9/A5</f>
        <v>0</v>
      </c>
      <c r="F9" s="1294" t="s">
        <v>2174</v>
      </c>
      <c r="G9" s="1294"/>
      <c r="H9" s="1294"/>
      <c r="I9" s="246">
        <f>COUNTIFS(worksheet!C3:C1626,"ЛЛ",worksheet!Y3:Y1626,"1")</f>
        <v>0</v>
      </c>
      <c r="J9" s="247">
        <f>I9/F5</f>
        <v>0</v>
      </c>
      <c r="K9" s="248" t="s">
        <v>2174</v>
      </c>
      <c r="L9" s="246">
        <f>COUNTIFS(worksheet!C3:C1626,"К3",worksheet!Y3:Y1626,"1")</f>
        <v>18</v>
      </c>
      <c r="M9" s="247">
        <f>L9/K5</f>
        <v>0.2</v>
      </c>
      <c r="N9" s="248" t="s">
        <v>2174</v>
      </c>
      <c r="O9" s="246" t="s">
        <v>619</v>
      </c>
      <c r="P9" s="247" t="e">
        <f>O9/N5</f>
        <v>#VALUE!</v>
      </c>
      <c r="Q9" s="249"/>
      <c r="R9" s="250"/>
      <c r="S9" s="251"/>
      <c r="T9" s="497"/>
      <c r="U9" s="1323">
        <f>COUNTIFS(worksheet!AR3:AR2891,"НЕТЕЛЬ",worksheet!D3:D2891,"РО_СУХ")</f>
        <v>1</v>
      </c>
      <c r="V9" s="1324"/>
    </row>
    <row r="10" spans="1:22" ht="23.25" customHeight="1" x14ac:dyDescent="0.2">
      <c r="A10" s="1294" t="s">
        <v>2175</v>
      </c>
      <c r="B10" s="1294"/>
      <c r="C10" s="1294"/>
      <c r="D10" s="246"/>
      <c r="E10" s="247">
        <f>D10/A5</f>
        <v>0</v>
      </c>
      <c r="F10" s="1294" t="s">
        <v>2175</v>
      </c>
      <c r="G10" s="1294"/>
      <c r="H10" s="1294"/>
      <c r="I10" s="246">
        <f>COUNTIFS(worksheet!C3:C1626,"ЛЛ",worksheet!Y3:Y1626,"0",worksheet!O3:O1626,"&gt;-1",worksheet!O3:O1626,"&lt;141")</f>
        <v>0</v>
      </c>
      <c r="J10" s="247">
        <f>I10/F5</f>
        <v>0</v>
      </c>
      <c r="K10" s="248" t="s">
        <v>2175</v>
      </c>
      <c r="L10" s="246">
        <f ca="1">COUNTIFS(worksheet!C3:C1626,"К3",worksheet!Y3:Y1626,"0",worksheet!O3:O1626,"&gt;-1",worksheet!O3:O1626,"&lt;141")</f>
        <v>21</v>
      </c>
      <c r="M10" s="247">
        <f ca="1">L10/K5</f>
        <v>0.23333333333333334</v>
      </c>
      <c r="N10" s="248" t="s">
        <v>2175</v>
      </c>
      <c r="O10" s="246">
        <f ca="1">COUNTIFS(worksheet!D3:D1626,"РО_Дойные",worksheet!Y3:Y1626,"0",worksheet!O3:O1626,"&gt;-1",worksheet!O3:O1626,"&lt;141")</f>
        <v>22</v>
      </c>
      <c r="P10" s="247">
        <f ca="1">O10/N5</f>
        <v>0.84615384615384615</v>
      </c>
      <c r="Q10" s="249"/>
      <c r="R10" s="250"/>
      <c r="S10" s="251"/>
      <c r="T10" s="497"/>
      <c r="U10" s="1325"/>
      <c r="V10" s="1326"/>
    </row>
    <row r="11" spans="1:22" ht="23.25" customHeight="1" x14ac:dyDescent="0.2">
      <c r="A11" s="1341" t="s">
        <v>2176</v>
      </c>
      <c r="B11" s="1341"/>
      <c r="C11" s="1341"/>
      <c r="D11" s="252"/>
      <c r="E11" s="258">
        <f>D11/A5</f>
        <v>0</v>
      </c>
      <c r="F11" s="1341" t="s">
        <v>2176</v>
      </c>
      <c r="G11" s="1341"/>
      <c r="H11" s="1341"/>
      <c r="I11" s="252">
        <f>COUNTIFS(worksheet!C3:C1626,"ЛЛ",worksheet!AE3:AE1626,"яловая")</f>
        <v>0</v>
      </c>
      <c r="J11" s="258">
        <f>I11/F5</f>
        <v>0</v>
      </c>
      <c r="K11" s="253" t="s">
        <v>2176</v>
      </c>
      <c r="L11" s="252">
        <f ca="1">COUNTIFS(worksheet!C3:C1626,"К3",worksheet!AE3:AE1626,"яловая")</f>
        <v>15</v>
      </c>
      <c r="M11" s="258">
        <f ca="1">L11/K5</f>
        <v>0.16666666666666666</v>
      </c>
      <c r="N11" s="253" t="s">
        <v>2176</v>
      </c>
      <c r="O11" s="252">
        <f ca="1">COUNTIFS(worksheet!D3:D1626,"РО_Дойные",worksheet!AE3:AE1626,"яловая")</f>
        <v>3</v>
      </c>
      <c r="P11" s="258">
        <f ca="1">O11/N5</f>
        <v>0.11538461538461539</v>
      </c>
      <c r="Q11" s="249"/>
      <c r="R11" s="250"/>
      <c r="S11" s="251"/>
      <c r="T11" s="497"/>
      <c r="U11" s="1325"/>
      <c r="V11" s="1326"/>
    </row>
    <row r="12" spans="1:22" ht="23.25" customHeight="1" x14ac:dyDescent="0.2">
      <c r="A12" s="1344" t="s">
        <v>1863</v>
      </c>
      <c r="B12" s="1344"/>
      <c r="C12" s="1344"/>
      <c r="D12" s="254"/>
      <c r="E12" s="247">
        <f>SUM(E6:E11)</f>
        <v>0</v>
      </c>
      <c r="F12" s="1344" t="s">
        <v>1863</v>
      </c>
      <c r="G12" s="1344"/>
      <c r="H12" s="1344"/>
      <c r="I12" s="254">
        <f>COUNTIFS(worksheet!C3:C1626,"ЛЛ",worksheet!AQ3:AQ1626,"Б*")</f>
        <v>0</v>
      </c>
      <c r="J12" s="247">
        <f>SUM(J6:J11)</f>
        <v>0</v>
      </c>
      <c r="K12" s="255" t="s">
        <v>1863</v>
      </c>
      <c r="L12" s="254">
        <f>COUNTIFS(worksheet!C3:C1626,"К3",worksheet!AQ3:AQ1626,"Б*")</f>
        <v>2</v>
      </c>
      <c r="M12" s="247">
        <f ca="1">SUM(M6:M11)</f>
        <v>1.1222222222222225</v>
      </c>
      <c r="N12" s="255" t="s">
        <v>1863</v>
      </c>
      <c r="O12" s="254">
        <f>COUNTIFS(worksheet!D3:D1626,"РО_Дойные",worksheet!AQ3:AQ1626,"Б*")</f>
        <v>0</v>
      </c>
      <c r="P12" s="247" t="e">
        <f>SUM(P6:P11)</f>
        <v>#VALUE!</v>
      </c>
      <c r="Q12" s="256"/>
      <c r="R12" s="254"/>
      <c r="S12" s="257"/>
      <c r="T12" s="498"/>
      <c r="U12" s="1325"/>
      <c r="V12" s="1326"/>
    </row>
    <row r="13" spans="1:22" ht="14.1" customHeight="1" x14ac:dyDescent="0.2">
      <c r="A13" s="1345" t="s">
        <v>2515</v>
      </c>
      <c r="B13" s="1346"/>
      <c r="C13" s="1346"/>
      <c r="D13" s="1346"/>
      <c r="E13" s="1346"/>
      <c r="F13" s="1346"/>
      <c r="G13" s="1346"/>
      <c r="H13" s="1346"/>
      <c r="I13" s="1346"/>
      <c r="J13" s="1346"/>
      <c r="K13" s="1346"/>
      <c r="L13" s="1346"/>
      <c r="M13" s="1346"/>
      <c r="N13" s="1346"/>
      <c r="O13" s="1346"/>
      <c r="P13" s="1347"/>
      <c r="Q13" s="1348" t="s">
        <v>2516</v>
      </c>
      <c r="R13" s="1348"/>
      <c r="S13" s="1349"/>
      <c r="T13" s="1350"/>
      <c r="U13" s="1325"/>
      <c r="V13" s="1326"/>
    </row>
    <row r="14" spans="1:22" ht="23.25" customHeight="1" x14ac:dyDescent="0.2">
      <c r="A14" s="1351">
        <f>SUM(A5,F5,K5,N5)</f>
        <v>479</v>
      </c>
      <c r="B14" s="1352"/>
      <c r="C14" s="1352"/>
      <c r="D14" s="1352"/>
      <c r="E14" s="1352"/>
      <c r="F14" s="1352"/>
      <c r="G14" s="1352"/>
      <c r="H14" s="1352"/>
      <c r="I14" s="1352"/>
      <c r="J14" s="1352"/>
      <c r="K14" s="1352"/>
      <c r="L14" s="1352"/>
      <c r="M14" s="1352"/>
      <c r="N14" s="1352"/>
      <c r="O14" s="1352"/>
      <c r="P14" s="1353"/>
      <c r="Q14" s="1354">
        <f>COUNTIF(worksheet!AT3:AT5285,"DRY COW")</f>
        <v>79</v>
      </c>
      <c r="R14" s="1354"/>
      <c r="S14" s="1354"/>
      <c r="T14" s="1355"/>
      <c r="U14" s="1325"/>
      <c r="V14" s="1326"/>
    </row>
    <row r="15" spans="1:22" ht="12.75" customHeight="1" x14ac:dyDescent="0.2">
      <c r="A15" s="1356" t="s">
        <v>2517</v>
      </c>
      <c r="B15" s="1357"/>
      <c r="C15" s="1357"/>
      <c r="D15" s="1357"/>
      <c r="E15" s="1357"/>
      <c r="F15" s="1357"/>
      <c r="G15" s="1357"/>
      <c r="H15" s="1357"/>
      <c r="I15" s="1357"/>
      <c r="J15" s="1357"/>
      <c r="K15" s="1357"/>
      <c r="L15" s="1357"/>
      <c r="M15" s="1357"/>
      <c r="N15" s="1357"/>
      <c r="O15" s="1357"/>
      <c r="P15" s="1357"/>
      <c r="Q15" s="1357"/>
      <c r="R15" s="1357"/>
      <c r="S15" s="1357"/>
      <c r="T15" s="1357"/>
      <c r="U15" s="1325"/>
      <c r="V15" s="1326"/>
    </row>
    <row r="16" spans="1:22" ht="23.25" customHeight="1" thickBot="1" x14ac:dyDescent="0.25">
      <c r="A16" s="1358">
        <f>SUM(A14:T14)</f>
        <v>558</v>
      </c>
      <c r="B16" s="1359"/>
      <c r="C16" s="1359"/>
      <c r="D16" s="1359"/>
      <c r="E16" s="1359"/>
      <c r="F16" s="1359"/>
      <c r="G16" s="1359"/>
      <c r="H16" s="1359"/>
      <c r="I16" s="1359"/>
      <c r="J16" s="1359"/>
      <c r="K16" s="1359"/>
      <c r="L16" s="1359"/>
      <c r="M16" s="1359"/>
      <c r="N16" s="1359"/>
      <c r="O16" s="1359"/>
      <c r="P16" s="1359"/>
      <c r="Q16" s="1359"/>
      <c r="R16" s="1359"/>
      <c r="S16" s="1359"/>
      <c r="T16" s="1359"/>
      <c r="U16" s="1327"/>
      <c r="V16" s="1328"/>
    </row>
    <row r="17" spans="1:22" ht="30.75" x14ac:dyDescent="0.2">
      <c r="A17" s="1342" t="s">
        <v>2518</v>
      </c>
      <c r="B17" s="1342"/>
      <c r="C17" s="1342"/>
      <c r="D17" s="1342"/>
      <c r="E17" s="1342"/>
      <c r="F17" s="1342"/>
      <c r="G17" s="1342"/>
      <c r="H17" s="1342"/>
      <c r="I17" s="1342"/>
      <c r="J17" s="1342"/>
      <c r="K17" s="1342"/>
      <c r="L17" s="1342"/>
      <c r="M17" s="1342"/>
      <c r="N17" s="1342"/>
      <c r="O17" s="1342"/>
      <c r="P17" s="1342"/>
      <c r="Q17" s="1342"/>
      <c r="R17" s="1342"/>
      <c r="S17" s="1342"/>
      <c r="T17" s="1342"/>
      <c r="U17" s="1343"/>
      <c r="V17" s="1343"/>
    </row>
    <row r="18" spans="1:22" ht="30.75" x14ac:dyDescent="0.2">
      <c r="A18" s="1390" t="s">
        <v>2545</v>
      </c>
      <c r="B18" s="1390"/>
      <c r="C18" s="1390"/>
      <c r="D18" s="1390"/>
      <c r="E18" s="1295" t="s">
        <v>2546</v>
      </c>
      <c r="F18" s="1388"/>
      <c r="G18" s="1296"/>
      <c r="H18" s="1295" t="s">
        <v>2547</v>
      </c>
      <c r="I18" s="1296"/>
      <c r="J18" s="1295" t="s">
        <v>2548</v>
      </c>
      <c r="K18" s="1296"/>
      <c r="L18" s="1295" t="s">
        <v>2549</v>
      </c>
      <c r="M18" s="1296"/>
      <c r="N18" s="1295" t="s">
        <v>2550</v>
      </c>
      <c r="O18" s="1296"/>
      <c r="P18" s="1295" t="s">
        <v>2551</v>
      </c>
      <c r="Q18" s="1388"/>
      <c r="R18" s="1296"/>
      <c r="S18" s="1295" t="s">
        <v>2552</v>
      </c>
      <c r="T18" s="1296"/>
      <c r="U18" s="1379" t="s">
        <v>1484</v>
      </c>
      <c r="V18" s="1380"/>
    </row>
    <row r="19" spans="1:22" ht="24.95" customHeight="1" x14ac:dyDescent="0.2">
      <c r="A19" s="1360" t="s">
        <v>2539</v>
      </c>
      <c r="B19" s="1360"/>
      <c r="C19" s="1360"/>
      <c r="D19" s="1360"/>
      <c r="E19" s="1389" t="s">
        <v>1555</v>
      </c>
      <c r="F19" s="1389"/>
      <c r="G19" s="1389"/>
      <c r="H19" s="1385" t="s">
        <v>1635</v>
      </c>
      <c r="I19" s="1386"/>
      <c r="J19" s="1385" t="s">
        <v>2597</v>
      </c>
      <c r="K19" s="1386"/>
      <c r="L19" s="1389" t="s">
        <v>2598</v>
      </c>
      <c r="M19" s="1389"/>
      <c r="N19" s="1385" t="s">
        <v>2582</v>
      </c>
      <c r="O19" s="1386"/>
      <c r="P19" s="1385" t="s">
        <v>2582</v>
      </c>
      <c r="Q19" s="1387"/>
      <c r="R19" s="1386"/>
      <c r="S19" s="1385" t="s">
        <v>2582</v>
      </c>
      <c r="T19" s="1386"/>
      <c r="U19" s="1381"/>
      <c r="V19" s="1382"/>
    </row>
    <row r="20" spans="1:22" ht="24.95" customHeight="1" x14ac:dyDescent="0.2">
      <c r="A20" s="1331" t="s">
        <v>2529</v>
      </c>
      <c r="B20" s="1331"/>
      <c r="C20" s="1331"/>
      <c r="D20" s="1331"/>
      <c r="E20" s="1376" t="s">
        <v>2540</v>
      </c>
      <c r="F20" s="1377"/>
      <c r="G20" s="264" t="s">
        <v>2541</v>
      </c>
      <c r="H20" s="265" t="s">
        <v>2540</v>
      </c>
      <c r="I20" s="264" t="s">
        <v>2541</v>
      </c>
      <c r="J20" s="265" t="s">
        <v>2540</v>
      </c>
      <c r="K20" s="264" t="s">
        <v>2541</v>
      </c>
      <c r="L20" s="265" t="s">
        <v>2540</v>
      </c>
      <c r="M20" s="264" t="s">
        <v>2541</v>
      </c>
      <c r="N20" s="265" t="s">
        <v>2540</v>
      </c>
      <c r="O20" s="264" t="s">
        <v>2541</v>
      </c>
      <c r="P20" s="1378" t="s">
        <v>2540</v>
      </c>
      <c r="Q20" s="1378"/>
      <c r="R20" s="264" t="s">
        <v>2541</v>
      </c>
      <c r="S20" s="266" t="s">
        <v>2540</v>
      </c>
      <c r="T20" s="264" t="s">
        <v>2541</v>
      </c>
      <c r="U20" s="1383"/>
      <c r="V20" s="1384"/>
    </row>
    <row r="21" spans="1:22" ht="24.95" customHeight="1" x14ac:dyDescent="0.2">
      <c r="A21" s="1375" t="s">
        <v>2530</v>
      </c>
      <c r="B21" s="1375"/>
      <c r="C21" s="1375"/>
      <c r="D21" s="1375"/>
      <c r="E21" s="1334">
        <f ca="1">COUNTIFS(worksheet!C3:C4250,"Т1",worksheet!D3:D4250,"МАРКОВА Т.В.",worksheet!E3:E4250,"ТЁЛОЧКА",worksheet!L3:L4250,"&gt;-1",worksheet!L3:L4250,"&lt;61")</f>
        <v>0</v>
      </c>
      <c r="F21" s="1334"/>
      <c r="G21" s="267">
        <f ca="1">COUNTIFS(worksheet!C3:C4250,"Т1",worksheet!D3:D4250,"МАРКОВА Т.В.",worksheet!E3:E4250,"БЫЧОК",worksheet!L3:L4250,"&gt;-1",worksheet!L3:L4250,"&lt;61")</f>
        <v>0</v>
      </c>
      <c r="H21" s="260">
        <f ca="1">COUNTIFS(worksheet!C3:C4250,"Т2",worksheet!D3:D4250,"ФЕДОРОВА Р.П.",worksheet!E3:E4250,"ТЁЛОЧКА",worksheet!L3:L4250,"&gt;-1",worksheet!L3:L4250,"&lt;61")</f>
        <v>0</v>
      </c>
      <c r="I21" s="267">
        <f>COUNTIFS(worksheet!C3:C4250,"Т2",worksheet!D3:D4250,"ФЕДОРОВА Р.П.",worksheet!E3:E4250,"БЫЧОК",worksheet!L3:L4250,"&gt;-1",worksheet!L3:L4250,"&lt;61")</f>
        <v>0</v>
      </c>
      <c r="J21" s="260">
        <f ca="1">COUNTIFS(worksheet!C3:C4250,"Т3А",worksheet!D3:D4250,"ДЁМИН Н. А.",worksheet!E3:E4250,"ТЁЛОЧКА",worksheet!L3:L4250,"&gt;-1",worksheet!L3:L4250,"&lt;61")</f>
        <v>0</v>
      </c>
      <c r="K21" s="267">
        <f>COUNTIFS(worksheet!C3:C4250,"Т3А",worksheet!D3:D4250,"ДЁМИН Н. А.",worksheet!E3:E4250,"БЫЧОК",worksheet!L3:L4250,"&gt;-1",worksheet!L3:L4250,"&lt;61")</f>
        <v>0</v>
      </c>
      <c r="L21" s="260">
        <f ca="1">COUNTIFS(worksheet!C3:C4250,"Т3В",worksheet!D3:D4250,"ДЁМИН Н. А.",worksheet!E3:E4250,"ТЁЛОЧКА",worksheet!L3:L4250,"&gt;-1",worksheet!L3:L4250,"&lt;61")</f>
        <v>0</v>
      </c>
      <c r="M21" s="267">
        <f>COUNTIFS(worksheet!C3:C4250,"Т3В",worksheet!D3:D4250,"ДЁМИН Н. А.",worksheet!E3:E4250,"БЫЧОК",worksheet!L3:L4250,"&gt;-1",worksheet!L3:L4250,"&lt;61")</f>
        <v>0</v>
      </c>
      <c r="N21" s="260">
        <f ca="1">COUNTIFS(worksheet!C3:C4250,"Т4А",worksheet!D3:D4250,"МУНТЯН Г.И.",worksheet!E3:E4250,"ТЁЛОЧКА",worksheet!L3:L4250,"&gt;-1",worksheet!L3:L4250,"&lt;61")</f>
        <v>0</v>
      </c>
      <c r="O21" s="267">
        <f>COUNTIFS(worksheet!C3:C4250,"Т4А",worksheet!D3:D4250,"МУНТЯН Г.И.",worksheet!E3:E4250,"БЫЧОК",worksheet!L3:L4250,"&gt;-1",worksheet!L3:L4250,"&lt;61")</f>
        <v>0</v>
      </c>
      <c r="P21" s="1329">
        <f>COUNTIFS(worksheet!C3:C4250,"Т4В",worksheet!D3:D4250,"МУНТЯН Г.И.",worksheet!E3:E4250,"ТЁЛОЧКА",worksheet!L3:L4250,"&gt;-1",worksheet!L3:L4250,"&lt;61")</f>
        <v>0</v>
      </c>
      <c r="Q21" s="1330"/>
      <c r="R21" s="267">
        <f>COUNTIFS(worksheet!C3:C4250,"Т4В",worksheet!D3:D4250,"МУНТЯН Г.И.",worksheet!E3:E4250,"БЫЧОК",worksheet!L3:L4250,"&gt;-1",worksheet!L3:L4250,"&lt;61")</f>
        <v>0</v>
      </c>
      <c r="S21" s="260">
        <f ca="1">COUNTIFS(worksheet!C3:C4250,"Т4С",worksheet!D3:D4250,"МУНТЯН Г.И.",worksheet!E3:E4250,"ТЁЛОЧКА",worksheet!L3:L4250,"&gt;-1",worksheet!L3:L4250,"&lt;61")</f>
        <v>0</v>
      </c>
      <c r="T21" s="267">
        <f>COUNTIFS(worksheet!C3:C4250,"Т4С",worksheet!D3:D4250,"МУНТЯН Г.И.",worksheet!E3:E4250,"БЫЧОК",worksheet!L3:L4250,"&gt;-1",worksheet!L3:L4250,"&lt;61")</f>
        <v>0</v>
      </c>
      <c r="U21" s="1364">
        <f ca="1">SUM(E21:T21)</f>
        <v>0</v>
      </c>
      <c r="V21" s="1365"/>
    </row>
    <row r="22" spans="1:22" ht="24.95" customHeight="1" x14ac:dyDescent="0.2">
      <c r="A22" s="1375" t="s">
        <v>2531</v>
      </c>
      <c r="B22" s="1375"/>
      <c r="C22" s="1375"/>
      <c r="D22" s="1375"/>
      <c r="E22" s="1334">
        <f ca="1">COUNTIFS(worksheet!C3:C4250,"Т1",worksheet!D3:D4250,"МАРКОВА Т.В.",worksheet!E3:E4250,"ТЁЛОЧКА",worksheet!L3:L4250,"&gt;60",worksheet!L3:L4250,"&lt;121")</f>
        <v>10</v>
      </c>
      <c r="F22" s="1334"/>
      <c r="G22" s="267">
        <f ca="1">COUNTIFS(worksheet!C3:C4250,"Т1",worksheet!D3:D4250,"МАРКОВА Т.В.",worksheet!E3:E4250,"БЫЧОК",worksheet!L3:L4250,"&gt;60",worksheet!L3:L4250,"&lt;121")</f>
        <v>2</v>
      </c>
      <c r="H22" s="260">
        <f ca="1">COUNTIFS(worksheet!C3:C4250,"Т2",worksheet!D3:D4250,"ФЕДОРОВА Р.П.",worksheet!E3:E4250,"ТЁЛОЧКА",worksheet!L3:L4250,"&gt;60",worksheet!L3:L4250,"&lt;121")</f>
        <v>12</v>
      </c>
      <c r="I22" s="267">
        <f>COUNTIFS(worksheet!C3:C4250,"Т2",worksheet!D3:D4250,"ФЕДОРОВА Р.П.",worksheet!E3:E4250,"БЫЧОК",worksheet!L3:L4250,"&gt;60",worksheet!L3:L4250,"&lt;121")</f>
        <v>0</v>
      </c>
      <c r="J22" s="260">
        <f ca="1">COUNTIFS(worksheet!C3:C4250,"Т3А",worksheet!D3:D4250,"ДЁМИН Н. А.",worksheet!E3:E4250,"ТЁЛОЧКА",worksheet!L3:L4250,"&gt;60",worksheet!L3:L4250,"&lt;121")</f>
        <v>0</v>
      </c>
      <c r="K22" s="267">
        <f>COUNTIFS(worksheet!C3:C4250,"Т3А",worksheet!D3:D4250,"ДЁМИН Н. А.",worksheet!E3:E4250,"БЫЧОК",worksheet!L3:L4250,"&gt;60",worksheet!L3:L4250,"&lt;121")</f>
        <v>0</v>
      </c>
      <c r="L22" s="260">
        <f ca="1">COUNTIFS(worksheet!C3:C4250,"Т3В",worksheet!D3:D4250,"ДЁМИН Н. А.",worksheet!E3:E4250,"ТЁЛОЧКА",worksheet!L3:L4250,"&gt;60",worksheet!L3:L4250,"&lt;121")</f>
        <v>0</v>
      </c>
      <c r="M22" s="267">
        <f>COUNTIFS(worksheet!C3:C4250,"Т3В",worksheet!D3:D4250,"ДЁМИН Н. А.",worksheet!E3:E4250,"БЫЧОК",worksheet!L3:L4250,"&gt;60",worksheet!L3:L4250,"&lt;121")</f>
        <v>0</v>
      </c>
      <c r="N22" s="260">
        <f ca="1">COUNTIFS(worksheet!C3:C4250,"Т4А",worksheet!D3:D4250,"МУНТЯН Г.И.",worksheet!E3:E4250,"ТЁЛОЧКА",worksheet!L3:L4250,"&gt;60",worksheet!L3:L4250,"&lt;121")</f>
        <v>0</v>
      </c>
      <c r="O22" s="267">
        <f>COUNTIFS(worksheet!C3:C4250,"Т4А",worksheet!D3:D4250,"МУНТЯН Г.И.",worksheet!E3:E4250,"БЫЧОК",worksheet!L3:L4250,"&gt;60",worksheet!L3:L4250,"&lt;121")</f>
        <v>0</v>
      </c>
      <c r="P22" s="1329">
        <f>COUNTIFS(worksheet!C3:C4250,"Т4В",worksheet!D3:D4250,"МУНТЯН Г.И.",worksheet!E3:E4250,"ТЁЛОЧКА",worksheet!L3:L4250,"&gt;60",worksheet!L3:L4250,"&lt;121")</f>
        <v>0</v>
      </c>
      <c r="Q22" s="1330"/>
      <c r="R22" s="267">
        <f>COUNTIFS(worksheet!C3:C4250,"Т4В",worksheet!D3:D4250,"МУНТЯН Г.И.",worksheet!E3:E4250,"БЫЧОК",worksheet!L3:L4250,"&gt;60",worksheet!L3:L4250,"&lt;121")</f>
        <v>0</v>
      </c>
      <c r="S22" s="260">
        <f ca="1">COUNTIFS(worksheet!C3:C4250,"Т4С",worksheet!D3:D4250,"МУНТЯН Г.И.",worksheet!E3:E4250,"ТЁЛОЧКА",worksheet!L3:L4250,"&gt;60",worksheet!L3:L4250,"&lt;121")</f>
        <v>0</v>
      </c>
      <c r="T22" s="267">
        <f>COUNTIFS(worksheet!C3:C4250,"Т4С",worksheet!D3:D4250,"МУНТЯН Г.И.",worksheet!E3:E4250,"БЫЧОК",worksheet!L3:L4250,"&gt;60",worksheet!L3:L4250,"&lt;121")</f>
        <v>0</v>
      </c>
      <c r="U22" s="1364">
        <f t="shared" ref="U22:U24" ca="1" si="0">SUM(E22:T22)</f>
        <v>24</v>
      </c>
      <c r="V22" s="1365"/>
    </row>
    <row r="23" spans="1:22" ht="24.95" customHeight="1" x14ac:dyDescent="0.2">
      <c r="A23" s="1375" t="s">
        <v>2532</v>
      </c>
      <c r="B23" s="1375"/>
      <c r="C23" s="1375"/>
      <c r="D23" s="1375"/>
      <c r="E23" s="1334">
        <f ca="1">COUNTIFS(worksheet!C3:C4250,"Т1",worksheet!D3:D4250,"МАРКОВА Т.В.",worksheet!E3:E4250,"ТЁЛОЧКА",worksheet!L3:L4250,"&gt;120",worksheet!L3:L4250,"&lt;181")</f>
        <v>0</v>
      </c>
      <c r="F23" s="1334"/>
      <c r="G23" s="267">
        <f ca="1">COUNTIFS(worksheet!C3:C4250,"Т1",worksheet!D3:D4250,"МАРКОВА Т.В.",worksheet!E3:E4250,"БЫЧОК",worksheet!L3:L4250,"&gt;120",worksheet!L3:L4250,"&lt;181")</f>
        <v>0</v>
      </c>
      <c r="H23" s="260">
        <f ca="1">COUNTIFS(worksheet!C3:C4250,"Т2",worksheet!D3:D4250,"ФЕДОРОВА Р.П.",worksheet!E3:E4250,"ТЁЛОЧКА",worksheet!L3:L4250,"&gt;120",worksheet!L3:L4250,"&lt;181")</f>
        <v>2</v>
      </c>
      <c r="I23" s="267">
        <f>COUNTIFS(worksheet!C3:C4250,"Т2",worksheet!D3:D4250,"ФЕДОРОВА Р.П.",worksheet!E3:E4250,"БЫЧОК",worksheet!L3:L4250,"&gt;120",worksheet!L3:L4250,"&lt;181")</f>
        <v>0</v>
      </c>
      <c r="J23" s="260">
        <f ca="1">COUNTIFS(worksheet!C3:C4250,"Т3А",worksheet!D3:D4250,"ДЁМИН Н. А.",worksheet!E3:E4250,"ТЁЛОЧКА",worksheet!L3:L4250,"&gt;120",worksheet!L3:L4250,"&lt;181")</f>
        <v>0</v>
      </c>
      <c r="K23" s="267">
        <f>COUNTIFS(worksheet!C3:C4250,"Т3А",worksheet!D3:D4250,"ДЁМИН Н. А.",worksheet!E3:E4250,"БЫЧОК",worksheet!L3:L4250,"&gt;120",worksheet!L3:L4250,"&lt;181")</f>
        <v>0</v>
      </c>
      <c r="L23" s="260">
        <f ca="1">COUNTIFS(worksheet!C3:C4250,"Т3В",worksheet!D3:D4250,"ДЁМИН Н. А.",worksheet!E3:E4250,"ТЁЛОЧКА",worksheet!L3:L4250,"&gt;120",worksheet!L3:L4250,"&lt;181")</f>
        <v>0</v>
      </c>
      <c r="M23" s="267">
        <f>COUNTIFS(worksheet!C3:C4250,"Т3В",worksheet!D3:D4250,"ДЁМИН Н. А.",worksheet!E3:E4250,"БЫЧОК",worksheet!L3:L4250,"&gt;120",worksheet!L3:L4250,"&lt;181")</f>
        <v>0</v>
      </c>
      <c r="N23" s="260">
        <f ca="1">COUNTIFS(worksheet!C3:C4250,"Т4А",worksheet!D3:D4250,"МУНТЯН Г.И.",worksheet!E3:E4250,"ТЁЛОЧКА",worksheet!L3:L4250,"&gt;120",worksheet!L3:L4250,"&lt;181")</f>
        <v>0</v>
      </c>
      <c r="O23" s="267">
        <f>COUNTIFS(worksheet!C3:C4250,"Т4А",worksheet!D3:D4250,"МУНТЯН Г.И.",worksheet!E3:E4250,"БЫЧОК",worksheet!L3:L4250,"&gt;120",worksheet!L3:L4250,"&lt;181")</f>
        <v>0</v>
      </c>
      <c r="P23" s="1329">
        <f>COUNTIFS(worksheet!C3:C4250,"Т4В",worksheet!D3:D4250,"МУНТЯН Г.И.",worksheet!E3:E4250,"ТЁЛОЧКА",worksheet!L3:L4250,"&gt;120",worksheet!L3:L4250,"&lt;181")</f>
        <v>0</v>
      </c>
      <c r="Q23" s="1330"/>
      <c r="R23" s="267">
        <f>COUNTIFS(worksheet!C3:C4250,"Т4В",worksheet!D3:D4250,"МУНТЯН Г.И.",worksheet!E3:E4250,"БЫЧОК",worksheet!L3:L4250,"&gt;120",worksheet!L3:L4250,"&lt;181")</f>
        <v>0</v>
      </c>
      <c r="S23" s="260">
        <f ca="1">COUNTIFS(worksheet!C3:C4250,"Т4С",worksheet!D3:D4250,"МУНТЯН Г.И.",worksheet!E3:E4250,"ТЁЛОЧКА",worksheet!L3:L4250,"&gt;120",worksheet!L3:L4250,"&lt;181")</f>
        <v>0</v>
      </c>
      <c r="T23" s="267">
        <f>COUNTIFS(worksheet!C3:C4250,"Т4С",worksheet!D3:D4250,"МУНТЯН Г.И.",worksheet!E3:E4250,"БЫЧОК",worksheet!L3:L4250,"&gt;120",worksheet!L3:L4250,"&lt;181")</f>
        <v>0</v>
      </c>
      <c r="U23" s="1364">
        <f t="shared" ca="1" si="0"/>
        <v>2</v>
      </c>
      <c r="V23" s="1365"/>
    </row>
    <row r="24" spans="1:22" ht="24.95" customHeight="1" x14ac:dyDescent="0.2">
      <c r="A24" s="1375" t="s">
        <v>2533</v>
      </c>
      <c r="B24" s="1375"/>
      <c r="C24" s="1375"/>
      <c r="D24" s="1375"/>
      <c r="E24" s="1334">
        <f ca="1">COUNTIFS(worksheet!C3:C4250,"Т1",worksheet!D3:D4250,"МАРКОВА Т.В.",worksheet!E3:E4250,"ТЁЛОЧКА",worksheet!L3:L4250,"&gt;180",worksheet!L3:L4250,"&lt;366")</f>
        <v>0</v>
      </c>
      <c r="F24" s="1334"/>
      <c r="G24" s="267">
        <f ca="1">COUNTIFS(worksheet!C3:C4250,"Т1",worksheet!D3:D4250,"МАРКОВА Т.В.",worksheet!E3:E4250,"БЫЧОК",worksheet!L3:L4250,"&gt;180",worksheet!L3:L4250,"&lt;366")</f>
        <v>0</v>
      </c>
      <c r="H24" s="260">
        <f ca="1">COUNTIFS(worksheet!C3:C4250,"Т2",worksheet!D3:D4250,"ФЕДОРОВА Р.П.",worksheet!E3:E4250,"ТЁЛОЧКА",worksheet!L3:L4250,"&gt;180",worksheet!L3:L4250,"&lt;366")</f>
        <v>17</v>
      </c>
      <c r="I24" s="267">
        <f>COUNTIFS(worksheet!C3:C4250,"Т2",worksheet!D3:D4250,"ФЕДОРОВА Р.П.",worksheet!E3:E4250,"БЫЧОК",worksheet!L3:L4250,"&gt;180",worksheet!L3:L4250,"&lt;366")</f>
        <v>0</v>
      </c>
      <c r="J24" s="260">
        <f ca="1">COUNTIFS(worksheet!C3:C4250,"Т3А",worksheet!D3:D4250,"ДЁМИН Н. А.",worksheet!E3:E4250,"ТЁЛОЧКА",worksheet!L3:L4250,"&gt;180",worksheet!L3:L4250,"&lt;366")</f>
        <v>22</v>
      </c>
      <c r="K24" s="267">
        <f>COUNTIFS(worksheet!C3:C4250,"Т3А",worksheet!D3:D4250,"ДЁМИН Н. А.",worksheet!E3:E4250,"БЫЧОК",worksheet!L3:L4250,"&gt;180",worksheet!L3:L4250,"&lt;366")</f>
        <v>0</v>
      </c>
      <c r="L24" s="260">
        <f ca="1">COUNTIFS(worksheet!C3:C4250,"Т3В",worksheet!D3:D4250,"ДЁМИН Н. А.",worksheet!E3:E4250,"ТЁЛОЧКА",worksheet!L3:L4250,"&gt;180",worksheet!L3:L4250,"&lt;366")</f>
        <v>15</v>
      </c>
      <c r="M24" s="267">
        <f>COUNTIFS(worksheet!C3:C4250,"Т3В",worksheet!D3:D4250,"ДЁМИН Н. А.",worksheet!E3:E4250,"БЫЧОК",worksheet!L3:L4250,"&gt;180",worksheet!L3:L4250,"&lt;366")</f>
        <v>0</v>
      </c>
      <c r="N24" s="260">
        <f ca="1">COUNTIFS(worksheet!C3:C4250,"Т4А",worksheet!D3:D4250,"МУНТЯН Г.И.",worksheet!E3:E4250,"ТЁЛОЧКА",worksheet!L3:L4250,"&gt;180",worksheet!L3:L4250,"&lt;366")</f>
        <v>42</v>
      </c>
      <c r="O24" s="267">
        <f>COUNTIFS(worksheet!C3:C4250,"Т4А",worksheet!D3:D4250,"МУНТЯН Г.И.",worksheet!E3:E4250,"БЫЧОК",worksheet!L3:L4250,"&gt;180",worksheet!L3:L4250,"&lt;366")</f>
        <v>0</v>
      </c>
      <c r="P24" s="1329">
        <f>COUNTIFS(worksheet!C3:C4250,"Т4В",worksheet!D3:D4250,"МУНТЯН Г.И.",worksheet!E3:E4250,"ТЁЛОЧКА",worksheet!L3:L4250,"&gt;180",worksheet!L3:L4250,"&lt;366")</f>
        <v>0</v>
      </c>
      <c r="Q24" s="1330"/>
      <c r="R24" s="267">
        <f>COUNTIFS(worksheet!C3:C4250,"Т4В",worksheet!D3:D4250,"МУНТЯН Г.И.",worksheet!E3:E4250,"БЫЧОК",worksheet!L3:L4250,"&gt;180",worksheet!L3:L4250,"&lt;366")</f>
        <v>0</v>
      </c>
      <c r="S24" s="260">
        <f ca="1">COUNTIFS(worksheet!C3:C4250,"Т4С",worksheet!D3:D4250,"МУНТЯН Г.И.",worksheet!E3:E4250,"ТЁЛОЧКА",worksheet!L3:L4250,"&gt;180",worksheet!L3:L4250,"&lt;366")</f>
        <v>0</v>
      </c>
      <c r="T24" s="267">
        <f>COUNTIFS(worksheet!C3:C4250,"Т4С",worksheet!D3:D4250,"МУНТЯН Г.И.",worksheet!E3:E4250,"БЫЧОК",worksheet!L3:L4250,"&gt;180",worksheet!L3:L4250,"&lt;366")</f>
        <v>0</v>
      </c>
      <c r="U24" s="1364">
        <f t="shared" ca="1" si="0"/>
        <v>96</v>
      </c>
      <c r="V24" s="1365"/>
    </row>
    <row r="25" spans="1:22" ht="24.95" customHeight="1" x14ac:dyDescent="0.2">
      <c r="A25" s="1363" t="s">
        <v>2587</v>
      </c>
      <c r="B25" s="1363"/>
      <c r="C25" s="1363"/>
      <c r="D25" s="1363"/>
      <c r="E25" s="1334">
        <f ca="1">COUNTIFS(worksheet!C3:C4250,"Т1",worksheet!D3:D4250,"МАРКОВА Т.В.",worksheet!Y3:Y4250,"0",worksheet!E3:E4250,"ТЁЛОЧКА",worksheet!L3:L4250,"&gt;365")</f>
        <v>0</v>
      </c>
      <c r="F25" s="1334"/>
      <c r="G25" s="267">
        <f ca="1">COUNTIFS(worksheet!C3:C4250,"Т1",worksheet!D3:D4250,"МАРКОВА Т.В.",worksheet!E3:E4250,"БЫЧОК",worksheet!L3:L4250,"&gt;365")</f>
        <v>0</v>
      </c>
      <c r="H25" s="260">
        <f ca="1">COUNTIFS(worksheet!C3:C4250,"Т2",worksheet!D3:D4250,"ФЕДОРОВА Р.П.",worksheet!Y3:Y4250,"0",worksheet!E3:E4250,"ТЁЛОЧКА",worksheet!L3:L4250,"&gt;365")</f>
        <v>0</v>
      </c>
      <c r="I25" s="267">
        <f>COUNTIFS(worksheet!C3:C4250,"Т2",worksheet!D3:D4250,"ФЕДОРОВА Р.П.",worksheet!E3:E4250,"БЫЧОК",worksheet!L3:L4250,"&gt;365")</f>
        <v>0</v>
      </c>
      <c r="J25" s="260">
        <f ca="1">COUNTIFS(worksheet!C3:C4250,"Т3А",worksheet!D3:D4250,"ДЁМИН Н. А.",worksheet!Y3:Y4250,"0",worksheet!E3:E4250,"ТЁЛОЧКА",worksheet!L3:L4250,"&gt;365")</f>
        <v>0</v>
      </c>
      <c r="K25" s="267">
        <f>COUNTIFS(worksheet!C3:C4250,"Т3А",worksheet!D3:D4250,"ДЁМИН Н. А.",worksheet!E3:E4250,"БЫЧОК",worksheet!L3:L4250,"&gt;365")</f>
        <v>0</v>
      </c>
      <c r="L25" s="260">
        <f ca="1">COUNTIFS(worksheet!C3:C4250,"Т3В",worksheet!D3:D4250,"ДЁМИН Н. А.",worksheet!Y3:Y4250,"0",worksheet!E3:E4250,"ТЁЛОЧКА",worksheet!L3:L4250,"&gt;365")</f>
        <v>0</v>
      </c>
      <c r="M25" s="267">
        <f>COUNTIFS(worksheet!C3:C4250,"Т3В",worksheet!D3:D4250,"ДЁМИН Н. А.",worksheet!E3:E4250,"БЫЧОК",worksheet!L3:L4250,"&gt;365")</f>
        <v>0</v>
      </c>
      <c r="N25" s="260">
        <f ca="1">COUNTIFS(worksheet!C3:C4250,"Т4А",worksheet!D3:D4250,"МУНТЯН Г.И.",worksheet!Y3:Y4250,"0",worksheet!E3:E4250,"ТЁЛОЧКА",worksheet!L3:L4250,"&gt;365")</f>
        <v>58</v>
      </c>
      <c r="O25" s="267">
        <f>COUNTIFS(worksheet!C3:C4250,"Т4А",worksheet!D3:D4250,"МУНТЯН  Г.И.",worksheet!E3:E4250,"БЫЧОК",worksheet!L3:L4250,"&gt;365")</f>
        <v>0</v>
      </c>
      <c r="P25" s="1329">
        <f>COUNTIFS(worksheet!C3:C4250,"Т4В",worksheet!D3:D4250,"МУНТЯН Г.И.",worksheet!Y3:Y4250,"0",worksheet!E3:E4250,"ТЁЛОЧКА",worksheet!L3:L4250,"&gt;365")</f>
        <v>0</v>
      </c>
      <c r="Q25" s="1330"/>
      <c r="R25" s="267">
        <f>COUNTIFS(worksheet!C3:C4250,"Т4В",worksheet!D3:D4250,"МУНТЯН  Г.И.",worksheet!E3:E4250,"БЫЧОК",worksheet!L3:L4250,"&gt;365")</f>
        <v>0</v>
      </c>
      <c r="S25" s="260">
        <f ca="1">COUNTIFS(worksheet!C3:C4250,"Т4С",worksheet!D3:D4250,"МУНТЯН Г.И.",worksheet!Y3:Y4250,"0",worksheet!E3:E4250,"ТЁЛОЧКА",worksheet!L3:L4250,"&gt;365")</f>
        <v>10</v>
      </c>
      <c r="T25" s="267">
        <f>COUNTIFS(worksheet!C3:C4250,"Т4С",worksheet!D3:D4250,"МУНТЯН Г.И.",worksheet!E3:E4250,"БЫЧОК",worksheet!L3:L4250,"&gt;365")</f>
        <v>0</v>
      </c>
      <c r="U25" s="1364">
        <f ca="1">SUM(E25:T25)</f>
        <v>68</v>
      </c>
      <c r="V25" s="1365"/>
    </row>
    <row r="26" spans="1:22" ht="24.95" customHeight="1" x14ac:dyDescent="0.2">
      <c r="A26" s="1370" t="s">
        <v>2708</v>
      </c>
      <c r="B26" s="1370"/>
      <c r="C26" s="1370"/>
      <c r="D26" s="1370"/>
      <c r="E26" s="1334">
        <f>COUNTIFS(worksheet!C3:C4250,"Т1",worksheet!D3:D4250,"МАРКОВА Т.В.",worksheet!Y3:Y4250,"3",worksheet!E3:E4250,"ТЁЛОЧКА",worksheet!L3:L4250,"&gt;365")</f>
        <v>0</v>
      </c>
      <c r="F26" s="1334"/>
      <c r="G26" s="1372"/>
      <c r="H26" s="293">
        <f>COUNTIFS(worksheet!C3:C4250,"Т2",worksheet!D3:D4250,"ФЕДОРОВА Р.П.",worksheet!Y3:Y4250,"3",worksheet!E3:E4250,"ТЁЛОЧКА",worksheet!L3:L4250,"&gt;365")</f>
        <v>0</v>
      </c>
      <c r="I26" s="1372"/>
      <c r="J26" s="293">
        <f>COUNTIFS(worksheet!C3:C4250,"Т3А",worksheet!D3:D4250,"ДЁМИН Н. А.",worksheet!Y3:Y4250,"3",worksheet!E3:E4250,"ТЁЛОЧКА",worksheet!L3:L4250,"&gt;365")</f>
        <v>0</v>
      </c>
      <c r="K26" s="1372"/>
      <c r="L26" s="293">
        <f>COUNTIFS(worksheet!C3:C4250,"Т3В",worksheet!D3:D4250,"ДЁМИН Н. А.",worksheet!Y3:Y4250,"3",worksheet!E3:E4250,"ТЁЛОЧКА",worksheet!L3:L4250,"&gt;365")</f>
        <v>0</v>
      </c>
      <c r="M26" s="1372"/>
      <c r="N26" s="293">
        <f>COUNTIFS(worksheet!C3:C4250,"Т4А",worksheet!D3:D4250,"МУНТЯН Г.И.",worksheet!Y3:Y4250,"3",worksheet!E3:E4250,"ТЁЛОЧКА",worksheet!L3:L4250,"&gt;365")</f>
        <v>0</v>
      </c>
      <c r="O26" s="1372"/>
      <c r="P26" s="1329">
        <f>COUNTIFS(worksheet!C3:C4250,"Т4В",worksheet!D3:D4250,"МУНТЯН Г.И.",worksheet!Y3:Y4250,"3",worksheet!E3:E4250,"ТЁЛОЧКА",worksheet!L3:L4250,"&gt;365")</f>
        <v>0</v>
      </c>
      <c r="Q26" s="1330"/>
      <c r="R26" s="1372"/>
      <c r="S26" s="293">
        <f ca="1">COUNTIFS(worksheet!C3:C4250,"Т4С",worksheet!D3:D4250,"МУНТЯН Г.И.",worksheet!Y3:Y4250,"3",worksheet!E3:E4250,"ТЁЛОЧКА",worksheet!L3:L4250,"&gt;365")</f>
        <v>47</v>
      </c>
      <c r="T26" s="1372"/>
      <c r="U26" s="1364">
        <f ca="1">SUM(E26:T26)</f>
        <v>47</v>
      </c>
      <c r="V26" s="1365"/>
    </row>
    <row r="27" spans="1:22" ht="24.95" customHeight="1" x14ac:dyDescent="0.2">
      <c r="A27" s="1371" t="s">
        <v>2709</v>
      </c>
      <c r="B27" s="1371"/>
      <c r="C27" s="1371"/>
      <c r="D27" s="1371"/>
      <c r="E27" s="1334">
        <f>COUNTIFS(worksheet!C3:C4250,"Т1",worksheet!D3:D4250,"МАРКОВА Т.В.",worksheet!Y3:Y4250,"2",worksheet!E3:E4250,"ТЁЛОЧКА",worksheet!L3:L4250,"&gt;365")</f>
        <v>0</v>
      </c>
      <c r="F27" s="1334"/>
      <c r="G27" s="1373"/>
      <c r="H27" s="293">
        <f>COUNTIFS(worksheet!C3:C4250,"Т2",worksheet!D3:D4250,"ФЕДОРОВА Р.П.",worksheet!Y3:Y4250,"2",worksheet!E3:E4250,"ТЁЛОЧКА",worksheet!L3:L4250,"&gt;365")</f>
        <v>0</v>
      </c>
      <c r="I27" s="1373"/>
      <c r="J27" s="293">
        <f>COUNTIFS(worksheet!C3:C4250,"Т3А",worksheet!D3:D4250,"ДЁМИН Н. А.",worksheet!Y3:Y4250,"2",worksheet!E3:E4250,"ТЁЛОЧКА",worksheet!L3:L4250,"&gt;365")</f>
        <v>0</v>
      </c>
      <c r="K27" s="1373"/>
      <c r="L27" s="293">
        <f>COUNTIFS(worksheet!C3:C4250,"Т3В",worksheet!D3:D4250,"ДЁМИН Н. А.",worksheet!Y3:Y4250,"2",worksheet!E3:E4250,"ТЁЛОЧКА",worksheet!L3:L4250,"&gt;365")</f>
        <v>0</v>
      </c>
      <c r="M27" s="1373"/>
      <c r="N27" s="293">
        <f>COUNTIFS(worksheet!C3:C4250,"Т4А",worksheet!D3:D4250,"МУНТЯН Г.И.",worksheet!Y3:Y4250,"2",worksheet!E3:E4250,"ТЁЛОЧКА",worksheet!L3:L4250,"&gt;365")</f>
        <v>0</v>
      </c>
      <c r="O27" s="1373"/>
      <c r="P27" s="1329">
        <f>COUNTIFS(worksheet!C3:C4250,"Т4В",worksheet!D3:D4250,"МУНТЯН Г.И.",worksheet!Y3:Y4250,"2",worksheet!E3:E4250,"ТЁЛОЧКА",worksheet!L3:L4250,"&gt;365")</f>
        <v>0</v>
      </c>
      <c r="Q27" s="1330"/>
      <c r="R27" s="1373"/>
      <c r="S27" s="293">
        <f>COUNTIFS(worksheet!C3:C4250,"Т4С",worksheet!D3:D4250,"МУНТЯН Г.И.",worksheet!Y3:Y4250,"2",worksheet!E3:E4250,"ТЁЛОЧКА",worksheet!L3:L4250,"&gt;365")</f>
        <v>0</v>
      </c>
      <c r="T27" s="1373"/>
      <c r="U27" s="1364">
        <f>SUM(E27:T27)</f>
        <v>0</v>
      </c>
      <c r="V27" s="1365"/>
    </row>
    <row r="28" spans="1:22" ht="24.95" customHeight="1" x14ac:dyDescent="0.2">
      <c r="A28" s="1366" t="s">
        <v>2513</v>
      </c>
      <c r="B28" s="1366"/>
      <c r="C28" s="1366"/>
      <c r="D28" s="1366"/>
      <c r="E28" s="1367">
        <f>COUNTIFS(worksheet!C3:C4250,"Т1",worksheet!D3:D4250,"МАРКОВА Т.В.",worksheet!AR3:AR4250,"НЕТЕЛЬ")</f>
        <v>0</v>
      </c>
      <c r="F28" s="1368"/>
      <c r="G28" s="1374"/>
      <c r="H28" s="259">
        <f>COUNTIFS(worksheet!C3:C4250,"Т2",worksheet!D3:D4250,"ФЕДОРОВА Р.П.",worksheet!AR3:AR4250,"НЕТЕЛЬ")</f>
        <v>0</v>
      </c>
      <c r="I28" s="1374"/>
      <c r="J28" s="262">
        <f>COUNTIFS(worksheet!C3:C4250,"Т3А",worksheet!D3:D4250,"ДЁМИН Н. А.",worksheet!AR3:AR4250,"НЕТЕЛЬ")</f>
        <v>0</v>
      </c>
      <c r="K28" s="1374"/>
      <c r="L28" s="259">
        <f>COUNTIFS(worksheet!C3:C4250,"Т3В",worksheet!D3:D4250,"ДЁМИН Н. А.",worksheet!AR3:AR4250,"НЕТЕЛЬ")</f>
        <v>0</v>
      </c>
      <c r="M28" s="1374"/>
      <c r="N28" s="259">
        <f>COUNTIFS(worksheet!C3:C4250,"Т4А",worksheet!D3:D4250,"МУНТЯН Г.И.",worksheet!AR3:AR4250,"НЕТЕЛЬ")</f>
        <v>0</v>
      </c>
      <c r="O28" s="1374"/>
      <c r="P28" s="1367">
        <f>COUNTIFS(worksheet!C3:C4250,"Т4В",worksheet!D3:D4250,"МУНТЯН Г.И.",worksheet!AR3:AR4250,"НЕТЕЛЬ")</f>
        <v>0</v>
      </c>
      <c r="Q28" s="1369"/>
      <c r="R28" s="1374"/>
      <c r="S28" s="259">
        <f>COUNTIFS(worksheet!C3:C4250,"Т4С",worksheet!D3:D4250,"МУНТЯН Г.И.",worksheet!AR3:AR4250,"НЕТЕЛЬ")</f>
        <v>3</v>
      </c>
      <c r="T28" s="1374"/>
      <c r="U28" s="1361">
        <f>SUM(E28:T28)</f>
        <v>3</v>
      </c>
      <c r="V28" s="1362"/>
    </row>
    <row r="29" spans="1:22" ht="24.95" customHeight="1" x14ac:dyDescent="0.2">
      <c r="A29" s="1394" t="s">
        <v>1484</v>
      </c>
      <c r="B29" s="1394"/>
      <c r="C29" s="1394"/>
      <c r="D29" s="1394"/>
      <c r="E29" s="1364">
        <f ca="1">SUM(E21:F28)</f>
        <v>10</v>
      </c>
      <c r="F29" s="1365"/>
      <c r="G29" s="268">
        <f ca="1">SUM(G21:G25)</f>
        <v>2</v>
      </c>
      <c r="H29" s="263">
        <f t="shared" ref="H29:O29" ca="1" si="1">SUM(H21:H28)</f>
        <v>31</v>
      </c>
      <c r="I29" s="268">
        <f t="shared" si="1"/>
        <v>0</v>
      </c>
      <c r="J29" s="263">
        <f t="shared" ca="1" si="1"/>
        <v>22</v>
      </c>
      <c r="K29" s="268">
        <f t="shared" si="1"/>
        <v>0</v>
      </c>
      <c r="L29" s="263">
        <f t="shared" ca="1" si="1"/>
        <v>15</v>
      </c>
      <c r="M29" s="268">
        <f t="shared" si="1"/>
        <v>0</v>
      </c>
      <c r="N29" s="263">
        <f t="shared" ca="1" si="1"/>
        <v>100</v>
      </c>
      <c r="O29" s="268">
        <f t="shared" si="1"/>
        <v>0</v>
      </c>
      <c r="P29" s="1364">
        <f>SUM(P21:Q28)</f>
        <v>0</v>
      </c>
      <c r="Q29" s="1365"/>
      <c r="R29" s="268">
        <f>SUM(R21:R28)</f>
        <v>0</v>
      </c>
      <c r="S29" s="263">
        <f ca="1">SUM(S21:S28)</f>
        <v>60</v>
      </c>
      <c r="T29" s="268">
        <f>SUM(T21:T28)</f>
        <v>0</v>
      </c>
      <c r="U29" s="1413"/>
      <c r="V29" s="1414"/>
    </row>
    <row r="30" spans="1:22" ht="24.95" customHeight="1" x14ac:dyDescent="0.2">
      <c r="A30" s="1395" t="s">
        <v>1484</v>
      </c>
      <c r="B30" s="1395"/>
      <c r="C30" s="1395"/>
      <c r="D30" s="1395"/>
      <c r="E30" s="1396">
        <f ca="1">SUM(E29:G29)</f>
        <v>12</v>
      </c>
      <c r="F30" s="1397"/>
      <c r="G30" s="1398"/>
      <c r="H30" s="1364">
        <f ca="1">SUM(H29:I29)</f>
        <v>31</v>
      </c>
      <c r="I30" s="1365"/>
      <c r="J30" s="1396">
        <f ca="1">SUM(J29:K29)</f>
        <v>22</v>
      </c>
      <c r="K30" s="1398"/>
      <c r="L30" s="1364">
        <f ca="1">SUM(L29:M29)</f>
        <v>15</v>
      </c>
      <c r="M30" s="1365"/>
      <c r="N30" s="1396">
        <f ca="1">SUM(N29:O29)</f>
        <v>100</v>
      </c>
      <c r="O30" s="1398"/>
      <c r="P30" s="1364">
        <f>SUM(P29:R29)</f>
        <v>0</v>
      </c>
      <c r="Q30" s="1399"/>
      <c r="R30" s="1365"/>
      <c r="S30" s="1396">
        <f ca="1">SUM(S29:T29)</f>
        <v>60</v>
      </c>
      <c r="T30" s="1398"/>
      <c r="U30" s="1407">
        <f ca="1">SUM(U21:V29)</f>
        <v>240</v>
      </c>
      <c r="V30" s="1408"/>
    </row>
    <row r="31" spans="1:22" ht="30.75" x14ac:dyDescent="0.2">
      <c r="A31" s="1390" t="s">
        <v>2545</v>
      </c>
      <c r="B31" s="1390"/>
      <c r="C31" s="1390"/>
      <c r="D31" s="1390"/>
      <c r="E31" s="1295" t="s">
        <v>2553</v>
      </c>
      <c r="F31" s="1388"/>
      <c r="G31" s="1296"/>
      <c r="H31" s="1295" t="s">
        <v>2554</v>
      </c>
      <c r="I31" s="1296"/>
      <c r="J31" s="1295" t="s">
        <v>2555</v>
      </c>
      <c r="K31" s="1296"/>
      <c r="L31" s="1295" t="s">
        <v>2556</v>
      </c>
      <c r="M31" s="1296"/>
      <c r="N31" s="1295" t="s">
        <v>2557</v>
      </c>
      <c r="O31" s="1296"/>
      <c r="P31" s="1391" t="s">
        <v>2740</v>
      </c>
      <c r="Q31" s="1392"/>
      <c r="R31" s="1393"/>
      <c r="S31" s="1400" t="s">
        <v>2558</v>
      </c>
      <c r="T31" s="1401"/>
      <c r="U31" s="1379" t="s">
        <v>1484</v>
      </c>
      <c r="V31" s="1380"/>
    </row>
    <row r="32" spans="1:22" ht="24.95" customHeight="1" x14ac:dyDescent="0.2">
      <c r="A32" s="1360" t="s">
        <v>2539</v>
      </c>
      <c r="B32" s="1360"/>
      <c r="C32" s="1360"/>
      <c r="D32" s="1360"/>
      <c r="E32" s="1389" t="s">
        <v>2598</v>
      </c>
      <c r="F32" s="1389"/>
      <c r="G32" s="1389"/>
      <c r="H32" s="1385" t="s">
        <v>2598</v>
      </c>
      <c r="I32" s="1386"/>
      <c r="J32" s="1385" t="s">
        <v>2598</v>
      </c>
      <c r="K32" s="1386"/>
      <c r="L32" s="1389" t="s">
        <v>2598</v>
      </c>
      <c r="M32" s="1389"/>
      <c r="N32" s="1385" t="s">
        <v>2598</v>
      </c>
      <c r="O32" s="1386"/>
      <c r="P32" s="277"/>
      <c r="Q32" s="279"/>
      <c r="R32" s="278"/>
      <c r="S32" s="1385" t="s">
        <v>2582</v>
      </c>
      <c r="T32" s="1386"/>
      <c r="U32" s="1381"/>
      <c r="V32" s="1382"/>
    </row>
    <row r="33" spans="1:22" ht="24.95" customHeight="1" x14ac:dyDescent="0.2">
      <c r="A33" s="1331" t="s">
        <v>2529</v>
      </c>
      <c r="B33" s="1331"/>
      <c r="C33" s="1331"/>
      <c r="D33" s="1331"/>
      <c r="E33" s="1376" t="s">
        <v>2540</v>
      </c>
      <c r="F33" s="1377"/>
      <c r="G33" s="264" t="s">
        <v>2541</v>
      </c>
      <c r="H33" s="265" t="s">
        <v>2540</v>
      </c>
      <c r="I33" s="264" t="s">
        <v>2541</v>
      </c>
      <c r="J33" s="265" t="s">
        <v>2540</v>
      </c>
      <c r="K33" s="264" t="s">
        <v>2541</v>
      </c>
      <c r="L33" s="265" t="s">
        <v>2540</v>
      </c>
      <c r="M33" s="264" t="s">
        <v>2541</v>
      </c>
      <c r="N33" s="265" t="s">
        <v>2540</v>
      </c>
      <c r="O33" s="264" t="s">
        <v>2541</v>
      </c>
      <c r="P33" s="1378" t="s">
        <v>2540</v>
      </c>
      <c r="Q33" s="1378"/>
      <c r="R33" s="264" t="s">
        <v>2541</v>
      </c>
      <c r="S33" s="266" t="s">
        <v>2540</v>
      </c>
      <c r="T33" s="264" t="s">
        <v>2541</v>
      </c>
      <c r="U33" s="1383"/>
      <c r="V33" s="1384"/>
    </row>
    <row r="34" spans="1:22" ht="24.95" customHeight="1" x14ac:dyDescent="0.2">
      <c r="A34" s="1375" t="s">
        <v>2530</v>
      </c>
      <c r="B34" s="1375"/>
      <c r="C34" s="1375"/>
      <c r="D34" s="1375"/>
      <c r="E34" s="1334">
        <f ca="1">COUNTIFS(worksheet!C3:C4250,"П1",worksheet!D3:D4250,"ДЁМИН Н. А.",worksheet!E3:E4250,"ТЁЛОЧКА",worksheet!L3:L4250,"&gt;-1",worksheet!L3:L4250,"&lt;61")</f>
        <v>0</v>
      </c>
      <c r="F34" s="1334"/>
      <c r="G34" s="267">
        <f>COUNTIFS(worksheet!C3:C4250,"П1",worksheet!D3:D4250,"ДЁМИН Н. А.",worksheet!E3:E4250,"БЫЧОК",worksheet!L3:L4250,"&gt;-1",worksheet!L3:L4250,"&lt;61")</f>
        <v>0</v>
      </c>
      <c r="H34" s="261">
        <f ca="1">COUNTIFS(worksheet!C3:C4250,"П2",worksheet!D3:D4250,"ДЁМИН Н. А.",worksheet!E3:E4250,"ТЁЛОЧКА",worksheet!L3:L4250,"&gt;-1",worksheet!L3:L4250,"&lt;61")</f>
        <v>0</v>
      </c>
      <c r="I34" s="267">
        <f>COUNTIFS(worksheet!C3:C4250,"П2",worksheet!D3:D4250,"ДЁМИН Н. А.",worksheet!E3:E4250,"БЫЧОК",worksheet!L3:L4250,"&gt;-1",worksheet!L3:L4250,"&lt;61")</f>
        <v>0</v>
      </c>
      <c r="J34" s="261">
        <f>COUNTIFS(worksheet!C3:C4250,"П3",worksheet!D3:D4250,"ДЁМИН Н. А.",worksheet!E3:E4250,"ТЁЛОЧКА",worksheet!L3:L4250,"&gt;-1",worksheet!L3:L4250,"&lt;61")</f>
        <v>0</v>
      </c>
      <c r="K34" s="267">
        <f>COUNTIFS(worksheet!C3:C4250,"П3",worksheet!D3:D4250,"ДЁМИН Н. А.",worksheet!E3:E4250,"БЫЧОК",worksheet!L3:L4250,"&gt;-1",worksheet!L3:L4250,"&lt;61")</f>
        <v>0</v>
      </c>
      <c r="L34" s="261">
        <f>COUNTIFS(worksheet!C3:C4250,"С1",worksheet!D3:D4250,"ДЁМИН Н. А.",worksheet!E3:E4250,"ТЁЛОЧКА",worksheet!L3:L4250,"&gt;-1",worksheet!L3:L4250,"&lt;61")</f>
        <v>0</v>
      </c>
      <c r="M34" s="267">
        <f>COUNTIFS(worksheet!C3:C4250,"С1",worksheet!D3:D4250,"ДЁМИН Н. А.",worksheet!E3:E4250,"БЫЧОК",worksheet!L3:L4250,"&gt;-1",worksheet!L3:L4250,"&lt;61")</f>
        <v>0</v>
      </c>
      <c r="N34" s="261">
        <f>COUNTIFS(worksheet!C3:C4250,"С2",worksheet!D3:D4250,"ДЁМИН Н. А.",worksheet!E3:E4250,"ТЁЛОЧКА",worksheet!L3:L4250,"&gt;-1",worksheet!L3:L4250,"&lt;61")</f>
        <v>0</v>
      </c>
      <c r="O34" s="267">
        <f>COUNTIFS(worksheet!C3:C4250,"С2",worksheet!D3:D4250,"ДЁМИН Н. А.",worksheet!E3:E4250,"БЫЧОК",worksheet!L3:L4250,"&gt;-1",worksheet!L3:L4250,"&lt;61")</f>
        <v>0</v>
      </c>
      <c r="P34" s="1329">
        <f>COUNTIFS(worksheet!C3:C4250,"Т2О",worksheet!D3:D4250,"ДЁМИН Н. А.",worksheet!E3:E4250,"ТЁЛОЧКА",worksheet!L3:L4250,"&gt;-1",worksheet!L3:L4250,"&lt;61")</f>
        <v>0</v>
      </c>
      <c r="Q34" s="1330"/>
      <c r="R34" s="267">
        <f>COUNTIFS(worksheet!C3:C4250,"Т2О",worksheet!D3:D4250,"ДЁМИН Н. А.",worksheet!E3:E4250,"БЫЧОК",worksheet!L3:L4250,"&gt;-1",worksheet!L3:L4250,"&lt;61")</f>
        <v>0</v>
      </c>
      <c r="S34" s="261"/>
      <c r="T34" s="267">
        <f>COUNTIFS(worksheet!C3:C4250,"К3К",worksheet!D3:D4250,"МУНТЯН Г.И.",worksheet!E3:E4250,"БЫЧОК",worksheet!L3:L4250,"&gt;-1",worksheet!L3:L4250,"&lt;61")</f>
        <v>0</v>
      </c>
      <c r="U34" s="1364">
        <f ca="1">SUM(E34:T34)</f>
        <v>0</v>
      </c>
      <c r="V34" s="1365"/>
    </row>
    <row r="35" spans="1:22" ht="24.95" customHeight="1" x14ac:dyDescent="0.2">
      <c r="A35" s="1375" t="s">
        <v>2531</v>
      </c>
      <c r="B35" s="1375"/>
      <c r="C35" s="1375"/>
      <c r="D35" s="1375"/>
      <c r="E35" s="1334">
        <f ca="1">COUNTIFS(worksheet!C3:C4250,"П1",worksheet!D3:D4250,"ДЁМИН Н. А.",worksheet!E3:E4250,"ТЁЛОЧКА",worksheet!L3:L4250,"&gt;60",worksheet!L3:L4250,"&lt;121")</f>
        <v>0</v>
      </c>
      <c r="F35" s="1334"/>
      <c r="G35" s="267">
        <f>COUNTIFS(worksheet!C3:C4250,"П1",worksheet!D3:D4250,"ДЁМИН Н. А.",worksheet!E3:E4250,"БЫЧОК",worksheet!L3:L4250,"&gt;60",worksheet!L3:L4250,"&lt;121")</f>
        <v>0</v>
      </c>
      <c r="H35" s="261">
        <f ca="1">COUNTIFS(worksheet!C3:C4250,"П2",worksheet!D3:D4250,"ДЁМИН Н. А.",worksheet!E3:E4250,"ТЁЛОЧКА",worksheet!L3:L4250,"&gt;60",worksheet!L3:L4250,"&lt;121")</f>
        <v>0</v>
      </c>
      <c r="I35" s="267">
        <f>COUNTIFS(worksheet!C3:C4250,"П2",worksheet!D3:D4250,"ДЁМИН Н. А.",worksheet!E3:E4250,"БЫЧОК",worksheet!L3:L4250,"&gt;60",worksheet!L3:L4250,"&lt;121")</f>
        <v>0</v>
      </c>
      <c r="J35" s="261">
        <f>COUNTIFS(worksheet!C3:C4250,"П3",worksheet!D3:D4250,"ДЁМИН Н. А.",worksheet!E3:E4250,"ТЁЛОЧКА",worksheet!L3:L4250,"&gt;60",worksheet!L3:L4250,"&lt;121")</f>
        <v>0</v>
      </c>
      <c r="K35" s="267">
        <f>COUNTIFS(worksheet!C3:C4250,"П3",worksheet!D3:D4250,"ДЁМИН Н. А.",worksheet!E3:E4250,"БЫЧОК",worksheet!L3:L4250,"&gt;60",worksheet!L3:L4250,"&lt;121")</f>
        <v>0</v>
      </c>
      <c r="L35" s="261">
        <f>COUNTIFS(worksheet!C3:C4250,"С1",worksheet!D3:D4250,"ДЁМИН Н. А.",worksheet!E3:E4250,"ТЁЛОЧКА",worksheet!L3:L4250,"&gt;60",worksheet!L3:L4250,"&lt;121")</f>
        <v>0</v>
      </c>
      <c r="M35" s="267">
        <f>COUNTIFS(worksheet!C3:C4250,"С1",worksheet!D3:D4250,"ДЁМИН Н. А.",worksheet!E3:E4250,"БЫЧОК",worksheet!L3:L4250,"&gt;60",worksheet!L3:L4250,"&lt;121")</f>
        <v>0</v>
      </c>
      <c r="N35" s="261">
        <f>COUNTIFS(worksheet!C3:C4250,"С2",worksheet!D3:D4250,"ДЁМИН Н. А.",worksheet!E3:E4250,"ТЁЛОЧКА",worksheet!L3:L4250,"&gt;60",worksheet!L3:L4250,"&lt;121")</f>
        <v>0</v>
      </c>
      <c r="O35" s="267">
        <f>COUNTIFS(worksheet!C3:C4250,"С2",worksheet!D3:D4250,"ДЁМИН Н. А.",worksheet!E3:E4250,"БЫЧОК",worksheet!L3:L4250,"&gt;60",worksheet!L3:L4250,"&lt;121")</f>
        <v>0</v>
      </c>
      <c r="P35" s="1329">
        <f>COUNTIFS(worksheet!C3:C4250,"Т2О",worksheet!D3:D4250,"ДЁМИН Н. А.",worksheet!E3:E4250,"БЫЧОК",worksheet!L3:L4250,"&gt;60",worksheet!L3:L4250,"&lt;121")</f>
        <v>0</v>
      </c>
      <c r="Q35" s="1330"/>
      <c r="R35" s="267">
        <f>COUNTIFS(worksheet!C3:C4250,"Т2О",worksheet!D3:D4250,"ДЁМИН Н. А.",worksheet!E3:E4250,"БЫЧОК",worksheet!L3:L4250,"&gt;60",worksheet!L3:L4250,"&lt;121")</f>
        <v>0</v>
      </c>
      <c r="S35" s="261"/>
      <c r="T35" s="267">
        <f>COUNTIFS(worksheet!C3:C4250,"К3К",worksheet!D3:D4250,"МУНТЯН Г.И.",worksheet!E3:E4250,"БЫЧОК",worksheet!L3:L4250,"&gt;60",worksheet!L3:L4250,"&lt;121")</f>
        <v>0</v>
      </c>
      <c r="U35" s="1364">
        <f t="shared" ref="U35:U38" ca="1" si="2">SUM(E35:T35)</f>
        <v>0</v>
      </c>
      <c r="V35" s="1365"/>
    </row>
    <row r="36" spans="1:22" ht="24.95" customHeight="1" x14ac:dyDescent="0.2">
      <c r="A36" s="1375" t="s">
        <v>2532</v>
      </c>
      <c r="B36" s="1375"/>
      <c r="C36" s="1375"/>
      <c r="D36" s="1375"/>
      <c r="E36" s="1334">
        <f ca="1">COUNTIFS(worksheet!C3:C4250,"П1",worksheet!D3:D4250,"ДЁМИН Н. А.",worksheet!E3:E4250,"ТЁЛОЧКА",worksheet!L3:L4250,"&gt;120",worksheet!L3:L4250,"&lt;181")</f>
        <v>0</v>
      </c>
      <c r="F36" s="1334"/>
      <c r="G36" s="267">
        <f>COUNTIFS(worksheet!C3:C4250,"П1",worksheet!D3:D4250,"ДЁМИН Н. А.",worksheet!E3:E4250,"БЫЧОК",worksheet!L3:L4250,"&gt;120",worksheet!L3:L4250,"&lt;181")</f>
        <v>0</v>
      </c>
      <c r="H36" s="261">
        <f ca="1">COUNTIFS(worksheet!C3:C4250,"П2",worksheet!D3:D4250,"ДЁМИН Н. А.",worksheet!E3:E4250,"ТЁЛОЧКА",worksheet!L3:L4250,"&gt;120",worksheet!L3:L4250,"&lt;181")</f>
        <v>0</v>
      </c>
      <c r="I36" s="267">
        <f>COUNTIFS(worksheet!C3:C4250,"П2",worksheet!D3:D4250,"ДЁМИН Н. А.",worksheet!E3:E4250,"БЫЧОК",worksheet!L3:L4250,"&gt;120",worksheet!L3:L4250,"&lt;181")</f>
        <v>0</v>
      </c>
      <c r="J36" s="261">
        <f>COUNTIFS(worksheet!C3:C4250,"П3",worksheet!D3:D4250,"ДЁМИН Н. А.",worksheet!E3:E4250,"ТЁЛОЧКА",worksheet!L3:L4250,"&gt;120",worksheet!L3:L4250,"&lt;181")</f>
        <v>0</v>
      </c>
      <c r="K36" s="267">
        <f>COUNTIFS(worksheet!C3:C4250,"П3",worksheet!D3:D4250,"ДЁМИН Н. А.",worksheet!E3:E4250,"БЫЧОК",worksheet!L3:L4250,"&gt;120",worksheet!L3:L4250,"&lt;181")</f>
        <v>0</v>
      </c>
      <c r="L36" s="261">
        <f>COUNTIFS(worksheet!C3:C4250,"С1",worksheet!D3:D4250,"ДЁМИН Н. А.",worksheet!E3:E4250,"ТЁЛОЧКА",worksheet!L3:L4250,"&gt;120",worksheet!L3:L4250,"&lt;181")</f>
        <v>0</v>
      </c>
      <c r="M36" s="267">
        <f>COUNTIFS(worksheet!C3:C4250,"С1",worksheet!D3:D4250,"ДЁМИН Н. А.",worksheet!E3:E4250,"БЫЧОК",worksheet!L3:L4250,"&gt;120",worksheet!L3:L4250,"&lt;181")</f>
        <v>0</v>
      </c>
      <c r="N36" s="261">
        <f>COUNTIFS(worksheet!C3:C4250,"С2",worksheet!D3:D4250,"ДЁМИН Н. А.",worksheet!E3:E4250,"ТЁЛОЧКА",worksheet!L3:L4250,"&gt;120",worksheet!L3:L4250,"&lt;181")</f>
        <v>0</v>
      </c>
      <c r="O36" s="267">
        <f>COUNTIFS(worksheet!C3:C4250,"С2",worksheet!D3:D4250,"ДЁМИН Н. А.",worksheet!E3:E4250,"БЫЧОК",worksheet!L3:L4250,"&gt;120",worksheet!L3:L4250,"&lt;181")</f>
        <v>0</v>
      </c>
      <c r="P36" s="1329">
        <f>COUNTIFS(worksheet!C3:C4250,"Т2О",worksheet!D3:D4250,"ДЁМИН Н. А.",worksheet!E3:E4250,"ТЁЛОЧКА",worksheet!L3:L4250,"&gt;120",worksheet!L3:L4250,"&lt;181")</f>
        <v>0</v>
      </c>
      <c r="Q36" s="1330"/>
      <c r="R36" s="267">
        <f>COUNTIFS(worksheet!C3:C4250,"Т2О",worksheet!D3:D4250,"ДЁМИН Н. А.",worksheet!E3:E4250,"БЫЧОК",worksheet!L3:L4250,"&gt;120",worksheet!L3:L4250,"&lt;181")</f>
        <v>0</v>
      </c>
      <c r="S36" s="261"/>
      <c r="T36" s="267">
        <f>COUNTIFS(worksheet!C3:C4250,"К3К",worksheet!D3:D4250,"МУНТЯН Г.И.",worksheet!E3:E4250,"БЫЧОК",worksheet!L3:L4250,"&gt;120",worksheet!L3:L4250,"&lt;181")</f>
        <v>0</v>
      </c>
      <c r="U36" s="1364">
        <f t="shared" ca="1" si="2"/>
        <v>0</v>
      </c>
      <c r="V36" s="1365"/>
    </row>
    <row r="37" spans="1:22" ht="24.95" customHeight="1" x14ac:dyDescent="0.2">
      <c r="A37" s="1375" t="s">
        <v>2533</v>
      </c>
      <c r="B37" s="1375"/>
      <c r="C37" s="1375"/>
      <c r="D37" s="1375"/>
      <c r="E37" s="1334">
        <f ca="1">COUNTIFS(worksheet!C3:C4250,"П1",worksheet!D3:D4250,"ДЁМИН Н. А.",worksheet!E3:E4250,"ТЁЛОЧКА",worksheet!L3:L4250,"&gt;180",worksheet!L3:L4250,"&lt;366")</f>
        <v>0</v>
      </c>
      <c r="F37" s="1334"/>
      <c r="G37" s="267">
        <f>COUNTIFS(worksheet!C3:C4250,"П1",worksheet!D3:D4250,"ДЁМИН Н. А.",worksheet!E3:E4250,"БЫЧОК",worksheet!L3:L4250,"&gt;180",worksheet!L3:L4250,"&lt;366")</f>
        <v>0</v>
      </c>
      <c r="H37" s="261">
        <f ca="1">COUNTIFS(worksheet!C3:C4250,"П2",worksheet!D3:D4250,"ДЁМИН Н. А.",worksheet!E3:E4250,"ТЁЛОЧКА",worksheet!L3:L4250,"&gt;180",worksheet!L3:L4250,"&lt;366")</f>
        <v>0</v>
      </c>
      <c r="I37" s="267">
        <f>COUNTIFS(worksheet!C3:C4250,"П2",worksheet!D3:D4250,"ДЁМИН Н. А.",worksheet!E3:E4250,"БЫЧОК",worksheet!L3:L4250,"&gt;180",worksheet!L3:L4250,"&lt;366")</f>
        <v>0</v>
      </c>
      <c r="J37" s="261">
        <f>COUNTIFS(worksheet!C3:C4250,"П3",worksheet!D3:D4250,"ДЁМИН Н. А.",worksheet!E3:E4250,"ТЁЛОЧКА",worksheet!L3:L4250,"&gt;180",worksheet!L3:L4250,"&lt;366")</f>
        <v>0</v>
      </c>
      <c r="K37" s="267">
        <f>COUNTIFS(worksheet!C3:C4250,"П3",worksheet!D3:D4250,"ДЁМИН Н. А.",worksheet!E3:E4250,"БЫЧОК",worksheet!L3:L4250,"&gt;180",worksheet!L3:L4250,"&lt;366")</f>
        <v>0</v>
      </c>
      <c r="L37" s="261">
        <f>COUNTIFS(worksheet!C3:C4250,"С1",worksheet!D3:D4250,"ДЁМИН Н. А.",worksheet!E3:E4250,"ТЁЛОЧКА",worksheet!L3:L4250,"&gt;180",worksheet!L3:L4250,"&lt;366")</f>
        <v>0</v>
      </c>
      <c r="M37" s="267">
        <f>COUNTIFS(worksheet!C3:C4250,"С1",worksheet!D3:D4250,"ДЁМИН Н. А.",worksheet!E3:E4250,"БЫЧОК",worksheet!L3:L4250,"&gt;180",worksheet!L3:L4250,"&lt;366")</f>
        <v>0</v>
      </c>
      <c r="N37" s="261">
        <f>COUNTIFS(worksheet!C3:C4250,"С2",worksheet!D3:D4250,"ДЁМИН Н. А.",worksheet!E3:E4250,"ТЁЛОЧКА",worksheet!L3:L4250,"&gt;180",worksheet!L3:L4250,"&lt;366")</f>
        <v>0</v>
      </c>
      <c r="O37" s="267">
        <f>COUNTIFS(worksheet!C3:C4250,"С2",worksheet!D3:D4250,"ДЁМИН Н. А.",worksheet!E3:E4250,"БЫЧОК",worksheet!L3:L4250,"&gt;180",worksheet!L3:L4250,"&lt;366")</f>
        <v>0</v>
      </c>
      <c r="P37" s="1329">
        <f>COUNTIFS(worksheet!C3:C4250,"Т2О",worksheet!D3:D4250,"ДЁМИН Н. А.",worksheet!E3:E4250,"ТЁЛОЧКА",worksheet!L3:L4250,"&gt;180",worksheet!L3:L4250,"&lt;366")</f>
        <v>0</v>
      </c>
      <c r="Q37" s="1330"/>
      <c r="R37" s="267">
        <f>COUNTIFS(worksheet!C3:C4250,"Т2О",worksheet!D3:D4250,"ДЁМИН Н. А.",worksheet!E3:E4250,"БЫЧОК",worksheet!L3:L4250,"&gt;180",worksheet!L3:L4250,"&lt;366")</f>
        <v>0</v>
      </c>
      <c r="S37" s="261"/>
      <c r="T37" s="267">
        <f>COUNTIFS(worksheet!C3:C4250,"К3К",worksheet!D3:D4250,"МУНТЯН Г.И.",worksheet!E3:E4250,"БЫЧОК",worksheet!L3:L4250,"&gt;180",worksheet!L3:L4250,"&lt;365")</f>
        <v>0</v>
      </c>
      <c r="U37" s="1364">
        <f t="shared" ca="1" si="2"/>
        <v>0</v>
      </c>
      <c r="V37" s="1365"/>
    </row>
    <row r="38" spans="1:22" ht="24.95" customHeight="1" x14ac:dyDescent="0.2">
      <c r="A38" s="1363" t="s">
        <v>2587</v>
      </c>
      <c r="B38" s="1363"/>
      <c r="C38" s="1363"/>
      <c r="D38" s="1363"/>
      <c r="E38" s="1334">
        <f ca="1">COUNTIFS(worksheet!C3:C4250,"П1",worksheet!D3:D4250,"ДЁМИН Н. А.",worksheet!Y3:Y4250,"0",worksheet!E3:E4250,"ТЁЛОЧКА",worksheet!L3:L4250,"&gt;365")</f>
        <v>4</v>
      </c>
      <c r="F38" s="1334"/>
      <c r="G38" s="267">
        <f>COUNTIFS(worksheet!C3:C4250,"П1",worksheet!D3:D4250,"ДЁМИН Н. А.",worksheet!E3:E4250,"БЫЧОК",worksheet!L3:L4250,"&gt;365")</f>
        <v>0</v>
      </c>
      <c r="H38" s="261">
        <f>COUNTIFS(worksheet!C3:C4250,"П2",worksheet!D3:D4250,"ДЁМИН Н. А.",worksheet!Y3:Y4250,"0",worksheet!E3:E4250,"ТЁЛОЧКА",worksheet!L3:L4250,"&gt;365")</f>
        <v>0</v>
      </c>
      <c r="I38" s="267">
        <f>COUNTIFS(worksheet!C3:C4250,"П2",worksheet!D3:D4250,"ДЁМИН Н. А.",worksheet!E3:E4250,"БЫЧОК",worksheet!L3:L4250,"&gt;365")</f>
        <v>0</v>
      </c>
      <c r="J38" s="261">
        <f>COUNTIFS(worksheet!C3:C4250,"П3",worksheet!D3:D4250,"ДЁМИН Н. А.",worksheet!Y3:Y4250,"0",worksheet!E3:E4250,"ТЁЛОЧКА",worksheet!L3:L4250,"&gt;365")</f>
        <v>0</v>
      </c>
      <c r="K38" s="267">
        <f>COUNTIFS(worksheet!C3:C4250,"П3",worksheet!D3:D4250,"ДЁМИН Н. А.",worksheet!E3:E4250,"БЫЧОК",worksheet!L3:L4250,"&gt;365")</f>
        <v>0</v>
      </c>
      <c r="L38" s="261">
        <f>COUNTIFS(worksheet!C3:C4250,"С1",worksheet!D3:D4250,"ДЁМИН Н. А.",worksheet!Y3:Y4250,"0",worksheet!E3:E4250,"ТЁЛОЧКА",worksheet!L3:L4250,"&gt;365")</f>
        <v>0</v>
      </c>
      <c r="M38" s="267">
        <f>COUNTIFS(worksheet!C3:C4250,"С1",worksheet!D3:D4250,"ДЁМИН Н. А.",worksheet!E3:E4250,"БЫЧОК",worksheet!L3:L4250,"&gt;365")</f>
        <v>0</v>
      </c>
      <c r="N38" s="261">
        <f>COUNTIFS(worksheet!C3:C4250,"С2",worksheet!D3:D4250,"ДЁМИН Н. А.",worksheet!Y3:Y4250,"0",worksheet!E3:E4250,"ТЁЛОЧКА",worksheet!L3:L4250,"&gt;365")</f>
        <v>0</v>
      </c>
      <c r="O38" s="267">
        <f>COUNTIFS(worksheet!C3:C4250,"С2",worksheet!D3:D4250,"ДЁМИН Н. А.",worksheet!E3:E4250,"БЫЧОК",worksheet!L3:L4250,"&gt;365")</f>
        <v>0</v>
      </c>
      <c r="P38" s="1329"/>
      <c r="Q38" s="1330"/>
      <c r="R38" s="267"/>
      <c r="S38" s="261"/>
      <c r="T38" s="267">
        <f>COUNTIFS(worksheet!C3:C4250,"К3К",worksheet!D3:D4250,"МУНТЯН Г.И.",worksheet!E3:E4250,"БЫЧОК",worksheet!L3:L4250,"&gt;365")</f>
        <v>0</v>
      </c>
      <c r="U38" s="1364">
        <f t="shared" ca="1" si="2"/>
        <v>4</v>
      </c>
      <c r="V38" s="1365"/>
    </row>
    <row r="39" spans="1:22" ht="24.95" customHeight="1" x14ac:dyDescent="0.2">
      <c r="A39" s="1370" t="s">
        <v>2708</v>
      </c>
      <c r="B39" s="1370"/>
      <c r="C39" s="1370"/>
      <c r="D39" s="1370"/>
      <c r="E39" s="1334">
        <f ca="1">COUNTIFS(worksheet!C3:C4250,"П1",worksheet!D3:D4250,"ДЁМИН Н. А.",worksheet!Y3:Y4250,"3",worksheet!E3:E4250,"ТЁЛОЧКА",worksheet!L3:L4250,"&gt;365")</f>
        <v>9</v>
      </c>
      <c r="F39" s="1334"/>
      <c r="G39" s="1372"/>
      <c r="H39" s="293">
        <f>COUNTIFS(worksheet!C3:C4250,"П2",worksheet!D3:D4250,"ДЁМИН Н. А.",worksheet!Y3:Y4250,"3",worksheet!E3:E4250,"ТЁЛОЧКА",worksheet!L3:L4250,"&gt;365")</f>
        <v>0</v>
      </c>
      <c r="I39" s="1372"/>
      <c r="J39" s="293">
        <f>COUNTIFS(worksheet!C3:C4250,"П3",worksheet!D3:D4250,"ДЁМИН Н. А.",worksheet!Y3:Y4250,"3",worksheet!E3:E4250,"ТЁЛОЧКА",worksheet!L3:L4250,"&gt;365")</f>
        <v>0</v>
      </c>
      <c r="K39" s="1372"/>
      <c r="L39" s="293">
        <f>COUNTIFS(worksheet!C3:C4250,"С1",worksheet!D3:D4250,"ДЁМИН Н. А.",worksheet!Y3:Y4250,"3",worksheet!E3:E4250,"ТЁЛОЧКА",worksheet!L3:L4250,"&gt;365")</f>
        <v>0</v>
      </c>
      <c r="M39" s="1372"/>
      <c r="N39" s="293">
        <f>COUNTIFS(worksheet!C3:C4250,"С2",worksheet!D3:D4250,"ДЁМИН Н. А.",worksheet!Y3:Y4250,"3",worksheet!E3:E4250,"ТЁЛОЧКА",worksheet!L3:L4250,"&gt;365")</f>
        <v>0</v>
      </c>
      <c r="O39" s="1372"/>
      <c r="P39" s="1329"/>
      <c r="Q39" s="1330"/>
      <c r="R39" s="267"/>
      <c r="S39" s="293"/>
      <c r="T39" s="267"/>
      <c r="U39" s="1364">
        <f t="shared" ref="U39:U40" ca="1" si="3">SUM(E39:T39)</f>
        <v>9</v>
      </c>
      <c r="V39" s="1365"/>
    </row>
    <row r="40" spans="1:22" ht="24.95" customHeight="1" x14ac:dyDescent="0.2">
      <c r="A40" s="1371" t="s">
        <v>2709</v>
      </c>
      <c r="B40" s="1371"/>
      <c r="C40" s="1371"/>
      <c r="D40" s="1371"/>
      <c r="E40" s="1334">
        <f>COUNTIFS(worksheet!C3:C4250,"П1",worksheet!D3:D4250,"ДЁМИН Н. А.",worksheet!Y3:Y4250,"2",worksheet!E3:E4250,"ТЁЛОЧКА",worksheet!L3:L4250,"&gt;365")</f>
        <v>0</v>
      </c>
      <c r="F40" s="1334"/>
      <c r="G40" s="1373"/>
      <c r="H40" s="293">
        <f>COUNTIFS(worksheet!C3:C4250,"П2",worksheet!D3:D4250,"ДЁМИН Н. А.",worksheet!Y3:Y4250,"2",worksheet!E3:E4250,"ТЁЛОЧКА",worksheet!L3:L4250,"&gt;365")</f>
        <v>0</v>
      </c>
      <c r="I40" s="1373"/>
      <c r="J40" s="293">
        <f>COUNTIFS(worksheet!C3:C4250,"П3",worksheet!D3:D4250,"ДЁМИН Н. А.",worksheet!Y3:Y4250,"2",worksheet!E3:E4250,"ТЁЛОЧКА",worksheet!L3:L4250,"&gt;365")</f>
        <v>0</v>
      </c>
      <c r="K40" s="1373"/>
      <c r="L40" s="293">
        <f>COUNTIFS(worksheet!C3:C4250,"С1",worksheet!D3:D4250,"ДЁМИН Н. А.",worksheet!Y3:Y4250,"2",worksheet!E3:E4250,"ТЁЛОЧКА",worksheet!L3:L4250,"&gt;365")</f>
        <v>0</v>
      </c>
      <c r="M40" s="1373"/>
      <c r="N40" s="293">
        <f>COUNTIFS(worksheet!C3:C4250,"С2",worksheet!D3:D4250,"ДЁМИН Н. А.",worksheet!Y3:Y4250,"2",worksheet!E3:E4250,"ТЁЛОЧКА",worksheet!L3:L4250,"&gt;365")</f>
        <v>0</v>
      </c>
      <c r="O40" s="1373"/>
      <c r="P40" s="1329"/>
      <c r="Q40" s="1330"/>
      <c r="R40" s="267"/>
      <c r="S40" s="293"/>
      <c r="T40" s="267"/>
      <c r="U40" s="1364">
        <f t="shared" si="3"/>
        <v>0</v>
      </c>
      <c r="V40" s="1365"/>
    </row>
    <row r="41" spans="1:22" ht="24.95" customHeight="1" x14ac:dyDescent="0.2">
      <c r="A41" s="1366" t="s">
        <v>2513</v>
      </c>
      <c r="B41" s="1366"/>
      <c r="C41" s="1366"/>
      <c r="D41" s="1366"/>
      <c r="E41" s="1367">
        <f>COUNTIFS(worksheet!C3:C4250,"П1",worksheet!D3:D4250,"ДЁМИН Н. А.",worksheet!AR3:AR4250,"НЕТЕЛЬ")</f>
        <v>10</v>
      </c>
      <c r="F41" s="1368"/>
      <c r="G41" s="1374"/>
      <c r="H41" s="262">
        <f>COUNTIFS(worksheet!C3:C4250,"П2",worksheet!D3:D4250,"ДЁМИН Н. А.",worksheet!AR3:AR4250,"НЕТЕЛЬ")</f>
        <v>124</v>
      </c>
      <c r="I41" s="1374"/>
      <c r="J41" s="262">
        <f>COUNTIFS(worksheet!C3:C4250,"П3",worksheet!D3:D4250,"ДЁМИН Н. А.",worksheet!AR3:AR4250,"НЕТЕЛЬ")</f>
        <v>0</v>
      </c>
      <c r="K41" s="1374"/>
      <c r="L41" s="262">
        <f>COUNTIFS(worksheet!C3:C4250,"С1",worksheet!D3:D4250,"ДЁМИН Н. А.",worksheet!AR3:AR4250,"НЕТЕЛЬ")</f>
        <v>0</v>
      </c>
      <c r="M41" s="1374"/>
      <c r="N41" s="262">
        <f>COUNTIFS(worksheet!C3:C4250,"С2",worksheet!D3:D4250,"ДЁМИН Н. А.",worksheet!AR3:AR4250,"НЕТЕЛЬ")</f>
        <v>0</v>
      </c>
      <c r="O41" s="1374"/>
      <c r="P41" s="1367"/>
      <c r="Q41" s="1369"/>
      <c r="R41" s="267"/>
      <c r="S41" s="262"/>
      <c r="T41" s="267"/>
      <c r="U41" s="1361">
        <f>SUM(E41:T41)</f>
        <v>134</v>
      </c>
      <c r="V41" s="1362"/>
    </row>
    <row r="42" spans="1:22" ht="24.95" customHeight="1" x14ac:dyDescent="0.2">
      <c r="A42" s="1394" t="s">
        <v>1484</v>
      </c>
      <c r="B42" s="1394"/>
      <c r="C42" s="1394"/>
      <c r="D42" s="1394"/>
      <c r="E42" s="1364">
        <f ca="1">SUM(E34:F41)</f>
        <v>23</v>
      </c>
      <c r="F42" s="1365"/>
      <c r="G42" s="268">
        <f t="shared" ref="G42:M42" si="4">SUM(G34:G41)</f>
        <v>0</v>
      </c>
      <c r="H42" s="263">
        <f t="shared" ca="1" si="4"/>
        <v>124</v>
      </c>
      <c r="I42" s="268">
        <f t="shared" si="4"/>
        <v>0</v>
      </c>
      <c r="J42" s="263">
        <f t="shared" si="4"/>
        <v>0</v>
      </c>
      <c r="K42" s="268">
        <f t="shared" si="4"/>
        <v>0</v>
      </c>
      <c r="L42" s="263">
        <f t="shared" si="4"/>
        <v>0</v>
      </c>
      <c r="M42" s="268">
        <f t="shared" si="4"/>
        <v>0</v>
      </c>
      <c r="N42" s="263"/>
      <c r="O42" s="268"/>
      <c r="P42" s="1364"/>
      <c r="Q42" s="1365"/>
      <c r="R42" s="268"/>
      <c r="S42" s="263">
        <f>SUM(S34:S41)</f>
        <v>0</v>
      </c>
      <c r="T42" s="268">
        <f>SUM(T34:T41)</f>
        <v>0</v>
      </c>
      <c r="U42" s="1413"/>
      <c r="V42" s="1414"/>
    </row>
    <row r="43" spans="1:22" ht="24.95" customHeight="1" thickBot="1" x14ac:dyDescent="0.25">
      <c r="A43" s="1411" t="s">
        <v>1484</v>
      </c>
      <c r="B43" s="1411"/>
      <c r="C43" s="1411"/>
      <c r="D43" s="1411"/>
      <c r="E43" s="1402">
        <f ca="1">SUM(E42:G42)</f>
        <v>23</v>
      </c>
      <c r="F43" s="1412"/>
      <c r="G43" s="1403"/>
      <c r="H43" s="1404">
        <f ca="1">SUM(H42:I42)</f>
        <v>124</v>
      </c>
      <c r="I43" s="1406"/>
      <c r="J43" s="1402">
        <f>SUM(J42:K42)</f>
        <v>0</v>
      </c>
      <c r="K43" s="1403"/>
      <c r="L43" s="1404">
        <f>SUM(L42:M42)</f>
        <v>0</v>
      </c>
      <c r="M43" s="1406"/>
      <c r="N43" s="1402">
        <f>SUM(N42:O42)</f>
        <v>0</v>
      </c>
      <c r="O43" s="1403"/>
      <c r="P43" s="1404">
        <f>SUM(P42:R42)</f>
        <v>0</v>
      </c>
      <c r="Q43" s="1405"/>
      <c r="R43" s="1406"/>
      <c r="S43" s="1402">
        <f>SUM(S42:T42)</f>
        <v>0</v>
      </c>
      <c r="T43" s="1403"/>
      <c r="U43" s="1409">
        <f ca="1">SUM(U34:V42)</f>
        <v>147</v>
      </c>
      <c r="V43" s="1410"/>
    </row>
    <row r="44" spans="1:22" ht="13.5" thickBot="1" x14ac:dyDescent="0.25">
      <c r="A44" s="1335" t="s">
        <v>2710</v>
      </c>
      <c r="B44" s="1336"/>
      <c r="C44" s="1336"/>
      <c r="D44" s="1336"/>
      <c r="E44" s="1336"/>
      <c r="F44" s="1336"/>
      <c r="G44" s="1336"/>
      <c r="H44" s="1336"/>
      <c r="I44" s="1336"/>
      <c r="J44" s="1336"/>
      <c r="K44" s="1336"/>
      <c r="L44" s="1336"/>
      <c r="M44" s="1336"/>
      <c r="N44" s="1336"/>
      <c r="O44" s="1336"/>
      <c r="P44" s="1336"/>
      <c r="Q44" s="1336"/>
      <c r="R44" s="1336"/>
      <c r="S44" s="1336"/>
      <c r="T44" s="1336"/>
      <c r="U44" s="1336"/>
      <c r="V44" s="1337"/>
    </row>
    <row r="45" spans="1:22" ht="20.100000000000001" customHeight="1" thickBot="1" x14ac:dyDescent="0.25">
      <c r="A45" s="1335"/>
      <c r="B45" s="1336"/>
      <c r="C45" s="1336"/>
      <c r="D45" s="1336"/>
      <c r="E45" s="1336"/>
      <c r="F45" s="1336"/>
      <c r="G45" s="1336"/>
      <c r="H45" s="1336"/>
      <c r="I45" s="1336"/>
      <c r="J45" s="1336"/>
      <c r="K45" s="1336"/>
      <c r="L45" s="1336"/>
      <c r="M45" s="1336"/>
      <c r="N45" s="1336"/>
      <c r="O45" s="1336"/>
      <c r="P45" s="1336"/>
      <c r="Q45" s="1336"/>
      <c r="R45" s="1336"/>
      <c r="S45" s="1336"/>
      <c r="T45" s="1336"/>
      <c r="U45" s="1336"/>
      <c r="V45" s="1337"/>
    </row>
    <row r="46" spans="1:22" ht="13.5" thickBot="1" x14ac:dyDescent="0.25">
      <c r="A46" s="1335"/>
      <c r="B46" s="1336"/>
      <c r="C46" s="1336"/>
      <c r="D46" s="1336"/>
      <c r="E46" s="1336"/>
      <c r="F46" s="1336"/>
      <c r="G46" s="1336"/>
      <c r="H46" s="1336"/>
      <c r="I46" s="1336"/>
      <c r="J46" s="1336"/>
      <c r="K46" s="1336"/>
      <c r="L46" s="1336"/>
      <c r="M46" s="1336"/>
      <c r="N46" s="1336"/>
      <c r="O46" s="1336"/>
      <c r="P46" s="1336"/>
      <c r="Q46" s="1336"/>
      <c r="R46" s="1336"/>
      <c r="S46" s="1336"/>
      <c r="T46" s="1336"/>
      <c r="U46" s="1336"/>
      <c r="V46" s="1337"/>
    </row>
    <row r="47" spans="1:22" ht="13.5" thickBot="1" x14ac:dyDescent="0.25">
      <c r="A47" s="1338">
        <f ca="1">SUM(U43,U30,A16,U4)</f>
        <v>945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39"/>
      <c r="R47" s="1339"/>
      <c r="S47" s="1339"/>
      <c r="T47" s="1339"/>
      <c r="U47" s="1339"/>
      <c r="V47" s="1340"/>
    </row>
    <row r="48" spans="1:22" ht="15" customHeight="1" thickBot="1" x14ac:dyDescent="0.25">
      <c r="A48" s="1338"/>
      <c r="B48" s="1339"/>
      <c r="C48" s="1339"/>
      <c r="D48" s="1339"/>
      <c r="E48" s="1339"/>
      <c r="F48" s="1339"/>
      <c r="G48" s="1339"/>
      <c r="H48" s="1339"/>
      <c r="I48" s="1339"/>
      <c r="J48" s="1339"/>
      <c r="K48" s="1339"/>
      <c r="L48" s="1339"/>
      <c r="M48" s="1339"/>
      <c r="N48" s="1339"/>
      <c r="O48" s="1339"/>
      <c r="P48" s="1339"/>
      <c r="Q48" s="1339"/>
      <c r="R48" s="1339"/>
      <c r="S48" s="1339"/>
      <c r="T48" s="1339"/>
      <c r="U48" s="1339"/>
      <c r="V48" s="1340"/>
    </row>
    <row r="49" spans="1:22" ht="15" customHeight="1" thickBot="1" x14ac:dyDescent="0.25">
      <c r="A49" s="1338"/>
      <c r="B49" s="1339"/>
      <c r="C49" s="1339"/>
      <c r="D49" s="1339"/>
      <c r="E49" s="1339"/>
      <c r="F49" s="1339"/>
      <c r="G49" s="1339"/>
      <c r="H49" s="1339"/>
      <c r="I49" s="1339"/>
      <c r="J49" s="1339"/>
      <c r="K49" s="1339"/>
      <c r="L49" s="1339"/>
      <c r="M49" s="1339"/>
      <c r="N49" s="1339"/>
      <c r="O49" s="1339"/>
      <c r="P49" s="1339"/>
      <c r="Q49" s="1339"/>
      <c r="R49" s="1339"/>
      <c r="S49" s="1339"/>
      <c r="T49" s="1339"/>
      <c r="U49" s="1339"/>
      <c r="V49" s="1340"/>
    </row>
    <row r="50" spans="1:22" ht="15" customHeight="1" thickBot="1" x14ac:dyDescent="0.25">
      <c r="A50" s="1338"/>
      <c r="B50" s="1339"/>
      <c r="C50" s="1339"/>
      <c r="D50" s="1339"/>
      <c r="E50" s="1339"/>
      <c r="F50" s="1339"/>
      <c r="G50" s="1339"/>
      <c r="H50" s="1339"/>
      <c r="I50" s="1339"/>
      <c r="J50" s="1339"/>
      <c r="K50" s="1339"/>
      <c r="L50" s="1339"/>
      <c r="M50" s="1339"/>
      <c r="N50" s="1339"/>
      <c r="O50" s="1339"/>
      <c r="P50" s="1339"/>
      <c r="Q50" s="1339"/>
      <c r="R50" s="1339"/>
      <c r="S50" s="1339"/>
      <c r="T50" s="1339"/>
      <c r="U50" s="1339"/>
      <c r="V50" s="1340"/>
    </row>
    <row r="51" spans="1:22" ht="13.5" thickBot="1" x14ac:dyDescent="0.25">
      <c r="A51" s="1338"/>
      <c r="B51" s="1339"/>
      <c r="C51" s="1339"/>
      <c r="D51" s="1339"/>
      <c r="E51" s="1339"/>
      <c r="F51" s="1339"/>
      <c r="G51" s="1339"/>
      <c r="H51" s="1339"/>
      <c r="I51" s="1339"/>
      <c r="J51" s="1339"/>
      <c r="K51" s="1339"/>
      <c r="L51" s="1339"/>
      <c r="M51" s="1339"/>
      <c r="N51" s="1339"/>
      <c r="O51" s="1339"/>
      <c r="P51" s="1339"/>
      <c r="Q51" s="1339"/>
      <c r="R51" s="1339"/>
      <c r="S51" s="1339"/>
      <c r="T51" s="1339"/>
      <c r="U51" s="1339"/>
      <c r="V51" s="1340"/>
    </row>
  </sheetData>
  <mergeCells count="182">
    <mergeCell ref="U39:V39"/>
    <mergeCell ref="U40:V40"/>
    <mergeCell ref="A40:D40"/>
    <mergeCell ref="E40:F40"/>
    <mergeCell ref="P40:Q40"/>
    <mergeCell ref="G26:G28"/>
    <mergeCell ref="I26:I28"/>
    <mergeCell ref="K26:K28"/>
    <mergeCell ref="M26:M28"/>
    <mergeCell ref="O26:O28"/>
    <mergeCell ref="R26:R28"/>
    <mergeCell ref="G39:G41"/>
    <mergeCell ref="I39:I41"/>
    <mergeCell ref="K39:K41"/>
    <mergeCell ref="M39:M41"/>
    <mergeCell ref="O39:O41"/>
    <mergeCell ref="U41:V41"/>
    <mergeCell ref="A29:D29"/>
    <mergeCell ref="P29:Q29"/>
    <mergeCell ref="U29:V29"/>
    <mergeCell ref="H30:I30"/>
    <mergeCell ref="J30:K30"/>
    <mergeCell ref="L30:M30"/>
    <mergeCell ref="N30:O30"/>
    <mergeCell ref="N43:O43"/>
    <mergeCell ref="P43:R43"/>
    <mergeCell ref="S43:T43"/>
    <mergeCell ref="U30:V30"/>
    <mergeCell ref="U43:V43"/>
    <mergeCell ref="A43:D43"/>
    <mergeCell ref="E43:G43"/>
    <mergeCell ref="H43:I43"/>
    <mergeCell ref="J43:K43"/>
    <mergeCell ref="L43:M43"/>
    <mergeCell ref="P42:Q42"/>
    <mergeCell ref="U42:V42"/>
    <mergeCell ref="A38:D38"/>
    <mergeCell ref="E38:F38"/>
    <mergeCell ref="P38:Q38"/>
    <mergeCell ref="U38:V38"/>
    <mergeCell ref="A35:D35"/>
    <mergeCell ref="E35:F35"/>
    <mergeCell ref="P35:Q35"/>
    <mergeCell ref="U35:V35"/>
    <mergeCell ref="A36:D36"/>
    <mergeCell ref="E36:F36"/>
    <mergeCell ref="P36:Q36"/>
    <mergeCell ref="U36:V36"/>
    <mergeCell ref="U37:V37"/>
    <mergeCell ref="P30:R30"/>
    <mergeCell ref="S30:T30"/>
    <mergeCell ref="U34:V34"/>
    <mergeCell ref="S31:T31"/>
    <mergeCell ref="S32:T32"/>
    <mergeCell ref="E31:G31"/>
    <mergeCell ref="H31:I31"/>
    <mergeCell ref="J31:K31"/>
    <mergeCell ref="L31:M31"/>
    <mergeCell ref="U31:V33"/>
    <mergeCell ref="A42:D42"/>
    <mergeCell ref="E29:F29"/>
    <mergeCell ref="E42:F42"/>
    <mergeCell ref="A30:D30"/>
    <mergeCell ref="E30:G30"/>
    <mergeCell ref="A41:D41"/>
    <mergeCell ref="E41:F41"/>
    <mergeCell ref="A37:D37"/>
    <mergeCell ref="E37:F37"/>
    <mergeCell ref="A23:D23"/>
    <mergeCell ref="U23:V23"/>
    <mergeCell ref="L19:M19"/>
    <mergeCell ref="A18:D18"/>
    <mergeCell ref="P41:Q41"/>
    <mergeCell ref="A33:D33"/>
    <mergeCell ref="E33:F33"/>
    <mergeCell ref="P33:Q33"/>
    <mergeCell ref="A34:D34"/>
    <mergeCell ref="E34:F34"/>
    <mergeCell ref="P34:Q34"/>
    <mergeCell ref="N31:O31"/>
    <mergeCell ref="P31:R31"/>
    <mergeCell ref="A32:D32"/>
    <mergeCell ref="E32:G32"/>
    <mergeCell ref="H32:I32"/>
    <mergeCell ref="J32:K32"/>
    <mergeCell ref="L32:M32"/>
    <mergeCell ref="N32:O32"/>
    <mergeCell ref="A31:D31"/>
    <mergeCell ref="P39:Q39"/>
    <mergeCell ref="A39:D39"/>
    <mergeCell ref="E39:F39"/>
    <mergeCell ref="P37:Q37"/>
    <mergeCell ref="U22:V22"/>
    <mergeCell ref="A21:D21"/>
    <mergeCell ref="U21:V21"/>
    <mergeCell ref="A22:D22"/>
    <mergeCell ref="E21:F21"/>
    <mergeCell ref="E22:F22"/>
    <mergeCell ref="P21:Q21"/>
    <mergeCell ref="J18:K18"/>
    <mergeCell ref="L18:M18"/>
    <mergeCell ref="E20:F20"/>
    <mergeCell ref="P20:Q20"/>
    <mergeCell ref="U18:V20"/>
    <mergeCell ref="N19:O19"/>
    <mergeCell ref="P19:R19"/>
    <mergeCell ref="S19:T19"/>
    <mergeCell ref="N18:O18"/>
    <mergeCell ref="P18:R18"/>
    <mergeCell ref="S18:T18"/>
    <mergeCell ref="E18:G18"/>
    <mergeCell ref="E19:G19"/>
    <mergeCell ref="H19:I19"/>
    <mergeCell ref="J19:K19"/>
    <mergeCell ref="U28:V28"/>
    <mergeCell ref="A25:D25"/>
    <mergeCell ref="U25:V25"/>
    <mergeCell ref="A28:D28"/>
    <mergeCell ref="E25:F25"/>
    <mergeCell ref="E28:F28"/>
    <mergeCell ref="P25:Q25"/>
    <mergeCell ref="P28:Q28"/>
    <mergeCell ref="U24:V24"/>
    <mergeCell ref="A26:D26"/>
    <mergeCell ref="E26:F26"/>
    <mergeCell ref="P26:Q26"/>
    <mergeCell ref="A27:D27"/>
    <mergeCell ref="E27:F27"/>
    <mergeCell ref="P27:Q27"/>
    <mergeCell ref="T26:T28"/>
    <mergeCell ref="U26:V26"/>
    <mergeCell ref="U27:V27"/>
    <mergeCell ref="A24:D24"/>
    <mergeCell ref="E24:F24"/>
    <mergeCell ref="P23:Q23"/>
    <mergeCell ref="P24:Q24"/>
    <mergeCell ref="A20:D20"/>
    <mergeCell ref="F9:H9"/>
    <mergeCell ref="K5:L5"/>
    <mergeCell ref="N5:O5"/>
    <mergeCell ref="E23:F23"/>
    <mergeCell ref="A44:V46"/>
    <mergeCell ref="A47:V51"/>
    <mergeCell ref="A10:C10"/>
    <mergeCell ref="F10:H10"/>
    <mergeCell ref="A11:C11"/>
    <mergeCell ref="F11:H11"/>
    <mergeCell ref="A17:V17"/>
    <mergeCell ref="A12:C12"/>
    <mergeCell ref="F12:H12"/>
    <mergeCell ref="A13:P13"/>
    <mergeCell ref="Q13:T13"/>
    <mergeCell ref="A14:P14"/>
    <mergeCell ref="Q14:T14"/>
    <mergeCell ref="A15:T15"/>
    <mergeCell ref="A16:T16"/>
    <mergeCell ref="P22:Q22"/>
    <mergeCell ref="A19:D19"/>
    <mergeCell ref="A8:C8"/>
    <mergeCell ref="A7:C7"/>
    <mergeCell ref="F7:H7"/>
    <mergeCell ref="H18:I18"/>
    <mergeCell ref="A1:V1"/>
    <mergeCell ref="A2:D2"/>
    <mergeCell ref="F2:I2"/>
    <mergeCell ref="K2:L2"/>
    <mergeCell ref="N2:O3"/>
    <mergeCell ref="Q2:R3"/>
    <mergeCell ref="S2:V2"/>
    <mergeCell ref="A6:C6"/>
    <mergeCell ref="F6:H6"/>
    <mergeCell ref="F5:I5"/>
    <mergeCell ref="A5:D5"/>
    <mergeCell ref="S5:T5"/>
    <mergeCell ref="N4:O4"/>
    <mergeCell ref="U5:V5"/>
    <mergeCell ref="S3:T4"/>
    <mergeCell ref="U3:V4"/>
    <mergeCell ref="U6:V8"/>
    <mergeCell ref="U9:V16"/>
    <mergeCell ref="F8:H8"/>
    <mergeCell ref="A9:C9"/>
  </mergeCells>
  <pageMargins left="1.0900000000000001" right="0.7" top="0.22" bottom="0.16" header="0.16" footer="0.11"/>
  <pageSetup paperSize="9" scale="4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D30"/>
  <sheetViews>
    <sheetView workbookViewId="0">
      <selection activeCell="F7" sqref="F7"/>
    </sheetView>
  </sheetViews>
  <sheetFormatPr defaultRowHeight="12.75" x14ac:dyDescent="0.2"/>
  <cols>
    <col min="1" max="1" width="34.7109375" style="382" customWidth="1"/>
    <col min="2" max="3" width="16.7109375" customWidth="1"/>
    <col min="4" max="4" width="12.7109375" customWidth="1"/>
  </cols>
  <sheetData>
    <row r="1" spans="1:4" ht="68.25" customHeight="1" thickBot="1" x14ac:dyDescent="0.25">
      <c r="A1" s="1415" t="s">
        <v>3014</v>
      </c>
      <c r="B1" s="1415"/>
      <c r="C1" s="1415"/>
      <c r="D1" s="1415"/>
    </row>
    <row r="2" spans="1:4" ht="15" customHeight="1" thickBot="1" x14ac:dyDescent="0.25">
      <c r="A2" s="426"/>
      <c r="B2" s="426"/>
      <c r="C2" s="1416" t="s">
        <v>2036</v>
      </c>
      <c r="D2" s="1417"/>
    </row>
    <row r="3" spans="1:4" ht="20.100000000000001" customHeight="1" thickBot="1" x14ac:dyDescent="0.25">
      <c r="A3" s="426"/>
      <c r="B3" s="426"/>
      <c r="C3" s="1418">
        <v>43056</v>
      </c>
      <c r="D3" s="1419"/>
    </row>
    <row r="4" spans="1:4" s="119" customFormat="1" ht="26.1" customHeight="1" thickBot="1" x14ac:dyDescent="0.25">
      <c r="A4" s="424" t="s">
        <v>2031</v>
      </c>
      <c r="B4" s="425" t="s">
        <v>2512</v>
      </c>
      <c r="C4" s="425" t="s">
        <v>2513</v>
      </c>
      <c r="D4" s="385" t="s">
        <v>2374</v>
      </c>
    </row>
    <row r="5" spans="1:4" ht="24" customHeight="1" thickBot="1" x14ac:dyDescent="0.25">
      <c r="A5" s="386" t="s">
        <v>2990</v>
      </c>
      <c r="B5" s="178">
        <f ca="1">COUNTIFS(worksheet!O3:O3865,"&gt;=0",worksheet!Y3:Y3865,"1",worksheet!AM3:AM3865,"&gt;31.12.2016",worksheet!AM3:AM3865,"&lt;01.02.2017")</f>
        <v>0</v>
      </c>
      <c r="C5" s="178">
        <f>COUNTIFS(worksheet!AR3:AR3865,"НЕТЕЛЬ",worksheet!Y3:Y3865,"1",worksheet!AM3:AM3865,"&gt;31.12.2016",worksheet!AM3:AM3865,"&lt;01.02.2017")</f>
        <v>0</v>
      </c>
      <c r="D5" s="385">
        <f ca="1">SUM(B5:C5)</f>
        <v>0</v>
      </c>
    </row>
    <row r="6" spans="1:4" ht="24" customHeight="1" thickBot="1" x14ac:dyDescent="0.25">
      <c r="A6" s="386" t="s">
        <v>2992</v>
      </c>
      <c r="B6" s="178">
        <f ca="1">COUNTIFS(worksheet!O3:O3865,"&gt;=0",worksheet!Y3:Y3865,"1",worksheet!AM3:AM3865,"&gt;31.01.2017",worksheet!AM3:AM3865,"&lt;01.03.2017")</f>
        <v>0</v>
      </c>
      <c r="C6" s="178">
        <f>COUNTIFS(worksheet!AR3:AR3865,"НЕТЕЛЬ",worksheet!Y3:Y3865,"1",worksheet!AM3:AM3865,"&gt;31.01.2017",worksheet!AM3:AM3865,"&lt;01.03.2017")</f>
        <v>0</v>
      </c>
      <c r="D6" s="385">
        <f t="shared" ref="D6:D29" ca="1" si="0">SUM(B6:C6)</f>
        <v>0</v>
      </c>
    </row>
    <row r="7" spans="1:4" ht="24" customHeight="1" thickBot="1" x14ac:dyDescent="0.25">
      <c r="A7" s="386" t="s">
        <v>2993</v>
      </c>
      <c r="B7" s="178">
        <f ca="1">COUNTIFS(worksheet!O3:O3865,"&gt;=0",worksheet!Y3:Y3865,"1",worksheet!AM3:AM3865,"&gt;28.02.2017",worksheet!AM3:AM3865,"&lt;01.04.2017")</f>
        <v>0</v>
      </c>
      <c r="C7" s="178">
        <f>COUNTIFS(worksheet!AR3:AR3865,"НЕТЕЛЬ",worksheet!Y3:Y3865,"1",worksheet!AM3:AM3865,"&gt;28.02.2017",worksheet!AM3:AM3865,"&lt;01.04.2017")</f>
        <v>0</v>
      </c>
      <c r="D7" s="385">
        <f t="shared" ca="1" si="0"/>
        <v>0</v>
      </c>
    </row>
    <row r="8" spans="1:4" ht="24" customHeight="1" thickBot="1" x14ac:dyDescent="0.25">
      <c r="A8" s="386" t="s">
        <v>2994</v>
      </c>
      <c r="B8" s="178">
        <f ca="1">COUNTIFS(worksheet!O3:O3865,"&gt;=0",worksheet!Y3:Y3865,"1",worksheet!AM3:AM3865,"&gt;31.03.2017",worksheet!AM3:AM3865,"&lt;01.05.2017")</f>
        <v>0</v>
      </c>
      <c r="C8" s="178">
        <f>COUNTIFS(worksheet!AR3:AR3865,"НЕТЕЛЬ",worksheet!Y3:Y3865,"1",worksheet!AM3:AM3865,"&gt;31.03.2017",worksheet!AM3:AM3865,"&lt;01.05.2017")</f>
        <v>0</v>
      </c>
      <c r="D8" s="385">
        <f t="shared" ca="1" si="0"/>
        <v>0</v>
      </c>
    </row>
    <row r="9" spans="1:4" ht="24" customHeight="1" thickBot="1" x14ac:dyDescent="0.25">
      <c r="A9" s="386" t="s">
        <v>2995</v>
      </c>
      <c r="B9" s="178">
        <f ca="1">COUNTIFS(worksheet!O3:O3865,"&gt;=0",worksheet!Y3:Y3865,"1",worksheet!AM3:AM3865,"&gt;30.04.2017",worksheet!AM3:AM3865,"&lt;01.06.2017")</f>
        <v>0</v>
      </c>
      <c r="C9" s="178">
        <f>COUNTIFS(worksheet!AR3:AR3865,"НЕТЕЛЬ",worksheet!Y3:Y3865,"1",worksheet!AM3:AM3865,"&gt;30.04.2017",worksheet!AM3:AM3865,"&lt;01.06.2017")</f>
        <v>0</v>
      </c>
      <c r="D9" s="385">
        <f t="shared" ca="1" si="0"/>
        <v>0</v>
      </c>
    </row>
    <row r="10" spans="1:4" ht="24" customHeight="1" thickBot="1" x14ac:dyDescent="0.25">
      <c r="A10" s="386" t="s">
        <v>2996</v>
      </c>
      <c r="B10" s="178">
        <f ca="1">COUNTIFS(worksheet!O3:O3865,"&gt;=0",worksheet!Y3:Y3865,"1",worksheet!AM3:AM3865,"&gt;31.05.2017",worksheet!AM3:AM3865,"&lt;01.07.2017")</f>
        <v>0</v>
      </c>
      <c r="C10" s="178">
        <f>COUNTIFS(worksheet!AR3:AR3865,"НЕТЕЛЬ",worksheet!Y3:Y3865,"1",worksheet!AM3:AM3865,"&gt;31.05.2017",worksheet!AM3:AM3865,"&lt;01.07.2017")</f>
        <v>0</v>
      </c>
      <c r="D10" s="385">
        <f t="shared" ca="1" si="0"/>
        <v>0</v>
      </c>
    </row>
    <row r="11" spans="1:4" ht="24" customHeight="1" thickBot="1" x14ac:dyDescent="0.25">
      <c r="A11" s="386" t="s">
        <v>2997</v>
      </c>
      <c r="B11" s="178">
        <f ca="1">COUNTIFS(worksheet!O3:O3865,"&gt;=0",worksheet!Y3:Y3865,"1",worksheet!AM3:AM3865,"&gt;30.06.2017",worksheet!AM3:AM3865,"&lt;01.08.2017")</f>
        <v>0</v>
      </c>
      <c r="C11" s="178">
        <f>COUNTIFS(worksheet!AR3:AR3865,"НЕТЕЛЬ",worksheet!Y3:Y3865,"1",worksheet!AM3:AM3865,"&gt;30.06.2017",worksheet!AM3:AM3865,"&lt;01.08.2017")</f>
        <v>0</v>
      </c>
      <c r="D11" s="385">
        <f t="shared" ca="1" si="0"/>
        <v>0</v>
      </c>
    </row>
    <row r="12" spans="1:4" ht="24" customHeight="1" thickBot="1" x14ac:dyDescent="0.25">
      <c r="A12" s="386" t="s">
        <v>2998</v>
      </c>
      <c r="B12" s="178">
        <f ca="1">COUNTIFS(worksheet!O3:O3865,"&gt;=0",worksheet!Y3:Y3865,"1",worksheet!AM3:AM3865,"&gt;31.07.2017",worksheet!AM3:AM3865,"&lt;01.09.2017")</f>
        <v>0</v>
      </c>
      <c r="C12" s="178">
        <f>COUNTIFS(worksheet!AR3:AR3865,"НЕТЕЛЬ",worksheet!Y3:Y3865,"1",worksheet!AM3:AM3865,"&gt;31.07.2017",worksheet!AM3:AM3865,"&lt;01.09.2017")</f>
        <v>0</v>
      </c>
      <c r="D12" s="385">
        <f t="shared" ca="1" si="0"/>
        <v>0</v>
      </c>
    </row>
    <row r="13" spans="1:4" ht="24" customHeight="1" thickBot="1" x14ac:dyDescent="0.25">
      <c r="A13" s="386" t="s">
        <v>2999</v>
      </c>
      <c r="B13" s="178">
        <f ca="1">COUNTIFS(worksheet!O3:O3865,"&gt;=0",worksheet!Y3:Y3865,"1",worksheet!AM3:AM3865,"&gt;31.08.2017",worksheet!AM3:AM3865,"&lt;01.10.2017")</f>
        <v>0</v>
      </c>
      <c r="C13" s="178">
        <f>COUNTIFS(worksheet!AR3:AR3865,"НЕТЕЛЬ",worksheet!Y3:Y3865,"1",worksheet!AM3:AM3865,"&gt;31.08.2017",worksheet!AM3:AM3865,"&lt;01.10.2017")</f>
        <v>0</v>
      </c>
      <c r="D13" s="385">
        <f t="shared" ca="1" si="0"/>
        <v>0</v>
      </c>
    </row>
    <row r="14" spans="1:4" ht="24" customHeight="1" thickBot="1" x14ac:dyDescent="0.25">
      <c r="A14" s="386" t="s">
        <v>3000</v>
      </c>
      <c r="B14" s="178">
        <f ca="1">COUNTIFS(worksheet!O3:O3865,"&gt;=0",worksheet!Y3:Y3865,"1",worksheet!AM3:AM3865,"&gt;30.09.2017",worksheet!AM3:AM3865,"&lt;01.11.2017")</f>
        <v>0</v>
      </c>
      <c r="C14" s="178">
        <f>COUNTIFS(worksheet!AR3:AR3865,"НЕТЕЛЬ",worksheet!Y3:Y3865,"1",worksheet!AM3:AM3865,"&gt;30.09.2017",worksheet!AM3:AM3865,"&lt;01.11.2017")</f>
        <v>0</v>
      </c>
      <c r="D14" s="385">
        <f t="shared" ca="1" si="0"/>
        <v>0</v>
      </c>
    </row>
    <row r="15" spans="1:4" ht="24" customHeight="1" thickBot="1" x14ac:dyDescent="0.25">
      <c r="A15" s="386" t="s">
        <v>3001</v>
      </c>
      <c r="B15" s="178">
        <f ca="1">COUNTIFS(worksheet!O3:O3865,"&gt;=0",worksheet!Y3:Y3865,"1",worksheet!AM3:AM3865,"&gt;31.10.2017",worksheet!AM3:AM3865,"&lt;01.12.2017")</f>
        <v>17</v>
      </c>
      <c r="C15" s="178">
        <f>COUNTIFS(worksheet!AR3:AR3865,"НЕТЕЛЬ",worksheet!Y3:Y3865,"1",worksheet!AM3:AM3865,"&gt;31.10.2017",worksheet!AM3:AM3865,"&lt;01.12.2017")</f>
        <v>1</v>
      </c>
      <c r="D15" s="385">
        <f t="shared" ca="1" si="0"/>
        <v>18</v>
      </c>
    </row>
    <row r="16" spans="1:4" ht="24" customHeight="1" thickBot="1" x14ac:dyDescent="0.25">
      <c r="A16" s="386" t="s">
        <v>3002</v>
      </c>
      <c r="B16" s="178">
        <f ca="1">COUNTIFS(worksheet!O3:O3865,"&gt;=0",worksheet!Y3:Y3865,"1",worksheet!AM3:AM3865,"&gt;30.11.2017",worksheet!AM3:AM3865,"&lt;01.01.2018")</f>
        <v>32</v>
      </c>
      <c r="C16" s="178">
        <f>COUNTIFS(worksheet!AR3:AR3865,"НЕТЕЛЬ",worksheet!Y3:Y3865,"1",worksheet!AM3:AM3865,"&gt;30.11.2017",worksheet!AM3:AM3865,"&lt;01.01.2018")</f>
        <v>18</v>
      </c>
      <c r="D16" s="385">
        <f t="shared" ca="1" si="0"/>
        <v>50</v>
      </c>
    </row>
    <row r="17" spans="1:4" ht="39.950000000000003" customHeight="1" thickBot="1" x14ac:dyDescent="0.25">
      <c r="A17" s="643" t="s">
        <v>3229</v>
      </c>
      <c r="B17" s="644">
        <f ca="1">SUM(B5:B16)</f>
        <v>49</v>
      </c>
      <c r="C17" s="644">
        <f t="shared" ref="C17:D17" si="1">SUM(C5:C16)</f>
        <v>19</v>
      </c>
      <c r="D17" s="645">
        <f t="shared" ca="1" si="1"/>
        <v>68</v>
      </c>
    </row>
    <row r="18" spans="1:4" ht="24" customHeight="1" thickBot="1" x14ac:dyDescent="0.25">
      <c r="A18" s="423" t="s">
        <v>2991</v>
      </c>
      <c r="B18" s="383">
        <f ca="1">COUNTIFS(worksheet!O3:O3865,"&gt;=0",worksheet!Y3:Y3865,"1",worksheet!AM3:AM3865,"&gt;31.12.2017",worksheet!AM3:AM3865,"&lt;01.02.2018")</f>
        <v>30</v>
      </c>
      <c r="C18" s="178">
        <f>COUNTIFS(worksheet!AR3:AR1762,"НЕТЕЛЬ",worksheet!Y3:Y1762,"1",worksheet!AM3:AM1762,"&gt;31.12.2017",worksheet!AM3:AM1762,"&lt;01.02.2018")</f>
        <v>25</v>
      </c>
      <c r="D18" s="385">
        <f t="shared" ca="1" si="0"/>
        <v>55</v>
      </c>
    </row>
    <row r="19" spans="1:4" ht="24" customHeight="1" thickBot="1" x14ac:dyDescent="0.25">
      <c r="A19" s="423" t="s">
        <v>3003</v>
      </c>
      <c r="B19" s="178">
        <f ca="1">COUNTIFS(worksheet!O3:O3865,"&gt;=0",worksheet!Y3:Y3865,"1",worksheet!AM3:AM3865,"&gt;31.01.2018",worksheet!AM3:AM3865,"&lt;01.03.2018")</f>
        <v>37</v>
      </c>
      <c r="C19" s="178">
        <f>COUNTIFS(worksheet!AR3:AR1762,"НЕТЕЛЬ",worksheet!Y3:Y1762,"1",worksheet!AM3:AM1762,"&gt;31.01.2018",worksheet!AM3:AM1762,"&lt;01.03.2018")</f>
        <v>46</v>
      </c>
      <c r="D19" s="385">
        <f t="shared" ca="1" si="0"/>
        <v>83</v>
      </c>
    </row>
    <row r="20" spans="1:4" ht="24" customHeight="1" thickBot="1" x14ac:dyDescent="0.25">
      <c r="A20" s="423" t="s">
        <v>3004</v>
      </c>
      <c r="B20" s="178">
        <f ca="1">COUNTIFS(worksheet!O3:O3865,"&gt;=0",worksheet!Y3:Y3865,"1",worksheet!AM3:AM3865,"&gt;28.02.2018",worksheet!AM3:AM3865,"&lt;01.04.2018")</f>
        <v>30</v>
      </c>
      <c r="C20" s="178">
        <f>COUNTIFS(worksheet!AR3:AR3865,"НЕТЕЛЬ",worksheet!Y3:Y3865,"1",worksheet!AM3:AM3865,"&gt;28.02.2018",worksheet!AM3:AM3865,"&lt;01.04.2018")</f>
        <v>46</v>
      </c>
      <c r="D20" s="385">
        <f t="shared" ca="1" si="0"/>
        <v>76</v>
      </c>
    </row>
    <row r="21" spans="1:4" ht="24" customHeight="1" thickBot="1" x14ac:dyDescent="0.25">
      <c r="A21" s="423" t="s">
        <v>3005</v>
      </c>
      <c r="B21" s="178">
        <f ca="1">COUNTIFS(worksheet!O3:O3865,"&gt;=0",worksheet!Y3:Y3865,"1",worksheet!AM3:AM3865,"&gt;31.03.2018",worksheet!AM3:AM3865,"&lt;01.05.2018")</f>
        <v>45</v>
      </c>
      <c r="C21" s="178">
        <f>COUNTIFS(worksheet!AR3:AR3865,"НЕТЕЛЬ",worksheet!Y3:Y3865,"1",worksheet!AM3:AM3865,"&gt;31.03.2018",worksheet!AM3:AM3865,"&lt;01.05.2018")</f>
        <v>27</v>
      </c>
      <c r="D21" s="385">
        <f t="shared" ca="1" si="0"/>
        <v>72</v>
      </c>
    </row>
    <row r="22" spans="1:4" ht="24" customHeight="1" thickBot="1" x14ac:dyDescent="0.25">
      <c r="A22" s="423" t="s">
        <v>3006</v>
      </c>
      <c r="B22" s="178">
        <f ca="1">COUNTIFS(worksheet!O3:O3865,"&gt;=0",worksheet!Y3:Y3865,"1",worksheet!AM3:AM3865,"&gt;30.04.2018",worksheet!AM3:AM3865,"&lt;01.06.2018")</f>
        <v>40</v>
      </c>
      <c r="C22" s="178">
        <f>COUNTIFS(worksheet!AR3:AR3865,"НЕТЕЛЬ",worksheet!Y3:Y3865,"1",worksheet!AM3:AM3865,"&gt;30.04.2018",worksheet!AM3:AM3865,"&lt;01.06.2018")</f>
        <v>42</v>
      </c>
      <c r="D22" s="385">
        <f t="shared" ca="1" si="0"/>
        <v>82</v>
      </c>
    </row>
    <row r="23" spans="1:4" ht="24" customHeight="1" thickBot="1" x14ac:dyDescent="0.25">
      <c r="A23" s="423" t="s">
        <v>3007</v>
      </c>
      <c r="B23" s="178">
        <f ca="1">COUNTIFS(worksheet!O3:O3865,"&gt;=0",worksheet!Y3:Y3865,"1",worksheet!AM3:AM3865,"&gt;31.05.2018",worksheet!AM3:AM3865,"&lt;01.07.2018")</f>
        <v>31</v>
      </c>
      <c r="C23" s="178">
        <f>COUNTIFS(worksheet!AR3:AR3865,"НЕТЕЛЬ",worksheet!Y3:Y3865,"1",worksheet!AM3:AM3865,"&gt;31.05.2018",worksheet!AM3:AM3865,"&lt;01.07.2018")</f>
        <v>9</v>
      </c>
      <c r="D23" s="385">
        <f t="shared" ca="1" si="0"/>
        <v>40</v>
      </c>
    </row>
    <row r="24" spans="1:4" ht="24" customHeight="1" thickBot="1" x14ac:dyDescent="0.25">
      <c r="A24" s="423" t="s">
        <v>3008</v>
      </c>
      <c r="B24" s="178">
        <f ca="1">COUNTIFS(worksheet!O3:O3865,"&gt;=0",worksheet!Y3:Y3865,"1",worksheet!AM3:AM3865,"&gt;30.06.2018",worksheet!AM3:AM3865,"&lt;01.08.2018")</f>
        <v>36</v>
      </c>
      <c r="C24" s="178">
        <f>COUNTIFS(worksheet!AR3:AR3865,"НЕТЕЛЬ",worksheet!Y3:Y3865,"1",worksheet!AM3:AM3865,"&gt;30.06.2017",worksheet!AM3:AM3865,"&lt;01.08.2017")</f>
        <v>0</v>
      </c>
      <c r="D24" s="385">
        <f t="shared" ca="1" si="0"/>
        <v>36</v>
      </c>
    </row>
    <row r="25" spans="1:4" ht="24" customHeight="1" thickBot="1" x14ac:dyDescent="0.25">
      <c r="A25" s="423" t="s">
        <v>3009</v>
      </c>
      <c r="B25" s="178">
        <f ca="1">COUNTIFS(worksheet!O3:O3865,"&gt;=0",worksheet!Y3:Y3865,"1",worksheet!AM3:AM3865,"&gt;31.07.2018",worksheet!AM3:AM3865,"&lt;01.09.2018")</f>
        <v>0</v>
      </c>
      <c r="C25" s="178">
        <f>COUNTIFS(worksheet!AR3:AR3865,"НЕТЕЛЬ",worksheet!Y3:Y3865,"1",worksheet!AM3:AM3865,"&gt;31.07.2018",worksheet!AM3:AM3865,"&lt;01.09.2018")</f>
        <v>0</v>
      </c>
      <c r="D25" s="385">
        <f t="shared" ca="1" si="0"/>
        <v>0</v>
      </c>
    </row>
    <row r="26" spans="1:4" ht="24" customHeight="1" thickBot="1" x14ac:dyDescent="0.25">
      <c r="A26" s="423" t="s">
        <v>3010</v>
      </c>
      <c r="B26" s="178">
        <f ca="1">COUNTIFS(worksheet!O3:O3865,"&gt;=0",worksheet!Y3:Y3865,"1",worksheet!AM3:AM3865,"&gt;31.08.2018",worksheet!AM3:AM3865,"&lt;01.10.2018")</f>
        <v>0</v>
      </c>
      <c r="C26" s="178">
        <f>COUNTIFS(worksheet!AR3:AR3865,"НЕТЕЛЬ",worksheet!Y3:Y3865,"1",worksheet!AM3:AM3865,"&gt;31.08.2018",worksheet!AM3:AM3865,"&lt;01.10.2018")</f>
        <v>0</v>
      </c>
      <c r="D26" s="385">
        <f t="shared" ca="1" si="0"/>
        <v>0</v>
      </c>
    </row>
    <row r="27" spans="1:4" ht="24" customHeight="1" thickBot="1" x14ac:dyDescent="0.25">
      <c r="A27" s="423" t="s">
        <v>3011</v>
      </c>
      <c r="B27" s="178">
        <f ca="1">COUNTIFS(worksheet!O3:O3865,"&gt;=0",worksheet!Y3:Y3865,"1",worksheet!AM3:AM3865,"&gt;30.09.2018",worksheet!AM3:AM3865,"&lt;01.11.2018")</f>
        <v>0</v>
      </c>
      <c r="C27" s="178">
        <f>COUNTIFS(worksheet!AR3:AR3865,"НЕТЕЛЬ",worksheet!Y3:Y3865,"1",worksheet!AM3:AM3865,"&gt;30.09.2018",worksheet!AM3:AM3865,"&lt;01.11.2018")</f>
        <v>0</v>
      </c>
      <c r="D27" s="385">
        <f t="shared" ca="1" si="0"/>
        <v>0</v>
      </c>
    </row>
    <row r="28" spans="1:4" ht="24" customHeight="1" thickBot="1" x14ac:dyDescent="0.25">
      <c r="A28" s="423" t="s">
        <v>3012</v>
      </c>
      <c r="B28" s="178">
        <f ca="1">COUNTIFS(worksheet!O3:O3865,"&gt;=0",worksheet!Y3:Y3865,"1",worksheet!AM3:AM3865,"&gt;31.10.2018",worksheet!AM3:AM3865,"&lt;01.12.2018")</f>
        <v>0</v>
      </c>
      <c r="C28" s="178">
        <f>COUNTIFS(worksheet!AR3:AR3865,"НЕТЕЛЬ",worksheet!Y3:Y3865,"1",worksheet!AM3:AM3865,"&gt;31.10.2018",worksheet!AM3:AM3865,"&lt;01.12.2018")</f>
        <v>0</v>
      </c>
      <c r="D28" s="385">
        <f t="shared" ca="1" si="0"/>
        <v>0</v>
      </c>
    </row>
    <row r="29" spans="1:4" ht="24" customHeight="1" thickBot="1" x14ac:dyDescent="0.25">
      <c r="A29" s="423" t="s">
        <v>3013</v>
      </c>
      <c r="B29" s="178">
        <f ca="1">COUNTIFS(worksheet!O3:O3865,"&gt;=0",worksheet!Y3:Y3865,"1",worksheet!AM3:AM3865,"&gt;30.11.2018",worksheet!AM3:AM3865,"&lt;01.01.2019")</f>
        <v>0</v>
      </c>
      <c r="C29" s="178">
        <f>COUNTIFS(worksheet!AR3:AR3865,"НЕТЕЛЬ",worksheet!Y3:Y3865,"1",worksheet!AM3:AM3865,"&gt;30.11.2018",worksheet!AM3:AM3865,"&lt;01.01.2019")</f>
        <v>0</v>
      </c>
      <c r="D29" s="385">
        <f t="shared" ca="1" si="0"/>
        <v>0</v>
      </c>
    </row>
    <row r="30" spans="1:4" ht="39.950000000000003" customHeight="1" thickBot="1" x14ac:dyDescent="0.25">
      <c r="A30" s="643" t="s">
        <v>3230</v>
      </c>
      <c r="B30" s="646">
        <f ca="1">SUM(B18:B29)</f>
        <v>249</v>
      </c>
      <c r="C30" s="644">
        <f t="shared" ref="C30" si="2">SUM(C18:C29)</f>
        <v>195</v>
      </c>
      <c r="D30" s="645">
        <f t="shared" ref="D30" ca="1" si="3">SUM(D18:D29)</f>
        <v>444</v>
      </c>
    </row>
  </sheetData>
  <mergeCells count="3">
    <mergeCell ref="A1:D1"/>
    <mergeCell ref="C2:D2"/>
    <mergeCell ref="C3:D3"/>
  </mergeCells>
  <printOptions horizontalCentered="1"/>
  <pageMargins left="0.70866141732283472" right="0.70866141732283472" top="0.5" bottom="0.39" header="0.31496062992125984" footer="0.31496062992125984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L21"/>
  <sheetViews>
    <sheetView workbookViewId="0">
      <selection activeCell="A20" sqref="A1:L21"/>
    </sheetView>
  </sheetViews>
  <sheetFormatPr defaultRowHeight="12.75" x14ac:dyDescent="0.2"/>
  <cols>
    <col min="1" max="12" width="11.7109375" customWidth="1"/>
  </cols>
  <sheetData>
    <row r="1" spans="1:12" ht="20.25" thickBot="1" x14ac:dyDescent="0.35">
      <c r="A1" s="1425" t="s">
        <v>2045</v>
      </c>
      <c r="B1" s="1425"/>
      <c r="C1" s="1425"/>
      <c r="D1" s="1425"/>
      <c r="E1" s="1425"/>
      <c r="F1" s="1425"/>
      <c r="G1" s="1425"/>
      <c r="H1" s="1425"/>
      <c r="I1" s="1425"/>
      <c r="J1" s="1425"/>
      <c r="K1" s="1425"/>
      <c r="L1" s="1425"/>
    </row>
    <row r="2" spans="1:12" ht="20.100000000000001" customHeight="1" thickBot="1" x14ac:dyDescent="0.25">
      <c r="A2" s="387"/>
      <c r="B2" s="1426">
        <f ca="1">TODAY()</f>
        <v>43134</v>
      </c>
      <c r="C2" s="1427"/>
      <c r="D2" s="1427"/>
      <c r="E2" s="1427"/>
      <c r="F2" s="1427"/>
      <c r="G2" s="1427"/>
      <c r="H2" s="1427"/>
      <c r="I2" s="1427"/>
      <c r="J2" s="1427"/>
      <c r="K2" s="1428"/>
      <c r="L2" s="388"/>
    </row>
    <row r="3" spans="1:12" ht="15.95" customHeight="1" thickBot="1" x14ac:dyDescent="0.25">
      <c r="A3" s="1429" t="s">
        <v>2046</v>
      </c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1"/>
    </row>
    <row r="4" spans="1:12" ht="51" thickBot="1" x14ac:dyDescent="0.25">
      <c r="A4" s="1432">
        <f ca="1">COUNTIF(worksheet!O3:O4865,"&gt;=0")</f>
        <v>558</v>
      </c>
      <c r="B4" s="1433"/>
      <c r="C4" s="1433"/>
      <c r="D4" s="1433"/>
      <c r="E4" s="1433"/>
      <c r="F4" s="1433"/>
      <c r="G4" s="1433"/>
      <c r="H4" s="1433"/>
      <c r="I4" s="1433"/>
      <c r="J4" s="1433"/>
      <c r="K4" s="1433"/>
      <c r="L4" s="1434"/>
    </row>
    <row r="5" spans="1:12" ht="13.5" thickBot="1" x14ac:dyDescent="0.25">
      <c r="A5" s="390" t="s">
        <v>2048</v>
      </c>
      <c r="B5" s="390" t="s">
        <v>2049</v>
      </c>
      <c r="C5" s="390" t="s">
        <v>2050</v>
      </c>
      <c r="D5" s="390" t="s">
        <v>2051</v>
      </c>
      <c r="E5" s="390" t="s">
        <v>2052</v>
      </c>
      <c r="F5" s="390" t="s">
        <v>2053</v>
      </c>
      <c r="G5" s="390" t="s">
        <v>2054</v>
      </c>
      <c r="H5" s="390" t="s">
        <v>2055</v>
      </c>
      <c r="I5" s="390" t="s">
        <v>2056</v>
      </c>
      <c r="J5" s="390" t="s">
        <v>2057</v>
      </c>
      <c r="K5" s="390" t="s">
        <v>2058</v>
      </c>
      <c r="L5" s="390" t="s">
        <v>2059</v>
      </c>
    </row>
    <row r="6" spans="1:12" ht="27" thickBot="1" x14ac:dyDescent="0.25">
      <c r="A6" s="389">
        <f>COUNTIF(worksheet!P3:P2092,"1")</f>
        <v>143</v>
      </c>
      <c r="B6" s="389">
        <f>COUNTIF(worksheet!P3:P2092,"2")</f>
        <v>231</v>
      </c>
      <c r="C6" s="389">
        <f>COUNTIF(worksheet!P3:P2092,"3")</f>
        <v>86</v>
      </c>
      <c r="D6" s="389">
        <f>COUNTIF(worksheet!P3:P2092,"4")</f>
        <v>57</v>
      </c>
      <c r="E6" s="389">
        <f>COUNTIF(worksheet!P3:P2092,"5")</f>
        <v>25</v>
      </c>
      <c r="F6" s="389">
        <f>COUNTIF(worksheet!P3:P2092,"6")</f>
        <v>11</v>
      </c>
      <c r="G6" s="389">
        <f>COUNTIF(worksheet!P3:P2092,"7")</f>
        <v>1</v>
      </c>
      <c r="H6" s="389">
        <f>COUNTIF(worksheet!P3:P2092,"8")</f>
        <v>0</v>
      </c>
      <c r="I6" s="389">
        <f>COUNTIF(worksheet!P3:P2092,"9")</f>
        <v>2</v>
      </c>
      <c r="J6" s="389">
        <f>COUNTIF(worksheet!P3:P2092,"10")</f>
        <v>1</v>
      </c>
      <c r="K6" s="389">
        <f>COUNTIF(worksheet!P3:P2092,"11")</f>
        <v>0</v>
      </c>
      <c r="L6" s="389">
        <f>COUNTIF(worksheet!P3:P2092,"12")</f>
        <v>0</v>
      </c>
    </row>
    <row r="7" spans="1:12" ht="16.5" thickBot="1" x14ac:dyDescent="0.25">
      <c r="A7" s="1435" t="s">
        <v>2060</v>
      </c>
      <c r="B7" s="1436"/>
      <c r="C7" s="1436"/>
      <c r="D7" s="1436"/>
      <c r="E7" s="1436"/>
      <c r="F7" s="1436"/>
      <c r="G7" s="1436"/>
      <c r="H7" s="1436"/>
      <c r="I7" s="1436"/>
      <c r="J7" s="1436"/>
      <c r="K7" s="1436"/>
      <c r="L7" s="1437"/>
    </row>
    <row r="8" spans="1:12" ht="15.95" customHeight="1" thickBot="1" x14ac:dyDescent="0.25">
      <c r="A8" s="391">
        <f ca="1">A6/A4</f>
        <v>0.25627240143369173</v>
      </c>
      <c r="B8" s="391">
        <f ca="1">B6/A4</f>
        <v>0.41397849462365593</v>
      </c>
      <c r="C8" s="391">
        <f ca="1">C6/A4</f>
        <v>0.15412186379928317</v>
      </c>
      <c r="D8" s="391">
        <f ca="1">D6/A4</f>
        <v>0.10215053763440861</v>
      </c>
      <c r="E8" s="391">
        <f ca="1">E6/A4</f>
        <v>4.4802867383512544E-2</v>
      </c>
      <c r="F8" s="391">
        <f ca="1">F6/A4</f>
        <v>1.9713261648745518E-2</v>
      </c>
      <c r="G8" s="391">
        <f ca="1">G6/A4</f>
        <v>1.7921146953405018E-3</v>
      </c>
      <c r="H8" s="391">
        <f ca="1">H6/A4</f>
        <v>0</v>
      </c>
      <c r="I8" s="391">
        <f ca="1">I6/A4</f>
        <v>3.5842293906810036E-3</v>
      </c>
      <c r="J8" s="391">
        <f ca="1">J6/A4</f>
        <v>1.7921146953405018E-3</v>
      </c>
      <c r="K8" s="391">
        <f ca="1">K6/A4</f>
        <v>0</v>
      </c>
      <c r="L8" s="391">
        <f ca="1">L6/A4</f>
        <v>0</v>
      </c>
    </row>
    <row r="9" spans="1:12" ht="15.95" customHeight="1" thickBot="1" x14ac:dyDescent="0.25">
      <c r="A9" s="1420" t="s">
        <v>2047</v>
      </c>
      <c r="B9" s="1421"/>
      <c r="C9" s="1421"/>
      <c r="D9" s="1421"/>
      <c r="E9" s="1421"/>
      <c r="F9" s="1421"/>
      <c r="G9" s="1421"/>
      <c r="H9" s="1421"/>
      <c r="I9" s="1421"/>
      <c r="J9" s="1422"/>
      <c r="K9" s="1423" t="s">
        <v>910</v>
      </c>
      <c r="L9" s="1424"/>
    </row>
    <row r="10" spans="1:12" ht="51" thickBot="1" x14ac:dyDescent="0.25">
      <c r="A10" s="1438">
        <f ca="1">COUNTIF(worksheet!O3:O4865,"&gt;-1")-COUNTIF(worksheet!AT3:AT4865,"dry cow")</f>
        <v>479</v>
      </c>
      <c r="B10" s="1439"/>
      <c r="C10" s="1439"/>
      <c r="D10" s="1439"/>
      <c r="E10" s="1439"/>
      <c r="F10" s="1439"/>
      <c r="G10" s="1439"/>
      <c r="H10" s="1439"/>
      <c r="I10" s="1439"/>
      <c r="J10" s="1440"/>
      <c r="K10" s="1441">
        <f>COUNTIF(worksheet!AT3:AT4865,"dry cow")</f>
        <v>79</v>
      </c>
      <c r="L10" s="1442"/>
    </row>
    <row r="11" spans="1:12" s="381" customFormat="1" ht="15.95" customHeight="1" thickBot="1" x14ac:dyDescent="0.25">
      <c r="A11" s="1464" t="s">
        <v>2984</v>
      </c>
      <c r="B11" s="1465"/>
      <c r="C11" s="1466"/>
      <c r="D11" s="1457" t="s">
        <v>2983</v>
      </c>
      <c r="E11" s="1458"/>
      <c r="F11" s="1457" t="s">
        <v>3017</v>
      </c>
      <c r="G11" s="1458"/>
      <c r="H11" s="1475" t="s">
        <v>2371</v>
      </c>
      <c r="I11" s="1475"/>
      <c r="J11" s="1477" t="s">
        <v>2987</v>
      </c>
      <c r="K11" s="1476" t="s">
        <v>2989</v>
      </c>
      <c r="L11" s="1476"/>
    </row>
    <row r="12" spans="1:12" s="213" customFormat="1" ht="39.950000000000003" customHeight="1" thickBot="1" x14ac:dyDescent="0.25">
      <c r="A12" s="1467" t="s">
        <v>2985</v>
      </c>
      <c r="B12" s="1468"/>
      <c r="C12" s="397" t="s">
        <v>2988</v>
      </c>
      <c r="D12" s="1459"/>
      <c r="E12" s="1460"/>
      <c r="F12" s="1459"/>
      <c r="G12" s="1460"/>
      <c r="H12" s="393" t="s">
        <v>3039</v>
      </c>
      <c r="I12" s="397" t="s">
        <v>2986</v>
      </c>
      <c r="J12" s="1478"/>
      <c r="K12" s="1476"/>
      <c r="L12" s="1476"/>
    </row>
    <row r="13" spans="1:12" s="213" customFormat="1" ht="27" customHeight="1" thickBot="1" x14ac:dyDescent="0.25">
      <c r="A13" s="1461">
        <f ca="1">COUNTIFS(worksheet!W3:W3865,"0",worksheet!Y3:Y3865,"0",worksheet!O3:O3865,"&gt;=0")-COUNTIFS(worksheet!W3:W3865,"0",worksheet!Y3:Y3865,"0",worksheet!O3:O3865,"&gt;-1",worksheet!AQ3:AQ3865,"Б*")+COUNTIFS(worksheet!O3:O3865,"&gt;=0",worksheet!Y3:Y3865,"5")</f>
        <v>79</v>
      </c>
      <c r="B13" s="1463"/>
      <c r="C13" s="396">
        <f ca="1">COUNTIFS(worksheet!W3:W3865,"0",worksheet!Y3:Y3865,"0",worksheet!O3:O3865,"&gt;=0",worksheet!AQ3:AQ3865,"Б*")-COUNTIFS(worksheet!AE3:AE3865,"ЯЛОВАЯ",worksheet!W3:W3865,"0",worksheet!Y3:Y3865,"0",worksheet!O3:O3865,"&gt;=0",worksheet!AQ3:AQ3865,"Б*")</f>
        <v>0</v>
      </c>
      <c r="D13" s="1461">
        <f ca="1">COUNTIFS(worksheet!O3:O2092,"&gt;-1",worksheet!Y3:Y2092,"3")+COUNTIFS(worksheet!O3:O3865,"&gt;=0",worksheet!Y3:Y3865,"2")</f>
        <v>131</v>
      </c>
      <c r="E13" s="1462"/>
      <c r="F13" s="1461">
        <f ca="1">COUNTIFS(worksheet!O3:O2092,"&gt;-1",worksheet!Y3:Y2092,"1")</f>
        <v>298</v>
      </c>
      <c r="G13" s="1463"/>
      <c r="H13" s="396">
        <f ca="1">COUNTIF(worksheet!AE3:AE3865,"ЯЛОВАЯ")+COUNTIFS(worksheet!Y3:Y3865,"0",worksheet!W3:W3865,"&gt;0",worksheet!O3:O3865,"&gt;=0",worksheet!O3:O3865,"&lt;120")-COUNTIFS(worksheet!AE3:AE3865,"ЯЛОВАЯ",worksheet!AQ3:AQ3865,"Б*")-COUNTIFS(worksheet!Y3:Y3865,"0",worksheet!W3:W3865,"&gt;0",worksheet!O3:O3865,"&gt;=0",worksheet!O3:O3865,"&lt;120",worksheet!AQ3:AQ3865,"Б*")</f>
        <v>48</v>
      </c>
      <c r="I13" s="396">
        <f ca="1">COUNTIFS(worksheet!AE3:AE3865,"ЯЛОВАЯ",worksheet!AQ3:AQ3865,"Б*")+COUNTIFS(worksheet!Y3:Y3865,"0",worksheet!W3:W3865,"&gt;0",worksheet!O3:O3865,"&gt;=0",worksheet!O3:O3865,"&lt;120",worksheet!AQ3:AQ3865,"Б*")</f>
        <v>33</v>
      </c>
      <c r="J13" s="394">
        <f>COUNTIF(worksheet!AQ3:AQ3865,"Б*")</f>
        <v>40</v>
      </c>
      <c r="K13" s="1479">
        <f ca="1">COUNTIFS(worksheet!O3:O3865,"&gt;=0",worksheet!O3:O3865,"&lt;65")</f>
        <v>0</v>
      </c>
      <c r="L13" s="1480"/>
    </row>
    <row r="14" spans="1:12" ht="20.100000000000001" customHeight="1" thickBot="1" x14ac:dyDescent="0.25">
      <c r="A14" s="1455">
        <f ca="1">IF(AND(A13&gt;0,A4&gt;0),A13/A4,"-")</f>
        <v>0.14157706093189965</v>
      </c>
      <c r="B14" s="1456"/>
      <c r="C14" s="392" t="str">
        <f ca="1">IF(AND(C13&gt;0,A4&gt;0),C13/A4,"-")</f>
        <v>-</v>
      </c>
      <c r="D14" s="1455">
        <f ca="1">IF(AND(D13&gt;0,A4&gt;0),D13/A4,"-")</f>
        <v>0.23476702508960573</v>
      </c>
      <c r="E14" s="1456"/>
      <c r="F14" s="1455">
        <f ca="1">IF(AND(F13&gt;0,A4&gt;0),F13/A4,"-")</f>
        <v>0.53405017921146958</v>
      </c>
      <c r="G14" s="1456"/>
      <c r="H14" s="1455">
        <f ca="1">IF(AND(OR(H13&gt;0,I13&gt;0),A4&gt;0),(H13+I13)/A4,"-")</f>
        <v>0.14516129032258066</v>
      </c>
      <c r="I14" s="1456"/>
      <c r="J14" s="395">
        <f ca="1">IF(AND(J13&gt;0,A4&gt;0),J13/A4,"-")</f>
        <v>7.1684587813620068E-2</v>
      </c>
      <c r="K14" s="1481">
        <f ca="1">K13/A10</f>
        <v>0</v>
      </c>
      <c r="L14" s="1482"/>
    </row>
    <row r="15" spans="1:12" ht="18" customHeight="1" thickBot="1" x14ac:dyDescent="0.25">
      <c r="A15" s="1443" t="s">
        <v>2929</v>
      </c>
      <c r="B15" s="1444"/>
      <c r="C15" s="1444"/>
      <c r="D15" s="1444"/>
      <c r="E15" s="1444"/>
      <c r="F15" s="1444"/>
      <c r="G15" s="1444"/>
      <c r="H15" s="1444"/>
      <c r="I15" s="1444"/>
      <c r="J15" s="1444"/>
      <c r="K15" s="1444"/>
      <c r="L15" s="1445"/>
    </row>
    <row r="16" spans="1:12" ht="45" thickBot="1" x14ac:dyDescent="0.25">
      <c r="A16" s="1446">
        <f>COUNTIF(worksheet!AR3:AR2100,"НЕТЕЛЬ")</f>
        <v>214</v>
      </c>
      <c r="B16" s="1447"/>
      <c r="C16" s="1447"/>
      <c r="D16" s="1447"/>
      <c r="E16" s="1447"/>
      <c r="F16" s="1447"/>
      <c r="G16" s="1447"/>
      <c r="H16" s="1447"/>
      <c r="I16" s="1447"/>
      <c r="J16" s="1447"/>
      <c r="K16" s="1447"/>
      <c r="L16" s="1448"/>
    </row>
    <row r="17" spans="1:12" ht="6.75" customHeight="1" thickBot="1" x14ac:dyDescent="0.25">
      <c r="A17" s="173"/>
      <c r="B17" s="173"/>
      <c r="C17" s="173"/>
      <c r="D17" s="173"/>
      <c r="E17" s="173"/>
      <c r="F17" s="173"/>
      <c r="G17" s="173"/>
      <c r="H17" s="173"/>
      <c r="I17" s="173"/>
      <c r="J17" s="173"/>
      <c r="K17" s="173"/>
      <c r="L17" s="173"/>
    </row>
    <row r="18" spans="1:12" x14ac:dyDescent="0.2">
      <c r="A18" s="1449" t="s">
        <v>2319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  <c r="L18" s="1451"/>
    </row>
    <row r="19" spans="1:12" ht="13.5" thickBot="1" x14ac:dyDescent="0.25">
      <c r="A19" s="1452"/>
      <c r="B19" s="1453"/>
      <c r="C19" s="1453"/>
      <c r="D19" s="1453"/>
      <c r="E19" s="1453"/>
      <c r="F19" s="1453"/>
      <c r="G19" s="1453"/>
      <c r="H19" s="1453"/>
      <c r="I19" s="1453"/>
      <c r="J19" s="1453"/>
      <c r="K19" s="1453"/>
      <c r="L19" s="1454"/>
    </row>
    <row r="20" spans="1:12" x14ac:dyDescent="0.2">
      <c r="A20" s="1469">
        <f>AVERAGE(worksheet!P3:P4169)</f>
        <v>2.3644524236983844</v>
      </c>
      <c r="B20" s="1470"/>
      <c r="C20" s="1470"/>
      <c r="D20" s="1470"/>
      <c r="E20" s="1470"/>
      <c r="F20" s="1470"/>
      <c r="G20" s="1470"/>
      <c r="H20" s="1470"/>
      <c r="I20" s="1470"/>
      <c r="J20" s="1470"/>
      <c r="K20" s="1470"/>
      <c r="L20" s="1471"/>
    </row>
    <row r="21" spans="1:12" ht="13.5" thickBot="1" x14ac:dyDescent="0.25">
      <c r="A21" s="1472"/>
      <c r="B21" s="1473"/>
      <c r="C21" s="1473"/>
      <c r="D21" s="1473"/>
      <c r="E21" s="1473"/>
      <c r="F21" s="1473"/>
      <c r="G21" s="1473"/>
      <c r="H21" s="1473"/>
      <c r="I21" s="1473"/>
      <c r="J21" s="1473"/>
      <c r="K21" s="1473"/>
      <c r="L21" s="1474"/>
    </row>
  </sheetData>
  <mergeCells count="29">
    <mergeCell ref="A20:L21"/>
    <mergeCell ref="H11:I11"/>
    <mergeCell ref="K11:L12"/>
    <mergeCell ref="J11:J12"/>
    <mergeCell ref="K13:L13"/>
    <mergeCell ref="H14:I14"/>
    <mergeCell ref="K14:L14"/>
    <mergeCell ref="A10:J10"/>
    <mergeCell ref="K10:L10"/>
    <mergeCell ref="A15:L15"/>
    <mergeCell ref="A16:L16"/>
    <mergeCell ref="A18:L19"/>
    <mergeCell ref="A14:B14"/>
    <mergeCell ref="D11:E12"/>
    <mergeCell ref="D13:E13"/>
    <mergeCell ref="F11:G12"/>
    <mergeCell ref="F13:G13"/>
    <mergeCell ref="D14:E14"/>
    <mergeCell ref="F14:G14"/>
    <mergeCell ref="A11:C11"/>
    <mergeCell ref="A12:B12"/>
    <mergeCell ref="A13:B13"/>
    <mergeCell ref="A9:J9"/>
    <mergeCell ref="K9:L9"/>
    <mergeCell ref="A1:L1"/>
    <mergeCell ref="B2:K2"/>
    <mergeCell ref="A3:L3"/>
    <mergeCell ref="A4:L4"/>
    <mergeCell ref="A7:L7"/>
  </mergeCells>
  <printOptions horizontalCentered="1"/>
  <pageMargins left="0.15748031496062992" right="0.15748031496062992" top="0.74803149606299213" bottom="0.74803149606299213" header="0.31496062992125984" footer="0.31496062992125984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M96"/>
  <sheetViews>
    <sheetView zoomScale="110" zoomScaleNormal="110" workbookViewId="0">
      <selection activeCell="A95" sqref="A1:M96"/>
    </sheetView>
  </sheetViews>
  <sheetFormatPr defaultRowHeight="12.75" x14ac:dyDescent="0.2"/>
  <cols>
    <col min="1" max="1" width="18.7109375" style="380" customWidth="1"/>
    <col min="2" max="2" width="6" style="379" customWidth="1"/>
    <col min="3" max="13" width="6" customWidth="1"/>
  </cols>
  <sheetData>
    <row r="1" spans="1:13" x14ac:dyDescent="0.2">
      <c r="A1" s="398"/>
      <c r="B1" s="399"/>
      <c r="C1" s="173"/>
      <c r="D1" s="173"/>
      <c r="E1" s="173"/>
      <c r="F1" s="173"/>
      <c r="G1" s="173"/>
      <c r="H1" s="173"/>
      <c r="I1" s="173"/>
      <c r="J1" s="1509" t="s">
        <v>2036</v>
      </c>
      <c r="K1" s="1509"/>
      <c r="L1" s="1509"/>
      <c r="M1" s="1509"/>
    </row>
    <row r="2" spans="1:13" s="408" customFormat="1" ht="15.95" customHeight="1" x14ac:dyDescent="0.2">
      <c r="A2" s="406"/>
      <c r="B2" s="407"/>
      <c r="J2" s="1510">
        <f ca="1">TODAY()</f>
        <v>43134</v>
      </c>
      <c r="K2" s="1511"/>
      <c r="L2" s="1511"/>
      <c r="M2" s="1511"/>
    </row>
    <row r="3" spans="1:13" ht="20.100000000000001" customHeight="1" x14ac:dyDescent="0.2">
      <c r="A3" s="398"/>
      <c r="B3" s="1512" t="s">
        <v>2038</v>
      </c>
      <c r="C3" s="1512"/>
      <c r="D3" s="1512"/>
      <c r="E3" s="1512"/>
      <c r="F3" s="1512"/>
      <c r="G3" s="1512"/>
      <c r="H3" s="1197" t="s">
        <v>2037</v>
      </c>
      <c r="I3" s="1197"/>
      <c r="J3" s="1198"/>
      <c r="K3" s="1198"/>
      <c r="L3" s="1198"/>
      <c r="M3" s="1198"/>
    </row>
    <row r="4" spans="1:13" x14ac:dyDescent="0.2">
      <c r="A4" s="398"/>
      <c r="B4" s="1513" t="s">
        <v>2032</v>
      </c>
      <c r="C4" s="1514"/>
      <c r="D4" s="1513" t="s">
        <v>2033</v>
      </c>
      <c r="E4" s="1514"/>
      <c r="F4" s="1513" t="s">
        <v>2034</v>
      </c>
      <c r="G4" s="1514"/>
      <c r="H4" s="1242" t="s">
        <v>2032</v>
      </c>
      <c r="I4" s="1243"/>
      <c r="J4" s="1242" t="s">
        <v>2035</v>
      </c>
      <c r="K4" s="1243"/>
      <c r="L4" s="1242" t="s">
        <v>2034</v>
      </c>
      <c r="M4" s="1243"/>
    </row>
    <row r="5" spans="1:13" ht="23.25" x14ac:dyDescent="0.2">
      <c r="A5" s="398"/>
      <c r="B5" s="1501">
        <v>165</v>
      </c>
      <c r="C5" s="1502"/>
      <c r="D5" s="1503">
        <f ca="1">AVERAGEIFS(worksheet!O3:O2092,worksheet!N3:N2092,"&gt;0",worksheet!AT3:AT2092,"&lt;&gt;DRY COW")</f>
        <v>265.07933194154487</v>
      </c>
      <c r="E5" s="1504"/>
      <c r="F5" s="1505">
        <f ca="1">B5-D5</f>
        <v>-100.07933194154487</v>
      </c>
      <c r="G5" s="1506"/>
      <c r="H5" s="1507">
        <v>120</v>
      </c>
      <c r="I5" s="1508"/>
      <c r="J5" s="1503">
        <f>AVERAGEIFS(worksheet!X3:X1592,worksheet!Y3:Y1592,"1")</f>
        <v>120.73489932885906</v>
      </c>
      <c r="K5" s="1504"/>
      <c r="L5" s="1202">
        <f>H5-J5</f>
        <v>-0.73489932885905773</v>
      </c>
      <c r="M5" s="1203"/>
    </row>
    <row r="6" spans="1:13" ht="4.5" customHeight="1" thickBot="1" x14ac:dyDescent="0.25">
      <c r="A6" s="398"/>
      <c r="B6" s="410"/>
      <c r="C6" s="409"/>
      <c r="D6" s="409"/>
      <c r="E6" s="409"/>
      <c r="F6" s="409"/>
      <c r="G6" s="409"/>
      <c r="H6" s="409"/>
      <c r="I6" s="409"/>
      <c r="J6" s="409"/>
      <c r="K6" s="409"/>
      <c r="L6" s="409"/>
      <c r="M6" s="409"/>
    </row>
    <row r="7" spans="1:13" ht="18" customHeight="1" thickTop="1" thickBot="1" x14ac:dyDescent="0.25">
      <c r="A7" s="398"/>
      <c r="B7" s="1498" t="s">
        <v>2981</v>
      </c>
      <c r="C7" s="1499"/>
      <c r="D7" s="1499"/>
      <c r="E7" s="1499"/>
      <c r="F7" s="1499"/>
      <c r="G7" s="1499"/>
      <c r="H7" s="1499"/>
      <c r="I7" s="1499"/>
      <c r="J7" s="1499"/>
      <c r="K7" s="1499"/>
      <c r="L7" s="1499"/>
      <c r="M7" s="1500"/>
    </row>
    <row r="8" spans="1:13" ht="13.5" thickBot="1" x14ac:dyDescent="0.25">
      <c r="A8" s="398"/>
      <c r="B8" s="1495" t="s">
        <v>2031</v>
      </c>
      <c r="C8" s="1496"/>
      <c r="D8" s="1496"/>
      <c r="E8" s="1496"/>
      <c r="F8" s="1496"/>
      <c r="G8" s="1496"/>
      <c r="H8" s="1496"/>
      <c r="I8" s="1496"/>
      <c r="J8" s="1496"/>
      <c r="K8" s="1496"/>
      <c r="L8" s="1496"/>
      <c r="M8" s="1497"/>
    </row>
    <row r="9" spans="1:13" ht="45" customHeight="1" thickBot="1" x14ac:dyDescent="0.25">
      <c r="A9" s="398"/>
      <c r="B9" s="403" t="s">
        <v>2018</v>
      </c>
      <c r="C9" s="404" t="s">
        <v>2019</v>
      </c>
      <c r="D9" s="404" t="s">
        <v>2020</v>
      </c>
      <c r="E9" s="404" t="s">
        <v>2021</v>
      </c>
      <c r="F9" s="404" t="s">
        <v>2022</v>
      </c>
      <c r="G9" s="404" t="s">
        <v>2023</v>
      </c>
      <c r="H9" s="404" t="s">
        <v>2024</v>
      </c>
      <c r="I9" s="404" t="s">
        <v>2025</v>
      </c>
      <c r="J9" s="404" t="s">
        <v>2026</v>
      </c>
      <c r="K9" s="404" t="s">
        <v>2027</v>
      </c>
      <c r="L9" s="404" t="s">
        <v>2028</v>
      </c>
      <c r="M9" s="405" t="s">
        <v>2029</v>
      </c>
    </row>
    <row r="10" spans="1:13" ht="12" customHeight="1" thickBot="1" x14ac:dyDescent="0.25">
      <c r="A10" s="401">
        <v>1</v>
      </c>
      <c r="B10" s="420">
        <f ca="1">COUNTIFS(worksheet!O3:O4864,"&gt;=0",worksheet!Y3:Y4864,"3",worksheet!T3:T4864,"=01.01.17")</f>
        <v>0</v>
      </c>
      <c r="C10" s="420">
        <f ca="1">COUNTIFS(worksheet!O3:O4864,"&gt;=0",worksheet!Y3:Y4864,"3",worksheet!T3:T4864,"=01.02.17")</f>
        <v>0</v>
      </c>
      <c r="D10" s="420">
        <f ca="1">COUNTIFS(worksheet!O3:O4864,"&gt;=0",worksheet!Y3:Y4864,"3",worksheet!T3:T4864,"=01.03.17")</f>
        <v>0</v>
      </c>
      <c r="E10" s="420">
        <f ca="1">COUNTIFS(worksheet!O3:O4864,"&gt;=0",worksheet!Y3:Y4864,"3",worksheet!T3:T4864,"=01.04.17")</f>
        <v>0</v>
      </c>
      <c r="F10" s="420">
        <f ca="1">COUNTIFS(worksheet!O3:O4864,"&gt;=0",worksheet!Y3:Y4864,"3",worksheet!T3:T4864,"=01.05.17")</f>
        <v>0</v>
      </c>
      <c r="G10" s="420">
        <f ca="1">COUNTIFS(worksheet!O3:O4864,"&gt;=0",worksheet!Y3:Y4864,"3",worksheet!T3:T4864,"=01.06.17")</f>
        <v>0</v>
      </c>
      <c r="H10" s="420">
        <f ca="1">COUNTIFS(worksheet!O3:O4864,"&gt;=0",worksheet!Y3:Y4864,"3",worksheet!T3:T4864,"=01.07.17")</f>
        <v>0</v>
      </c>
      <c r="I10" s="420">
        <f ca="1">COUNTIFS(worksheet!O3:O4864,"&gt;=0",worksheet!Y3:Y4864,"3",worksheet!T3:T4864,"=01.08.17")</f>
        <v>0</v>
      </c>
      <c r="J10" s="420">
        <f ca="1">COUNTIFS(worksheet!O3:O4864,"&gt;=0",worksheet!Y3:Y4864,"3",worksheet!T3:T4864,"=01.09.17")</f>
        <v>0</v>
      </c>
      <c r="K10" s="420">
        <f ca="1">COUNTIFS(worksheet!O3:O4864,"&gt;=0",worksheet!Y3:Y4864,"3",worksheet!T3:T4864,"=01.10.17")</f>
        <v>0</v>
      </c>
      <c r="L10" s="420">
        <f ca="1">COUNTIFS(worksheet!O3:O4864,"&gt;=0",worksheet!Y3:Y4864,"3",worksheet!T3:T4864,"=01.11.17")</f>
        <v>0</v>
      </c>
      <c r="M10" s="420">
        <f ca="1">COUNTIFS(worksheet!O3:O4864,"&gt;=0",worksheet!Y3:Y4864,"3",worksheet!T3:T4864,"=01.12.17")</f>
        <v>0</v>
      </c>
    </row>
    <row r="11" spans="1:13" ht="12" customHeight="1" thickBot="1" x14ac:dyDescent="0.25">
      <c r="A11" s="401">
        <v>2</v>
      </c>
      <c r="B11" s="420">
        <f ca="1">COUNTIFS(worksheet!O3:O4864,"&gt;=0",worksheet!Y3:Y4864,"3",worksheet!T3:T4864,"=02.01.17")</f>
        <v>0</v>
      </c>
      <c r="C11" s="420">
        <f ca="1">COUNTIFS(worksheet!O3:O4864,"&gt;=0",worksheet!Y3:Y4864,"3",worksheet!T3:T4864,"=02.02.17")</f>
        <v>0</v>
      </c>
      <c r="D11" s="420">
        <f ca="1">COUNTIFS(worksheet!O3:O4864,"&gt;=0",worksheet!Y3:Y4864,"3",worksheet!T3:T4864,"=02.03.17")</f>
        <v>0</v>
      </c>
      <c r="E11" s="420">
        <f ca="1">COUNTIFS(worksheet!O3:O4864,"&gt;=0",worksheet!Y3:Y4864,"3",worksheet!T3:T4864,"=02.04.17")</f>
        <v>0</v>
      </c>
      <c r="F11" s="420">
        <f ca="1">COUNTIFS(worksheet!O3:O4864,"&gt;=0",worksheet!Y3:Y4864,"3",worksheet!T3:T4864,"=02.05.17")</f>
        <v>0</v>
      </c>
      <c r="G11" s="420">
        <f ca="1">COUNTIFS(worksheet!O3:O4864,"&gt;=0",worksheet!Y3:Y4864,"3",worksheet!T3:T4864,"=02.06.17")</f>
        <v>0</v>
      </c>
      <c r="H11" s="420">
        <f ca="1">COUNTIFS(worksheet!O3:O4864,"&gt;=0",worksheet!Y3:Y4864,"3",worksheet!T3:T4864,"=02.07.17")</f>
        <v>0</v>
      </c>
      <c r="I11" s="420">
        <f ca="1">COUNTIFS(worksheet!O3:O4864,"&gt;=0",worksheet!Y3:Y4864,"3",worksheet!T3:T4864,"=02.08.17")</f>
        <v>0</v>
      </c>
      <c r="J11" s="420">
        <f ca="1">COUNTIFS(worksheet!O3:O4864,"&gt;=0",worksheet!Y3:Y4864,"3",worksheet!T3:T4864,"=02.09.17")</f>
        <v>0</v>
      </c>
      <c r="K11" s="420">
        <f ca="1">COUNTIFS(worksheet!O3:O4864,"&gt;=0",worksheet!Y3:Y4864,"3",worksheet!T3:T4864,"=02.10.17")</f>
        <v>0</v>
      </c>
      <c r="L11" s="420">
        <f ca="1">COUNTIFS(worksheet!O3:O4864,"&gt;=0",worksheet!Y3:Y4864,"3",worksheet!T3:T4864,"=02.11.17")</f>
        <v>6</v>
      </c>
      <c r="M11" s="420">
        <f ca="1">COUNTIFS(worksheet!O3:O4864,"&gt;=0",worksheet!Y3:Y4864,"3",worksheet!T3:T4864,"=02.12.17")</f>
        <v>0</v>
      </c>
    </row>
    <row r="12" spans="1:13" ht="12" customHeight="1" thickBot="1" x14ac:dyDescent="0.25">
      <c r="A12" s="401">
        <v>3</v>
      </c>
      <c r="B12" s="420">
        <f ca="1">COUNTIFS(worksheet!O3:O4864,"&gt;=0",worksheet!Y3:Y4864,"3",worksheet!T3:T4864,"=03.01.17")</f>
        <v>0</v>
      </c>
      <c r="C12" s="420">
        <f ca="1">COUNTIFS(worksheet!O3:O4864,"&gt;=0",worksheet!Y3:Y4864,"3",worksheet!T3:T4864,"=03.02.17")</f>
        <v>0</v>
      </c>
      <c r="D12" s="420">
        <f ca="1">COUNTIFS(worksheet!O3:O4864,"&gt;=0",worksheet!Y3:Y4864,"3",worksheet!T3:T4864,"=03.03.17")</f>
        <v>0</v>
      </c>
      <c r="E12" s="420">
        <f ca="1">COUNTIFS(worksheet!O3:O4864,"&gt;=0",worksheet!Y3:Y4864,"3",worksheet!T3:T4864,"=03.04.17")</f>
        <v>0</v>
      </c>
      <c r="F12" s="420">
        <f ca="1">COUNTIFS(worksheet!O3:O4864,"&gt;=0",worksheet!Y3:Y4864,"3",worksheet!T3:T4864,"=03.05.17")</f>
        <v>0</v>
      </c>
      <c r="G12" s="420">
        <f ca="1">COUNTIFS(worksheet!O3:O4864,"&gt;=0",worksheet!Y3:Y4864,"3",worksheet!T3:T4864,"=03.06.17")</f>
        <v>0</v>
      </c>
      <c r="H12" s="420">
        <f ca="1">COUNTIFS(worksheet!O3:O4864,"&gt;=0",worksheet!Y3:Y4864,"3",worksheet!T3:T4864,"=03.07.17")</f>
        <v>0</v>
      </c>
      <c r="I12" s="420">
        <f ca="1">COUNTIFS(worksheet!O3:O4864,"&gt;=0",worksheet!Y3:Y4864,"3",worksheet!T3:T4864,"=03.08.17")</f>
        <v>0</v>
      </c>
      <c r="J12" s="420">
        <f ca="1">COUNTIFS(worksheet!O3:O4864,"&gt;=0",worksheet!Y3:Y4864,"3",worksheet!T3:T4864,"=03.09.17")</f>
        <v>0</v>
      </c>
      <c r="K12" s="420">
        <f ca="1">COUNTIFS(worksheet!O3:O4864,"&gt;=0",worksheet!Y3:Y4864,"3",worksheet!T3:T4864,"=03.10.17")</f>
        <v>0</v>
      </c>
      <c r="L12" s="420">
        <f ca="1">COUNTIFS(worksheet!O3:O4864,"&gt;=0",worksheet!Y3:Y4864,"3",worksheet!T3:T4864,"=03.11.17")</f>
        <v>10</v>
      </c>
      <c r="M12" s="420">
        <f ca="1">COUNTIFS(worksheet!O3:O4864,"&gt;=0",worksheet!Y3:Y4864,"3",worksheet!T3:T4864,"=03.12.17")</f>
        <v>0</v>
      </c>
    </row>
    <row r="13" spans="1:13" ht="12" customHeight="1" thickBot="1" x14ac:dyDescent="0.25">
      <c r="A13" s="401">
        <v>4</v>
      </c>
      <c r="B13" s="420">
        <f ca="1">COUNTIFS(worksheet!O3:O4864,"&gt;=0",worksheet!Y3:Y4864,"3",worksheet!T3:T4864,"=04.01.17")</f>
        <v>0</v>
      </c>
      <c r="C13" s="420">
        <f ca="1">COUNTIFS(worksheet!O3:O4864,"&gt;=0",worksheet!Y3:Y4864,"3",worksheet!T3:T4864,"=04.02.17")</f>
        <v>0</v>
      </c>
      <c r="D13" s="420">
        <f ca="1">COUNTIFS(worksheet!O3:O4864,"&gt;=0",worksheet!Y3:Y4864,"3",worksheet!T3:T4864,"=04.03.17")</f>
        <v>0</v>
      </c>
      <c r="E13" s="420">
        <f ca="1">COUNTIFS(worksheet!O3:O4864,"&gt;=0",worksheet!Y3:Y4864,"3",worksheet!T3:T4864,"=04.04.17")</f>
        <v>0</v>
      </c>
      <c r="F13" s="420">
        <f ca="1">COUNTIFS(worksheet!O3:O4864,"&gt;=0",worksheet!Y3:Y4864,"3",worksheet!T3:T4864,"=04.05.17")</f>
        <v>0</v>
      </c>
      <c r="G13" s="420">
        <f ca="1">COUNTIFS(worksheet!O3:O4864,"&gt;=0",worksheet!Y3:Y4864,"3",worksheet!T3:T4864,"=04.06.17")</f>
        <v>0</v>
      </c>
      <c r="H13" s="420">
        <f ca="1">COUNTIFS(worksheet!O3:O4864,"&gt;=0",worksheet!Y3:Y4864,"3",worksheet!T3:T4864,"=04.07.17")</f>
        <v>0</v>
      </c>
      <c r="I13" s="420">
        <f ca="1">COUNTIFS(worksheet!O3:O4864,"&gt;=0",worksheet!Y3:Y4864,"3",worksheet!T3:T4864,"=04.08.17")</f>
        <v>0</v>
      </c>
      <c r="J13" s="420">
        <f ca="1">COUNTIFS(worksheet!O3:O4864,"&gt;=0",worksheet!Y3:Y4864,"3",worksheet!T3:T4864,"=04.09.17")</f>
        <v>0</v>
      </c>
      <c r="K13" s="420">
        <f ca="1">COUNTIFS(worksheet!O3:O4864,"&gt;=0",worksheet!Y3:Y4864,"3",worksheet!T3:T4864,"=04.10.17")</f>
        <v>0</v>
      </c>
      <c r="L13" s="420">
        <f ca="1">COUNTIFS(worksheet!O3:O4864,"&gt;=0",worksheet!Y3:Y4864,"3",worksheet!T3:T4864,"=04.11.17")</f>
        <v>3</v>
      </c>
      <c r="M13" s="420">
        <f ca="1">COUNTIFS(worksheet!O3:O4864,"&gt;=0",worksheet!Y3:Y4864,"3",worksheet!T3:T4864,"=04.12.17")</f>
        <v>0</v>
      </c>
    </row>
    <row r="14" spans="1:13" ht="12" customHeight="1" thickBot="1" x14ac:dyDescent="0.25">
      <c r="A14" s="401">
        <v>5</v>
      </c>
      <c r="B14" s="420">
        <f ca="1">COUNTIFS(worksheet!O3:O4864,"&gt;=0",worksheet!Y3:Y4864,"3",worksheet!T3:T4864,"=05.01.17")</f>
        <v>0</v>
      </c>
      <c r="C14" s="420">
        <f ca="1">COUNTIFS(worksheet!O3:O4864,"&gt;=0",worksheet!Y3:Y4864,"3",worksheet!T3:T4864,"=05.02.17")</f>
        <v>0</v>
      </c>
      <c r="D14" s="420">
        <f ca="1">COUNTIFS(worksheet!O3:O4864,"&gt;=0",worksheet!Y3:Y4864,"3",worksheet!T3:T4864,"=05.03.17")</f>
        <v>0</v>
      </c>
      <c r="E14" s="420">
        <f ca="1">COUNTIFS(worksheet!O3:O4864,"&gt;=0",worksheet!Y3:Y4864,"3",worksheet!T3:T4864,"=05.04.17")</f>
        <v>0</v>
      </c>
      <c r="F14" s="420">
        <f ca="1">COUNTIFS(worksheet!O3:O4864,"&gt;=0",worksheet!Y3:Y4864,"3",worksheet!T3:T4864,"=05.05.17")</f>
        <v>0</v>
      </c>
      <c r="G14" s="420">
        <f ca="1">COUNTIFS(worksheet!O3:O4864,"&gt;=0",worksheet!Y3:Y4864,"3",worksheet!T3:T4864,"=05.06.17")</f>
        <v>0</v>
      </c>
      <c r="H14" s="420">
        <f ca="1">COUNTIFS(worksheet!O3:O4864,"&gt;=0",worksheet!Y3:Y4864,"3",worksheet!T3:T4864,"=05.07.17")</f>
        <v>0</v>
      </c>
      <c r="I14" s="420">
        <f ca="1">COUNTIFS(worksheet!O3:O4864,"&gt;=0",worksheet!Y3:Y4864,"3",worksheet!T3:T4864,"=05.08.17")</f>
        <v>0</v>
      </c>
      <c r="J14" s="420">
        <f ca="1">COUNTIFS(worksheet!O3:O4864,"&gt;=0",worksheet!Y3:Y4864,"3",worksheet!T3:T4864,"=05.09.17")</f>
        <v>0</v>
      </c>
      <c r="K14" s="420">
        <f ca="1">COUNTIFS(worksheet!O3:O4864,"&gt;=0",worksheet!Y3:Y4864,"3",worksheet!T3:T4864,"=05.10.17")</f>
        <v>0</v>
      </c>
      <c r="L14" s="420">
        <f ca="1">COUNTIFS(worksheet!O3:O4864,"&gt;=0",worksheet!Y3:Y4864,"3",worksheet!T3:T4864,"=05.11.17")</f>
        <v>2</v>
      </c>
      <c r="M14" s="420">
        <f ca="1">COUNTIFS(worksheet!O3:O4864,"&gt;=0",worksheet!Y3:Y4864,"3",worksheet!T3:T4864,"=05.12.17")</f>
        <v>0</v>
      </c>
    </row>
    <row r="15" spans="1:13" ht="12" customHeight="1" thickBot="1" x14ac:dyDescent="0.25">
      <c r="A15" s="401">
        <v>6</v>
      </c>
      <c r="B15" s="420">
        <f ca="1">COUNTIFS(worksheet!O3:O4864,"&gt;=0",worksheet!Y3:Y4864,"3",worksheet!T3:T4864,"=06.01.17")</f>
        <v>0</v>
      </c>
      <c r="C15" s="420">
        <f ca="1">COUNTIFS(worksheet!O3:O4864,"&gt;=0",worksheet!Y3:Y4864,"3",worksheet!T3:T4864,"=06.02.17")</f>
        <v>0</v>
      </c>
      <c r="D15" s="420">
        <f ca="1">COUNTIFS(worksheet!O3:O4864,"&gt;=0",worksheet!Y3:Y4864,"3",worksheet!T3:T4864,"=06.03.17")</f>
        <v>0</v>
      </c>
      <c r="E15" s="420">
        <f ca="1">COUNTIFS(worksheet!O3:O4864,"&gt;=0",worksheet!Y3:Y4864,"3",worksheet!T3:T4864,"=06.04.17")</f>
        <v>0</v>
      </c>
      <c r="F15" s="420">
        <f ca="1">COUNTIFS(worksheet!O3:O4864,"&gt;=0",worksheet!Y3:Y4864,"3",worksheet!T3:T4864,"=06.05.17")</f>
        <v>0</v>
      </c>
      <c r="G15" s="420">
        <f ca="1">COUNTIFS(worksheet!O3:O4864,"&gt;=0",worksheet!Y3:Y4864,"3",worksheet!T3:T4864,"=06.06.17")</f>
        <v>0</v>
      </c>
      <c r="H15" s="420">
        <f ca="1">COUNTIFS(worksheet!O3:O4864,"&gt;=0",worksheet!Y3:Y4864,"3",worksheet!T3:T4864,"=06.07.17")</f>
        <v>0</v>
      </c>
      <c r="I15" s="420">
        <f ca="1">COUNTIFS(worksheet!O3:O4864,"&gt;=0",worksheet!Y3:Y4864,"3",worksheet!T3:T4864,"=06.08.17")</f>
        <v>0</v>
      </c>
      <c r="J15" s="420">
        <f ca="1">COUNTIFS(worksheet!O3:O4864,"&gt;=0",worksheet!Y3:Y4864,"3",worksheet!T3:T4864,"=06.09.17")</f>
        <v>0</v>
      </c>
      <c r="K15" s="420">
        <f ca="1">COUNTIFS(worksheet!O3:O4864,"&gt;=0",worksheet!Y3:Y4864,"3",worksheet!T3:T4864,"=06.10.17")</f>
        <v>0</v>
      </c>
      <c r="L15" s="420">
        <f ca="1">COUNTIFS(worksheet!O3:O4864,"&gt;=0",worksheet!Y3:Y4864,"3",worksheet!T3:T4864,"=06.11.17")</f>
        <v>2</v>
      </c>
      <c r="M15" s="420">
        <f ca="1">COUNTIFS(worksheet!O3:O4864,"&gt;=0",worksheet!Y3:Y4864,"3",worksheet!T3:T4864,"=06.12.17")</f>
        <v>0</v>
      </c>
    </row>
    <row r="16" spans="1:13" ht="12" customHeight="1" thickBot="1" x14ac:dyDescent="0.25">
      <c r="A16" s="401">
        <v>7</v>
      </c>
      <c r="B16" s="420">
        <f ca="1">COUNTIFS(worksheet!O3:O4864,"&gt;=0",worksheet!Y3:Y4864,"3",worksheet!T3:T4864,"=07.01.17")</f>
        <v>0</v>
      </c>
      <c r="C16" s="420">
        <f ca="1">COUNTIFS(worksheet!O3:O4864,"&gt;=0",worksheet!Y3:Y4864,"3",worksheet!T3:T4864,"=07.02.17")</f>
        <v>0</v>
      </c>
      <c r="D16" s="420">
        <f ca="1">COUNTIFS(worksheet!O3:O4864,"&gt;=0",worksheet!Y3:Y4864,"3",worksheet!T3:T4864,"=07.03.17")</f>
        <v>0</v>
      </c>
      <c r="E16" s="420">
        <f ca="1">COUNTIFS(worksheet!O3:O4864,"&gt;=0",worksheet!Y3:Y4864,"3",worksheet!T3:T4864,"=07.04.17")</f>
        <v>0</v>
      </c>
      <c r="F16" s="420">
        <f ca="1">COUNTIFS(worksheet!O3:O4864,"&gt;=0",worksheet!Y3:Y4864,"3",worksheet!T3:T4864,"=07.05.17")</f>
        <v>0</v>
      </c>
      <c r="G16" s="420">
        <f ca="1">COUNTIFS(worksheet!O3:O4864,"&gt;=0",worksheet!Y3:Y4864,"3",worksheet!T3:T4864,"=07.06.17")</f>
        <v>0</v>
      </c>
      <c r="H16" s="420">
        <f ca="1">COUNTIFS(worksheet!O3:O4864,"&gt;=0",worksheet!Y3:Y4864,"3",worksheet!T3:T4864,"=07.07.17")</f>
        <v>0</v>
      </c>
      <c r="I16" s="420">
        <f ca="1">COUNTIFS(worksheet!O3:O4864,"&gt;=0",worksheet!Y3:Y4864,"3",worksheet!T3:T4864,"=07.08.17")</f>
        <v>0</v>
      </c>
      <c r="J16" s="420">
        <f ca="1">COUNTIFS(worksheet!O3:O4864,"&gt;=0",worksheet!Y3:Y4864,"3",worksheet!T3:T4864,"=07.09.17")</f>
        <v>0</v>
      </c>
      <c r="K16" s="420">
        <f ca="1">COUNTIFS(worksheet!O3:O4864,"&gt;=0",worksheet!Y3:Y4864,"3",worksheet!T3:T4864,"=07.10.17")</f>
        <v>0</v>
      </c>
      <c r="L16" s="420">
        <f ca="1">COUNTIFS(worksheet!O3:O4864,"&gt;=0",worksheet!Y3:Y4864,"3",worksheet!T3:T4864,"=07.11.17")</f>
        <v>0</v>
      </c>
      <c r="M16" s="420">
        <f ca="1">COUNTIFS(worksheet!O3:O4864,"&gt;=0",worksheet!Y3:Y4864,"3",worksheet!T3:T4864,"=07.12.17")</f>
        <v>0</v>
      </c>
    </row>
    <row r="17" spans="1:13" ht="12" customHeight="1" thickBot="1" x14ac:dyDescent="0.25">
      <c r="A17" s="401">
        <v>8</v>
      </c>
      <c r="B17" s="420">
        <f ca="1">COUNTIFS(worksheet!O3:O4864,"&gt;=0",worksheet!Y3:Y4864,"3",worksheet!T3:T4864,"=08.01.17")</f>
        <v>0</v>
      </c>
      <c r="C17" s="420">
        <f ca="1">COUNTIFS(worksheet!O3:O4864,"&gt;=0",worksheet!Y3:Y4864,"3",worksheet!T3:T4864,"=08.02.17")</f>
        <v>0</v>
      </c>
      <c r="D17" s="420">
        <f ca="1">COUNTIFS(worksheet!O3:O4864,"&gt;=0",worksheet!Y3:Y4864,"3",worksheet!T3:T4864,"=08.03.17")</f>
        <v>0</v>
      </c>
      <c r="E17" s="420">
        <f ca="1">COUNTIFS(worksheet!O3:O4864,"&gt;=0",worksheet!Y3:Y4864,"3",worksheet!T3:T4864,"=08.04.17")</f>
        <v>0</v>
      </c>
      <c r="F17" s="420">
        <f ca="1">COUNTIFS(worksheet!O3:O4864,"&gt;=0",worksheet!Y3:Y4864,"3",worksheet!T3:T4864,"=08.05.17")</f>
        <v>0</v>
      </c>
      <c r="G17" s="420">
        <f ca="1">COUNTIFS(worksheet!O3:O4864,"&gt;=0",worksheet!Y3:Y4864,"3",worksheet!T3:T4864,"=08.06.17")</f>
        <v>0</v>
      </c>
      <c r="H17" s="420">
        <f ca="1">COUNTIFS(worksheet!O3:O4864,"&gt;=0",worksheet!Y3:Y4864,"3",worksheet!T3:T4864,"=08.07.17")</f>
        <v>0</v>
      </c>
      <c r="I17" s="420">
        <f ca="1">COUNTIFS(worksheet!O3:O4864,"&gt;=0",worksheet!Y3:Y4864,"3",worksheet!T3:T4864,"=08.08.17")</f>
        <v>0</v>
      </c>
      <c r="J17" s="420">
        <f ca="1">COUNTIFS(worksheet!O3:O4864,"&gt;=0",worksheet!Y3:Y4864,"3",worksheet!T3:T4864,"=08.09.17")</f>
        <v>0</v>
      </c>
      <c r="K17" s="420">
        <f ca="1">COUNTIFS(worksheet!O3:O4864,"&gt;=0",worksheet!Y3:Y4864,"3",worksheet!T3:T4864,"=08.10.17")</f>
        <v>0</v>
      </c>
      <c r="L17" s="420">
        <f ca="1">COUNTIFS(worksheet!O3:O4864,"&gt;=0",worksheet!Y3:Y4864,"3",worksheet!T3:T4864,"=08.11.17")</f>
        <v>1</v>
      </c>
      <c r="M17" s="420">
        <f ca="1">COUNTIFS(worksheet!O3:O4864,"&gt;=0",worksheet!Y3:Y4864,"3",worksheet!T3:T4864,"=08.12.17")</f>
        <v>0</v>
      </c>
    </row>
    <row r="18" spans="1:13" ht="12" customHeight="1" thickBot="1" x14ac:dyDescent="0.25">
      <c r="A18" s="401">
        <v>9</v>
      </c>
      <c r="B18" s="420">
        <f ca="1">COUNTIFS(worksheet!O3:O4864,"&gt;=0",worksheet!Y3:Y4864,"3",worksheet!T3:T4864,"=09.01.17")</f>
        <v>0</v>
      </c>
      <c r="C18" s="420">
        <f ca="1">COUNTIFS(worksheet!O3:O4864,"&gt;=0",worksheet!Y3:Y4864,"3",worksheet!T3:T4864,"=09.02.17")</f>
        <v>0</v>
      </c>
      <c r="D18" s="420">
        <f ca="1">COUNTIFS(worksheet!O3:O4864,"&gt;=0",worksheet!Y3:Y4864,"3",worksheet!T3:T4864,"=09.03.17")</f>
        <v>0</v>
      </c>
      <c r="E18" s="420">
        <f ca="1">COUNTIFS(worksheet!O3:O4864,"&gt;=0",worksheet!Y3:Y4864,"3",worksheet!T3:T4864,"=09.04.17")</f>
        <v>0</v>
      </c>
      <c r="F18" s="420">
        <f ca="1">COUNTIFS(worksheet!O3:O4864,"&gt;=0",worksheet!Y3:Y4864,"3",worksheet!T3:T4864,"=09.05.17")</f>
        <v>0</v>
      </c>
      <c r="G18" s="420">
        <f ca="1">COUNTIFS(worksheet!O3:O4864,"&gt;=0",worksheet!Y3:Y4864,"3",worksheet!T3:T4864,"=09.06.17")</f>
        <v>0</v>
      </c>
      <c r="H18" s="420">
        <f ca="1">COUNTIFS(worksheet!O3:O4864,"&gt;=0",worksheet!Y3:Y4864,"3",worksheet!T3:T4864,"=09.07.17")</f>
        <v>0</v>
      </c>
      <c r="I18" s="420">
        <f ca="1">COUNTIFS(worksheet!O3:O4864,"&gt;=0",worksheet!Y3:Y4864,"3",worksheet!T3:T4864,"=09.08.17")</f>
        <v>0</v>
      </c>
      <c r="J18" s="420">
        <f ca="1">COUNTIFS(worksheet!O3:O4864,"&gt;=0",worksheet!Y3:Y4864,"3",worksheet!T3:T4864,"=09.09.17")</f>
        <v>0</v>
      </c>
      <c r="K18" s="420">
        <f ca="1">COUNTIFS(worksheet!O3:O4864,"&gt;=0",worksheet!Y3:Y4864,"3",worksheet!T3:T4864,"=09.10.17")</f>
        <v>0</v>
      </c>
      <c r="L18" s="420">
        <f ca="1">COUNTIFS(worksheet!O3:O4864,"&gt;=0",worksheet!Y3:Y4864,"3",worksheet!T3:T4864,"=09.11.17")</f>
        <v>10</v>
      </c>
      <c r="M18" s="420">
        <f ca="1">COUNTIFS(worksheet!O3:O4864,"&gt;=0",worksheet!Y3:Y4864,"3",worksheet!T3:T4864,"=09.12.17")</f>
        <v>0</v>
      </c>
    </row>
    <row r="19" spans="1:13" ht="12" customHeight="1" thickBot="1" x14ac:dyDescent="0.25">
      <c r="A19" s="401">
        <v>10</v>
      </c>
      <c r="B19" s="420">
        <f ca="1">COUNTIFS(worksheet!O3:O4864,"&gt;=0",worksheet!Y3:Y4864,"3",worksheet!T3:T4864,"=10.01.17")</f>
        <v>0</v>
      </c>
      <c r="C19" s="420">
        <f ca="1">COUNTIFS(worksheet!O3:O4864,"&gt;=0",worksheet!Y3:Y4864,"3",worksheet!T3:T4864,"=10.02.17")</f>
        <v>0</v>
      </c>
      <c r="D19" s="420">
        <f ca="1">COUNTIFS(worksheet!O3:O4864,"&gt;=0",worksheet!Y3:Y4864,"3",worksheet!T3:T4864,"=10.03.17")</f>
        <v>0</v>
      </c>
      <c r="E19" s="420">
        <f ca="1">COUNTIFS(worksheet!O3:O4864,"&gt;=0",worksheet!Y3:Y4864,"3",worksheet!T3:T4864,"=10.04.17")</f>
        <v>0</v>
      </c>
      <c r="F19" s="420">
        <f ca="1">COUNTIFS(worksheet!O3:O4864,"&gt;=0",worksheet!Y3:Y4864,"3",worksheet!T3:T4864,"=10.05.17")</f>
        <v>0</v>
      </c>
      <c r="G19" s="420">
        <f ca="1">COUNTIFS(worksheet!O3:O4864,"&gt;=0",worksheet!Y3:Y4864,"3",worksheet!T3:T4864,"=010.06.17")</f>
        <v>0</v>
      </c>
      <c r="H19" s="420">
        <f ca="1">COUNTIFS(worksheet!O3:O4864,"&gt;=0",worksheet!Y3:Y4864,"3",worksheet!T3:T4864,"=10.07.17")</f>
        <v>0</v>
      </c>
      <c r="I19" s="420">
        <f ca="1">COUNTIFS(worksheet!O3:O4864,"&gt;=0",worksheet!Y3:Y4864,"3",worksheet!T3:T4864,"=10.08.17")</f>
        <v>0</v>
      </c>
      <c r="J19" s="420">
        <f ca="1">COUNTIFS(worksheet!O3:O4864,"&gt;=0",worksheet!Y3:Y4864,"3",worksheet!T3:T4864,"=10.09.17")</f>
        <v>0</v>
      </c>
      <c r="K19" s="420">
        <f ca="1">COUNTIFS(worksheet!O3:O4864,"&gt;=0",worksheet!Y3:Y4864,"3",worksheet!T3:T4864,"=10.10.17")</f>
        <v>0</v>
      </c>
      <c r="L19" s="420">
        <f ca="1">COUNTIFS(worksheet!O3:O4864,"&gt;=0",worksheet!Y3:Y4864,"3",worksheet!T3:T4864,"=10.11.17")</f>
        <v>2</v>
      </c>
      <c r="M19" s="420">
        <f ca="1">COUNTIFS(worksheet!O3:O4864,"&gt;=0",worksheet!Y3:Y4864,"3",worksheet!T3:T4864,"=10.12.17")</f>
        <v>0</v>
      </c>
    </row>
    <row r="20" spans="1:13" ht="12" customHeight="1" thickBot="1" x14ac:dyDescent="0.25">
      <c r="A20" s="401">
        <v>11</v>
      </c>
      <c r="B20" s="420">
        <f ca="1">COUNTIFS(worksheet!O3:O4864,"&gt;=0",worksheet!Y3:Y4864,"3",worksheet!T3:T4864,"=11.01.17")</f>
        <v>0</v>
      </c>
      <c r="C20" s="420">
        <f ca="1">COUNTIFS(worksheet!O3:O4864,"&gt;=0",worksheet!Y3:Y4864,"3",worksheet!T3:T4864,"=11.02.17")</f>
        <v>0</v>
      </c>
      <c r="D20" s="420">
        <f ca="1">COUNTIFS(worksheet!O3:O4864,"&gt;=0",worksheet!Y3:Y4864,"3",worksheet!T3:T4864,"=11.03.17")</f>
        <v>0</v>
      </c>
      <c r="E20" s="420">
        <f ca="1">COUNTIFS(worksheet!O3:O4864,"&gt;=0",worksheet!Y3:Y4864,"3",worksheet!T3:T4864,"=11.04.17")</f>
        <v>0</v>
      </c>
      <c r="F20" s="420">
        <f ca="1">COUNTIFS(worksheet!O3:O4864,"&gt;=0",worksheet!Y3:Y4864,"3",worksheet!T3:T4864,"=11.05.17")</f>
        <v>0</v>
      </c>
      <c r="G20" s="420">
        <f ca="1">COUNTIFS(worksheet!O3:O4864,"&gt;=0",worksheet!Y3:Y4864,"3",worksheet!T3:T4864,"=11.06.17")</f>
        <v>0</v>
      </c>
      <c r="H20" s="420">
        <f ca="1">COUNTIFS(worksheet!O3:O4864,"&gt;=0",worksheet!Y3:Y4864,"3",worksheet!T3:T4864,"=11.07.17")</f>
        <v>0</v>
      </c>
      <c r="I20" s="420">
        <f ca="1">COUNTIFS(worksheet!O3:O4864,"&gt;=0",worksheet!Y3:Y4864,"3",worksheet!T3:T4864,"=11.08.17")</f>
        <v>0</v>
      </c>
      <c r="J20" s="420">
        <f ca="1">COUNTIFS(worksheet!O3:O4864,"&gt;=0",worksheet!Y3:Y4864,"3",worksheet!T3:T4864,"=11.09.17")</f>
        <v>0</v>
      </c>
      <c r="K20" s="420">
        <f ca="1">COUNTIFS(worksheet!O3:O4864,"&gt;=0",worksheet!Y3:Y4864,"3",worksheet!T3:T4864,"=11.10.17")</f>
        <v>0</v>
      </c>
      <c r="L20" s="420">
        <f ca="1">COUNTIFS(worksheet!O3:O4864,"&gt;=0",worksheet!Y3:Y4864,"3",worksheet!T3:T4864,"=11.11.17")</f>
        <v>0</v>
      </c>
      <c r="M20" s="420">
        <f ca="1">COUNTIFS(worksheet!O3:O4864,"&gt;=0",worksheet!Y3:Y4864,"3",worksheet!T3:T4864,"=11.12.17")</f>
        <v>0</v>
      </c>
    </row>
    <row r="21" spans="1:13" ht="12" customHeight="1" thickBot="1" x14ac:dyDescent="0.25">
      <c r="A21" s="401">
        <v>12</v>
      </c>
      <c r="B21" s="420">
        <f ca="1">COUNTIFS(worksheet!O3:O4864,"&gt;=0",worksheet!Y3:Y4864,"3",worksheet!T3:T4864,"=12.01.17")</f>
        <v>0</v>
      </c>
      <c r="C21" s="420">
        <f ca="1">COUNTIFS(worksheet!O3:O4864,"&gt;=0",worksheet!Y3:Y4864,"3",worksheet!T3:T4864,"=12.02.17")</f>
        <v>0</v>
      </c>
      <c r="D21" s="420">
        <f ca="1">COUNTIFS(worksheet!O3:O4864,"&gt;=0",worksheet!Y3:Y4864,"3",worksheet!T3:T4864,"=12.03.17")</f>
        <v>0</v>
      </c>
      <c r="E21" s="420">
        <f ca="1">COUNTIFS(worksheet!O3:O4864,"&gt;=0",worksheet!Y3:Y4864,"3",worksheet!T3:T4864,"=12.04.17")</f>
        <v>0</v>
      </c>
      <c r="F21" s="420">
        <f ca="1">COUNTIFS(worksheet!O3:O4864,"&gt;=0",worksheet!Y3:Y4864,"3",worksheet!T3:T4864,"=12.05.17")</f>
        <v>0</v>
      </c>
      <c r="G21" s="420">
        <f ca="1">COUNTIFS(worksheet!O3:O4864,"&gt;=0",worksheet!Y3:Y4864,"3",worksheet!T3:T4864,"=12.06.17")</f>
        <v>0</v>
      </c>
      <c r="H21" s="420">
        <f ca="1">COUNTIFS(worksheet!O3:O4864,"&gt;=0",worksheet!Y3:Y4864,"3",worksheet!T3:T4864,"=12.07.17")</f>
        <v>0</v>
      </c>
      <c r="I21" s="420">
        <f ca="1">COUNTIFS(worksheet!O3:O4864,"&gt;=0",worksheet!Y3:Y4864,"3",worksheet!T3:T4864,"=12.08.17")</f>
        <v>0</v>
      </c>
      <c r="J21" s="420">
        <f ca="1">COUNTIFS(worksheet!O3:O4864,"&gt;=0",worksheet!Y3:Y4864,"3",worksheet!T3:T4864,"=12.09.17")</f>
        <v>0</v>
      </c>
      <c r="K21" s="420">
        <f ca="1">COUNTIFS(worksheet!O3:O4864,"&gt;=0",worksheet!Y3:Y4864,"3",worksheet!T3:T4864,"=12.10.17")</f>
        <v>0</v>
      </c>
      <c r="L21" s="420">
        <f ca="1">COUNTIFS(worksheet!O3:O4864,"&gt;=0",worksheet!Y3:Y4864,"3",worksheet!T3:T4864,"=12.11.17")</f>
        <v>0</v>
      </c>
      <c r="M21" s="420">
        <f ca="1">COUNTIFS(worksheet!O3:O4864,"&gt;=0",worksheet!Y3:Y4864,"3",worksheet!T3:T4864,"=12.12.17")</f>
        <v>0</v>
      </c>
    </row>
    <row r="22" spans="1:13" ht="12" customHeight="1" thickBot="1" x14ac:dyDescent="0.25">
      <c r="A22" s="401">
        <v>13</v>
      </c>
      <c r="B22" s="420">
        <f ca="1">COUNTIFS(worksheet!O3:O4864,"&gt;=0",worksheet!Y3:Y4864,"3",worksheet!T3:T4864,"=13.01.17")</f>
        <v>0</v>
      </c>
      <c r="C22" s="420">
        <f ca="1">COUNTIFS(worksheet!O3:O4864,"&gt;=0",worksheet!Y3:Y4864,"3",worksheet!T3:T4864,"=13.02.17")</f>
        <v>0</v>
      </c>
      <c r="D22" s="420">
        <f ca="1">COUNTIFS(worksheet!O3:O4864,"&gt;=0",worksheet!Y3:Y4864,"3",worksheet!T3:T4864,"=13.03.17")</f>
        <v>0</v>
      </c>
      <c r="E22" s="420">
        <f ca="1">COUNTIFS(worksheet!O3:O4864,"&gt;=0",worksheet!Y3:Y4864,"3",worksheet!T3:T4864,"=13.04.17")</f>
        <v>0</v>
      </c>
      <c r="F22" s="420">
        <f ca="1">COUNTIFS(worksheet!O3:O4864,"&gt;=0",worksheet!Y3:Y4864,"3",worksheet!T3:T4864,"=13.05.17")</f>
        <v>0</v>
      </c>
      <c r="G22" s="420">
        <f ca="1">COUNTIFS(worksheet!O3:O4864,"&gt;=0",worksheet!Y3:Y4864,"3",worksheet!T3:T4864,"=13.06.17")</f>
        <v>0</v>
      </c>
      <c r="H22" s="420">
        <f ca="1">COUNTIFS(worksheet!O3:O4864,"&gt;=0",worksheet!Y3:Y4864,"3",worksheet!T3:T4864,"=13.07.17")</f>
        <v>0</v>
      </c>
      <c r="I22" s="420">
        <f ca="1">COUNTIFS(worksheet!O3:O4864,"&gt;=0",worksheet!Y3:Y4864,"3",worksheet!T3:T4864,"=13.08.17")</f>
        <v>0</v>
      </c>
      <c r="J22" s="420">
        <f ca="1">COUNTIFS(worksheet!O3:O4864,"&gt;=0",worksheet!Y3:Y4864,"3",worksheet!T3:T4864,"=13.09.17")</f>
        <v>0</v>
      </c>
      <c r="K22" s="420">
        <f ca="1">COUNTIFS(worksheet!O3:O4864,"&gt;=0",worksheet!Y3:Y4864,"3",worksheet!T3:T4864,"=13.10.17")</f>
        <v>0</v>
      </c>
      <c r="L22" s="420">
        <f ca="1">COUNTIFS(worksheet!O3:O4864,"&gt;=0",worksheet!Y3:Y4864,"3",worksheet!T3:T4864,"=13.11.17")</f>
        <v>0</v>
      </c>
      <c r="M22" s="420">
        <f ca="1">COUNTIFS(worksheet!O3:O4864,"&gt;=0",worksheet!Y3:Y4864,"3",worksheet!T3:T4864,"=13.12.17")</f>
        <v>0</v>
      </c>
    </row>
    <row r="23" spans="1:13" ht="12" customHeight="1" thickBot="1" x14ac:dyDescent="0.25">
      <c r="A23" s="401">
        <v>14</v>
      </c>
      <c r="B23" s="420">
        <f ca="1">COUNTIFS(worksheet!O3:O4864,"&gt;=0",worksheet!Y3:Y4864,"3",worksheet!T3:T4864,"=14.01.17")</f>
        <v>0</v>
      </c>
      <c r="C23" s="420">
        <f ca="1">COUNTIFS(worksheet!O3:O4864,"&gt;=0",worksheet!Y3:Y4864,"3",worksheet!T3:T4864,"=14.02.17")</f>
        <v>0</v>
      </c>
      <c r="D23" s="420">
        <f ca="1">COUNTIFS(worksheet!O3:O4864,"&gt;=0",worksheet!Y3:Y4864,"3",worksheet!T3:T4864,"=14.03.17")</f>
        <v>0</v>
      </c>
      <c r="E23" s="420">
        <f ca="1">COUNTIFS(worksheet!O3:O4864,"&gt;=0",worksheet!Y3:Y4864,"3",worksheet!T3:T4864,"=14.04.17")</f>
        <v>0</v>
      </c>
      <c r="F23" s="420">
        <f ca="1">COUNTIFS(worksheet!O3:O4864,"&gt;=0",worksheet!Y3:Y4864,"3",worksheet!T3:T4864,"=14.05.17")</f>
        <v>0</v>
      </c>
      <c r="G23" s="420">
        <f ca="1">COUNTIFS(worksheet!O3:O4864,"&gt;=0",worksheet!Y3:Y4864,"3",worksheet!T3:T4864,"=14.06.17")</f>
        <v>0</v>
      </c>
      <c r="H23" s="420">
        <f ca="1">COUNTIFS(worksheet!O3:O4864,"&gt;=0",worksheet!Y3:Y4864,"3",worksheet!T3:T4864,"=14.07.17")</f>
        <v>0</v>
      </c>
      <c r="I23" s="420">
        <f ca="1">COUNTIFS(worksheet!O3:O4864,"&gt;=0",worksheet!Y3:Y4864,"3",worksheet!T3:T4864,"=14.08.17")</f>
        <v>0</v>
      </c>
      <c r="J23" s="420">
        <f ca="1">COUNTIFS(worksheet!O3:O4864,"&gt;=0",worksheet!Y3:Y4864,"3",worksheet!T3:T4864,"=14.09.17")</f>
        <v>0</v>
      </c>
      <c r="K23" s="420">
        <f ca="1">COUNTIFS(worksheet!O3:O4864,"&gt;=0",worksheet!Y3:Y4864,"3",worksheet!T3:T4864,"=14.10.17")</f>
        <v>0</v>
      </c>
      <c r="L23" s="420">
        <f ca="1">COUNTIFS(worksheet!O3:O4864,"&gt;=0",worksheet!Y3:Y4864,"3",worksheet!T3:T4864,"=14.11.17")</f>
        <v>0</v>
      </c>
      <c r="M23" s="420">
        <f ca="1">COUNTIFS(worksheet!O3:O4864,"&gt;=0",worksheet!Y3:Y4864,"3",worksheet!T3:T4864,"=14.12.17")</f>
        <v>0</v>
      </c>
    </row>
    <row r="24" spans="1:13" ht="12" customHeight="1" thickBot="1" x14ac:dyDescent="0.25">
      <c r="A24" s="401">
        <v>15</v>
      </c>
      <c r="B24" s="420">
        <f ca="1">COUNTIFS(worksheet!O3:O4864,"&gt;=0",worksheet!Y3:Y4864,"3",worksheet!T3:T4864,"=15.01.17")</f>
        <v>0</v>
      </c>
      <c r="C24" s="420">
        <f ca="1">COUNTIFS(worksheet!O3:O4864,"&gt;=0",worksheet!Y3:Y4864,"3",worksheet!T3:T4864,"=15.02.17")</f>
        <v>0</v>
      </c>
      <c r="D24" s="420">
        <f ca="1">COUNTIFS(worksheet!O3:O4864,"&gt;=0",worksheet!Y3:Y4864,"3",worksheet!T3:T4864,"=15.03.17")</f>
        <v>0</v>
      </c>
      <c r="E24" s="420">
        <f ca="1">COUNTIFS(worksheet!O3:O4864,"&gt;=0",worksheet!Y3:Y4864,"3",worksheet!T3:T4864,"=15.04.17")</f>
        <v>0</v>
      </c>
      <c r="F24" s="420">
        <f ca="1">COUNTIFS(worksheet!O3:O4864,"&gt;=0",worksheet!Y3:Y4864,"3",worksheet!T3:T4864,"=15.05.17")</f>
        <v>0</v>
      </c>
      <c r="G24" s="420">
        <f ca="1">COUNTIFS(worksheet!O3:O4864,"&gt;=0",worksheet!Y3:Y4864,"3",worksheet!T3:T4864,"=15.06.17")</f>
        <v>0</v>
      </c>
      <c r="H24" s="420">
        <f ca="1">COUNTIFS(worksheet!O3:O4864,"&gt;=0",worksheet!Y3:Y4864,"3",worksheet!T3:T4864,"=15.07.17")</f>
        <v>0</v>
      </c>
      <c r="I24" s="420">
        <f ca="1">COUNTIFS(worksheet!O3:O4864,"&gt;=0",worksheet!Y3:Y4864,"3",worksheet!T3:T4864,"=15.08.17")</f>
        <v>0</v>
      </c>
      <c r="J24" s="421">
        <f ca="1">COUNTIFS(worksheet!O3:O4864,"&gt;=0",worksheet!Y3:Y4864,"3",worksheet!T3:T4864,"=15.09.17")</f>
        <v>0</v>
      </c>
      <c r="K24" s="420">
        <f ca="1">COUNTIFS(worksheet!O3:O4864,"&gt;=0",worksheet!Y3:Y4864,"3",worksheet!T3:T4864,"=15.10.17")</f>
        <v>0</v>
      </c>
      <c r="L24" s="420">
        <f ca="1">COUNTIFS(worksheet!O3:O4864,"&gt;=0",worksheet!Y3:Y4864,"3",worksheet!T3:T4864,"=15.11.17")</f>
        <v>1</v>
      </c>
      <c r="M24" s="420">
        <f ca="1">COUNTIFS(worksheet!O3:O4864,"&gt;=0",worksheet!Y3:Y4864,"3",worksheet!T3:T4864,"=15.12.17")</f>
        <v>0</v>
      </c>
    </row>
    <row r="25" spans="1:13" ht="12" customHeight="1" thickBot="1" x14ac:dyDescent="0.25">
      <c r="A25" s="401">
        <v>16</v>
      </c>
      <c r="B25" s="420">
        <f ca="1">COUNTIFS(worksheet!O3:O4864,"&gt;=0",worksheet!Y3:Y4864,"3",worksheet!T3:T4864,"=16.01.17")</f>
        <v>0</v>
      </c>
      <c r="C25" s="420">
        <f ca="1">COUNTIFS(worksheet!O3:O4864,"&gt;=0",worksheet!Y3:Y4864,"3",worksheet!T3:T4864,"=16.02.17")</f>
        <v>0</v>
      </c>
      <c r="D25" s="420">
        <f ca="1">COUNTIFS(worksheet!O3:O4864,"&gt;=0",worksheet!Y3:Y4864,"3",worksheet!T3:T4864,"=16.03.17")</f>
        <v>0</v>
      </c>
      <c r="E25" s="420">
        <f ca="1">COUNTIFS(worksheet!O3:O4864,"&gt;=0",worksheet!Y3:Y4864,"3",worksheet!T3:T4864,"=16.04.17")</f>
        <v>0</v>
      </c>
      <c r="F25" s="420">
        <f ca="1">COUNTIFS(worksheet!O3:O4864,"&gt;=0",worksheet!Y3:Y4864,"3",worksheet!T3:T4864,"=16.05.17")</f>
        <v>0</v>
      </c>
      <c r="G25" s="420">
        <f ca="1">COUNTIFS(worksheet!O3:O4864,"&gt;=0",worksheet!Y3:Y4864,"3",worksheet!T3:T4864,"=16.06.17")</f>
        <v>0</v>
      </c>
      <c r="H25" s="420">
        <f ca="1">COUNTIFS(worksheet!O3:O4864,"&gt;=0",worksheet!Y3:Y4864,"3",worksheet!T3:T4864,"=16.07.17")</f>
        <v>0</v>
      </c>
      <c r="I25" s="420">
        <f ca="1">COUNTIFS(worksheet!O3:O4864,"&gt;=0",worksheet!Y3:Y4864,"3",worksheet!T3:T4864,"=16.08.17")</f>
        <v>0</v>
      </c>
      <c r="J25" s="420">
        <f ca="1">COUNTIFS(worksheet!O3:O4864,"&gt;=0",worksheet!Y3:Y4864,"3",worksheet!T3:T4864,"=16.09.17")</f>
        <v>0</v>
      </c>
      <c r="K25" s="420">
        <f ca="1">COUNTIFS(worksheet!O3:O4864,"&gt;=0",worksheet!Y3:Y4864,"3",worksheet!T3:T4864,"=16.10.17")</f>
        <v>0</v>
      </c>
      <c r="L25" s="420">
        <f ca="1">COUNTIFS(worksheet!O3:O4864,"&gt;=0",worksheet!Y3:Y4864,"3",worksheet!T3:T4864,"=16.11.17")</f>
        <v>16</v>
      </c>
      <c r="M25" s="420">
        <f ca="1">COUNTIFS(worksheet!O3:O4864,"&gt;=0",worksheet!Y3:Y4864,"3",worksheet!T3:T4864,"=16.12.17")</f>
        <v>0</v>
      </c>
    </row>
    <row r="26" spans="1:13" ht="12" customHeight="1" thickBot="1" x14ac:dyDescent="0.25">
      <c r="A26" s="401">
        <v>17</v>
      </c>
      <c r="B26" s="420">
        <f ca="1">COUNTIFS(worksheet!O3:O4864,"&gt;=0",worksheet!Y3:Y4864,"3",worksheet!T3:T4864,"=17.01.17")</f>
        <v>0</v>
      </c>
      <c r="C26" s="420">
        <f ca="1">COUNTIFS(worksheet!O3:O4864,"&gt;=0",worksheet!Y3:Y4864,"3",worksheet!T3:T4864,"=17.02.17")</f>
        <v>0</v>
      </c>
      <c r="D26" s="420">
        <f ca="1">COUNTIFS(worksheet!O3:O4864,"&gt;=0",worksheet!Y3:Y4864,"3",worksheet!T3:T4864,"=17.03.17")</f>
        <v>0</v>
      </c>
      <c r="E26" s="420">
        <f ca="1">COUNTIFS(worksheet!O3:O4864,"&gt;=0",worksheet!Y3:Y4864,"3",worksheet!T3:T4864,"=17.04.17")</f>
        <v>0</v>
      </c>
      <c r="F26" s="420">
        <f ca="1">COUNTIFS(worksheet!O3:O4864,"&gt;=0",worksheet!Y3:Y4864,"3",worksheet!T3:T4864,"=17.05.17")</f>
        <v>0</v>
      </c>
      <c r="G26" s="420">
        <f ca="1">COUNTIFS(worksheet!O3:O4864,"&gt;=0",worksheet!Y3:Y4864,"3",worksheet!T3:T4864,"=17.06.17")</f>
        <v>0</v>
      </c>
      <c r="H26" s="420">
        <f ca="1">COUNTIFS(worksheet!O3:O4864,"&gt;=0",worksheet!Y3:Y4864,"3",worksheet!T3:T4864,"=17.07.17")</f>
        <v>1</v>
      </c>
      <c r="I26" s="420">
        <f ca="1">COUNTIFS(worksheet!O3:O4864,"&gt;=0",worksheet!Y3:Y4864,"3",worksheet!T3:T4864,"=17.08.17")</f>
        <v>0</v>
      </c>
      <c r="J26" s="420">
        <f ca="1">COUNTIFS(worksheet!O3:O4864,"&gt;=0",worksheet!Y3:Y4864,"3",worksheet!T3:T4864,"=17.09.17")</f>
        <v>0</v>
      </c>
      <c r="K26" s="420">
        <f ca="1">COUNTIFS(worksheet!O3:O4864,"&gt;=0",worksheet!Y3:Y4864,"3",worksheet!T3:T4864,"=17.10.17")</f>
        <v>1</v>
      </c>
      <c r="L26" s="420">
        <f ca="1">COUNTIFS(worksheet!O3:O4864,"&gt;=0",worksheet!Y3:Y4864,"3",worksheet!T3:T4864,"=17.11.17")</f>
        <v>15</v>
      </c>
      <c r="M26" s="420">
        <f ca="1">COUNTIFS(worksheet!O3:O4864,"&gt;=0",worksheet!Y3:Y4864,"3",worksheet!T3:T4864,"=17.12.17")</f>
        <v>0</v>
      </c>
    </row>
    <row r="27" spans="1:13" ht="12" customHeight="1" thickBot="1" x14ac:dyDescent="0.25">
      <c r="A27" s="401">
        <v>18</v>
      </c>
      <c r="B27" s="420">
        <f ca="1">COUNTIFS(worksheet!O3:O4864,"&gt;=0",worksheet!Y3:Y4864,"3",worksheet!T3:T4864,"=18.01.17")</f>
        <v>0</v>
      </c>
      <c r="C27" s="420">
        <f ca="1">COUNTIFS(worksheet!O3:O4864,"&gt;=0",worksheet!Y3:Y4864,"3",worksheet!T3:T4864,"=18.02.17")</f>
        <v>0</v>
      </c>
      <c r="D27" s="420">
        <f ca="1">COUNTIFS(worksheet!O3:O4864,"&gt;=0",worksheet!Y3:Y4864,"3",worksheet!T3:T4864,"=18.03.17")</f>
        <v>0</v>
      </c>
      <c r="E27" s="420">
        <f ca="1">COUNTIFS(worksheet!O3:O4864,"&gt;=0",worksheet!Y3:Y4864,"3",worksheet!T3:T4864,"=18.04.17")</f>
        <v>0</v>
      </c>
      <c r="F27" s="420">
        <f ca="1">COUNTIFS(worksheet!O3:O4864,"&gt;=0",worksheet!Y3:Y4864,"3",worksheet!T3:T4864,"=18.05.17")</f>
        <v>0</v>
      </c>
      <c r="G27" s="421">
        <f ca="1">COUNTIFS(worksheet!O3:O4864,"&gt;=0",worksheet!Y3:Y4864,"3",worksheet!T3:T4864,"=18.06.17")</f>
        <v>0</v>
      </c>
      <c r="H27" s="420">
        <f ca="1">COUNTIFS(worksheet!O3:O4864,"&gt;=0",worksheet!Y3:Y4864,"3",worksheet!T3:T4864,"=18.07.17")</f>
        <v>0</v>
      </c>
      <c r="I27" s="420">
        <f ca="1">COUNTIFS(worksheet!O3:O4864,"&gt;=0",worksheet!Y3:Y4864,"3",worksheet!T3:T4864,"=18.08.17")</f>
        <v>0</v>
      </c>
      <c r="J27" s="420">
        <f ca="1">COUNTIFS(worksheet!O3:O4864,"&gt;=0",worksheet!Y3:Y4864,"3",worksheet!T3:T4864,"=18.09.17")</f>
        <v>0</v>
      </c>
      <c r="K27" s="420">
        <f ca="1">COUNTIFS(worksheet!O3:O4864,"&gt;=0",worksheet!Y3:Y4864,"3",worksheet!T3:T4864,"=18.10.17")</f>
        <v>0</v>
      </c>
      <c r="L27" s="420">
        <f ca="1">COUNTIFS(worksheet!O3:O4864,"&gt;=0",worksheet!Y3:Y4864,"3",worksheet!T3:T4864,"=18.11.17")</f>
        <v>0</v>
      </c>
      <c r="M27" s="420">
        <f ca="1">COUNTIFS(worksheet!O3:O4864,"&gt;=0",worksheet!Y3:Y4864,"3",worksheet!T3:T4864,"=18.12.17")</f>
        <v>0</v>
      </c>
    </row>
    <row r="28" spans="1:13" ht="12" customHeight="1" thickBot="1" x14ac:dyDescent="0.25">
      <c r="A28" s="401">
        <v>19</v>
      </c>
      <c r="B28" s="420">
        <f ca="1">COUNTIFS(worksheet!O3:O4864,"&gt;=0",worksheet!Y3:Y4864,"3",worksheet!T3:T4864,"=19.01.17")</f>
        <v>0</v>
      </c>
      <c r="C28" s="420">
        <f ca="1">COUNTIFS(worksheet!O3:O4864,"&gt;=0",worksheet!Y3:Y4864,"3",worksheet!T3:T4864,"=19.02.17")</f>
        <v>0</v>
      </c>
      <c r="D28" s="420">
        <f ca="1">COUNTIFS(worksheet!O3:O4864,"&gt;=0",worksheet!Y3:Y4864,"3",worksheet!T3:T4864,"=19.03.17")</f>
        <v>0</v>
      </c>
      <c r="E28" s="420">
        <f ca="1">COUNTIFS(worksheet!O3:O4864,"&gt;=0",worksheet!Y3:Y4864,"3",worksheet!T3:T4864,"=19.04.17")</f>
        <v>0</v>
      </c>
      <c r="F28" s="420">
        <f ca="1">COUNTIFS(worksheet!O3:O4864,"&gt;=0",worksheet!Y3:Y4864,"3",worksheet!T3:T4864,"=19.05.17")</f>
        <v>0</v>
      </c>
      <c r="G28" s="420">
        <f ca="1">COUNTIFS(worksheet!O3:O4864,"&gt;=0",worksheet!Y3:Y4864,"3",worksheet!T3:T4864,"=19.06.17")</f>
        <v>0</v>
      </c>
      <c r="H28" s="420">
        <f ca="1">COUNTIFS(worksheet!O3:O4864,"&gt;=0",worksheet!Y3:Y4864,"3",worksheet!T3:T4864,"=19.07.17")</f>
        <v>0</v>
      </c>
      <c r="I28" s="420">
        <f ca="1">COUNTIFS(worksheet!O3:O4864,"&gt;=0",worksheet!Y3:Y4864,"3",worksheet!T3:T4864,"=19.08.17")</f>
        <v>0</v>
      </c>
      <c r="J28" s="420">
        <f ca="1">COUNTIFS(worksheet!O3:O4864,"&gt;=0",worksheet!Y3:Y4864,"3",worksheet!T3:T4864,"=19.09.17")</f>
        <v>0</v>
      </c>
      <c r="K28" s="420">
        <f ca="1">COUNTIFS(worksheet!O3:O4864,"&gt;=0",worksheet!Y3:Y4864,"3",worksheet!T3:T4864,"=19.10.17")</f>
        <v>7</v>
      </c>
      <c r="L28" s="420">
        <f ca="1">COUNTIFS(worksheet!O3:O4864,"&gt;=0",worksheet!Y3:Y4864,"3",worksheet!T3:T4864,"=19.11.17")</f>
        <v>0</v>
      </c>
      <c r="M28" s="420">
        <f ca="1">COUNTIFS(worksheet!O3:O4864,"&gt;=0",worksheet!Y3:Y4864,"3",worksheet!T3:T4864,"=19.12.17")</f>
        <v>0</v>
      </c>
    </row>
    <row r="29" spans="1:13" ht="12" customHeight="1" thickBot="1" x14ac:dyDescent="0.25">
      <c r="A29" s="401">
        <v>20</v>
      </c>
      <c r="B29" s="420">
        <f ca="1">COUNTIFS(worksheet!O3:O4864,"&gt;=0",worksheet!Y3:Y4864,"3",worksheet!T3:T4864,"=20.01.17")</f>
        <v>0</v>
      </c>
      <c r="C29" s="420">
        <f ca="1">COUNTIFS(worksheet!O3:O4864,"&gt;=0",worksheet!Y3:Y4864,"3",worksheet!T3:T4864,"=20.02.17")</f>
        <v>0</v>
      </c>
      <c r="D29" s="420">
        <f ca="1">COUNTIFS(worksheet!O3:O4864,"&gt;=0",worksheet!Y3:Y4864,"3",worksheet!T3:T4864,"=20.03.17")</f>
        <v>0</v>
      </c>
      <c r="E29" s="420">
        <f ca="1">COUNTIFS(worksheet!O3:O4864,"&gt;=0",worksheet!Y3:Y4864,"3",worksheet!T3:T4864,"=20.04.17")</f>
        <v>0</v>
      </c>
      <c r="F29" s="420">
        <f ca="1">COUNTIFS(worksheet!O3:O4864,"&gt;=0",worksheet!Y3:Y4864,"3",worksheet!T3:T4864,"=20.05.17")</f>
        <v>0</v>
      </c>
      <c r="G29" s="420">
        <f ca="1">COUNTIFS(worksheet!O3:O4864,"&gt;=0",worksheet!Y3:Y4864,"3",worksheet!T3:T4864,"=20.06.17")</f>
        <v>0</v>
      </c>
      <c r="H29" s="420">
        <f ca="1">COUNTIFS(worksheet!O3:O4864,"&gt;=0",worksheet!Y3:Y4864,"3",worksheet!T3:T4864,"=20.07.17")</f>
        <v>0</v>
      </c>
      <c r="I29" s="420">
        <f ca="1">COUNTIFS(worksheet!O3:O4864,"&gt;=0",worksheet!Y3:Y4864,"3",worksheet!T3:T4864,"=20.08.17")</f>
        <v>0</v>
      </c>
      <c r="J29" s="420">
        <f ca="1">COUNTIFS(worksheet!O3:O4864,"&gt;=0",worksheet!Y3:Y4864,"3",worksheet!T3:T4864,"=20.09.17")</f>
        <v>0</v>
      </c>
      <c r="K29" s="420">
        <f ca="1">COUNTIFS(worksheet!O3:O4864,"&gt;=0",worksheet!Y3:Y4864,"3",worksheet!T3:T4864,"=20.10.17")</f>
        <v>11</v>
      </c>
      <c r="L29" s="420">
        <f ca="1">COUNTIFS(worksheet!O3:O4864,"&gt;=0",worksheet!Y3:Y4864,"3",worksheet!T3:T4864,"=20.11.17")</f>
        <v>0</v>
      </c>
      <c r="M29" s="420">
        <f ca="1">COUNTIFS(worksheet!O3:O4864,"&gt;=0",worksheet!Y3:Y4864,"3",worksheet!T3:T4864,"=20.12.17")</f>
        <v>0</v>
      </c>
    </row>
    <row r="30" spans="1:13" ht="12" customHeight="1" thickBot="1" x14ac:dyDescent="0.25">
      <c r="A30" s="401">
        <v>21</v>
      </c>
      <c r="B30" s="420">
        <f ca="1">COUNTIFS(worksheet!O3:O4864,"&gt;=0",worksheet!Y3:Y4864,"3",worksheet!T3:T4864,"=21.01.17")</f>
        <v>0</v>
      </c>
      <c r="C30" s="420">
        <f ca="1">COUNTIFS(worksheet!O3:O4864,"&gt;=0",worksheet!Y3:Y4864,"3",worksheet!T3:T4864,"=21.02.17")</f>
        <v>0</v>
      </c>
      <c r="D30" s="420">
        <f ca="1">COUNTIFS(worksheet!O3:O4864,"&gt;=0",worksheet!Y3:Y4864,"3",worksheet!T3:T4864,"=21.03.17")</f>
        <v>0</v>
      </c>
      <c r="E30" s="420">
        <f ca="1">COUNTIFS(worksheet!O3:O4864,"&gt;=0",worksheet!Y3:Y4864,"3",worksheet!T3:T4864,"=21.04.17")</f>
        <v>0</v>
      </c>
      <c r="F30" s="420">
        <f ca="1">COUNTIFS(worksheet!O3:O4864,"&gt;=0",worksheet!Y3:Y4864,"3",worksheet!T3:T4864,"=21.05.17")</f>
        <v>0</v>
      </c>
      <c r="G30" s="420">
        <f ca="1">COUNTIFS(worksheet!O3:O4864,"&gt;=0",worksheet!Y3:Y4864,"3",worksheet!T3:T4864,"=21.06.17")</f>
        <v>0</v>
      </c>
      <c r="H30" s="420">
        <f ca="1">COUNTIFS(worksheet!O3:O4864,"&gt;=0",worksheet!Y3:Y4864,"3",worksheet!T3:T4864,"=21.07.17")</f>
        <v>0</v>
      </c>
      <c r="I30" s="420">
        <f ca="1">COUNTIFS(worksheet!O3:O4864,"&gt;=0",worksheet!Y3:Y4864,"3",worksheet!T3:T4864,"=21.08.17")</f>
        <v>0</v>
      </c>
      <c r="J30" s="420">
        <f ca="1">COUNTIFS(worksheet!O3:O4864,"&gt;=0",worksheet!Y3:Y4864,"3",worksheet!T3:T4864,"=21.09.17")</f>
        <v>0</v>
      </c>
      <c r="K30" s="420">
        <f ca="1">COUNTIFS(worksheet!O3:O4864,"&gt;=0",worksheet!Y3:Y4864,"3",worksheet!T3:T4864,"=21.10.17")</f>
        <v>1</v>
      </c>
      <c r="L30" s="420">
        <f ca="1">COUNTIFS(worksheet!O3:O4864,"&gt;=0",worksheet!Y3:Y4864,"3",worksheet!T3:T4864,"=21.11.17")</f>
        <v>0</v>
      </c>
      <c r="M30" s="420">
        <f ca="1">COUNTIFS(worksheet!O3:O4864,"&gt;=0",worksheet!Y3:Y4864,"3",worksheet!T3:T4864,"=21.12.17")</f>
        <v>0</v>
      </c>
    </row>
    <row r="31" spans="1:13" ht="12" customHeight="1" thickBot="1" x14ac:dyDescent="0.25">
      <c r="A31" s="401">
        <v>22</v>
      </c>
      <c r="B31" s="420">
        <f ca="1">COUNTIFS(worksheet!O3:O4864,"&gt;=0",worksheet!Y3:Y4864,"3",worksheet!T3:T4864,"=22.01.17")</f>
        <v>0</v>
      </c>
      <c r="C31" s="420">
        <f ca="1">COUNTIFS(worksheet!O3:O4864,"&gt;=0",worksheet!Y3:Y4864,"3",worksheet!T3:T4864,"=22.02.17")</f>
        <v>0</v>
      </c>
      <c r="D31" s="420">
        <f ca="1">COUNTIFS(worksheet!O3:O4864,"&gt;=0",worksheet!Y3:Y4864,"3",worksheet!T3:T4864,"=22.03.17")</f>
        <v>0</v>
      </c>
      <c r="E31" s="420">
        <f ca="1">COUNTIFS(worksheet!O3:O4864,"&gt;=0",worksheet!Y3:Y4864,"3",worksheet!T3:T4864,"=22.04.17")</f>
        <v>0</v>
      </c>
      <c r="F31" s="420">
        <f ca="1">COUNTIFS(worksheet!O3:O4864,"&gt;=0",worksheet!Y3:Y4864,"3",worksheet!T3:T4864,"=22.05.17")</f>
        <v>0</v>
      </c>
      <c r="G31" s="420">
        <f ca="1">COUNTIFS(worksheet!O3:O4864,"&gt;=0",worksheet!Y3:Y4864,"3",worksheet!T3:T4864,"=22.06.17")</f>
        <v>0</v>
      </c>
      <c r="H31" s="420">
        <f ca="1">COUNTIFS(worksheet!O3:O4864,"&gt;=0",worksheet!Y3:Y4864,"3",worksheet!T3:T4864,"=22.07.17")</f>
        <v>0</v>
      </c>
      <c r="I31" s="420">
        <f ca="1">COUNTIFS(worksheet!O3:O4864,"&gt;=0",worksheet!Y3:Y4864,"3",worksheet!T3:T4864,"=22.08.17")</f>
        <v>0</v>
      </c>
      <c r="J31" s="420">
        <f ca="1">COUNTIFS(worksheet!O3:O4864,"&gt;=0",worksheet!Y3:Y4864,"3",worksheet!T3:T4864,"=22.09.17")</f>
        <v>0</v>
      </c>
      <c r="K31" s="420">
        <f ca="1">COUNTIFS(worksheet!O3:O4864,"&gt;=0",worksheet!Y3:Y4864,"3",worksheet!T3:T4864,"=22.10.17")</f>
        <v>3</v>
      </c>
      <c r="L31" s="420">
        <f ca="1">COUNTIFS(worksheet!O3:O4864,"&gt;=0",worksheet!Y3:Y4864,"3",worksheet!T3:T4864,"=22.11.17")</f>
        <v>0</v>
      </c>
      <c r="M31" s="420">
        <f ca="1">COUNTIFS(worksheet!O3:O4864,"&gt;=0",worksheet!Y3:Y4864,"3",worksheet!T3:T4864,"=22.12.17")</f>
        <v>0</v>
      </c>
    </row>
    <row r="32" spans="1:13" ht="12" customHeight="1" thickBot="1" x14ac:dyDescent="0.25">
      <c r="A32" s="401">
        <v>23</v>
      </c>
      <c r="B32" s="420">
        <f ca="1">COUNTIFS(worksheet!O3:O4864,"&gt;=0",worksheet!Y3:Y4864,"3",worksheet!T3:T4864,"=23.01.17")</f>
        <v>0</v>
      </c>
      <c r="C32" s="420">
        <f ca="1">COUNTIFS(worksheet!O3:O4864,"&gt;=0",worksheet!Y3:Y4864,"3",worksheet!T3:T4864,"=23.02.17")</f>
        <v>0</v>
      </c>
      <c r="D32" s="420">
        <f ca="1">COUNTIFS(worksheet!O3:O4864,"&gt;=0",worksheet!Y3:Y4864,"3",worksheet!T3:T4864,"=23.03.17")</f>
        <v>0</v>
      </c>
      <c r="E32" s="420">
        <f ca="1">COUNTIFS(worksheet!O3:O4864,"&gt;=0",worksheet!Y3:Y4864,"3",worksheet!T3:T4864,"=23.04.17")</f>
        <v>0</v>
      </c>
      <c r="F32" s="420">
        <f ca="1">COUNTIFS(worksheet!O3:O4864,"&gt;=0",worksheet!Y3:Y4864,"3",worksheet!T3:T4864,"=23.05.17")</f>
        <v>0</v>
      </c>
      <c r="G32" s="420">
        <f ca="1">COUNTIFS(worksheet!O3:O4864,"&gt;=0",worksheet!Y3:Y4864,"3",worksheet!T3:T4864,"=23.06.17")</f>
        <v>0</v>
      </c>
      <c r="H32" s="420">
        <f ca="1">COUNTIFS(worksheet!O3:O4864,"&gt;=0",worksheet!Y3:Y4864,"3",worksheet!T3:T4864,"=23.07.17")</f>
        <v>0</v>
      </c>
      <c r="I32" s="420">
        <f ca="1">COUNTIFS(worksheet!O3:O4864,"&gt;=0",worksheet!Y3:Y4864,"3",worksheet!T3:T4864,"=23.08.17")</f>
        <v>0</v>
      </c>
      <c r="J32" s="420">
        <f ca="1">COUNTIFS(worksheet!O3:O4864,"&gt;=0",worksheet!Y3:Y4864,"3",worksheet!T3:T4864,"=23.09.17")</f>
        <v>0</v>
      </c>
      <c r="K32" s="420">
        <f ca="1">COUNTIFS(worksheet!O3:O4864,"&gt;=0",worksheet!Y3:Y4864,"3",worksheet!T3:T4864,"=23.10.17")</f>
        <v>0</v>
      </c>
      <c r="L32" s="420">
        <f ca="1">COUNTIFS(worksheet!O3:O4864,"&gt;=0",worksheet!Y3:Y4864,"3",worksheet!T3:T4864,"=23.11.17")</f>
        <v>0</v>
      </c>
      <c r="M32" s="420">
        <f ca="1">COUNTIFS(worksheet!O3:O4864,"&gt;=0",worksheet!Y3:Y4864,"3",worksheet!T3:T4864,"=23.12.17")</f>
        <v>0</v>
      </c>
    </row>
    <row r="33" spans="1:13" ht="12" customHeight="1" thickBot="1" x14ac:dyDescent="0.25">
      <c r="A33" s="401">
        <v>24</v>
      </c>
      <c r="B33" s="420">
        <f ca="1">COUNTIFS(worksheet!O3:O4864,"&gt;=0",worksheet!Y3:Y4864,"3",worksheet!T3:T4864,"=24.01.17")</f>
        <v>0</v>
      </c>
      <c r="C33" s="420">
        <f ca="1">COUNTIFS(worksheet!O3:O4864,"&gt;=0",worksheet!Y3:Y4864,"3",worksheet!T3:T4864,"=24.02.17")</f>
        <v>0</v>
      </c>
      <c r="D33" s="420">
        <f ca="1">COUNTIFS(worksheet!O3:O4864,"&gt;=0",worksheet!Y3:Y4864,"3",worksheet!T3:T4864,"=24.03.17")</f>
        <v>0</v>
      </c>
      <c r="E33" s="420">
        <f ca="1">COUNTIFS(worksheet!O3:O4864,"&gt;=0",worksheet!Y3:Y4864,"3",worksheet!T3:T4864,"=24.04.17")</f>
        <v>0</v>
      </c>
      <c r="F33" s="420">
        <f ca="1">COUNTIFS(worksheet!O3:O4864,"&gt;=0",worksheet!Y3:Y4864,"3",worksheet!T3:T4864,"=24.05.17")</f>
        <v>0</v>
      </c>
      <c r="G33" s="420">
        <f ca="1">COUNTIFS(worksheet!O3:O4864,"&gt;=0",worksheet!Y3:Y4864,"3",worksheet!T3:T4864,"=24.06.17")</f>
        <v>0</v>
      </c>
      <c r="H33" s="420">
        <f ca="1">COUNTIFS(worksheet!O3:O4864,"&gt;=0",worksheet!Y3:Y4864,"3",worksheet!T3:T4864,"=24.07.17")</f>
        <v>0</v>
      </c>
      <c r="I33" s="420">
        <f ca="1">COUNTIFS(worksheet!O3:O4864,"&gt;=0",worksheet!Y3:Y4864,"3",worksheet!T3:T4864,"=24.08.17")</f>
        <v>0</v>
      </c>
      <c r="J33" s="420">
        <f ca="1">COUNTIFS(worksheet!O3:O4864,"&gt;=0",worksheet!Y3:Y4864,"3",worksheet!T3:T4864,"=24.09.17")</f>
        <v>0</v>
      </c>
      <c r="K33" s="420">
        <f ca="1">COUNTIFS(worksheet!O3:O4864,"&gt;=0",worksheet!Y3:Y4864,"3",worksheet!T3:T4864,"=024.10.17")</f>
        <v>0</v>
      </c>
      <c r="L33" s="420">
        <f ca="1">COUNTIFS(worksheet!O3:O4864,"&gt;=0",worksheet!Y3:Y4864,"3",worksheet!T3:T4864,"=24.11.17")</f>
        <v>0</v>
      </c>
      <c r="M33" s="420">
        <f ca="1">COUNTIFS(worksheet!O3:O4864,"&gt;=0",worksheet!Y3:Y4864,"3",worksheet!T3:T4864,"=24.12.17")</f>
        <v>0</v>
      </c>
    </row>
    <row r="34" spans="1:13" ht="12" customHeight="1" thickBot="1" x14ac:dyDescent="0.25">
      <c r="A34" s="401">
        <v>25</v>
      </c>
      <c r="B34" s="420">
        <f ca="1">COUNTIFS(worksheet!O3:O4864,"&gt;=0",worksheet!Y3:Y4864,"3",worksheet!T3:T4864,"=25.01.17")</f>
        <v>0</v>
      </c>
      <c r="C34" s="420">
        <f ca="1">COUNTIFS(worksheet!O3:O4864,"&gt;=0",worksheet!Y3:Y4864,"3",worksheet!T3:T4864,"=25.02.17")</f>
        <v>0</v>
      </c>
      <c r="D34" s="420">
        <f ca="1">COUNTIFS(worksheet!O3:O4864,"&gt;=0",worksheet!Y3:Y4864,"3",worksheet!T3:T4864,"=25.03.17")</f>
        <v>0</v>
      </c>
      <c r="E34" s="420">
        <f ca="1">COUNTIFS(worksheet!O3:O4864,"&gt;=0",worksheet!Y3:Y4864,"3",worksheet!T3:T4864,"=25.04.17")</f>
        <v>0</v>
      </c>
      <c r="F34" s="420">
        <f ca="1">COUNTIFS(worksheet!O3:O4864,"&gt;=0",worksheet!Y3:Y4864,"3",worksheet!T3:T4864,"=25.05.17")</f>
        <v>0</v>
      </c>
      <c r="G34" s="420">
        <f ca="1">COUNTIFS(worksheet!O3:O4864,"&gt;=0",worksheet!Y3:Y4864,"3",worksheet!T3:T4864,"=25.06.17")</f>
        <v>0</v>
      </c>
      <c r="H34" s="420">
        <f ca="1">COUNTIFS(worksheet!O3:O4864,"&gt;=0",worksheet!Y3:Y4864,"3",worksheet!T3:T4864,"=25.07.17")</f>
        <v>0</v>
      </c>
      <c r="I34" s="420">
        <f ca="1">COUNTIFS(worksheet!O3:O4864,"&gt;=0",worksheet!Y3:Y4864,"3",worksheet!T3:T4864,"=25.08.17")</f>
        <v>0</v>
      </c>
      <c r="J34" s="420">
        <f ca="1">COUNTIFS(worksheet!O3:O4864,"&gt;=0",worksheet!Y3:Y4864,"3",worksheet!T3:T4864,"=25.09.17")</f>
        <v>0</v>
      </c>
      <c r="K34" s="420">
        <f ca="1">COUNTIFS(worksheet!O3:O4864,"&gt;=0",worksheet!Y3:Y4864,"3",worksheet!T3:T4864,"=25.10.17")</f>
        <v>3</v>
      </c>
      <c r="L34" s="420">
        <f ca="1">COUNTIFS(worksheet!O3:O4864,"&gt;=0",worksheet!Y3:Y4864,"3",worksheet!T3:T4864,"=25.11.17")</f>
        <v>0</v>
      </c>
      <c r="M34" s="420">
        <f ca="1">COUNTIFS(worksheet!O3:O4864,"&gt;=0",worksheet!Y3:Y4864,"3",worksheet!T3:T4864,"=25.12.17")</f>
        <v>0</v>
      </c>
    </row>
    <row r="35" spans="1:13" ht="12" customHeight="1" thickBot="1" x14ac:dyDescent="0.25">
      <c r="A35" s="401">
        <v>26</v>
      </c>
      <c r="B35" s="420">
        <f ca="1">COUNTIFS(worksheet!O3:O4864,"&gt;=0",worksheet!Y3:Y4864,"3",worksheet!T3:T4864,"=26.01.17")</f>
        <v>0</v>
      </c>
      <c r="C35" s="420">
        <f ca="1">COUNTIFS(worksheet!O3:O4864,"&gt;=0",worksheet!Y3:Y4864,"3",worksheet!T3:T4864,"=26.02.17")</f>
        <v>0</v>
      </c>
      <c r="D35" s="420">
        <f ca="1">COUNTIFS(worksheet!O3:O4864,"&gt;=0",worksheet!Y3:Y4864,"3",worksheet!T3:T4864,"=26.03.17")</f>
        <v>0</v>
      </c>
      <c r="E35" s="420">
        <f ca="1">COUNTIFS(worksheet!O3:O4864,"&gt;=0",worksheet!Y3:Y4864,"3",worksheet!T3:T4864,"=26.04.17")</f>
        <v>0</v>
      </c>
      <c r="F35" s="420">
        <f ca="1">COUNTIFS(worksheet!O3:O4864,"&gt;=0",worksheet!Y3:Y4864,"3",worksheet!T3:T4864,"=26.05.17")</f>
        <v>0</v>
      </c>
      <c r="G35" s="420">
        <f ca="1">COUNTIFS(worksheet!O3:O4864,"&gt;=0",worksheet!Y3:Y4864,"3",worksheet!T3:T4864,"=26.06.17")</f>
        <v>0</v>
      </c>
      <c r="H35" s="420">
        <f ca="1">COUNTIFS(worksheet!O3:O4864,"&gt;=0",worksheet!Y3:Y4864,"3",worksheet!T3:T4864,"=26.07.17")</f>
        <v>0</v>
      </c>
      <c r="I35" s="420">
        <f ca="1">COUNTIFS(worksheet!O3:O4864,"&gt;=0",worksheet!Y3:Y4864,"3",worksheet!T3:T4864,"=26.08.17")</f>
        <v>0</v>
      </c>
      <c r="J35" s="420">
        <f ca="1">COUNTIFS(worksheet!O3:O4864,"&gt;=0",worksheet!Y3:Y4864,"3",worksheet!T3:T4864,"=26.09.17")</f>
        <v>0</v>
      </c>
      <c r="K35" s="420">
        <f ca="1">COUNTIFS(worksheet!O3:O4864,"&gt;=0",worksheet!Y3:Y4864,"3",worksheet!T3:T4864,"=26.10.17")</f>
        <v>9</v>
      </c>
      <c r="L35" s="420">
        <f ca="1">COUNTIFS(worksheet!O3:O4864,"&gt;=0",worksheet!Y3:Y4864,"3",worksheet!T3:T4864,"=26.11.17")</f>
        <v>0</v>
      </c>
      <c r="M35" s="420">
        <f ca="1">COUNTIFS(worksheet!O3:O4864,"&gt;=0",worksheet!Y3:Y4864,"3",worksheet!T3:T4864,"=26.12.17")</f>
        <v>0</v>
      </c>
    </row>
    <row r="36" spans="1:13" ht="12" customHeight="1" thickBot="1" x14ac:dyDescent="0.25">
      <c r="A36" s="401">
        <v>27</v>
      </c>
      <c r="B36" s="420">
        <f ca="1">COUNTIFS(worksheet!O3:O4864,"&gt;=0",worksheet!Y3:Y4864,"3",worksheet!T3:T4864,"=27.01.17")</f>
        <v>0</v>
      </c>
      <c r="C36" s="420">
        <f ca="1">COUNTIFS(worksheet!O3:O4864,"&gt;=0",worksheet!Y3:Y4864,"3",worksheet!T3:T4864,"=27.02.17")</f>
        <v>0</v>
      </c>
      <c r="D36" s="420">
        <f ca="1">COUNTIFS(worksheet!O3:O4864,"&gt;=0",worksheet!Y3:Y4864,"3",worksheet!T3:T4864,"=27.03.17")</f>
        <v>0</v>
      </c>
      <c r="E36" s="420">
        <f ca="1">COUNTIFS(worksheet!O3:O4864,"&gt;=0",worksheet!Y3:Y4864,"3",worksheet!T3:T4864,"=27.04.17")</f>
        <v>0</v>
      </c>
      <c r="F36" s="420">
        <f ca="1">COUNTIFS(worksheet!O3:O4864,"&gt;=0",worksheet!Y3:Y4864,"3",worksheet!T3:T4864,"=27.05.17")</f>
        <v>0</v>
      </c>
      <c r="G36" s="420">
        <f ca="1">COUNTIFS(worksheet!O3:O4864,"&gt;=0",worksheet!Y3:Y4864,"3",worksheet!T3:T4864,"=27.06.17")</f>
        <v>0</v>
      </c>
      <c r="H36" s="420">
        <f ca="1">COUNTIFS(worksheet!O3:O4864,"&gt;=0",worksheet!Y3:Y4864,"3",worksheet!T3:T4864,"=27.07.17")</f>
        <v>0</v>
      </c>
      <c r="I36" s="420">
        <f ca="1">COUNTIFS(worksheet!O3:O4864,"&gt;=0",worksheet!Y3:Y4864,"3",worksheet!T3:T4864,"=27.08.17")</f>
        <v>0</v>
      </c>
      <c r="J36" s="420">
        <f ca="1">COUNTIFS(worksheet!O3:O4864,"&gt;=0",worksheet!Y3:Y4864,"3",worksheet!T3:T4864,"=27.09.17")</f>
        <v>0</v>
      </c>
      <c r="K36" s="420">
        <f ca="1">COUNTIFS(worksheet!O3:O4864,"&gt;=0",worksheet!Y3:Y4864,"3",worksheet!T3:T4864,"=27.10.17")</f>
        <v>13</v>
      </c>
      <c r="L36" s="420">
        <f ca="1">COUNTIFS(worksheet!O3:O4864,"&gt;=0",worksheet!Y3:Y4864,"3",worksheet!T3:T4864,"=27.11.17")</f>
        <v>0</v>
      </c>
      <c r="M36" s="420">
        <f ca="1">COUNTIFS(worksheet!O3:O4864,"&gt;=0",worksheet!Y3:Y4864,"3",worksheet!T3:T4864,"=27.12.17")</f>
        <v>0</v>
      </c>
    </row>
    <row r="37" spans="1:13" ht="12" customHeight="1" thickBot="1" x14ac:dyDescent="0.25">
      <c r="A37" s="401">
        <v>28</v>
      </c>
      <c r="B37" s="420">
        <f ca="1">COUNTIFS(worksheet!O3:O4864,"&gt;=0",worksheet!Y3:Y4864,"3",worksheet!T3:T4864,"=28.01.17")</f>
        <v>0</v>
      </c>
      <c r="C37" s="420">
        <f ca="1">COUNTIFS(worksheet!O3:O4864,"&gt;=0",worksheet!Y3:Y4864,"3",worksheet!T3:T4864,"=28.02.17")</f>
        <v>0</v>
      </c>
      <c r="D37" s="420">
        <f ca="1">COUNTIFS(worksheet!O3:O4864,"&gt;=0",worksheet!Y3:Y4864,"3",worksheet!T3:T4864,"=28.03.17")</f>
        <v>0</v>
      </c>
      <c r="E37" s="420">
        <f ca="1">COUNTIFS(worksheet!O3:O4864,"&gt;=0",worksheet!Y3:Y4864,"3",worksheet!T3:T4864,"=28.04.17")</f>
        <v>0</v>
      </c>
      <c r="F37" s="420">
        <f ca="1">COUNTIFS(worksheet!O3:O4864,"&gt;=0",worksheet!Y3:Y4864,"3",worksheet!T3:T4864,"=28.05.17")</f>
        <v>0</v>
      </c>
      <c r="G37" s="420">
        <f ca="1">COUNTIFS(worksheet!O3:O4864,"&gt;=0",worksheet!Y3:Y4864,"3",worksheet!T3:T4864,"=28.06.17")</f>
        <v>0</v>
      </c>
      <c r="H37" s="420">
        <f ca="1">COUNTIFS(worksheet!O3:O4864,"&gt;=0",worksheet!Y3:Y4864,"3",worksheet!T3:T4864,"=28.07.17")</f>
        <v>0</v>
      </c>
      <c r="I37" s="420">
        <f ca="1">COUNTIFS(worksheet!O3:O4864,"&gt;=0",worksheet!Y3:Y4864,"3",worksheet!T3:T4864,"=28.08.17")</f>
        <v>0</v>
      </c>
      <c r="J37" s="420">
        <f ca="1">COUNTIFS(worksheet!O3:O4864,"&gt;=0",worksheet!Y3:Y4864,"3",worksheet!T3:T4864,"=28.09.17")</f>
        <v>0</v>
      </c>
      <c r="K37" s="420">
        <f ca="1">COUNTIFS(worksheet!O3:O4864,"&gt;=0",worksheet!Y3:Y4864,"3",worksheet!T3:T4864,"=28.10.17")</f>
        <v>1</v>
      </c>
      <c r="L37" s="420">
        <f ca="1">COUNTIFS(worksheet!O3:O4864,"&gt;=0",worksheet!Y3:Y4864,"3",worksheet!T3:T4864,"=28.11.17")</f>
        <v>0</v>
      </c>
      <c r="M37" s="420">
        <f ca="1">COUNTIFS(worksheet!O3:O4864,"&gt;=0",worksheet!Y3:Y4864,"3",worksheet!T3:T4864,"=28.12.17")</f>
        <v>0</v>
      </c>
    </row>
    <row r="38" spans="1:13" ht="12" customHeight="1" thickBot="1" x14ac:dyDescent="0.25">
      <c r="A38" s="401">
        <v>29</v>
      </c>
      <c r="B38" s="420">
        <f ca="1">COUNTIFS(worksheet!O3:O4864,"&gt;=0",worksheet!Y3:Y4864,"3",worksheet!T3:T4864,"=29.01.17")</f>
        <v>0</v>
      </c>
      <c r="C38" s="420">
        <f ca="1">COUNTIFS(worksheet!O3:O4864,"&gt;=0",worksheet!Y3:Y4864,"3",worksheet!T3:T4864,"=29.02.17")</f>
        <v>0</v>
      </c>
      <c r="D38" s="420">
        <f ca="1">COUNTIFS(worksheet!O3:O4864,"&gt;=0",worksheet!Y3:Y4864,"3",worksheet!T3:T4864,"=29.03.17")</f>
        <v>0</v>
      </c>
      <c r="E38" s="420">
        <f ca="1">COUNTIFS(worksheet!O3:O4864,"&gt;=0",worksheet!Y3:Y4864,"3",worksheet!T3:T4864,"=29.04.17")</f>
        <v>0</v>
      </c>
      <c r="F38" s="420">
        <f ca="1">COUNTIFS(worksheet!O3:O4864,"&gt;=0",worksheet!Y3:Y4864,"3",worksheet!T3:T4864,"=29.05.17")</f>
        <v>0</v>
      </c>
      <c r="G38" s="420">
        <f ca="1">COUNTIFS(worksheet!O3:O4864,"&gt;=0",worksheet!Y3:Y4864,"3",worksheet!T3:T4864,"=29.06.17")</f>
        <v>0</v>
      </c>
      <c r="H38" s="420">
        <f ca="1">COUNTIFS(worksheet!O3:O4864,"&gt;=0",worksheet!Y3:Y4864,"3",worksheet!T3:T4864,"=29.07.17")</f>
        <v>0</v>
      </c>
      <c r="I38" s="420">
        <f ca="1">COUNTIFS(worksheet!O3:O4864,"&gt;=0",worksheet!Y3:Y4864,"3",worksheet!T3:T4864,"=29.08.17")</f>
        <v>0</v>
      </c>
      <c r="J38" s="420">
        <f ca="1">COUNTIFS(worksheet!O3:O4864,"&gt;=0",worksheet!Y3:Y4864,"3",worksheet!T3:T4864,"=29.09.17")</f>
        <v>0</v>
      </c>
      <c r="K38" s="420">
        <f ca="1">COUNTIFS(worksheet!O3:O4864,"&gt;=0",worksheet!Y3:Y4864,"3",worksheet!T3:T4864,"=29.10.17")</f>
        <v>1</v>
      </c>
      <c r="L38" s="420">
        <f ca="1">COUNTIFS(worksheet!O3:O4864,"&gt;=0",worksheet!Y3:Y4864,"3",worksheet!T3:T4864,"=29.11.17")</f>
        <v>0</v>
      </c>
      <c r="M38" s="420">
        <f ca="1">COUNTIFS(worksheet!O3:O4864,"&gt;=0",worksheet!Y3:Y4864,"3",worksheet!T3:T4864,"=29.12.17")</f>
        <v>0</v>
      </c>
    </row>
    <row r="39" spans="1:13" ht="12" customHeight="1" thickBot="1" x14ac:dyDescent="0.25">
      <c r="A39" s="401">
        <v>30</v>
      </c>
      <c r="B39" s="420">
        <f ca="1">COUNTIFS(worksheet!O3:O4864,"&gt;=0",worksheet!Y3:Y4864,"3",worksheet!T3:T4864,"=30.01.17")</f>
        <v>0</v>
      </c>
      <c r="C39" s="420">
        <f ca="1">COUNTIFS(worksheet!O3:O4864,"&gt;=0",worksheet!Y3:Y4864,"3",worksheet!T3:T4864,"=30.02.17")</f>
        <v>0</v>
      </c>
      <c r="D39" s="420">
        <f ca="1">COUNTIFS(worksheet!O3:O4864,"&gt;=0",worksheet!Y3:Y4864,"3",worksheet!T3:T4864,"=30.03.17")</f>
        <v>0</v>
      </c>
      <c r="E39" s="420">
        <f ca="1">COUNTIFS(worksheet!O3:O4864,"&gt;=0",worksheet!Y3:Y4864,"3",worksheet!T3:T4864,"=30.04.17")</f>
        <v>0</v>
      </c>
      <c r="F39" s="420">
        <f ca="1">COUNTIFS(worksheet!O3:O4864,"&gt;=0",worksheet!Y3:Y4864,"3",worksheet!T3:T4864,"=30.05.17")</f>
        <v>0</v>
      </c>
      <c r="G39" s="420">
        <f ca="1">COUNTIFS(worksheet!O3:O4864,"&gt;=0",worksheet!Y3:Y4864,"3",worksheet!T3:T4864,"=30.06.17")</f>
        <v>0</v>
      </c>
      <c r="H39" s="420">
        <f ca="1">COUNTIFS(worksheet!O3:O4864,"&gt;=0",worksheet!Y3:Y4864,"3",worksheet!T3:T4864,"=30.07.17")</f>
        <v>0</v>
      </c>
      <c r="I39" s="420">
        <f ca="1">COUNTIFS(worksheet!O3:O4864,"&gt;=0",worksheet!Y3:Y4864,"3",worksheet!T3:T4864,"=30.08.17")</f>
        <v>0</v>
      </c>
      <c r="J39" s="420">
        <f ca="1">COUNTIFS(worksheet!O3:O4864,"&gt;=0",worksheet!Y3:Y4864,"3",worksheet!T3:T4864,"=30.09.17")</f>
        <v>0</v>
      </c>
      <c r="K39" s="420">
        <f ca="1">COUNTIFS(worksheet!O3:O4864,"&gt;=0",worksheet!Y3:Y4864,"3",worksheet!T3:T4864,"=30.10.17")</f>
        <v>0</v>
      </c>
      <c r="L39" s="420">
        <f ca="1">COUNTIFS(worksheet!O3:O4864,"&gt;=0",worksheet!Y3:Y4864,"3",worksheet!T3:T4864,"=30.11.17")</f>
        <v>0</v>
      </c>
      <c r="M39" s="420">
        <f ca="1">COUNTIFS(worksheet!O3:O4864,"&gt;=0",worksheet!Y3:Y4864,"3",worksheet!T3:T4864,"=30.12.17")</f>
        <v>0</v>
      </c>
    </row>
    <row r="40" spans="1:13" ht="12" customHeight="1" thickBot="1" x14ac:dyDescent="0.25">
      <c r="A40" s="401">
        <v>31</v>
      </c>
      <c r="B40" s="420">
        <f ca="1">COUNTIFS(worksheet!O3:O4864,"&gt;=0",worksheet!Y3:Y4864,"3",worksheet!T3:T4864,"=31.01.17")</f>
        <v>0</v>
      </c>
      <c r="C40" s="420">
        <f ca="1">COUNTIFS(worksheet!O3:O4864,"&gt;=0",worksheet!Y3:Y4864,"3",worksheet!T3:T4864,"=31.02.17")</f>
        <v>0</v>
      </c>
      <c r="D40" s="420">
        <f ca="1">COUNTIFS(worksheet!O3:O4864,"&gt;=0",worksheet!Y3:Y4864,"3",worksheet!T3:T4864,"=31.03.17")</f>
        <v>0</v>
      </c>
      <c r="E40" s="420">
        <f ca="1">COUNTIFS(worksheet!O3:O4864,"&gt;=0",worksheet!Y3:Y4864,"3",worksheet!T3:T4864,"=31.04.17")</f>
        <v>0</v>
      </c>
      <c r="F40" s="420">
        <f ca="1">COUNTIFS(worksheet!O3:O4864,"&gt;=0",worksheet!Y3:Y4864,"3",worksheet!T3:T4864,"=31.05.17")</f>
        <v>0</v>
      </c>
      <c r="G40" s="420">
        <f ca="1">COUNTIFS(worksheet!O3:O4864,"&gt;=0",worksheet!Y3:Y4864,"3",worksheet!T3:T4864,"=31.06.17")</f>
        <v>0</v>
      </c>
      <c r="H40" s="420">
        <f ca="1">COUNTIFS(worksheet!O3:O4864,"&gt;=0",worksheet!Y3:Y4864,"3",worksheet!T3:T4864,"=31.07.17")</f>
        <v>0</v>
      </c>
      <c r="I40" s="420">
        <f ca="1">COUNTIFS(worksheet!O3:O4864,"&gt;=0",worksheet!Y3:Y4864,"3",worksheet!T3:T4864,"=31.08.17")</f>
        <v>0</v>
      </c>
      <c r="J40" s="420">
        <f ca="1">COUNTIFS(worksheet!O3:O4864,"&gt;=0",worksheet!Y3:Y4864,"3",worksheet!T3:T4864,"=31.09.17")</f>
        <v>0</v>
      </c>
      <c r="K40" s="420">
        <f ca="1">COUNTIFS(worksheet!O3:O4864,"&gt;=0",worksheet!Y3:Y4864,"3",worksheet!T3:T4864,"=31.10.17")</f>
        <v>0</v>
      </c>
      <c r="L40" s="420">
        <f ca="1">COUNTIFS(worksheet!O3:O4864,"&gt;=0",worksheet!Y3:Y4864,"3",worksheet!T3:T4864,"=31.11.17")</f>
        <v>0</v>
      </c>
      <c r="M40" s="420">
        <f ca="1">COUNTIFS(worksheet!O3:O4864,"&gt;=0",worksheet!Y3:Y4864,"3",worksheet!T3:T4864,"=31.12.17")</f>
        <v>0</v>
      </c>
    </row>
    <row r="41" spans="1:13" ht="26.1" customHeight="1" thickBot="1" x14ac:dyDescent="0.25">
      <c r="A41" s="402" t="s">
        <v>2976</v>
      </c>
      <c r="B41" s="419">
        <f ca="1">SUM(B10:B40)</f>
        <v>0</v>
      </c>
      <c r="C41" s="419">
        <f t="shared" ref="C41:M41" ca="1" si="0">SUM(C10:C40)</f>
        <v>0</v>
      </c>
      <c r="D41" s="419">
        <f t="shared" ca="1" si="0"/>
        <v>0</v>
      </c>
      <c r="E41" s="419">
        <f t="shared" ca="1" si="0"/>
        <v>0</v>
      </c>
      <c r="F41" s="419">
        <f t="shared" ca="1" si="0"/>
        <v>0</v>
      </c>
      <c r="G41" s="419">
        <f t="shared" ca="1" si="0"/>
        <v>0</v>
      </c>
      <c r="H41" s="419">
        <f t="shared" ca="1" si="0"/>
        <v>1</v>
      </c>
      <c r="I41" s="419">
        <f t="shared" ca="1" si="0"/>
        <v>0</v>
      </c>
      <c r="J41" s="419">
        <f t="shared" ca="1" si="0"/>
        <v>0</v>
      </c>
      <c r="K41" s="419">
        <f t="shared" ca="1" si="0"/>
        <v>50</v>
      </c>
      <c r="L41" s="419">
        <f t="shared" ca="1" si="0"/>
        <v>68</v>
      </c>
      <c r="M41" s="419">
        <f t="shared" ca="1" si="0"/>
        <v>0</v>
      </c>
    </row>
    <row r="42" spans="1:13" ht="39.950000000000003" customHeight="1" thickBot="1" x14ac:dyDescent="0.25">
      <c r="A42" s="411" t="s">
        <v>3040</v>
      </c>
      <c r="B42" s="415">
        <v>81</v>
      </c>
      <c r="C42" s="415">
        <v>97</v>
      </c>
      <c r="D42" s="415">
        <v>94</v>
      </c>
      <c r="E42" s="415">
        <v>65</v>
      </c>
      <c r="F42" s="415">
        <v>90</v>
      </c>
      <c r="G42" s="415">
        <v>132</v>
      </c>
      <c r="H42" s="415">
        <v>117</v>
      </c>
      <c r="I42" s="415">
        <v>101</v>
      </c>
      <c r="J42" s="415">
        <v>90</v>
      </c>
      <c r="K42" s="415">
        <v>116</v>
      </c>
      <c r="L42" s="415">
        <v>36</v>
      </c>
      <c r="M42" s="415"/>
    </row>
    <row r="43" spans="1:13" ht="26.1" customHeight="1" thickBot="1" x14ac:dyDescent="0.25">
      <c r="A43" s="414" t="s">
        <v>3041</v>
      </c>
      <c r="B43" s="412">
        <v>70</v>
      </c>
      <c r="C43" s="412">
        <v>81</v>
      </c>
      <c r="D43" s="412">
        <v>102</v>
      </c>
      <c r="E43" s="412">
        <v>88</v>
      </c>
      <c r="F43" s="412">
        <v>110</v>
      </c>
      <c r="G43" s="412">
        <v>106</v>
      </c>
      <c r="H43" s="412">
        <v>106</v>
      </c>
      <c r="I43" s="412">
        <v>100</v>
      </c>
      <c r="J43" s="412">
        <v>94</v>
      </c>
      <c r="K43" s="412">
        <v>90</v>
      </c>
      <c r="L43" s="412">
        <v>104</v>
      </c>
      <c r="M43" s="412"/>
    </row>
    <row r="44" spans="1:13" ht="26.1" customHeight="1" thickBot="1" x14ac:dyDescent="0.25">
      <c r="A44" s="413" t="s">
        <v>2977</v>
      </c>
      <c r="B44" s="415">
        <f>B42-B43</f>
        <v>11</v>
      </c>
      <c r="C44" s="415">
        <f t="shared" ref="C44:M44" si="1">C42-C43</f>
        <v>16</v>
      </c>
      <c r="D44" s="415">
        <f t="shared" si="1"/>
        <v>-8</v>
      </c>
      <c r="E44" s="415">
        <f t="shared" si="1"/>
        <v>-23</v>
      </c>
      <c r="F44" s="415">
        <f t="shared" si="1"/>
        <v>-20</v>
      </c>
      <c r="G44" s="415">
        <f t="shared" si="1"/>
        <v>26</v>
      </c>
      <c r="H44" s="415">
        <f t="shared" si="1"/>
        <v>11</v>
      </c>
      <c r="I44" s="415">
        <f t="shared" si="1"/>
        <v>1</v>
      </c>
      <c r="J44" s="415">
        <f t="shared" si="1"/>
        <v>-4</v>
      </c>
      <c r="K44" s="415">
        <f t="shared" si="1"/>
        <v>26</v>
      </c>
      <c r="L44" s="415">
        <f t="shared" si="1"/>
        <v>-68</v>
      </c>
      <c r="M44" s="415">
        <f t="shared" si="1"/>
        <v>0</v>
      </c>
    </row>
    <row r="45" spans="1:13" ht="26.1" customHeight="1" thickBot="1" x14ac:dyDescent="0.25">
      <c r="A45" s="400" t="s">
        <v>2975</v>
      </c>
      <c r="B45" s="442">
        <v>22</v>
      </c>
      <c r="C45" s="442">
        <v>31</v>
      </c>
      <c r="D45" s="442">
        <v>37</v>
      </c>
      <c r="E45" s="442">
        <v>26</v>
      </c>
      <c r="F45" s="442">
        <v>37</v>
      </c>
      <c r="G45" s="442">
        <v>38</v>
      </c>
      <c r="H45" s="442">
        <v>45</v>
      </c>
      <c r="I45" s="442">
        <v>35</v>
      </c>
      <c r="J45" s="418">
        <f ca="1">COUNTIFS(worksheet!O3:O1338,"&gt;=0",worksheet!Y3:Y1338,"1",worksheet!T3:T1338,"&gt;31.08.2017",worksheet!T3:T1338,"&lt;01.10.2017")</f>
        <v>34</v>
      </c>
      <c r="K45" s="418">
        <f ca="1">COUNTIFS(worksheet!O3:O1338,"&gt;=0",worksheet!Y3:Y1338,"1",worksheet!T3:T1338,"&gt;30.09.2017",worksheet!T3:T1338,"&lt;01.11.2017")</f>
        <v>28</v>
      </c>
      <c r="L45" s="418">
        <f ca="1">COUNTIFS(worksheet!O3:O1338,"&gt;=0",worksheet!Y3:Y1338,"1",worksheet!T3:T1338,"&gt;31.10.2017",worksheet!T3:T1338,"&lt;01.12.2017")</f>
        <v>0</v>
      </c>
      <c r="M45" s="418">
        <f ca="1">COUNTIFS(worksheet!O3:O1338,"&gt;=0",worksheet!Y3:Y1338,"1",worksheet!T3:T1338,"&gt;30.11.2017",worksheet!T3:T1338,"&lt;01.01.2018")</f>
        <v>0</v>
      </c>
    </row>
    <row r="46" spans="1:13" ht="18" customHeight="1" thickBot="1" x14ac:dyDescent="0.25">
      <c r="A46" s="413" t="s">
        <v>2030</v>
      </c>
      <c r="B46" s="416">
        <f>IF(AND(B42&gt;0,B45&gt;0),B45/B42,"-")</f>
        <v>0.27160493827160492</v>
      </c>
      <c r="C46" s="416">
        <f t="shared" ref="C46:M46" si="2">IF(AND(C42&gt;0,C45&gt;0),C45/C42,"-")</f>
        <v>0.31958762886597936</v>
      </c>
      <c r="D46" s="416">
        <f t="shared" si="2"/>
        <v>0.39361702127659576</v>
      </c>
      <c r="E46" s="416">
        <f t="shared" si="2"/>
        <v>0.4</v>
      </c>
      <c r="F46" s="416">
        <f t="shared" si="2"/>
        <v>0.41111111111111109</v>
      </c>
      <c r="G46" s="416">
        <f t="shared" si="2"/>
        <v>0.2878787878787879</v>
      </c>
      <c r="H46" s="416">
        <f t="shared" si="2"/>
        <v>0.38461538461538464</v>
      </c>
      <c r="I46" s="416">
        <f t="shared" si="2"/>
        <v>0.34653465346534651</v>
      </c>
      <c r="J46" s="416">
        <f t="shared" ca="1" si="2"/>
        <v>0.37777777777777777</v>
      </c>
      <c r="K46" s="416">
        <f t="shared" ca="1" si="2"/>
        <v>0.2413793103448276</v>
      </c>
      <c r="L46" s="416" t="str">
        <f t="shared" ca="1" si="2"/>
        <v>-</v>
      </c>
      <c r="M46" s="416" t="str">
        <f t="shared" ca="1" si="2"/>
        <v>-</v>
      </c>
    </row>
    <row r="47" spans="1:13" s="334" customFormat="1" ht="12.75" customHeight="1" thickBot="1" x14ac:dyDescent="0.25">
      <c r="A47" s="1483" t="s">
        <v>2978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5"/>
    </row>
    <row r="48" spans="1:13" s="334" customFormat="1" ht="13.5" customHeight="1" thickBot="1" x14ac:dyDescent="0.25">
      <c r="A48" s="1483"/>
      <c r="B48" s="1484"/>
      <c r="C48" s="1484"/>
      <c r="D48" s="1484"/>
      <c r="E48" s="1484"/>
      <c r="F48" s="1484"/>
      <c r="G48" s="1484"/>
      <c r="H48" s="1484"/>
      <c r="I48" s="1484"/>
      <c r="J48" s="1484"/>
      <c r="K48" s="1484"/>
      <c r="L48" s="1484"/>
      <c r="M48" s="1485"/>
    </row>
    <row r="49" spans="1:13" s="334" customFormat="1" ht="12.75" customHeight="1" thickBot="1" x14ac:dyDescent="0.25">
      <c r="A49" s="1486">
        <f ca="1">SUMIFS(worksheet!W27:W3363,worksheet!O27:O3363,"&gt;-1",worksheet!Y27:Y3363,"1")/COUNTIFS(worksheet!O27:O3363,"&gt;-1",worksheet!Y27:Y3363,"1")</f>
        <v>2.1818181818181817</v>
      </c>
      <c r="B49" s="1487"/>
      <c r="C49" s="1487"/>
      <c r="D49" s="1487"/>
      <c r="E49" s="1487"/>
      <c r="F49" s="1487"/>
      <c r="G49" s="1487"/>
      <c r="H49" s="1487"/>
      <c r="I49" s="1487"/>
      <c r="J49" s="1487"/>
      <c r="K49" s="1487"/>
      <c r="L49" s="1487"/>
      <c r="M49" s="1488"/>
    </row>
    <row r="50" spans="1:13" s="334" customFormat="1" ht="13.5" customHeight="1" thickBot="1" x14ac:dyDescent="0.25">
      <c r="A50" s="1486"/>
      <c r="B50" s="1487"/>
      <c r="C50" s="1487"/>
      <c r="D50" s="1487"/>
      <c r="E50" s="1487"/>
      <c r="F50" s="1487"/>
      <c r="G50" s="1487"/>
      <c r="H50" s="1487"/>
      <c r="I50" s="1487"/>
      <c r="J50" s="1487"/>
      <c r="K50" s="1487"/>
      <c r="L50" s="1487"/>
      <c r="M50" s="1488"/>
    </row>
    <row r="51" spans="1:13" ht="48" customHeight="1" thickBot="1" x14ac:dyDescent="0.25">
      <c r="A51" s="398"/>
      <c r="B51" s="39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</row>
    <row r="52" spans="1:13" ht="18" customHeight="1" thickTop="1" thickBot="1" x14ac:dyDescent="0.25">
      <c r="A52" s="398"/>
      <c r="B52" s="1492" t="s">
        <v>2980</v>
      </c>
      <c r="C52" s="1493"/>
      <c r="D52" s="1493"/>
      <c r="E52" s="1493"/>
      <c r="F52" s="1493"/>
      <c r="G52" s="1493"/>
      <c r="H52" s="1493"/>
      <c r="I52" s="1493"/>
      <c r="J52" s="1493"/>
      <c r="K52" s="1493"/>
      <c r="L52" s="1493"/>
      <c r="M52" s="1494"/>
    </row>
    <row r="53" spans="1:13" ht="13.5" thickBot="1" x14ac:dyDescent="0.25">
      <c r="A53" s="398"/>
      <c r="B53" s="1495" t="s">
        <v>2031</v>
      </c>
      <c r="C53" s="1496"/>
      <c r="D53" s="1496"/>
      <c r="E53" s="1496"/>
      <c r="F53" s="1496"/>
      <c r="G53" s="1496"/>
      <c r="H53" s="1496"/>
      <c r="I53" s="1496"/>
      <c r="J53" s="1496"/>
      <c r="K53" s="1496"/>
      <c r="L53" s="1496"/>
      <c r="M53" s="1497"/>
    </row>
    <row r="54" spans="1:13" ht="45" customHeight="1" thickBot="1" x14ac:dyDescent="0.25">
      <c r="A54" s="398"/>
      <c r="B54" s="403" t="s">
        <v>2018</v>
      </c>
      <c r="C54" s="404" t="s">
        <v>2019</v>
      </c>
      <c r="D54" s="404" t="s">
        <v>2020</v>
      </c>
      <c r="E54" s="404" t="s">
        <v>2021</v>
      </c>
      <c r="F54" s="404" t="s">
        <v>2022</v>
      </c>
      <c r="G54" s="404" t="s">
        <v>2023</v>
      </c>
      <c r="H54" s="404" t="s">
        <v>2024</v>
      </c>
      <c r="I54" s="404" t="s">
        <v>2025</v>
      </c>
      <c r="J54" s="404" t="s">
        <v>2026</v>
      </c>
      <c r="K54" s="404" t="s">
        <v>2027</v>
      </c>
      <c r="L54" s="404" t="s">
        <v>2028</v>
      </c>
      <c r="M54" s="405" t="s">
        <v>2029</v>
      </c>
    </row>
    <row r="55" spans="1:13" ht="12" customHeight="1" thickBot="1" x14ac:dyDescent="0.25">
      <c r="A55" s="401">
        <v>1</v>
      </c>
      <c r="B55" s="420">
        <f>COUNTIFS(worksheet!Y38:Y4902,"3",worksheet!T38:T4902,"=01.01.17")</f>
        <v>0</v>
      </c>
      <c r="C55" s="420"/>
      <c r="D55" s="420"/>
      <c r="E55" s="420"/>
      <c r="F55" s="422">
        <f ca="1">COUNTIFS(worksheet!Y3:Y4864,"3",worksheet!T3:T4864,"=01.05.17")-COUNTIFS(worksheet!O3:O4864,"&gt;=0",worksheet!Y3:Y4864,"3",worksheet!T3:T4864,"=01.05.17")</f>
        <v>0</v>
      </c>
      <c r="G55" s="422">
        <f ca="1">COUNTIFS(worksheet!Y3:Y4864,"3",worksheet!T3:T4864,"=01.06.17")-COUNTIFS(worksheet!O3:O4864,"&gt;=0",worksheet!Y3:Y4864,"3",worksheet!T3:T4864,"=01.06.17")</f>
        <v>0</v>
      </c>
      <c r="H55" s="422">
        <f ca="1">COUNTIFS(worksheet!Y3:Y4864,"3",worksheet!T3:T4864,"=01.07.17")-COUNTIFS(worksheet!O3:O4864,"&gt;=0",worksheet!Y3:Y4864,"3",worksheet!T3:T4864,"=01.07.17")</f>
        <v>0</v>
      </c>
      <c r="I55" s="422">
        <f ca="1">COUNTIFS(worksheet!Y3:Y4864,"3",worksheet!T3:T4864,"=01.08.17")-COUNTIFS(worksheet!O3:O4864,"&gt;=0",worksheet!Y3:Y4864,"3",worksheet!T3:T4864,"=01.08.17")</f>
        <v>0</v>
      </c>
      <c r="J55" s="422">
        <f ca="1">COUNTIFS(worksheet!Y3:Y4864,"3",worksheet!T3:T4864,"=01.09.17")-COUNTIFS(worksheet!O3:O4864,"&gt;=0",worksheet!Y3:Y4864,"3",worksheet!T3:T4864,"=01.09.17")</f>
        <v>0</v>
      </c>
      <c r="K55" s="422">
        <f ca="1">COUNTIFS(worksheet!Y3:Y4864,"3",worksheet!T3:T4864,"=01.10.17")-COUNTIFS(worksheet!O3:O4864,"&gt;=0",worksheet!Y3:Y4864,"3",worksheet!T3:T4864,"=01.10.17")</f>
        <v>0</v>
      </c>
      <c r="L55" s="422">
        <f ca="1">COUNTIFS(worksheet!Y3:Y4864,"3",worksheet!T3:T4864,"=01.11.17")-COUNTIFS(worksheet!O3:O4864,"&gt;=0",worksheet!Y3:Y4864,"3",worksheet!T3:T4864,"=01.11.17")</f>
        <v>0</v>
      </c>
      <c r="M55" s="422">
        <f ca="1">COUNTIFS(worksheet!Y3:Y4864,"3",worksheet!T3:T4864,"=01.12.17")-COUNTIFS(worksheet!O3:O4864,"&gt;=0",worksheet!Y3:Y4864,"3",worksheet!T3:T4864,"=01.12.17")</f>
        <v>0</v>
      </c>
    </row>
    <row r="56" spans="1:13" ht="12" customHeight="1" thickBot="1" x14ac:dyDescent="0.25">
      <c r="A56" s="401">
        <v>2</v>
      </c>
      <c r="B56" s="420"/>
      <c r="C56" s="420"/>
      <c r="D56" s="420"/>
      <c r="E56" s="420"/>
      <c r="F56" s="422">
        <f ca="1">COUNTIFS(worksheet!Y3:Y4864,"3",worksheet!T3:T4864,"=02.05.17")-COUNTIFS(worksheet!O3:O4864,"&gt;=0",worksheet!Y3:Y4864,"3",worksheet!T3:T4864,"=02.05.17")</f>
        <v>0</v>
      </c>
      <c r="G56" s="422">
        <f ca="1">COUNTIFS(worksheet!Y3:Y4864,"3",worksheet!T3:T4864,"=02.06.17")-COUNTIFS(worksheet!O3:O4864,"&gt;=0",worksheet!Y3:Y4864,"3",worksheet!T3:T4864,"=02.06.17")</f>
        <v>0</v>
      </c>
      <c r="H56" s="422">
        <f ca="1">COUNTIFS(worksheet!Y3:Y4864,"3",worksheet!T3:T4864,"=02.07.17")-COUNTIFS(worksheet!O3:O4864,"&gt;=0",worksheet!Y3:Y4864,"3",worksheet!T3:T4864,"=02.07.17")</f>
        <v>0</v>
      </c>
      <c r="I56" s="422">
        <f ca="1">COUNTIFS(worksheet!Y3:Y4864,"3",worksheet!T3:T4864,"=02.08.17")-COUNTIFS(worksheet!O3:O4864,"&gt;=0",worksheet!Y3:Y4864,"3",worksheet!T3:T4864,"=02.08.17")</f>
        <v>0</v>
      </c>
      <c r="J56" s="422">
        <f ca="1">COUNTIFS(worksheet!Y3:Y4864,"3",worksheet!T3:T4864,"=02.09.17")-COUNTIFS(worksheet!O3:O4864,"&gt;=0",worksheet!Y3:Y4864,"3",worksheet!T3:T4864,"=02.09.17")</f>
        <v>1</v>
      </c>
      <c r="K56" s="422">
        <f ca="1">COUNTIFS(worksheet!Y3:Y4864,"3",worksheet!T3:T4864,"=02.10.17")-COUNTIFS(worksheet!O3:O4864,"&gt;=0",worksheet!Y3:Y4864,"3",worksheet!T3:T4864,"=02.10.17")</f>
        <v>0</v>
      </c>
      <c r="L56" s="422">
        <f ca="1">COUNTIFS(worksheet!Y3:Y4864,"3",worksheet!T3:T4864,"=02.11.17")-COUNTIFS(worksheet!O3:O4864,"&gt;=0",worksheet!Y3:Y4864,"3",worksheet!T3:T4864,"=02.11.17")</f>
        <v>1</v>
      </c>
      <c r="M56" s="422">
        <f ca="1">COUNTIFS(worksheet!Y3:Y4864,"3",worksheet!T3:T4864,"=02.12.17")-COUNTIFS(worksheet!O3:O4864,"&gt;=0",worksheet!Y3:Y4864,"3",worksheet!T3:T4864,"=02.12.17")</f>
        <v>0</v>
      </c>
    </row>
    <row r="57" spans="1:13" ht="12" customHeight="1" thickBot="1" x14ac:dyDescent="0.25">
      <c r="A57" s="401">
        <v>3</v>
      </c>
      <c r="B57" s="420"/>
      <c r="C57" s="420"/>
      <c r="D57" s="420"/>
      <c r="E57" s="420"/>
      <c r="F57" s="422">
        <f ca="1">COUNTIFS(worksheet!Y3:Y4864,"3",worksheet!T3:T4864,"=03.05.17")-COUNTIFS(worksheet!O3:O4864,"&gt;=0",worksheet!Y3:Y4864,"3",worksheet!T3:T4864,"=03.05.17")</f>
        <v>0</v>
      </c>
      <c r="G57" s="422">
        <f ca="1">COUNTIFS(worksheet!Y3:Y4864,"3",worksheet!T3:T4864,"=03.06.17")-COUNTIFS(worksheet!O3:O4864,"&gt;=0",worksheet!Y3:Y4864,"3",worksheet!T3:T4864,"=03.06.17")</f>
        <v>0</v>
      </c>
      <c r="H57" s="422">
        <f ca="1">COUNTIFS(worksheet!Y3:Y4864,"3",worksheet!T3:T4864,"=03.07.17")-COUNTIFS(worksheet!O3:O4864,"&gt;=0",worksheet!Y3:Y4864,"3",worksheet!T3:T4864,"=03.07.17")</f>
        <v>0</v>
      </c>
      <c r="I57" s="422">
        <f ca="1">COUNTIFS(worksheet!Y3:Y4864,"3",worksheet!T3:T4864,"=03.08.17")-COUNTIFS(worksheet!O3:O4864,"&gt;=0",worksheet!Y3:Y4864,"3",worksheet!T3:T4864,"=03.08.17")</f>
        <v>0</v>
      </c>
      <c r="J57" s="422">
        <f ca="1">COUNTIFS(worksheet!Y3:Y4864,"3",worksheet!T3:T4864,"=03.09.17")-COUNTIFS(worksheet!O3:O4864,"&gt;=0",worksheet!Y3:Y4864,"3",worksheet!T3:T4864,"=03.09.17")</f>
        <v>1</v>
      </c>
      <c r="K57" s="422">
        <f ca="1">COUNTIFS(worksheet!Y3:Y4864,"3",worksheet!T3:T4864,"=03.10.17")-COUNTIFS(worksheet!O3:O4864,"&gt;=0",worksheet!Y3:Y4864,"3",worksheet!T3:T4864,"=03.10.17")</f>
        <v>0</v>
      </c>
      <c r="L57" s="422">
        <f ca="1">COUNTIFS(worksheet!Y3:Y4864,"3",worksheet!T3:T4864,"=03.11.17")-COUNTIFS(worksheet!O3:O4864,"&gt;=0",worksheet!Y3:Y4864,"3",worksheet!T3:T4864,"=03.11.17")</f>
        <v>0</v>
      </c>
      <c r="M57" s="422">
        <f ca="1">COUNTIFS(worksheet!Y3:Y4864,"3",worksheet!T3:T4864,"=03.12.17")-COUNTIFS(worksheet!O3:O4864,"&gt;=0",worksheet!Y3:Y4864,"3",worksheet!T3:T4864,"=03.12.17")</f>
        <v>0</v>
      </c>
    </row>
    <row r="58" spans="1:13" ht="12" customHeight="1" thickBot="1" x14ac:dyDescent="0.25">
      <c r="A58" s="401">
        <v>4</v>
      </c>
      <c r="B58" s="420"/>
      <c r="C58" s="420"/>
      <c r="D58" s="420"/>
      <c r="E58" s="420"/>
      <c r="F58" s="422">
        <f ca="1">COUNTIFS(worksheet!Y3:Y4864,"3",worksheet!T3:T4864,"=04.05.17")-COUNTIFS(worksheet!O3:O4864,"&gt;=0",worksheet!Y3:Y4864,"3",worksheet!T3:T4864,"=04.05.17")</f>
        <v>0</v>
      </c>
      <c r="G58" s="422">
        <f ca="1">COUNTIFS(worksheet!Y3:Y4864,"3",worksheet!T3:T4864,"=04.06.17")-COUNTIFS(worksheet!O3:O4864,"&gt;=0",worksheet!Y3:Y4864,"3",worksheet!T3:T4864,"=04.06.17")</f>
        <v>0</v>
      </c>
      <c r="H58" s="422">
        <f ca="1">COUNTIFS(worksheet!Y3:Y4864,"3",worksheet!T3:T4864,"=04.07.17")-COUNTIFS(worksheet!O3:O4864,"&gt;=0",worksheet!Y3:Y4864,"3",worksheet!T3:T4864,"=04.07.17")</f>
        <v>0</v>
      </c>
      <c r="I58" s="422">
        <f ca="1">COUNTIFS(worksheet!Y3:Y4864,"3",worksheet!T3:T4864,"=04.08.17")-COUNTIFS(worksheet!O3:O4864,"&gt;=0",worksheet!Y3:Y4864,"3",worksheet!T3:T4864,"=04.08.17")</f>
        <v>0</v>
      </c>
      <c r="J58" s="422">
        <f ca="1">COUNTIFS(worksheet!Y3:Y4864,"3",worksheet!T3:T4864,"=04.09.17")-COUNTIFS(worksheet!O3:O4864,"&gt;=0",worksheet!Y3:Y4864,"3",worksheet!T3:T4864,"=04.09.17")</f>
        <v>1</v>
      </c>
      <c r="K58" s="422">
        <f ca="1">COUNTIFS(worksheet!Y3:Y4864,"3",worksheet!T3:T4864,"=04.10.17")-COUNTIFS(worksheet!O3:O4864,"&gt;=0",worksheet!Y3:Y4864,"3",worksheet!T3:T4864,"=04.10.17")</f>
        <v>2</v>
      </c>
      <c r="L58" s="422">
        <f ca="1">COUNTIFS(worksheet!Y3:Y4864,"3",worksheet!T3:T4864,"=04.11.17")-COUNTIFS(worksheet!O3:O4864,"&gt;=0",worksheet!Y3:Y4864,"3",worksheet!T3:T4864,"=04.11.17")</f>
        <v>0</v>
      </c>
      <c r="M58" s="422">
        <f ca="1">COUNTIFS(worksheet!Y3:Y4864,"3",worksheet!T3:T4864,"=04.12.17")-COUNTIFS(worksheet!O3:O4864,"&gt;=0",worksheet!Y3:Y4864,"3",worksheet!T3:T4864,"=04.12.17")</f>
        <v>0</v>
      </c>
    </row>
    <row r="59" spans="1:13" ht="12" customHeight="1" thickBot="1" x14ac:dyDescent="0.25">
      <c r="A59" s="401">
        <v>5</v>
      </c>
      <c r="B59" s="420"/>
      <c r="C59" s="420"/>
      <c r="D59" s="420"/>
      <c r="E59" s="420"/>
      <c r="F59" s="422">
        <f ca="1">COUNTIFS(worksheet!Y3:Y4864,"3",worksheet!T3:T4864,"=05.05.17")-COUNTIFS(worksheet!O3:O4864,"&gt;=0",worksheet!Y3:Y4864,"3",worksheet!T3:T4864,"=05.05.17")</f>
        <v>0</v>
      </c>
      <c r="G59" s="422">
        <f ca="1">COUNTIFS(worksheet!Y3:Y4864,"3",worksheet!T3:T4864,"=05.06.17")-COUNTIFS(worksheet!O3:O4864,"&gt;=0",worksheet!Y3:Y4864,"3",worksheet!T3:T4864,"=05.06.17")</f>
        <v>0</v>
      </c>
      <c r="H59" s="422">
        <f ca="1">COUNTIFS(worksheet!Y3:Y4864,"3",worksheet!T3:T4864,"=05.07.17")-COUNTIFS(worksheet!O3:O4864,"&gt;=0",worksheet!Y3:Y4864,"3",worksheet!T3:T4864,"=05.07.17")</f>
        <v>0</v>
      </c>
      <c r="I59" s="422">
        <f ca="1">COUNTIFS(worksheet!Y3:Y4864,"3",worksheet!T3:T4864,"=05.08.17")-COUNTIFS(worksheet!O3:O4864,"&gt;=0",worksheet!Y3:Y4864,"3",worksheet!T3:T4864,"=05.08.17")</f>
        <v>0</v>
      </c>
      <c r="J59" s="422">
        <f ca="1">COUNTIFS(worksheet!Y3:Y4864,"3",worksheet!T3:T4864,"=05.09.17")-COUNTIFS(worksheet!O3:O4864,"&gt;=0",worksheet!Y3:Y4864,"3",worksheet!T3:T4864,"=05.09.17")</f>
        <v>0</v>
      </c>
      <c r="K59" s="422">
        <f ca="1">COUNTIFS(worksheet!Y3:Y4864,"3",worksheet!T3:T4864,"=05.10.17")-COUNTIFS(worksheet!O3:O4864,"&gt;=0",worksheet!Y3:Y4864,"3",worksheet!T3:T4864,"=05.10.17")</f>
        <v>0</v>
      </c>
      <c r="L59" s="422">
        <f ca="1">COUNTIFS(worksheet!Y3:Y4864,"3",worksheet!T3:T4864,"=05.11.17")-COUNTIFS(worksheet!O3:O4864,"&gt;=0",worksheet!Y3:Y4864,"3",worksheet!T3:T4864,"=05.11.17")</f>
        <v>0</v>
      </c>
      <c r="M59" s="422">
        <f ca="1">COUNTIFS(worksheet!Y3:Y4864,"3",worksheet!T3:T4864,"=05.12.17")-COUNTIFS(worksheet!O3:O4864,"&gt;=0",worksheet!Y3:Y4864,"3",worksheet!T3:T4864,"=05.12.17")</f>
        <v>0</v>
      </c>
    </row>
    <row r="60" spans="1:13" ht="12" customHeight="1" thickBot="1" x14ac:dyDescent="0.25">
      <c r="A60" s="401">
        <v>6</v>
      </c>
      <c r="B60" s="420"/>
      <c r="C60" s="420"/>
      <c r="D60" s="420"/>
      <c r="E60" s="420"/>
      <c r="F60" s="422">
        <f ca="1">COUNTIFS(worksheet!Y3:Y4864,"3",worksheet!T3:T4864,"=06.05.17")-COUNTIFS(worksheet!O3:O4864,"&gt;=0",worksheet!Y3:Y4864,"3",worksheet!T3:T4864,"=06.05.17")</f>
        <v>0</v>
      </c>
      <c r="G60" s="422">
        <f ca="1">COUNTIFS(worksheet!Y3:Y4864,"3",worksheet!T3:T4864,"=06.06.17")-COUNTIFS(worksheet!O3:O4864,"&gt;=0",worksheet!Y3:Y4864,"3",worksheet!T3:T4864,"=06.06.17")</f>
        <v>0</v>
      </c>
      <c r="H60" s="422">
        <f ca="1">COUNTIFS(worksheet!Y3:Y4864,"3",worksheet!T3:T4864,"=06.07.17")-COUNTIFS(worksheet!O3:O4864,"&gt;=0",worksheet!Y3:Y4864,"3",worksheet!T3:T4864,"=06.07.17")</f>
        <v>0</v>
      </c>
      <c r="I60" s="422">
        <f ca="1">COUNTIFS(worksheet!Y3:Y4864,"3",worksheet!T3:T4864,"=06.08.17")-COUNTIFS(worksheet!O3:O4864,"&gt;=0",worksheet!Y3:Y4864,"3",worksheet!T3:T4864,"=06.08.17")</f>
        <v>0</v>
      </c>
      <c r="J60" s="422">
        <f ca="1">COUNTIFS(worksheet!Y3:Y4864,"3",worksheet!T3:T4864,"=06.09.17")-COUNTIFS(worksheet!O3:O4864,"&gt;=0",worksheet!Y3:Y4864,"3",worksheet!T3:T4864,"=06.09.17")</f>
        <v>1</v>
      </c>
      <c r="K60" s="422">
        <f ca="1">COUNTIFS(worksheet!Y3:Y4864,"3",worksheet!T3:T4864,"=06.10.17")-COUNTIFS(worksheet!O3:O4864,"&gt;=0",worksheet!Y3:Y4864,"3",worksheet!T3:T4864,"=06.10.17")</f>
        <v>0</v>
      </c>
      <c r="L60" s="422">
        <f ca="1">COUNTIFS(worksheet!Y3:Y4864,"3",worksheet!T3:T4864,"=06.11.17")-COUNTIFS(worksheet!O3:O4864,"&gt;=0",worksheet!Y3:Y4864,"3",worksheet!T3:T4864,"=06.11.17")</f>
        <v>4</v>
      </c>
      <c r="M60" s="422">
        <f ca="1">COUNTIFS(worksheet!Y3:Y4864,"3",worksheet!T3:T4864,"=06.12.17")-COUNTIFS(worksheet!O3:O4864,"&gt;=0",worksheet!Y3:Y4864,"3",worksheet!T3:T4864,"=06.12.17")</f>
        <v>0</v>
      </c>
    </row>
    <row r="61" spans="1:13" ht="12" customHeight="1" thickBot="1" x14ac:dyDescent="0.25">
      <c r="A61" s="401">
        <v>7</v>
      </c>
      <c r="B61" s="420"/>
      <c r="C61" s="420"/>
      <c r="D61" s="420"/>
      <c r="E61" s="420"/>
      <c r="F61" s="422">
        <f ca="1">COUNTIFS(worksheet!Y3:Y4864,"3",worksheet!T3:T4864,"=07.05.17")-COUNTIFS(worksheet!O3:O4864,"&gt;=0",worksheet!Y3:Y4864,"3",worksheet!T3:T4864,"=07.05.17")</f>
        <v>0</v>
      </c>
      <c r="G61" s="422">
        <f ca="1">COUNTIFS(worksheet!Y3:Y4864,"3",worksheet!T3:T4864,"=07.06.17")-COUNTIFS(worksheet!O3:O4864,"&gt;=0",worksheet!Y3:Y4864,"3",worksheet!T3:T4864,"=07.06.17")</f>
        <v>0</v>
      </c>
      <c r="H61" s="422">
        <f ca="1">COUNTIFS(worksheet!Y3:Y4864,"3",worksheet!T3:T4864,"=07.07.17")-COUNTIFS(worksheet!O3:O4864,"&gt;=0",worksheet!Y3:Y4864,"3",worksheet!T3:T4864,"=07.07.17")</f>
        <v>0</v>
      </c>
      <c r="I61" s="422">
        <f ca="1">COUNTIFS(worksheet!Y3:Y4864,"3",worksheet!T3:T4864,"=07.08.17")-COUNTIFS(worksheet!O3:O4864,"&gt;=0",worksheet!Y3:Y4864,"3",worksheet!T3:T4864,"=07.08.17")</f>
        <v>0</v>
      </c>
      <c r="J61" s="422">
        <f ca="1">COUNTIFS(worksheet!Y3:Y4864,"3",worksheet!T3:T4864,"=07.09.17")-COUNTIFS(worksheet!O3:O4864,"&gt;=0",worksheet!Y3:Y4864,"3",worksheet!T3:T4864,"=07.09.17")</f>
        <v>1</v>
      </c>
      <c r="K61" s="422">
        <f ca="1">COUNTIFS(worksheet!Y3:Y4864,"3",worksheet!T3:T4864,"=07.10.17")-COUNTIFS(worksheet!O3:O4864,"&gt;=0",worksheet!Y3:Y4864,"3",worksheet!T3:T4864,"=07.10.17")</f>
        <v>0</v>
      </c>
      <c r="L61" s="422">
        <f ca="1">COUNTIFS(worksheet!Y3:Y4864,"3",worksheet!T3:T4864,"=07.11.17")-COUNTIFS(worksheet!O3:O4864,"&gt;=0",worksheet!Y3:Y4864,"3",worksheet!T3:T4864,"=07.11.17")</f>
        <v>1</v>
      </c>
      <c r="M61" s="422">
        <f ca="1">COUNTIFS(worksheet!Y3:Y4864,"3",worksheet!T3:T4864,"=07.12.17")-COUNTIFS(worksheet!O3:O4864,"&gt;=0",worksheet!Y3:Y4864,"3",worksheet!T3:T4864,"=07.12.17")</f>
        <v>0</v>
      </c>
    </row>
    <row r="62" spans="1:13" ht="12" customHeight="1" thickBot="1" x14ac:dyDescent="0.25">
      <c r="A62" s="401">
        <v>8</v>
      </c>
      <c r="B62" s="420"/>
      <c r="C62" s="420"/>
      <c r="D62" s="420"/>
      <c r="E62" s="420"/>
      <c r="F62" s="422">
        <f ca="1">COUNTIFS(worksheet!Y3:Y4864,"3",worksheet!T3:T4864,"=08.05.17")-COUNTIFS(worksheet!O3:O4864,"&gt;=0",worksheet!Y3:Y4864,"3",worksheet!T3:T4864,"=08.05.17")</f>
        <v>0</v>
      </c>
      <c r="G62" s="422">
        <f ca="1">COUNTIFS(worksheet!Y3:Y4864,"3",worksheet!T3:T4864,"=08.06.17")-COUNTIFS(worksheet!O3:O4864,"&gt;=0",worksheet!Y3:Y4864,"3",worksheet!T3:T4864,"=08.06.17")</f>
        <v>0</v>
      </c>
      <c r="H62" s="422">
        <f ca="1">COUNTIFS(worksheet!Y3:Y4864,"3",worksheet!T3:T4864,"=08.07.17")-COUNTIFS(worksheet!O3:O4864,"&gt;=0",worksheet!Y3:Y4864,"3",worksheet!T3:T4864,"=08.07.17")</f>
        <v>0</v>
      </c>
      <c r="I62" s="422">
        <f ca="1">COUNTIFS(worksheet!Y3:Y4864,"3",worksheet!T3:T4864,"=08.08.17")-COUNTIFS(worksheet!O3:O4864,"&gt;=0",worksheet!Y3:Y4864,"3",worksheet!T3:T4864,"=08.08.17")</f>
        <v>0</v>
      </c>
      <c r="J62" s="422">
        <f ca="1">COUNTIFS(worksheet!Y3:Y4864,"3",worksheet!T3:T4864,"=08.09.17")-COUNTIFS(worksheet!O3:O4864,"&gt;=0",worksheet!Y3:Y4864,"3",worksheet!T3:T4864,"=08.09.17")</f>
        <v>0</v>
      </c>
      <c r="K62" s="422">
        <f ca="1">COUNTIFS(worksheet!Y3:Y4864,"3",worksheet!T3:T4864,"=08.10.17")-COUNTIFS(worksheet!O3:O4864,"&gt;=0",worksheet!Y3:Y4864,"3",worksheet!T3:T4864,"=08.10.17")</f>
        <v>3</v>
      </c>
      <c r="L62" s="422">
        <f ca="1">COUNTIFS(worksheet!Y3:Y4864,"3",worksheet!T3:T4864,"=08.11.17")-COUNTIFS(worksheet!O3:O4864,"&gt;=0",worksheet!Y3:Y4864,"3",worksheet!T3:T4864,"=08.11.17")</f>
        <v>0</v>
      </c>
      <c r="M62" s="422">
        <f ca="1">COUNTIFS(worksheet!Y3:Y4864,"3",worksheet!T3:T4864,"=08.12.17")-COUNTIFS(worksheet!O3:O4864,"&gt;=0",worksheet!Y3:Y4864,"3",worksheet!T3:T4864,"=08.12.17")</f>
        <v>0</v>
      </c>
    </row>
    <row r="63" spans="1:13" ht="12" customHeight="1" thickBot="1" x14ac:dyDescent="0.25">
      <c r="A63" s="401">
        <v>9</v>
      </c>
      <c r="B63" s="420"/>
      <c r="C63" s="420"/>
      <c r="D63" s="420"/>
      <c r="E63" s="420"/>
      <c r="F63" s="422">
        <f ca="1">COUNTIFS(worksheet!Y3:Y4864,"3",worksheet!T3:T4864,"=09.05.17")-COUNTIFS(worksheet!O3:O4864,"&gt;=0",worksheet!Y3:Y4864,"3",worksheet!T3:T4864,"=09.05.17")</f>
        <v>0</v>
      </c>
      <c r="G63" s="422">
        <f ca="1">COUNTIFS(worksheet!Y3:Y4864,"3",worksheet!T3:T4864,"=09.06.17")-COUNTIFS(worksheet!O3:O4864,"&gt;=0",worksheet!Y3:Y4864,"3",worksheet!T3:T4864,"=09.06.17")</f>
        <v>0</v>
      </c>
      <c r="H63" s="422">
        <f ca="1">COUNTIFS(worksheet!Y3:Y4864,"3",worksheet!T3:T4864,"=09.07.17")-COUNTIFS(worksheet!O3:O4864,"&gt;=0",worksheet!Y3:Y4864,"3",worksheet!T3:T4864,"=09.07.17")</f>
        <v>0</v>
      </c>
      <c r="I63" s="422">
        <f ca="1">COUNTIFS(worksheet!Y3:Y4864,"3",worksheet!T3:T4864,"=09.08.17")-COUNTIFS(worksheet!O3:O4864,"&gt;=0",worksheet!Y3:Y4864,"3",worksheet!T3:T4864,"=09.08.17")</f>
        <v>0</v>
      </c>
      <c r="J63" s="422">
        <f ca="1">COUNTIFS(worksheet!Y3:Y4864,"3",worksheet!T3:T4864,"=09.09.17")-COUNTIFS(worksheet!O3:O4864,"&gt;=0",worksheet!Y3:Y4864,"3",worksheet!T3:T4864,"=09.09.17")</f>
        <v>0</v>
      </c>
      <c r="K63" s="422">
        <f ca="1">COUNTIFS(worksheet!Y3:Y4864,"3",worksheet!T3:T4864,"=09.10.17")-COUNTIFS(worksheet!O3:O4864,"&gt;=0",worksheet!Y3:Y4864,"3",worksheet!T3:T4864,"=09.10.17")</f>
        <v>0</v>
      </c>
      <c r="L63" s="422">
        <f ca="1">COUNTIFS(worksheet!Y3:Y4864,"3",worksheet!T3:T4864,"=09.11.17")-COUNTIFS(worksheet!O3:O4864,"&gt;=0",worksheet!Y3:Y4864,"3",worksheet!T3:T4864,"=09.11.17")</f>
        <v>3</v>
      </c>
      <c r="M63" s="422">
        <f ca="1">COUNTIFS(worksheet!Y3:Y4864,"3",worksheet!T3:T4864,"=09.12.17")-COUNTIFS(worksheet!O3:O4864,"&gt;=0",worksheet!Y3:Y4864,"3",worksheet!T3:T4864,"=09.12.17")</f>
        <v>0</v>
      </c>
    </row>
    <row r="64" spans="1:13" ht="12" customHeight="1" thickBot="1" x14ac:dyDescent="0.25">
      <c r="A64" s="401">
        <v>10</v>
      </c>
      <c r="B64" s="420"/>
      <c r="C64" s="420"/>
      <c r="D64" s="420"/>
      <c r="E64" s="420"/>
      <c r="F64" s="422">
        <f ca="1">COUNTIFS(worksheet!Y3:Y4864,"3",worksheet!T3:T4864,"=10.05.17")-COUNTIFS(worksheet!O3:O4864,"&gt;=0",worksheet!Y3:Y4864,"3",worksheet!T3:T4864,"=10.05.17")</f>
        <v>0</v>
      </c>
      <c r="G64" s="422">
        <f ca="1">COUNTIFS(worksheet!Y3:Y4864,"3",worksheet!T3:T4864,"=10.06.17")-COUNTIFS(worksheet!O3:O4864,"&gt;=0",worksheet!Y3:Y4864,"3",worksheet!T3:T4864,"=10.06.17")</f>
        <v>0</v>
      </c>
      <c r="H64" s="422">
        <f ca="1">COUNTIFS(worksheet!Y3:Y4864,"3",worksheet!T3:T4864,"=10.07.17")-COUNTIFS(worksheet!O3:O4864,"&gt;=0",worksheet!Y3:Y4864,"3",worksheet!T3:T4864,"=10.07.17")</f>
        <v>0</v>
      </c>
      <c r="I64" s="422">
        <f ca="1">COUNTIFS(worksheet!Y3:Y4864,"3",worksheet!T3:T4864,"=10.08.17")-COUNTIFS(worksheet!O3:O4864,"&gt;=0",worksheet!Y3:Y4864,"3",worksheet!T3:T4864,"=10.08.17")</f>
        <v>0</v>
      </c>
      <c r="J64" s="422">
        <f ca="1">COUNTIFS(worksheet!Y3:Y4864,"3",worksheet!T3:T4864,"=10.09.17")-COUNTIFS(worksheet!O3:O4864,"&gt;=0",worksheet!Y3:Y4864,"3",worksheet!T3:T4864,"=10.09.17")</f>
        <v>0</v>
      </c>
      <c r="K64" s="422">
        <f ca="1">COUNTIFS(worksheet!Y3:Y4864,"3",worksheet!T3:T4864,"=10.10.17")-COUNTIFS(worksheet!O3:O4864,"&gt;=0",worksheet!Y3:Y4864,"3",worksheet!T3:T4864,"=10.10.17")</f>
        <v>0</v>
      </c>
      <c r="L64" s="422">
        <f ca="1">COUNTIFS(worksheet!Y3:Y4864,"3",worksheet!T3:T4864,"=10.11.17")-COUNTIFS(worksheet!O3:O4864,"&gt;=0",worksheet!Y3:Y4864,"3",worksheet!T3:T4864,"=10.11.17")</f>
        <v>1</v>
      </c>
      <c r="M64" s="422">
        <f ca="1">COUNTIFS(worksheet!Y3:Y4864,"3",worksheet!T3:T4864,"=10.12.17")-COUNTIFS(worksheet!O3:O4864,"&gt;=0",worksheet!Y3:Y4864,"3",worksheet!T3:T4864,"=10.12.17")</f>
        <v>0</v>
      </c>
    </row>
    <row r="65" spans="1:13" ht="12" customHeight="1" thickBot="1" x14ac:dyDescent="0.25">
      <c r="A65" s="401">
        <v>11</v>
      </c>
      <c r="B65" s="420"/>
      <c r="C65" s="420"/>
      <c r="D65" s="420"/>
      <c r="E65" s="420"/>
      <c r="F65" s="422">
        <f ca="1">COUNTIFS(worksheet!Y3:Y4864,"3",worksheet!T3:T4864,"=11.05.17")-COUNTIFS(worksheet!O3:O4864,"&gt;=0",worksheet!Y3:Y4864,"3",worksheet!T3:T4864,"=11.05.17")</f>
        <v>0</v>
      </c>
      <c r="G65" s="422">
        <f ca="1">COUNTIFS(worksheet!Y3:Y4864,"3",worksheet!T3:T4864,"=11.06.17")-COUNTIFS(worksheet!O3:O4864,"&gt;=0",worksheet!Y3:Y4864,"3",worksheet!T3:T4864,"=11.06.17")</f>
        <v>0</v>
      </c>
      <c r="H65" s="422">
        <f ca="1">COUNTIFS(worksheet!Y3:Y4864,"3",worksheet!T3:T4864,"=11.07.17")-COUNTIFS(worksheet!O3:O4864,"&gt;=0",worksheet!Y3:Y4864,"3",worksheet!T3:T4864,"=11.07.17")</f>
        <v>0</v>
      </c>
      <c r="I65" s="422">
        <f ca="1">COUNTIFS(worksheet!Y3:Y4864,"3",worksheet!T3:T4864,"=11.08.17")-COUNTIFS(worksheet!O3:O4864,"&gt;=0",worksheet!Y3:Y4864,"3",worksheet!T3:T4864,"=11.08.17")</f>
        <v>0</v>
      </c>
      <c r="J65" s="422">
        <f ca="1">COUNTIFS(worksheet!Y3:Y4864,"3",worksheet!T3:T4864,"=11.09.17")-COUNTIFS(worksheet!O3:O4864,"&gt;=0",worksheet!Y3:Y4864,"3",worksheet!T3:T4864,"=11.09.17")</f>
        <v>1</v>
      </c>
      <c r="K65" s="422">
        <f ca="1">COUNTIFS(worksheet!Y3:Y4864,"3",worksheet!T3:T4864,"=11.10.17")-COUNTIFS(worksheet!O3:O4864,"&gt;=0",worksheet!Y3:Y4864,"3",worksheet!T3:T4864,"=11.10.17")</f>
        <v>2</v>
      </c>
      <c r="L65" s="422">
        <f ca="1">COUNTIFS(worksheet!Y3:Y4864,"3",worksheet!T3:T4864,"=11.11.17")-COUNTIFS(worksheet!O3:O4864,"&gt;=0",worksheet!Y3:Y4864,"3",worksheet!T3:T4864,"=11.11.17")</f>
        <v>0</v>
      </c>
      <c r="M65" s="422">
        <f ca="1">COUNTIFS(worksheet!Y3:Y4864,"3",worksheet!T3:T4864,"=11.12.17")-COUNTIFS(worksheet!O3:O4864,"&gt;=0",worksheet!Y3:Y4864,"3",worksheet!T3:T4864,"=11.12.17")</f>
        <v>0</v>
      </c>
    </row>
    <row r="66" spans="1:13" ht="12" customHeight="1" thickBot="1" x14ac:dyDescent="0.25">
      <c r="A66" s="401">
        <v>12</v>
      </c>
      <c r="B66" s="420"/>
      <c r="C66" s="420"/>
      <c r="D66" s="420"/>
      <c r="E66" s="420"/>
      <c r="F66" s="422">
        <f ca="1">COUNTIFS(worksheet!Y3:Y4864,"3",worksheet!T3:T4864,"=12.05.17")-COUNTIFS(worksheet!O3:O4864,"&gt;=0",worksheet!Y3:Y4864,"3",worksheet!T3:T4864,"=12.05.17")</f>
        <v>0</v>
      </c>
      <c r="G66" s="422">
        <f ca="1">COUNTIFS(worksheet!Y3:Y4864,"3",worksheet!T3:T4864,"=12.06.17")-COUNTIFS(worksheet!O3:O4864,"&gt;=0",worksheet!Y3:Y4864,"3",worksheet!T3:T4864,"=12.06.17")</f>
        <v>0</v>
      </c>
      <c r="H66" s="422">
        <f ca="1">COUNTIFS(worksheet!Y3:Y4864,"3",worksheet!T3:T4864,"=12.07.17")-COUNTIFS(worksheet!O3:O4864,"&gt;=0",worksheet!Y3:Y4864,"3",worksheet!T3:T4864,"=12.07.17")</f>
        <v>0</v>
      </c>
      <c r="I66" s="422">
        <f ca="1">COUNTIFS(worksheet!Y3:Y4864,"3",worksheet!T3:T4864,"=12.08.17")-COUNTIFS(worksheet!O3:O4864,"&gt;=0",worksheet!Y3:Y4864,"3",worksheet!T3:T4864,"=12.08.17")</f>
        <v>0</v>
      </c>
      <c r="J66" s="422">
        <f ca="1">COUNTIFS(worksheet!Y3:Y4864,"3",worksheet!T3:T4864,"=12.09.17")-COUNTIFS(worksheet!O3:O4864,"&gt;=0",worksheet!Y3:Y4864,"3",worksheet!T3:T4864,"=12.09.17")</f>
        <v>1</v>
      </c>
      <c r="K66" s="422">
        <f ca="1">COUNTIFS(worksheet!Y3:Y4864,"3",worksheet!T3:T4864,"=12.10.17")-COUNTIFS(worksheet!O3:O4864,"&gt;=0",worksheet!Y3:Y4864,"3",worksheet!T3:T4864,"=12.10.17")</f>
        <v>0</v>
      </c>
      <c r="L66" s="422">
        <f ca="1">COUNTIFS(worksheet!Y3:Y4864,"3",worksheet!T3:T4864,"=12.11.17")-COUNTIFS(worksheet!O3:O4864,"&gt;=0",worksheet!Y3:Y4864,"3",worksheet!T3:T4864,"=12.11.17")</f>
        <v>0</v>
      </c>
      <c r="M66" s="422">
        <f ca="1">COUNTIFS(worksheet!Y3:Y4864,"3",worksheet!T3:T4864,"=12.12.17")-COUNTIFS(worksheet!O3:O4864,"&gt;=0",worksheet!Y3:Y4864,"3",worksheet!T3:T4864,"=12.12.17")</f>
        <v>0</v>
      </c>
    </row>
    <row r="67" spans="1:13" ht="12" customHeight="1" thickBot="1" x14ac:dyDescent="0.25">
      <c r="A67" s="401">
        <v>13</v>
      </c>
      <c r="B67" s="420"/>
      <c r="C67" s="420"/>
      <c r="D67" s="420"/>
      <c r="E67" s="420"/>
      <c r="F67" s="422">
        <f ca="1">COUNTIFS(worksheet!Y3:Y4864,"3",worksheet!T3:T4864,"=13.05.17")-COUNTIFS(worksheet!O3:O4864,"&gt;=0",worksheet!Y3:Y4864,"3",worksheet!T3:T4864,"=13.05.17")</f>
        <v>0</v>
      </c>
      <c r="G67" s="422">
        <f ca="1">COUNTIFS(worksheet!Y3:Y4864,"3",worksheet!T3:T4864,"=13.06.17")-COUNTIFS(worksheet!O3:O4864,"&gt;=0",worksheet!Y3:Y4864,"3",worksheet!T3:T4864,"=13.06.17")</f>
        <v>0</v>
      </c>
      <c r="H67" s="422">
        <f ca="1">COUNTIFS(worksheet!Y3:Y4864,"3",worksheet!T3:T4864,"=13.07.17")-COUNTIFS(worksheet!O3:O4864,"&gt;=0",worksheet!Y3:Y4864,"3",worksheet!T3:T4864,"=13.07.17")</f>
        <v>0</v>
      </c>
      <c r="I67" s="422">
        <f ca="1">COUNTIFS(worksheet!Y3:Y4864,"3",worksheet!T3:T4864,"=13.08.17")-COUNTIFS(worksheet!O3:O4864,"&gt;=0",worksheet!Y3:Y4864,"3",worksheet!T3:T4864,"=13.08.17")</f>
        <v>0</v>
      </c>
      <c r="J67" s="422">
        <f ca="1">COUNTIFS(worksheet!Y3:Y4864,"3",worksheet!T3:T4864,"=13.09.17")-COUNTIFS(worksheet!O3:O4864,"&gt;=0",worksheet!Y3:Y4864,"3",worksheet!T3:T4864,"=13.09.17")</f>
        <v>0</v>
      </c>
      <c r="K67" s="422">
        <f ca="1">COUNTIFS(worksheet!Y3:Y4864,"3",worksheet!T3:T4864,"=13.10.17")-COUNTIFS(worksheet!O3:O4864,"&gt;=0",worksheet!Y3:Y4864,"3",worksheet!T3:T4864,"=13.10.17")</f>
        <v>0</v>
      </c>
      <c r="L67" s="422">
        <f ca="1">COUNTIFS(worksheet!Y3:Y4864,"3",worksheet!T3:T4864,"=13.11.17")-COUNTIFS(worksheet!O3:O4864,"&gt;=0",worksheet!Y3:Y4864,"3",worksheet!T3:T4864,"=13.11.17")</f>
        <v>0</v>
      </c>
      <c r="M67" s="422">
        <f ca="1">COUNTIFS(worksheet!Y3:Y4864,"3",worksheet!T3:T4864,"=13.12.17")-COUNTIFS(worksheet!O3:O4864,"&gt;=0",worksheet!Y3:Y4864,"3",worksheet!T3:T4864,"=13.12.17")</f>
        <v>0</v>
      </c>
    </row>
    <row r="68" spans="1:13" ht="12" customHeight="1" thickBot="1" x14ac:dyDescent="0.25">
      <c r="A68" s="401">
        <v>14</v>
      </c>
      <c r="B68" s="420"/>
      <c r="C68" s="420"/>
      <c r="D68" s="420"/>
      <c r="E68" s="420"/>
      <c r="F68" s="422">
        <f ca="1">COUNTIFS(worksheet!Y3:Y4864,"3",worksheet!T3:T4864,"=14.05.17")-COUNTIFS(worksheet!O3:O4864,"&gt;=0",worksheet!Y3:Y4864,"3",worksheet!T3:T4864,"=14.05.17")</f>
        <v>0</v>
      </c>
      <c r="G68" s="422">
        <f ca="1">COUNTIFS(worksheet!Y3:Y4864,"3",worksheet!T3:T4864,"=14.06.17")-COUNTIFS(worksheet!O3:O4864,"&gt;=0",worksheet!Y3:Y4864,"3",worksheet!T3:T4864,"=14.06.17")</f>
        <v>0</v>
      </c>
      <c r="H68" s="422">
        <f ca="1">COUNTIFS(worksheet!Y3:Y4864,"3",worksheet!T3:T4864,"=14.07.17")-COUNTIFS(worksheet!O3:O4864,"&gt;=0",worksheet!Y3:Y4864,"3",worksheet!T3:T4864,"=14.07.17")</f>
        <v>0</v>
      </c>
      <c r="I68" s="422">
        <f ca="1">COUNTIFS(worksheet!Y3:Y4864,"3",worksheet!T3:T4864,"=14.08.17")-COUNTIFS(worksheet!O3:O4864,"&gt;=0",worksheet!Y3:Y4864,"3",worksheet!T3:T4864,"=14.08.17")</f>
        <v>0</v>
      </c>
      <c r="J68" s="422">
        <f ca="1">COUNTIFS(worksheet!Y3:Y4864,"3",worksheet!T3:T4864,"=14.09.17")-COUNTIFS(worksheet!O3:O4864,"&gt;=0",worksheet!Y3:Y4864,"3",worksheet!T3:T4864,"=14.09.17")</f>
        <v>2</v>
      </c>
      <c r="K68" s="422">
        <f ca="1">COUNTIFS(worksheet!Y3:Y4864,"3",worksheet!T3:T4864,"=14.10.17")-COUNTIFS(worksheet!O3:O4864,"&gt;=0",worksheet!Y3:Y4864,"3",worksheet!T3:T4864,"=14.10.17")</f>
        <v>1</v>
      </c>
      <c r="L68" s="422">
        <f ca="1">COUNTIFS(worksheet!Y3:Y4864,"3",worksheet!T3:T4864,"=14.11.17")-COUNTIFS(worksheet!O3:O4864,"&gt;=0",worksheet!Y3:Y4864,"3",worksheet!T3:T4864,"=14.11.17")</f>
        <v>3</v>
      </c>
      <c r="M68" s="422">
        <f ca="1">COUNTIFS(worksheet!Y3:Y4864,"3",worksheet!T3:T4864,"=14.12.17")-COUNTIFS(worksheet!O3:O4864,"&gt;=0",worksheet!Y3:Y4864,"3",worksheet!T3:T4864,"=14.12.17")</f>
        <v>0</v>
      </c>
    </row>
    <row r="69" spans="1:13" ht="12" customHeight="1" thickBot="1" x14ac:dyDescent="0.25">
      <c r="A69" s="401">
        <v>15</v>
      </c>
      <c r="B69" s="420"/>
      <c r="C69" s="420"/>
      <c r="D69" s="420"/>
      <c r="E69" s="420"/>
      <c r="F69" s="422">
        <f ca="1">COUNTIFS(worksheet!Y3:Y4864,"3",worksheet!T3:T4864,"=15.05.17")-COUNTIFS(worksheet!O3:O4864,"&gt;=0",worksheet!Y3:Y4864,"3",worksheet!T3:T4864,"=15.05.17")</f>
        <v>0</v>
      </c>
      <c r="G69" s="422">
        <f ca="1">COUNTIFS(worksheet!Y3:Y4864,"3",worksheet!T3:T4864,"=15.06.17")-COUNTIFS(worksheet!O3:O4864,"&gt;=0",worksheet!Y3:Y4864,"3",worksheet!T3:T4864,"=15.06.17")</f>
        <v>0</v>
      </c>
      <c r="H69" s="422">
        <f ca="1">COUNTIFS(worksheet!Y3:Y4864,"3",worksheet!T3:T4864,"=15.07.17")-COUNTIFS(worksheet!O3:O4864,"&gt;=0",worksheet!Y3:Y4864,"3",worksheet!T3:T4864,"=15.07.17")</f>
        <v>0</v>
      </c>
      <c r="I69" s="422">
        <f ca="1">COUNTIFS(worksheet!Y3:Y4864,"3",worksheet!T3:T4864,"=15.08.17")-COUNTIFS(worksheet!O3:O4864,"&gt;=0",worksheet!Y3:Y4864,"3",worksheet!T3:T4864,"=15.08.17")</f>
        <v>0</v>
      </c>
      <c r="J69" s="422">
        <f ca="1">COUNTIFS(worksheet!Y3:Y4864,"3",worksheet!T3:T4864,"=15.09.17")-COUNTIFS(worksheet!O3:O4864,"&gt;=0",worksheet!Y3:Y4864,"3",worksheet!T3:T4864,"=15.09.17")</f>
        <v>3</v>
      </c>
      <c r="K69" s="422">
        <f ca="1">COUNTIFS(worksheet!Y3:Y4864,"3",worksheet!T3:T4864,"=15.10.17")-COUNTIFS(worksheet!O3:O4864,"&gt;=0",worksheet!Y3:Y4864,"3",worksheet!T3:T4864,"=15.10.17")</f>
        <v>0</v>
      </c>
      <c r="L69" s="422">
        <f ca="1">COUNTIFS(worksheet!Y3:Y4864,"3",worksheet!T3:T4864,"=15.11.17")-COUNTIFS(worksheet!O3:O4864,"&gt;=0",worksheet!Y3:Y4864,"3",worksheet!T3:T4864,"=15.11.17")</f>
        <v>0</v>
      </c>
      <c r="M69" s="422">
        <f ca="1">COUNTIFS(worksheet!Y3:Y4864,"3",worksheet!T3:T4864,"=15.12.17")-COUNTIFS(worksheet!O3:O4864,"&gt;=0",worksheet!Y3:Y4864,"3",worksheet!T3:T4864,"=15.12.17")</f>
        <v>0</v>
      </c>
    </row>
    <row r="70" spans="1:13" ht="12" customHeight="1" thickBot="1" x14ac:dyDescent="0.25">
      <c r="A70" s="401">
        <v>16</v>
      </c>
      <c r="B70" s="420"/>
      <c r="C70" s="420"/>
      <c r="D70" s="420"/>
      <c r="E70" s="420"/>
      <c r="F70" s="422">
        <f ca="1">COUNTIFS(worksheet!Y3:Y4864,"3",worksheet!T3:T4864,"=16.05.17")-COUNTIFS(worksheet!O3:O4864,"&gt;=0",worksheet!Y3:Y4864,"3",worksheet!T3:T4864,"=16.05.17")</f>
        <v>0</v>
      </c>
      <c r="G70" s="422">
        <f ca="1">COUNTIFS(worksheet!Y3:Y4864,"3",worksheet!T3:T4864,"=16.06.17")-COUNTIFS(worksheet!O3:O4864,"&gt;=0",worksheet!Y3:Y4864,"3",worksheet!T3:T4864,"=16.06.17")</f>
        <v>0</v>
      </c>
      <c r="H70" s="422">
        <f ca="1">COUNTIFS(worksheet!Y3:Y4864,"3",worksheet!T3:T4864,"=16.07.17")-COUNTIFS(worksheet!O3:O4864,"&gt;=0",worksheet!Y3:Y4864,"3",worksheet!T3:T4864,"=16.07.17")</f>
        <v>0</v>
      </c>
      <c r="I70" s="422">
        <f ca="1">COUNTIFS(worksheet!Y3:Y4864,"3",worksheet!T3:T4864,"=16.08.17")-COUNTIFS(worksheet!O3:O4864,"&gt;=0",worksheet!Y3:Y4864,"3",worksheet!T3:T4864,"=16.08.17")</f>
        <v>0</v>
      </c>
      <c r="J70" s="422">
        <f ca="1">COUNTIFS(worksheet!Y3:Y4864,"3",worksheet!T3:T4864,"=16.09.17")-COUNTIFS(worksheet!O3:O4864,"&gt;=0",worksheet!Y3:Y4864,"3",worksheet!T3:T4864,"=16.09.17")</f>
        <v>1</v>
      </c>
      <c r="K70" s="422">
        <f ca="1">COUNTIFS(worksheet!Y3:Y4864,"3",worksheet!T3:T4864,"=16.10.17")-COUNTIFS(worksheet!O3:O4864,"&gt;=0",worksheet!Y3:Y4864,"3",worksheet!T3:T4864,"=16.10.17")</f>
        <v>1</v>
      </c>
      <c r="L70" s="422">
        <f ca="1">COUNTIFS(worksheet!Y3:Y4864,"3",worksheet!T3:T4864,"=16.11.17")-COUNTIFS(worksheet!O3:O4864,"&gt;=0",worksheet!Y3:Y4864,"3",worksheet!T3:T4864,"=16.11.17")</f>
        <v>0</v>
      </c>
      <c r="M70" s="422">
        <f ca="1">COUNTIFS(worksheet!Y3:Y4864,"3",worksheet!T3:T4864,"=16.12.17")-COUNTIFS(worksheet!O3:O4864,"&gt;=0",worksheet!Y3:Y4864,"3",worksheet!T3:T4864,"=16.12.17")</f>
        <v>0</v>
      </c>
    </row>
    <row r="71" spans="1:13" ht="12" customHeight="1" thickBot="1" x14ac:dyDescent="0.25">
      <c r="A71" s="401">
        <v>17</v>
      </c>
      <c r="B71" s="420"/>
      <c r="C71" s="420"/>
      <c r="D71" s="420"/>
      <c r="E71" s="420"/>
      <c r="F71" s="422">
        <f ca="1">COUNTIFS(worksheet!Y3:Y4864,"3",worksheet!T3:T4864,"=17.05.17")-COUNTIFS(worksheet!O3:O4864,"&gt;=0",worksheet!Y3:Y4864,"3",worksheet!T3:T4864,"=17.05.17")</f>
        <v>0</v>
      </c>
      <c r="G71" s="422">
        <f ca="1">COUNTIFS(worksheet!Y3:Y4864,"3",worksheet!T3:T4864,"=17.06.17")-COUNTIFS(worksheet!O3:O4864,"&gt;=0",worksheet!Y3:Y4864,"3",worksheet!T3:T4864,"=17.06.17")</f>
        <v>0</v>
      </c>
      <c r="H71" s="422">
        <f ca="1">COUNTIFS(worksheet!Y3:Y4864,"3",worksheet!T3:T4864,"=17.07.17")-COUNTIFS(worksheet!O3:O4864,"&gt;=0",worksheet!Y3:Y4864,"3",worksheet!T3:T4864,"=17.07.17")</f>
        <v>0</v>
      </c>
      <c r="I71" s="422">
        <f ca="1">COUNTIFS(worksheet!Y3:Y4864,"3",worksheet!T3:T4864,"=17.08.17")-COUNTIFS(worksheet!O3:O4864,"&gt;=0",worksheet!Y3:Y4864,"3",worksheet!T3:T4864,"=17.08.17")</f>
        <v>0</v>
      </c>
      <c r="J71" s="422">
        <f ca="1">COUNTIFS(worksheet!Y3:Y4864,"3",worksheet!T3:T4864,"=17.09.17")-COUNTIFS(worksheet!O3:O4864,"&gt;=0",worksheet!Y3:Y4864,"3",worksheet!T3:T4864,"=17.09.17")</f>
        <v>0</v>
      </c>
      <c r="K71" s="422">
        <f ca="1">COUNTIFS(worksheet!Y3:Y4864,"3",worksheet!T3:T4864,"=17.10.17")-COUNTIFS(worksheet!O3:O4864,"&gt;=0",worksheet!Y3:Y4864,"3",worksheet!T3:T4864,"=17.10.17")</f>
        <v>1</v>
      </c>
      <c r="L71" s="422">
        <f ca="1">COUNTIFS(worksheet!Y3:Y4864,"3",worksheet!T3:T4864,"=17.11.17")-COUNTIFS(worksheet!O3:O4864,"&gt;=0",worksheet!Y3:Y4864,"3",worksheet!T3:T4864,"=17.11.17")</f>
        <v>0</v>
      </c>
      <c r="M71" s="422">
        <f ca="1">COUNTIFS(worksheet!Y3:Y4864,"3",worksheet!T3:T4864,"=17.12.17")-COUNTIFS(worksheet!O3:O4864,"&gt;=0",worksheet!Y3:Y4864,"3",worksheet!T3:T4864,"=17.12.17")</f>
        <v>0</v>
      </c>
    </row>
    <row r="72" spans="1:13" ht="12" customHeight="1" thickBot="1" x14ac:dyDescent="0.25">
      <c r="A72" s="401">
        <v>18</v>
      </c>
      <c r="B72" s="420"/>
      <c r="C72" s="420"/>
      <c r="D72" s="420"/>
      <c r="E72" s="420"/>
      <c r="F72" s="422">
        <f ca="1">COUNTIFS(worksheet!Y3:Y4864,"3",worksheet!T3:T4864,"=18.05.17")-COUNTIFS(worksheet!O3:O4864,"&gt;=0",worksheet!Y3:Y4864,"3",worksheet!T3:T4864,"=18.05.17")</f>
        <v>0</v>
      </c>
      <c r="G72" s="422">
        <f ca="1">COUNTIFS(worksheet!Y3:Y4864,"3",worksheet!T3:T4864,"=18.06.17")-COUNTIFS(worksheet!O3:O4864,"&gt;=0",worksheet!Y3:Y4864,"3",worksheet!T3:T4864,"=18.06.17")</f>
        <v>0</v>
      </c>
      <c r="H72" s="422">
        <f ca="1">COUNTIFS(worksheet!Y3:Y4864,"3",worksheet!T3:T4864,"=18.07.17")-COUNTIFS(worksheet!O3:O4864,"&gt;=0",worksheet!Y3:Y4864,"3",worksheet!T3:T4864,"=18.07.17")</f>
        <v>0</v>
      </c>
      <c r="I72" s="422">
        <f ca="1">COUNTIFS(worksheet!Y3:Y4864,"3",worksheet!T3:T4864,"=18.08.17")-COUNTIFS(worksheet!O3:O4864,"&gt;=0",worksheet!Y3:Y4864,"3",worksheet!T3:T4864,"=18.08.17")</f>
        <v>0</v>
      </c>
      <c r="J72" s="422">
        <f ca="1">COUNTIFS(worksheet!Y3:Y4864,"3",worksheet!T3:T4864,"=18.09.17")-COUNTIFS(worksheet!O3:O4864,"&gt;=0",worksheet!Y3:Y4864,"3",worksheet!T3:T4864,"=18.09.17")</f>
        <v>0</v>
      </c>
      <c r="K72" s="422">
        <f ca="1">COUNTIFS(worksheet!Y3:Y4864,"3",worksheet!T3:T4864,"=18.10.17")-COUNTIFS(worksheet!O3:O4864,"&gt;=0",worksheet!Y3:Y4864,"3",worksheet!T3:T4864,"=18.10.17")</f>
        <v>0</v>
      </c>
      <c r="L72" s="422">
        <f ca="1">COUNTIFS(worksheet!Y3:Y4864,"3",worksheet!T3:T4864,"=18.11.17")-COUNTIFS(worksheet!O3:O4864,"&gt;=0",worksheet!Y3:Y4864,"3",worksheet!T3:T4864,"=18.11.17")</f>
        <v>0</v>
      </c>
      <c r="M72" s="422">
        <f ca="1">COUNTIFS(worksheet!Y3:Y4864,"3",worksheet!T3:T4864,"=18.12.17")-COUNTIFS(worksheet!O3:O4864,"&gt;=0",worksheet!Y3:Y4864,"3",worksheet!T3:T4864,"=18.12.17")</f>
        <v>0</v>
      </c>
    </row>
    <row r="73" spans="1:13" ht="12" customHeight="1" thickBot="1" x14ac:dyDescent="0.25">
      <c r="A73" s="401">
        <v>19</v>
      </c>
      <c r="B73" s="420"/>
      <c r="C73" s="420"/>
      <c r="D73" s="420"/>
      <c r="E73" s="420"/>
      <c r="F73" s="422">
        <f ca="1">COUNTIFS(worksheet!Y3:Y4864,"3",worksheet!T3:T4864,"=19.05.17")-COUNTIFS(worksheet!O3:O4864,"&gt;=0",worksheet!Y3:Y4864,"3",worksheet!T3:T4864,"=19.05.17")</f>
        <v>0</v>
      </c>
      <c r="G73" s="422">
        <f ca="1">COUNTIFS(worksheet!Y3:Y4864,"3",worksheet!T3:T4864,"=19.06.17")-COUNTIFS(worksheet!O3:O4864,"&gt;=0",worksheet!Y3:Y4864,"3",worksheet!T3:T4864,"=19.06.17")</f>
        <v>0</v>
      </c>
      <c r="H73" s="422">
        <f ca="1">COUNTIFS(worksheet!Y3:Y4864,"3",worksheet!T3:T4864,"=19.07.17")-COUNTIFS(worksheet!O3:O4864,"&gt;=0",worksheet!Y3:Y4864,"3",worksheet!T3:T4864,"=19.07.17")</f>
        <v>0</v>
      </c>
      <c r="I73" s="422">
        <f ca="1">COUNTIFS(worksheet!Y3:Y4864,"3",worksheet!T3:T4864,"=19.08.17")-COUNTIFS(worksheet!O3:O4864,"&gt;=0",worksheet!Y3:Y4864,"3",worksheet!T3:T4864,"=19.08.17")</f>
        <v>0</v>
      </c>
      <c r="J73" s="422">
        <f ca="1">COUNTIFS(worksheet!Y3:Y4864,"3",worksheet!T3:T4864,"=19.09.17")-COUNTIFS(worksheet!O3:O4864,"&gt;=0",worksheet!Y3:Y4864,"3",worksheet!T3:T4864,"=19.09.17")</f>
        <v>3</v>
      </c>
      <c r="K73" s="422">
        <f ca="1">COUNTIFS(worksheet!Y3:Y4864,"3",worksheet!T3:T4864,"=19.10.17")-COUNTIFS(worksheet!O3:O4864,"&gt;=0",worksheet!Y3:Y4864,"3",worksheet!T3:T4864,"=19.10.17")</f>
        <v>0</v>
      </c>
      <c r="L73" s="422">
        <f ca="1">COUNTIFS(worksheet!Y3:Y4864,"3",worksheet!T3:T4864,"=19.11.17")-COUNTIFS(worksheet!O3:O4864,"&gt;=0",worksheet!Y3:Y4864,"3",worksheet!T3:T4864,"=19.11.17")</f>
        <v>0</v>
      </c>
      <c r="M73" s="422">
        <f ca="1">COUNTIFS(worksheet!Y3:Y4864,"3",worksheet!T3:T4864,"=19.12.17")-COUNTIFS(worksheet!O3:O4864,"&gt;=0",worksheet!Y3:Y4864,"3",worksheet!T3:T4864,"=19.12.17")</f>
        <v>0</v>
      </c>
    </row>
    <row r="74" spans="1:13" ht="12" customHeight="1" thickBot="1" x14ac:dyDescent="0.25">
      <c r="A74" s="401">
        <v>20</v>
      </c>
      <c r="B74" s="420"/>
      <c r="C74" s="420"/>
      <c r="D74" s="420"/>
      <c r="E74" s="420"/>
      <c r="F74" s="422">
        <f ca="1">COUNTIFS(worksheet!Y3:Y4864,"3",worksheet!T3:T4864,"=20.05.17")-COUNTIFS(worksheet!O3:O4864,"&gt;=0",worksheet!Y3:Y4864,"3",worksheet!T3:T4864,"=20.05.17")</f>
        <v>0</v>
      </c>
      <c r="G74" s="422">
        <f ca="1">COUNTIFS(worksheet!Y3:Y4864,"3",worksheet!T3:T4864,"=20.06.17")-COUNTIFS(worksheet!O3:O4864,"&gt;=0",worksheet!Y3:Y4864,"3",worksheet!T3:T4864,"=20.06.17")</f>
        <v>0</v>
      </c>
      <c r="H74" s="422">
        <f ca="1">COUNTIFS(worksheet!Y3:Y4864,"3",worksheet!T3:T4864,"=20.07.17")-COUNTIFS(worksheet!O3:O4864,"&gt;=0",worksheet!Y3:Y4864,"3",worksheet!T3:T4864,"=20.07.17")</f>
        <v>0</v>
      </c>
      <c r="I74" s="422">
        <f ca="1">COUNTIFS(worksheet!Y3:Y4864,"3",worksheet!T3:T4864,"=20.08.17")-COUNTIFS(worksheet!O3:O4864,"&gt;=0",worksheet!Y3:Y4864,"3",worksheet!T3:T4864,"=20.08.17")</f>
        <v>0</v>
      </c>
      <c r="J74" s="422">
        <f ca="1">COUNTIFS(worksheet!Y3:Y4864,"3",worksheet!T3:T4864,"=20.09.17")-COUNTIFS(worksheet!O3:O4864,"&gt;=0",worksheet!Y3:Y4864,"3",worksheet!T3:T4864,"=20.09.17")</f>
        <v>0</v>
      </c>
      <c r="K74" s="422">
        <f ca="1">COUNTIFS(worksheet!Y3:Y4864,"3",worksheet!T3:T4864,"=20.10.17")-COUNTIFS(worksheet!O3:O4864,"&gt;=0",worksheet!Y3:Y4864,"3",worksheet!T3:T4864,"=20.10.17")</f>
        <v>2</v>
      </c>
      <c r="L74" s="422">
        <f ca="1">COUNTIFS(worksheet!Y3:Y4864,"3",worksheet!T3:T4864,"=20.11.17")-COUNTIFS(worksheet!O3:O4864,"&gt;=0",worksheet!Y3:Y4864,"3",worksheet!T3:T4864,"=20.11.17")</f>
        <v>0</v>
      </c>
      <c r="M74" s="422">
        <f ca="1">COUNTIFS(worksheet!Y3:Y4864,"3",worksheet!T3:T4864,"=20.12.17")-COUNTIFS(worksheet!O3:O4864,"&gt;=0",worksheet!Y3:Y4864,"3",worksheet!T3:T4864,"=20.12.17")</f>
        <v>0</v>
      </c>
    </row>
    <row r="75" spans="1:13" ht="12" customHeight="1" thickBot="1" x14ac:dyDescent="0.25">
      <c r="A75" s="401">
        <v>21</v>
      </c>
      <c r="B75" s="420"/>
      <c r="C75" s="420"/>
      <c r="D75" s="420"/>
      <c r="E75" s="420"/>
      <c r="F75" s="422">
        <f ca="1">COUNTIFS(worksheet!Y3:Y4864,"3",worksheet!T3:T4864,"=21.05.17")-COUNTIFS(worksheet!O3:O4864,"&gt;=0",worksheet!Y3:Y4864,"3",worksheet!T3:T4864,"=21.05.17")</f>
        <v>0</v>
      </c>
      <c r="G75" s="422">
        <f ca="1">COUNTIFS(worksheet!Y3:Y4864,"3",worksheet!T3:T4864,"=21.06.17")-COUNTIFS(worksheet!O3:O4864,"&gt;=0",worksheet!Y3:Y4864,"3",worksheet!T3:T4864,"=21.06.17")</f>
        <v>0</v>
      </c>
      <c r="H75" s="422">
        <f ca="1">COUNTIFS(worksheet!Y3:Y4864,"3",worksheet!T3:T4864,"=21.07.17")-COUNTIFS(worksheet!O3:O4864,"&gt;=0",worksheet!Y3:Y4864,"3",worksheet!T3:T4864,"=21.07.17")</f>
        <v>0</v>
      </c>
      <c r="I75" s="422">
        <f ca="1">COUNTIFS(worksheet!Y3:Y4864,"3",worksheet!T3:T4864,"=21.08.17")-COUNTIFS(worksheet!O3:O4864,"&gt;=0",worksheet!Y3:Y4864,"3",worksheet!T3:T4864,"=21.08.17")</f>
        <v>0</v>
      </c>
      <c r="J75" s="422">
        <f ca="1">COUNTIFS(worksheet!Y3:Y4864,"3",worksheet!T3:T4864,"=21.09.17")-COUNTIFS(worksheet!O3:O4864,"&gt;=0",worksheet!Y3:Y4864,"3",worksheet!T3:T4864,"=21.09.17")</f>
        <v>0</v>
      </c>
      <c r="K75" s="422">
        <f ca="1">COUNTIFS(worksheet!Y3:Y4864,"3",worksheet!T3:T4864,"=21.10.17")-COUNTIFS(worksheet!O3:O4864,"&gt;=0",worksheet!Y3:Y4864,"3",worksheet!T3:T4864,"=21.10.17")</f>
        <v>0</v>
      </c>
      <c r="L75" s="422">
        <f ca="1">COUNTIFS(worksheet!Y3:Y4864,"3",worksheet!T3:T4864,"=21.11.17")-COUNTIFS(worksheet!O3:O4864,"&gt;=0",worksheet!Y3:Y4864,"3",worksheet!T3:T4864,"=21.11.17")</f>
        <v>0</v>
      </c>
      <c r="M75" s="422">
        <f ca="1">COUNTIFS(worksheet!Y3:Y4864,"3",worksheet!T3:T4864,"=21.12.17")-COUNTIFS(worksheet!O3:O4864,"&gt;=0",worksheet!Y3:Y4864,"3",worksheet!T3:T4864,"=21.12.17")</f>
        <v>0</v>
      </c>
    </row>
    <row r="76" spans="1:13" ht="12" customHeight="1" thickBot="1" x14ac:dyDescent="0.25">
      <c r="A76" s="401">
        <v>22</v>
      </c>
      <c r="B76" s="420"/>
      <c r="C76" s="420"/>
      <c r="D76" s="420"/>
      <c r="E76" s="420"/>
      <c r="F76" s="422">
        <f ca="1">COUNTIFS(worksheet!Y3:Y4864,"3",worksheet!T3:T4864,"=22.05.17")-COUNTIFS(worksheet!O3:O4864,"&gt;=0",worksheet!Y3:Y4864,"3",worksheet!T3:T4864,"=22.05.17")</f>
        <v>0</v>
      </c>
      <c r="G76" s="422">
        <f ca="1">COUNTIFS(worksheet!Y3:Y4864,"3",worksheet!T3:T4864,"=22.06.17")-COUNTIFS(worksheet!O3:O4864,"&gt;=0",worksheet!Y3:Y4864,"3",worksheet!T3:T4864,"=22.06.17")</f>
        <v>0</v>
      </c>
      <c r="H76" s="422">
        <f ca="1">COUNTIFS(worksheet!Y3:Y4864,"3",worksheet!T3:T4864,"=22.07.17")-COUNTIFS(worksheet!O3:O4864,"&gt;=0",worksheet!Y3:Y4864,"3",worksheet!T3:T4864,"=22.07.17")</f>
        <v>0</v>
      </c>
      <c r="I76" s="422">
        <f ca="1">COUNTIFS(worksheet!Y3:Y4864,"3",worksheet!T3:T4864,"=22.08.17")-COUNTIFS(worksheet!O3:O4864,"&gt;=0",worksheet!Y3:Y4864,"3",worksheet!T3:T4864,"=22.08.17")</f>
        <v>0</v>
      </c>
      <c r="J76" s="422">
        <f ca="1">COUNTIFS(worksheet!Y3:Y4864,"3",worksheet!T3:T4864,"=22.09.17")-COUNTIFS(worksheet!O3:O4864,"&gt;=0",worksheet!Y3:Y4864,"3",worksheet!T3:T4864,"=22.09.17")</f>
        <v>0</v>
      </c>
      <c r="K76" s="422">
        <f ca="1">COUNTIFS(worksheet!Y3:Y4864,"3",worksheet!T3:T4864,"=22.10.17")-COUNTIFS(worksheet!O3:O4864,"&gt;=0",worksheet!Y3:Y4864,"3",worksheet!T3:T4864,"=22.10.17")</f>
        <v>0</v>
      </c>
      <c r="L76" s="422">
        <f ca="1">COUNTIFS(worksheet!Y3:Y4864,"3",worksheet!T3:T4864,"=22.11.17")-COUNTIFS(worksheet!O3:O4864,"&gt;=0",worksheet!Y3:Y4864,"3",worksheet!T3:T4864,"=22.11.17")</f>
        <v>0</v>
      </c>
      <c r="M76" s="422">
        <f ca="1">COUNTIFS(worksheet!Y3:Y4864,"3",worksheet!T3:T4864,"=22.12.17")-COUNTIFS(worksheet!O3:O4864,"&gt;=0",worksheet!Y3:Y4864,"3",worksheet!T3:T4864,"=22.12.17")</f>
        <v>0</v>
      </c>
    </row>
    <row r="77" spans="1:13" ht="12" customHeight="1" thickBot="1" x14ac:dyDescent="0.25">
      <c r="A77" s="401">
        <v>23</v>
      </c>
      <c r="B77" s="420"/>
      <c r="C77" s="420"/>
      <c r="D77" s="420"/>
      <c r="E77" s="420"/>
      <c r="F77" s="422">
        <f ca="1">COUNTIFS(worksheet!Y3:Y4864,"3",worksheet!T3:T4864,"=23.05.17")-COUNTIFS(worksheet!O3:O4864,"&gt;=0",worksheet!Y3:Y4864,"3",worksheet!T3:T4864,"=23.05.17")</f>
        <v>0</v>
      </c>
      <c r="G77" s="422">
        <f ca="1">COUNTIFS(worksheet!Y3:Y4864,"3",worksheet!T3:T4864,"=23.06.17")-COUNTIFS(worksheet!O3:O4864,"&gt;=0",worksheet!Y3:Y4864,"3",worksheet!T3:T4864,"=23.06.17")</f>
        <v>0</v>
      </c>
      <c r="H77" s="422">
        <f ca="1">COUNTIFS(worksheet!Y3:Y4864,"3",worksheet!T3:T4864,"=23.07.17")-COUNTIFS(worksheet!O3:O4864,"&gt;=0",worksheet!Y3:Y4864,"3",worksheet!T3:T4864,"=23.07.17")</f>
        <v>0</v>
      </c>
      <c r="I77" s="422">
        <f ca="1">COUNTIFS(worksheet!Y3:Y4864,"3",worksheet!T3:T4864,"=23.08.17")-COUNTIFS(worksheet!O3:O4864,"&gt;=0",worksheet!Y3:Y4864,"3",worksheet!T3:T4864,"=23.08.17")</f>
        <v>0</v>
      </c>
      <c r="J77" s="422">
        <f ca="1">COUNTIFS(worksheet!Y3:Y4864,"3",worksheet!T3:T4864,"=23.09.17")-COUNTIFS(worksheet!O3:O4864,"&gt;=0",worksheet!Y3:Y4864,"3",worksheet!T3:T4864,"=23.09.17")</f>
        <v>0</v>
      </c>
      <c r="K77" s="422">
        <f ca="1">COUNTIFS(worksheet!Y3:Y4864,"3",worksheet!T3:T4864,"=23.10.17")-COUNTIFS(worksheet!O3:O4864,"&gt;=0",worksheet!Y3:Y4864,"3",worksheet!T3:T4864,"=23.10.17")</f>
        <v>0</v>
      </c>
      <c r="L77" s="422">
        <f ca="1">COUNTIFS(worksheet!Y3:Y4864,"3",worksheet!T3:T4864,"=23.11.17")-COUNTIFS(worksheet!O3:O4864,"&gt;=0",worksheet!Y3:Y4864,"3",worksheet!T3:T4864,"=23.11.17")</f>
        <v>0</v>
      </c>
      <c r="M77" s="422">
        <f ca="1">COUNTIFS(worksheet!Y3:Y4864,"3",worksheet!T3:T4864,"=23.12.17")-COUNTIFS(worksheet!O3:O4864,"&gt;=0",worksheet!Y3:Y4864,"3",worksheet!T3:T4864,"=23.12.17")</f>
        <v>0</v>
      </c>
    </row>
    <row r="78" spans="1:13" ht="12" customHeight="1" thickBot="1" x14ac:dyDescent="0.25">
      <c r="A78" s="401">
        <v>24</v>
      </c>
      <c r="B78" s="420"/>
      <c r="C78" s="420"/>
      <c r="D78" s="420"/>
      <c r="E78" s="420"/>
      <c r="F78" s="422">
        <f ca="1">COUNTIFS(worksheet!Y3:Y4864,"3",worksheet!T3:T4864,"=24.05.17")-COUNTIFS(worksheet!O3:O4864,"&gt;=0",worksheet!Y3:Y4864,"3",worksheet!T3:T4864,"=24.05.17")</f>
        <v>0</v>
      </c>
      <c r="G78" s="422">
        <f ca="1">COUNTIFS(worksheet!Y3:Y4864,"3",worksheet!T3:T4864,"=24.06.17")-COUNTIFS(worksheet!O3:O4864,"&gt;=0",worksheet!Y3:Y4864,"3",worksheet!T3:T4864,"=24.06.17")</f>
        <v>0</v>
      </c>
      <c r="H78" s="422">
        <f ca="1">COUNTIFS(worksheet!Y3:Y4864,"3",worksheet!T3:T4864,"=24.07.17")-COUNTIFS(worksheet!O3:O4864,"&gt;=0",worksheet!Y3:Y4864,"3",worksheet!T3:T4864,"=24.07.17")</f>
        <v>0</v>
      </c>
      <c r="I78" s="422">
        <f ca="1">COUNTIFS(worksheet!Y3:Y4864,"3",worksheet!T3:T4864,"=24.08.17")-COUNTIFS(worksheet!O3:O4864,"&gt;=0",worksheet!Y3:Y4864,"3",worksheet!T3:T4864,"=24.08.17")</f>
        <v>0</v>
      </c>
      <c r="J78" s="422">
        <f ca="1">COUNTIFS(worksheet!Y3:Y4864,"3",worksheet!T3:T4864,"=24.09.17")-COUNTIFS(worksheet!O3:O4864,"&gt;=0",worksheet!Y3:Y4864,"3",worksheet!T3:T4864,"=24.09.17")</f>
        <v>1</v>
      </c>
      <c r="K78" s="422">
        <f ca="1">COUNTIFS(worksheet!Y3:Y4864,"3",worksheet!T3:T4864,"=24.10.17")-COUNTIFS(worksheet!O3:O4864,"&gt;=0",worksheet!Y3:Y4864,"3",worksheet!T3:T4864,"=24.10.17")</f>
        <v>0</v>
      </c>
      <c r="L78" s="422">
        <f ca="1">COUNTIFS(worksheet!Y3:Y4864,"3",worksheet!T3:T4864,"=24.11.17")-COUNTIFS(worksheet!O3:O4864,"&gt;=0",worksheet!Y3:Y4864,"3",worksheet!T3:T4864,"=24.11.17")</f>
        <v>0</v>
      </c>
      <c r="M78" s="422">
        <f ca="1">COUNTIFS(worksheet!Y3:Y4864,"3",worksheet!T3:T4864,"=24.12.17")-COUNTIFS(worksheet!O3:O4864,"&gt;=0",worksheet!Y3:Y4864,"3",worksheet!T3:T4864,"=24.12.17")</f>
        <v>0</v>
      </c>
    </row>
    <row r="79" spans="1:13" ht="12" customHeight="1" thickBot="1" x14ac:dyDescent="0.25">
      <c r="A79" s="401">
        <v>25</v>
      </c>
      <c r="B79" s="420"/>
      <c r="C79" s="420"/>
      <c r="D79" s="420"/>
      <c r="E79" s="420"/>
      <c r="F79" s="422">
        <f ca="1">COUNTIFS(worksheet!Y3:Y4864,"3",worksheet!T3:T4864,"=25.05.17")-COUNTIFS(worksheet!O3:O4864,"&gt;=0",worksheet!Y3:Y4864,"3",worksheet!T3:T4864,"=25.05.17")</f>
        <v>0</v>
      </c>
      <c r="G79" s="422">
        <f ca="1">COUNTIFS(worksheet!Y3:Y4864,"3",worksheet!T3:T4864,"=25.06.17")-COUNTIFS(worksheet!O3:O4864,"&gt;=0",worksheet!Y3:Y4864,"3",worksheet!T3:T4864,"=25.06.17")</f>
        <v>0</v>
      </c>
      <c r="H79" s="422">
        <f ca="1">COUNTIFS(worksheet!Y3:Y4864,"3",worksheet!T3:T4864,"=25.07.17")-COUNTIFS(worksheet!O3:O4864,"&gt;=0",worksheet!Y3:Y4864,"3",worksheet!T3:T4864,"=25.07.17")</f>
        <v>0</v>
      </c>
      <c r="I79" s="422">
        <f ca="1">COUNTIFS(worksheet!Y3:Y4864,"3",worksheet!T3:T4864,"=25.08.17")-COUNTIFS(worksheet!O3:O4864,"&gt;=0",worksheet!Y3:Y4864,"3",worksheet!T3:T4864,"=25.08.17")</f>
        <v>0</v>
      </c>
      <c r="J79" s="422">
        <f ca="1">COUNTIFS(worksheet!Y3:Y4864,"3",worksheet!T3:T4864,"=25.09.17")-COUNTIFS(worksheet!O3:O4864,"&gt;=0",worksheet!Y3:Y4864,"3",worksheet!T3:T4864,"=25.09.17")</f>
        <v>2</v>
      </c>
      <c r="K79" s="422">
        <f ca="1">COUNTIFS(worksheet!Y3:Y4864,"3",worksheet!T3:T4864,"=25.10.17")-COUNTIFS(worksheet!O3:O4864,"&gt;=0",worksheet!Y3:Y4864,"3",worksheet!T3:T4864,"=25.10.17")</f>
        <v>0</v>
      </c>
      <c r="L79" s="422">
        <f ca="1">COUNTIFS(worksheet!Y3:Y4864,"3",worksheet!T3:T4864,"=25.11.17")-COUNTIFS(worksheet!O3:O4864,"&gt;=0",worksheet!Y3:Y4864,"3",worksheet!T3:T4864,"=25.11.17")</f>
        <v>0</v>
      </c>
      <c r="M79" s="422">
        <f ca="1">COUNTIFS(worksheet!Y3:Y4864,"3",worksheet!T3:T4864,"=25.12.17")-COUNTIFS(worksheet!O3:O4864,"&gt;=0",worksheet!Y3:Y4864,"3",worksheet!T3:T4864,"=25.12.17")</f>
        <v>0</v>
      </c>
    </row>
    <row r="80" spans="1:13" ht="12" customHeight="1" thickBot="1" x14ac:dyDescent="0.25">
      <c r="A80" s="401">
        <v>26</v>
      </c>
      <c r="B80" s="420"/>
      <c r="C80" s="420"/>
      <c r="D80" s="420"/>
      <c r="E80" s="420"/>
      <c r="F80" s="422">
        <f ca="1">COUNTIFS(worksheet!Y3:Y4864,"3",worksheet!T3:T4864,"=26.05.17")-COUNTIFS(worksheet!O3:O4864,"&gt;=0",worksheet!Y3:Y4864,"3",worksheet!T3:T4864,"=26.05.17")</f>
        <v>0</v>
      </c>
      <c r="G80" s="422">
        <f ca="1">COUNTIFS(worksheet!Y3:Y4864,"3",worksheet!T3:T4864,"=26.06.17")-COUNTIFS(worksheet!O3:O4864,"&gt;=0",worksheet!Y3:Y4864,"3",worksheet!T3:T4864,"=26.06.17")</f>
        <v>0</v>
      </c>
      <c r="H80" s="422">
        <f ca="1">COUNTIFS(worksheet!Y3:Y4864,"3",worksheet!T3:T4864,"=26.07.17")-COUNTIFS(worksheet!O3:O4864,"&gt;=0",worksheet!Y3:Y4864,"3",worksheet!T3:T4864,"=26.07.17")</f>
        <v>0</v>
      </c>
      <c r="I80" s="422">
        <f ca="1">COUNTIFS(worksheet!Y3:Y4864,"3",worksheet!T3:T4864,"=26.08.17")-COUNTIFS(worksheet!O3:O4864,"&gt;=0",worksheet!Y3:Y4864,"3",worksheet!T3:T4864,"=26.08.17")</f>
        <v>0</v>
      </c>
      <c r="J80" s="422">
        <f ca="1">COUNTIFS(worksheet!Y3:Y4864,"3",worksheet!T3:T4864,"=26.09.17")-COUNTIFS(worksheet!O3:O4864,"&gt;=0",worksheet!Y3:Y4864,"3",worksheet!T3:T4864,"=26.09.17")</f>
        <v>0</v>
      </c>
      <c r="K80" s="422">
        <f ca="1">COUNTIFS(worksheet!Y3:Y4864,"3",worksheet!T3:T4864,"=26.10.17")-COUNTIFS(worksheet!O3:O4864,"&gt;=0",worksheet!Y3:Y4864,"3",worksheet!T3:T4864,"=26.10.17")</f>
        <v>0</v>
      </c>
      <c r="L80" s="422">
        <f ca="1">COUNTIFS(worksheet!Y3:Y4864,"3",worksheet!T3:T4864,"=26.11.17")-COUNTIFS(worksheet!O3:O4864,"&gt;=0",worksheet!Y3:Y4864,"3",worksheet!T3:T4864,"=26.11.17")</f>
        <v>0</v>
      </c>
      <c r="M80" s="422">
        <f ca="1">COUNTIFS(worksheet!Y3:Y4864,"3",worksheet!T3:T4864,"=26.12.17")-COUNTIFS(worksheet!O3:O4864,"&gt;=0",worksheet!Y3:Y4864,"3",worksheet!T3:T4864,"=26.12.17")</f>
        <v>0</v>
      </c>
    </row>
    <row r="81" spans="1:13" ht="12" customHeight="1" thickBot="1" x14ac:dyDescent="0.25">
      <c r="A81" s="401">
        <v>27</v>
      </c>
      <c r="B81" s="420"/>
      <c r="C81" s="420"/>
      <c r="D81" s="420"/>
      <c r="E81" s="420"/>
      <c r="F81" s="422">
        <f ca="1">COUNTIFS(worksheet!Y3:Y4864,"3",worksheet!T3:T4864,"=27.05.17")-COUNTIFS(worksheet!O3:O4864,"&gt;=0",worksheet!Y3:Y4864,"3",worksheet!T3:T4864,"=27.05.17")</f>
        <v>0</v>
      </c>
      <c r="G81" s="422">
        <f ca="1">COUNTIFS(worksheet!Y3:Y4864,"3",worksheet!T3:T4864,"=27.06.17")-COUNTIFS(worksheet!O3:O4864,"&gt;=0",worksheet!Y3:Y4864,"3",worksheet!T3:T4864,"=27.06.17")</f>
        <v>0</v>
      </c>
      <c r="H81" s="422">
        <f ca="1">COUNTIFS(worksheet!Y3:Y4864,"3",worksheet!T3:T4864,"=27.07.17")-COUNTIFS(worksheet!O3:O4864,"&gt;=0",worksheet!Y3:Y4864,"3",worksheet!T3:T4864,"=27.07.17")</f>
        <v>0</v>
      </c>
      <c r="I81" s="422">
        <f ca="1">COUNTIFS(worksheet!Y3:Y4864,"3",worksheet!T3:T4864,"=27.08.17")-COUNTIFS(worksheet!O3:O4864,"&gt;=0",worksheet!Y3:Y4864,"3",worksheet!T3:T4864,"=27.08.17")</f>
        <v>0</v>
      </c>
      <c r="J81" s="422">
        <f ca="1">COUNTIFS(worksheet!Y3:Y4864,"3",worksheet!T3:T4864,"=27.09.17")-COUNTIFS(worksheet!O3:O4864,"&gt;=0",worksheet!Y3:Y4864,"3",worksheet!T3:T4864,"=27.09.17")</f>
        <v>2</v>
      </c>
      <c r="K81" s="422">
        <f ca="1">COUNTIFS(worksheet!Y3:Y4864,"3",worksheet!T3:T4864,"=27.10.17")-COUNTIFS(worksheet!O3:O4864,"&gt;=0",worksheet!Y3:Y4864,"3",worksheet!T3:T4864,"=27.10.17")</f>
        <v>2</v>
      </c>
      <c r="L81" s="422">
        <f ca="1">COUNTIFS(worksheet!Y3:Y4864,"3",worksheet!T3:T4864,"=27.11.17")-COUNTIFS(worksheet!O3:O4864,"&gt;=0",worksheet!Y3:Y4864,"3",worksheet!T3:T4864,"=27.11.17")</f>
        <v>0</v>
      </c>
      <c r="M81" s="422">
        <f ca="1">COUNTIFS(worksheet!Y3:Y4864,"3",worksheet!T3:T4864,"=27.12.17")-COUNTIFS(worksheet!O3:O4864,"&gt;=0",worksheet!Y3:Y4864,"3",worksheet!T3:T4864,"=27.12.17")</f>
        <v>0</v>
      </c>
    </row>
    <row r="82" spans="1:13" ht="12" customHeight="1" thickBot="1" x14ac:dyDescent="0.25">
      <c r="A82" s="401">
        <v>28</v>
      </c>
      <c r="B82" s="420"/>
      <c r="C82" s="420"/>
      <c r="D82" s="420"/>
      <c r="E82" s="420"/>
      <c r="F82" s="422">
        <f ca="1">COUNTIFS(worksheet!Y3:Y4864,"3",worksheet!T3:T4864,"=28.05.17")-COUNTIFS(worksheet!O3:O4864,"&gt;=0",worksheet!Y3:Y4864,"3",worksheet!T3:T4864,"=28.05.17")</f>
        <v>0</v>
      </c>
      <c r="G82" s="422">
        <f ca="1">COUNTIFS(worksheet!Y3:Y4864,"3",worksheet!T3:T4864,"=28.06.17")-COUNTIFS(worksheet!O3:O4864,"&gt;=0",worksheet!Y3:Y4864,"3",worksheet!T3:T4864,"=28.06.17")</f>
        <v>0</v>
      </c>
      <c r="H82" s="422">
        <f ca="1">COUNTIFS(worksheet!Y3:Y4864,"3",worksheet!T3:T4864,"=28.07.17")-COUNTIFS(worksheet!O3:O4864,"&gt;=0",worksheet!Y3:Y4864,"3",worksheet!T3:T4864,"=28.07.17")</f>
        <v>0</v>
      </c>
      <c r="I82" s="422">
        <f ca="1">COUNTIFS(worksheet!Y3:Y4864,"3",worksheet!T3:T4864,"=28.08.17")-COUNTIFS(worksheet!O3:O4864,"&gt;=0",worksheet!Y3:Y4864,"3",worksheet!T3:T4864,"=28.08.17")</f>
        <v>0</v>
      </c>
      <c r="J82" s="422">
        <f ca="1">COUNTIFS(worksheet!Y3:Y4864,"3",worksheet!T3:T4864,"=28.09.17")-COUNTIFS(worksheet!O3:O4864,"&gt;=0",worksheet!Y3:Y4864,"3",worksheet!T3:T4864,"=28.09.17")</f>
        <v>2</v>
      </c>
      <c r="K82" s="422">
        <f ca="1">COUNTIFS(worksheet!Y3:Y4864,"3",worksheet!T3:T4864,"=28.10.17")-COUNTIFS(worksheet!O3:O4864,"&gt;=0",worksheet!Y3:Y4864,"3",worksheet!T3:T4864,"=28.10.17")</f>
        <v>2</v>
      </c>
      <c r="L82" s="422">
        <f ca="1">COUNTIFS(worksheet!Y3:Y4864,"3",worksheet!T3:T4864,"=28.11.17")-COUNTIFS(worksheet!O3:O4864,"&gt;=0",worksheet!Y3:Y4864,"3",worksheet!T3:T4864,"=28.11.17")</f>
        <v>0</v>
      </c>
      <c r="M82" s="422">
        <f ca="1">COUNTIFS(worksheet!Y3:Y4864,"3",worksheet!T3:T4864,"=28.12.17")-COUNTIFS(worksheet!O3:O4864,"&gt;=0",worksheet!Y3:Y4864,"3",worksheet!T3:T4864,"=28.12.17")</f>
        <v>0</v>
      </c>
    </row>
    <row r="83" spans="1:13" ht="12" customHeight="1" thickBot="1" x14ac:dyDescent="0.25">
      <c r="A83" s="401">
        <v>29</v>
      </c>
      <c r="B83" s="420"/>
      <c r="C83" s="420"/>
      <c r="D83" s="420"/>
      <c r="E83" s="420"/>
      <c r="F83" s="422">
        <f ca="1">COUNTIFS(worksheet!Y3:Y4864,"3",worksheet!T3:T4864,"=29.05.17")-COUNTIFS(worksheet!O3:O4864,"&gt;=0",worksheet!Y3:Y4864,"3",worksheet!T3:T4864,"=29.05.17")</f>
        <v>0</v>
      </c>
      <c r="G83" s="422">
        <f ca="1">COUNTIFS(worksheet!Y3:Y4864,"3",worksheet!T3:T4864,"=29.06.17")-COUNTIFS(worksheet!O3:O4864,"&gt;=0",worksheet!Y3:Y4864,"3",worksheet!T3:T4864,"=29.06.17")</f>
        <v>0</v>
      </c>
      <c r="H83" s="422">
        <f ca="1">COUNTIFS(worksheet!Y3:Y4864,"3",worksheet!T3:T4864,"=29.07.17")-COUNTIFS(worksheet!O3:O4864,"&gt;=0",worksheet!Y3:Y4864,"3",worksheet!T3:T4864,"=29.07.17")</f>
        <v>0</v>
      </c>
      <c r="I83" s="422">
        <f ca="1">COUNTIFS(worksheet!Y3:Y4864,"3",worksheet!T3:T4864,"=29.08.17")-COUNTIFS(worksheet!O3:O4864,"&gt;=0",worksheet!Y3:Y4864,"3",worksheet!T3:T4864,"=29.08.17")</f>
        <v>0</v>
      </c>
      <c r="J83" s="422">
        <f ca="1">COUNTIFS(worksheet!Y3:Y4864,"3",worksheet!T3:T4864,"=29.09.17")-COUNTIFS(worksheet!O3:O4864,"&gt;=0",worksheet!Y3:Y4864,"3",worksheet!T3:T4864,"=29.09.17")</f>
        <v>0</v>
      </c>
      <c r="K83" s="422">
        <f ca="1">COUNTIFS(worksheet!Y3:Y4864,"3",worksheet!T3:T4864,"=29.10.17")-COUNTIFS(worksheet!O3:O4864,"&gt;=0",worksheet!Y3:Y4864,"3",worksheet!T3:T4864,"=29.10.17")</f>
        <v>0</v>
      </c>
      <c r="L83" s="422">
        <f ca="1">COUNTIFS(worksheet!Y3:Y4864,"3",worksheet!T3:T4864,"=29.11.17")-COUNTIFS(worksheet!O3:O4864,"&gt;=0",worksheet!Y3:Y4864,"3",worksheet!T3:T4864,"=29.11.17")</f>
        <v>0</v>
      </c>
      <c r="M83" s="422">
        <f ca="1">COUNTIFS(worksheet!Y3:Y4864,"3",worksheet!T3:T4864,"=29.12.17")-COUNTIFS(worksheet!O3:O4864,"&gt;=0",worksheet!Y3:Y4864,"3",worksheet!T3:T4864,"=29.12.17")</f>
        <v>0</v>
      </c>
    </row>
    <row r="84" spans="1:13" ht="12" customHeight="1" thickBot="1" x14ac:dyDescent="0.25">
      <c r="A84" s="401">
        <v>30</v>
      </c>
      <c r="B84" s="420"/>
      <c r="C84" s="420"/>
      <c r="D84" s="420"/>
      <c r="E84" s="420"/>
      <c r="F84" s="422">
        <f ca="1">COUNTIFS(worksheet!Y3:Y4864,"3",worksheet!T3:T4864,"=30.05.17")-COUNTIFS(worksheet!O3:O4864,"&gt;=0",worksheet!Y3:Y4864,"3",worksheet!T3:T4864,"=30.05.17")</f>
        <v>0</v>
      </c>
      <c r="G84" s="422">
        <f ca="1">COUNTIFS(worksheet!Y3:Y4864,"3",worksheet!T3:T4864,"=30.06.17")-COUNTIFS(worksheet!O3:O4864,"&gt;=0",worksheet!Y3:Y4864,"3",worksheet!T3:T4864,"=30.06.17")</f>
        <v>0</v>
      </c>
      <c r="H84" s="422">
        <f ca="1">COUNTIFS(worksheet!Y3:Y4864,"3",worksheet!T3:T4864,"=30.07.17")-COUNTIFS(worksheet!O3:O4864,"&gt;=0",worksheet!Y3:Y4864,"3",worksheet!T3:T4864,"=30.07.17")</f>
        <v>0</v>
      </c>
      <c r="I84" s="422">
        <f ca="1">COUNTIFS(worksheet!Y3:Y4864,"3",worksheet!T3:T4864,"=30.08.17")-COUNTIFS(worksheet!O3:O4864,"&gt;=0",worksheet!Y3:Y4864,"3",worksheet!T3:T4864,"=30.08.17")</f>
        <v>0</v>
      </c>
      <c r="J84" s="422">
        <f ca="1">COUNTIFS(worksheet!Y3:Y4864,"3",worksheet!T3:T4864,"=30.09.17")-COUNTIFS(worksheet!O3:O4864,"&gt;=0",worksheet!Y3:Y4864,"3",worksheet!T3:T4864,"=30.09.17")</f>
        <v>3</v>
      </c>
      <c r="K84" s="422">
        <f ca="1">COUNTIFS(worksheet!Y3:Y4864,"3",worksheet!T3:T4864,"=30.10.17")-COUNTIFS(worksheet!O3:O4864,"&gt;=0",worksheet!Y3:Y4864,"3",worksheet!T3:T4864,"=30.10.17")</f>
        <v>1</v>
      </c>
      <c r="L84" s="422">
        <f ca="1">COUNTIFS(worksheet!Y3:Y4864,"3",worksheet!T3:T4864,"=30.11.17")-COUNTIFS(worksheet!O3:O4864,"&gt;=0",worksheet!Y3:Y4864,"3",worksheet!T3:T4864,"=30.11.17")</f>
        <v>0</v>
      </c>
      <c r="M84" s="422">
        <f ca="1">COUNTIFS(worksheet!Y3:Y4864,"3",worksheet!T3:T4864,"=30.12.17")-COUNTIFS(worksheet!O3:O4864,"&gt;=0",worksheet!Y3:Y4864,"3",worksheet!T3:T4864,"=30.12.17")</f>
        <v>0</v>
      </c>
    </row>
    <row r="85" spans="1:13" ht="12" customHeight="1" thickBot="1" x14ac:dyDescent="0.25">
      <c r="A85" s="401">
        <v>31</v>
      </c>
      <c r="B85" s="420"/>
      <c r="C85" s="420"/>
      <c r="D85" s="420"/>
      <c r="E85" s="420"/>
      <c r="F85" s="422">
        <f ca="1">COUNTIFS(worksheet!Y3:Y4864,"3",worksheet!T3:T4864,"=31.05.17")-COUNTIFS(worksheet!O3:O4864,"&gt;=0",worksheet!Y3:Y4864,"3",worksheet!T3:T4864,"=31.05.17")</f>
        <v>0</v>
      </c>
      <c r="G85" s="422">
        <f ca="1">COUNTIFS(worksheet!Y3:Y4864,"3",worksheet!T3:T4864,"=31.06.17")-COUNTIFS(worksheet!O3:O4864,"&gt;=0",worksheet!Y3:Y4864,"3",worksheet!T3:T4864,"=31.06.17")</f>
        <v>0</v>
      </c>
      <c r="H85" s="422">
        <f ca="1">COUNTIFS(worksheet!Y3:Y4864,"3",worksheet!T3:T4864,"=31.07.17")-COUNTIFS(worksheet!O3:O4864,"&gt;=0",worksheet!Y3:Y4864,"3",worksheet!T3:T4864,"=31.07.17")</f>
        <v>0</v>
      </c>
      <c r="I85" s="422">
        <f ca="1">COUNTIFS(worksheet!Y3:Y4864,"3",worksheet!T3:T4864,"=31.08.17")-COUNTIFS(worksheet!O3:O4864,"&gt;=0",worksheet!Y3:Y4864,"3",worksheet!T3:T4864,"=31.08.17")</f>
        <v>0</v>
      </c>
      <c r="J85" s="422">
        <f ca="1">COUNTIFS(worksheet!Y3:Y4864,"3",worksheet!T3:T4864,"=31.09.17")-COUNTIFS(worksheet!O3:O4864,"&gt;=0",worksheet!Y3:Y4864,"3",worksheet!T3:T4864,"=31.09.17")</f>
        <v>0</v>
      </c>
      <c r="K85" s="422">
        <f ca="1">COUNTIFS(worksheet!Y3:Y4864,"3",worksheet!T3:T4864,"=31.10.17")-COUNTIFS(worksheet!O3:O4864,"&gt;=0",worksheet!Y3:Y4864,"3",worksheet!T3:T4864,"=31.10.17")</f>
        <v>0</v>
      </c>
      <c r="L85" s="422">
        <f ca="1">COUNTIFS(worksheet!Y3:Y4864,"3",worksheet!T3:T4864,"=31.11.17")-COUNTIFS(worksheet!O3:O4864,"&gt;=0",worksheet!Y3:Y4864,"3",worksheet!T3:T4864,"=31.11.17")</f>
        <v>0</v>
      </c>
      <c r="M85" s="422">
        <f ca="1">COUNTIFS(worksheet!Y3:Y4864,"3",worksheet!T3:T4864,"=31.12.17")-COUNTIFS(worksheet!O3:O4864,"&gt;=0",worksheet!Y3:Y4864,"3",worksheet!T3:T4864,"=31.12.17")</f>
        <v>0</v>
      </c>
    </row>
    <row r="86" spans="1:13" ht="26.1" customHeight="1" thickBot="1" x14ac:dyDescent="0.25">
      <c r="A86" s="402" t="s">
        <v>2976</v>
      </c>
      <c r="B86" s="419">
        <f>SUM(B55:B85)</f>
        <v>0</v>
      </c>
      <c r="C86" s="419">
        <f t="shared" ref="C86" si="3">SUM(C55:C85)</f>
        <v>0</v>
      </c>
      <c r="D86" s="419">
        <f t="shared" ref="D86" si="4">SUM(D55:D85)</f>
        <v>0</v>
      </c>
      <c r="E86" s="419">
        <f t="shared" ref="E86" si="5">SUM(E55:E85)</f>
        <v>0</v>
      </c>
      <c r="F86" s="419">
        <f t="shared" ref="F86" ca="1" si="6">SUM(F55:F85)</f>
        <v>0</v>
      </c>
      <c r="G86" s="419">
        <f t="shared" ref="G86" ca="1" si="7">SUM(G55:G85)</f>
        <v>0</v>
      </c>
      <c r="H86" s="419">
        <f t="shared" ref="H86" ca="1" si="8">SUM(H55:H85)</f>
        <v>0</v>
      </c>
      <c r="I86" s="419">
        <f t="shared" ref="I86" ca="1" si="9">SUM(I55:I85)</f>
        <v>0</v>
      </c>
      <c r="J86" s="419">
        <f t="shared" ref="J86" ca="1" si="10">SUM(J55:J85)</f>
        <v>26</v>
      </c>
      <c r="K86" s="419">
        <f t="shared" ref="K86" ca="1" si="11">SUM(K55:K85)</f>
        <v>17</v>
      </c>
      <c r="L86" s="419">
        <f t="shared" ref="L86" ca="1" si="12">SUM(L55:L85)</f>
        <v>13</v>
      </c>
      <c r="M86" s="419">
        <f t="shared" ref="M86" ca="1" si="13">SUM(M55:M85)</f>
        <v>0</v>
      </c>
    </row>
    <row r="87" spans="1:13" ht="39.950000000000003" customHeight="1" thickBot="1" x14ac:dyDescent="0.25">
      <c r="A87" s="411" t="s">
        <v>3040</v>
      </c>
      <c r="B87" s="415">
        <v>24</v>
      </c>
      <c r="C87" s="415">
        <v>20</v>
      </c>
      <c r="D87" s="415">
        <v>31</v>
      </c>
      <c r="E87" s="415">
        <v>17</v>
      </c>
      <c r="F87" s="415">
        <v>21</v>
      </c>
      <c r="G87" s="415">
        <v>40</v>
      </c>
      <c r="H87" s="415">
        <v>55</v>
      </c>
      <c r="I87" s="415">
        <v>72</v>
      </c>
      <c r="J87" s="415">
        <v>41</v>
      </c>
      <c r="K87" s="415">
        <v>29</v>
      </c>
      <c r="L87" s="415">
        <v>10</v>
      </c>
      <c r="M87" s="415"/>
    </row>
    <row r="88" spans="1:13" ht="26.1" customHeight="1" thickBot="1" x14ac:dyDescent="0.25">
      <c r="A88" s="414" t="s">
        <v>3041</v>
      </c>
      <c r="B88" s="412">
        <v>15</v>
      </c>
      <c r="C88" s="412">
        <v>18</v>
      </c>
      <c r="D88" s="412">
        <v>12</v>
      </c>
      <c r="E88" s="412">
        <v>15</v>
      </c>
      <c r="F88" s="412">
        <v>13</v>
      </c>
      <c r="G88" s="412">
        <v>24</v>
      </c>
      <c r="H88" s="412">
        <v>24</v>
      </c>
      <c r="I88" s="412">
        <v>24</v>
      </c>
      <c r="J88" s="412">
        <v>37</v>
      </c>
      <c r="K88" s="412">
        <v>27</v>
      </c>
      <c r="L88" s="412">
        <v>20</v>
      </c>
      <c r="M88" s="412"/>
    </row>
    <row r="89" spans="1:13" ht="26.1" customHeight="1" thickBot="1" x14ac:dyDescent="0.25">
      <c r="A89" s="413" t="s">
        <v>2977</v>
      </c>
      <c r="B89" s="415">
        <f>B87-B88</f>
        <v>9</v>
      </c>
      <c r="C89" s="415">
        <f t="shared" ref="C89" si="14">C87-C88</f>
        <v>2</v>
      </c>
      <c r="D89" s="415">
        <f t="shared" ref="D89" si="15">D87-D88</f>
        <v>19</v>
      </c>
      <c r="E89" s="415">
        <f t="shared" ref="E89" si="16">E87-E88</f>
        <v>2</v>
      </c>
      <c r="F89" s="415">
        <f t="shared" ref="F89" si="17">F87-F88</f>
        <v>8</v>
      </c>
      <c r="G89" s="415">
        <f t="shared" ref="G89" si="18">G87-G88</f>
        <v>16</v>
      </c>
      <c r="H89" s="415">
        <f t="shared" ref="H89" si="19">H87-H88</f>
        <v>31</v>
      </c>
      <c r="I89" s="415">
        <f t="shared" ref="I89" si="20">I87-I88</f>
        <v>48</v>
      </c>
      <c r="J89" s="415">
        <f>J87-J88</f>
        <v>4</v>
      </c>
      <c r="K89" s="415">
        <f t="shared" ref="K89:M89" si="21">K87-K88</f>
        <v>2</v>
      </c>
      <c r="L89" s="415">
        <f t="shared" si="21"/>
        <v>-10</v>
      </c>
      <c r="M89" s="415">
        <f t="shared" si="21"/>
        <v>0</v>
      </c>
    </row>
    <row r="90" spans="1:13" ht="26.1" customHeight="1" thickBot="1" x14ac:dyDescent="0.25">
      <c r="A90" s="400" t="s">
        <v>2975</v>
      </c>
      <c r="B90" s="443">
        <v>17</v>
      </c>
      <c r="C90" s="443">
        <v>7</v>
      </c>
      <c r="D90" s="443">
        <v>19</v>
      </c>
      <c r="E90" s="443">
        <v>12</v>
      </c>
      <c r="F90" s="443">
        <v>15</v>
      </c>
      <c r="G90" s="443">
        <v>22</v>
      </c>
      <c r="H90" s="443">
        <v>35</v>
      </c>
      <c r="I90" s="443">
        <v>39</v>
      </c>
      <c r="J90" s="417">
        <f>COUNTIFS(worksheet!AR3:AR1838,"НЕТЕЛЬ",worksheet!T3:T1838,"&gt;31.08.2017",worksheet!T3:T1838,"&lt;01.10.2017")</f>
        <v>3</v>
      </c>
      <c r="K90" s="417">
        <f>COUNTIFS(worksheet!AR3:AR1838,"НЕТЕЛЬ",worksheet!T3:T1838,"&gt;30.09.2017",worksheet!T3:T1838,"&lt;01.11.2017")</f>
        <v>0</v>
      </c>
      <c r="L90" s="417">
        <f>COUNTIFS(worksheet!AR3:AR1838,"НЕТЕЛЬ",worksheet!T3:T1838,"&gt;31.10.2017",worksheet!T3:T1838,"&lt;01.12.2017")</f>
        <v>0</v>
      </c>
      <c r="M90" s="417">
        <f>COUNTIFS(worksheet!AR3:AR1838,"НЕТЕЛЬ",worksheet!T3:T1838,"&gt;30.11.2017",worksheet!T3:T1838,"&lt;01.01.2018")</f>
        <v>0</v>
      </c>
    </row>
    <row r="91" spans="1:13" ht="18" customHeight="1" thickBot="1" x14ac:dyDescent="0.25">
      <c r="A91" s="413" t="s">
        <v>2030</v>
      </c>
      <c r="B91" s="416">
        <f>IF(AND(B90&gt;0,B87&gt;0),B90/B87,"-")</f>
        <v>0.70833333333333337</v>
      </c>
      <c r="C91" s="416">
        <f t="shared" ref="C91:M91" si="22">IF(AND(C90&gt;0,C87&gt;0),C90/C87,"-")</f>
        <v>0.35</v>
      </c>
      <c r="D91" s="416">
        <f t="shared" si="22"/>
        <v>0.61290322580645162</v>
      </c>
      <c r="E91" s="416">
        <f t="shared" si="22"/>
        <v>0.70588235294117652</v>
      </c>
      <c r="F91" s="416">
        <f t="shared" si="22"/>
        <v>0.7142857142857143</v>
      </c>
      <c r="G91" s="416">
        <f t="shared" si="22"/>
        <v>0.55000000000000004</v>
      </c>
      <c r="H91" s="416">
        <f t="shared" si="22"/>
        <v>0.63636363636363635</v>
      </c>
      <c r="I91" s="416">
        <f t="shared" si="22"/>
        <v>0.54166666666666663</v>
      </c>
      <c r="J91" s="416">
        <f t="shared" si="22"/>
        <v>7.3170731707317069E-2</v>
      </c>
      <c r="K91" s="416" t="str">
        <f t="shared" si="22"/>
        <v>-</v>
      </c>
      <c r="L91" s="416" t="str">
        <f t="shared" si="22"/>
        <v>-</v>
      </c>
      <c r="M91" s="416" t="str">
        <f t="shared" si="22"/>
        <v>-</v>
      </c>
    </row>
    <row r="92" spans="1:13" s="334" customFormat="1" ht="5.25" customHeight="1" thickBot="1" x14ac:dyDescent="0.25">
      <c r="A92" s="1489"/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1"/>
    </row>
    <row r="93" spans="1:13" s="334" customFormat="1" ht="12.75" customHeight="1" thickBot="1" x14ac:dyDescent="0.25">
      <c r="A93" s="1483" t="s">
        <v>2979</v>
      </c>
      <c r="B93" s="1484"/>
      <c r="C93" s="1484"/>
      <c r="D93" s="1484"/>
      <c r="E93" s="1484"/>
      <c r="F93" s="1484"/>
      <c r="G93" s="1484"/>
      <c r="H93" s="1484"/>
      <c r="I93" s="1484"/>
      <c r="J93" s="1484"/>
      <c r="K93" s="1484"/>
      <c r="L93" s="1484"/>
      <c r="M93" s="1485"/>
    </row>
    <row r="94" spans="1:13" s="334" customFormat="1" ht="13.5" customHeight="1" thickBot="1" x14ac:dyDescent="0.25">
      <c r="A94" s="1483"/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  <c r="L94" s="1484"/>
      <c r="M94" s="1485"/>
    </row>
    <row r="95" spans="1:13" s="334" customFormat="1" ht="12.75" customHeight="1" thickBot="1" x14ac:dyDescent="0.25">
      <c r="A95" s="1486">
        <f>SUMIFS(worksheet!W66:W4904,worksheet!AR66:AR4904,"НЕТЕЛЬ")/COUNTIF(worksheet!AR66:AR4904,"НЕТЕЛЬ")</f>
        <v>1.294392523364486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  <c r="L95" s="1487"/>
      <c r="M95" s="1488"/>
    </row>
    <row r="96" spans="1:13" s="334" customFormat="1" ht="13.5" customHeight="1" thickBot="1" x14ac:dyDescent="0.25">
      <c r="A96" s="1486"/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8"/>
    </row>
  </sheetData>
  <mergeCells count="25">
    <mergeCell ref="J1:M1"/>
    <mergeCell ref="J2:M2"/>
    <mergeCell ref="B3:G3"/>
    <mergeCell ref="H3:M3"/>
    <mergeCell ref="B4:C4"/>
    <mergeCell ref="D4:E4"/>
    <mergeCell ref="F4:G4"/>
    <mergeCell ref="H4:I4"/>
    <mergeCell ref="J4:K4"/>
    <mergeCell ref="L4:M4"/>
    <mergeCell ref="B7:M7"/>
    <mergeCell ref="B8:M8"/>
    <mergeCell ref="B5:C5"/>
    <mergeCell ref="D5:E5"/>
    <mergeCell ref="F5:G5"/>
    <mergeCell ref="H5:I5"/>
    <mergeCell ref="J5:K5"/>
    <mergeCell ref="L5:M5"/>
    <mergeCell ref="A47:M48"/>
    <mergeCell ref="A49:M50"/>
    <mergeCell ref="A93:M94"/>
    <mergeCell ref="A95:M96"/>
    <mergeCell ref="A92:M92"/>
    <mergeCell ref="B52:M52"/>
    <mergeCell ref="B53:M53"/>
  </mergeCells>
  <conditionalFormatting sqref="B10:M41">
    <cfRule type="cellIs" dxfId="1" priority="4" operator="greaterThan">
      <formula>0</formula>
    </cfRule>
  </conditionalFormatting>
  <conditionalFormatting sqref="B55:M86">
    <cfRule type="cellIs" dxfId="0" priority="3" operator="greaterThan">
      <formula>0</formula>
    </cfRule>
  </conditionalFormatting>
  <printOptions horizontalCentered="1"/>
  <pageMargins left="0.59055118110236227" right="0.31496062992125984" top="0.59055118110236227" bottom="0.59055118110236227" header="0.31496062992125984" footer="0.31496062992125984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1</vt:i4>
      </vt:variant>
    </vt:vector>
  </HeadingPairs>
  <TitlesOfParts>
    <vt:vector size="17" baseType="lpstr">
      <vt:lpstr>worksheet</vt:lpstr>
      <vt:lpstr>МОЛОКО</vt:lpstr>
      <vt:lpstr>ВЫБЫТИЕ</vt:lpstr>
      <vt:lpstr>ПРОДАЖА БЫЧ</vt:lpstr>
      <vt:lpstr>ВЫБЫТИЕ МОЛ</vt:lpstr>
      <vt:lpstr>КОНТРОЛЬ ОХОТЫ_№2</vt:lpstr>
      <vt:lpstr>ФСС</vt:lpstr>
      <vt:lpstr>СВОДКА ВС_2</vt:lpstr>
      <vt:lpstr>СВОДКА ПО ВОСПРОИЗВОДСТВУ</vt:lpstr>
      <vt:lpstr>АРТпИО</vt:lpstr>
      <vt:lpstr>СВОДКА ПО ИО_осемененные</vt:lpstr>
      <vt:lpstr>СВОДКА ПО ИО_стельные</vt:lpstr>
      <vt:lpstr>СВОДКА РАЗМЕЩЕНИЯ КРС</vt:lpstr>
      <vt:lpstr>СВОДКА_№1_ПЛАН ОТЕЛОВ</vt:lpstr>
      <vt:lpstr>СВОДКА_№2_ФСС</vt:lpstr>
      <vt:lpstr>СВОДКА_№3_ВОСПРОИЗВОДСТВО</vt:lpstr>
      <vt:lpstr>ВЫДЕЛИТЬ_7</vt:lpstr>
    </vt:vector>
  </TitlesOfParts>
  <Company>HHC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Alexei</cp:lastModifiedBy>
  <cp:lastPrinted>2017-11-15T12:28:33Z</cp:lastPrinted>
  <dcterms:created xsi:type="dcterms:W3CDTF">2011-12-08T07:17:51Z</dcterms:created>
  <dcterms:modified xsi:type="dcterms:W3CDTF">2018-02-02T20:38:27Z</dcterms:modified>
</cp:coreProperties>
</file>